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2.xml" ContentType="application/vnd.ms-excel.controlproperties+xml"/>
  <Override PartName="/xl/tables/table13.xml" ContentType="application/vnd.openxmlformats-officedocument.spreadsheetml.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6.xml" ContentType="application/vnd.openxmlformats-officedocument.themeOverrid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7.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2"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yacephilippe-emmanuel/Documents/ovo/"/>
    </mc:Choice>
  </mc:AlternateContent>
  <xr:revisionPtr revIDLastSave="0" documentId="8_{78964EE7-1CBB-C14B-9CB4-00955D03DC4B}" xr6:coauthVersionLast="47" xr6:coauthVersionMax="47" xr10:uidLastSave="{00000000-0000-0000-0000-000000000000}"/>
  <bookViews>
    <workbookView xWindow="0" yWindow="740" windowWidth="29400" windowHeight="17560" tabRatio="703" xr2:uid="{C30C26EC-1855-460B-B7C2-094A25A46430}"/>
  </bookViews>
  <sheets>
    <sheet name="ReadMe" sheetId="10" r:id="rId1"/>
    <sheet name="Instructions" sheetId="4" r:id="rId2"/>
    <sheet name="InputsData" sheetId="2" r:id="rId3"/>
    <sheet name="RevenueData" sheetId="7" r:id="rId4"/>
    <sheet name="RevenuePivot" sheetId="8" r:id="rId5"/>
    <sheet name="RevenueChart" sheetId="9" r:id="rId6"/>
    <sheet name="FinanceData" sheetId="1" r:id="rId7"/>
    <sheet name="FinancePivot" sheetId="3" r:id="rId8"/>
    <sheet name="FinanceChart" sheetId="5" r:id="rId9"/>
    <sheet name="FinanceEUR" sheetId="6" r:id="rId10"/>
  </sheets>
  <functionGroups builtInGroupCount="19"/>
  <definedNames>
    <definedName name="_xleta.AND" hidden="1" xlm="1">#NAME?</definedName>
    <definedName name="_xleta.IF" hidden="1" xlm="1">#NAME?</definedName>
    <definedName name="_xleta.SHEET" hidden="1" xlm="1">#NAME?</definedName>
    <definedName name="_xleta.SUM" hidden="1" xlm="1">#NAME?</definedName>
    <definedName name="_xleta.T" hidden="1" xlm="1">#NAME?</definedName>
    <definedName name="_xleta.TYPE" hidden="1" xlm="1">#NAME?</definedName>
    <definedName name="_xleta.YEAR" hidden="1" xlm="1">#NAME?</definedName>
    <definedName name="CountryList">TableReadMeCountry[Reference]</definedName>
    <definedName name="_xlnm.Print_Titles" localSheetId="6">FinanceData!$1:$3</definedName>
    <definedName name="_xlnm.Print_Titles" localSheetId="9">FinanceEUR!$3:$5</definedName>
    <definedName name="_xlnm.Print_Titles" localSheetId="2">InputsData!$2:$3</definedName>
    <definedName name="_xlnm.Print_Titles" localSheetId="1">Instructions!$3:$5</definedName>
    <definedName name="_xlnm.Print_Titles" localSheetId="3">RevenueData!$1:$7</definedName>
    <definedName name="_xlnm.Print_Titles" localSheetId="4">RevenuePivot!$A:$C,RevenuePivot!$5:$14</definedName>
    <definedName name="Slicer_REFERENCE_PRODUCT___SERVICE">#N/A</definedName>
    <definedName name="_xlnm.Print_Area" localSheetId="8">FinanceChart!$B$9:$L$168</definedName>
    <definedName name="_xlnm.Print_Area" localSheetId="6">TableFinanceData[[SECTION]:[CHECK]]</definedName>
    <definedName name="_xlnm.Print_Area" localSheetId="9">FinanceEUR!$B$6:$J$132</definedName>
    <definedName name="_xlnm.Print_Area" localSheetId="7">FinancePivot!$D$9:$N$119</definedName>
    <definedName name="_xlnm.Print_Area" localSheetId="2">InputsData!$B$4:$J$143</definedName>
    <definedName name="_xlnm.Print_Area" localSheetId="1">TableInstructions[[NOTE]:[COMMENT]]</definedName>
    <definedName name="_xlnm.Print_Area" localSheetId="0">ReadMe!$A$1:$P$103</definedName>
    <definedName name="_xlnm.Print_Area" localSheetId="5">RevenueChart!$A$8:$AK$203</definedName>
    <definedName name="_xlnm.Print_Area" localSheetId="3">TableRevenueData[]</definedName>
    <definedName name="_xlnm.Print_Area" localSheetId="4">RevenuePivot!$D$15:$BP$87</definedName>
  </definedNames>
  <calcPr calcId="191029"/>
  <pivotCaches>
    <pivotCache cacheId="2" r:id="rId11"/>
    <pivotCache cacheId="3"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1" i="8" l="1"/>
  <c r="J61" i="8"/>
  <c r="I61" i="8"/>
  <c r="H61" i="8"/>
  <c r="G61" i="8"/>
  <c r="F61" i="8"/>
  <c r="E61" i="8"/>
  <c r="J60" i="8"/>
  <c r="I60" i="8"/>
  <c r="H60" i="8"/>
  <c r="G60" i="8"/>
  <c r="F60" i="8"/>
  <c r="E60" i="8"/>
  <c r="I738" i="1"/>
  <c r="I739" i="1"/>
  <c r="I740" i="1"/>
  <c r="I741" i="1"/>
  <c r="I737" i="1"/>
  <c r="H738" i="1"/>
  <c r="H739" i="1"/>
  <c r="H740" i="1"/>
  <c r="H741" i="1"/>
  <c r="H737" i="1"/>
  <c r="H179" i="1"/>
  <c r="H178" i="1"/>
  <c r="H177" i="1"/>
  <c r="H176" i="1"/>
  <c r="H175" i="1"/>
  <c r="H174" i="1"/>
  <c r="H173" i="1"/>
  <c r="H172" i="1"/>
  <c r="H171" i="1"/>
  <c r="H170" i="1"/>
  <c r="H167" i="1"/>
  <c r="H166" i="1"/>
  <c r="H165" i="1"/>
  <c r="H164" i="1"/>
  <c r="H163" i="1"/>
  <c r="H162" i="1"/>
  <c r="H161" i="1"/>
  <c r="H160" i="1"/>
  <c r="H159" i="1"/>
  <c r="H158" i="1"/>
  <c r="H155" i="1"/>
  <c r="H154" i="1"/>
  <c r="H153" i="1"/>
  <c r="H152" i="1"/>
  <c r="H151" i="1"/>
  <c r="H150" i="1"/>
  <c r="H149" i="1"/>
  <c r="H148" i="1"/>
  <c r="H147" i="1"/>
  <c r="H146" i="1"/>
  <c r="H137" i="1"/>
  <c r="H136" i="1"/>
  <c r="H135" i="1"/>
  <c r="H134" i="1"/>
  <c r="H133" i="1"/>
  <c r="H132" i="1"/>
  <c r="H131" i="1"/>
  <c r="H130" i="1"/>
  <c r="H129" i="1"/>
  <c r="H128" i="1"/>
  <c r="H127" i="1"/>
  <c r="H126" i="1"/>
  <c r="H125" i="1"/>
  <c r="H124" i="1"/>
  <c r="H123" i="1"/>
  <c r="H122" i="1"/>
  <c r="H121" i="1"/>
  <c r="H120" i="1"/>
  <c r="H119" i="1"/>
  <c r="H118" i="1"/>
  <c r="H115" i="1"/>
  <c r="H114" i="1"/>
  <c r="H113" i="1"/>
  <c r="H112" i="1"/>
  <c r="H111" i="1"/>
  <c r="H110" i="1"/>
  <c r="H109" i="1"/>
  <c r="H108" i="1"/>
  <c r="H107" i="1"/>
  <c r="H106" i="1"/>
  <c r="H105" i="1"/>
  <c r="H104" i="1"/>
  <c r="H103" i="1"/>
  <c r="H102" i="1"/>
  <c r="H101" i="1"/>
  <c r="H100" i="1"/>
  <c r="H99" i="1"/>
  <c r="H98" i="1"/>
  <c r="H97" i="1"/>
  <c r="H96" i="1"/>
  <c r="H93" i="1"/>
  <c r="H92" i="1"/>
  <c r="H91" i="1"/>
  <c r="H90" i="1"/>
  <c r="H89" i="1"/>
  <c r="H88" i="1"/>
  <c r="H87" i="1"/>
  <c r="H86" i="1"/>
  <c r="H85" i="1"/>
  <c r="H84" i="1"/>
  <c r="H83" i="1"/>
  <c r="H82" i="1"/>
  <c r="H81" i="1"/>
  <c r="H80" i="1"/>
  <c r="H79" i="1"/>
  <c r="H78" i="1"/>
  <c r="H77" i="1"/>
  <c r="H76" i="1"/>
  <c r="H75" i="1"/>
  <c r="H74" i="1"/>
  <c r="H71" i="1"/>
  <c r="H70" i="1"/>
  <c r="H69" i="1"/>
  <c r="H68" i="1"/>
  <c r="H67" i="1"/>
  <c r="H66" i="1"/>
  <c r="H65" i="1"/>
  <c r="H64" i="1"/>
  <c r="H63" i="1"/>
  <c r="H62" i="1"/>
  <c r="H61" i="1"/>
  <c r="H60" i="1"/>
  <c r="H59" i="1"/>
  <c r="H58" i="1"/>
  <c r="H57" i="1"/>
  <c r="H56" i="1"/>
  <c r="H55" i="1"/>
  <c r="H54" i="1"/>
  <c r="H53" i="1"/>
  <c r="H52" i="1"/>
  <c r="H49" i="1"/>
  <c r="H48" i="1"/>
  <c r="H47" i="1"/>
  <c r="H46" i="1"/>
  <c r="H45" i="1"/>
  <c r="H44" i="1"/>
  <c r="H43" i="1"/>
  <c r="H42" i="1"/>
  <c r="H41" i="1"/>
  <c r="H40" i="1"/>
  <c r="H39" i="1"/>
  <c r="H38" i="1"/>
  <c r="H37" i="1"/>
  <c r="H36" i="1"/>
  <c r="H35" i="1"/>
  <c r="H34" i="1"/>
  <c r="H33" i="1"/>
  <c r="H32" i="1"/>
  <c r="H31" i="1"/>
  <c r="H30" i="1"/>
  <c r="H9" i="1"/>
  <c r="H10" i="1"/>
  <c r="H11" i="1"/>
  <c r="H12" i="1"/>
  <c r="H13" i="1"/>
  <c r="H14" i="1"/>
  <c r="H15" i="1"/>
  <c r="H16" i="1"/>
  <c r="H17" i="1"/>
  <c r="H18" i="1"/>
  <c r="H19" i="1"/>
  <c r="H20" i="1"/>
  <c r="H21" i="1"/>
  <c r="H22" i="1"/>
  <c r="H23" i="1"/>
  <c r="H24" i="1"/>
  <c r="H25" i="1"/>
  <c r="H26" i="1"/>
  <c r="H27" i="1"/>
  <c r="H8" i="1"/>
  <c r="F164" i="9"/>
  <c r="G164" i="9"/>
  <c r="F114" i="9"/>
  <c r="G114" i="9"/>
  <c r="H114" i="9"/>
  <c r="G16" i="9"/>
  <c r="F16" i="9"/>
  <c r="C168" i="9"/>
  <c r="C169" i="9"/>
  <c r="L159" i="9"/>
  <c r="K159" i="9"/>
  <c r="J159" i="9"/>
  <c r="I159" i="9"/>
  <c r="H159" i="9"/>
  <c r="G159" i="9"/>
  <c r="F159" i="9"/>
  <c r="E160" i="9"/>
  <c r="E159" i="9"/>
  <c r="C118" i="9"/>
  <c r="C119" i="9"/>
  <c r="C120" i="9"/>
  <c r="L109" i="9"/>
  <c r="K109" i="9"/>
  <c r="J109" i="9"/>
  <c r="I109" i="9"/>
  <c r="H109" i="9"/>
  <c r="G109" i="9"/>
  <c r="F109" i="9"/>
  <c r="E110" i="9"/>
  <c r="E109" i="9"/>
  <c r="L59" i="9"/>
  <c r="K59" i="9"/>
  <c r="J59" i="9"/>
  <c r="I59" i="9"/>
  <c r="H59" i="9"/>
  <c r="G59" i="9"/>
  <c r="F59" i="9"/>
  <c r="E60" i="9"/>
  <c r="E59" i="9"/>
  <c r="L11" i="9"/>
  <c r="K11" i="9"/>
  <c r="J11" i="9"/>
  <c r="I11" i="9"/>
  <c r="H11" i="9"/>
  <c r="G11" i="9"/>
  <c r="F11" i="9"/>
  <c r="E12" i="9"/>
  <c r="E11"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BR109" i="8"/>
  <c r="BR110" i="8"/>
  <c r="BR111" i="8"/>
  <c r="BR112" i="8"/>
  <c r="BR113" i="8"/>
  <c r="BR114" i="8"/>
  <c r="BR115" i="8"/>
  <c r="BR116" i="8"/>
  <c r="BR117" i="8"/>
  <c r="BR118" i="8"/>
  <c r="BR119" i="8"/>
  <c r="BR120" i="8"/>
  <c r="BR121" i="8"/>
  <c r="BR122" i="8"/>
  <c r="BR123" i="8"/>
  <c r="BR124" i="8"/>
  <c r="BR125" i="8"/>
  <c r="BR126" i="8"/>
  <c r="BR127" i="8"/>
  <c r="BR128" i="8"/>
  <c r="BR129" i="8"/>
  <c r="BR130" i="8"/>
  <c r="BR131" i="8"/>
  <c r="BR132" i="8"/>
  <c r="BR133" i="8"/>
  <c r="BR134" i="8"/>
  <c r="BR135" i="8"/>
  <c r="BR136" i="8"/>
  <c r="BR137" i="8"/>
  <c r="BR108" i="8"/>
  <c r="BR78" i="8"/>
  <c r="BR79" i="8"/>
  <c r="BR80" i="8"/>
  <c r="BR81" i="8"/>
  <c r="BR82" i="8"/>
  <c r="BR83" i="8"/>
  <c r="BR84" i="8"/>
  <c r="BR85" i="8"/>
  <c r="BR86" i="8"/>
  <c r="BR87" i="8"/>
  <c r="BR88" i="8"/>
  <c r="BR89" i="8"/>
  <c r="BR90" i="8"/>
  <c r="BR91" i="8"/>
  <c r="BR92" i="8"/>
  <c r="BR93" i="8"/>
  <c r="BR94" i="8"/>
  <c r="BR95" i="8"/>
  <c r="BR96" i="8"/>
  <c r="BR97" i="8"/>
  <c r="BR98" i="8"/>
  <c r="BR99" i="8"/>
  <c r="BR100" i="8"/>
  <c r="BR101" i="8"/>
  <c r="BR102" i="8"/>
  <c r="BR103" i="8"/>
  <c r="BR104" i="8"/>
  <c r="BR105" i="8"/>
  <c r="BR106" i="8"/>
  <c r="BR77" i="8"/>
  <c r="BR47" i="8"/>
  <c r="BR48" i="8"/>
  <c r="BR49" i="8"/>
  <c r="BR50" i="8"/>
  <c r="BR51" i="8"/>
  <c r="BR52" i="8"/>
  <c r="BR53" i="8"/>
  <c r="BR54" i="8"/>
  <c r="BR55" i="8"/>
  <c r="BR56" i="8"/>
  <c r="BR57" i="8"/>
  <c r="BR58" i="8"/>
  <c r="BR59" i="8"/>
  <c r="BR60" i="8"/>
  <c r="BR61" i="8"/>
  <c r="BR62" i="8"/>
  <c r="BR63" i="8"/>
  <c r="BR64" i="8"/>
  <c r="BR65" i="8"/>
  <c r="BR66" i="8"/>
  <c r="BR67" i="8"/>
  <c r="BR68" i="8"/>
  <c r="BR69" i="8"/>
  <c r="BR70" i="8"/>
  <c r="BR71" i="8"/>
  <c r="BR72" i="8"/>
  <c r="BR73" i="8"/>
  <c r="BR74" i="8"/>
  <c r="BR75" i="8"/>
  <c r="BR46" i="8"/>
  <c r="BR16" i="8"/>
  <c r="BR17" i="8"/>
  <c r="BR18" i="8"/>
  <c r="BR19" i="8"/>
  <c r="BR20" i="8"/>
  <c r="BR21" i="8"/>
  <c r="BR22" i="8"/>
  <c r="BR23" i="8"/>
  <c r="BR24" i="8"/>
  <c r="BR25" i="8"/>
  <c r="BR26" i="8"/>
  <c r="BR27" i="8"/>
  <c r="BR28" i="8"/>
  <c r="BR29" i="8"/>
  <c r="BR30" i="8"/>
  <c r="BR31" i="8"/>
  <c r="BR32" i="8"/>
  <c r="BR33" i="8"/>
  <c r="BR34" i="8"/>
  <c r="BR35" i="8"/>
  <c r="BR36" i="8"/>
  <c r="BR37" i="8"/>
  <c r="BR38" i="8"/>
  <c r="BR39" i="8"/>
  <c r="BR40" i="8"/>
  <c r="BR41" i="8"/>
  <c r="BR42" i="8"/>
  <c r="BR43" i="8"/>
  <c r="BR44" i="8"/>
  <c r="BR15" i="8"/>
  <c r="P8" i="8"/>
  <c r="Q8" i="8"/>
  <c r="R8" i="8"/>
  <c r="S8" i="8"/>
  <c r="T8" i="8"/>
  <c r="U8" i="8"/>
  <c r="V8" i="8"/>
  <c r="W8" i="8"/>
  <c r="X8" i="8"/>
  <c r="Y8" i="8"/>
  <c r="Z8" i="8"/>
  <c r="AA8" i="8"/>
  <c r="AB8" i="8"/>
  <c r="AC8" i="8"/>
  <c r="AD8" i="8"/>
  <c r="AE8" i="8"/>
  <c r="AF8" i="8"/>
  <c r="AG8" i="8"/>
  <c r="AH8" i="8"/>
  <c r="AI8" i="8"/>
  <c r="AJ8" i="8"/>
  <c r="AK8" i="8"/>
  <c r="AL8" i="8"/>
  <c r="AM8" i="8"/>
  <c r="AN8" i="8"/>
  <c r="AO8" i="8"/>
  <c r="AP8" i="8"/>
  <c r="AQ8" i="8"/>
  <c r="AR8" i="8"/>
  <c r="O8" i="8"/>
  <c r="N84" i="3" l="1"/>
  <c r="M84" i="3"/>
  <c r="L84" i="3"/>
  <c r="K84" i="3"/>
  <c r="J84" i="3"/>
  <c r="I84" i="3"/>
  <c r="H84" i="3"/>
  <c r="G85" i="3"/>
  <c r="G84" i="3"/>
  <c r="G50" i="3"/>
  <c r="N50" i="3"/>
  <c r="M50" i="3"/>
  <c r="L50" i="3"/>
  <c r="K50" i="3"/>
  <c r="J50" i="3"/>
  <c r="I50" i="3"/>
  <c r="H50" i="3"/>
  <c r="G51" i="3"/>
  <c r="G6" i="3"/>
  <c r="N11" i="3"/>
  <c r="M11" i="3"/>
  <c r="L11" i="3"/>
  <c r="K11" i="3"/>
  <c r="J11" i="3"/>
  <c r="I11" i="3"/>
  <c r="H11" i="3"/>
  <c r="G12" i="3"/>
  <c r="G11" i="3"/>
  <c r="N6" i="3"/>
  <c r="M6" i="3"/>
  <c r="L6" i="3"/>
  <c r="K6" i="3"/>
  <c r="J6" i="3"/>
  <c r="I6" i="3"/>
  <c r="H6" i="3"/>
  <c r="G7" i="3"/>
  <c r="D6" i="5"/>
  <c r="E6" i="5"/>
  <c r="F6" i="5"/>
  <c r="G6" i="5"/>
  <c r="H6" i="5"/>
  <c r="I6" i="5"/>
  <c r="J6" i="5"/>
  <c r="C7" i="5"/>
  <c r="C23" i="5" s="1"/>
  <c r="C6" i="5"/>
  <c r="C94" i="6"/>
  <c r="J93" i="6"/>
  <c r="I93" i="6"/>
  <c r="H93" i="6"/>
  <c r="G93" i="6"/>
  <c r="F93" i="6"/>
  <c r="E93" i="6"/>
  <c r="D93" i="6"/>
  <c r="C93" i="6"/>
  <c r="C51" i="6"/>
  <c r="J50" i="6"/>
  <c r="I50" i="6"/>
  <c r="H50" i="6"/>
  <c r="G50" i="6"/>
  <c r="F50" i="6"/>
  <c r="E50" i="6"/>
  <c r="D50" i="6"/>
  <c r="C50" i="6"/>
  <c r="J9" i="6"/>
  <c r="I9" i="6"/>
  <c r="H9" i="6"/>
  <c r="G9" i="6"/>
  <c r="F9" i="6"/>
  <c r="E9" i="6"/>
  <c r="D9" i="6"/>
  <c r="C10" i="6"/>
  <c r="C9" i="6"/>
  <c r="W4" i="1"/>
  <c r="X4" i="1"/>
  <c r="P4" i="1"/>
  <c r="P387" i="1" s="1"/>
  <c r="Q4" i="1"/>
  <c r="Q387" i="1" s="1"/>
  <c r="R4" i="1"/>
  <c r="S4" i="1"/>
  <c r="T4" i="1"/>
  <c r="U4" i="1"/>
  <c r="V4" i="1"/>
  <c r="O4" i="1"/>
  <c r="O389" i="1" s="1"/>
  <c r="J738" i="1"/>
  <c r="J739" i="1"/>
  <c r="J740" i="1"/>
  <c r="J741" i="1"/>
  <c r="J737" i="1"/>
  <c r="J702" i="1"/>
  <c r="J698" i="1"/>
  <c r="J352" i="1"/>
  <c r="J351" i="1"/>
  <c r="J327" i="1"/>
  <c r="J328" i="1"/>
  <c r="J329" i="1"/>
  <c r="J330" i="1"/>
  <c r="J331" i="1"/>
  <c r="J332" i="1"/>
  <c r="J326" i="1"/>
  <c r="J323" i="1"/>
  <c r="J295" i="1"/>
  <c r="J296" i="1"/>
  <c r="J297" i="1"/>
  <c r="J298" i="1"/>
  <c r="J299" i="1"/>
  <c r="J300" i="1"/>
  <c r="J301" i="1"/>
  <c r="J302" i="1"/>
  <c r="J303" i="1"/>
  <c r="J304" i="1"/>
  <c r="J305" i="1"/>
  <c r="J306" i="1"/>
  <c r="J307" i="1"/>
  <c r="J308" i="1"/>
  <c r="J294" i="1"/>
  <c r="O5" i="1"/>
  <c r="AH2" i="1"/>
  <c r="AG179" i="1"/>
  <c r="AG178" i="1"/>
  <c r="AG177" i="1"/>
  <c r="AG176" i="1"/>
  <c r="AG175" i="1"/>
  <c r="AG174" i="1"/>
  <c r="AG173" i="1"/>
  <c r="AG172" i="1"/>
  <c r="AG171" i="1"/>
  <c r="AG170" i="1"/>
  <c r="AG167" i="1"/>
  <c r="AG166" i="1"/>
  <c r="AG165" i="1"/>
  <c r="AG164" i="1"/>
  <c r="AG163" i="1"/>
  <c r="AG162" i="1"/>
  <c r="AG161" i="1"/>
  <c r="AG160" i="1"/>
  <c r="AG159" i="1"/>
  <c r="AG158" i="1"/>
  <c r="AG155" i="1"/>
  <c r="AG154" i="1"/>
  <c r="AG153" i="1"/>
  <c r="AG152" i="1"/>
  <c r="AG151" i="1"/>
  <c r="AG150" i="1"/>
  <c r="AG149" i="1"/>
  <c r="AG148" i="1"/>
  <c r="AG147" i="1"/>
  <c r="AG146" i="1"/>
  <c r="AG137" i="1"/>
  <c r="AG136" i="1"/>
  <c r="AG135" i="1"/>
  <c r="AG134" i="1"/>
  <c r="AG133" i="1"/>
  <c r="AG132" i="1"/>
  <c r="AG131" i="1"/>
  <c r="AG130" i="1"/>
  <c r="AG129" i="1"/>
  <c r="AG128" i="1"/>
  <c r="AG127" i="1"/>
  <c r="AG126" i="1"/>
  <c r="AG125" i="1"/>
  <c r="AG124" i="1"/>
  <c r="AG123" i="1"/>
  <c r="AG122" i="1"/>
  <c r="AG121" i="1"/>
  <c r="AG120" i="1"/>
  <c r="AG119" i="1"/>
  <c r="AG118" i="1"/>
  <c r="AG115" i="1"/>
  <c r="AG114" i="1"/>
  <c r="AG113" i="1"/>
  <c r="AG112" i="1"/>
  <c r="AG111" i="1"/>
  <c r="AG110" i="1"/>
  <c r="AG109" i="1"/>
  <c r="AG108" i="1"/>
  <c r="AG107" i="1"/>
  <c r="AG106" i="1"/>
  <c r="AG105" i="1"/>
  <c r="AG104" i="1"/>
  <c r="AG103" i="1"/>
  <c r="AG102" i="1"/>
  <c r="AG101" i="1"/>
  <c r="AG100" i="1"/>
  <c r="AG99" i="1"/>
  <c r="AG98" i="1"/>
  <c r="AG97" i="1"/>
  <c r="AG96" i="1"/>
  <c r="AG93" i="1"/>
  <c r="AG92" i="1"/>
  <c r="AG91" i="1"/>
  <c r="AG90" i="1"/>
  <c r="AG89" i="1"/>
  <c r="AG88" i="1"/>
  <c r="AG87" i="1"/>
  <c r="AG86" i="1"/>
  <c r="AG85" i="1"/>
  <c r="AG84" i="1"/>
  <c r="AG83" i="1"/>
  <c r="AG82" i="1"/>
  <c r="AG81" i="1"/>
  <c r="AG80" i="1"/>
  <c r="AG79" i="1"/>
  <c r="AG78" i="1"/>
  <c r="AG77" i="1"/>
  <c r="AG76" i="1"/>
  <c r="AG75" i="1"/>
  <c r="AG74" i="1"/>
  <c r="AG71" i="1"/>
  <c r="AG70" i="1"/>
  <c r="AG69" i="1"/>
  <c r="AG68" i="1"/>
  <c r="AG67" i="1"/>
  <c r="AG66" i="1"/>
  <c r="AG65" i="1"/>
  <c r="AG64" i="1"/>
  <c r="AG63" i="1"/>
  <c r="AG62" i="1"/>
  <c r="AG61" i="1"/>
  <c r="AG60" i="1"/>
  <c r="AG59" i="1"/>
  <c r="AG58" i="1"/>
  <c r="AG57" i="1"/>
  <c r="AG56" i="1"/>
  <c r="AG55" i="1"/>
  <c r="AG54" i="1"/>
  <c r="AG53" i="1"/>
  <c r="AG52" i="1"/>
  <c r="AG49" i="1"/>
  <c r="AG48" i="1"/>
  <c r="AG47" i="1"/>
  <c r="AG46" i="1"/>
  <c r="AG45" i="1"/>
  <c r="AG44" i="1"/>
  <c r="AG43" i="1"/>
  <c r="AG42" i="1"/>
  <c r="AG41" i="1"/>
  <c r="AG40" i="1"/>
  <c r="AG39" i="1"/>
  <c r="AG38" i="1"/>
  <c r="AG37" i="1"/>
  <c r="AG36" i="1"/>
  <c r="AG35" i="1"/>
  <c r="AG34" i="1"/>
  <c r="AG33" i="1"/>
  <c r="AG32" i="1"/>
  <c r="AG31" i="1"/>
  <c r="AG30" i="1"/>
  <c r="AG9" i="1"/>
  <c r="AG10" i="1"/>
  <c r="AG11" i="1"/>
  <c r="AG12" i="1"/>
  <c r="AG13" i="1"/>
  <c r="AG14" i="1"/>
  <c r="AG15" i="1"/>
  <c r="AG16" i="1"/>
  <c r="AG17" i="1"/>
  <c r="AG18" i="1"/>
  <c r="AG19" i="1"/>
  <c r="AG20" i="1"/>
  <c r="AG21" i="1"/>
  <c r="AG22" i="1"/>
  <c r="AG23" i="1"/>
  <c r="AG24" i="1"/>
  <c r="AG25" i="1"/>
  <c r="AG26" i="1"/>
  <c r="AG27" i="1"/>
  <c r="AG8" i="1"/>
  <c r="M3" i="10"/>
  <c r="K49" i="3" s="1"/>
  <c r="E110" i="2"/>
  <c r="E109" i="2"/>
  <c r="E108" i="2"/>
  <c r="E107" i="2"/>
  <c r="E106" i="2"/>
  <c r="E105" i="2"/>
  <c r="E104" i="2"/>
  <c r="E103" i="2"/>
  <c r="E102" i="2"/>
  <c r="E101" i="2"/>
  <c r="E98" i="2"/>
  <c r="E97" i="2"/>
  <c r="E96" i="2"/>
  <c r="E95" i="2"/>
  <c r="E94" i="2"/>
  <c r="E93" i="2"/>
  <c r="E92" i="2"/>
  <c r="E91" i="2"/>
  <c r="E90" i="2"/>
  <c r="E89" i="2"/>
  <c r="E88" i="2"/>
  <c r="E87" i="2"/>
  <c r="E86" i="2"/>
  <c r="E85" i="2"/>
  <c r="E84" i="2"/>
  <c r="E83" i="2"/>
  <c r="E82" i="2"/>
  <c r="E81" i="2"/>
  <c r="E80" i="2"/>
  <c r="E79" i="2"/>
  <c r="V797" i="1"/>
  <c r="X815" i="1"/>
  <c r="W815" i="1"/>
  <c r="V815" i="1"/>
  <c r="U815" i="1"/>
  <c r="T815" i="1"/>
  <c r="S815" i="1"/>
  <c r="X806" i="1"/>
  <c r="W806" i="1"/>
  <c r="V806" i="1"/>
  <c r="U806" i="1"/>
  <c r="T806" i="1"/>
  <c r="S806" i="1"/>
  <c r="J815" i="1"/>
  <c r="J811" i="1"/>
  <c r="S813" i="1" s="1"/>
  <c r="J806" i="1"/>
  <c r="J802" i="1"/>
  <c r="S804" i="1" s="1"/>
  <c r="J793" i="1"/>
  <c r="S794" i="1" s="1"/>
  <c r="X797" i="1"/>
  <c r="W797" i="1"/>
  <c r="U797" i="1"/>
  <c r="T797" i="1"/>
  <c r="S797" i="1"/>
  <c r="J797" i="1"/>
  <c r="C64" i="5"/>
  <c r="G14" i="3"/>
  <c r="N49" i="3" l="1"/>
  <c r="H113" i="9"/>
  <c r="F113" i="9"/>
  <c r="G163" i="9"/>
  <c r="F163" i="9"/>
  <c r="G113" i="9"/>
  <c r="K10" i="3"/>
  <c r="G83" i="3"/>
  <c r="L83" i="3"/>
  <c r="L10" i="3"/>
  <c r="L49" i="3"/>
  <c r="M83" i="3"/>
  <c r="G10" i="3"/>
  <c r="M10" i="3"/>
  <c r="G4" i="3"/>
  <c r="M49" i="3"/>
  <c r="N83" i="3"/>
  <c r="N10" i="3"/>
  <c r="H83" i="3"/>
  <c r="H10" i="3"/>
  <c r="H49" i="3"/>
  <c r="I83" i="3"/>
  <c r="I10" i="3"/>
  <c r="I49" i="3"/>
  <c r="J83" i="3"/>
  <c r="J10" i="3"/>
  <c r="J49" i="3"/>
  <c r="G49" i="3"/>
  <c r="K83" i="3"/>
  <c r="O2" i="1"/>
  <c r="P389" i="1"/>
  <c r="P388" i="1"/>
  <c r="Q388" i="1"/>
  <c r="Q389" i="1"/>
  <c r="O388" i="1"/>
  <c r="O387" i="1"/>
  <c r="S812" i="1"/>
  <c r="S817" i="1" s="1"/>
  <c r="S795" i="1"/>
  <c r="T794" i="1" s="1"/>
  <c r="S803" i="1"/>
  <c r="T803" i="1" s="1"/>
  <c r="S799" i="1"/>
  <c r="S820" i="1"/>
  <c r="T816" i="1" l="1"/>
  <c r="T812" i="1"/>
  <c r="T813" i="1" s="1"/>
  <c r="T795" i="1"/>
  <c r="U794" i="1" s="1"/>
  <c r="U799" i="1" s="1"/>
  <c r="T798" i="1"/>
  <c r="T799" i="1"/>
  <c r="T808" i="1"/>
  <c r="T807" i="1"/>
  <c r="S808" i="1"/>
  <c r="T804" i="1"/>
  <c r="U807" i="1" s="1"/>
  <c r="B27" i="4"/>
  <c r="B28" i="4"/>
  <c r="B29" i="4"/>
  <c r="B25" i="4"/>
  <c r="B26" i="4"/>
  <c r="B31" i="4"/>
  <c r="B32" i="4"/>
  <c r="B33" i="4"/>
  <c r="B34" i="4"/>
  <c r="B35" i="4"/>
  <c r="B36" i="4"/>
  <c r="B37" i="4"/>
  <c r="B38" i="4"/>
  <c r="B39" i="4"/>
  <c r="B40" i="4"/>
  <c r="B41" i="4"/>
  <c r="B42" i="4"/>
  <c r="B43" i="4"/>
  <c r="B44" i="4"/>
  <c r="B45" i="4"/>
  <c r="B46" i="4"/>
  <c r="B47" i="4"/>
  <c r="B48" i="4"/>
  <c r="B49" i="4"/>
  <c r="B30" i="4"/>
  <c r="B24" i="4"/>
  <c r="B20" i="4"/>
  <c r="B21" i="4"/>
  <c r="N109" i="3"/>
  <c r="D28" i="4" a="1"/>
  <c r="D34" i="4" a="1"/>
  <c r="I109" i="3"/>
  <c r="D24" i="4" a="1"/>
  <c r="D33" i="4" a="1"/>
  <c r="D25" i="4" a="1"/>
  <c r="L109" i="3"/>
  <c r="M109" i="3"/>
  <c r="J109" i="3"/>
  <c r="K109" i="3"/>
  <c r="D26" i="4" a="1"/>
  <c r="U816" i="1" l="1"/>
  <c r="U812" i="1"/>
  <c r="U817" i="1" s="1"/>
  <c r="T817" i="1"/>
  <c r="U795" i="1"/>
  <c r="V794" i="1" s="1"/>
  <c r="V799" i="1" s="1"/>
  <c r="U798" i="1"/>
  <c r="U803" i="1"/>
  <c r="U804" i="1" s="1"/>
  <c r="V803" i="1" s="1"/>
  <c r="D28" i="4"/>
  <c r="D26" i="4"/>
  <c r="F26" i="4" s="1"/>
  <c r="D25" i="4"/>
  <c r="D24" i="4"/>
  <c r="D34" i="4"/>
  <c r="D33" i="4"/>
  <c r="U813" i="1" l="1"/>
  <c r="V816" i="1" s="1"/>
  <c r="V795" i="1"/>
  <c r="W794" i="1" s="1"/>
  <c r="V798" i="1"/>
  <c r="V807" i="1"/>
  <c r="V808" i="1"/>
  <c r="U808" i="1"/>
  <c r="V804" i="1"/>
  <c r="W803" i="1" s="1"/>
  <c r="F28" i="4"/>
  <c r="H28" i="4"/>
  <c r="F25" i="4"/>
  <c r="H25" i="4"/>
  <c r="H26" i="4"/>
  <c r="H24" i="4"/>
  <c r="F24" i="4"/>
  <c r="F34" i="4"/>
  <c r="H34" i="4"/>
  <c r="F33" i="4"/>
  <c r="H33" i="4"/>
  <c r="W798" i="1" l="1"/>
  <c r="V812" i="1"/>
  <c r="W807" i="1"/>
  <c r="W808" i="1"/>
  <c r="W804" i="1"/>
  <c r="X807" i="1" s="1"/>
  <c r="W795" i="1"/>
  <c r="W799" i="1"/>
  <c r="B107" i="4"/>
  <c r="B108" i="4"/>
  <c r="B105" i="4"/>
  <c r="B106" i="4"/>
  <c r="B102" i="4"/>
  <c r="B103" i="4"/>
  <c r="B101" i="4"/>
  <c r="B104" i="4"/>
  <c r="B109" i="4"/>
  <c r="B110" i="4"/>
  <c r="B111" i="4"/>
  <c r="B98" i="4"/>
  <c r="B99" i="4"/>
  <c r="B100" i="4"/>
  <c r="B112" i="4"/>
  <c r="B80" i="4"/>
  <c r="B81" i="4"/>
  <c r="B95" i="4"/>
  <c r="B96" i="4"/>
  <c r="B97" i="4"/>
  <c r="M79" i="4" a="1"/>
  <c r="M79" i="4" s="1"/>
  <c r="B79" i="4"/>
  <c r="B82" i="4"/>
  <c r="M83" i="4" a="1"/>
  <c r="M83" i="4" s="1"/>
  <c r="B83" i="4"/>
  <c r="B84" i="4"/>
  <c r="M90" i="4" a="1"/>
  <c r="M90" i="4" s="1"/>
  <c r="M86" i="4" a="1"/>
  <c r="M86" i="4" s="1"/>
  <c r="B85" i="4"/>
  <c r="B86" i="4"/>
  <c r="B87" i="4"/>
  <c r="B88" i="4"/>
  <c r="B89" i="4"/>
  <c r="B90" i="4"/>
  <c r="B91" i="4"/>
  <c r="B92" i="4"/>
  <c r="B93" i="4"/>
  <c r="B94" i="4"/>
  <c r="X760" i="1"/>
  <c r="W760" i="1"/>
  <c r="V760" i="1"/>
  <c r="U760" i="1"/>
  <c r="T760" i="1"/>
  <c r="S760" i="1"/>
  <c r="P760" i="1"/>
  <c r="O760" i="1"/>
  <c r="O758" i="1"/>
  <c r="P758" i="1"/>
  <c r="T791" i="1"/>
  <c r="U791" i="1"/>
  <c r="V791" i="1"/>
  <c r="W791" i="1"/>
  <c r="X791" i="1"/>
  <c r="S791" i="1"/>
  <c r="P791" i="1"/>
  <c r="O791" i="1"/>
  <c r="P749" i="1"/>
  <c r="P778" i="1" s="1"/>
  <c r="S749" i="1"/>
  <c r="S778" i="1" s="1"/>
  <c r="P782" i="1"/>
  <c r="O782" i="1"/>
  <c r="O781" i="1"/>
  <c r="O779" i="1"/>
  <c r="O778" i="1"/>
  <c r="N511" i="1"/>
  <c r="D30" i="4" a="1"/>
  <c r="D98" i="4" a="1"/>
  <c r="D23" i="4" a="1"/>
  <c r="F41" i="4" a="1"/>
  <c r="H41" i="4" a="1"/>
  <c r="D105" i="4" a="1"/>
  <c r="H22" i="4" a="1"/>
  <c r="D37" i="4" a="1"/>
  <c r="D95" i="4" a="1"/>
  <c r="D39" i="4" a="1"/>
  <c r="D103" i="4" a="1"/>
  <c r="D99" i="4" a="1"/>
  <c r="G68" i="3"/>
  <c r="D82" i="4" a="1"/>
  <c r="D22" i="4" a="1"/>
  <c r="D96" i="4" a="1"/>
  <c r="D102" i="4" a="1"/>
  <c r="D101" i="4" a="1"/>
  <c r="D107" i="4" a="1"/>
  <c r="D41" i="4" a="1"/>
  <c r="F22" i="4" a="1"/>
  <c r="V817" i="1" l="1"/>
  <c r="V813" i="1"/>
  <c r="X803" i="1"/>
  <c r="X804" i="1" s="1"/>
  <c r="X798" i="1"/>
  <c r="J798" i="1" s="1"/>
  <c r="X794" i="1"/>
  <c r="X795" i="1" s="1"/>
  <c r="O761" i="1"/>
  <c r="D107" i="4"/>
  <c r="D105" i="4"/>
  <c r="D103" i="4"/>
  <c r="D102" i="4"/>
  <c r="D101" i="4"/>
  <c r="H101" i="4" s="1"/>
  <c r="D99" i="4"/>
  <c r="D98" i="4"/>
  <c r="D96" i="4"/>
  <c r="H96" i="4" s="1"/>
  <c r="D95" i="4"/>
  <c r="D82" i="4"/>
  <c r="D23" i="4"/>
  <c r="H23" i="4" s="1"/>
  <c r="H22" i="4"/>
  <c r="F22" i="4"/>
  <c r="D22" i="4"/>
  <c r="D41" i="4"/>
  <c r="H41" i="4"/>
  <c r="F41" i="4"/>
  <c r="D39" i="4"/>
  <c r="D37" i="4"/>
  <c r="D30" i="4"/>
  <c r="P761" i="1"/>
  <c r="Q283" i="1"/>
  <c r="I388" i="1"/>
  <c r="I389" i="1"/>
  <c r="I387" i="1"/>
  <c r="H68" i="3"/>
  <c r="W812" i="1" l="1"/>
  <c r="W816" i="1"/>
  <c r="X808" i="1"/>
  <c r="X799" i="1"/>
  <c r="J799" i="1" s="1"/>
  <c r="F107" i="4"/>
  <c r="H107" i="4"/>
  <c r="F105" i="4"/>
  <c r="H105" i="4"/>
  <c r="F103" i="4"/>
  <c r="H103" i="4"/>
  <c r="F102" i="4"/>
  <c r="H102" i="4"/>
  <c r="F101" i="4"/>
  <c r="F99" i="4"/>
  <c r="H99" i="4"/>
  <c r="F98" i="4"/>
  <c r="H98" i="4"/>
  <c r="F96" i="4"/>
  <c r="F95" i="4"/>
  <c r="H95" i="4"/>
  <c r="F23" i="4"/>
  <c r="F39" i="4"/>
  <c r="H39" i="4"/>
  <c r="F37" i="4"/>
  <c r="H37" i="4"/>
  <c r="F30" i="4"/>
  <c r="H30" i="4"/>
  <c r="Q285" i="1"/>
  <c r="Q284" i="1"/>
  <c r="I68" i="3"/>
  <c r="W817" i="1" l="1"/>
  <c r="W813" i="1"/>
  <c r="X812" i="1" s="1"/>
  <c r="X813" i="1" s="1"/>
  <c r="J68" i="3"/>
  <c r="X817" i="1" l="1"/>
  <c r="X816" i="1"/>
  <c r="K68" i="3"/>
  <c r="J785" i="1" l="1"/>
  <c r="J786" i="1"/>
  <c r="J787" i="1"/>
  <c r="J788" i="1"/>
  <c r="J789" i="1"/>
  <c r="B1" i="1"/>
  <c r="B1" i="7"/>
  <c r="B8" i="7"/>
  <c r="BN87" i="8"/>
  <c r="BO87" i="8"/>
  <c r="BN88" i="8"/>
  <c r="BO88" i="8"/>
  <c r="BN89" i="8"/>
  <c r="BO89" i="8"/>
  <c r="BN90" i="8"/>
  <c r="BO90" i="8"/>
  <c r="BN91" i="8"/>
  <c r="BO91" i="8"/>
  <c r="BN92" i="8"/>
  <c r="BO92" i="8"/>
  <c r="BN93" i="8"/>
  <c r="BO93" i="8"/>
  <c r="BN94" i="8"/>
  <c r="BO94" i="8"/>
  <c r="BN95" i="8"/>
  <c r="BO95" i="8"/>
  <c r="BN96" i="8"/>
  <c r="BO96" i="8"/>
  <c r="BN97" i="8"/>
  <c r="BO97" i="8"/>
  <c r="BN98" i="8"/>
  <c r="BO98" i="8"/>
  <c r="BN99" i="8"/>
  <c r="BO99" i="8"/>
  <c r="BN100" i="8"/>
  <c r="BO100" i="8"/>
  <c r="BN101" i="8"/>
  <c r="BO101" i="8"/>
  <c r="BN102" i="8"/>
  <c r="BO102" i="8"/>
  <c r="BN103" i="8"/>
  <c r="BO103" i="8"/>
  <c r="BN104" i="8"/>
  <c r="BO104" i="8"/>
  <c r="BM104" i="8"/>
  <c r="BM103" i="8"/>
  <c r="BL103" i="8"/>
  <c r="BM102" i="8"/>
  <c r="BL102" i="8"/>
  <c r="BM101" i="8"/>
  <c r="BL101" i="8"/>
  <c r="BM100" i="8"/>
  <c r="BL100" i="8"/>
  <c r="BM99" i="8"/>
  <c r="BL99" i="8"/>
  <c r="BM98" i="8"/>
  <c r="BL98" i="8"/>
  <c r="BM97" i="8"/>
  <c r="BL97" i="8"/>
  <c r="BK97" i="8"/>
  <c r="BK98" i="8" s="1"/>
  <c r="BK99" i="8" s="1"/>
  <c r="BK100" i="8" s="1"/>
  <c r="BK101" i="8" s="1"/>
  <c r="BK102" i="8" s="1"/>
  <c r="BK103" i="8" s="1"/>
  <c r="BK104" i="8" s="1"/>
  <c r="BM96" i="8"/>
  <c r="BL96" i="8"/>
  <c r="BM95" i="8"/>
  <c r="BM94" i="8"/>
  <c r="BL94" i="8"/>
  <c r="BM93" i="8"/>
  <c r="BL93" i="8"/>
  <c r="BM92" i="8"/>
  <c r="BL92" i="8"/>
  <c r="BM91" i="8"/>
  <c r="BL91" i="8"/>
  <c r="BM90" i="8"/>
  <c r="BL90" i="8"/>
  <c r="BM89" i="8"/>
  <c r="BL89" i="8"/>
  <c r="BM88" i="8"/>
  <c r="BL88" i="8"/>
  <c r="BK88" i="8"/>
  <c r="BK89" i="8" s="1"/>
  <c r="BK90" i="8" s="1"/>
  <c r="BK91" i="8" s="1"/>
  <c r="BK92" i="8" s="1"/>
  <c r="BK93" i="8" s="1"/>
  <c r="BK94" i="8" s="1"/>
  <c r="BK95" i="8" s="1"/>
  <c r="BM87" i="8"/>
  <c r="BL87" i="8"/>
  <c r="BG87" i="8"/>
  <c r="BH87" i="8"/>
  <c r="BG88" i="8"/>
  <c r="BH88" i="8"/>
  <c r="BG89" i="8"/>
  <c r="BH89" i="8"/>
  <c r="BG90" i="8"/>
  <c r="BH90" i="8"/>
  <c r="BG91" i="8"/>
  <c r="BH91" i="8"/>
  <c r="BG92" i="8"/>
  <c r="BH92" i="8"/>
  <c r="BG93" i="8"/>
  <c r="BH93" i="8"/>
  <c r="BG94" i="8"/>
  <c r="BH94" i="8"/>
  <c r="BG95" i="8"/>
  <c r="BH95" i="8"/>
  <c r="BG96" i="8"/>
  <c r="BH96" i="8"/>
  <c r="BG97" i="8"/>
  <c r="BH97" i="8"/>
  <c r="BG98" i="8"/>
  <c r="BH98" i="8"/>
  <c r="BG99" i="8"/>
  <c r="BH99" i="8"/>
  <c r="BG100" i="8"/>
  <c r="BH100" i="8"/>
  <c r="BG101" i="8"/>
  <c r="BH101" i="8"/>
  <c r="BG102" i="8"/>
  <c r="BH102" i="8"/>
  <c r="BG103" i="8"/>
  <c r="BH103" i="8"/>
  <c r="BG104" i="8"/>
  <c r="BH104" i="8"/>
  <c r="BF104" i="8"/>
  <c r="BF103" i="8"/>
  <c r="BE103" i="8"/>
  <c r="BF102" i="8"/>
  <c r="BE102" i="8"/>
  <c r="BF101" i="8"/>
  <c r="BE101" i="8"/>
  <c r="BF100" i="8"/>
  <c r="BE100" i="8"/>
  <c r="BF99" i="8"/>
  <c r="BE99" i="8"/>
  <c r="BF98" i="8"/>
  <c r="BE98" i="8"/>
  <c r="BF97" i="8"/>
  <c r="BE97" i="8"/>
  <c r="BD97" i="8"/>
  <c r="BD98" i="8" s="1"/>
  <c r="BD99" i="8" s="1"/>
  <c r="BD100" i="8" s="1"/>
  <c r="BD101" i="8" s="1"/>
  <c r="BD102" i="8" s="1"/>
  <c r="BD103" i="8" s="1"/>
  <c r="BD104" i="8" s="1"/>
  <c r="BF96" i="8"/>
  <c r="BE96" i="8"/>
  <c r="BF95" i="8"/>
  <c r="BF94" i="8"/>
  <c r="BE94" i="8"/>
  <c r="BF93" i="8"/>
  <c r="BE93" i="8"/>
  <c r="BF92" i="8"/>
  <c r="BE92" i="8"/>
  <c r="BF91" i="8"/>
  <c r="BE91" i="8"/>
  <c r="BF90" i="8"/>
  <c r="BE90" i="8"/>
  <c r="BF89" i="8"/>
  <c r="BE89" i="8"/>
  <c r="BF88" i="8"/>
  <c r="BE88" i="8"/>
  <c r="BD88" i="8"/>
  <c r="BD89" i="8" s="1"/>
  <c r="BD90" i="8" s="1"/>
  <c r="BD91" i="8" s="1"/>
  <c r="BD92" i="8" s="1"/>
  <c r="BD93" i="8" s="1"/>
  <c r="BD94" i="8" s="1"/>
  <c r="BD95" i="8" s="1"/>
  <c r="BF87" i="8"/>
  <c r="BE87" i="8"/>
  <c r="AY87" i="8"/>
  <c r="AZ87" i="8"/>
  <c r="BA87" i="8"/>
  <c r="AY88" i="8"/>
  <c r="AZ88" i="8"/>
  <c r="BA88" i="8"/>
  <c r="AY89" i="8"/>
  <c r="AZ89" i="8"/>
  <c r="BA89" i="8"/>
  <c r="AY90" i="8"/>
  <c r="AZ90" i="8"/>
  <c r="BA90" i="8"/>
  <c r="AY91" i="8"/>
  <c r="AZ91" i="8"/>
  <c r="BA91" i="8"/>
  <c r="AY92" i="8"/>
  <c r="AZ92" i="8"/>
  <c r="BA92" i="8"/>
  <c r="AY93" i="8"/>
  <c r="AZ93" i="8"/>
  <c r="BA93" i="8"/>
  <c r="AY94" i="8"/>
  <c r="AZ94" i="8"/>
  <c r="BA94" i="8"/>
  <c r="AY95" i="8"/>
  <c r="AZ95" i="8"/>
  <c r="BA95" i="8"/>
  <c r="AY96" i="8"/>
  <c r="AZ96" i="8"/>
  <c r="BA96" i="8"/>
  <c r="AY97" i="8"/>
  <c r="AZ97" i="8"/>
  <c r="BA97" i="8"/>
  <c r="AY98" i="8"/>
  <c r="AZ98" i="8"/>
  <c r="BA98" i="8"/>
  <c r="AY99" i="8"/>
  <c r="AZ99" i="8"/>
  <c r="BA99" i="8"/>
  <c r="AY100" i="8"/>
  <c r="AZ100" i="8"/>
  <c r="BA100" i="8"/>
  <c r="AY101" i="8"/>
  <c r="AZ101" i="8"/>
  <c r="BA101" i="8"/>
  <c r="AY102" i="8"/>
  <c r="AZ102" i="8"/>
  <c r="BA102" i="8"/>
  <c r="AY103" i="8"/>
  <c r="AZ103" i="8"/>
  <c r="BA103" i="8"/>
  <c r="AY104" i="8"/>
  <c r="AZ104" i="8"/>
  <c r="BA104" i="8"/>
  <c r="AX104" i="8"/>
  <c r="AX103" i="8"/>
  <c r="AW103" i="8"/>
  <c r="AX102" i="8"/>
  <c r="AW102" i="8"/>
  <c r="AX101" i="8"/>
  <c r="AW101" i="8"/>
  <c r="AX100" i="8"/>
  <c r="AW100" i="8"/>
  <c r="AX99" i="8"/>
  <c r="AW99" i="8"/>
  <c r="AX98" i="8"/>
  <c r="AW98" i="8"/>
  <c r="AX97" i="8"/>
  <c r="AW97" i="8"/>
  <c r="AV97" i="8"/>
  <c r="AV98" i="8" s="1"/>
  <c r="AV99" i="8" s="1"/>
  <c r="AV100" i="8" s="1"/>
  <c r="AV101" i="8" s="1"/>
  <c r="AV102" i="8" s="1"/>
  <c r="AV103" i="8" s="1"/>
  <c r="AV104" i="8" s="1"/>
  <c r="AX96" i="8"/>
  <c r="AW96" i="8"/>
  <c r="AX95" i="8"/>
  <c r="AX94" i="8"/>
  <c r="AW94" i="8"/>
  <c r="AX93" i="8"/>
  <c r="AW93" i="8"/>
  <c r="AX92" i="8"/>
  <c r="AW92" i="8"/>
  <c r="AX91" i="8"/>
  <c r="AW91" i="8"/>
  <c r="AX90" i="8"/>
  <c r="AW90" i="8"/>
  <c r="AX89" i="8"/>
  <c r="AW89" i="8"/>
  <c r="AX88" i="8"/>
  <c r="AW88" i="8"/>
  <c r="AV88" i="8"/>
  <c r="AV89" i="8" s="1"/>
  <c r="AV90" i="8" s="1"/>
  <c r="AV91" i="8" s="1"/>
  <c r="AV92" i="8" s="1"/>
  <c r="AV93" i="8" s="1"/>
  <c r="AV94" i="8" s="1"/>
  <c r="AV95" i="8" s="1"/>
  <c r="AX87" i="8"/>
  <c r="AW87" i="8"/>
  <c r="P87" i="8"/>
  <c r="Q87" i="8"/>
  <c r="R87" i="8"/>
  <c r="S87" i="8"/>
  <c r="T87" i="8"/>
  <c r="U87" i="8"/>
  <c r="V87" i="8"/>
  <c r="W87" i="8"/>
  <c r="X87" i="8"/>
  <c r="Y87" i="8"/>
  <c r="Z87" i="8"/>
  <c r="AA87" i="8"/>
  <c r="AB87" i="8"/>
  <c r="AC87" i="8"/>
  <c r="AD87" i="8"/>
  <c r="AE87" i="8"/>
  <c r="AF87" i="8"/>
  <c r="AG87" i="8"/>
  <c r="AH87" i="8"/>
  <c r="AI87" i="8"/>
  <c r="AJ87" i="8"/>
  <c r="AK87" i="8"/>
  <c r="AL87" i="8"/>
  <c r="AM87" i="8"/>
  <c r="AN87" i="8"/>
  <c r="AO87" i="8"/>
  <c r="AP87" i="8"/>
  <c r="AQ87" i="8"/>
  <c r="AR87" i="8"/>
  <c r="P88" i="8"/>
  <c r="Q88" i="8"/>
  <c r="R88" i="8"/>
  <c r="S88" i="8"/>
  <c r="T88" i="8"/>
  <c r="U88" i="8"/>
  <c r="V88" i="8"/>
  <c r="W88" i="8"/>
  <c r="X88" i="8"/>
  <c r="Y88" i="8"/>
  <c r="Z88" i="8"/>
  <c r="AA88" i="8"/>
  <c r="AB88" i="8"/>
  <c r="AC88" i="8"/>
  <c r="AD88" i="8"/>
  <c r="AE88" i="8"/>
  <c r="AF88" i="8"/>
  <c r="AG88" i="8"/>
  <c r="AH88" i="8"/>
  <c r="AI88" i="8"/>
  <c r="AJ88" i="8"/>
  <c r="AK88" i="8"/>
  <c r="AL88" i="8"/>
  <c r="AM88" i="8"/>
  <c r="AN88" i="8"/>
  <c r="AO88" i="8"/>
  <c r="AP88" i="8"/>
  <c r="AQ88" i="8"/>
  <c r="AR88" i="8"/>
  <c r="P89" i="8"/>
  <c r="Q89" i="8"/>
  <c r="R89" i="8"/>
  <c r="S89" i="8"/>
  <c r="T89" i="8"/>
  <c r="U89" i="8"/>
  <c r="V89" i="8"/>
  <c r="W89" i="8"/>
  <c r="X89" i="8"/>
  <c r="Y89" i="8"/>
  <c r="Z89" i="8"/>
  <c r="AA89" i="8"/>
  <c r="AB89" i="8"/>
  <c r="AC89" i="8"/>
  <c r="AD89" i="8"/>
  <c r="AE89" i="8"/>
  <c r="AF89" i="8"/>
  <c r="AG89" i="8"/>
  <c r="AH89" i="8"/>
  <c r="AI89" i="8"/>
  <c r="AJ89" i="8"/>
  <c r="AK89" i="8"/>
  <c r="AL89" i="8"/>
  <c r="AM89" i="8"/>
  <c r="AN89" i="8"/>
  <c r="AO89" i="8"/>
  <c r="AP89" i="8"/>
  <c r="AQ89" i="8"/>
  <c r="AR89" i="8"/>
  <c r="P90" i="8"/>
  <c r="Q90" i="8"/>
  <c r="R90" i="8"/>
  <c r="S90" i="8"/>
  <c r="T90" i="8"/>
  <c r="U90" i="8"/>
  <c r="V90" i="8"/>
  <c r="W90" i="8"/>
  <c r="X90" i="8"/>
  <c r="Y90" i="8"/>
  <c r="Z90" i="8"/>
  <c r="AA90" i="8"/>
  <c r="AB90" i="8"/>
  <c r="AC90" i="8"/>
  <c r="AD90" i="8"/>
  <c r="AE90" i="8"/>
  <c r="AF90" i="8"/>
  <c r="AG90" i="8"/>
  <c r="AH90" i="8"/>
  <c r="AI90" i="8"/>
  <c r="AJ90" i="8"/>
  <c r="AK90" i="8"/>
  <c r="AL90" i="8"/>
  <c r="AM90" i="8"/>
  <c r="AN90" i="8"/>
  <c r="AO90" i="8"/>
  <c r="AP90" i="8"/>
  <c r="AQ90" i="8"/>
  <c r="AR90" i="8"/>
  <c r="P91" i="8"/>
  <c r="Q91" i="8"/>
  <c r="R91" i="8"/>
  <c r="S91" i="8"/>
  <c r="T91" i="8"/>
  <c r="U91" i="8"/>
  <c r="V91" i="8"/>
  <c r="W91" i="8"/>
  <c r="X91" i="8"/>
  <c r="Y91" i="8"/>
  <c r="Z91" i="8"/>
  <c r="AA91" i="8"/>
  <c r="AB91" i="8"/>
  <c r="AC91" i="8"/>
  <c r="AD91" i="8"/>
  <c r="AE91" i="8"/>
  <c r="AF91" i="8"/>
  <c r="AG91" i="8"/>
  <c r="AH91" i="8"/>
  <c r="AI91" i="8"/>
  <c r="AJ91" i="8"/>
  <c r="AK91" i="8"/>
  <c r="AL91" i="8"/>
  <c r="AM91" i="8"/>
  <c r="AN91" i="8"/>
  <c r="AO91" i="8"/>
  <c r="AP91" i="8"/>
  <c r="AQ91" i="8"/>
  <c r="AR91" i="8"/>
  <c r="P92" i="8"/>
  <c r="Q92" i="8"/>
  <c r="R92" i="8"/>
  <c r="S92" i="8"/>
  <c r="T92" i="8"/>
  <c r="U92" i="8"/>
  <c r="V92" i="8"/>
  <c r="W92" i="8"/>
  <c r="X92" i="8"/>
  <c r="Y92" i="8"/>
  <c r="Z92" i="8"/>
  <c r="AA92" i="8"/>
  <c r="AB92" i="8"/>
  <c r="AC92" i="8"/>
  <c r="AD92" i="8"/>
  <c r="AE92" i="8"/>
  <c r="AF92" i="8"/>
  <c r="AG92" i="8"/>
  <c r="AH92" i="8"/>
  <c r="AI92" i="8"/>
  <c r="AJ92" i="8"/>
  <c r="AK92" i="8"/>
  <c r="AL92" i="8"/>
  <c r="AM92" i="8"/>
  <c r="AN92" i="8"/>
  <c r="AO92" i="8"/>
  <c r="AP92" i="8"/>
  <c r="AQ92" i="8"/>
  <c r="AR92" i="8"/>
  <c r="P93" i="8"/>
  <c r="Q93" i="8"/>
  <c r="R93" i="8"/>
  <c r="S93" i="8"/>
  <c r="T93" i="8"/>
  <c r="U93" i="8"/>
  <c r="V93" i="8"/>
  <c r="W93" i="8"/>
  <c r="X93" i="8"/>
  <c r="Y93" i="8"/>
  <c r="Z93" i="8"/>
  <c r="AA93" i="8"/>
  <c r="AB93" i="8"/>
  <c r="AC93" i="8"/>
  <c r="AD93" i="8"/>
  <c r="AE93" i="8"/>
  <c r="AF93" i="8"/>
  <c r="AG93" i="8"/>
  <c r="AH93" i="8"/>
  <c r="AI93" i="8"/>
  <c r="AJ93" i="8"/>
  <c r="AK93" i="8"/>
  <c r="AL93" i="8"/>
  <c r="AM93" i="8"/>
  <c r="AN93" i="8"/>
  <c r="AO93" i="8"/>
  <c r="AP93" i="8"/>
  <c r="AQ93" i="8"/>
  <c r="AR93" i="8"/>
  <c r="P94" i="8"/>
  <c r="Q94" i="8"/>
  <c r="R94" i="8"/>
  <c r="S94" i="8"/>
  <c r="T94" i="8"/>
  <c r="U94" i="8"/>
  <c r="V94" i="8"/>
  <c r="W94" i="8"/>
  <c r="X94" i="8"/>
  <c r="Y94" i="8"/>
  <c r="Z94" i="8"/>
  <c r="AA94" i="8"/>
  <c r="AB94" i="8"/>
  <c r="AC94" i="8"/>
  <c r="AD94" i="8"/>
  <c r="AE94" i="8"/>
  <c r="AF94" i="8"/>
  <c r="AG94" i="8"/>
  <c r="AH94" i="8"/>
  <c r="AI94" i="8"/>
  <c r="AJ94" i="8"/>
  <c r="AK94" i="8"/>
  <c r="AL94" i="8"/>
  <c r="AM94" i="8"/>
  <c r="AN94" i="8"/>
  <c r="AO94" i="8"/>
  <c r="AP94" i="8"/>
  <c r="AQ94" i="8"/>
  <c r="AR94" i="8"/>
  <c r="P95" i="8"/>
  <c r="Q95" i="8"/>
  <c r="R95" i="8"/>
  <c r="S95" i="8"/>
  <c r="T95" i="8"/>
  <c r="U95" i="8"/>
  <c r="V95" i="8"/>
  <c r="W95" i="8"/>
  <c r="X95" i="8"/>
  <c r="Y95" i="8"/>
  <c r="Z95" i="8"/>
  <c r="AA95" i="8"/>
  <c r="AB95" i="8"/>
  <c r="AC95" i="8"/>
  <c r="AD95" i="8"/>
  <c r="AE95" i="8"/>
  <c r="AF95" i="8"/>
  <c r="AG95" i="8"/>
  <c r="AH95" i="8"/>
  <c r="AI95" i="8"/>
  <c r="AJ95" i="8"/>
  <c r="AK95" i="8"/>
  <c r="AL95" i="8"/>
  <c r="AM95" i="8"/>
  <c r="AN95" i="8"/>
  <c r="AO95" i="8"/>
  <c r="AP95" i="8"/>
  <c r="AQ95" i="8"/>
  <c r="AR95" i="8"/>
  <c r="P96" i="8"/>
  <c r="Q96" i="8"/>
  <c r="R96" i="8"/>
  <c r="S96" i="8"/>
  <c r="T96" i="8"/>
  <c r="U96" i="8"/>
  <c r="V96" i="8"/>
  <c r="W96" i="8"/>
  <c r="X96" i="8"/>
  <c r="Y96" i="8"/>
  <c r="Z96" i="8"/>
  <c r="AA96" i="8"/>
  <c r="AB96" i="8"/>
  <c r="AC96" i="8"/>
  <c r="AD96" i="8"/>
  <c r="AE96" i="8"/>
  <c r="AF96" i="8"/>
  <c r="AG96" i="8"/>
  <c r="AH96" i="8"/>
  <c r="AI96" i="8"/>
  <c r="AJ96" i="8"/>
  <c r="AK96" i="8"/>
  <c r="AL96" i="8"/>
  <c r="AM96" i="8"/>
  <c r="AN96" i="8"/>
  <c r="AO96" i="8"/>
  <c r="AP96" i="8"/>
  <c r="AQ96" i="8"/>
  <c r="AR96" i="8"/>
  <c r="P97" i="8"/>
  <c r="Q97" i="8"/>
  <c r="R97" i="8"/>
  <c r="S97" i="8"/>
  <c r="T97" i="8"/>
  <c r="U97" i="8"/>
  <c r="V97" i="8"/>
  <c r="W97" i="8"/>
  <c r="X97" i="8"/>
  <c r="Y97" i="8"/>
  <c r="Z97" i="8"/>
  <c r="AA97" i="8"/>
  <c r="AB97" i="8"/>
  <c r="AC97" i="8"/>
  <c r="AD97" i="8"/>
  <c r="AE97" i="8"/>
  <c r="AF97" i="8"/>
  <c r="AG97" i="8"/>
  <c r="AH97" i="8"/>
  <c r="AI97" i="8"/>
  <c r="AJ97" i="8"/>
  <c r="AK97" i="8"/>
  <c r="AL97" i="8"/>
  <c r="AM97" i="8"/>
  <c r="AN97" i="8"/>
  <c r="AO97" i="8"/>
  <c r="AP97" i="8"/>
  <c r="AQ97" i="8"/>
  <c r="AR97" i="8"/>
  <c r="P98" i="8"/>
  <c r="Q98" i="8"/>
  <c r="R98" i="8"/>
  <c r="S98" i="8"/>
  <c r="T98" i="8"/>
  <c r="U98" i="8"/>
  <c r="V98" i="8"/>
  <c r="W98" i="8"/>
  <c r="X98" i="8"/>
  <c r="Y98" i="8"/>
  <c r="Z98" i="8"/>
  <c r="AA98" i="8"/>
  <c r="AB98" i="8"/>
  <c r="AC98" i="8"/>
  <c r="AD98" i="8"/>
  <c r="AE98" i="8"/>
  <c r="AF98" i="8"/>
  <c r="AG98" i="8"/>
  <c r="AH98" i="8"/>
  <c r="AI98" i="8"/>
  <c r="AJ98" i="8"/>
  <c r="AK98" i="8"/>
  <c r="AL98" i="8"/>
  <c r="AM98" i="8"/>
  <c r="AN98" i="8"/>
  <c r="AO98" i="8"/>
  <c r="AP98" i="8"/>
  <c r="AQ98" i="8"/>
  <c r="AR98" i="8"/>
  <c r="P99" i="8"/>
  <c r="Q99" i="8"/>
  <c r="R99" i="8"/>
  <c r="S99" i="8"/>
  <c r="T99" i="8"/>
  <c r="U99" i="8"/>
  <c r="V99" i="8"/>
  <c r="W99" i="8"/>
  <c r="X99" i="8"/>
  <c r="Y99" i="8"/>
  <c r="Z99" i="8"/>
  <c r="AA99" i="8"/>
  <c r="AB99" i="8"/>
  <c r="AC99" i="8"/>
  <c r="AD99" i="8"/>
  <c r="AE99" i="8"/>
  <c r="AF99" i="8"/>
  <c r="AG99" i="8"/>
  <c r="AH99" i="8"/>
  <c r="AI99" i="8"/>
  <c r="AJ99" i="8"/>
  <c r="AK99" i="8"/>
  <c r="AL99" i="8"/>
  <c r="AM99" i="8"/>
  <c r="AN99" i="8"/>
  <c r="AO99" i="8"/>
  <c r="AP99" i="8"/>
  <c r="AQ99" i="8"/>
  <c r="AR99" i="8"/>
  <c r="P100" i="8"/>
  <c r="Q100" i="8"/>
  <c r="R100" i="8"/>
  <c r="S100" i="8"/>
  <c r="T100" i="8"/>
  <c r="U100" i="8"/>
  <c r="V100" i="8"/>
  <c r="W100" i="8"/>
  <c r="X100" i="8"/>
  <c r="Y100" i="8"/>
  <c r="Z100" i="8"/>
  <c r="AA100" i="8"/>
  <c r="AB100" i="8"/>
  <c r="AC100" i="8"/>
  <c r="AD100" i="8"/>
  <c r="AE100" i="8"/>
  <c r="AF100" i="8"/>
  <c r="AG100" i="8"/>
  <c r="AH100" i="8"/>
  <c r="AI100" i="8"/>
  <c r="AJ100" i="8"/>
  <c r="AK100" i="8"/>
  <c r="AL100" i="8"/>
  <c r="AM100" i="8"/>
  <c r="AN100" i="8"/>
  <c r="AO100" i="8"/>
  <c r="AP100" i="8"/>
  <c r="AQ100" i="8"/>
  <c r="AR100" i="8"/>
  <c r="P101" i="8"/>
  <c r="Q101" i="8"/>
  <c r="R101" i="8"/>
  <c r="S101" i="8"/>
  <c r="T101" i="8"/>
  <c r="U101" i="8"/>
  <c r="V101" i="8"/>
  <c r="W101" i="8"/>
  <c r="X101" i="8"/>
  <c r="Y101" i="8"/>
  <c r="Z101" i="8"/>
  <c r="AA101" i="8"/>
  <c r="AB101" i="8"/>
  <c r="AC101" i="8"/>
  <c r="AD101" i="8"/>
  <c r="AE101" i="8"/>
  <c r="AF101" i="8"/>
  <c r="AG101" i="8"/>
  <c r="AH101" i="8"/>
  <c r="AI101" i="8"/>
  <c r="AJ101" i="8"/>
  <c r="AK101" i="8"/>
  <c r="AL101" i="8"/>
  <c r="AM101" i="8"/>
  <c r="AN101" i="8"/>
  <c r="AO101" i="8"/>
  <c r="AP101" i="8"/>
  <c r="AQ101" i="8"/>
  <c r="AR101" i="8"/>
  <c r="P102" i="8"/>
  <c r="Q102" i="8"/>
  <c r="R102" i="8"/>
  <c r="S102" i="8"/>
  <c r="T102" i="8"/>
  <c r="U102" i="8"/>
  <c r="V102" i="8"/>
  <c r="W102" i="8"/>
  <c r="X102" i="8"/>
  <c r="Y102" i="8"/>
  <c r="Z102" i="8"/>
  <c r="AA102" i="8"/>
  <c r="AB102" i="8"/>
  <c r="AC102" i="8"/>
  <c r="AD102" i="8"/>
  <c r="AE102" i="8"/>
  <c r="AF102" i="8"/>
  <c r="AG102" i="8"/>
  <c r="AH102" i="8"/>
  <c r="AI102" i="8"/>
  <c r="AJ102" i="8"/>
  <c r="AK102" i="8"/>
  <c r="AL102" i="8"/>
  <c r="AM102" i="8"/>
  <c r="AN102" i="8"/>
  <c r="AO102" i="8"/>
  <c r="AP102" i="8"/>
  <c r="AQ102" i="8"/>
  <c r="AR102" i="8"/>
  <c r="P103" i="8"/>
  <c r="Q103" i="8"/>
  <c r="R103" i="8"/>
  <c r="S103" i="8"/>
  <c r="T103" i="8"/>
  <c r="U103" i="8"/>
  <c r="V103" i="8"/>
  <c r="W103" i="8"/>
  <c r="X103" i="8"/>
  <c r="Y103" i="8"/>
  <c r="Z103" i="8"/>
  <c r="AA103" i="8"/>
  <c r="AB103" i="8"/>
  <c r="AC103" i="8"/>
  <c r="AD103" i="8"/>
  <c r="AE103" i="8"/>
  <c r="AF103" i="8"/>
  <c r="AG103" i="8"/>
  <c r="AH103" i="8"/>
  <c r="AI103" i="8"/>
  <c r="AJ103" i="8"/>
  <c r="AK103" i="8"/>
  <c r="AL103" i="8"/>
  <c r="AM103" i="8"/>
  <c r="AN103" i="8"/>
  <c r="AO103" i="8"/>
  <c r="AP103" i="8"/>
  <c r="AQ103" i="8"/>
  <c r="AR103" i="8"/>
  <c r="P104" i="8"/>
  <c r="Q104" i="8"/>
  <c r="R104" i="8"/>
  <c r="S104" i="8"/>
  <c r="T104" i="8"/>
  <c r="U104" i="8"/>
  <c r="V104" i="8"/>
  <c r="W104" i="8"/>
  <c r="X104" i="8"/>
  <c r="Y104" i="8"/>
  <c r="Z104" i="8"/>
  <c r="AA104" i="8"/>
  <c r="AB104" i="8"/>
  <c r="AC104" i="8"/>
  <c r="AD104" i="8"/>
  <c r="AE104" i="8"/>
  <c r="AF104" i="8"/>
  <c r="AG104" i="8"/>
  <c r="AH104" i="8"/>
  <c r="AI104" i="8"/>
  <c r="AJ104" i="8"/>
  <c r="AK104" i="8"/>
  <c r="AL104" i="8"/>
  <c r="AM104" i="8"/>
  <c r="AN104" i="8"/>
  <c r="AO104" i="8"/>
  <c r="AP104" i="8"/>
  <c r="AQ104" i="8"/>
  <c r="AR104" i="8"/>
  <c r="O104" i="8"/>
  <c r="O103" i="8"/>
  <c r="N103" i="8"/>
  <c r="O102" i="8"/>
  <c r="N102" i="8"/>
  <c r="O101" i="8"/>
  <c r="N101" i="8"/>
  <c r="O100" i="8"/>
  <c r="N100" i="8"/>
  <c r="O99" i="8"/>
  <c r="N99" i="8"/>
  <c r="O98" i="8"/>
  <c r="N98" i="8"/>
  <c r="O97" i="8"/>
  <c r="N97" i="8"/>
  <c r="M97" i="8"/>
  <c r="M98" i="8" s="1"/>
  <c r="M99" i="8" s="1"/>
  <c r="M100" i="8" s="1"/>
  <c r="M101" i="8" s="1"/>
  <c r="M102" i="8" s="1"/>
  <c r="M103" i="8" s="1"/>
  <c r="M104" i="8" s="1"/>
  <c r="O96" i="8"/>
  <c r="N96" i="8"/>
  <c r="O95" i="8"/>
  <c r="O94" i="8"/>
  <c r="N94" i="8"/>
  <c r="O93" i="8"/>
  <c r="N93" i="8"/>
  <c r="O92" i="8"/>
  <c r="N92" i="8"/>
  <c r="O91" i="8"/>
  <c r="N91" i="8"/>
  <c r="O90" i="8"/>
  <c r="N90" i="8"/>
  <c r="O89" i="8"/>
  <c r="N89" i="8"/>
  <c r="O88" i="8"/>
  <c r="N88" i="8"/>
  <c r="M88" i="8"/>
  <c r="M89" i="8" s="1"/>
  <c r="M90" i="8" s="1"/>
  <c r="M91" i="8" s="1"/>
  <c r="M92" i="8" s="1"/>
  <c r="M93" i="8" s="1"/>
  <c r="M94" i="8" s="1"/>
  <c r="M95" i="8" s="1"/>
  <c r="O87" i="8"/>
  <c r="N87" i="8"/>
  <c r="J104" i="8"/>
  <c r="I104" i="8"/>
  <c r="H104" i="8"/>
  <c r="G104" i="8"/>
  <c r="F104" i="8"/>
  <c r="J103" i="8"/>
  <c r="I103" i="8"/>
  <c r="H103" i="8"/>
  <c r="G103" i="8"/>
  <c r="F103" i="8"/>
  <c r="J102" i="8"/>
  <c r="I102" i="8"/>
  <c r="H102" i="8"/>
  <c r="G102" i="8"/>
  <c r="F102" i="8"/>
  <c r="J101" i="8"/>
  <c r="I101" i="8"/>
  <c r="H101" i="8"/>
  <c r="G101" i="8"/>
  <c r="F101" i="8"/>
  <c r="J100" i="8"/>
  <c r="I100" i="8"/>
  <c r="H100" i="8"/>
  <c r="G100" i="8"/>
  <c r="F100" i="8"/>
  <c r="J99" i="8"/>
  <c r="I99" i="8"/>
  <c r="H99" i="8"/>
  <c r="G99" i="8"/>
  <c r="F99" i="8"/>
  <c r="J98" i="8"/>
  <c r="I98" i="8"/>
  <c r="H98" i="8"/>
  <c r="G98" i="8"/>
  <c r="F98" i="8"/>
  <c r="J97" i="8"/>
  <c r="I97" i="8"/>
  <c r="H97" i="8"/>
  <c r="G97" i="8"/>
  <c r="F97" i="8"/>
  <c r="G96" i="8"/>
  <c r="H96" i="8"/>
  <c r="I96" i="8"/>
  <c r="J96" i="8"/>
  <c r="F96" i="8"/>
  <c r="J95" i="8"/>
  <c r="I95" i="8"/>
  <c r="H95" i="8"/>
  <c r="G95" i="8"/>
  <c r="F95" i="8"/>
  <c r="G87" i="8"/>
  <c r="H87" i="8"/>
  <c r="I87" i="8"/>
  <c r="J87" i="8"/>
  <c r="G88" i="8"/>
  <c r="H88" i="8"/>
  <c r="I88" i="8"/>
  <c r="J88" i="8"/>
  <c r="G89" i="8"/>
  <c r="H89" i="8"/>
  <c r="I89" i="8"/>
  <c r="J89" i="8"/>
  <c r="G90" i="8"/>
  <c r="H90" i="8"/>
  <c r="I90" i="8"/>
  <c r="J90" i="8"/>
  <c r="G91" i="8"/>
  <c r="H91" i="8"/>
  <c r="I91" i="8"/>
  <c r="J91" i="8"/>
  <c r="G92" i="8"/>
  <c r="H92" i="8"/>
  <c r="I92" i="8"/>
  <c r="J92" i="8"/>
  <c r="G93" i="8"/>
  <c r="H93" i="8"/>
  <c r="I93" i="8"/>
  <c r="J93" i="8"/>
  <c r="G94" i="8"/>
  <c r="H94" i="8"/>
  <c r="I94" i="8"/>
  <c r="J94" i="8"/>
  <c r="F88" i="8"/>
  <c r="F89" i="8"/>
  <c r="F90" i="8"/>
  <c r="F91" i="8"/>
  <c r="F92" i="8"/>
  <c r="F93" i="8"/>
  <c r="F94" i="8"/>
  <c r="F87" i="8"/>
  <c r="E97" i="8"/>
  <c r="E98" i="8"/>
  <c r="E99" i="8"/>
  <c r="E100" i="8"/>
  <c r="E101" i="8"/>
  <c r="E102" i="8"/>
  <c r="E103" i="8"/>
  <c r="E96" i="8"/>
  <c r="E88" i="8"/>
  <c r="E89" i="8"/>
  <c r="E90" i="8"/>
  <c r="E91" i="8"/>
  <c r="E92" i="8"/>
  <c r="E93" i="8"/>
  <c r="E94" i="8"/>
  <c r="E87" i="8"/>
  <c r="D97" i="8"/>
  <c r="D98" i="8" s="1"/>
  <c r="D99" i="8" s="1"/>
  <c r="D100" i="8" s="1"/>
  <c r="D101" i="8" s="1"/>
  <c r="D102" i="8" s="1"/>
  <c r="D103" i="8" s="1"/>
  <c r="D104" i="8" s="1"/>
  <c r="D88" i="8"/>
  <c r="D89" i="8" s="1"/>
  <c r="D90" i="8" s="1"/>
  <c r="D91" i="8" s="1"/>
  <c r="D92" i="8" s="1"/>
  <c r="D93" i="8" s="1"/>
  <c r="D94" i="8" s="1"/>
  <c r="D95" i="8" s="1"/>
  <c r="K67" i="2"/>
  <c r="AQ1227" i="7" s="1"/>
  <c r="K66" i="2"/>
  <c r="AQ1185" i="7" s="1"/>
  <c r="K65" i="2"/>
  <c r="AQ1143" i="7" s="1"/>
  <c r="K64" i="2"/>
  <c r="AQ1101" i="7" s="1"/>
  <c r="K63" i="2"/>
  <c r="AQ1059" i="7" s="1"/>
  <c r="K62" i="2"/>
  <c r="AQ1017" i="7" s="1"/>
  <c r="K61" i="2"/>
  <c r="AQ975" i="7" s="1"/>
  <c r="K60" i="2"/>
  <c r="AQ933" i="7" s="1"/>
  <c r="K59" i="2"/>
  <c r="AQ891" i="7" s="1"/>
  <c r="K58" i="2"/>
  <c r="AQ849" i="7" s="1"/>
  <c r="K37" i="2"/>
  <c r="AQ51" i="7" s="1"/>
  <c r="K38" i="2"/>
  <c r="AQ93" i="7" s="1"/>
  <c r="K39" i="2"/>
  <c r="AQ135" i="7" s="1"/>
  <c r="K40" i="2"/>
  <c r="AQ177" i="7" s="1"/>
  <c r="K41" i="2"/>
  <c r="AQ219" i="7" s="1"/>
  <c r="K42" i="2"/>
  <c r="AQ261" i="7" s="1"/>
  <c r="K43" i="2"/>
  <c r="AQ303" i="7" s="1"/>
  <c r="K44" i="2"/>
  <c r="AQ345" i="7" s="1"/>
  <c r="K45" i="2"/>
  <c r="AQ387" i="7" s="1"/>
  <c r="K46" i="2"/>
  <c r="AQ429" i="7" s="1"/>
  <c r="K47" i="2"/>
  <c r="AQ471" i="7" s="1"/>
  <c r="K48" i="2"/>
  <c r="AQ513" i="7" s="1"/>
  <c r="K49" i="2"/>
  <c r="AQ555" i="7" s="1"/>
  <c r="K50" i="2"/>
  <c r="AQ597" i="7" s="1"/>
  <c r="K51" i="2"/>
  <c r="AQ639" i="7" s="1"/>
  <c r="K52" i="2"/>
  <c r="AQ681" i="7" s="1"/>
  <c r="K53" i="2"/>
  <c r="AQ723" i="7" s="1"/>
  <c r="K54" i="2"/>
  <c r="AQ765" i="7" s="1"/>
  <c r="K55" i="2"/>
  <c r="AQ807" i="7" s="1"/>
  <c r="K36" i="2"/>
  <c r="AQ9" i="7" s="1"/>
  <c r="L68" i="3"/>
  <c r="J791" i="1" l="1"/>
  <c r="C102" i="2"/>
  <c r="C103" i="2"/>
  <c r="C104" i="2"/>
  <c r="C105" i="2"/>
  <c r="C106" i="2"/>
  <c r="C107" i="2"/>
  <c r="C108" i="2"/>
  <c r="C109" i="2"/>
  <c r="C110" i="2"/>
  <c r="C101" i="2"/>
  <c r="C80" i="2"/>
  <c r="C81" i="2"/>
  <c r="C82" i="2"/>
  <c r="C83" i="2"/>
  <c r="C84" i="2"/>
  <c r="C85" i="2"/>
  <c r="C86" i="2"/>
  <c r="C87" i="2"/>
  <c r="C88" i="2"/>
  <c r="C89" i="2"/>
  <c r="C90" i="2"/>
  <c r="C91" i="2"/>
  <c r="C92" i="2"/>
  <c r="C93" i="2"/>
  <c r="C94" i="2"/>
  <c r="C95" i="2"/>
  <c r="C96" i="2"/>
  <c r="C97" i="2"/>
  <c r="C98" i="2"/>
  <c r="C79" i="2"/>
  <c r="O47" i="10"/>
  <c r="O48" i="10"/>
  <c r="O49" i="10"/>
  <c r="O50" i="10"/>
  <c r="O51" i="10"/>
  <c r="O52" i="10"/>
  <c r="O53" i="10"/>
  <c r="O54" i="10"/>
  <c r="O55" i="10"/>
  <c r="O56" i="10"/>
  <c r="O57" i="10"/>
  <c r="O58" i="10"/>
  <c r="O59" i="10"/>
  <c r="N47" i="10"/>
  <c r="N48" i="10"/>
  <c r="N49" i="10"/>
  <c r="N50" i="10"/>
  <c r="N51" i="10"/>
  <c r="N52" i="10"/>
  <c r="N53" i="10"/>
  <c r="N54" i="10"/>
  <c r="N55" i="10"/>
  <c r="N56" i="10"/>
  <c r="N57" i="10"/>
  <c r="N58" i="10"/>
  <c r="N59" i="10"/>
  <c r="O31" i="10"/>
  <c r="O30" i="10"/>
  <c r="O29" i="10"/>
  <c r="O28" i="10"/>
  <c r="O27" i="10"/>
  <c r="O26" i="10"/>
  <c r="O25" i="10"/>
  <c r="O24" i="10"/>
  <c r="O23" i="10"/>
  <c r="O22" i="10"/>
  <c r="O21" i="10"/>
  <c r="O20" i="10"/>
  <c r="O19" i="10"/>
  <c r="O18" i="10"/>
  <c r="O17" i="10"/>
  <c r="N17" i="10"/>
  <c r="N18" i="10"/>
  <c r="N19" i="10"/>
  <c r="N20" i="10"/>
  <c r="N21" i="10"/>
  <c r="N22" i="10"/>
  <c r="N23" i="10"/>
  <c r="N24" i="10"/>
  <c r="N25" i="10"/>
  <c r="N26" i="10"/>
  <c r="N27" i="10"/>
  <c r="N28" i="10"/>
  <c r="N29" i="10"/>
  <c r="N30" i="10"/>
  <c r="N31" i="10"/>
  <c r="M68" i="3"/>
  <c r="I401" i="1" l="1"/>
  <c r="I393" i="1"/>
  <c r="I234" i="1"/>
  <c r="Y16" i="9"/>
  <c r="I394" i="1"/>
  <c r="I392" i="1"/>
  <c r="I227" i="1"/>
  <c r="J16" i="9"/>
  <c r="R16" i="9"/>
  <c r="Z16" i="9"/>
  <c r="AH16" i="9"/>
  <c r="M16" i="9"/>
  <c r="U16" i="9"/>
  <c r="AC16" i="9"/>
  <c r="I395" i="1"/>
  <c r="I276" i="1"/>
  <c r="I220" i="1"/>
  <c r="K16" i="9"/>
  <c r="S16" i="9"/>
  <c r="AA16" i="9"/>
  <c r="AI16" i="9"/>
  <c r="I396" i="1"/>
  <c r="I269" i="1"/>
  <c r="I213" i="1"/>
  <c r="L16" i="9"/>
  <c r="T16" i="9"/>
  <c r="AB16" i="9"/>
  <c r="AJ16" i="9"/>
  <c r="I262" i="1"/>
  <c r="I397" i="1"/>
  <c r="I398" i="1"/>
  <c r="I255" i="1"/>
  <c r="N16" i="9"/>
  <c r="V16" i="9"/>
  <c r="AD16" i="9"/>
  <c r="I16" i="9"/>
  <c r="Q16" i="9"/>
  <c r="AG16" i="9"/>
  <c r="I399" i="1"/>
  <c r="I248" i="1"/>
  <c r="O16" i="9"/>
  <c r="W16" i="9"/>
  <c r="AE16" i="9"/>
  <c r="AF16" i="9"/>
  <c r="I400" i="1"/>
  <c r="I241" i="1"/>
  <c r="H16" i="9"/>
  <c r="P16" i="9"/>
  <c r="X16" i="9"/>
  <c r="B148" i="5"/>
  <c r="B49" i="3"/>
  <c r="B147" i="5"/>
  <c r="D4" i="3"/>
  <c r="B136" i="5"/>
  <c r="B10" i="3"/>
  <c r="E10" i="3"/>
  <c r="D52" i="3"/>
  <c r="B151" i="5"/>
  <c r="B150" i="5"/>
  <c r="B149" i="5"/>
  <c r="K61" i="5"/>
  <c r="B4" i="5"/>
  <c r="J61" i="5"/>
  <c r="E61" i="5"/>
  <c r="I61" i="5"/>
  <c r="C61" i="5"/>
  <c r="D61" i="5"/>
  <c r="H61" i="5"/>
  <c r="L10" i="5"/>
  <c r="G61" i="5"/>
  <c r="F61" i="5"/>
  <c r="B32" i="5"/>
  <c r="B24" i="5"/>
  <c r="J251" i="1"/>
  <c r="B31" i="5"/>
  <c r="B51" i="5"/>
  <c r="J244" i="1"/>
  <c r="B30" i="5"/>
  <c r="J237" i="1"/>
  <c r="B29" i="5"/>
  <c r="J230" i="1"/>
  <c r="B28" i="5"/>
  <c r="J279" i="1"/>
  <c r="J223" i="1"/>
  <c r="B27" i="5"/>
  <c r="J272" i="1"/>
  <c r="J216" i="1"/>
  <c r="B26" i="5"/>
  <c r="J265" i="1"/>
  <c r="B25" i="5"/>
  <c r="J258" i="1"/>
  <c r="AH387" i="1"/>
  <c r="AH388" i="1"/>
  <c r="AH389" i="1"/>
  <c r="U323" i="1"/>
  <c r="V323" i="1" s="1"/>
  <c r="W323" i="1" s="1"/>
  <c r="X323" i="1" s="1"/>
  <c r="L202" i="4" a="1"/>
  <c r="L202" i="4" s="1"/>
  <c r="L199" i="4" a="1"/>
  <c r="L199" i="4" s="1"/>
  <c r="L192" i="4" a="1"/>
  <c r="L192" i="4" s="1"/>
  <c r="L189" i="4" a="1"/>
  <c r="L189" i="4" s="1"/>
  <c r="M182" i="4" a="1"/>
  <c r="M182" i="4" s="1"/>
  <c r="M181" i="4" a="1"/>
  <c r="M181" i="4" s="1"/>
  <c r="M180" i="4" a="1"/>
  <c r="M180" i="4" s="1"/>
  <c r="M179" i="4" a="1"/>
  <c r="M179" i="4" s="1"/>
  <c r="M177" i="4" a="1"/>
  <c r="M177" i="4" s="1"/>
  <c r="L177" i="4" a="1"/>
  <c r="L177" i="4" s="1"/>
  <c r="M173" i="4" a="1"/>
  <c r="M173" i="4" s="1"/>
  <c r="M172" i="4" a="1"/>
  <c r="M172" i="4" s="1"/>
  <c r="L172" i="4" a="1"/>
  <c r="L172" i="4" s="1"/>
  <c r="M168" i="4" a="1"/>
  <c r="M168" i="4" s="1"/>
  <c r="M167" i="4" a="1"/>
  <c r="M167" i="4" s="1"/>
  <c r="L167" i="4" a="1"/>
  <c r="L167" i="4" s="1"/>
  <c r="M160" i="4" a="1"/>
  <c r="M160" i="4" s="1"/>
  <c r="M159" i="4" a="1"/>
  <c r="M159" i="4" s="1"/>
  <c r="M158" i="4" a="1"/>
  <c r="M158" i="4" s="1"/>
  <c r="L158" i="4" a="1"/>
  <c r="L158" i="4" s="1"/>
  <c r="M157" i="4" a="1"/>
  <c r="M157" i="4" s="1"/>
  <c r="M156" i="4" a="1"/>
  <c r="M156" i="4" s="1"/>
  <c r="M155" i="4" a="1"/>
  <c r="M155" i="4" s="1"/>
  <c r="M154" i="4" a="1"/>
  <c r="M154" i="4" s="1"/>
  <c r="M153" i="4" a="1"/>
  <c r="M153" i="4" s="1"/>
  <c r="M152" i="4" a="1"/>
  <c r="M152" i="4" s="1"/>
  <c r="M151" i="4" a="1"/>
  <c r="M151" i="4" s="1"/>
  <c r="M149" i="4" a="1"/>
  <c r="M149" i="4" s="1"/>
  <c r="L149" i="4" a="1"/>
  <c r="L149" i="4" s="1"/>
  <c r="M146" i="4" a="1"/>
  <c r="M146" i="4" s="1"/>
  <c r="L146" i="4" a="1"/>
  <c r="L146" i="4" s="1"/>
  <c r="M142" i="4" a="1"/>
  <c r="M142" i="4" s="1"/>
  <c r="M139" i="4" a="1"/>
  <c r="M139" i="4" s="1"/>
  <c r="M137" i="4" a="1"/>
  <c r="M137" i="4" s="1"/>
  <c r="M136" i="4" a="1"/>
  <c r="M136" i="4" s="1"/>
  <c r="M135" i="4" a="1"/>
  <c r="M135" i="4" s="1"/>
  <c r="M134" i="4" a="1"/>
  <c r="M134" i="4" s="1"/>
  <c r="M133" i="4" a="1"/>
  <c r="M133" i="4" s="1"/>
  <c r="M132" i="4" a="1"/>
  <c r="M132" i="4" s="1"/>
  <c r="M131" i="4" a="1"/>
  <c r="M131" i="4" s="1"/>
  <c r="M127" i="4" a="1"/>
  <c r="M127" i="4" s="1"/>
  <c r="M124" i="4" a="1"/>
  <c r="M124" i="4" s="1"/>
  <c r="M112" i="4" a="1"/>
  <c r="M112" i="4" s="1"/>
  <c r="M111" i="4" a="1"/>
  <c r="M111" i="4" s="1"/>
  <c r="M108" i="4" a="1"/>
  <c r="M108" i="4" s="1"/>
  <c r="M78" i="4" a="1"/>
  <c r="M78" i="4" s="1"/>
  <c r="M76" i="4" a="1"/>
  <c r="M76" i="4" s="1"/>
  <c r="M73" i="4" a="1"/>
  <c r="M73" i="4" s="1"/>
  <c r="L73" i="4" a="1"/>
  <c r="L73" i="4" s="1"/>
  <c r="M72" i="4" a="1"/>
  <c r="M72" i="4" s="1"/>
  <c r="L72" i="4" a="1"/>
  <c r="L72" i="4" s="1"/>
  <c r="M71" i="4" a="1"/>
  <c r="M71" i="4" s="1"/>
  <c r="L71" i="4" a="1"/>
  <c r="L71" i="4" s="1"/>
  <c r="M67" i="4" a="1"/>
  <c r="M67" i="4" s="1"/>
  <c r="M65" i="4" a="1"/>
  <c r="M65" i="4" s="1"/>
  <c r="L65" i="4" a="1"/>
  <c r="L65" i="4" s="1"/>
  <c r="M64" i="4" a="1"/>
  <c r="M64" i="4" s="1"/>
  <c r="M63" i="4" a="1"/>
  <c r="M63" i="4" s="1"/>
  <c r="M62" i="4" a="1"/>
  <c r="M62" i="4" s="1"/>
  <c r="M61" i="4" a="1"/>
  <c r="M61" i="4" s="1"/>
  <c r="M60" i="4" a="1"/>
  <c r="M60" i="4" s="1"/>
  <c r="M59" i="4" a="1"/>
  <c r="M59" i="4" s="1"/>
  <c r="M58" i="4" a="1"/>
  <c r="M58" i="4" s="1"/>
  <c r="M51" i="4" a="1"/>
  <c r="M51" i="4" s="1"/>
  <c r="M46" i="4" a="1"/>
  <c r="M46" i="4" s="1"/>
  <c r="M45" i="4" a="1"/>
  <c r="M45" i="4" s="1"/>
  <c r="M19" i="4" a="1"/>
  <c r="M19" i="4" s="1"/>
  <c r="M17" i="4" a="1"/>
  <c r="M17" i="4" s="1"/>
  <c r="L17" i="4" a="1"/>
  <c r="L17" i="4" s="1"/>
  <c r="M16" i="4" a="1"/>
  <c r="M16" i="4" s="1"/>
  <c r="I9" i="4"/>
  <c r="I19" i="4" s="1"/>
  <c r="I20" i="4" s="1"/>
  <c r="I21" i="4" s="1"/>
  <c r="I22" i="4" s="1"/>
  <c r="I23" i="4" s="1"/>
  <c r="I24" i="4" s="1"/>
  <c r="N68" i="3"/>
  <c r="N223" i="3" l="1"/>
  <c r="D10" i="3"/>
  <c r="R389" i="1"/>
  <c r="R388" i="1"/>
  <c r="T388" i="1"/>
  <c r="U388" i="1"/>
  <c r="V388" i="1"/>
  <c r="X388" i="1"/>
  <c r="W388" i="1"/>
  <c r="R387" i="1"/>
  <c r="T387" i="1"/>
  <c r="U387" i="1"/>
  <c r="V387" i="1"/>
  <c r="X387" i="1"/>
  <c r="W387" i="1"/>
  <c r="I25" i="4"/>
  <c r="I26" i="4" s="1"/>
  <c r="H9" i="4"/>
  <c r="F9" i="4"/>
  <c r="D9" i="4"/>
  <c r="I45" i="4"/>
  <c r="I10" i="4"/>
  <c r="I11" i="4" s="1"/>
  <c r="I12" i="4" s="1"/>
  <c r="I13" i="4" s="1"/>
  <c r="I14" i="4" s="1"/>
  <c r="I15" i="4" s="1"/>
  <c r="I16" i="4" s="1"/>
  <c r="I17" i="4" s="1"/>
  <c r="D1" i="10"/>
  <c r="D80" i="10" s="1"/>
  <c r="W285" i="1" l="1"/>
  <c r="W283" i="1"/>
  <c r="W284" i="1"/>
  <c r="U284" i="1"/>
  <c r="U285" i="1"/>
  <c r="U283" i="1"/>
  <c r="X285" i="1"/>
  <c r="X283" i="1"/>
  <c r="X284" i="1"/>
  <c r="T284" i="1"/>
  <c r="T283" i="1"/>
  <c r="T285" i="1"/>
  <c r="V284" i="1"/>
  <c r="V285" i="1"/>
  <c r="V283" i="1"/>
  <c r="R283" i="1"/>
  <c r="R284" i="1"/>
  <c r="R285" i="1"/>
  <c r="I27" i="4"/>
  <c r="I28" i="4" s="1"/>
  <c r="I29" i="4" s="1"/>
  <c r="I30" i="4" s="1"/>
  <c r="I31" i="4" s="1"/>
  <c r="I32" i="4" s="1"/>
  <c r="I33" i="4" s="1"/>
  <c r="I34" i="4" s="1"/>
  <c r="I35" i="4" s="1"/>
  <c r="I36" i="4" s="1"/>
  <c r="I37" i="4" s="1"/>
  <c r="I38" i="4" s="1"/>
  <c r="I39" i="4" s="1"/>
  <c r="I40" i="4" s="1"/>
  <c r="I41" i="4" s="1"/>
  <c r="I42" i="4" s="1"/>
  <c r="I43" i="4" s="1"/>
  <c r="D10" i="4"/>
  <c r="H10" i="4"/>
  <c r="F10" i="4"/>
  <c r="I46" i="4"/>
  <c r="I47" i="4" s="1"/>
  <c r="I48" i="4" s="1"/>
  <c r="I49" i="4" s="1"/>
  <c r="I50" i="4" s="1"/>
  <c r="I51" i="4" s="1"/>
  <c r="I52" i="4" s="1"/>
  <c r="I53" i="4" s="1"/>
  <c r="I54" i="4" s="1"/>
  <c r="I55" i="4" s="1"/>
  <c r="I56" i="4" s="1"/>
  <c r="I57" i="4" s="1"/>
  <c r="I58" i="4" s="1"/>
  <c r="I59" i="4" s="1"/>
  <c r="I60" i="4" s="1"/>
  <c r="I61" i="4" s="1"/>
  <c r="I62" i="4" s="1"/>
  <c r="I63" i="4" s="1"/>
  <c r="I64" i="4" s="1"/>
  <c r="I65" i="4" s="1"/>
  <c r="I67" i="4"/>
  <c r="D95" i="10"/>
  <c r="D94" i="10"/>
  <c r="D93" i="10"/>
  <c r="D86" i="10"/>
  <c r="D78" i="10"/>
  <c r="D87" i="10"/>
  <c r="D85" i="10"/>
  <c r="D79" i="10"/>
  <c r="D92" i="10"/>
  <c r="D84" i="10"/>
  <c r="D91" i="10"/>
  <c r="D83" i="10"/>
  <c r="D90" i="10"/>
  <c r="D82" i="10"/>
  <c r="D89" i="10"/>
  <c r="D81" i="10"/>
  <c r="D96" i="10"/>
  <c r="D88" i="10"/>
  <c r="AB1234" i="7"/>
  <c r="AA1234" i="7"/>
  <c r="Z1234" i="7"/>
  <c r="AB1233" i="7"/>
  <c r="AA1233" i="7"/>
  <c r="Z1233" i="7"/>
  <c r="AB1232" i="7"/>
  <c r="AA1232" i="7"/>
  <c r="Z1232" i="7"/>
  <c r="AB1231" i="7"/>
  <c r="AA1231" i="7"/>
  <c r="Z1231" i="7"/>
  <c r="AB1230" i="7"/>
  <c r="AA1230" i="7"/>
  <c r="Z1230" i="7"/>
  <c r="AB1229" i="7"/>
  <c r="AA1229" i="7"/>
  <c r="Z1229" i="7"/>
  <c r="AB1228" i="7"/>
  <c r="AA1228" i="7"/>
  <c r="Z1228" i="7"/>
  <c r="AB1227" i="7"/>
  <c r="AA1227" i="7"/>
  <c r="Z1227" i="7"/>
  <c r="AB1192" i="7"/>
  <c r="AA1192" i="7"/>
  <c r="Z1192" i="7"/>
  <c r="AB1191" i="7"/>
  <c r="AA1191" i="7"/>
  <c r="Z1191" i="7"/>
  <c r="AB1190" i="7"/>
  <c r="AA1190" i="7"/>
  <c r="Z1190" i="7"/>
  <c r="AB1189" i="7"/>
  <c r="AA1189" i="7"/>
  <c r="Z1189" i="7"/>
  <c r="AB1188" i="7"/>
  <c r="AA1188" i="7"/>
  <c r="Z1188" i="7"/>
  <c r="AB1187" i="7"/>
  <c r="AA1187" i="7"/>
  <c r="Z1187" i="7"/>
  <c r="AB1186" i="7"/>
  <c r="AA1186" i="7"/>
  <c r="Z1186" i="7"/>
  <c r="AB1185" i="7"/>
  <c r="AA1185" i="7"/>
  <c r="Z1185" i="7"/>
  <c r="AB1150" i="7"/>
  <c r="AA1150" i="7"/>
  <c r="Z1150" i="7"/>
  <c r="AB1149" i="7"/>
  <c r="AA1149" i="7"/>
  <c r="Z1149" i="7"/>
  <c r="AB1148" i="7"/>
  <c r="AA1148" i="7"/>
  <c r="Z1148" i="7"/>
  <c r="AB1147" i="7"/>
  <c r="AA1147" i="7"/>
  <c r="Z1147" i="7"/>
  <c r="AB1146" i="7"/>
  <c r="AA1146" i="7"/>
  <c r="Z1146" i="7"/>
  <c r="AB1145" i="7"/>
  <c r="AA1145" i="7"/>
  <c r="Z1145" i="7"/>
  <c r="AB1144" i="7"/>
  <c r="AA1144" i="7"/>
  <c r="Z1144" i="7"/>
  <c r="AB1143" i="7"/>
  <c r="AA1143" i="7"/>
  <c r="Z1143" i="7"/>
  <c r="AB1108" i="7"/>
  <c r="AA1108" i="7"/>
  <c r="Z1108" i="7"/>
  <c r="AB1107" i="7"/>
  <c r="AA1107" i="7"/>
  <c r="Z1107" i="7"/>
  <c r="AB1106" i="7"/>
  <c r="AA1106" i="7"/>
  <c r="Z1106" i="7"/>
  <c r="AB1105" i="7"/>
  <c r="AA1105" i="7"/>
  <c r="Z1105" i="7"/>
  <c r="AB1104" i="7"/>
  <c r="AA1104" i="7"/>
  <c r="Z1104" i="7"/>
  <c r="AB1103" i="7"/>
  <c r="AA1103" i="7"/>
  <c r="Z1103" i="7"/>
  <c r="AB1102" i="7"/>
  <c r="AA1102" i="7"/>
  <c r="Z1102" i="7"/>
  <c r="AB1101" i="7"/>
  <c r="AA1101" i="7"/>
  <c r="Z1101" i="7"/>
  <c r="AB1066" i="7"/>
  <c r="AA1066" i="7"/>
  <c r="Z1066" i="7"/>
  <c r="AB1065" i="7"/>
  <c r="AA1065" i="7"/>
  <c r="Z1065" i="7"/>
  <c r="AB1064" i="7"/>
  <c r="AA1064" i="7"/>
  <c r="Z1064" i="7"/>
  <c r="AB1063" i="7"/>
  <c r="AA1063" i="7"/>
  <c r="Z1063" i="7"/>
  <c r="AB1062" i="7"/>
  <c r="AA1062" i="7"/>
  <c r="Z1062" i="7"/>
  <c r="AB1061" i="7"/>
  <c r="AA1061" i="7"/>
  <c r="Z1061" i="7"/>
  <c r="AB1060" i="7"/>
  <c r="AA1060" i="7"/>
  <c r="Z1060" i="7"/>
  <c r="AB1059" i="7"/>
  <c r="AA1059" i="7"/>
  <c r="Z1059" i="7"/>
  <c r="AB1024" i="7"/>
  <c r="AA1024" i="7"/>
  <c r="Z1024" i="7"/>
  <c r="AB1023" i="7"/>
  <c r="AA1023" i="7"/>
  <c r="Z1023" i="7"/>
  <c r="AB1022" i="7"/>
  <c r="AA1022" i="7"/>
  <c r="Z1022" i="7"/>
  <c r="AB1021" i="7"/>
  <c r="AA1021" i="7"/>
  <c r="Z1021" i="7"/>
  <c r="AB1020" i="7"/>
  <c r="AA1020" i="7"/>
  <c r="Z1020" i="7"/>
  <c r="AB1019" i="7"/>
  <c r="AA1019" i="7"/>
  <c r="Z1019" i="7"/>
  <c r="AB1018" i="7"/>
  <c r="AA1018" i="7"/>
  <c r="Z1018" i="7"/>
  <c r="AB1017" i="7"/>
  <c r="AA1017" i="7"/>
  <c r="Z1017" i="7"/>
  <c r="AB982" i="7"/>
  <c r="AA982" i="7"/>
  <c r="Z982" i="7"/>
  <c r="AB981" i="7"/>
  <c r="AA981" i="7"/>
  <c r="Z981" i="7"/>
  <c r="AB980" i="7"/>
  <c r="AA980" i="7"/>
  <c r="Z980" i="7"/>
  <c r="AB979" i="7"/>
  <c r="AA979" i="7"/>
  <c r="Z979" i="7"/>
  <c r="AB978" i="7"/>
  <c r="AA978" i="7"/>
  <c r="Z978" i="7"/>
  <c r="AB977" i="7"/>
  <c r="AA977" i="7"/>
  <c r="Z977" i="7"/>
  <c r="AB976" i="7"/>
  <c r="AA976" i="7"/>
  <c r="Z976" i="7"/>
  <c r="AB975" i="7"/>
  <c r="AA975" i="7"/>
  <c r="Z975" i="7"/>
  <c r="AB940" i="7"/>
  <c r="AA940" i="7"/>
  <c r="Z940" i="7"/>
  <c r="AB939" i="7"/>
  <c r="AA939" i="7"/>
  <c r="Z939" i="7"/>
  <c r="AB938" i="7"/>
  <c r="AA938" i="7"/>
  <c r="Z938" i="7"/>
  <c r="AB937" i="7"/>
  <c r="AA937" i="7"/>
  <c r="Z937" i="7"/>
  <c r="AB936" i="7"/>
  <c r="AA936" i="7"/>
  <c r="Z936" i="7"/>
  <c r="AB935" i="7"/>
  <c r="AA935" i="7"/>
  <c r="Z935" i="7"/>
  <c r="AB934" i="7"/>
  <c r="AA934" i="7"/>
  <c r="Z934" i="7"/>
  <c r="AB933" i="7"/>
  <c r="AA933" i="7"/>
  <c r="Z933" i="7"/>
  <c r="AB898" i="7"/>
  <c r="AA898" i="7"/>
  <c r="Z898" i="7"/>
  <c r="AB897" i="7"/>
  <c r="AA897" i="7"/>
  <c r="Z897" i="7"/>
  <c r="AB896" i="7"/>
  <c r="AA896" i="7"/>
  <c r="Z896" i="7"/>
  <c r="AB895" i="7"/>
  <c r="AA895" i="7"/>
  <c r="Z895" i="7"/>
  <c r="AB894" i="7"/>
  <c r="AA894" i="7"/>
  <c r="Z894" i="7"/>
  <c r="AB893" i="7"/>
  <c r="AA893" i="7"/>
  <c r="Z893" i="7"/>
  <c r="AB892" i="7"/>
  <c r="AA892" i="7"/>
  <c r="Z892" i="7"/>
  <c r="AB891" i="7"/>
  <c r="AA891" i="7"/>
  <c r="Z891" i="7"/>
  <c r="AB856" i="7"/>
  <c r="AA856" i="7"/>
  <c r="Z856" i="7"/>
  <c r="AB855" i="7"/>
  <c r="AA855" i="7"/>
  <c r="Z855" i="7"/>
  <c r="AB854" i="7"/>
  <c r="AA854" i="7"/>
  <c r="Z854" i="7"/>
  <c r="AB853" i="7"/>
  <c r="AA853" i="7"/>
  <c r="Z853" i="7"/>
  <c r="AB852" i="7"/>
  <c r="AA852" i="7"/>
  <c r="Z852" i="7"/>
  <c r="AB851" i="7"/>
  <c r="AA851" i="7"/>
  <c r="Z851" i="7"/>
  <c r="AB850" i="7"/>
  <c r="AA850" i="7"/>
  <c r="Z850" i="7"/>
  <c r="AB849" i="7"/>
  <c r="AA849" i="7"/>
  <c r="Z849" i="7"/>
  <c r="AB814" i="7"/>
  <c r="AA814" i="7"/>
  <c r="Z814" i="7"/>
  <c r="AB813" i="7"/>
  <c r="AA813" i="7"/>
  <c r="Z813" i="7"/>
  <c r="AB812" i="7"/>
  <c r="AA812" i="7"/>
  <c r="Z812" i="7"/>
  <c r="AB811" i="7"/>
  <c r="AA811" i="7"/>
  <c r="Z811" i="7"/>
  <c r="AB810" i="7"/>
  <c r="AA810" i="7"/>
  <c r="Z810" i="7"/>
  <c r="AB809" i="7"/>
  <c r="AA809" i="7"/>
  <c r="Z809" i="7"/>
  <c r="AB808" i="7"/>
  <c r="AA808" i="7"/>
  <c r="Z808" i="7"/>
  <c r="AB807" i="7"/>
  <c r="AA807" i="7"/>
  <c r="Z807" i="7"/>
  <c r="AB772" i="7"/>
  <c r="AA772" i="7"/>
  <c r="Z772" i="7"/>
  <c r="AB771" i="7"/>
  <c r="AA771" i="7"/>
  <c r="Z771" i="7"/>
  <c r="AB770" i="7"/>
  <c r="AA770" i="7"/>
  <c r="Z770" i="7"/>
  <c r="AB769" i="7"/>
  <c r="AA769" i="7"/>
  <c r="Z769" i="7"/>
  <c r="AB768" i="7"/>
  <c r="AA768" i="7"/>
  <c r="Z768" i="7"/>
  <c r="AB767" i="7"/>
  <c r="AA767" i="7"/>
  <c r="Z767" i="7"/>
  <c r="AB766" i="7"/>
  <c r="AA766" i="7"/>
  <c r="Z766" i="7"/>
  <c r="AB765" i="7"/>
  <c r="AA765" i="7"/>
  <c r="Z765" i="7"/>
  <c r="AB730" i="7"/>
  <c r="AA730" i="7"/>
  <c r="Z730" i="7"/>
  <c r="AB729" i="7"/>
  <c r="AA729" i="7"/>
  <c r="Z729" i="7"/>
  <c r="AB728" i="7"/>
  <c r="AA728" i="7"/>
  <c r="Z728" i="7"/>
  <c r="AB727" i="7"/>
  <c r="AA727" i="7"/>
  <c r="Z727" i="7"/>
  <c r="AB726" i="7"/>
  <c r="AA726" i="7"/>
  <c r="Z726" i="7"/>
  <c r="AB725" i="7"/>
  <c r="AA725" i="7"/>
  <c r="Z725" i="7"/>
  <c r="AB724" i="7"/>
  <c r="AA724" i="7"/>
  <c r="Z724" i="7"/>
  <c r="AB723" i="7"/>
  <c r="AA723" i="7"/>
  <c r="Z723" i="7"/>
  <c r="AB688" i="7"/>
  <c r="AA688" i="7"/>
  <c r="Z688" i="7"/>
  <c r="AB687" i="7"/>
  <c r="AA687" i="7"/>
  <c r="Z687" i="7"/>
  <c r="AB686" i="7"/>
  <c r="AA686" i="7"/>
  <c r="Z686" i="7"/>
  <c r="AB685" i="7"/>
  <c r="AA685" i="7"/>
  <c r="Z685" i="7"/>
  <c r="AB684" i="7"/>
  <c r="AA684" i="7"/>
  <c r="Z684" i="7"/>
  <c r="AB683" i="7"/>
  <c r="AA683" i="7"/>
  <c r="Z683" i="7"/>
  <c r="AB682" i="7"/>
  <c r="AA682" i="7"/>
  <c r="Z682" i="7"/>
  <c r="AB681" i="7"/>
  <c r="AA681" i="7"/>
  <c r="Z681" i="7"/>
  <c r="AB646" i="7"/>
  <c r="AA646" i="7"/>
  <c r="Z646" i="7"/>
  <c r="AB645" i="7"/>
  <c r="AA645" i="7"/>
  <c r="Z645" i="7"/>
  <c r="AB644" i="7"/>
  <c r="AA644" i="7"/>
  <c r="Z644" i="7"/>
  <c r="AB643" i="7"/>
  <c r="AA643" i="7"/>
  <c r="Z643" i="7"/>
  <c r="AB642" i="7"/>
  <c r="AA642" i="7"/>
  <c r="Z642" i="7"/>
  <c r="AB641" i="7"/>
  <c r="AA641" i="7"/>
  <c r="Z641" i="7"/>
  <c r="AB640" i="7"/>
  <c r="AA640" i="7"/>
  <c r="Z640" i="7"/>
  <c r="AB639" i="7"/>
  <c r="AA639" i="7"/>
  <c r="Z639" i="7"/>
  <c r="AB604" i="7"/>
  <c r="AA604" i="7"/>
  <c r="Z604" i="7"/>
  <c r="AB603" i="7"/>
  <c r="AA603" i="7"/>
  <c r="Z603" i="7"/>
  <c r="AB602" i="7"/>
  <c r="AA602" i="7"/>
  <c r="Z602" i="7"/>
  <c r="AB601" i="7"/>
  <c r="AA601" i="7"/>
  <c r="Z601" i="7"/>
  <c r="AB600" i="7"/>
  <c r="AA600" i="7"/>
  <c r="Z600" i="7"/>
  <c r="AB599" i="7"/>
  <c r="AA599" i="7"/>
  <c r="Z599" i="7"/>
  <c r="AB598" i="7"/>
  <c r="AA598" i="7"/>
  <c r="Z598" i="7"/>
  <c r="AB597" i="7"/>
  <c r="AA597" i="7"/>
  <c r="Z597" i="7"/>
  <c r="AB562" i="7"/>
  <c r="AA562" i="7"/>
  <c r="Z562" i="7"/>
  <c r="AB561" i="7"/>
  <c r="AA561" i="7"/>
  <c r="Z561" i="7"/>
  <c r="AB560" i="7"/>
  <c r="AA560" i="7"/>
  <c r="Z560" i="7"/>
  <c r="AB559" i="7"/>
  <c r="AA559" i="7"/>
  <c r="Z559" i="7"/>
  <c r="AB558" i="7"/>
  <c r="AA558" i="7"/>
  <c r="Z558" i="7"/>
  <c r="AB557" i="7"/>
  <c r="AA557" i="7"/>
  <c r="Z557" i="7"/>
  <c r="AB556" i="7"/>
  <c r="AA556" i="7"/>
  <c r="Z556" i="7"/>
  <c r="AB555" i="7"/>
  <c r="AA555" i="7"/>
  <c r="Z555" i="7"/>
  <c r="AB520" i="7"/>
  <c r="AA520" i="7"/>
  <c r="Z520" i="7"/>
  <c r="AB519" i="7"/>
  <c r="AA519" i="7"/>
  <c r="Z519" i="7"/>
  <c r="AB518" i="7"/>
  <c r="AA518" i="7"/>
  <c r="Z518" i="7"/>
  <c r="AB517" i="7"/>
  <c r="AA517" i="7"/>
  <c r="Z517" i="7"/>
  <c r="AB516" i="7"/>
  <c r="AA516" i="7"/>
  <c r="Z516" i="7"/>
  <c r="AB515" i="7"/>
  <c r="AA515" i="7"/>
  <c r="Z515" i="7"/>
  <c r="AB514" i="7"/>
  <c r="AA514" i="7"/>
  <c r="Z514" i="7"/>
  <c r="AB513" i="7"/>
  <c r="AA513" i="7"/>
  <c r="Z513" i="7"/>
  <c r="AB478" i="7"/>
  <c r="AA478" i="7"/>
  <c r="Z478" i="7"/>
  <c r="AB477" i="7"/>
  <c r="AA477" i="7"/>
  <c r="Z477" i="7"/>
  <c r="AB476" i="7"/>
  <c r="AA476" i="7"/>
  <c r="Z476" i="7"/>
  <c r="AB475" i="7"/>
  <c r="AA475" i="7"/>
  <c r="Z475" i="7"/>
  <c r="AB474" i="7"/>
  <c r="AA474" i="7"/>
  <c r="Z474" i="7"/>
  <c r="AB473" i="7"/>
  <c r="AA473" i="7"/>
  <c r="Z473" i="7"/>
  <c r="AB472" i="7"/>
  <c r="AA472" i="7"/>
  <c r="Z472" i="7"/>
  <c r="AB471" i="7"/>
  <c r="AA471" i="7"/>
  <c r="Z471" i="7"/>
  <c r="AB436" i="7"/>
  <c r="AA436" i="7"/>
  <c r="Z436" i="7"/>
  <c r="AB435" i="7"/>
  <c r="AA435" i="7"/>
  <c r="Z435" i="7"/>
  <c r="AB434" i="7"/>
  <c r="AA434" i="7"/>
  <c r="Z434" i="7"/>
  <c r="AB433" i="7"/>
  <c r="AA433" i="7"/>
  <c r="Z433" i="7"/>
  <c r="AB432" i="7"/>
  <c r="AA432" i="7"/>
  <c r="Z432" i="7"/>
  <c r="AB431" i="7"/>
  <c r="AA431" i="7"/>
  <c r="Z431" i="7"/>
  <c r="AB430" i="7"/>
  <c r="AA430" i="7"/>
  <c r="Z430" i="7"/>
  <c r="AB429" i="7"/>
  <c r="AA429" i="7"/>
  <c r="Z429" i="7"/>
  <c r="AB394" i="7"/>
  <c r="AA394" i="7"/>
  <c r="Z394" i="7"/>
  <c r="AB393" i="7"/>
  <c r="AA393" i="7"/>
  <c r="Z393" i="7"/>
  <c r="AB392" i="7"/>
  <c r="AA392" i="7"/>
  <c r="Z392" i="7"/>
  <c r="AB391" i="7"/>
  <c r="AA391" i="7"/>
  <c r="Z391" i="7"/>
  <c r="AB390" i="7"/>
  <c r="AA390" i="7"/>
  <c r="Z390" i="7"/>
  <c r="AB389" i="7"/>
  <c r="AA389" i="7"/>
  <c r="Z389" i="7"/>
  <c r="AB388" i="7"/>
  <c r="AA388" i="7"/>
  <c r="Z388" i="7"/>
  <c r="AB387" i="7"/>
  <c r="AA387" i="7"/>
  <c r="Z387" i="7"/>
  <c r="AB352" i="7"/>
  <c r="AA352" i="7"/>
  <c r="Z352" i="7"/>
  <c r="AB351" i="7"/>
  <c r="AA351" i="7"/>
  <c r="Z351" i="7"/>
  <c r="AB350" i="7"/>
  <c r="AA350" i="7"/>
  <c r="Z350" i="7"/>
  <c r="AB349" i="7"/>
  <c r="AA349" i="7"/>
  <c r="Z349" i="7"/>
  <c r="AB348" i="7"/>
  <c r="AA348" i="7"/>
  <c r="Z348" i="7"/>
  <c r="AB347" i="7"/>
  <c r="AA347" i="7"/>
  <c r="Z347" i="7"/>
  <c r="AB346" i="7"/>
  <c r="AA346" i="7"/>
  <c r="Z346" i="7"/>
  <c r="AB345" i="7"/>
  <c r="AA345" i="7"/>
  <c r="Z345" i="7"/>
  <c r="AB310" i="7"/>
  <c r="AA310" i="7"/>
  <c r="Z310" i="7"/>
  <c r="AB309" i="7"/>
  <c r="AA309" i="7"/>
  <c r="Z309" i="7"/>
  <c r="AB308" i="7"/>
  <c r="AA308" i="7"/>
  <c r="Z308" i="7"/>
  <c r="AB307" i="7"/>
  <c r="AA307" i="7"/>
  <c r="Z307" i="7"/>
  <c r="AB306" i="7"/>
  <c r="AA306" i="7"/>
  <c r="Z306" i="7"/>
  <c r="AB305" i="7"/>
  <c r="AA305" i="7"/>
  <c r="Z305" i="7"/>
  <c r="AB304" i="7"/>
  <c r="AA304" i="7"/>
  <c r="Z304" i="7"/>
  <c r="AB303" i="7"/>
  <c r="AA303" i="7"/>
  <c r="Z303" i="7"/>
  <c r="AB268" i="7"/>
  <c r="AA268" i="7"/>
  <c r="Z268" i="7"/>
  <c r="AB267" i="7"/>
  <c r="AA267" i="7"/>
  <c r="Z267" i="7"/>
  <c r="AB266" i="7"/>
  <c r="AA266" i="7"/>
  <c r="Z266" i="7"/>
  <c r="AB265" i="7"/>
  <c r="AA265" i="7"/>
  <c r="Z265" i="7"/>
  <c r="AB264" i="7"/>
  <c r="AA264" i="7"/>
  <c r="Z264" i="7"/>
  <c r="AB263" i="7"/>
  <c r="AA263" i="7"/>
  <c r="Z263" i="7"/>
  <c r="AB262" i="7"/>
  <c r="AA262" i="7"/>
  <c r="Z262" i="7"/>
  <c r="AB261" i="7"/>
  <c r="AA261" i="7"/>
  <c r="Z261" i="7"/>
  <c r="AB226" i="7"/>
  <c r="AA226" i="7"/>
  <c r="Z226" i="7"/>
  <c r="AB225" i="7"/>
  <c r="AA225" i="7"/>
  <c r="Z225" i="7"/>
  <c r="AB224" i="7"/>
  <c r="AA224" i="7"/>
  <c r="Z224" i="7"/>
  <c r="AB223" i="7"/>
  <c r="AA223" i="7"/>
  <c r="Z223" i="7"/>
  <c r="AB222" i="7"/>
  <c r="AA222" i="7"/>
  <c r="Z222" i="7"/>
  <c r="AB221" i="7"/>
  <c r="AA221" i="7"/>
  <c r="Z221" i="7"/>
  <c r="AB220" i="7"/>
  <c r="AA220" i="7"/>
  <c r="Z220" i="7"/>
  <c r="AB219" i="7"/>
  <c r="AA219" i="7"/>
  <c r="Z219" i="7"/>
  <c r="AB184" i="7"/>
  <c r="AA184" i="7"/>
  <c r="Z184" i="7"/>
  <c r="AB183" i="7"/>
  <c r="AA183" i="7"/>
  <c r="Z183" i="7"/>
  <c r="AB182" i="7"/>
  <c r="AA182" i="7"/>
  <c r="Z182" i="7"/>
  <c r="AB181" i="7"/>
  <c r="AA181" i="7"/>
  <c r="Z181" i="7"/>
  <c r="AB180" i="7"/>
  <c r="AA180" i="7"/>
  <c r="Z180" i="7"/>
  <c r="AB179" i="7"/>
  <c r="AA179" i="7"/>
  <c r="Z179" i="7"/>
  <c r="AB178" i="7"/>
  <c r="AA178" i="7"/>
  <c r="Z178" i="7"/>
  <c r="AB177" i="7"/>
  <c r="AA177" i="7"/>
  <c r="Z177" i="7"/>
  <c r="AB142" i="7"/>
  <c r="AA142" i="7"/>
  <c r="Z142" i="7"/>
  <c r="AB141" i="7"/>
  <c r="AA141" i="7"/>
  <c r="Z141" i="7"/>
  <c r="AB140" i="7"/>
  <c r="AA140" i="7"/>
  <c r="Z140" i="7"/>
  <c r="AB139" i="7"/>
  <c r="AA139" i="7"/>
  <c r="Z139" i="7"/>
  <c r="AB138" i="7"/>
  <c r="AA138" i="7"/>
  <c r="Z138" i="7"/>
  <c r="AB137" i="7"/>
  <c r="AA137" i="7"/>
  <c r="Z137" i="7"/>
  <c r="AB136" i="7"/>
  <c r="AA136" i="7"/>
  <c r="Z136" i="7"/>
  <c r="AB135" i="7"/>
  <c r="AA135" i="7"/>
  <c r="Z135" i="7"/>
  <c r="AB100" i="7"/>
  <c r="AA100" i="7"/>
  <c r="Z100" i="7"/>
  <c r="AB99" i="7"/>
  <c r="AA99" i="7"/>
  <c r="Z99" i="7"/>
  <c r="AB98" i="7"/>
  <c r="AA98" i="7"/>
  <c r="Z98" i="7"/>
  <c r="AB97" i="7"/>
  <c r="AA97" i="7"/>
  <c r="Z97" i="7"/>
  <c r="AB96" i="7"/>
  <c r="AA96" i="7"/>
  <c r="Z96" i="7"/>
  <c r="AB95" i="7"/>
  <c r="AA95" i="7"/>
  <c r="Z95" i="7"/>
  <c r="AB94" i="7"/>
  <c r="AA94" i="7"/>
  <c r="Z94" i="7"/>
  <c r="AB93" i="7"/>
  <c r="AA93" i="7"/>
  <c r="Z93" i="7"/>
  <c r="AB58" i="7"/>
  <c r="AA58" i="7"/>
  <c r="Z58" i="7"/>
  <c r="AB57" i="7"/>
  <c r="AA57" i="7"/>
  <c r="Z57" i="7"/>
  <c r="AB56" i="7"/>
  <c r="AA56" i="7"/>
  <c r="Z56" i="7"/>
  <c r="AB55" i="7"/>
  <c r="AA55" i="7"/>
  <c r="Z55" i="7"/>
  <c r="AB54" i="7"/>
  <c r="AA54" i="7"/>
  <c r="Z54" i="7"/>
  <c r="AB53" i="7"/>
  <c r="AA53" i="7"/>
  <c r="Z53" i="7"/>
  <c r="AB52" i="7"/>
  <c r="AA52" i="7"/>
  <c r="Z52" i="7"/>
  <c r="AB51" i="7"/>
  <c r="AA51" i="7"/>
  <c r="Z51" i="7"/>
  <c r="AB16" i="7"/>
  <c r="AA16" i="7"/>
  <c r="Z16" i="7"/>
  <c r="AB15" i="7"/>
  <c r="AA15" i="7"/>
  <c r="Z15" i="7"/>
  <c r="AB14" i="7"/>
  <c r="AA14" i="7"/>
  <c r="Z14" i="7"/>
  <c r="AB13" i="7"/>
  <c r="AA13" i="7"/>
  <c r="Z13" i="7"/>
  <c r="AB12" i="7"/>
  <c r="AA12" i="7"/>
  <c r="Z12" i="7"/>
  <c r="AB11" i="7"/>
  <c r="AA11" i="7"/>
  <c r="Z11" i="7"/>
  <c r="AB10" i="7"/>
  <c r="AA10" i="7"/>
  <c r="Z10" i="7"/>
  <c r="AB9" i="7"/>
  <c r="AA9" i="7"/>
  <c r="H11" i="4" l="1"/>
  <c r="D11" i="4"/>
  <c r="F11" i="4"/>
  <c r="I70" i="4"/>
  <c r="I68" i="4"/>
  <c r="B6" i="4"/>
  <c r="B7" i="4"/>
  <c r="B8" i="4"/>
  <c r="B9" i="4"/>
  <c r="B10" i="4"/>
  <c r="B11" i="4"/>
  <c r="B12" i="4"/>
  <c r="B13" i="4"/>
  <c r="B14" i="4"/>
  <c r="B15" i="4"/>
  <c r="B16" i="4"/>
  <c r="B17" i="4"/>
  <c r="B18" i="4"/>
  <c r="B19" i="4"/>
  <c r="B22" i="4"/>
  <c r="B23"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I75" i="4" l="1"/>
  <c r="I71" i="4"/>
  <c r="I72" i="4" s="1"/>
  <c r="I73" i="4" s="1"/>
  <c r="W279" i="1"/>
  <c r="T272" i="1"/>
  <c r="V265" i="1"/>
  <c r="V258" i="1"/>
  <c r="X251" i="1"/>
  <c r="X244" i="1"/>
  <c r="U237" i="1"/>
  <c r="X230" i="1"/>
  <c r="W223" i="1"/>
  <c r="T216" i="1"/>
  <c r="I76" i="4" l="1"/>
  <c r="I78" i="4"/>
  <c r="I79" i="4" s="1"/>
  <c r="I80" i="4" s="1"/>
  <c r="I81" i="4" s="1"/>
  <c r="I82" i="4" s="1"/>
  <c r="I83" i="4" s="1"/>
  <c r="I84" i="4" s="1"/>
  <c r="I85" i="4" s="1"/>
  <c r="I86" i="4" s="1"/>
  <c r="I87" i="4" s="1"/>
  <c r="I88" i="4" s="1"/>
  <c r="I89" i="4" s="1"/>
  <c r="I90" i="4" s="1"/>
  <c r="I91" i="4" s="1"/>
  <c r="I92" i="4" s="1"/>
  <c r="I93" i="4" s="1"/>
  <c r="I94" i="4" s="1"/>
  <c r="I95" i="4" s="1"/>
  <c r="I96" i="4" s="1"/>
  <c r="I97" i="4" s="1"/>
  <c r="I98" i="4" s="1"/>
  <c r="I99" i="4" s="1"/>
  <c r="I100" i="4" s="1"/>
  <c r="I101" i="4" s="1"/>
  <c r="W272" i="1"/>
  <c r="T230" i="1"/>
  <c r="U230" i="1"/>
  <c r="T251" i="1"/>
  <c r="X216" i="1"/>
  <c r="W258" i="1"/>
  <c r="W216" i="1"/>
  <c r="X258" i="1"/>
  <c r="T279" i="1"/>
  <c r="V216" i="1"/>
  <c r="U272" i="1"/>
  <c r="X223" i="1"/>
  <c r="V272" i="1"/>
  <c r="W230" i="1"/>
  <c r="X279" i="1"/>
  <c r="U216" i="1"/>
  <c r="V230" i="1"/>
  <c r="T244" i="1"/>
  <c r="W251" i="1"/>
  <c r="U265" i="1"/>
  <c r="X272" i="1"/>
  <c r="U223" i="1"/>
  <c r="V244" i="1"/>
  <c r="T258" i="1"/>
  <c r="W265" i="1"/>
  <c r="U279" i="1"/>
  <c r="V237" i="1"/>
  <c r="X237" i="1"/>
  <c r="V251" i="1"/>
  <c r="T265" i="1"/>
  <c r="V223" i="1"/>
  <c r="T237" i="1"/>
  <c r="W244" i="1"/>
  <c r="U258" i="1"/>
  <c r="X265" i="1"/>
  <c r="V279" i="1"/>
  <c r="W237" i="1"/>
  <c r="U251" i="1"/>
  <c r="T223" i="1"/>
  <c r="U244" i="1"/>
  <c r="O392" i="1"/>
  <c r="G14" i="9"/>
  <c r="H14" i="9" s="1"/>
  <c r="I14" i="9" s="1"/>
  <c r="J14" i="9" s="1"/>
  <c r="K14" i="9" s="1"/>
  <c r="L14" i="9" s="1"/>
  <c r="M14" i="9" s="1"/>
  <c r="N14" i="9" s="1"/>
  <c r="O14" i="9" s="1"/>
  <c r="P14" i="9" s="1"/>
  <c r="Q14" i="9" s="1"/>
  <c r="R14" i="9" s="1"/>
  <c r="S14" i="9" s="1"/>
  <c r="T14" i="9" s="1"/>
  <c r="U14" i="9" s="1"/>
  <c r="V14" i="9" s="1"/>
  <c r="W14" i="9" s="1"/>
  <c r="X14" i="9" s="1"/>
  <c r="Y14" i="9" s="1"/>
  <c r="Z14" i="9" s="1"/>
  <c r="AA14" i="9" s="1"/>
  <c r="AB14" i="9" s="1"/>
  <c r="AC14" i="9" s="1"/>
  <c r="AD14" i="9" s="1"/>
  <c r="AE14" i="9" s="1"/>
  <c r="AF14" i="9" s="1"/>
  <c r="AG14" i="9" s="1"/>
  <c r="AH14" i="9" s="1"/>
  <c r="AI14" i="9" s="1"/>
  <c r="AJ14" i="9" s="1"/>
  <c r="T389" i="1" l="1"/>
  <c r="X389" i="1"/>
  <c r="V389" i="1"/>
  <c r="U389" i="1"/>
  <c r="W389" i="1"/>
  <c r="I102" i="4"/>
  <c r="I103" i="4" s="1"/>
  <c r="I104" i="4" s="1"/>
  <c r="I105" i="4" s="1"/>
  <c r="I106" i="4" s="1"/>
  <c r="I107" i="4" s="1"/>
  <c r="I108" i="4" s="1"/>
  <c r="H12" i="4"/>
  <c r="F12" i="4"/>
  <c r="D12" i="4"/>
  <c r="I110" i="4"/>
  <c r="BS137" i="8"/>
  <c r="BS136" i="8"/>
  <c r="BS135" i="8"/>
  <c r="BS134" i="8"/>
  <c r="BS133" i="8"/>
  <c r="BS132" i="8"/>
  <c r="BS131" i="8"/>
  <c r="BS130" i="8"/>
  <c r="BS129" i="8"/>
  <c r="BS128" i="8"/>
  <c r="BS127" i="8"/>
  <c r="BS126" i="8"/>
  <c r="BS125" i="8"/>
  <c r="BS124" i="8"/>
  <c r="BS123" i="8"/>
  <c r="BS122" i="8"/>
  <c r="BS121" i="8"/>
  <c r="BS120" i="8"/>
  <c r="BS119" i="8"/>
  <c r="BS118" i="8"/>
  <c r="BS117" i="8"/>
  <c r="BS116" i="8"/>
  <c r="BS115" i="8"/>
  <c r="BS114" i="8"/>
  <c r="BS113" i="8"/>
  <c r="BS112" i="8"/>
  <c r="BS111" i="8"/>
  <c r="BS110" i="8"/>
  <c r="BS109" i="8"/>
  <c r="BS108" i="8"/>
  <c r="BS78" i="8"/>
  <c r="BS79" i="8"/>
  <c r="BS80" i="8"/>
  <c r="BS81" i="8"/>
  <c r="BS82" i="8"/>
  <c r="BS83" i="8"/>
  <c r="BS84" i="8"/>
  <c r="BS85" i="8"/>
  <c r="BS86" i="8"/>
  <c r="BS87" i="8"/>
  <c r="BS88" i="8"/>
  <c r="BS89" i="8"/>
  <c r="BS90" i="8"/>
  <c r="BS91" i="8"/>
  <c r="BS92" i="8"/>
  <c r="BS93" i="8"/>
  <c r="BS94" i="8"/>
  <c r="BS95" i="8"/>
  <c r="BS96" i="8"/>
  <c r="BS97" i="8"/>
  <c r="BS98" i="8"/>
  <c r="BS99" i="8"/>
  <c r="BS100" i="8"/>
  <c r="BS101" i="8"/>
  <c r="BS102" i="8"/>
  <c r="BS103" i="8"/>
  <c r="BS104" i="8"/>
  <c r="BS105" i="8"/>
  <c r="BS106" i="8"/>
  <c r="BS77" i="8"/>
  <c r="BS47" i="8"/>
  <c r="BS48" i="8"/>
  <c r="BS49" i="8"/>
  <c r="BS50" i="8"/>
  <c r="BS51" i="8"/>
  <c r="BS52" i="8"/>
  <c r="BS53" i="8"/>
  <c r="BS54" i="8"/>
  <c r="BS55" i="8"/>
  <c r="BS56" i="8"/>
  <c r="BS57" i="8"/>
  <c r="BS58" i="8"/>
  <c r="BS59" i="8"/>
  <c r="BS60" i="8"/>
  <c r="BS61" i="8"/>
  <c r="BS62" i="8"/>
  <c r="BS63" i="8"/>
  <c r="BS64" i="8"/>
  <c r="BS65" i="8"/>
  <c r="BS66" i="8"/>
  <c r="BS67" i="8"/>
  <c r="BS68" i="8"/>
  <c r="BS69" i="8"/>
  <c r="BS70" i="8"/>
  <c r="BS71" i="8"/>
  <c r="BS72" i="8"/>
  <c r="BS73" i="8"/>
  <c r="BS74" i="8"/>
  <c r="BS75" i="8"/>
  <c r="BS20" i="8"/>
  <c r="BS21" i="8"/>
  <c r="BS22" i="8"/>
  <c r="BS23" i="8"/>
  <c r="BS24" i="8"/>
  <c r="BS25" i="8"/>
  <c r="BS26" i="8"/>
  <c r="BS27" i="8"/>
  <c r="BS28" i="8"/>
  <c r="BS29" i="8"/>
  <c r="BS30" i="8"/>
  <c r="BS31" i="8"/>
  <c r="BS32" i="8"/>
  <c r="BS33" i="8"/>
  <c r="BS34" i="8"/>
  <c r="BS35" i="8"/>
  <c r="BS36" i="8"/>
  <c r="BS37" i="8"/>
  <c r="BS38" i="8"/>
  <c r="BS39" i="8"/>
  <c r="BS40" i="8"/>
  <c r="BS41" i="8"/>
  <c r="BS42" i="8"/>
  <c r="BS43" i="8"/>
  <c r="BS44" i="8"/>
  <c r="U11" i="8"/>
  <c r="V11" i="8"/>
  <c r="W11" i="8"/>
  <c r="X11" i="8"/>
  <c r="Y11" i="8"/>
  <c r="Z11" i="8"/>
  <c r="AA11" i="8"/>
  <c r="AB11" i="8"/>
  <c r="AC11" i="8"/>
  <c r="AD11" i="8"/>
  <c r="AE11" i="8"/>
  <c r="AF11" i="8"/>
  <c r="AG11" i="8"/>
  <c r="AH11" i="8"/>
  <c r="AI11" i="8"/>
  <c r="AJ11" i="8"/>
  <c r="AK11" i="8"/>
  <c r="AL11" i="8"/>
  <c r="AM11" i="8"/>
  <c r="AN11" i="8"/>
  <c r="AO11" i="8"/>
  <c r="AP11" i="8"/>
  <c r="AQ11" i="8"/>
  <c r="AR11" i="8"/>
  <c r="U60" i="8"/>
  <c r="V60" i="8"/>
  <c r="W60" i="8"/>
  <c r="X60" i="8"/>
  <c r="Y60" i="8"/>
  <c r="Z60" i="8"/>
  <c r="AA60" i="8"/>
  <c r="AB60" i="8"/>
  <c r="AC60" i="8"/>
  <c r="AD60" i="8"/>
  <c r="AE60" i="8"/>
  <c r="AF60" i="8"/>
  <c r="AG60" i="8"/>
  <c r="AH60" i="8"/>
  <c r="AI60" i="8"/>
  <c r="AJ60" i="8"/>
  <c r="AK60" i="8"/>
  <c r="AL60" i="8"/>
  <c r="AM60" i="8"/>
  <c r="AN60" i="8"/>
  <c r="AO60" i="8"/>
  <c r="AP60" i="8"/>
  <c r="AQ60" i="8"/>
  <c r="AR60" i="8"/>
  <c r="U61" i="8"/>
  <c r="V61" i="8"/>
  <c r="W61" i="8"/>
  <c r="X61" i="8"/>
  <c r="Y61" i="8"/>
  <c r="Z61" i="8"/>
  <c r="AA61" i="8"/>
  <c r="AB61" i="8"/>
  <c r="AC61" i="8"/>
  <c r="AD61" i="8"/>
  <c r="AE61" i="8"/>
  <c r="AF61" i="8"/>
  <c r="AG61" i="8"/>
  <c r="AH61" i="8"/>
  <c r="AI61" i="8"/>
  <c r="AJ61" i="8"/>
  <c r="AK61" i="8"/>
  <c r="AL61" i="8"/>
  <c r="AM61" i="8"/>
  <c r="AN61" i="8"/>
  <c r="AO61" i="8"/>
  <c r="AP61" i="8"/>
  <c r="AQ61" i="8"/>
  <c r="AR61" i="8"/>
  <c r="U62" i="8"/>
  <c r="V62" i="8"/>
  <c r="W62" i="8"/>
  <c r="X62" i="8"/>
  <c r="Y62" i="8"/>
  <c r="Z62" i="8"/>
  <c r="AA62" i="8"/>
  <c r="AB62" i="8"/>
  <c r="AC62" i="8"/>
  <c r="AD62" i="8"/>
  <c r="AE62" i="8"/>
  <c r="AF62" i="8"/>
  <c r="AG62" i="8"/>
  <c r="AH62" i="8"/>
  <c r="AI62" i="8"/>
  <c r="AJ62" i="8"/>
  <c r="AK62" i="8"/>
  <c r="AL62" i="8"/>
  <c r="AM62" i="8"/>
  <c r="AN62" i="8"/>
  <c r="AO62" i="8"/>
  <c r="AP62" i="8"/>
  <c r="AQ62" i="8"/>
  <c r="AR62" i="8"/>
  <c r="U63" i="8"/>
  <c r="V63" i="8"/>
  <c r="W63" i="8"/>
  <c r="X63" i="8"/>
  <c r="Y63" i="8"/>
  <c r="Z63" i="8"/>
  <c r="AA63" i="8"/>
  <c r="AB63" i="8"/>
  <c r="AC63" i="8"/>
  <c r="AD63" i="8"/>
  <c r="AE63" i="8"/>
  <c r="AF63" i="8"/>
  <c r="AG63" i="8"/>
  <c r="AH63" i="8"/>
  <c r="AI63" i="8"/>
  <c r="AJ63" i="8"/>
  <c r="AK63" i="8"/>
  <c r="AL63" i="8"/>
  <c r="AM63" i="8"/>
  <c r="AN63" i="8"/>
  <c r="AO63" i="8"/>
  <c r="AP63" i="8"/>
  <c r="AQ63" i="8"/>
  <c r="AR63" i="8"/>
  <c r="U64" i="8"/>
  <c r="V64" i="8"/>
  <c r="W64" i="8"/>
  <c r="X64" i="8"/>
  <c r="Y64" i="8"/>
  <c r="Z64" i="8"/>
  <c r="AA64" i="8"/>
  <c r="AB64" i="8"/>
  <c r="AC64" i="8"/>
  <c r="AD64" i="8"/>
  <c r="AE64" i="8"/>
  <c r="AF64" i="8"/>
  <c r="AG64" i="8"/>
  <c r="AH64" i="8"/>
  <c r="AI64" i="8"/>
  <c r="AJ64" i="8"/>
  <c r="AK64" i="8"/>
  <c r="AL64" i="8"/>
  <c r="AM64" i="8"/>
  <c r="AN64" i="8"/>
  <c r="AO64" i="8"/>
  <c r="AP64" i="8"/>
  <c r="AQ64" i="8"/>
  <c r="AR64" i="8"/>
  <c r="U65" i="8"/>
  <c r="V65" i="8"/>
  <c r="W65" i="8"/>
  <c r="X65" i="8"/>
  <c r="Y65" i="8"/>
  <c r="Z65" i="8"/>
  <c r="AA65" i="8"/>
  <c r="AB65" i="8"/>
  <c r="AC65" i="8"/>
  <c r="AD65" i="8"/>
  <c r="AE65" i="8"/>
  <c r="AF65" i="8"/>
  <c r="AG65" i="8"/>
  <c r="AH65" i="8"/>
  <c r="AI65" i="8"/>
  <c r="AJ65" i="8"/>
  <c r="AK65" i="8"/>
  <c r="AL65" i="8"/>
  <c r="AM65" i="8"/>
  <c r="AN65" i="8"/>
  <c r="AO65" i="8"/>
  <c r="AP65" i="8"/>
  <c r="AQ65" i="8"/>
  <c r="AR65" i="8"/>
  <c r="U66" i="8"/>
  <c r="V66" i="8"/>
  <c r="W66" i="8"/>
  <c r="X66" i="8"/>
  <c r="Y66" i="8"/>
  <c r="Z66" i="8"/>
  <c r="AA66" i="8"/>
  <c r="AB66" i="8"/>
  <c r="AC66" i="8"/>
  <c r="AD66" i="8"/>
  <c r="AE66" i="8"/>
  <c r="AF66" i="8"/>
  <c r="AG66" i="8"/>
  <c r="AH66" i="8"/>
  <c r="AI66" i="8"/>
  <c r="AJ66" i="8"/>
  <c r="AK66" i="8"/>
  <c r="AL66" i="8"/>
  <c r="AM66" i="8"/>
  <c r="AN66" i="8"/>
  <c r="AO66" i="8"/>
  <c r="AP66" i="8"/>
  <c r="AQ66" i="8"/>
  <c r="AR66" i="8"/>
  <c r="U67" i="8"/>
  <c r="V67" i="8"/>
  <c r="W67" i="8"/>
  <c r="X67" i="8"/>
  <c r="Y67" i="8"/>
  <c r="Z67" i="8"/>
  <c r="AA67" i="8"/>
  <c r="AB67" i="8"/>
  <c r="AC67" i="8"/>
  <c r="AD67" i="8"/>
  <c r="AE67" i="8"/>
  <c r="AF67" i="8"/>
  <c r="AG67" i="8"/>
  <c r="AH67" i="8"/>
  <c r="AI67" i="8"/>
  <c r="AJ67" i="8"/>
  <c r="AK67" i="8"/>
  <c r="AL67" i="8"/>
  <c r="AM67" i="8"/>
  <c r="AN67" i="8"/>
  <c r="AO67" i="8"/>
  <c r="AP67" i="8"/>
  <c r="AQ67" i="8"/>
  <c r="AR67" i="8"/>
  <c r="U68" i="8"/>
  <c r="V68" i="8"/>
  <c r="W68" i="8"/>
  <c r="X68" i="8"/>
  <c r="Y68" i="8"/>
  <c r="Z68" i="8"/>
  <c r="AA68" i="8"/>
  <c r="AB68" i="8"/>
  <c r="AC68" i="8"/>
  <c r="AD68" i="8"/>
  <c r="AE68" i="8"/>
  <c r="AF68" i="8"/>
  <c r="AG68" i="8"/>
  <c r="AH68" i="8"/>
  <c r="AI68" i="8"/>
  <c r="AJ68" i="8"/>
  <c r="AK68" i="8"/>
  <c r="AL68" i="8"/>
  <c r="AM68" i="8"/>
  <c r="AN68" i="8"/>
  <c r="AO68" i="8"/>
  <c r="AP68" i="8"/>
  <c r="AQ68" i="8"/>
  <c r="AR68" i="8"/>
  <c r="U70" i="8"/>
  <c r="V70" i="8"/>
  <c r="W70" i="8"/>
  <c r="X70" i="8"/>
  <c r="Y70" i="8"/>
  <c r="Z70" i="8"/>
  <c r="AA70" i="8"/>
  <c r="AB70" i="8"/>
  <c r="AC70" i="8"/>
  <c r="AD70" i="8"/>
  <c r="AE70" i="8"/>
  <c r="AF70" i="8"/>
  <c r="AG70" i="8"/>
  <c r="AH70" i="8"/>
  <c r="AI70" i="8"/>
  <c r="AJ70" i="8"/>
  <c r="AK70" i="8"/>
  <c r="AL70" i="8"/>
  <c r="AM70" i="8"/>
  <c r="AN70" i="8"/>
  <c r="AO70" i="8"/>
  <c r="AP70" i="8"/>
  <c r="AQ70" i="8"/>
  <c r="AR70" i="8"/>
  <c r="U71" i="8"/>
  <c r="V71" i="8"/>
  <c r="W71" i="8"/>
  <c r="X71" i="8"/>
  <c r="Y71" i="8"/>
  <c r="Z71" i="8"/>
  <c r="AA71" i="8"/>
  <c r="AB71" i="8"/>
  <c r="AC71" i="8"/>
  <c r="AD71" i="8"/>
  <c r="AE71" i="8"/>
  <c r="AF71" i="8"/>
  <c r="AG71" i="8"/>
  <c r="AH71" i="8"/>
  <c r="AI71" i="8"/>
  <c r="AJ71" i="8"/>
  <c r="AK71" i="8"/>
  <c r="AL71" i="8"/>
  <c r="AM71" i="8"/>
  <c r="AN71" i="8"/>
  <c r="AO71" i="8"/>
  <c r="AP71" i="8"/>
  <c r="AQ71" i="8"/>
  <c r="AR71" i="8"/>
  <c r="U72" i="8"/>
  <c r="V72" i="8"/>
  <c r="W72" i="8"/>
  <c r="X72" i="8"/>
  <c r="Y72" i="8"/>
  <c r="Z72" i="8"/>
  <c r="AA72" i="8"/>
  <c r="AB72" i="8"/>
  <c r="AC72" i="8"/>
  <c r="AD72" i="8"/>
  <c r="AE72" i="8"/>
  <c r="AF72" i="8"/>
  <c r="AG72" i="8"/>
  <c r="AH72" i="8"/>
  <c r="AI72" i="8"/>
  <c r="AJ72" i="8"/>
  <c r="AK72" i="8"/>
  <c r="AL72" i="8"/>
  <c r="AM72" i="8"/>
  <c r="AN72" i="8"/>
  <c r="AO72" i="8"/>
  <c r="AP72" i="8"/>
  <c r="AQ72" i="8"/>
  <c r="AR72" i="8"/>
  <c r="U73" i="8"/>
  <c r="V73" i="8"/>
  <c r="W73" i="8"/>
  <c r="X73" i="8"/>
  <c r="Y73" i="8"/>
  <c r="Z73" i="8"/>
  <c r="AA73" i="8"/>
  <c r="AB73" i="8"/>
  <c r="AC73" i="8"/>
  <c r="AD73" i="8"/>
  <c r="AE73" i="8"/>
  <c r="AF73" i="8"/>
  <c r="AG73" i="8"/>
  <c r="AH73" i="8"/>
  <c r="AI73" i="8"/>
  <c r="AJ73" i="8"/>
  <c r="AK73" i="8"/>
  <c r="AL73" i="8"/>
  <c r="AM73" i="8"/>
  <c r="AN73" i="8"/>
  <c r="AO73" i="8"/>
  <c r="AP73" i="8"/>
  <c r="AQ73" i="8"/>
  <c r="AR73" i="8"/>
  <c r="U74" i="8"/>
  <c r="V74" i="8"/>
  <c r="W74" i="8"/>
  <c r="X74" i="8"/>
  <c r="Y74" i="8"/>
  <c r="Z74" i="8"/>
  <c r="AA74" i="8"/>
  <c r="AB74" i="8"/>
  <c r="AC74" i="8"/>
  <c r="AD74" i="8"/>
  <c r="AE74" i="8"/>
  <c r="AF74" i="8"/>
  <c r="AG74" i="8"/>
  <c r="AH74" i="8"/>
  <c r="AI74" i="8"/>
  <c r="AJ74" i="8"/>
  <c r="AK74" i="8"/>
  <c r="AL74" i="8"/>
  <c r="AM74" i="8"/>
  <c r="AN74" i="8"/>
  <c r="AO74" i="8"/>
  <c r="AP74" i="8"/>
  <c r="AQ74" i="8"/>
  <c r="AR74" i="8"/>
  <c r="U75" i="8"/>
  <c r="V75" i="8"/>
  <c r="W75" i="8"/>
  <c r="X75" i="8"/>
  <c r="Y75" i="8"/>
  <c r="Z75" i="8"/>
  <c r="AA75" i="8"/>
  <c r="AB75" i="8"/>
  <c r="AC75" i="8"/>
  <c r="AD75" i="8"/>
  <c r="AE75" i="8"/>
  <c r="AF75" i="8"/>
  <c r="AG75" i="8"/>
  <c r="AH75" i="8"/>
  <c r="AI75" i="8"/>
  <c r="AJ75" i="8"/>
  <c r="AK75" i="8"/>
  <c r="AL75" i="8"/>
  <c r="AM75" i="8"/>
  <c r="AN75" i="8"/>
  <c r="AO75" i="8"/>
  <c r="AP75" i="8"/>
  <c r="AQ75" i="8"/>
  <c r="AR75" i="8"/>
  <c r="U76" i="8"/>
  <c r="V76" i="8"/>
  <c r="W76" i="8"/>
  <c r="X76" i="8"/>
  <c r="Y76" i="8"/>
  <c r="Z76" i="8"/>
  <c r="AA76" i="8"/>
  <c r="AB76" i="8"/>
  <c r="AC76" i="8"/>
  <c r="AD76" i="8"/>
  <c r="AE76" i="8"/>
  <c r="AF76" i="8"/>
  <c r="AG76" i="8"/>
  <c r="AH76" i="8"/>
  <c r="AI76" i="8"/>
  <c r="AJ76" i="8"/>
  <c r="AK76" i="8"/>
  <c r="AL76" i="8"/>
  <c r="AM76" i="8"/>
  <c r="AN76" i="8"/>
  <c r="AO76" i="8"/>
  <c r="AP76" i="8"/>
  <c r="AQ76" i="8"/>
  <c r="AR76" i="8"/>
  <c r="B806" i="7"/>
  <c r="B764" i="7"/>
  <c r="B722" i="7"/>
  <c r="B680" i="7"/>
  <c r="B638" i="7"/>
  <c r="B596" i="7"/>
  <c r="B554" i="7"/>
  <c r="B512" i="7"/>
  <c r="B470" i="7"/>
  <c r="B428" i="7"/>
  <c r="AI846" i="7"/>
  <c r="AI845" i="7"/>
  <c r="AI844" i="7"/>
  <c r="AI843" i="7"/>
  <c r="AH842" i="7"/>
  <c r="AG842" i="7"/>
  <c r="AF842" i="7"/>
  <c r="AE842" i="7"/>
  <c r="AH841" i="7"/>
  <c r="AG841" i="7"/>
  <c r="AF841" i="7"/>
  <c r="AE841" i="7"/>
  <c r="AH840" i="7"/>
  <c r="AG840" i="7"/>
  <c r="AF840" i="7"/>
  <c r="AE840" i="7"/>
  <c r="K840" i="7"/>
  <c r="K841" i="7" s="1"/>
  <c r="K842" i="7" s="1"/>
  <c r="K843" i="7" s="1"/>
  <c r="K844" i="7" s="1"/>
  <c r="K845" i="7" s="1"/>
  <c r="K846" i="7" s="1"/>
  <c r="AH839" i="7"/>
  <c r="AG839" i="7"/>
  <c r="AF839" i="7"/>
  <c r="AE839" i="7"/>
  <c r="K832" i="7"/>
  <c r="K833" i="7" s="1"/>
  <c r="K834" i="7" s="1"/>
  <c r="K835" i="7" s="1"/>
  <c r="K836" i="7" s="1"/>
  <c r="K837" i="7" s="1"/>
  <c r="K838" i="7" s="1"/>
  <c r="AI830" i="7"/>
  <c r="F830" i="7"/>
  <c r="F822" i="7" s="1"/>
  <c r="AI829" i="7"/>
  <c r="F829" i="7"/>
  <c r="AI828" i="7"/>
  <c r="F828" i="7"/>
  <c r="AI827" i="7"/>
  <c r="F827" i="7"/>
  <c r="F819" i="7" s="1"/>
  <c r="AH826" i="7"/>
  <c r="AG826" i="7"/>
  <c r="AF826" i="7"/>
  <c r="AE826" i="7"/>
  <c r="F826" i="7"/>
  <c r="F818" i="7" s="1"/>
  <c r="AH825" i="7"/>
  <c r="AG825" i="7"/>
  <c r="AF825" i="7"/>
  <c r="AE825" i="7"/>
  <c r="F825" i="7"/>
  <c r="F817" i="7" s="1"/>
  <c r="AH824" i="7"/>
  <c r="AG824" i="7"/>
  <c r="AF824" i="7"/>
  <c r="AE824" i="7"/>
  <c r="K824" i="7"/>
  <c r="K825" i="7" s="1"/>
  <c r="K826" i="7" s="1"/>
  <c r="K827" i="7" s="1"/>
  <c r="K828" i="7" s="1"/>
  <c r="K829" i="7" s="1"/>
  <c r="K830" i="7" s="1"/>
  <c r="F824" i="7"/>
  <c r="F816" i="7" s="1"/>
  <c r="AH823" i="7"/>
  <c r="AG823" i="7"/>
  <c r="AF823" i="7"/>
  <c r="AE823" i="7"/>
  <c r="F823" i="7"/>
  <c r="G823" i="7" s="1"/>
  <c r="K816" i="7"/>
  <c r="K817" i="7" s="1"/>
  <c r="K818" i="7" s="1"/>
  <c r="K819" i="7" s="1"/>
  <c r="K820" i="7" s="1"/>
  <c r="K821" i="7" s="1"/>
  <c r="K822" i="7" s="1"/>
  <c r="AP814" i="7"/>
  <c r="AN814" i="7"/>
  <c r="AK814" i="7"/>
  <c r="AK830" i="7" s="1"/>
  <c r="AJ814" i="7"/>
  <c r="AH814" i="7"/>
  <c r="AH846" i="7" s="1"/>
  <c r="AG814" i="7"/>
  <c r="AG846" i="7" s="1"/>
  <c r="AF814" i="7"/>
  <c r="AE814" i="7"/>
  <c r="AE830" i="7" s="1"/>
  <c r="R814" i="7"/>
  <c r="AP813" i="7"/>
  <c r="AN813" i="7"/>
  <c r="AK813" i="7"/>
  <c r="AJ813" i="7"/>
  <c r="AH813" i="7"/>
  <c r="AH845" i="7" s="1"/>
  <c r="AG813" i="7"/>
  <c r="AF813" i="7"/>
  <c r="AE813" i="7"/>
  <c r="AE845" i="7" s="1"/>
  <c r="R813" i="7"/>
  <c r="AL813" i="7" s="1"/>
  <c r="AP812" i="7"/>
  <c r="AN812" i="7"/>
  <c r="AK812" i="7"/>
  <c r="AK844" i="7" s="1"/>
  <c r="AJ812" i="7"/>
  <c r="AH812" i="7"/>
  <c r="AH828" i="7" s="1"/>
  <c r="AG812" i="7"/>
  <c r="AG828" i="7" s="1"/>
  <c r="AF812" i="7"/>
  <c r="AE812" i="7"/>
  <c r="AE828" i="7" s="1"/>
  <c r="R812" i="7"/>
  <c r="O812" i="7" s="1"/>
  <c r="V812" i="7" s="1"/>
  <c r="AP811" i="7"/>
  <c r="AN811" i="7"/>
  <c r="AK811" i="7"/>
  <c r="AJ811" i="7"/>
  <c r="AH811" i="7"/>
  <c r="AG811" i="7"/>
  <c r="AG827" i="7" s="1"/>
  <c r="AF811" i="7"/>
  <c r="AF843" i="7" s="1"/>
  <c r="AE811" i="7"/>
  <c r="AE843" i="7" s="1"/>
  <c r="R811" i="7"/>
  <c r="O811" i="7" s="1"/>
  <c r="V811" i="7" s="1"/>
  <c r="AI810" i="7"/>
  <c r="R810" i="7"/>
  <c r="AE834" i="7" s="1"/>
  <c r="AI809" i="7"/>
  <c r="R809" i="7"/>
  <c r="AH817" i="7" s="1"/>
  <c r="AI808" i="7"/>
  <c r="R808" i="7"/>
  <c r="AH832" i="7" s="1"/>
  <c r="K808" i="7"/>
  <c r="K809" i="7" s="1"/>
  <c r="K810" i="7" s="1"/>
  <c r="K811" i="7" s="1"/>
  <c r="K812" i="7" s="1"/>
  <c r="K813" i="7" s="1"/>
  <c r="K814" i="7" s="1"/>
  <c r="I808" i="7"/>
  <c r="I809" i="7" s="1"/>
  <c r="H808" i="7"/>
  <c r="H809" i="7" s="1"/>
  <c r="H810" i="7" s="1"/>
  <c r="H811" i="7" s="1"/>
  <c r="H812" i="7" s="1"/>
  <c r="H813" i="7" s="1"/>
  <c r="H814" i="7" s="1"/>
  <c r="H815" i="7" s="1"/>
  <c r="H816" i="7" s="1"/>
  <c r="H817" i="7" s="1"/>
  <c r="H818" i="7" s="1"/>
  <c r="H819" i="7" s="1"/>
  <c r="H820" i="7" s="1"/>
  <c r="H821" i="7" s="1"/>
  <c r="H822" i="7" s="1"/>
  <c r="H823" i="7" s="1"/>
  <c r="H824" i="7" s="1"/>
  <c r="H825" i="7" s="1"/>
  <c r="H826" i="7" s="1"/>
  <c r="H827" i="7" s="1"/>
  <c r="H828" i="7" s="1"/>
  <c r="H829" i="7" s="1"/>
  <c r="H830" i="7" s="1"/>
  <c r="H831" i="7" s="1"/>
  <c r="H832" i="7" s="1"/>
  <c r="H833" i="7" s="1"/>
  <c r="H834" i="7" s="1"/>
  <c r="H835" i="7" s="1"/>
  <c r="H836" i="7" s="1"/>
  <c r="H837" i="7" s="1"/>
  <c r="H838" i="7" s="1"/>
  <c r="H839" i="7" s="1"/>
  <c r="H840" i="7" s="1"/>
  <c r="H841" i="7" s="1"/>
  <c r="H842" i="7" s="1"/>
  <c r="H843" i="7" s="1"/>
  <c r="H844" i="7" s="1"/>
  <c r="H845" i="7" s="1"/>
  <c r="H846" i="7" s="1"/>
  <c r="AI807" i="7"/>
  <c r="R807" i="7"/>
  <c r="O807" i="7" s="1"/>
  <c r="J807" i="7"/>
  <c r="G807" i="7"/>
  <c r="D807" i="7"/>
  <c r="D808" i="7" s="1"/>
  <c r="D809" i="7" s="1"/>
  <c r="D810" i="7" s="1"/>
  <c r="D811" i="7" s="1"/>
  <c r="D812" i="7" s="1"/>
  <c r="D813" i="7" s="1"/>
  <c r="D814" i="7" s="1"/>
  <c r="D815" i="7" s="1"/>
  <c r="D816" i="7" s="1"/>
  <c r="D817" i="7" s="1"/>
  <c r="D818" i="7" s="1"/>
  <c r="D819" i="7" s="1"/>
  <c r="D820" i="7" s="1"/>
  <c r="D821" i="7" s="1"/>
  <c r="D822" i="7" s="1"/>
  <c r="D823" i="7" s="1"/>
  <c r="D824" i="7" s="1"/>
  <c r="D825" i="7" s="1"/>
  <c r="D826" i="7" s="1"/>
  <c r="D827" i="7" s="1"/>
  <c r="D828" i="7" s="1"/>
  <c r="D829" i="7" s="1"/>
  <c r="D830" i="7" s="1"/>
  <c r="D831" i="7" s="1"/>
  <c r="D832" i="7" s="1"/>
  <c r="D833" i="7" s="1"/>
  <c r="D834" i="7" s="1"/>
  <c r="D835" i="7" s="1"/>
  <c r="D836" i="7" s="1"/>
  <c r="D837" i="7" s="1"/>
  <c r="D838" i="7" s="1"/>
  <c r="D839" i="7" s="1"/>
  <c r="D840" i="7" s="1"/>
  <c r="D841" i="7" s="1"/>
  <c r="D842" i="7" s="1"/>
  <c r="D843" i="7" s="1"/>
  <c r="D844" i="7" s="1"/>
  <c r="D845" i="7" s="1"/>
  <c r="D846" i="7" s="1"/>
  <c r="AI804" i="7"/>
  <c r="AI803" i="7"/>
  <c r="AI802" i="7"/>
  <c r="AI801" i="7"/>
  <c r="AH800" i="7"/>
  <c r="AG800" i="7"/>
  <c r="AF800" i="7"/>
  <c r="AE800" i="7"/>
  <c r="AH799" i="7"/>
  <c r="AG799" i="7"/>
  <c r="AF799" i="7"/>
  <c r="AE799" i="7"/>
  <c r="AH798" i="7"/>
  <c r="AG798" i="7"/>
  <c r="AF798" i="7"/>
  <c r="AE798" i="7"/>
  <c r="K798" i="7"/>
  <c r="K799" i="7" s="1"/>
  <c r="K800" i="7" s="1"/>
  <c r="K801" i="7" s="1"/>
  <c r="K802" i="7" s="1"/>
  <c r="K803" i="7" s="1"/>
  <c r="K804" i="7" s="1"/>
  <c r="AH797" i="7"/>
  <c r="AG797" i="7"/>
  <c r="AF797" i="7"/>
  <c r="AE797" i="7"/>
  <c r="K790" i="7"/>
  <c r="K791" i="7" s="1"/>
  <c r="K792" i="7" s="1"/>
  <c r="K793" i="7" s="1"/>
  <c r="K794" i="7" s="1"/>
  <c r="K795" i="7" s="1"/>
  <c r="K796" i="7" s="1"/>
  <c r="AI788" i="7"/>
  <c r="F788" i="7"/>
  <c r="F780" i="7" s="1"/>
  <c r="F804" i="7" s="1"/>
  <c r="F796" i="7" s="1"/>
  <c r="AI787" i="7"/>
  <c r="F787" i="7"/>
  <c r="F779" i="7" s="1"/>
  <c r="F803" i="7" s="1"/>
  <c r="AI786" i="7"/>
  <c r="F786" i="7"/>
  <c r="F778" i="7" s="1"/>
  <c r="AI785" i="7"/>
  <c r="F785" i="7"/>
  <c r="AH784" i="7"/>
  <c r="AG784" i="7"/>
  <c r="AF784" i="7"/>
  <c r="AE784" i="7"/>
  <c r="F784" i="7"/>
  <c r="F776" i="7" s="1"/>
  <c r="AH783" i="7"/>
  <c r="AG783" i="7"/>
  <c r="AF783" i="7"/>
  <c r="AE783" i="7"/>
  <c r="F783" i="7"/>
  <c r="F775" i="7" s="1"/>
  <c r="F799" i="7" s="1"/>
  <c r="AH782" i="7"/>
  <c r="AG782" i="7"/>
  <c r="AF782" i="7"/>
  <c r="AE782" i="7"/>
  <c r="K782" i="7"/>
  <c r="K783" i="7" s="1"/>
  <c r="K784" i="7" s="1"/>
  <c r="K785" i="7" s="1"/>
  <c r="K786" i="7" s="1"/>
  <c r="K787" i="7" s="1"/>
  <c r="K788" i="7" s="1"/>
  <c r="F782" i="7"/>
  <c r="F774" i="7" s="1"/>
  <c r="AH781" i="7"/>
  <c r="AG781" i="7"/>
  <c r="AF781" i="7"/>
  <c r="AE781" i="7"/>
  <c r="F781" i="7"/>
  <c r="G781" i="7" s="1"/>
  <c r="K774" i="7"/>
  <c r="K775" i="7" s="1"/>
  <c r="K776" i="7" s="1"/>
  <c r="K777" i="7" s="1"/>
  <c r="K778" i="7" s="1"/>
  <c r="K779" i="7" s="1"/>
  <c r="K780" i="7" s="1"/>
  <c r="AP772" i="7"/>
  <c r="AN772" i="7"/>
  <c r="AK772" i="7"/>
  <c r="AK788" i="7" s="1"/>
  <c r="AJ772" i="7"/>
  <c r="AH772" i="7"/>
  <c r="AH804" i="7" s="1"/>
  <c r="AG772" i="7"/>
  <c r="AG804" i="7" s="1"/>
  <c r="AF772" i="7"/>
  <c r="AF788" i="7" s="1"/>
  <c r="AE772" i="7"/>
  <c r="AE788" i="7" s="1"/>
  <c r="R772" i="7"/>
  <c r="AP771" i="7"/>
  <c r="AN771" i="7"/>
  <c r="AK771" i="7"/>
  <c r="AJ771" i="7"/>
  <c r="AH771" i="7"/>
  <c r="AH803" i="7" s="1"/>
  <c r="AG771" i="7"/>
  <c r="AG803" i="7" s="1"/>
  <c r="AF771" i="7"/>
  <c r="AF787" i="7" s="1"/>
  <c r="AE771" i="7"/>
  <c r="R771" i="7"/>
  <c r="AP770" i="7"/>
  <c r="AN770" i="7"/>
  <c r="AK770" i="7"/>
  <c r="AK786" i="7" s="1"/>
  <c r="AJ770" i="7"/>
  <c r="AH770" i="7"/>
  <c r="AH786" i="7" s="1"/>
  <c r="AG770" i="7"/>
  <c r="AF770" i="7"/>
  <c r="AE770" i="7"/>
  <c r="R770" i="7"/>
  <c r="O770" i="7" s="1"/>
  <c r="AP769" i="7"/>
  <c r="AN769" i="7"/>
  <c r="AK769" i="7"/>
  <c r="AK785" i="7" s="1"/>
  <c r="AJ769" i="7"/>
  <c r="AH769" i="7"/>
  <c r="AH785" i="7" s="1"/>
  <c r="AG769" i="7"/>
  <c r="AF769" i="7"/>
  <c r="AF801" i="7" s="1"/>
  <c r="AE769" i="7"/>
  <c r="AE801" i="7" s="1"/>
  <c r="R769" i="7"/>
  <c r="AI768" i="7"/>
  <c r="R768" i="7"/>
  <c r="AE792" i="7" s="1"/>
  <c r="AI767" i="7"/>
  <c r="R767" i="7"/>
  <c r="O767" i="7" s="1"/>
  <c r="AI766" i="7"/>
  <c r="R766" i="7"/>
  <c r="O766" i="7" s="1"/>
  <c r="V766" i="7" s="1"/>
  <c r="K766" i="7"/>
  <c r="K767" i="7" s="1"/>
  <c r="K768" i="7" s="1"/>
  <c r="K769" i="7" s="1"/>
  <c r="K770" i="7" s="1"/>
  <c r="K771" i="7" s="1"/>
  <c r="K772" i="7" s="1"/>
  <c r="I766" i="7"/>
  <c r="I767" i="7" s="1"/>
  <c r="H766" i="7"/>
  <c r="H767" i="7" s="1"/>
  <c r="H768" i="7" s="1"/>
  <c r="H769" i="7" s="1"/>
  <c r="H770" i="7" s="1"/>
  <c r="H771" i="7" s="1"/>
  <c r="H772" i="7" s="1"/>
  <c r="H773" i="7" s="1"/>
  <c r="H774" i="7" s="1"/>
  <c r="H775" i="7" s="1"/>
  <c r="H776" i="7" s="1"/>
  <c r="H777" i="7" s="1"/>
  <c r="H778" i="7" s="1"/>
  <c r="H779" i="7" s="1"/>
  <c r="H780" i="7" s="1"/>
  <c r="H781" i="7" s="1"/>
  <c r="H782" i="7" s="1"/>
  <c r="H783" i="7" s="1"/>
  <c r="H784" i="7" s="1"/>
  <c r="H785" i="7" s="1"/>
  <c r="H786" i="7" s="1"/>
  <c r="H787" i="7" s="1"/>
  <c r="H788" i="7" s="1"/>
  <c r="H789" i="7" s="1"/>
  <c r="H790" i="7" s="1"/>
  <c r="H791" i="7" s="1"/>
  <c r="H792" i="7" s="1"/>
  <c r="H793" i="7" s="1"/>
  <c r="H794" i="7" s="1"/>
  <c r="H795" i="7" s="1"/>
  <c r="H796" i="7" s="1"/>
  <c r="H797" i="7" s="1"/>
  <c r="H798" i="7" s="1"/>
  <c r="H799" i="7" s="1"/>
  <c r="H800" i="7" s="1"/>
  <c r="H801" i="7" s="1"/>
  <c r="H802" i="7" s="1"/>
  <c r="H803" i="7" s="1"/>
  <c r="H804" i="7" s="1"/>
  <c r="AI765" i="7"/>
  <c r="R765" i="7"/>
  <c r="AF773" i="7" s="1"/>
  <c r="J765" i="7"/>
  <c r="G765" i="7"/>
  <c r="D765" i="7"/>
  <c r="D766" i="7" s="1"/>
  <c r="D767" i="7" s="1"/>
  <c r="D768" i="7" s="1"/>
  <c r="D769" i="7" s="1"/>
  <c r="D770" i="7" s="1"/>
  <c r="D771" i="7" s="1"/>
  <c r="D772" i="7" s="1"/>
  <c r="D773" i="7" s="1"/>
  <c r="D774" i="7" s="1"/>
  <c r="D775" i="7" s="1"/>
  <c r="D776" i="7" s="1"/>
  <c r="D777" i="7" s="1"/>
  <c r="D778" i="7" s="1"/>
  <c r="D779" i="7" s="1"/>
  <c r="D780" i="7" s="1"/>
  <c r="D781" i="7" s="1"/>
  <c r="D782" i="7" s="1"/>
  <c r="D783" i="7" s="1"/>
  <c r="D784" i="7" s="1"/>
  <c r="D785" i="7" s="1"/>
  <c r="D786" i="7" s="1"/>
  <c r="D787" i="7" s="1"/>
  <c r="D788" i="7" s="1"/>
  <c r="D789" i="7" s="1"/>
  <c r="D790" i="7" s="1"/>
  <c r="D791" i="7" s="1"/>
  <c r="D792" i="7" s="1"/>
  <c r="D793" i="7" s="1"/>
  <c r="D794" i="7" s="1"/>
  <c r="D795" i="7" s="1"/>
  <c r="D796" i="7" s="1"/>
  <c r="D797" i="7" s="1"/>
  <c r="D798" i="7" s="1"/>
  <c r="D799" i="7" s="1"/>
  <c r="D800" i="7" s="1"/>
  <c r="D801" i="7" s="1"/>
  <c r="D802" i="7" s="1"/>
  <c r="D803" i="7" s="1"/>
  <c r="D804" i="7" s="1"/>
  <c r="AI762" i="7"/>
  <c r="AI761" i="7"/>
  <c r="AI760" i="7"/>
  <c r="AI759" i="7"/>
  <c r="AH758" i="7"/>
  <c r="AG758" i="7"/>
  <c r="AF758" i="7"/>
  <c r="AE758" i="7"/>
  <c r="AH757" i="7"/>
  <c r="AG757" i="7"/>
  <c r="AF757" i="7"/>
  <c r="AE757" i="7"/>
  <c r="AH756" i="7"/>
  <c r="AG756" i="7"/>
  <c r="AF756" i="7"/>
  <c r="AE756" i="7"/>
  <c r="K756" i="7"/>
  <c r="K757" i="7" s="1"/>
  <c r="K758" i="7" s="1"/>
  <c r="K759" i="7" s="1"/>
  <c r="K760" i="7" s="1"/>
  <c r="K761" i="7" s="1"/>
  <c r="K762" i="7" s="1"/>
  <c r="AH755" i="7"/>
  <c r="AG755" i="7"/>
  <c r="AF755" i="7"/>
  <c r="AE755" i="7"/>
  <c r="K748" i="7"/>
  <c r="K749" i="7" s="1"/>
  <c r="K750" i="7" s="1"/>
  <c r="K751" i="7" s="1"/>
  <c r="K752" i="7" s="1"/>
  <c r="K753" i="7" s="1"/>
  <c r="K754" i="7" s="1"/>
  <c r="AI746" i="7"/>
  <c r="F746" i="7"/>
  <c r="F738" i="7" s="1"/>
  <c r="F762" i="7" s="1"/>
  <c r="AI745" i="7"/>
  <c r="F745" i="7"/>
  <c r="F737" i="7" s="1"/>
  <c r="F761" i="7" s="1"/>
  <c r="AI744" i="7"/>
  <c r="F744" i="7"/>
  <c r="AI743" i="7"/>
  <c r="F743" i="7"/>
  <c r="F735" i="7" s="1"/>
  <c r="AH742" i="7"/>
  <c r="AG742" i="7"/>
  <c r="AF742" i="7"/>
  <c r="AE742" i="7"/>
  <c r="F742" i="7"/>
  <c r="F734" i="7" s="1"/>
  <c r="F758" i="7" s="1"/>
  <c r="AH741" i="7"/>
  <c r="AG741" i="7"/>
  <c r="AF741" i="7"/>
  <c r="AE741" i="7"/>
  <c r="F741" i="7"/>
  <c r="F733" i="7" s="1"/>
  <c r="AH740" i="7"/>
  <c r="AG740" i="7"/>
  <c r="AF740" i="7"/>
  <c r="AE740" i="7"/>
  <c r="K740" i="7"/>
  <c r="K741" i="7" s="1"/>
  <c r="K742" i="7" s="1"/>
  <c r="K743" i="7" s="1"/>
  <c r="K744" i="7" s="1"/>
  <c r="K745" i="7" s="1"/>
  <c r="K746" i="7" s="1"/>
  <c r="F740" i="7"/>
  <c r="AH739" i="7"/>
  <c r="AG739" i="7"/>
  <c r="AF739" i="7"/>
  <c r="AE739" i="7"/>
  <c r="F739" i="7"/>
  <c r="G739" i="7" s="1"/>
  <c r="K732" i="7"/>
  <c r="K733" i="7" s="1"/>
  <c r="K734" i="7" s="1"/>
  <c r="K735" i="7" s="1"/>
  <c r="K736" i="7" s="1"/>
  <c r="K737" i="7" s="1"/>
  <c r="K738" i="7" s="1"/>
  <c r="AP730" i="7"/>
  <c r="AN730" i="7"/>
  <c r="AK730" i="7"/>
  <c r="AK746" i="7" s="1"/>
  <c r="AJ730" i="7"/>
  <c r="AH730" i="7"/>
  <c r="AG730" i="7"/>
  <c r="AG762" i="7" s="1"/>
  <c r="AF730" i="7"/>
  <c r="AE730" i="7"/>
  <c r="AE746" i="7" s="1"/>
  <c r="R730" i="7"/>
  <c r="AL730" i="7" s="1"/>
  <c r="AP729" i="7"/>
  <c r="AN729" i="7"/>
  <c r="AK729" i="7"/>
  <c r="AJ729" i="7"/>
  <c r="AH729" i="7"/>
  <c r="AH761" i="7" s="1"/>
  <c r="AG729" i="7"/>
  <c r="AG745" i="7" s="1"/>
  <c r="AF729" i="7"/>
  <c r="AF745" i="7" s="1"/>
  <c r="AE729" i="7"/>
  <c r="AE745" i="7" s="1"/>
  <c r="R729" i="7"/>
  <c r="AL729" i="7" s="1"/>
  <c r="AP728" i="7"/>
  <c r="AN728" i="7"/>
  <c r="AK728" i="7"/>
  <c r="AK760" i="7" s="1"/>
  <c r="AJ728" i="7"/>
  <c r="AH728" i="7"/>
  <c r="AH744" i="7" s="1"/>
  <c r="AG728" i="7"/>
  <c r="AG744" i="7" s="1"/>
  <c r="AF728" i="7"/>
  <c r="AE728" i="7"/>
  <c r="AE744" i="7" s="1"/>
  <c r="R728" i="7"/>
  <c r="AL728" i="7" s="1"/>
  <c r="AP727" i="7"/>
  <c r="AN727" i="7"/>
  <c r="AK727" i="7"/>
  <c r="AJ727" i="7"/>
  <c r="AH727" i="7"/>
  <c r="AG727" i="7"/>
  <c r="AF727" i="7"/>
  <c r="AF743" i="7" s="1"/>
  <c r="AE727" i="7"/>
  <c r="AE759" i="7" s="1"/>
  <c r="R727" i="7"/>
  <c r="O727" i="7" s="1"/>
  <c r="V727" i="7" s="1"/>
  <c r="AI726" i="7"/>
  <c r="R726" i="7"/>
  <c r="AE750" i="7" s="1"/>
  <c r="AI725" i="7"/>
  <c r="R725" i="7"/>
  <c r="AH733" i="7" s="1"/>
  <c r="AI724" i="7"/>
  <c r="R724" i="7"/>
  <c r="AF732" i="7" s="1"/>
  <c r="K724" i="7"/>
  <c r="K725" i="7" s="1"/>
  <c r="K726" i="7" s="1"/>
  <c r="K727" i="7" s="1"/>
  <c r="K728" i="7" s="1"/>
  <c r="K729" i="7" s="1"/>
  <c r="K730" i="7" s="1"/>
  <c r="I724" i="7"/>
  <c r="I725" i="7" s="1"/>
  <c r="H724" i="7"/>
  <c r="H725" i="7" s="1"/>
  <c r="H726" i="7" s="1"/>
  <c r="H727" i="7" s="1"/>
  <c r="H728" i="7" s="1"/>
  <c r="H729" i="7" s="1"/>
  <c r="H730" i="7" s="1"/>
  <c r="H731" i="7" s="1"/>
  <c r="H732" i="7" s="1"/>
  <c r="H733" i="7" s="1"/>
  <c r="H734" i="7" s="1"/>
  <c r="H735" i="7" s="1"/>
  <c r="H736" i="7" s="1"/>
  <c r="H737" i="7" s="1"/>
  <c r="H738" i="7" s="1"/>
  <c r="H739" i="7" s="1"/>
  <c r="H740" i="7" s="1"/>
  <c r="H741" i="7" s="1"/>
  <c r="H742" i="7" s="1"/>
  <c r="H743" i="7" s="1"/>
  <c r="H744" i="7" s="1"/>
  <c r="H745" i="7" s="1"/>
  <c r="H746" i="7" s="1"/>
  <c r="H747" i="7" s="1"/>
  <c r="H748" i="7" s="1"/>
  <c r="H749" i="7" s="1"/>
  <c r="H750" i="7" s="1"/>
  <c r="H751" i="7" s="1"/>
  <c r="H752" i="7" s="1"/>
  <c r="H753" i="7" s="1"/>
  <c r="H754" i="7" s="1"/>
  <c r="H755" i="7" s="1"/>
  <c r="H756" i="7" s="1"/>
  <c r="H757" i="7" s="1"/>
  <c r="H758" i="7" s="1"/>
  <c r="H759" i="7" s="1"/>
  <c r="H760" i="7" s="1"/>
  <c r="H761" i="7" s="1"/>
  <c r="H762" i="7" s="1"/>
  <c r="AI723" i="7"/>
  <c r="R723" i="7"/>
  <c r="O723" i="7" s="1"/>
  <c r="V723" i="7" s="1"/>
  <c r="J723" i="7"/>
  <c r="G723" i="7"/>
  <c r="D723" i="7"/>
  <c r="D724" i="7" s="1"/>
  <c r="D725" i="7" s="1"/>
  <c r="D726" i="7" s="1"/>
  <c r="D727" i="7" s="1"/>
  <c r="D728" i="7" s="1"/>
  <c r="D729" i="7" s="1"/>
  <c r="D730" i="7" s="1"/>
  <c r="D731" i="7" s="1"/>
  <c r="D732" i="7" s="1"/>
  <c r="D733" i="7" s="1"/>
  <c r="D734" i="7" s="1"/>
  <c r="D735" i="7" s="1"/>
  <c r="D736" i="7" s="1"/>
  <c r="D737" i="7" s="1"/>
  <c r="D738" i="7" s="1"/>
  <c r="D739" i="7" s="1"/>
  <c r="D740" i="7" s="1"/>
  <c r="D741" i="7" s="1"/>
  <c r="D742" i="7" s="1"/>
  <c r="D743" i="7" s="1"/>
  <c r="D744" i="7" s="1"/>
  <c r="D745" i="7" s="1"/>
  <c r="D746" i="7" s="1"/>
  <c r="D747" i="7" s="1"/>
  <c r="D748" i="7" s="1"/>
  <c r="D749" i="7" s="1"/>
  <c r="D750" i="7" s="1"/>
  <c r="D751" i="7" s="1"/>
  <c r="D752" i="7" s="1"/>
  <c r="D753" i="7" s="1"/>
  <c r="D754" i="7" s="1"/>
  <c r="D755" i="7" s="1"/>
  <c r="D756" i="7" s="1"/>
  <c r="D757" i="7" s="1"/>
  <c r="D758" i="7" s="1"/>
  <c r="D759" i="7" s="1"/>
  <c r="D760" i="7" s="1"/>
  <c r="D761" i="7" s="1"/>
  <c r="D762" i="7" s="1"/>
  <c r="AI720" i="7"/>
  <c r="AI719" i="7"/>
  <c r="AI718" i="7"/>
  <c r="AI717" i="7"/>
  <c r="AH716" i="7"/>
  <c r="AG716" i="7"/>
  <c r="AF716" i="7"/>
  <c r="AE716" i="7"/>
  <c r="AH715" i="7"/>
  <c r="AG715" i="7"/>
  <c r="AF715" i="7"/>
  <c r="AE715" i="7"/>
  <c r="AH714" i="7"/>
  <c r="AG714" i="7"/>
  <c r="AF714" i="7"/>
  <c r="AE714" i="7"/>
  <c r="K714" i="7"/>
  <c r="K715" i="7" s="1"/>
  <c r="K716" i="7" s="1"/>
  <c r="K717" i="7" s="1"/>
  <c r="K718" i="7" s="1"/>
  <c r="K719" i="7" s="1"/>
  <c r="K720" i="7" s="1"/>
  <c r="AH713" i="7"/>
  <c r="AG713" i="7"/>
  <c r="AF713" i="7"/>
  <c r="AE713" i="7"/>
  <c r="K706" i="7"/>
  <c r="K707" i="7" s="1"/>
  <c r="K708" i="7" s="1"/>
  <c r="K709" i="7" s="1"/>
  <c r="K710" i="7" s="1"/>
  <c r="K711" i="7" s="1"/>
  <c r="K712" i="7" s="1"/>
  <c r="AI704" i="7"/>
  <c r="F704" i="7"/>
  <c r="AI703" i="7"/>
  <c r="F703" i="7"/>
  <c r="F695" i="7" s="1"/>
  <c r="F719" i="7" s="1"/>
  <c r="AI702" i="7"/>
  <c r="F702" i="7"/>
  <c r="F694" i="7" s="1"/>
  <c r="AI701" i="7"/>
  <c r="F701" i="7"/>
  <c r="AH700" i="7"/>
  <c r="AG700" i="7"/>
  <c r="AF700" i="7"/>
  <c r="AE700" i="7"/>
  <c r="F700" i="7"/>
  <c r="AH699" i="7"/>
  <c r="AG699" i="7"/>
  <c r="AF699" i="7"/>
  <c r="AE699" i="7"/>
  <c r="F699" i="7"/>
  <c r="F691" i="7" s="1"/>
  <c r="F715" i="7" s="1"/>
  <c r="AH698" i="7"/>
  <c r="AG698" i="7"/>
  <c r="AF698" i="7"/>
  <c r="AE698" i="7"/>
  <c r="K698" i="7"/>
  <c r="K699" i="7" s="1"/>
  <c r="K700" i="7" s="1"/>
  <c r="K701" i="7" s="1"/>
  <c r="K702" i="7" s="1"/>
  <c r="K703" i="7" s="1"/>
  <c r="K704" i="7" s="1"/>
  <c r="F698" i="7"/>
  <c r="AH697" i="7"/>
  <c r="AG697" i="7"/>
  <c r="AF697" i="7"/>
  <c r="AE697" i="7"/>
  <c r="F697" i="7"/>
  <c r="K690" i="7"/>
  <c r="K691" i="7" s="1"/>
  <c r="K692" i="7" s="1"/>
  <c r="K693" i="7" s="1"/>
  <c r="K694" i="7" s="1"/>
  <c r="K695" i="7" s="1"/>
  <c r="K696" i="7" s="1"/>
  <c r="AP688" i="7"/>
  <c r="AN688" i="7"/>
  <c r="AK688" i="7"/>
  <c r="AK704" i="7" s="1"/>
  <c r="AJ688" i="7"/>
  <c r="AH688" i="7"/>
  <c r="AH720" i="7" s="1"/>
  <c r="AG688" i="7"/>
  <c r="AG704" i="7" s="1"/>
  <c r="AF688" i="7"/>
  <c r="AF704" i="7" s="1"/>
  <c r="AE688" i="7"/>
  <c r="AE704" i="7" s="1"/>
  <c r="R688" i="7"/>
  <c r="AP687" i="7"/>
  <c r="AN687" i="7"/>
  <c r="AK687" i="7"/>
  <c r="AK703" i="7" s="1"/>
  <c r="AJ687" i="7"/>
  <c r="AH687" i="7"/>
  <c r="AH719" i="7" s="1"/>
  <c r="AG687" i="7"/>
  <c r="AG719" i="7" s="1"/>
  <c r="AF687" i="7"/>
  <c r="AF703" i="7" s="1"/>
  <c r="AE687" i="7"/>
  <c r="AE719" i="7" s="1"/>
  <c r="R687" i="7"/>
  <c r="AL687" i="7" s="1"/>
  <c r="AP686" i="7"/>
  <c r="AN686" i="7"/>
  <c r="AK686" i="7"/>
  <c r="AK718" i="7" s="1"/>
  <c r="AJ686" i="7"/>
  <c r="AH686" i="7"/>
  <c r="AH702" i="7" s="1"/>
  <c r="AG686" i="7"/>
  <c r="AF686" i="7"/>
  <c r="AE686" i="7"/>
  <c r="AE718" i="7" s="1"/>
  <c r="R686" i="7"/>
  <c r="O686" i="7" s="1"/>
  <c r="AP685" i="7"/>
  <c r="AN685" i="7"/>
  <c r="AK685" i="7"/>
  <c r="AJ685" i="7"/>
  <c r="AH685" i="7"/>
  <c r="AH701" i="7" s="1"/>
  <c r="AG685" i="7"/>
  <c r="AG701" i="7" s="1"/>
  <c r="AF685" i="7"/>
  <c r="AF717" i="7" s="1"/>
  <c r="AE685" i="7"/>
  <c r="AE701" i="7" s="1"/>
  <c r="R685" i="7"/>
  <c r="O685" i="7" s="1"/>
  <c r="AI684" i="7"/>
  <c r="R684" i="7"/>
  <c r="AH692" i="7" s="1"/>
  <c r="AI683" i="7"/>
  <c r="R683" i="7"/>
  <c r="AF707" i="7" s="1"/>
  <c r="AI682" i="7"/>
  <c r="R682" i="7"/>
  <c r="AF690" i="7" s="1"/>
  <c r="K682" i="7"/>
  <c r="K683" i="7" s="1"/>
  <c r="K684" i="7" s="1"/>
  <c r="K685" i="7" s="1"/>
  <c r="K686" i="7" s="1"/>
  <c r="K687" i="7" s="1"/>
  <c r="K688" i="7" s="1"/>
  <c r="I682" i="7"/>
  <c r="I683" i="7" s="1"/>
  <c r="H682" i="7"/>
  <c r="H683" i="7" s="1"/>
  <c r="H684" i="7" s="1"/>
  <c r="H685" i="7" s="1"/>
  <c r="H686" i="7" s="1"/>
  <c r="H687" i="7" s="1"/>
  <c r="H688" i="7" s="1"/>
  <c r="H689" i="7" s="1"/>
  <c r="H690" i="7" s="1"/>
  <c r="H691" i="7" s="1"/>
  <c r="H692" i="7" s="1"/>
  <c r="H693" i="7" s="1"/>
  <c r="H694" i="7" s="1"/>
  <c r="H695" i="7" s="1"/>
  <c r="H696" i="7" s="1"/>
  <c r="H697" i="7" s="1"/>
  <c r="H698" i="7" s="1"/>
  <c r="H699" i="7" s="1"/>
  <c r="H700" i="7" s="1"/>
  <c r="H701" i="7" s="1"/>
  <c r="H702" i="7" s="1"/>
  <c r="H703" i="7" s="1"/>
  <c r="H704" i="7" s="1"/>
  <c r="H705" i="7" s="1"/>
  <c r="H706" i="7" s="1"/>
  <c r="H707" i="7" s="1"/>
  <c r="H708" i="7" s="1"/>
  <c r="H709" i="7" s="1"/>
  <c r="H710" i="7" s="1"/>
  <c r="H711" i="7" s="1"/>
  <c r="H712" i="7" s="1"/>
  <c r="H713" i="7" s="1"/>
  <c r="H714" i="7" s="1"/>
  <c r="H715" i="7" s="1"/>
  <c r="H716" i="7" s="1"/>
  <c r="H717" i="7" s="1"/>
  <c r="H718" i="7" s="1"/>
  <c r="H719" i="7" s="1"/>
  <c r="H720" i="7" s="1"/>
  <c r="AI681" i="7"/>
  <c r="R681" i="7"/>
  <c r="O681" i="7" s="1"/>
  <c r="V681" i="7" s="1"/>
  <c r="J681" i="7"/>
  <c r="G681" i="7"/>
  <c r="D681" i="7"/>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AI678" i="7"/>
  <c r="AI677" i="7"/>
  <c r="AI676" i="7"/>
  <c r="AI675" i="7"/>
  <c r="AH674" i="7"/>
  <c r="AG674" i="7"/>
  <c r="AF674" i="7"/>
  <c r="AE674" i="7"/>
  <c r="AH673" i="7"/>
  <c r="AG673" i="7"/>
  <c r="AF673" i="7"/>
  <c r="AE673" i="7"/>
  <c r="AH672" i="7"/>
  <c r="AG672" i="7"/>
  <c r="AF672" i="7"/>
  <c r="AE672" i="7"/>
  <c r="K672" i="7"/>
  <c r="K673" i="7" s="1"/>
  <c r="K674" i="7" s="1"/>
  <c r="K675" i="7" s="1"/>
  <c r="K676" i="7" s="1"/>
  <c r="K677" i="7" s="1"/>
  <c r="K678" i="7" s="1"/>
  <c r="AH671" i="7"/>
  <c r="AG671" i="7"/>
  <c r="AF671" i="7"/>
  <c r="AE671" i="7"/>
  <c r="K664" i="7"/>
  <c r="K665" i="7" s="1"/>
  <c r="K666" i="7" s="1"/>
  <c r="K667" i="7" s="1"/>
  <c r="K668" i="7" s="1"/>
  <c r="K669" i="7" s="1"/>
  <c r="K670" i="7" s="1"/>
  <c r="AI662" i="7"/>
  <c r="F662" i="7"/>
  <c r="AI661" i="7"/>
  <c r="F661" i="7"/>
  <c r="AI660" i="7"/>
  <c r="F660" i="7"/>
  <c r="F652" i="7" s="1"/>
  <c r="F676" i="7" s="1"/>
  <c r="AI659" i="7"/>
  <c r="F659" i="7"/>
  <c r="F651" i="7" s="1"/>
  <c r="AH658" i="7"/>
  <c r="AG658" i="7"/>
  <c r="AF658" i="7"/>
  <c r="AE658" i="7"/>
  <c r="F658" i="7"/>
  <c r="AH657" i="7"/>
  <c r="AG657" i="7"/>
  <c r="AF657" i="7"/>
  <c r="AE657" i="7"/>
  <c r="F657" i="7"/>
  <c r="AH656" i="7"/>
  <c r="AG656" i="7"/>
  <c r="AF656" i="7"/>
  <c r="AE656" i="7"/>
  <c r="K656" i="7"/>
  <c r="K657" i="7" s="1"/>
  <c r="K658" i="7" s="1"/>
  <c r="K659" i="7" s="1"/>
  <c r="K660" i="7" s="1"/>
  <c r="K661" i="7" s="1"/>
  <c r="K662" i="7" s="1"/>
  <c r="F656" i="7"/>
  <c r="F648" i="7" s="1"/>
  <c r="AH655" i="7"/>
  <c r="AG655" i="7"/>
  <c r="AF655" i="7"/>
  <c r="AE655" i="7"/>
  <c r="F655" i="7"/>
  <c r="G655" i="7" s="1"/>
  <c r="K648" i="7"/>
  <c r="K649" i="7" s="1"/>
  <c r="K650" i="7" s="1"/>
  <c r="K651" i="7" s="1"/>
  <c r="K652" i="7" s="1"/>
  <c r="K653" i="7" s="1"/>
  <c r="K654" i="7" s="1"/>
  <c r="AP646" i="7"/>
  <c r="AN646" i="7"/>
  <c r="AK646" i="7"/>
  <c r="AK662" i="7" s="1"/>
  <c r="AJ646" i="7"/>
  <c r="AH646" i="7"/>
  <c r="AH662" i="7" s="1"/>
  <c r="AG646" i="7"/>
  <c r="AG678" i="7" s="1"/>
  <c r="AF646" i="7"/>
  <c r="AE646" i="7"/>
  <c r="R646" i="7"/>
  <c r="AL646" i="7" s="1"/>
  <c r="AP645" i="7"/>
  <c r="AN645" i="7"/>
  <c r="AK645" i="7"/>
  <c r="AK653" i="7" s="1"/>
  <c r="AJ645" i="7"/>
  <c r="AH645" i="7"/>
  <c r="AH677" i="7" s="1"/>
  <c r="AG645" i="7"/>
  <c r="AG677" i="7" s="1"/>
  <c r="AF645" i="7"/>
  <c r="AE645" i="7"/>
  <c r="AE677" i="7" s="1"/>
  <c r="R645" i="7"/>
  <c r="AL645" i="7" s="1"/>
  <c r="AL669" i="7" s="1"/>
  <c r="AP644" i="7"/>
  <c r="AN644" i="7"/>
  <c r="AK644" i="7"/>
  <c r="AJ644" i="7"/>
  <c r="AH644" i="7"/>
  <c r="AH676" i="7" s="1"/>
  <c r="AG644" i="7"/>
  <c r="AF644" i="7"/>
  <c r="AE644" i="7"/>
  <c r="AE660" i="7" s="1"/>
  <c r="R644" i="7"/>
  <c r="AP643" i="7"/>
  <c r="AN643" i="7"/>
  <c r="AK643" i="7"/>
  <c r="AK651" i="7" s="1"/>
  <c r="AJ643" i="7"/>
  <c r="AH643" i="7"/>
  <c r="AG643" i="7"/>
  <c r="AF643" i="7"/>
  <c r="AE643" i="7"/>
  <c r="AE675" i="7" s="1"/>
  <c r="R643" i="7"/>
  <c r="O643" i="7" s="1"/>
  <c r="V643" i="7" s="1"/>
  <c r="AI642" i="7"/>
  <c r="R642" i="7"/>
  <c r="AE666" i="7" s="1"/>
  <c r="AI641" i="7"/>
  <c r="R641" i="7"/>
  <c r="AH665" i="7" s="1"/>
  <c r="AI640" i="7"/>
  <c r="R640" i="7"/>
  <c r="AH664" i="7" s="1"/>
  <c r="K640" i="7"/>
  <c r="K641" i="7" s="1"/>
  <c r="K642" i="7" s="1"/>
  <c r="K643" i="7" s="1"/>
  <c r="K644" i="7" s="1"/>
  <c r="K645" i="7" s="1"/>
  <c r="K646" i="7" s="1"/>
  <c r="I640" i="7"/>
  <c r="H640" i="7"/>
  <c r="H641" i="7" s="1"/>
  <c r="H642" i="7" s="1"/>
  <c r="H643" i="7" s="1"/>
  <c r="H644" i="7" s="1"/>
  <c r="H645" i="7" s="1"/>
  <c r="H646" i="7" s="1"/>
  <c r="H647" i="7" s="1"/>
  <c r="H648" i="7" s="1"/>
  <c r="H649" i="7" s="1"/>
  <c r="H650" i="7" s="1"/>
  <c r="H651" i="7" s="1"/>
  <c r="H652" i="7" s="1"/>
  <c r="H653" i="7" s="1"/>
  <c r="H654" i="7" s="1"/>
  <c r="H655" i="7" s="1"/>
  <c r="H656" i="7" s="1"/>
  <c r="H657" i="7" s="1"/>
  <c r="H658" i="7" s="1"/>
  <c r="H659" i="7" s="1"/>
  <c r="H660" i="7" s="1"/>
  <c r="H661" i="7" s="1"/>
  <c r="H662" i="7" s="1"/>
  <c r="H663" i="7" s="1"/>
  <c r="H664" i="7" s="1"/>
  <c r="H665" i="7" s="1"/>
  <c r="H666" i="7" s="1"/>
  <c r="H667" i="7" s="1"/>
  <c r="H668" i="7" s="1"/>
  <c r="H669" i="7" s="1"/>
  <c r="H670" i="7" s="1"/>
  <c r="H671" i="7" s="1"/>
  <c r="H672" i="7" s="1"/>
  <c r="H673" i="7" s="1"/>
  <c r="H674" i="7" s="1"/>
  <c r="H675" i="7" s="1"/>
  <c r="H676" i="7" s="1"/>
  <c r="H677" i="7" s="1"/>
  <c r="H678" i="7" s="1"/>
  <c r="AI639" i="7"/>
  <c r="R639" i="7"/>
  <c r="AH647" i="7" s="1"/>
  <c r="J639" i="7"/>
  <c r="G639" i="7"/>
  <c r="D639" i="7"/>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AI636" i="7"/>
  <c r="AI635" i="7"/>
  <c r="AI634" i="7"/>
  <c r="AI633" i="7"/>
  <c r="AH632" i="7"/>
  <c r="AG632" i="7"/>
  <c r="AF632" i="7"/>
  <c r="AE632" i="7"/>
  <c r="AH631" i="7"/>
  <c r="AG631" i="7"/>
  <c r="AF631" i="7"/>
  <c r="AE631" i="7"/>
  <c r="AH630" i="7"/>
  <c r="AG630" i="7"/>
  <c r="AF630" i="7"/>
  <c r="AE630" i="7"/>
  <c r="K630" i="7"/>
  <c r="K631" i="7" s="1"/>
  <c r="K632" i="7" s="1"/>
  <c r="K633" i="7" s="1"/>
  <c r="K634" i="7" s="1"/>
  <c r="K635" i="7" s="1"/>
  <c r="K636" i="7" s="1"/>
  <c r="AH629" i="7"/>
  <c r="AG629" i="7"/>
  <c r="AF629" i="7"/>
  <c r="AE629" i="7"/>
  <c r="K622" i="7"/>
  <c r="K623" i="7" s="1"/>
  <c r="K624" i="7" s="1"/>
  <c r="K625" i="7" s="1"/>
  <c r="K626" i="7" s="1"/>
  <c r="K627" i="7" s="1"/>
  <c r="K628" i="7" s="1"/>
  <c r="AI620" i="7"/>
  <c r="F620" i="7"/>
  <c r="AI619" i="7"/>
  <c r="F619" i="7"/>
  <c r="AI618" i="7"/>
  <c r="F618" i="7"/>
  <c r="AI617" i="7"/>
  <c r="F617" i="7"/>
  <c r="AH616" i="7"/>
  <c r="AG616" i="7"/>
  <c r="AF616" i="7"/>
  <c r="AE616" i="7"/>
  <c r="F616" i="7"/>
  <c r="F608" i="7" s="1"/>
  <c r="F632" i="7" s="1"/>
  <c r="AH615" i="7"/>
  <c r="AG615" i="7"/>
  <c r="AF615" i="7"/>
  <c r="AE615" i="7"/>
  <c r="F615" i="7"/>
  <c r="AH614" i="7"/>
  <c r="AG614" i="7"/>
  <c r="AF614" i="7"/>
  <c r="AE614" i="7"/>
  <c r="K614" i="7"/>
  <c r="K615" i="7" s="1"/>
  <c r="K616" i="7" s="1"/>
  <c r="K617" i="7" s="1"/>
  <c r="K618" i="7" s="1"/>
  <c r="K619" i="7" s="1"/>
  <c r="K620" i="7" s="1"/>
  <c r="F614" i="7"/>
  <c r="AH613" i="7"/>
  <c r="AG613" i="7"/>
  <c r="AF613" i="7"/>
  <c r="AE613" i="7"/>
  <c r="F613" i="7"/>
  <c r="G613" i="7" s="1"/>
  <c r="K606" i="7"/>
  <c r="K607" i="7" s="1"/>
  <c r="K608" i="7" s="1"/>
  <c r="K609" i="7" s="1"/>
  <c r="K610" i="7" s="1"/>
  <c r="K611" i="7" s="1"/>
  <c r="K612" i="7" s="1"/>
  <c r="AP604" i="7"/>
  <c r="AN604" i="7"/>
  <c r="AK604" i="7"/>
  <c r="AJ604" i="7"/>
  <c r="AH604" i="7"/>
  <c r="AG604" i="7"/>
  <c r="AG636" i="7" s="1"/>
  <c r="AF604" i="7"/>
  <c r="AF636" i="7" s="1"/>
  <c r="AE604" i="7"/>
  <c r="AE620" i="7" s="1"/>
  <c r="R604" i="7"/>
  <c r="AL604" i="7" s="1"/>
  <c r="AL628" i="7" s="1"/>
  <c r="AP603" i="7"/>
  <c r="AN603" i="7"/>
  <c r="AK603" i="7"/>
  <c r="AK611" i="7" s="1"/>
  <c r="AJ603" i="7"/>
  <c r="AH603" i="7"/>
  <c r="AH635" i="7" s="1"/>
  <c r="AG603" i="7"/>
  <c r="AG619" i="7" s="1"/>
  <c r="AF603" i="7"/>
  <c r="AE603" i="7"/>
  <c r="R603" i="7"/>
  <c r="O603" i="7" s="1"/>
  <c r="AP602" i="7"/>
  <c r="AN602" i="7"/>
  <c r="AK602" i="7"/>
  <c r="AJ602" i="7"/>
  <c r="AH602" i="7"/>
  <c r="AG602" i="7"/>
  <c r="AG618" i="7" s="1"/>
  <c r="AF602" i="7"/>
  <c r="AE602" i="7"/>
  <c r="AE634" i="7" s="1"/>
  <c r="R602" i="7"/>
  <c r="O602" i="7" s="1"/>
  <c r="AP601" i="7"/>
  <c r="AN601" i="7"/>
  <c r="AK601" i="7"/>
  <c r="AK617" i="7" s="1"/>
  <c r="AJ601" i="7"/>
  <c r="AH601" i="7"/>
  <c r="AH633" i="7" s="1"/>
  <c r="AG601" i="7"/>
  <c r="AF601" i="7"/>
  <c r="AE601" i="7"/>
  <c r="R601" i="7"/>
  <c r="O601" i="7" s="1"/>
  <c r="V601" i="7" s="1"/>
  <c r="AI600" i="7"/>
  <c r="R600" i="7"/>
  <c r="AI599" i="7"/>
  <c r="R599" i="7"/>
  <c r="AH607" i="7" s="1"/>
  <c r="AI598" i="7"/>
  <c r="R598" i="7"/>
  <c r="AG622" i="7" s="1"/>
  <c r="K598" i="7"/>
  <c r="K599" i="7" s="1"/>
  <c r="K600" i="7" s="1"/>
  <c r="K601" i="7" s="1"/>
  <c r="K602" i="7" s="1"/>
  <c r="K603" i="7" s="1"/>
  <c r="K604" i="7" s="1"/>
  <c r="I598" i="7"/>
  <c r="H598" i="7"/>
  <c r="H599" i="7" s="1"/>
  <c r="H600" i="7" s="1"/>
  <c r="H601" i="7" s="1"/>
  <c r="H602" i="7" s="1"/>
  <c r="H603" i="7" s="1"/>
  <c r="H604" i="7" s="1"/>
  <c r="H605" i="7" s="1"/>
  <c r="H606" i="7" s="1"/>
  <c r="H607" i="7" s="1"/>
  <c r="H608" i="7" s="1"/>
  <c r="H609" i="7" s="1"/>
  <c r="H610" i="7" s="1"/>
  <c r="H611" i="7" s="1"/>
  <c r="H612" i="7" s="1"/>
  <c r="H613" i="7" s="1"/>
  <c r="H614" i="7" s="1"/>
  <c r="H615" i="7" s="1"/>
  <c r="H616" i="7" s="1"/>
  <c r="H617" i="7" s="1"/>
  <c r="H618" i="7" s="1"/>
  <c r="H619" i="7" s="1"/>
  <c r="H620" i="7" s="1"/>
  <c r="H621" i="7" s="1"/>
  <c r="H622" i="7" s="1"/>
  <c r="H623" i="7" s="1"/>
  <c r="H624" i="7" s="1"/>
  <c r="H625" i="7" s="1"/>
  <c r="H626" i="7" s="1"/>
  <c r="H627" i="7" s="1"/>
  <c r="H628" i="7" s="1"/>
  <c r="H629" i="7" s="1"/>
  <c r="H630" i="7" s="1"/>
  <c r="H631" i="7" s="1"/>
  <c r="H632" i="7" s="1"/>
  <c r="H633" i="7" s="1"/>
  <c r="H634" i="7" s="1"/>
  <c r="H635" i="7" s="1"/>
  <c r="H636" i="7" s="1"/>
  <c r="AI597" i="7"/>
  <c r="R597" i="7"/>
  <c r="O597" i="7" s="1"/>
  <c r="V597" i="7" s="1"/>
  <c r="J597" i="7"/>
  <c r="G597" i="7"/>
  <c r="D597" i="7"/>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AI594" i="7"/>
  <c r="AI593" i="7"/>
  <c r="AI592" i="7"/>
  <c r="AI591" i="7"/>
  <c r="AH590" i="7"/>
  <c r="AG590" i="7"/>
  <c r="AF590" i="7"/>
  <c r="AE590" i="7"/>
  <c r="AH589" i="7"/>
  <c r="AG589" i="7"/>
  <c r="AF589" i="7"/>
  <c r="AE589" i="7"/>
  <c r="AH588" i="7"/>
  <c r="AG588" i="7"/>
  <c r="AF588" i="7"/>
  <c r="AE588" i="7"/>
  <c r="K588" i="7"/>
  <c r="K589" i="7" s="1"/>
  <c r="K590" i="7" s="1"/>
  <c r="K591" i="7" s="1"/>
  <c r="K592" i="7" s="1"/>
  <c r="K593" i="7" s="1"/>
  <c r="K594" i="7" s="1"/>
  <c r="AH587" i="7"/>
  <c r="AG587" i="7"/>
  <c r="AF587" i="7"/>
  <c r="AE587" i="7"/>
  <c r="K580" i="7"/>
  <c r="K581" i="7" s="1"/>
  <c r="K582" i="7" s="1"/>
  <c r="K583" i="7" s="1"/>
  <c r="K584" i="7" s="1"/>
  <c r="K585" i="7" s="1"/>
  <c r="K586" i="7" s="1"/>
  <c r="AI578" i="7"/>
  <c r="F578" i="7"/>
  <c r="AI577" i="7"/>
  <c r="F577" i="7"/>
  <c r="AI576" i="7"/>
  <c r="F576" i="7"/>
  <c r="F568" i="7" s="1"/>
  <c r="F592" i="7" s="1"/>
  <c r="AI575" i="7"/>
  <c r="F575" i="7"/>
  <c r="F567" i="7" s="1"/>
  <c r="AH574" i="7"/>
  <c r="AG574" i="7"/>
  <c r="AF574" i="7"/>
  <c r="AE574" i="7"/>
  <c r="F574" i="7"/>
  <c r="AH573" i="7"/>
  <c r="AG573" i="7"/>
  <c r="AF573" i="7"/>
  <c r="AE573" i="7"/>
  <c r="F573" i="7"/>
  <c r="AH572" i="7"/>
  <c r="AG572" i="7"/>
  <c r="AF572" i="7"/>
  <c r="AE572" i="7"/>
  <c r="K572" i="7"/>
  <c r="K573" i="7" s="1"/>
  <c r="K574" i="7" s="1"/>
  <c r="K575" i="7" s="1"/>
  <c r="K576" i="7" s="1"/>
  <c r="K577" i="7" s="1"/>
  <c r="K578" i="7" s="1"/>
  <c r="F572" i="7"/>
  <c r="AH571" i="7"/>
  <c r="AG571" i="7"/>
  <c r="AF571" i="7"/>
  <c r="AE571" i="7"/>
  <c r="F571" i="7"/>
  <c r="G571" i="7" s="1"/>
  <c r="K564" i="7"/>
  <c r="K565" i="7" s="1"/>
  <c r="K566" i="7" s="1"/>
  <c r="K567" i="7" s="1"/>
  <c r="K568" i="7" s="1"/>
  <c r="K569" i="7" s="1"/>
  <c r="K570" i="7" s="1"/>
  <c r="AP562" i="7"/>
  <c r="AN562" i="7"/>
  <c r="AK562" i="7"/>
  <c r="AK578" i="7" s="1"/>
  <c r="AJ562" i="7"/>
  <c r="AH562" i="7"/>
  <c r="AG562" i="7"/>
  <c r="AG594" i="7" s="1"/>
  <c r="AF562" i="7"/>
  <c r="AF578" i="7" s="1"/>
  <c r="AE562" i="7"/>
  <c r="R562" i="7"/>
  <c r="AL562" i="7" s="1"/>
  <c r="AL586" i="7" s="1"/>
  <c r="AP561" i="7"/>
  <c r="AN561" i="7"/>
  <c r="AK561" i="7"/>
  <c r="AJ561" i="7"/>
  <c r="AH561" i="7"/>
  <c r="AH593" i="7" s="1"/>
  <c r="AG561" i="7"/>
  <c r="AG577" i="7" s="1"/>
  <c r="AF561" i="7"/>
  <c r="AE561" i="7"/>
  <c r="AE577" i="7" s="1"/>
  <c r="R561" i="7"/>
  <c r="AL561" i="7" s="1"/>
  <c r="AL569" i="7" s="1"/>
  <c r="AP560" i="7"/>
  <c r="AN560" i="7"/>
  <c r="AK560" i="7"/>
  <c r="AK592" i="7" s="1"/>
  <c r="AJ560" i="7"/>
  <c r="AH560" i="7"/>
  <c r="AH576" i="7" s="1"/>
  <c r="AG560" i="7"/>
  <c r="AG576" i="7" s="1"/>
  <c r="AF560" i="7"/>
  <c r="AE560" i="7"/>
  <c r="AE576" i="7" s="1"/>
  <c r="R560" i="7"/>
  <c r="O560" i="7" s="1"/>
  <c r="V560" i="7" s="1"/>
  <c r="AP559" i="7"/>
  <c r="AN559" i="7"/>
  <c r="AK559" i="7"/>
  <c r="AJ559" i="7"/>
  <c r="AH559" i="7"/>
  <c r="AG559" i="7"/>
  <c r="AG575" i="7" s="1"/>
  <c r="AF559" i="7"/>
  <c r="AF575" i="7" s="1"/>
  <c r="AE559" i="7"/>
  <c r="AE591" i="7" s="1"/>
  <c r="R559" i="7"/>
  <c r="O559" i="7" s="1"/>
  <c r="AI558" i="7"/>
  <c r="R558" i="7"/>
  <c r="AE582" i="7" s="1"/>
  <c r="AI557" i="7"/>
  <c r="R557" i="7"/>
  <c r="AH565" i="7" s="1"/>
  <c r="AI556" i="7"/>
  <c r="R556" i="7"/>
  <c r="AF564" i="7" s="1"/>
  <c r="K556" i="7"/>
  <c r="K557" i="7" s="1"/>
  <c r="K558" i="7" s="1"/>
  <c r="K559" i="7" s="1"/>
  <c r="K560" i="7" s="1"/>
  <c r="K561" i="7" s="1"/>
  <c r="K562" i="7" s="1"/>
  <c r="I556" i="7"/>
  <c r="I557" i="7" s="1"/>
  <c r="H556" i="7"/>
  <c r="H557" i="7" s="1"/>
  <c r="H558" i="7" s="1"/>
  <c r="H559" i="7" s="1"/>
  <c r="H560" i="7" s="1"/>
  <c r="H561" i="7" s="1"/>
  <c r="H562" i="7" s="1"/>
  <c r="H563" i="7" s="1"/>
  <c r="H564" i="7" s="1"/>
  <c r="H565" i="7" s="1"/>
  <c r="H566" i="7" s="1"/>
  <c r="H567" i="7" s="1"/>
  <c r="H568" i="7" s="1"/>
  <c r="H569" i="7" s="1"/>
  <c r="H570" i="7" s="1"/>
  <c r="H571" i="7" s="1"/>
  <c r="H572" i="7" s="1"/>
  <c r="H573" i="7" s="1"/>
  <c r="H574" i="7" s="1"/>
  <c r="H575" i="7" s="1"/>
  <c r="H576" i="7" s="1"/>
  <c r="H577" i="7" s="1"/>
  <c r="H578" i="7" s="1"/>
  <c r="H579" i="7" s="1"/>
  <c r="H580" i="7" s="1"/>
  <c r="H581" i="7" s="1"/>
  <c r="H582" i="7" s="1"/>
  <c r="H583" i="7" s="1"/>
  <c r="H584" i="7" s="1"/>
  <c r="H585" i="7" s="1"/>
  <c r="H586" i="7" s="1"/>
  <c r="H587" i="7" s="1"/>
  <c r="H588" i="7" s="1"/>
  <c r="H589" i="7" s="1"/>
  <c r="H590" i="7" s="1"/>
  <c r="H591" i="7" s="1"/>
  <c r="H592" i="7" s="1"/>
  <c r="H593" i="7" s="1"/>
  <c r="H594" i="7" s="1"/>
  <c r="AI555" i="7"/>
  <c r="R555" i="7"/>
  <c r="J555" i="7"/>
  <c r="G555" i="7"/>
  <c r="D555" i="7"/>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AI552" i="7"/>
  <c r="AI551" i="7"/>
  <c r="AI550" i="7"/>
  <c r="AI549" i="7"/>
  <c r="AH548" i="7"/>
  <c r="AG548" i="7"/>
  <c r="AF548" i="7"/>
  <c r="AE548" i="7"/>
  <c r="AH547" i="7"/>
  <c r="AG547" i="7"/>
  <c r="AF547" i="7"/>
  <c r="AE547" i="7"/>
  <c r="AH546" i="7"/>
  <c r="AG546" i="7"/>
  <c r="AF546" i="7"/>
  <c r="AE546" i="7"/>
  <c r="K546" i="7"/>
  <c r="K547" i="7" s="1"/>
  <c r="K548" i="7" s="1"/>
  <c r="K549" i="7" s="1"/>
  <c r="K550" i="7" s="1"/>
  <c r="K551" i="7" s="1"/>
  <c r="K552" i="7" s="1"/>
  <c r="AH545" i="7"/>
  <c r="AG545" i="7"/>
  <c r="AF545" i="7"/>
  <c r="AE545" i="7"/>
  <c r="K538" i="7"/>
  <c r="K539" i="7" s="1"/>
  <c r="K540" i="7" s="1"/>
  <c r="K541" i="7" s="1"/>
  <c r="K542" i="7" s="1"/>
  <c r="K543" i="7" s="1"/>
  <c r="K544" i="7" s="1"/>
  <c r="AI536" i="7"/>
  <c r="F536" i="7"/>
  <c r="AI535" i="7"/>
  <c r="F535" i="7"/>
  <c r="AI534" i="7"/>
  <c r="F534" i="7"/>
  <c r="AI533" i="7"/>
  <c r="F533" i="7"/>
  <c r="F525" i="7" s="1"/>
  <c r="AH532" i="7"/>
  <c r="AG532" i="7"/>
  <c r="AF532" i="7"/>
  <c r="AE532" i="7"/>
  <c r="F532" i="7"/>
  <c r="AH531" i="7"/>
  <c r="AG531" i="7"/>
  <c r="AF531" i="7"/>
  <c r="AE531" i="7"/>
  <c r="F531" i="7"/>
  <c r="F523" i="7" s="1"/>
  <c r="F547" i="7" s="1"/>
  <c r="AH530" i="7"/>
  <c r="AG530" i="7"/>
  <c r="AF530" i="7"/>
  <c r="AE530" i="7"/>
  <c r="K530" i="7"/>
  <c r="K531" i="7" s="1"/>
  <c r="K532" i="7" s="1"/>
  <c r="K533" i="7" s="1"/>
  <c r="K534" i="7" s="1"/>
  <c r="K535" i="7" s="1"/>
  <c r="K536" i="7" s="1"/>
  <c r="F530" i="7"/>
  <c r="AH529" i="7"/>
  <c r="AG529" i="7"/>
  <c r="AF529" i="7"/>
  <c r="AE529" i="7"/>
  <c r="F529" i="7"/>
  <c r="G529" i="7" s="1"/>
  <c r="K522" i="7"/>
  <c r="K523" i="7" s="1"/>
  <c r="K524" i="7" s="1"/>
  <c r="K525" i="7" s="1"/>
  <c r="K526" i="7" s="1"/>
  <c r="K527" i="7" s="1"/>
  <c r="K528" i="7" s="1"/>
  <c r="AP520" i="7"/>
  <c r="AN520" i="7"/>
  <c r="AK520" i="7"/>
  <c r="AK528" i="7" s="1"/>
  <c r="AJ520" i="7"/>
  <c r="AH520" i="7"/>
  <c r="AH552" i="7" s="1"/>
  <c r="AG520" i="7"/>
  <c r="AG552" i="7" s="1"/>
  <c r="AF520" i="7"/>
  <c r="AF536" i="7" s="1"/>
  <c r="AE520" i="7"/>
  <c r="R520" i="7"/>
  <c r="AP519" i="7"/>
  <c r="AN519" i="7"/>
  <c r="AK519" i="7"/>
  <c r="AJ519" i="7"/>
  <c r="AH519" i="7"/>
  <c r="AH551" i="7" s="1"/>
  <c r="AG519" i="7"/>
  <c r="AG551" i="7" s="1"/>
  <c r="AF519" i="7"/>
  <c r="AE519" i="7"/>
  <c r="AE551" i="7" s="1"/>
  <c r="R519" i="7"/>
  <c r="O519" i="7" s="1"/>
  <c r="AP518" i="7"/>
  <c r="AN518" i="7"/>
  <c r="AK518" i="7"/>
  <c r="AK542" i="7" s="1"/>
  <c r="AJ518" i="7"/>
  <c r="AH518" i="7"/>
  <c r="AG518" i="7"/>
  <c r="AG550" i="7" s="1"/>
  <c r="AF518" i="7"/>
  <c r="AE518" i="7"/>
  <c r="AE534" i="7" s="1"/>
  <c r="R518" i="7"/>
  <c r="O518" i="7" s="1"/>
  <c r="AP517" i="7"/>
  <c r="AN517" i="7"/>
  <c r="AK517" i="7"/>
  <c r="AK541" i="7" s="1"/>
  <c r="AJ517" i="7"/>
  <c r="AH517" i="7"/>
  <c r="AH533" i="7" s="1"/>
  <c r="AG517" i="7"/>
  <c r="AG533" i="7" s="1"/>
  <c r="AF517" i="7"/>
  <c r="AE517" i="7"/>
  <c r="AE549" i="7" s="1"/>
  <c r="R517" i="7"/>
  <c r="AI516" i="7"/>
  <c r="R516" i="7"/>
  <c r="O516" i="7" s="1"/>
  <c r="AI515" i="7"/>
  <c r="R515" i="7"/>
  <c r="AI514" i="7"/>
  <c r="R514" i="7"/>
  <c r="AH538" i="7" s="1"/>
  <c r="K514" i="7"/>
  <c r="K515" i="7" s="1"/>
  <c r="K516" i="7" s="1"/>
  <c r="K517" i="7" s="1"/>
  <c r="K518" i="7" s="1"/>
  <c r="K519" i="7" s="1"/>
  <c r="K520" i="7" s="1"/>
  <c r="I514" i="7"/>
  <c r="I515" i="7" s="1"/>
  <c r="H514" i="7"/>
  <c r="H515" i="7" s="1"/>
  <c r="H516" i="7" s="1"/>
  <c r="H517" i="7" s="1"/>
  <c r="H518" i="7" s="1"/>
  <c r="H519" i="7" s="1"/>
  <c r="H520" i="7" s="1"/>
  <c r="H521" i="7" s="1"/>
  <c r="H522" i="7" s="1"/>
  <c r="H523" i="7" s="1"/>
  <c r="H524" i="7" s="1"/>
  <c r="H525" i="7" s="1"/>
  <c r="H526" i="7" s="1"/>
  <c r="H527" i="7" s="1"/>
  <c r="H528" i="7" s="1"/>
  <c r="H529" i="7" s="1"/>
  <c r="H530" i="7" s="1"/>
  <c r="H531" i="7" s="1"/>
  <c r="H532" i="7" s="1"/>
  <c r="H533" i="7" s="1"/>
  <c r="H534" i="7" s="1"/>
  <c r="H535" i="7" s="1"/>
  <c r="H536" i="7" s="1"/>
  <c r="H537" i="7" s="1"/>
  <c r="H538" i="7" s="1"/>
  <c r="H539" i="7" s="1"/>
  <c r="H540" i="7" s="1"/>
  <c r="H541" i="7" s="1"/>
  <c r="H542" i="7" s="1"/>
  <c r="H543" i="7" s="1"/>
  <c r="H544" i="7" s="1"/>
  <c r="H545" i="7" s="1"/>
  <c r="H546" i="7" s="1"/>
  <c r="H547" i="7" s="1"/>
  <c r="H548" i="7" s="1"/>
  <c r="H549" i="7" s="1"/>
  <c r="H550" i="7" s="1"/>
  <c r="H551" i="7" s="1"/>
  <c r="H552" i="7" s="1"/>
  <c r="AI513" i="7"/>
  <c r="R513" i="7"/>
  <c r="AG537" i="7" s="1"/>
  <c r="J513" i="7"/>
  <c r="G513" i="7"/>
  <c r="D513" i="7"/>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AI510" i="7"/>
  <c r="AI509" i="7"/>
  <c r="AI508" i="7"/>
  <c r="AI507" i="7"/>
  <c r="AH506" i="7"/>
  <c r="AG506" i="7"/>
  <c r="AF506" i="7"/>
  <c r="AE506" i="7"/>
  <c r="AH505" i="7"/>
  <c r="AG505" i="7"/>
  <c r="AF505" i="7"/>
  <c r="AE505" i="7"/>
  <c r="AH504" i="7"/>
  <c r="AG504" i="7"/>
  <c r="AF504" i="7"/>
  <c r="AE504" i="7"/>
  <c r="K504" i="7"/>
  <c r="K505" i="7" s="1"/>
  <c r="K506" i="7" s="1"/>
  <c r="K507" i="7" s="1"/>
  <c r="K508" i="7" s="1"/>
  <c r="K509" i="7" s="1"/>
  <c r="K510" i="7" s="1"/>
  <c r="AH503" i="7"/>
  <c r="AG503" i="7"/>
  <c r="AF503" i="7"/>
  <c r="AE503" i="7"/>
  <c r="K496" i="7"/>
  <c r="K497" i="7" s="1"/>
  <c r="K498" i="7" s="1"/>
  <c r="K499" i="7" s="1"/>
  <c r="K500" i="7" s="1"/>
  <c r="K501" i="7" s="1"/>
  <c r="K502" i="7" s="1"/>
  <c r="AI494" i="7"/>
  <c r="F494" i="7"/>
  <c r="AI493" i="7"/>
  <c r="F493" i="7"/>
  <c r="AI492" i="7"/>
  <c r="F492" i="7"/>
  <c r="AI491" i="7"/>
  <c r="F491" i="7"/>
  <c r="F483" i="7" s="1"/>
  <c r="AH490" i="7"/>
  <c r="AG490" i="7"/>
  <c r="AF490" i="7"/>
  <c r="AE490" i="7"/>
  <c r="F490" i="7"/>
  <c r="AH489" i="7"/>
  <c r="AG489" i="7"/>
  <c r="AF489" i="7"/>
  <c r="AE489" i="7"/>
  <c r="F489" i="7"/>
  <c r="AH488" i="7"/>
  <c r="AG488" i="7"/>
  <c r="AF488" i="7"/>
  <c r="AE488" i="7"/>
  <c r="K488" i="7"/>
  <c r="K489" i="7" s="1"/>
  <c r="K490" i="7" s="1"/>
  <c r="K491" i="7" s="1"/>
  <c r="K492" i="7" s="1"/>
  <c r="K493" i="7" s="1"/>
  <c r="K494" i="7" s="1"/>
  <c r="F488" i="7"/>
  <c r="F480" i="7" s="1"/>
  <c r="F504" i="7" s="1"/>
  <c r="AH487" i="7"/>
  <c r="AG487" i="7"/>
  <c r="AF487" i="7"/>
  <c r="AE487" i="7"/>
  <c r="F487" i="7"/>
  <c r="K480" i="7"/>
  <c r="K481" i="7" s="1"/>
  <c r="K482" i="7" s="1"/>
  <c r="K483" i="7" s="1"/>
  <c r="K484" i="7" s="1"/>
  <c r="K485" i="7" s="1"/>
  <c r="K486" i="7" s="1"/>
  <c r="AP478" i="7"/>
  <c r="AN478" i="7"/>
  <c r="AK478" i="7"/>
  <c r="AJ478" i="7"/>
  <c r="AH478" i="7"/>
  <c r="AH510" i="7" s="1"/>
  <c r="AG478" i="7"/>
  <c r="AG510" i="7" s="1"/>
  <c r="AF478" i="7"/>
  <c r="AF494" i="7" s="1"/>
  <c r="AE478" i="7"/>
  <c r="AE494" i="7" s="1"/>
  <c r="R478" i="7"/>
  <c r="O478" i="7" s="1"/>
  <c r="V478" i="7" s="1"/>
  <c r="AP477" i="7"/>
  <c r="AN477" i="7"/>
  <c r="AK477" i="7"/>
  <c r="AK485" i="7" s="1"/>
  <c r="AJ477" i="7"/>
  <c r="AH477" i="7"/>
  <c r="AH493" i="7" s="1"/>
  <c r="AG477" i="7"/>
  <c r="AG493" i="7" s="1"/>
  <c r="AF477" i="7"/>
  <c r="AE477" i="7"/>
  <c r="R477" i="7"/>
  <c r="O477" i="7" s="1"/>
  <c r="AP476" i="7"/>
  <c r="AN476" i="7"/>
  <c r="AK476" i="7"/>
  <c r="AJ476" i="7"/>
  <c r="AH476" i="7"/>
  <c r="AH492" i="7" s="1"/>
  <c r="AG476" i="7"/>
  <c r="AF476" i="7"/>
  <c r="AE476" i="7"/>
  <c r="AE492" i="7" s="1"/>
  <c r="R476" i="7"/>
  <c r="AL476" i="7" s="1"/>
  <c r="AL508" i="7" s="1"/>
  <c r="AP475" i="7"/>
  <c r="AN475" i="7"/>
  <c r="AK475" i="7"/>
  <c r="AJ475" i="7"/>
  <c r="AH475" i="7"/>
  <c r="AG475" i="7"/>
  <c r="AF475" i="7"/>
  <c r="AF507" i="7" s="1"/>
  <c r="AE475" i="7"/>
  <c r="AE507" i="7" s="1"/>
  <c r="R475" i="7"/>
  <c r="O475" i="7" s="1"/>
  <c r="AI474" i="7"/>
  <c r="R474" i="7"/>
  <c r="O474" i="7" s="1"/>
  <c r="AI473" i="7"/>
  <c r="R473" i="7"/>
  <c r="O473" i="7" s="1"/>
  <c r="AI472" i="7"/>
  <c r="R472" i="7"/>
  <c r="K472" i="7"/>
  <c r="K473" i="7" s="1"/>
  <c r="K474" i="7" s="1"/>
  <c r="K475" i="7" s="1"/>
  <c r="K476" i="7" s="1"/>
  <c r="K477" i="7" s="1"/>
  <c r="K478" i="7" s="1"/>
  <c r="I472" i="7"/>
  <c r="H472" i="7"/>
  <c r="H473" i="7" s="1"/>
  <c r="H474" i="7" s="1"/>
  <c r="H475" i="7" s="1"/>
  <c r="H476" i="7" s="1"/>
  <c r="H477" i="7" s="1"/>
  <c r="H478" i="7" s="1"/>
  <c r="H479" i="7" s="1"/>
  <c r="H480" i="7" s="1"/>
  <c r="H481" i="7" s="1"/>
  <c r="H482" i="7" s="1"/>
  <c r="H483" i="7" s="1"/>
  <c r="H484" i="7" s="1"/>
  <c r="H485" i="7" s="1"/>
  <c r="H486" i="7" s="1"/>
  <c r="H487" i="7" s="1"/>
  <c r="H488" i="7" s="1"/>
  <c r="H489" i="7" s="1"/>
  <c r="H490" i="7" s="1"/>
  <c r="H491" i="7" s="1"/>
  <c r="H492" i="7" s="1"/>
  <c r="H493" i="7" s="1"/>
  <c r="H494" i="7" s="1"/>
  <c r="H495" i="7" s="1"/>
  <c r="H496" i="7" s="1"/>
  <c r="H497" i="7" s="1"/>
  <c r="H498" i="7" s="1"/>
  <c r="H499" i="7" s="1"/>
  <c r="H500" i="7" s="1"/>
  <c r="H501" i="7" s="1"/>
  <c r="H502" i="7" s="1"/>
  <c r="H503" i="7" s="1"/>
  <c r="H504" i="7" s="1"/>
  <c r="H505" i="7" s="1"/>
  <c r="H506" i="7" s="1"/>
  <c r="H507" i="7" s="1"/>
  <c r="H508" i="7" s="1"/>
  <c r="H509" i="7" s="1"/>
  <c r="H510" i="7" s="1"/>
  <c r="AI471" i="7"/>
  <c r="R471" i="7"/>
  <c r="AG479" i="7" s="1"/>
  <c r="J471" i="7"/>
  <c r="G471" i="7"/>
  <c r="D471" i="7"/>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AI468" i="7"/>
  <c r="AI467" i="7"/>
  <c r="AI466" i="7"/>
  <c r="AI465" i="7"/>
  <c r="AH464" i="7"/>
  <c r="AG464" i="7"/>
  <c r="AF464" i="7"/>
  <c r="AE464" i="7"/>
  <c r="AH463" i="7"/>
  <c r="AG463" i="7"/>
  <c r="AF463" i="7"/>
  <c r="AE463" i="7"/>
  <c r="AH462" i="7"/>
  <c r="AG462" i="7"/>
  <c r="AF462" i="7"/>
  <c r="AE462" i="7"/>
  <c r="K462" i="7"/>
  <c r="K463" i="7" s="1"/>
  <c r="K464" i="7" s="1"/>
  <c r="K465" i="7" s="1"/>
  <c r="K466" i="7" s="1"/>
  <c r="K467" i="7" s="1"/>
  <c r="K468" i="7" s="1"/>
  <c r="AH461" i="7"/>
  <c r="AG461" i="7"/>
  <c r="AF461" i="7"/>
  <c r="AE461" i="7"/>
  <c r="K454" i="7"/>
  <c r="K455" i="7" s="1"/>
  <c r="K456" i="7" s="1"/>
  <c r="K457" i="7" s="1"/>
  <c r="K458" i="7" s="1"/>
  <c r="K459" i="7" s="1"/>
  <c r="K460" i="7" s="1"/>
  <c r="AI452" i="7"/>
  <c r="F452" i="7"/>
  <c r="AI451" i="7"/>
  <c r="F451" i="7"/>
  <c r="F443" i="7" s="1"/>
  <c r="AI450" i="7"/>
  <c r="F450" i="7"/>
  <c r="F442" i="7" s="1"/>
  <c r="F466" i="7" s="1"/>
  <c r="AI449" i="7"/>
  <c r="F449" i="7"/>
  <c r="AH448" i="7"/>
  <c r="AG448" i="7"/>
  <c r="AF448" i="7"/>
  <c r="AE448" i="7"/>
  <c r="F448" i="7"/>
  <c r="AH447" i="7"/>
  <c r="AG447" i="7"/>
  <c r="AF447" i="7"/>
  <c r="AE447" i="7"/>
  <c r="F447" i="7"/>
  <c r="AH446" i="7"/>
  <c r="AG446" i="7"/>
  <c r="AF446" i="7"/>
  <c r="AE446" i="7"/>
  <c r="K446" i="7"/>
  <c r="K447" i="7" s="1"/>
  <c r="K448" i="7" s="1"/>
  <c r="K449" i="7" s="1"/>
  <c r="K450" i="7" s="1"/>
  <c r="K451" i="7" s="1"/>
  <c r="K452" i="7" s="1"/>
  <c r="F446" i="7"/>
  <c r="F438" i="7" s="1"/>
  <c r="AH445" i="7"/>
  <c r="AG445" i="7"/>
  <c r="AF445" i="7"/>
  <c r="AE445" i="7"/>
  <c r="F445" i="7"/>
  <c r="F437" i="7" s="1"/>
  <c r="K438" i="7"/>
  <c r="K439" i="7" s="1"/>
  <c r="K440" i="7" s="1"/>
  <c r="K441" i="7" s="1"/>
  <c r="K442" i="7" s="1"/>
  <c r="K443" i="7" s="1"/>
  <c r="K444" i="7" s="1"/>
  <c r="AP436" i="7"/>
  <c r="AN436" i="7"/>
  <c r="AK436" i="7"/>
  <c r="AJ436" i="7"/>
  <c r="AH436" i="7"/>
  <c r="AH452" i="7" s="1"/>
  <c r="AG436" i="7"/>
  <c r="AG468" i="7" s="1"/>
  <c r="AF436" i="7"/>
  <c r="AE436" i="7"/>
  <c r="AE452" i="7" s="1"/>
  <c r="R436" i="7"/>
  <c r="O436" i="7" s="1"/>
  <c r="V436" i="7" s="1"/>
  <c r="AP435" i="7"/>
  <c r="AN435" i="7"/>
  <c r="AK435" i="7"/>
  <c r="AK443" i="7" s="1"/>
  <c r="AJ435" i="7"/>
  <c r="AH435" i="7"/>
  <c r="AH467" i="7" s="1"/>
  <c r="AG435" i="7"/>
  <c r="AG467" i="7" s="1"/>
  <c r="AF435" i="7"/>
  <c r="AF451" i="7" s="1"/>
  <c r="AE435" i="7"/>
  <c r="AE467" i="7" s="1"/>
  <c r="R435" i="7"/>
  <c r="O435" i="7" s="1"/>
  <c r="AP434" i="7"/>
  <c r="AN434" i="7"/>
  <c r="AK434" i="7"/>
  <c r="AJ434" i="7"/>
  <c r="AH434" i="7"/>
  <c r="AH466" i="7" s="1"/>
  <c r="AG434" i="7"/>
  <c r="AF434" i="7"/>
  <c r="AE434" i="7"/>
  <c r="AE450" i="7" s="1"/>
  <c r="R434" i="7"/>
  <c r="O434" i="7" s="1"/>
  <c r="V434" i="7" s="1"/>
  <c r="AP433" i="7"/>
  <c r="AN433" i="7"/>
  <c r="AK433" i="7"/>
  <c r="AJ433" i="7"/>
  <c r="AH433" i="7"/>
  <c r="AG433" i="7"/>
  <c r="AF433" i="7"/>
  <c r="AE433" i="7"/>
  <c r="AE465" i="7" s="1"/>
  <c r="R433" i="7"/>
  <c r="O433" i="7" s="1"/>
  <c r="AI432" i="7"/>
  <c r="R432" i="7"/>
  <c r="AE456" i="7" s="1"/>
  <c r="AI431" i="7"/>
  <c r="R431" i="7"/>
  <c r="O431" i="7" s="1"/>
  <c r="AI430" i="7"/>
  <c r="R430" i="7"/>
  <c r="AF454" i="7" s="1"/>
  <c r="K430" i="7"/>
  <c r="K431" i="7" s="1"/>
  <c r="K432" i="7" s="1"/>
  <c r="K433" i="7" s="1"/>
  <c r="K434" i="7" s="1"/>
  <c r="K435" i="7" s="1"/>
  <c r="K436" i="7" s="1"/>
  <c r="I430" i="7"/>
  <c r="H430" i="7"/>
  <c r="H431" i="7" s="1"/>
  <c r="H432" i="7" s="1"/>
  <c r="H433" i="7" s="1"/>
  <c r="H434" i="7" s="1"/>
  <c r="H435" i="7" s="1"/>
  <c r="H436" i="7" s="1"/>
  <c r="H437" i="7" s="1"/>
  <c r="H438" i="7" s="1"/>
  <c r="H439" i="7" s="1"/>
  <c r="H440" i="7" s="1"/>
  <c r="H441" i="7" s="1"/>
  <c r="H442" i="7" s="1"/>
  <c r="H443" i="7" s="1"/>
  <c r="H444" i="7" s="1"/>
  <c r="H445" i="7" s="1"/>
  <c r="H446" i="7" s="1"/>
  <c r="H447" i="7" s="1"/>
  <c r="H448" i="7" s="1"/>
  <c r="H449" i="7" s="1"/>
  <c r="H450" i="7" s="1"/>
  <c r="H451" i="7" s="1"/>
  <c r="H452" i="7" s="1"/>
  <c r="H453" i="7" s="1"/>
  <c r="H454" i="7" s="1"/>
  <c r="H455" i="7" s="1"/>
  <c r="H456" i="7" s="1"/>
  <c r="H457" i="7" s="1"/>
  <c r="H458" i="7" s="1"/>
  <c r="H459" i="7" s="1"/>
  <c r="H460" i="7" s="1"/>
  <c r="H461" i="7" s="1"/>
  <c r="H462" i="7" s="1"/>
  <c r="H463" i="7" s="1"/>
  <c r="H464" i="7" s="1"/>
  <c r="H465" i="7" s="1"/>
  <c r="H466" i="7" s="1"/>
  <c r="H467" i="7" s="1"/>
  <c r="H468" i="7" s="1"/>
  <c r="AI429" i="7"/>
  <c r="R429" i="7"/>
  <c r="AE453" i="7" s="1"/>
  <c r="J429" i="7"/>
  <c r="G429" i="7"/>
  <c r="D429" i="7"/>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Z15" i="9"/>
  <c r="I214" i="1"/>
  <c r="I215" i="1" s="1"/>
  <c r="I216" i="1" s="1"/>
  <c r="I217" i="1" s="1"/>
  <c r="I218" i="1" s="1"/>
  <c r="D9" i="7"/>
  <c r="AD5" i="7"/>
  <c r="AC5" i="7"/>
  <c r="V5" i="7"/>
  <c r="U5" i="7"/>
  <c r="T5" i="7"/>
  <c r="S5" i="7"/>
  <c r="M5" i="7"/>
  <c r="N5" i="7"/>
  <c r="O5" i="7"/>
  <c r="L5" i="7"/>
  <c r="AP1234" i="7"/>
  <c r="AN1234" i="7"/>
  <c r="AP1233" i="7"/>
  <c r="AN1233" i="7"/>
  <c r="AP1232" i="7"/>
  <c r="AN1232" i="7"/>
  <c r="AP1231" i="7"/>
  <c r="AN1231" i="7"/>
  <c r="AP1192" i="7"/>
  <c r="AN1192" i="7"/>
  <c r="AP1191" i="7"/>
  <c r="AN1191" i="7"/>
  <c r="AP1190" i="7"/>
  <c r="AN1190" i="7"/>
  <c r="AP1189" i="7"/>
  <c r="AN1189" i="7"/>
  <c r="AP1150" i="7"/>
  <c r="AN1150" i="7"/>
  <c r="AP1149" i="7"/>
  <c r="AN1149" i="7"/>
  <c r="AP1148" i="7"/>
  <c r="AN1148" i="7"/>
  <c r="AP1147" i="7"/>
  <c r="AN1147" i="7"/>
  <c r="AP1108" i="7"/>
  <c r="AN1108" i="7"/>
  <c r="AP1107" i="7"/>
  <c r="AN1107" i="7"/>
  <c r="AP1106" i="7"/>
  <c r="AN1106" i="7"/>
  <c r="AP1105" i="7"/>
  <c r="AN1105" i="7"/>
  <c r="AP1066" i="7"/>
  <c r="AN1066" i="7"/>
  <c r="AP1065" i="7"/>
  <c r="AN1065" i="7"/>
  <c r="AP1064" i="7"/>
  <c r="AN1064" i="7"/>
  <c r="AP1063" i="7"/>
  <c r="AN1063" i="7"/>
  <c r="AP1024" i="7"/>
  <c r="AN1024" i="7"/>
  <c r="AP1023" i="7"/>
  <c r="AN1023" i="7"/>
  <c r="AP1022" i="7"/>
  <c r="AN1022" i="7"/>
  <c r="AP1021" i="7"/>
  <c r="AN1021" i="7"/>
  <c r="AP982" i="7"/>
  <c r="AN982" i="7"/>
  <c r="AP981" i="7"/>
  <c r="AN981" i="7"/>
  <c r="AP980" i="7"/>
  <c r="AN980" i="7"/>
  <c r="AP979" i="7"/>
  <c r="AN979" i="7"/>
  <c r="AP940" i="7"/>
  <c r="AN940" i="7"/>
  <c r="AP939" i="7"/>
  <c r="AN939" i="7"/>
  <c r="AP938" i="7"/>
  <c r="AN938" i="7"/>
  <c r="AP937" i="7"/>
  <c r="AN937" i="7"/>
  <c r="AP898" i="7"/>
  <c r="AN898" i="7"/>
  <c r="AP897" i="7"/>
  <c r="AN897" i="7"/>
  <c r="AP896" i="7"/>
  <c r="AN896" i="7"/>
  <c r="AP895" i="7"/>
  <c r="AN895" i="7"/>
  <c r="AP394" i="7"/>
  <c r="AN394" i="7"/>
  <c r="AP393" i="7"/>
  <c r="AN393" i="7"/>
  <c r="AP392" i="7"/>
  <c r="AN392" i="7"/>
  <c r="AP391" i="7"/>
  <c r="AN391" i="7"/>
  <c r="AP352" i="7"/>
  <c r="AN352" i="7"/>
  <c r="AP351" i="7"/>
  <c r="AN351" i="7"/>
  <c r="AP350" i="7"/>
  <c r="AN350" i="7"/>
  <c r="AP349" i="7"/>
  <c r="AN349" i="7"/>
  <c r="AP310" i="7"/>
  <c r="AN310" i="7"/>
  <c r="AP309" i="7"/>
  <c r="AN309" i="7"/>
  <c r="AP308" i="7"/>
  <c r="AN308" i="7"/>
  <c r="AP307" i="7"/>
  <c r="AN307" i="7"/>
  <c r="AP268" i="7"/>
  <c r="AN268" i="7"/>
  <c r="AP267" i="7"/>
  <c r="AN267" i="7"/>
  <c r="AP266" i="7"/>
  <c r="AN266" i="7"/>
  <c r="AP265" i="7"/>
  <c r="AN265" i="7"/>
  <c r="AP226" i="7"/>
  <c r="AN226" i="7"/>
  <c r="AP225" i="7"/>
  <c r="AN225" i="7"/>
  <c r="AP224" i="7"/>
  <c r="AN224" i="7"/>
  <c r="AP223" i="7"/>
  <c r="AN223" i="7"/>
  <c r="AP184" i="7"/>
  <c r="AN184" i="7"/>
  <c r="AP183" i="7"/>
  <c r="AN183" i="7"/>
  <c r="AP182" i="7"/>
  <c r="AN182" i="7"/>
  <c r="AP181" i="7"/>
  <c r="AN181" i="7"/>
  <c r="AK1234" i="7"/>
  <c r="AJ1234" i="7"/>
  <c r="AK1233" i="7"/>
  <c r="AJ1233" i="7"/>
  <c r="AK1232" i="7"/>
  <c r="AJ1232" i="7"/>
  <c r="AK1231" i="7"/>
  <c r="AJ1231" i="7"/>
  <c r="AK1192" i="7"/>
  <c r="AJ1192" i="7"/>
  <c r="AK1191" i="7"/>
  <c r="AJ1191" i="7"/>
  <c r="AK1190" i="7"/>
  <c r="AJ1190" i="7"/>
  <c r="AK1189" i="7"/>
  <c r="AJ1189" i="7"/>
  <c r="AK1150" i="7"/>
  <c r="AJ1150" i="7"/>
  <c r="AK1149" i="7"/>
  <c r="AJ1149" i="7"/>
  <c r="AK1148" i="7"/>
  <c r="AJ1148" i="7"/>
  <c r="AK1147" i="7"/>
  <c r="AJ1147" i="7"/>
  <c r="AK1108" i="7"/>
  <c r="AJ1108" i="7"/>
  <c r="AK1107" i="7"/>
  <c r="AJ1107" i="7"/>
  <c r="AK1106" i="7"/>
  <c r="AJ1106" i="7"/>
  <c r="AK1105" i="7"/>
  <c r="AJ1105" i="7"/>
  <c r="AK1066" i="7"/>
  <c r="AJ1066" i="7"/>
  <c r="AK1065" i="7"/>
  <c r="AJ1065" i="7"/>
  <c r="AK1064" i="7"/>
  <c r="AJ1064" i="7"/>
  <c r="AK1063" i="7"/>
  <c r="AJ1063" i="7"/>
  <c r="AK1024" i="7"/>
  <c r="AJ1024" i="7"/>
  <c r="AK1023" i="7"/>
  <c r="AJ1023" i="7"/>
  <c r="AK1022" i="7"/>
  <c r="AJ1022" i="7"/>
  <c r="AK1021" i="7"/>
  <c r="AJ1021" i="7"/>
  <c r="AK982" i="7"/>
  <c r="AJ982" i="7"/>
  <c r="AK981" i="7"/>
  <c r="AJ981" i="7"/>
  <c r="AK980" i="7"/>
  <c r="AJ980" i="7"/>
  <c r="AK979" i="7"/>
  <c r="AJ979" i="7"/>
  <c r="AK940" i="7"/>
  <c r="AJ940" i="7"/>
  <c r="AK939" i="7"/>
  <c r="AJ939" i="7"/>
  <c r="AK938" i="7"/>
  <c r="AJ938" i="7"/>
  <c r="AK937" i="7"/>
  <c r="AJ937" i="7"/>
  <c r="AK898" i="7"/>
  <c r="AJ898" i="7"/>
  <c r="AK897" i="7"/>
  <c r="AJ897" i="7"/>
  <c r="AK896" i="7"/>
  <c r="AJ896" i="7"/>
  <c r="AK895" i="7"/>
  <c r="AJ895" i="7"/>
  <c r="AK856" i="7"/>
  <c r="AK872" i="7" s="1"/>
  <c r="AJ856" i="7"/>
  <c r="AK855" i="7"/>
  <c r="AJ855" i="7"/>
  <c r="AK854" i="7"/>
  <c r="AJ854" i="7"/>
  <c r="AK853" i="7"/>
  <c r="AJ853" i="7"/>
  <c r="AK394" i="7"/>
  <c r="AK418" i="7" s="1"/>
  <c r="AJ394" i="7"/>
  <c r="AK393" i="7"/>
  <c r="AJ393" i="7"/>
  <c r="AK392" i="7"/>
  <c r="AJ392" i="7"/>
  <c r="AK391" i="7"/>
  <c r="AJ391" i="7"/>
  <c r="AK352" i="7"/>
  <c r="AJ352" i="7"/>
  <c r="AK351" i="7"/>
  <c r="AJ351" i="7"/>
  <c r="AK350" i="7"/>
  <c r="AJ350" i="7"/>
  <c r="AK349" i="7"/>
  <c r="AK365" i="7" s="1"/>
  <c r="AJ349" i="7"/>
  <c r="AK310" i="7"/>
  <c r="AJ310" i="7"/>
  <c r="AK309" i="7"/>
  <c r="AJ309" i="7"/>
  <c r="AK308" i="7"/>
  <c r="AJ308" i="7"/>
  <c r="AK307" i="7"/>
  <c r="AK323" i="7" s="1"/>
  <c r="AJ307" i="7"/>
  <c r="AK268" i="7"/>
  <c r="AJ268" i="7"/>
  <c r="AK267" i="7"/>
  <c r="AJ267" i="7"/>
  <c r="AK266" i="7"/>
  <c r="AJ266" i="7"/>
  <c r="AK265" i="7"/>
  <c r="AK273" i="7" s="1"/>
  <c r="AJ265" i="7"/>
  <c r="AK226" i="7"/>
  <c r="AK250" i="7" s="1"/>
  <c r="AJ226" i="7"/>
  <c r="AK225" i="7"/>
  <c r="AK233" i="7" s="1"/>
  <c r="AJ225" i="7"/>
  <c r="AK224" i="7"/>
  <c r="AJ224" i="7"/>
  <c r="AK223" i="7"/>
  <c r="AJ223" i="7"/>
  <c r="AK184" i="7"/>
  <c r="AK216" i="7" s="1"/>
  <c r="AJ184" i="7"/>
  <c r="AK183" i="7"/>
  <c r="AJ183" i="7"/>
  <c r="AK182" i="7"/>
  <c r="AK214" i="7" s="1"/>
  <c r="AJ182" i="7"/>
  <c r="AK181" i="7"/>
  <c r="AK189" i="7" s="1"/>
  <c r="AJ181" i="7"/>
  <c r="AK142" i="7"/>
  <c r="AK166" i="7" s="1"/>
  <c r="AJ142" i="7"/>
  <c r="AK141" i="7"/>
  <c r="AK165" i="7" s="1"/>
  <c r="AJ141" i="7"/>
  <c r="AK140" i="7"/>
  <c r="AK164" i="7" s="1"/>
  <c r="AK172" i="7" s="1"/>
  <c r="AJ140" i="7"/>
  <c r="AK139" i="7"/>
  <c r="AK163" i="7" s="1"/>
  <c r="AK171" i="7" s="1"/>
  <c r="AJ139" i="7"/>
  <c r="AK100" i="7"/>
  <c r="AK108" i="7" s="1"/>
  <c r="AK116" i="7" s="1"/>
  <c r="AJ100" i="7"/>
  <c r="AK99" i="7"/>
  <c r="AJ99" i="7"/>
  <c r="AK98" i="7"/>
  <c r="AJ98" i="7"/>
  <c r="AK97" i="7"/>
  <c r="AK105" i="7" s="1"/>
  <c r="AK113" i="7" s="1"/>
  <c r="AJ97" i="7"/>
  <c r="AK58" i="7"/>
  <c r="AJ58" i="7"/>
  <c r="AK57" i="7"/>
  <c r="AJ57" i="7"/>
  <c r="AK56" i="7"/>
  <c r="AJ56" i="7"/>
  <c r="AK55" i="7"/>
  <c r="AK63" i="7" s="1"/>
  <c r="AK71" i="7" s="1"/>
  <c r="AJ55" i="7"/>
  <c r="AI1266" i="7"/>
  <c r="AI1265" i="7"/>
  <c r="AI1264" i="7"/>
  <c r="AI1263" i="7"/>
  <c r="AH1262" i="7"/>
  <c r="AG1262" i="7"/>
  <c r="AF1262" i="7"/>
  <c r="AE1262" i="7"/>
  <c r="AH1261" i="7"/>
  <c r="AG1261" i="7"/>
  <c r="AF1261" i="7"/>
  <c r="AE1261" i="7"/>
  <c r="AH1260" i="7"/>
  <c r="AG1260" i="7"/>
  <c r="AF1260" i="7"/>
  <c r="AE1260" i="7"/>
  <c r="AH1259" i="7"/>
  <c r="AG1259" i="7"/>
  <c r="AF1259" i="7"/>
  <c r="AE1259" i="7"/>
  <c r="AI1250" i="7"/>
  <c r="AI1249" i="7"/>
  <c r="AI1248" i="7"/>
  <c r="AI1247" i="7"/>
  <c r="AH1246" i="7"/>
  <c r="AG1246" i="7"/>
  <c r="AF1246" i="7"/>
  <c r="AE1246" i="7"/>
  <c r="AH1245" i="7"/>
  <c r="AG1245" i="7"/>
  <c r="AF1245" i="7"/>
  <c r="AE1245" i="7"/>
  <c r="AH1244" i="7"/>
  <c r="AG1244" i="7"/>
  <c r="AF1244" i="7"/>
  <c r="AE1244" i="7"/>
  <c r="AH1243" i="7"/>
  <c r="AG1243" i="7"/>
  <c r="AF1243" i="7"/>
  <c r="AE1243" i="7"/>
  <c r="AI1224" i="7"/>
  <c r="AI1223" i="7"/>
  <c r="AI1222" i="7"/>
  <c r="AI1221" i="7"/>
  <c r="AH1220" i="7"/>
  <c r="AG1220" i="7"/>
  <c r="AF1220" i="7"/>
  <c r="AE1220" i="7"/>
  <c r="AH1219" i="7"/>
  <c r="AG1219" i="7"/>
  <c r="AF1219" i="7"/>
  <c r="AE1219" i="7"/>
  <c r="AH1218" i="7"/>
  <c r="AG1218" i="7"/>
  <c r="AF1218" i="7"/>
  <c r="AE1218" i="7"/>
  <c r="AH1217" i="7"/>
  <c r="AG1217" i="7"/>
  <c r="AF1217" i="7"/>
  <c r="AE1217" i="7"/>
  <c r="AI1208" i="7"/>
  <c r="AI1207" i="7"/>
  <c r="AI1206" i="7"/>
  <c r="AI1205" i="7"/>
  <c r="AH1204" i="7"/>
  <c r="AG1204" i="7"/>
  <c r="AF1204" i="7"/>
  <c r="AE1204" i="7"/>
  <c r="AH1203" i="7"/>
  <c r="AG1203" i="7"/>
  <c r="AF1203" i="7"/>
  <c r="AE1203" i="7"/>
  <c r="AH1202" i="7"/>
  <c r="AG1202" i="7"/>
  <c r="AF1202" i="7"/>
  <c r="AE1202" i="7"/>
  <c r="AH1201" i="7"/>
  <c r="AG1201" i="7"/>
  <c r="AF1201" i="7"/>
  <c r="AE1201" i="7"/>
  <c r="AI1182" i="7"/>
  <c r="AI1181" i="7"/>
  <c r="AI1180" i="7"/>
  <c r="AI1179" i="7"/>
  <c r="AH1178" i="7"/>
  <c r="AG1178" i="7"/>
  <c r="AF1178" i="7"/>
  <c r="AE1178" i="7"/>
  <c r="AH1177" i="7"/>
  <c r="AG1177" i="7"/>
  <c r="AF1177" i="7"/>
  <c r="AE1177" i="7"/>
  <c r="AH1176" i="7"/>
  <c r="AG1176" i="7"/>
  <c r="AF1176" i="7"/>
  <c r="AE1176" i="7"/>
  <c r="AH1175" i="7"/>
  <c r="AG1175" i="7"/>
  <c r="AF1175" i="7"/>
  <c r="AE1175" i="7"/>
  <c r="AI1166" i="7"/>
  <c r="AI1165" i="7"/>
  <c r="AI1164" i="7"/>
  <c r="AI1163" i="7"/>
  <c r="AH1162" i="7"/>
  <c r="AG1162" i="7"/>
  <c r="AF1162" i="7"/>
  <c r="AE1162" i="7"/>
  <c r="AH1161" i="7"/>
  <c r="AG1161" i="7"/>
  <c r="AF1161" i="7"/>
  <c r="AE1161" i="7"/>
  <c r="AH1160" i="7"/>
  <c r="AG1160" i="7"/>
  <c r="AF1160" i="7"/>
  <c r="AE1160" i="7"/>
  <c r="AH1159" i="7"/>
  <c r="AG1159" i="7"/>
  <c r="AF1159" i="7"/>
  <c r="AE1159" i="7"/>
  <c r="AI1140" i="7"/>
  <c r="AI1139" i="7"/>
  <c r="AI1138" i="7"/>
  <c r="AI1137" i="7"/>
  <c r="AH1136" i="7"/>
  <c r="AG1136" i="7"/>
  <c r="AF1136" i="7"/>
  <c r="AE1136" i="7"/>
  <c r="AH1135" i="7"/>
  <c r="AG1135" i="7"/>
  <c r="AF1135" i="7"/>
  <c r="AE1135" i="7"/>
  <c r="AH1134" i="7"/>
  <c r="AG1134" i="7"/>
  <c r="AF1134" i="7"/>
  <c r="AE1134" i="7"/>
  <c r="AH1133" i="7"/>
  <c r="AG1133" i="7"/>
  <c r="AF1133" i="7"/>
  <c r="AE1133" i="7"/>
  <c r="AI1124" i="7"/>
  <c r="AI1123" i="7"/>
  <c r="AI1122" i="7"/>
  <c r="AI1121" i="7"/>
  <c r="AH1120" i="7"/>
  <c r="AG1120" i="7"/>
  <c r="AF1120" i="7"/>
  <c r="AE1120" i="7"/>
  <c r="AH1119" i="7"/>
  <c r="AG1119" i="7"/>
  <c r="AF1119" i="7"/>
  <c r="AE1119" i="7"/>
  <c r="AH1118" i="7"/>
  <c r="AG1118" i="7"/>
  <c r="AF1118" i="7"/>
  <c r="AE1118" i="7"/>
  <c r="AH1117" i="7"/>
  <c r="AG1117" i="7"/>
  <c r="AF1117" i="7"/>
  <c r="AE1117" i="7"/>
  <c r="AI1098" i="7"/>
  <c r="AI1097" i="7"/>
  <c r="AI1096" i="7"/>
  <c r="AI1095" i="7"/>
  <c r="AH1094" i="7"/>
  <c r="AG1094" i="7"/>
  <c r="AF1094" i="7"/>
  <c r="AE1094" i="7"/>
  <c r="AH1093" i="7"/>
  <c r="AG1093" i="7"/>
  <c r="AF1093" i="7"/>
  <c r="AE1093" i="7"/>
  <c r="AH1092" i="7"/>
  <c r="AG1092" i="7"/>
  <c r="AF1092" i="7"/>
  <c r="AE1092" i="7"/>
  <c r="AH1091" i="7"/>
  <c r="AG1091" i="7"/>
  <c r="AF1091" i="7"/>
  <c r="AE1091" i="7"/>
  <c r="AI1082" i="7"/>
  <c r="AI1081" i="7"/>
  <c r="AI1080" i="7"/>
  <c r="AI1079" i="7"/>
  <c r="AH1078" i="7"/>
  <c r="AG1078" i="7"/>
  <c r="AF1078" i="7"/>
  <c r="AE1078" i="7"/>
  <c r="AH1077" i="7"/>
  <c r="AG1077" i="7"/>
  <c r="AF1077" i="7"/>
  <c r="AE1077" i="7"/>
  <c r="AH1076" i="7"/>
  <c r="AG1076" i="7"/>
  <c r="AF1076" i="7"/>
  <c r="AE1076" i="7"/>
  <c r="AH1075" i="7"/>
  <c r="AG1075" i="7"/>
  <c r="AF1075" i="7"/>
  <c r="AE1075" i="7"/>
  <c r="AI1056" i="7"/>
  <c r="AI1055" i="7"/>
  <c r="AI1054" i="7"/>
  <c r="AI1053" i="7"/>
  <c r="AH1052" i="7"/>
  <c r="AG1052" i="7"/>
  <c r="AF1052" i="7"/>
  <c r="AE1052" i="7"/>
  <c r="AH1051" i="7"/>
  <c r="AG1051" i="7"/>
  <c r="AF1051" i="7"/>
  <c r="AE1051" i="7"/>
  <c r="AH1050" i="7"/>
  <c r="AG1050" i="7"/>
  <c r="AF1050" i="7"/>
  <c r="AE1050" i="7"/>
  <c r="AH1049" i="7"/>
  <c r="AG1049" i="7"/>
  <c r="AF1049" i="7"/>
  <c r="AE1049" i="7"/>
  <c r="AI1040" i="7"/>
  <c r="AI1039" i="7"/>
  <c r="AI1038" i="7"/>
  <c r="AI1037" i="7"/>
  <c r="AH1036" i="7"/>
  <c r="AG1036" i="7"/>
  <c r="AF1036" i="7"/>
  <c r="AE1036" i="7"/>
  <c r="AH1035" i="7"/>
  <c r="AG1035" i="7"/>
  <c r="AF1035" i="7"/>
  <c r="AE1035" i="7"/>
  <c r="AH1034" i="7"/>
  <c r="AG1034" i="7"/>
  <c r="AF1034" i="7"/>
  <c r="AE1034" i="7"/>
  <c r="AH1033" i="7"/>
  <c r="AG1033" i="7"/>
  <c r="AF1033" i="7"/>
  <c r="AE1033" i="7"/>
  <c r="AI1014" i="7"/>
  <c r="AI1013" i="7"/>
  <c r="AI1012" i="7"/>
  <c r="AI1011" i="7"/>
  <c r="AH1010" i="7"/>
  <c r="AG1010" i="7"/>
  <c r="AF1010" i="7"/>
  <c r="AE1010" i="7"/>
  <c r="AH1009" i="7"/>
  <c r="AG1009" i="7"/>
  <c r="AF1009" i="7"/>
  <c r="AE1009" i="7"/>
  <c r="AH1008" i="7"/>
  <c r="AG1008" i="7"/>
  <c r="AF1008" i="7"/>
  <c r="AE1008" i="7"/>
  <c r="AH1007" i="7"/>
  <c r="AG1007" i="7"/>
  <c r="AF1007" i="7"/>
  <c r="AE1007" i="7"/>
  <c r="AI998" i="7"/>
  <c r="AI997" i="7"/>
  <c r="AI996" i="7"/>
  <c r="AI995" i="7"/>
  <c r="AH994" i="7"/>
  <c r="AG994" i="7"/>
  <c r="AF994" i="7"/>
  <c r="AE994" i="7"/>
  <c r="AH993" i="7"/>
  <c r="AG993" i="7"/>
  <c r="AF993" i="7"/>
  <c r="AE993" i="7"/>
  <c r="AH992" i="7"/>
  <c r="AG992" i="7"/>
  <c r="AF992" i="7"/>
  <c r="AE992" i="7"/>
  <c r="AH991" i="7"/>
  <c r="AG991" i="7"/>
  <c r="AF991" i="7"/>
  <c r="AE991" i="7"/>
  <c r="AI972" i="7"/>
  <c r="AI971" i="7"/>
  <c r="AI970" i="7"/>
  <c r="AI969" i="7"/>
  <c r="AH968" i="7"/>
  <c r="AG968" i="7"/>
  <c r="AF968" i="7"/>
  <c r="AE968" i="7"/>
  <c r="AH967" i="7"/>
  <c r="AG967" i="7"/>
  <c r="AF967" i="7"/>
  <c r="AE967" i="7"/>
  <c r="AH966" i="7"/>
  <c r="AG966" i="7"/>
  <c r="AF966" i="7"/>
  <c r="AE966" i="7"/>
  <c r="AH965" i="7"/>
  <c r="AG965" i="7"/>
  <c r="AF965" i="7"/>
  <c r="AE965" i="7"/>
  <c r="AI956" i="7"/>
  <c r="AI955" i="7"/>
  <c r="AI954" i="7"/>
  <c r="AI953" i="7"/>
  <c r="AH952" i="7"/>
  <c r="AG952" i="7"/>
  <c r="AF952" i="7"/>
  <c r="AE952" i="7"/>
  <c r="AH951" i="7"/>
  <c r="AG951" i="7"/>
  <c r="AF951" i="7"/>
  <c r="AE951" i="7"/>
  <c r="AH950" i="7"/>
  <c r="AG950" i="7"/>
  <c r="AF950" i="7"/>
  <c r="AE950" i="7"/>
  <c r="AH949" i="7"/>
  <c r="AG949" i="7"/>
  <c r="AF949" i="7"/>
  <c r="AE949" i="7"/>
  <c r="AI930" i="7"/>
  <c r="AI929" i="7"/>
  <c r="AI928" i="7"/>
  <c r="AI927" i="7"/>
  <c r="AH926" i="7"/>
  <c r="AG926" i="7"/>
  <c r="AF926" i="7"/>
  <c r="AE926" i="7"/>
  <c r="AH925" i="7"/>
  <c r="AG925" i="7"/>
  <c r="AF925" i="7"/>
  <c r="AE925" i="7"/>
  <c r="AH924" i="7"/>
  <c r="AG924" i="7"/>
  <c r="AF924" i="7"/>
  <c r="AE924" i="7"/>
  <c r="AH923" i="7"/>
  <c r="AG923" i="7"/>
  <c r="AF923" i="7"/>
  <c r="AE923" i="7"/>
  <c r="AI914" i="7"/>
  <c r="AI913" i="7"/>
  <c r="AI912" i="7"/>
  <c r="AI911" i="7"/>
  <c r="AH910" i="7"/>
  <c r="AG910" i="7"/>
  <c r="AF910" i="7"/>
  <c r="AE910" i="7"/>
  <c r="AH909" i="7"/>
  <c r="AG909" i="7"/>
  <c r="AF909" i="7"/>
  <c r="AE909" i="7"/>
  <c r="AH908" i="7"/>
  <c r="AG908" i="7"/>
  <c r="AF908" i="7"/>
  <c r="AE908" i="7"/>
  <c r="AH907" i="7"/>
  <c r="AG907" i="7"/>
  <c r="AF907" i="7"/>
  <c r="AE907" i="7"/>
  <c r="AI426" i="7"/>
  <c r="AI425" i="7"/>
  <c r="AI424" i="7"/>
  <c r="AI423" i="7"/>
  <c r="AH422" i="7"/>
  <c r="AG422" i="7"/>
  <c r="AF422" i="7"/>
  <c r="AE422" i="7"/>
  <c r="AH421" i="7"/>
  <c r="AG421" i="7"/>
  <c r="AF421" i="7"/>
  <c r="AE421" i="7"/>
  <c r="AH420" i="7"/>
  <c r="AG420" i="7"/>
  <c r="AF420" i="7"/>
  <c r="AE420" i="7"/>
  <c r="AH419" i="7"/>
  <c r="AG419" i="7"/>
  <c r="AF419" i="7"/>
  <c r="AE419" i="7"/>
  <c r="AI410" i="7"/>
  <c r="AI409" i="7"/>
  <c r="AI408" i="7"/>
  <c r="AI407" i="7"/>
  <c r="AH406" i="7"/>
  <c r="AG406" i="7"/>
  <c r="AF406" i="7"/>
  <c r="AE406" i="7"/>
  <c r="AH405" i="7"/>
  <c r="AG405" i="7"/>
  <c r="AF405" i="7"/>
  <c r="AE405" i="7"/>
  <c r="AH404" i="7"/>
  <c r="AG404" i="7"/>
  <c r="AF404" i="7"/>
  <c r="AE404" i="7"/>
  <c r="AH403" i="7"/>
  <c r="AG403" i="7"/>
  <c r="AF403" i="7"/>
  <c r="AE403" i="7"/>
  <c r="AI384" i="7"/>
  <c r="AI383" i="7"/>
  <c r="AI382" i="7"/>
  <c r="AI381" i="7"/>
  <c r="AH380" i="7"/>
  <c r="AG380" i="7"/>
  <c r="AF380" i="7"/>
  <c r="AE380" i="7"/>
  <c r="AH379" i="7"/>
  <c r="AG379" i="7"/>
  <c r="AF379" i="7"/>
  <c r="AE379" i="7"/>
  <c r="AH378" i="7"/>
  <c r="AG378" i="7"/>
  <c r="AF378" i="7"/>
  <c r="AE378" i="7"/>
  <c r="AH377" i="7"/>
  <c r="AG377" i="7"/>
  <c r="AF377" i="7"/>
  <c r="AE377" i="7"/>
  <c r="AI368" i="7"/>
  <c r="AI367" i="7"/>
  <c r="AI366" i="7"/>
  <c r="AI365" i="7"/>
  <c r="AH364" i="7"/>
  <c r="AG364" i="7"/>
  <c r="AF364" i="7"/>
  <c r="AE364" i="7"/>
  <c r="AH363" i="7"/>
  <c r="AG363" i="7"/>
  <c r="AF363" i="7"/>
  <c r="AE363" i="7"/>
  <c r="AH362" i="7"/>
  <c r="AG362" i="7"/>
  <c r="AF362" i="7"/>
  <c r="AE362" i="7"/>
  <c r="AH361" i="7"/>
  <c r="AG361" i="7"/>
  <c r="AF361" i="7"/>
  <c r="AE361" i="7"/>
  <c r="AI342" i="7"/>
  <c r="AI341" i="7"/>
  <c r="AI340" i="7"/>
  <c r="AI339" i="7"/>
  <c r="AH338" i="7"/>
  <c r="AG338" i="7"/>
  <c r="AF338" i="7"/>
  <c r="AE338" i="7"/>
  <c r="AH337" i="7"/>
  <c r="AG337" i="7"/>
  <c r="AF337" i="7"/>
  <c r="AE337" i="7"/>
  <c r="AH336" i="7"/>
  <c r="AG336" i="7"/>
  <c r="AF336" i="7"/>
  <c r="AE336" i="7"/>
  <c r="AH335" i="7"/>
  <c r="AG335" i="7"/>
  <c r="AF335" i="7"/>
  <c r="AE335" i="7"/>
  <c r="AI326" i="7"/>
  <c r="AI325" i="7"/>
  <c r="AI324" i="7"/>
  <c r="AI323" i="7"/>
  <c r="AH322" i="7"/>
  <c r="AG322" i="7"/>
  <c r="AF322" i="7"/>
  <c r="AE322" i="7"/>
  <c r="AH321" i="7"/>
  <c r="AG321" i="7"/>
  <c r="AF321" i="7"/>
  <c r="AE321" i="7"/>
  <c r="AH320" i="7"/>
  <c r="AG320" i="7"/>
  <c r="AF320" i="7"/>
  <c r="AE320" i="7"/>
  <c r="AH319" i="7"/>
  <c r="AG319" i="7"/>
  <c r="AF319" i="7"/>
  <c r="AE319" i="7"/>
  <c r="AI300" i="7"/>
  <c r="AI299" i="7"/>
  <c r="AI298" i="7"/>
  <c r="AI297" i="7"/>
  <c r="AH296" i="7"/>
  <c r="AG296" i="7"/>
  <c r="AF296" i="7"/>
  <c r="AE296" i="7"/>
  <c r="AH295" i="7"/>
  <c r="AG295" i="7"/>
  <c r="AF295" i="7"/>
  <c r="AE295" i="7"/>
  <c r="AH294" i="7"/>
  <c r="AG294" i="7"/>
  <c r="AF294" i="7"/>
  <c r="AE294" i="7"/>
  <c r="AH293" i="7"/>
  <c r="AG293" i="7"/>
  <c r="AF293" i="7"/>
  <c r="AE293" i="7"/>
  <c r="AI284" i="7"/>
  <c r="AI283" i="7"/>
  <c r="AI282" i="7"/>
  <c r="AI281" i="7"/>
  <c r="AH280" i="7"/>
  <c r="AG280" i="7"/>
  <c r="AF280" i="7"/>
  <c r="AE280" i="7"/>
  <c r="AH279" i="7"/>
  <c r="AG279" i="7"/>
  <c r="AF279" i="7"/>
  <c r="AE279" i="7"/>
  <c r="AH278" i="7"/>
  <c r="AG278" i="7"/>
  <c r="AF278" i="7"/>
  <c r="AE278" i="7"/>
  <c r="AH277" i="7"/>
  <c r="AG277" i="7"/>
  <c r="AF277" i="7"/>
  <c r="AE277" i="7"/>
  <c r="AI258" i="7"/>
  <c r="AI257" i="7"/>
  <c r="AI256" i="7"/>
  <c r="AI255" i="7"/>
  <c r="AH254" i="7"/>
  <c r="AG254" i="7"/>
  <c r="AF254" i="7"/>
  <c r="AE254" i="7"/>
  <c r="AH253" i="7"/>
  <c r="AG253" i="7"/>
  <c r="AF253" i="7"/>
  <c r="AE253" i="7"/>
  <c r="AH252" i="7"/>
  <c r="AG252" i="7"/>
  <c r="AF252" i="7"/>
  <c r="AE252" i="7"/>
  <c r="AH251" i="7"/>
  <c r="AG251" i="7"/>
  <c r="AF251" i="7"/>
  <c r="AE251" i="7"/>
  <c r="AI242" i="7"/>
  <c r="AI241" i="7"/>
  <c r="AI240" i="7"/>
  <c r="AI239" i="7"/>
  <c r="AH238" i="7"/>
  <c r="AG238" i="7"/>
  <c r="AF238" i="7"/>
  <c r="AE238" i="7"/>
  <c r="AH237" i="7"/>
  <c r="AG237" i="7"/>
  <c r="AF237" i="7"/>
  <c r="AE237" i="7"/>
  <c r="AH236" i="7"/>
  <c r="AG236" i="7"/>
  <c r="AF236" i="7"/>
  <c r="AE236" i="7"/>
  <c r="AH235" i="7"/>
  <c r="AG235" i="7"/>
  <c r="AF235" i="7"/>
  <c r="AE235" i="7"/>
  <c r="AI216" i="7"/>
  <c r="AI215" i="7"/>
  <c r="AI214" i="7"/>
  <c r="AI213" i="7"/>
  <c r="AH212" i="7"/>
  <c r="AG212" i="7"/>
  <c r="AF212" i="7"/>
  <c r="AE212" i="7"/>
  <c r="AH211" i="7"/>
  <c r="AG211" i="7"/>
  <c r="AF211" i="7"/>
  <c r="AE211" i="7"/>
  <c r="AH210" i="7"/>
  <c r="AG210" i="7"/>
  <c r="AF210" i="7"/>
  <c r="AE210" i="7"/>
  <c r="AH209" i="7"/>
  <c r="AG209" i="7"/>
  <c r="AF209" i="7"/>
  <c r="AE209" i="7"/>
  <c r="AI200" i="7"/>
  <c r="AI199" i="7"/>
  <c r="AI198" i="7"/>
  <c r="AI197" i="7"/>
  <c r="AH196" i="7"/>
  <c r="AG196" i="7"/>
  <c r="AF196" i="7"/>
  <c r="AE196" i="7"/>
  <c r="AH195" i="7"/>
  <c r="AG195" i="7"/>
  <c r="AF195" i="7"/>
  <c r="AE195" i="7"/>
  <c r="AH194" i="7"/>
  <c r="AG194" i="7"/>
  <c r="AF194" i="7"/>
  <c r="AE194" i="7"/>
  <c r="AH193" i="7"/>
  <c r="AG193" i="7"/>
  <c r="AF193" i="7"/>
  <c r="AE193" i="7"/>
  <c r="AF169" i="7"/>
  <c r="AF153" i="7"/>
  <c r="AJ13" i="7"/>
  <c r="AK13" i="7"/>
  <c r="AK21" i="7" s="1"/>
  <c r="AJ14" i="7"/>
  <c r="AK14" i="7"/>
  <c r="AK38" i="7" s="1"/>
  <c r="AJ15" i="7"/>
  <c r="AK15" i="7"/>
  <c r="AJ16" i="7"/>
  <c r="AK16" i="7"/>
  <c r="AK24" i="7" s="1"/>
  <c r="R1234" i="7"/>
  <c r="AL1234" i="7" s="1"/>
  <c r="R1233" i="7"/>
  <c r="AL1233" i="7" s="1"/>
  <c r="R1232" i="7"/>
  <c r="AL1232" i="7" s="1"/>
  <c r="R1231" i="7"/>
  <c r="AL1231" i="7" s="1"/>
  <c r="R1230" i="7"/>
  <c r="R1229" i="7"/>
  <c r="R1228" i="7"/>
  <c r="R1227" i="7"/>
  <c r="R1192" i="7"/>
  <c r="AL1192" i="7" s="1"/>
  <c r="R1191" i="7"/>
  <c r="AL1191" i="7" s="1"/>
  <c r="R1190" i="7"/>
  <c r="AL1190" i="7" s="1"/>
  <c r="R1189" i="7"/>
  <c r="AL1189" i="7" s="1"/>
  <c r="R1188" i="7"/>
  <c r="R1187" i="7"/>
  <c r="R1186" i="7"/>
  <c r="R1185" i="7"/>
  <c r="R1150" i="7"/>
  <c r="AL1150" i="7" s="1"/>
  <c r="R1149" i="7"/>
  <c r="AL1149" i="7" s="1"/>
  <c r="R1148" i="7"/>
  <c r="AL1148" i="7" s="1"/>
  <c r="R1147" i="7"/>
  <c r="AL1147" i="7" s="1"/>
  <c r="R1146" i="7"/>
  <c r="R1145" i="7"/>
  <c r="R1144" i="7"/>
  <c r="R1143" i="7"/>
  <c r="R1108" i="7"/>
  <c r="AL1108" i="7" s="1"/>
  <c r="R1107" i="7"/>
  <c r="AL1107" i="7" s="1"/>
  <c r="R1106" i="7"/>
  <c r="AL1106" i="7" s="1"/>
  <c r="R1105" i="7"/>
  <c r="AL1105" i="7" s="1"/>
  <c r="R1104" i="7"/>
  <c r="R1103" i="7"/>
  <c r="R1102" i="7"/>
  <c r="R1101" i="7"/>
  <c r="R1066" i="7"/>
  <c r="AL1066" i="7" s="1"/>
  <c r="R1065" i="7"/>
  <c r="AL1065" i="7" s="1"/>
  <c r="R1064" i="7"/>
  <c r="AL1064" i="7" s="1"/>
  <c r="R1063" i="7"/>
  <c r="AL1063" i="7" s="1"/>
  <c r="R1062" i="7"/>
  <c r="R1061" i="7"/>
  <c r="R1060" i="7"/>
  <c r="R1059" i="7"/>
  <c r="R1024" i="7"/>
  <c r="AL1024" i="7" s="1"/>
  <c r="R1023" i="7"/>
  <c r="AL1023" i="7" s="1"/>
  <c r="R1022" i="7"/>
  <c r="AL1022" i="7" s="1"/>
  <c r="R1021" i="7"/>
  <c r="AL1021" i="7" s="1"/>
  <c r="R1020" i="7"/>
  <c r="R1019" i="7"/>
  <c r="R1018" i="7"/>
  <c r="R1017" i="7"/>
  <c r="R982" i="7"/>
  <c r="AL982" i="7" s="1"/>
  <c r="R981" i="7"/>
  <c r="AL981" i="7" s="1"/>
  <c r="R980" i="7"/>
  <c r="AL980" i="7" s="1"/>
  <c r="R979" i="7"/>
  <c r="AL979" i="7" s="1"/>
  <c r="R978" i="7"/>
  <c r="R977" i="7"/>
  <c r="R976" i="7"/>
  <c r="R975" i="7"/>
  <c r="R940" i="7"/>
  <c r="AL940" i="7" s="1"/>
  <c r="R939" i="7"/>
  <c r="AL939" i="7" s="1"/>
  <c r="R938" i="7"/>
  <c r="AL938" i="7" s="1"/>
  <c r="R937" i="7"/>
  <c r="AL937" i="7" s="1"/>
  <c r="R936" i="7"/>
  <c r="R935" i="7"/>
  <c r="R934" i="7"/>
  <c r="R933" i="7"/>
  <c r="R898" i="7"/>
  <c r="AL898" i="7" s="1"/>
  <c r="R897" i="7"/>
  <c r="AL897" i="7" s="1"/>
  <c r="R896" i="7"/>
  <c r="AL896" i="7" s="1"/>
  <c r="R895" i="7"/>
  <c r="AL895" i="7" s="1"/>
  <c r="R894" i="7"/>
  <c r="R893" i="7"/>
  <c r="R892" i="7"/>
  <c r="R891" i="7"/>
  <c r="R856" i="7"/>
  <c r="AL856" i="7" s="1"/>
  <c r="R855" i="7"/>
  <c r="AL855" i="7" s="1"/>
  <c r="R854" i="7"/>
  <c r="AL854" i="7" s="1"/>
  <c r="R853" i="7"/>
  <c r="AL853" i="7" s="1"/>
  <c r="R852" i="7"/>
  <c r="AE876" i="7" s="1"/>
  <c r="AE884" i="7" s="1"/>
  <c r="R851" i="7"/>
  <c r="R850" i="7"/>
  <c r="R849" i="7"/>
  <c r="R394" i="7"/>
  <c r="AL394" i="7" s="1"/>
  <c r="R393" i="7"/>
  <c r="AL393" i="7" s="1"/>
  <c r="R392" i="7"/>
  <c r="AL392" i="7" s="1"/>
  <c r="R391" i="7"/>
  <c r="AL391" i="7" s="1"/>
  <c r="R390" i="7"/>
  <c r="R389" i="7"/>
  <c r="R388" i="7"/>
  <c r="R387" i="7"/>
  <c r="R352" i="7"/>
  <c r="AL352" i="7" s="1"/>
  <c r="R351" i="7"/>
  <c r="AL351" i="7" s="1"/>
  <c r="R350" i="7"/>
  <c r="AL350" i="7" s="1"/>
  <c r="R349" i="7"/>
  <c r="AL349" i="7" s="1"/>
  <c r="R348" i="7"/>
  <c r="R347" i="7"/>
  <c r="R346" i="7"/>
  <c r="R345" i="7"/>
  <c r="R310" i="7"/>
  <c r="AL310" i="7" s="1"/>
  <c r="R309" i="7"/>
  <c r="AL309" i="7" s="1"/>
  <c r="R308" i="7"/>
  <c r="AL308" i="7" s="1"/>
  <c r="R307" i="7"/>
  <c r="AL307" i="7" s="1"/>
  <c r="R306" i="7"/>
  <c r="R305" i="7"/>
  <c r="R304" i="7"/>
  <c r="AE312" i="7" s="1"/>
  <c r="R303" i="7"/>
  <c r="R268" i="7"/>
  <c r="AL268" i="7" s="1"/>
  <c r="R267" i="7"/>
  <c r="AL267" i="7" s="1"/>
  <c r="R266" i="7"/>
  <c r="AL266" i="7" s="1"/>
  <c r="R265" i="7"/>
  <c r="AL265" i="7" s="1"/>
  <c r="R264" i="7"/>
  <c r="R263" i="7"/>
  <c r="R262" i="7"/>
  <c r="AH270" i="7" s="1"/>
  <c r="R261" i="7"/>
  <c r="R226" i="7"/>
  <c r="AL226" i="7" s="1"/>
  <c r="R225" i="7"/>
  <c r="AL225" i="7" s="1"/>
  <c r="R224" i="7"/>
  <c r="AL224" i="7" s="1"/>
  <c r="AL248" i="7" s="1"/>
  <c r="R223" i="7"/>
  <c r="AL223" i="7" s="1"/>
  <c r="R222" i="7"/>
  <c r="AG246" i="7" s="1"/>
  <c r="R221" i="7"/>
  <c r="R220" i="7"/>
  <c r="AH244" i="7" s="1"/>
  <c r="R219" i="7"/>
  <c r="AL59" i="8"/>
  <c r="AR59" i="8"/>
  <c r="AN50" i="8"/>
  <c r="AJ59" i="8"/>
  <c r="W59" i="8"/>
  <c r="AM59" i="8"/>
  <c r="AB59" i="8"/>
  <c r="AC50" i="8"/>
  <c r="AB50" i="8"/>
  <c r="AD50" i="8"/>
  <c r="AR50" i="8"/>
  <c r="AP50" i="8"/>
  <c r="AF59" i="8"/>
  <c r="AA59" i="8"/>
  <c r="AM50" i="8"/>
  <c r="X59" i="8"/>
  <c r="Y59" i="8"/>
  <c r="Z50" i="8"/>
  <c r="AK50" i="8"/>
  <c r="U50" i="8"/>
  <c r="AG50" i="8"/>
  <c r="AO59" i="8"/>
  <c r="Y50" i="8"/>
  <c r="AE59" i="8"/>
  <c r="V59" i="8"/>
  <c r="AI50" i="8"/>
  <c r="X50" i="8"/>
  <c r="AI59" i="8"/>
  <c r="V50" i="8"/>
  <c r="AQ59" i="8"/>
  <c r="AH50" i="8"/>
  <c r="W50" i="8"/>
  <c r="AC59" i="8"/>
  <c r="Z59" i="8"/>
  <c r="AK59" i="8"/>
  <c r="AJ50" i="8"/>
  <c r="AO50" i="8"/>
  <c r="AD59" i="8"/>
  <c r="AG59" i="8"/>
  <c r="AE50" i="8"/>
  <c r="AP59" i="8"/>
  <c r="AF50" i="8"/>
  <c r="AN59" i="8"/>
  <c r="AH59" i="8"/>
  <c r="AA50" i="8"/>
  <c r="U59" i="8"/>
  <c r="AQ50" i="8"/>
  <c r="AL50" i="8"/>
  <c r="AF585" i="7" l="1"/>
  <c r="I130" i="4"/>
  <c r="I111" i="4"/>
  <c r="I112" i="4" s="1"/>
  <c r="I113" i="4" s="1"/>
  <c r="I114" i="4" s="1"/>
  <c r="I115" i="4" s="1"/>
  <c r="I116" i="4" s="1"/>
  <c r="I117" i="4" s="1"/>
  <c r="I118" i="4" s="1"/>
  <c r="I119" i="4" s="1"/>
  <c r="I120" i="4" s="1"/>
  <c r="I121" i="4" s="1"/>
  <c r="I122" i="4" s="1"/>
  <c r="I123" i="4" s="1"/>
  <c r="I124" i="4" s="1"/>
  <c r="I125" i="4" s="1"/>
  <c r="I126" i="4" s="1"/>
  <c r="I127" i="4" s="1"/>
  <c r="I128" i="4" s="1"/>
  <c r="AJ619" i="7"/>
  <c r="AI714" i="7"/>
  <c r="AP807" i="7"/>
  <c r="AJ105" i="7"/>
  <c r="AJ113" i="7" s="1"/>
  <c r="AJ163" i="7"/>
  <c r="AJ171" i="7" s="1"/>
  <c r="AJ189" i="7"/>
  <c r="AN472" i="7"/>
  <c r="AI531" i="7"/>
  <c r="AN558" i="7"/>
  <c r="AI757" i="7"/>
  <c r="AJ743" i="7"/>
  <c r="AI781" i="7"/>
  <c r="AJ778" i="7"/>
  <c r="AN810" i="7"/>
  <c r="AJ845" i="7"/>
  <c r="AJ148" i="7"/>
  <c r="AI462" i="7"/>
  <c r="AP473" i="7"/>
  <c r="AJ491" i="7"/>
  <c r="AI548" i="7"/>
  <c r="AJ527" i="7"/>
  <c r="AI697" i="7"/>
  <c r="AJ702" i="7"/>
  <c r="AN726" i="7"/>
  <c r="AJ761" i="7"/>
  <c r="AI715" i="7"/>
  <c r="AJ736" i="7"/>
  <c r="AJ803" i="7"/>
  <c r="AN471" i="7"/>
  <c r="AJ508" i="7"/>
  <c r="AJ552" i="7"/>
  <c r="AI614" i="7"/>
  <c r="AP641" i="7"/>
  <c r="AJ659" i="7"/>
  <c r="AJ746" i="7"/>
  <c r="AI571" i="7"/>
  <c r="AJ584" i="7"/>
  <c r="AP723" i="7"/>
  <c r="AJ830" i="7"/>
  <c r="AJ165" i="7"/>
  <c r="AJ173" i="7" s="1"/>
  <c r="AJ191" i="7"/>
  <c r="AJ275" i="7"/>
  <c r="AJ449" i="7"/>
  <c r="AI490" i="7"/>
  <c r="AJ509" i="7"/>
  <c r="AJ676" i="7"/>
  <c r="AJ712" i="7"/>
  <c r="AG822" i="7"/>
  <c r="AJ578" i="7"/>
  <c r="AI672" i="7"/>
  <c r="AI461" i="7"/>
  <c r="AJ458" i="7"/>
  <c r="F563" i="7"/>
  <c r="G563" i="7" s="1"/>
  <c r="AI631" i="7"/>
  <c r="AJ609" i="7"/>
  <c r="AN642" i="7"/>
  <c r="AJ653" i="7"/>
  <c r="AI798" i="7"/>
  <c r="AH780" i="7"/>
  <c r="AJ452" i="7"/>
  <c r="AI529" i="7"/>
  <c r="AJ534" i="7"/>
  <c r="AJ709" i="7"/>
  <c r="AJ108" i="7"/>
  <c r="AJ116" i="7" s="1"/>
  <c r="AN432" i="7"/>
  <c r="AJ467" i="7"/>
  <c r="AI546" i="7"/>
  <c r="AI589" i="7"/>
  <c r="AJ575" i="7"/>
  <c r="AP597" i="7"/>
  <c r="AJ670" i="7"/>
  <c r="AJ827" i="7"/>
  <c r="AE569" i="7"/>
  <c r="AL560" i="7"/>
  <c r="AL576" i="7" s="1"/>
  <c r="O557" i="7"/>
  <c r="V557" i="7" s="1"/>
  <c r="O561" i="7"/>
  <c r="V561" i="7" s="1"/>
  <c r="AF837" i="7"/>
  <c r="AG442" i="7"/>
  <c r="O476" i="7"/>
  <c r="V476" i="7" s="1"/>
  <c r="AJ443" i="7"/>
  <c r="O642" i="7"/>
  <c r="V642" i="7" s="1"/>
  <c r="AJ627" i="7"/>
  <c r="AF457" i="7"/>
  <c r="AJ484" i="7"/>
  <c r="AJ635" i="7"/>
  <c r="AF759" i="7"/>
  <c r="AF605" i="7"/>
  <c r="F647" i="7"/>
  <c r="F671" i="7" s="1"/>
  <c r="G671" i="7" s="1"/>
  <c r="AJ744" i="7"/>
  <c r="O432" i="7"/>
  <c r="V432" i="7" s="1"/>
  <c r="AL434" i="7"/>
  <c r="AO434" i="7" s="1"/>
  <c r="AO450" i="7" s="1"/>
  <c r="AH444" i="7"/>
  <c r="AF484" i="7"/>
  <c r="O604" i="7"/>
  <c r="V604" i="7" s="1"/>
  <c r="AH606" i="7"/>
  <c r="AP642" i="7"/>
  <c r="O683" i="7"/>
  <c r="V683" i="7" s="1"/>
  <c r="AF708" i="7"/>
  <c r="AL433" i="7"/>
  <c r="AL457" i="7" s="1"/>
  <c r="AL472" i="7"/>
  <c r="AL504" i="7" s="1"/>
  <c r="AN640" i="7"/>
  <c r="AH661" i="7"/>
  <c r="O562" i="7"/>
  <c r="V562" i="7" s="1"/>
  <c r="O645" i="7"/>
  <c r="V645" i="7" s="1"/>
  <c r="AE821" i="7"/>
  <c r="J430" i="7"/>
  <c r="AJ430" i="7"/>
  <c r="AJ454" i="7" s="1"/>
  <c r="AL432" i="7"/>
  <c r="AL464" i="7" s="1"/>
  <c r="AP516" i="7"/>
  <c r="F570" i="7"/>
  <c r="F594" i="7" s="1"/>
  <c r="AE581" i="7"/>
  <c r="AH619" i="7"/>
  <c r="AJ694" i="7"/>
  <c r="AL727" i="7"/>
  <c r="AL759" i="7" s="1"/>
  <c r="AE779" i="7"/>
  <c r="AK804" i="7"/>
  <c r="O813" i="7"/>
  <c r="V813" i="7" s="1"/>
  <c r="AG821" i="7"/>
  <c r="AJ514" i="7"/>
  <c r="AJ530" i="7" s="1"/>
  <c r="AH535" i="7"/>
  <c r="AF582" i="7"/>
  <c r="AL593" i="7"/>
  <c r="F650" i="7"/>
  <c r="F674" i="7" s="1"/>
  <c r="F666" i="7" s="1"/>
  <c r="AE663" i="7"/>
  <c r="AJ429" i="7"/>
  <c r="AJ453" i="7" s="1"/>
  <c r="AG457" i="7"/>
  <c r="O471" i="7"/>
  <c r="V471" i="7" s="1"/>
  <c r="AP474" i="7"/>
  <c r="AL519" i="7"/>
  <c r="AL543" i="7" s="1"/>
  <c r="AE585" i="7"/>
  <c r="AK609" i="7"/>
  <c r="F654" i="7"/>
  <c r="F678" i="7" s="1"/>
  <c r="AJ725" i="7"/>
  <c r="AJ749" i="7" s="1"/>
  <c r="AJ745" i="7"/>
  <c r="AE778" i="7"/>
  <c r="AK429" i="7"/>
  <c r="AK445" i="7" s="1"/>
  <c r="F611" i="7"/>
  <c r="F635" i="7" s="1"/>
  <c r="F627" i="7" s="1"/>
  <c r="AI629" i="7"/>
  <c r="AL640" i="7"/>
  <c r="AL672" i="7" s="1"/>
  <c r="AP725" i="7"/>
  <c r="AF795" i="7"/>
  <c r="AN597" i="7"/>
  <c r="AJ617" i="7"/>
  <c r="AL642" i="7"/>
  <c r="AL674" i="7" s="1"/>
  <c r="AE669" i="7"/>
  <c r="O728" i="7"/>
  <c r="V728" i="7" s="1"/>
  <c r="AE527" i="7"/>
  <c r="AJ592" i="7"/>
  <c r="F528" i="7"/>
  <c r="F552" i="7" s="1"/>
  <c r="F544" i="7" s="1"/>
  <c r="AP683" i="7"/>
  <c r="F773" i="7"/>
  <c r="G773" i="7" s="1"/>
  <c r="F441" i="7"/>
  <c r="F465" i="7" s="1"/>
  <c r="AK471" i="7"/>
  <c r="AK487" i="7" s="1"/>
  <c r="F522" i="7"/>
  <c r="AJ555" i="7"/>
  <c r="AJ563" i="7" s="1"/>
  <c r="AJ557" i="7"/>
  <c r="AJ581" i="7" s="1"/>
  <c r="AK598" i="7"/>
  <c r="AK622" i="7" s="1"/>
  <c r="AJ652" i="7"/>
  <c r="AJ668" i="7"/>
  <c r="AK802" i="7"/>
  <c r="AE441" i="7"/>
  <c r="G445" i="7"/>
  <c r="AL471" i="7"/>
  <c r="AL495" i="7" s="1"/>
  <c r="V477" i="7"/>
  <c r="F481" i="7"/>
  <c r="AG501" i="7"/>
  <c r="AH549" i="7"/>
  <c r="AL555" i="7"/>
  <c r="AL579" i="7" s="1"/>
  <c r="AN557" i="7"/>
  <c r="AF567" i="7"/>
  <c r="F565" i="7"/>
  <c r="AJ594" i="7"/>
  <c r="AL598" i="7"/>
  <c r="AL614" i="7" s="1"/>
  <c r="AG703" i="7"/>
  <c r="AO730" i="7"/>
  <c r="AO762" i="7" s="1"/>
  <c r="AD730" i="7" s="1"/>
  <c r="AH822" i="7"/>
  <c r="AJ829" i="7"/>
  <c r="V435" i="7"/>
  <c r="AJ466" i="7"/>
  <c r="AE481" i="7"/>
  <c r="AJ492" i="7"/>
  <c r="AP555" i="7"/>
  <c r="F566" i="7"/>
  <c r="F590" i="7" s="1"/>
  <c r="F582" i="7" s="1"/>
  <c r="AF591" i="7"/>
  <c r="AN599" i="7"/>
  <c r="F607" i="7"/>
  <c r="F631" i="7" s="1"/>
  <c r="AN641" i="7"/>
  <c r="AL643" i="7"/>
  <c r="AL667" i="7" s="1"/>
  <c r="AF654" i="7"/>
  <c r="F696" i="7"/>
  <c r="AE712" i="7"/>
  <c r="F736" i="7"/>
  <c r="F760" i="7" s="1"/>
  <c r="AJ760" i="7"/>
  <c r="V770" i="7"/>
  <c r="AG439" i="7"/>
  <c r="AG481" i="7"/>
  <c r="AE544" i="7"/>
  <c r="AF522" i="7"/>
  <c r="AL597" i="7"/>
  <c r="AL629" i="7" s="1"/>
  <c r="AG625" i="7"/>
  <c r="V602" i="7"/>
  <c r="AE607" i="7"/>
  <c r="O641" i="7"/>
  <c r="V641" i="7" s="1"/>
  <c r="O646" i="7"/>
  <c r="V646" i="7" s="1"/>
  <c r="AF670" i="7"/>
  <c r="AJ662" i="7"/>
  <c r="AJ683" i="7"/>
  <c r="AJ699" i="7" s="1"/>
  <c r="AI699" i="7"/>
  <c r="AJ723" i="7"/>
  <c r="AJ731" i="7" s="1"/>
  <c r="AE749" i="7"/>
  <c r="AK794" i="7"/>
  <c r="AF816" i="7"/>
  <c r="AF827" i="7"/>
  <c r="AE443" i="7"/>
  <c r="AH450" i="7"/>
  <c r="AF456" i="7"/>
  <c r="AH468" i="7"/>
  <c r="AL475" i="7"/>
  <c r="AL491" i="7" s="1"/>
  <c r="AL477" i="7"/>
  <c r="AO477" i="7" s="1"/>
  <c r="AH484" i="7"/>
  <c r="AG543" i="7"/>
  <c r="F524" i="7"/>
  <c r="F548" i="7" s="1"/>
  <c r="AK550" i="7"/>
  <c r="AG568" i="7"/>
  <c r="AG607" i="7"/>
  <c r="AM646" i="7"/>
  <c r="AM678" i="7" s="1"/>
  <c r="AC646" i="7" s="1"/>
  <c r="F690" i="7"/>
  <c r="F714" i="7" s="1"/>
  <c r="AJ738" i="7"/>
  <c r="AJ752" i="7"/>
  <c r="O814" i="7"/>
  <c r="V814" i="7" s="1"/>
  <c r="AE459" i="7"/>
  <c r="AL474" i="7"/>
  <c r="AL498" i="7" s="1"/>
  <c r="AF577" i="7"/>
  <c r="AF623" i="7"/>
  <c r="AF667" i="7"/>
  <c r="AJ660" i="7"/>
  <c r="AE733" i="7"/>
  <c r="AJ754" i="7"/>
  <c r="AE651" i="7"/>
  <c r="AK432" i="7"/>
  <c r="AK448" i="7" s="1"/>
  <c r="F439" i="7"/>
  <c r="F463" i="7" s="1"/>
  <c r="AE444" i="7"/>
  <c r="AI445" i="7"/>
  <c r="AG460" i="7"/>
  <c r="AN474" i="7"/>
  <c r="AH486" i="7"/>
  <c r="O514" i="7"/>
  <c r="V514" i="7" s="1"/>
  <c r="AK514" i="7"/>
  <c r="AK546" i="7" s="1"/>
  <c r="F526" i="7"/>
  <c r="F569" i="7"/>
  <c r="F593" i="7" s="1"/>
  <c r="AH577" i="7"/>
  <c r="AL602" i="7"/>
  <c r="AL610" i="7" s="1"/>
  <c r="AK625" i="7"/>
  <c r="AJ640" i="7"/>
  <c r="AJ664" i="7" s="1"/>
  <c r="AG651" i="7"/>
  <c r="AE664" i="7"/>
  <c r="AE692" i="7"/>
  <c r="AE705" i="7"/>
  <c r="AG733" i="7"/>
  <c r="AJ762" i="7"/>
  <c r="AG787" i="7"/>
  <c r="AJ807" i="7"/>
  <c r="AJ831" i="7" s="1"/>
  <c r="AE819" i="7"/>
  <c r="AG835" i="7"/>
  <c r="F467" i="7"/>
  <c r="F459" i="7" s="1"/>
  <c r="AK600" i="7"/>
  <c r="AK632" i="7" s="1"/>
  <c r="AJ600" i="7"/>
  <c r="AF618" i="7"/>
  <c r="AF626" i="7"/>
  <c r="AF610" i="7"/>
  <c r="AF634" i="7"/>
  <c r="AI716" i="7"/>
  <c r="AI700" i="7"/>
  <c r="AP684" i="7"/>
  <c r="AN684" i="7"/>
  <c r="AL684" i="7"/>
  <c r="AL692" i="7" s="1"/>
  <c r="AK684" i="7"/>
  <c r="AK716" i="7" s="1"/>
  <c r="AJ684" i="7"/>
  <c r="AJ708" i="7" s="1"/>
  <c r="G697" i="7"/>
  <c r="F689" i="7"/>
  <c r="G689" i="7" s="1"/>
  <c r="AL752" i="7"/>
  <c r="AL744" i="7"/>
  <c r="AL736" i="7"/>
  <c r="AL760" i="7"/>
  <c r="AI841" i="7"/>
  <c r="AP809" i="7"/>
  <c r="AN809" i="7"/>
  <c r="AL809" i="7"/>
  <c r="AL833" i="7" s="1"/>
  <c r="AJ809" i="7"/>
  <c r="AJ844" i="7"/>
  <c r="AJ828" i="7"/>
  <c r="AJ820" i="7"/>
  <c r="AK430" i="7"/>
  <c r="AK462" i="7" s="1"/>
  <c r="AP432" i="7"/>
  <c r="AL435" i="7"/>
  <c r="AL459" i="7" s="1"/>
  <c r="AL436" i="7"/>
  <c r="AO436" i="7" s="1"/>
  <c r="AE439" i="7"/>
  <c r="F440" i="7"/>
  <c r="AJ450" i="7"/>
  <c r="AN473" i="7"/>
  <c r="F486" i="7"/>
  <c r="AH563" i="7"/>
  <c r="O555" i="7"/>
  <c r="V555" i="7" s="1"/>
  <c r="AE579" i="7"/>
  <c r="AL594" i="7"/>
  <c r="AL578" i="7"/>
  <c r="AI800" i="7"/>
  <c r="AI784" i="7"/>
  <c r="AP768" i="7"/>
  <c r="AN768" i="7"/>
  <c r="AL768" i="7"/>
  <c r="AL776" i="7" s="1"/>
  <c r="F732" i="7"/>
  <c r="AN430" i="7"/>
  <c r="AE454" i="7"/>
  <c r="AE483" i="7"/>
  <c r="AH624" i="7"/>
  <c r="AH608" i="7"/>
  <c r="F653" i="7"/>
  <c r="F842" i="7"/>
  <c r="AH437" i="7"/>
  <c r="AG437" i="7"/>
  <c r="AP431" i="7"/>
  <c r="AN431" i="7"/>
  <c r="V433" i="7"/>
  <c r="AH442" i="7"/>
  <c r="AE451" i="7"/>
  <c r="AH454" i="7"/>
  <c r="AH460" i="7"/>
  <c r="AE498" i="7"/>
  <c r="AH482" i="7"/>
  <c r="AF498" i="7"/>
  <c r="AE501" i="7"/>
  <c r="AE485" i="7"/>
  <c r="F484" i="7"/>
  <c r="AH541" i="7"/>
  <c r="AL517" i="7"/>
  <c r="AO517" i="7" s="1"/>
  <c r="O517" i="7"/>
  <c r="V517" i="7" s="1"/>
  <c r="F610" i="7"/>
  <c r="F718" i="7"/>
  <c r="AO728" i="7"/>
  <c r="AO744" i="7" s="1"/>
  <c r="F798" i="7"/>
  <c r="AJ569" i="7"/>
  <c r="AJ577" i="7"/>
  <c r="AH586" i="7"/>
  <c r="AH594" i="7"/>
  <c r="F612" i="7"/>
  <c r="O644" i="7"/>
  <c r="V644" i="7" s="1"/>
  <c r="AL644" i="7"/>
  <c r="AM644" i="7" s="1"/>
  <c r="AM660" i="7" s="1"/>
  <c r="AF652" i="7"/>
  <c r="I431" i="7"/>
  <c r="I432" i="7" s="1"/>
  <c r="J432" i="7" s="1"/>
  <c r="AL431" i="7"/>
  <c r="AL447" i="7" s="1"/>
  <c r="AF438" i="7"/>
  <c r="AH440" i="7"/>
  <c r="AJ442" i="7"/>
  <c r="AJ460" i="7"/>
  <c r="O515" i="7"/>
  <c r="V515" i="7" s="1"/>
  <c r="AH523" i="7"/>
  <c r="AJ593" i="7"/>
  <c r="AI671" i="7"/>
  <c r="AN639" i="7"/>
  <c r="AL639" i="7"/>
  <c r="AL671" i="7" s="1"/>
  <c r="AK639" i="7"/>
  <c r="AK655" i="7" s="1"/>
  <c r="AJ639" i="7"/>
  <c r="AJ647" i="7" s="1"/>
  <c r="AG829" i="7"/>
  <c r="AG837" i="7"/>
  <c r="AJ494" i="7"/>
  <c r="AJ502" i="7"/>
  <c r="AL430" i="7"/>
  <c r="AL454" i="7" s="1"/>
  <c r="O472" i="7"/>
  <c r="V472" i="7" s="1"/>
  <c r="AF480" i="7"/>
  <c r="AK702" i="7"/>
  <c r="AK710" i="7"/>
  <c r="AK694" i="7"/>
  <c r="AE468" i="7"/>
  <c r="AE662" i="7"/>
  <c r="AE678" i="7"/>
  <c r="AE654" i="7"/>
  <c r="AL821" i="7"/>
  <c r="AL845" i="7"/>
  <c r="AH570" i="7"/>
  <c r="AI783" i="7"/>
  <c r="AL767" i="7"/>
  <c r="AL775" i="7" s="1"/>
  <c r="F846" i="7"/>
  <c r="F838" i="7" s="1"/>
  <c r="F444" i="7"/>
  <c r="AP472" i="7"/>
  <c r="AK472" i="7"/>
  <c r="AK504" i="7" s="1"/>
  <c r="AJ472" i="7"/>
  <c r="AJ504" i="7" s="1"/>
  <c r="V475" i="7"/>
  <c r="F485" i="7"/>
  <c r="F509" i="7" s="1"/>
  <c r="AE578" i="7"/>
  <c r="AE570" i="7"/>
  <c r="F606" i="7"/>
  <c r="AG743" i="7"/>
  <c r="AG735" i="7"/>
  <c r="AG751" i="7"/>
  <c r="AL737" i="7"/>
  <c r="AL761" i="7"/>
  <c r="F821" i="7"/>
  <c r="F845" i="7" s="1"/>
  <c r="AJ836" i="7"/>
  <c r="AF541" i="7"/>
  <c r="AG527" i="7"/>
  <c r="AO562" i="7"/>
  <c r="AP599" i="7"/>
  <c r="AH650" i="7"/>
  <c r="AH703" i="7"/>
  <c r="AG708" i="7"/>
  <c r="AH751" i="7"/>
  <c r="AH738" i="7"/>
  <c r="AH745" i="7"/>
  <c r="AK780" i="7"/>
  <c r="AH787" i="7"/>
  <c r="AJ795" i="7"/>
  <c r="AL811" i="7"/>
  <c r="AO811" i="7" s="1"/>
  <c r="AG819" i="7"/>
  <c r="F482" i="7"/>
  <c r="AG525" i="7"/>
  <c r="AP557" i="7"/>
  <c r="AL559" i="7"/>
  <c r="AG565" i="7"/>
  <c r="AJ568" i="7"/>
  <c r="AG583" i="7"/>
  <c r="AJ597" i="7"/>
  <c r="AJ605" i="7" s="1"/>
  <c r="AE605" i="7"/>
  <c r="AE618" i="7"/>
  <c r="AK619" i="7"/>
  <c r="AE623" i="7"/>
  <c r="AE628" i="7"/>
  <c r="AK642" i="7"/>
  <c r="AK658" i="7" s="1"/>
  <c r="AH652" i="7"/>
  <c r="AE661" i="7"/>
  <c r="AG670" i="7"/>
  <c r="AJ681" i="7"/>
  <c r="AJ697" i="7" s="1"/>
  <c r="O684" i="7"/>
  <c r="V684" i="7" s="1"/>
  <c r="AL685" i="7"/>
  <c r="AL717" i="7" s="1"/>
  <c r="AH712" i="7"/>
  <c r="AF753" i="7"/>
  <c r="AF750" i="7"/>
  <c r="O809" i="7"/>
  <c r="V809" i="7" s="1"/>
  <c r="AL812" i="7"/>
  <c r="AO812" i="7" s="1"/>
  <c r="AH838" i="7"/>
  <c r="F820" i="7"/>
  <c r="AE829" i="7"/>
  <c r="AE831" i="7"/>
  <c r="AE837" i="7"/>
  <c r="AH670" i="7"/>
  <c r="F692" i="7"/>
  <c r="O729" i="7"/>
  <c r="V729" i="7" s="1"/>
  <c r="O730" i="7"/>
  <c r="V730" i="7" s="1"/>
  <c r="AG794" i="7"/>
  <c r="AO813" i="7"/>
  <c r="AO829" i="7" s="1"/>
  <c r="AE817" i="7"/>
  <c r="AF829" i="7"/>
  <c r="AE526" i="7"/>
  <c r="AJ570" i="7"/>
  <c r="AG605" i="7"/>
  <c r="AE610" i="7"/>
  <c r="AO645" i="7"/>
  <c r="AO677" i="7" s="1"/>
  <c r="AD645" i="7" s="1"/>
  <c r="F649" i="7"/>
  <c r="F673" i="7" s="1"/>
  <c r="AH654" i="7"/>
  <c r="AF819" i="7"/>
  <c r="AG817" i="7"/>
  <c r="AJ822" i="7"/>
  <c r="AH829" i="7"/>
  <c r="AJ838" i="7"/>
  <c r="AF460" i="7"/>
  <c r="AP471" i="7"/>
  <c r="AL514" i="7"/>
  <c r="V519" i="7"/>
  <c r="AJ526" i="7"/>
  <c r="AJ544" i="7"/>
  <c r="F564" i="7"/>
  <c r="AE567" i="7"/>
  <c r="O599" i="7"/>
  <c r="V599" i="7" s="1"/>
  <c r="AJ599" i="7"/>
  <c r="AJ615" i="7" s="1"/>
  <c r="AH625" i="7"/>
  <c r="AG617" i="7"/>
  <c r="AG634" i="7"/>
  <c r="AE649" i="7"/>
  <c r="AE653" i="7"/>
  <c r="AH660" i="7"/>
  <c r="AF666" i="7"/>
  <c r="AJ677" i="7"/>
  <c r="AG692" i="7"/>
  <c r="AK720" i="7"/>
  <c r="O725" i="7"/>
  <c r="V725" i="7" s="1"/>
  <c r="AL725" i="7"/>
  <c r="AL749" i="7" s="1"/>
  <c r="AH754" i="7"/>
  <c r="AE737" i="7"/>
  <c r="AH762" i="7"/>
  <c r="AJ766" i="7"/>
  <c r="AJ798" i="7" s="1"/>
  <c r="AJ786" i="7"/>
  <c r="V807" i="7"/>
  <c r="AE833" i="7"/>
  <c r="AJ846" i="7"/>
  <c r="AK474" i="7"/>
  <c r="AK482" i="7" s="1"/>
  <c r="AM476" i="7"/>
  <c r="AM492" i="7" s="1"/>
  <c r="AG486" i="7"/>
  <c r="AH502" i="7"/>
  <c r="AN514" i="7"/>
  <c r="F527" i="7"/>
  <c r="AG567" i="7"/>
  <c r="AG569" i="7"/>
  <c r="AG585" i="7"/>
  <c r="AK599" i="7"/>
  <c r="AK631" i="7" s="1"/>
  <c r="AG621" i="7"/>
  <c r="AF649" i="7"/>
  <c r="AF662" i="7"/>
  <c r="AG696" i="7"/>
  <c r="AK712" i="7"/>
  <c r="AN725" i="7"/>
  <c r="AM728" i="7"/>
  <c r="AM744" i="7" s="1"/>
  <c r="AE735" i="7"/>
  <c r="AG737" i="7"/>
  <c r="AE753" i="7"/>
  <c r="AN766" i="7"/>
  <c r="AL771" i="7"/>
  <c r="AL779" i="7" s="1"/>
  <c r="F802" i="7"/>
  <c r="F794" i="7" s="1"/>
  <c r="AH835" i="7"/>
  <c r="AF834" i="7"/>
  <c r="AP514" i="7"/>
  <c r="AL518" i="7"/>
  <c r="AL542" i="7" s="1"/>
  <c r="AI530" i="7"/>
  <c r="AG535" i="7"/>
  <c r="V559" i="7"/>
  <c r="AH583" i="7"/>
  <c r="AM562" i="7"/>
  <c r="AM578" i="7" s="1"/>
  <c r="AJ576" i="7"/>
  <c r="AJ586" i="7"/>
  <c r="AL599" i="7"/>
  <c r="AL607" i="7" s="1"/>
  <c r="AH621" i="7"/>
  <c r="AG626" i="7"/>
  <c r="AG667" i="7"/>
  <c r="AH678" i="7"/>
  <c r="AG693" i="7"/>
  <c r="AK696" i="7"/>
  <c r="AE708" i="7"/>
  <c r="AF735" i="7"/>
  <c r="AE747" i="7"/>
  <c r="AG753" i="7"/>
  <c r="AP766" i="7"/>
  <c r="AL770" i="7"/>
  <c r="AL802" i="7" s="1"/>
  <c r="J557" i="7"/>
  <c r="J556" i="7"/>
  <c r="I558" i="7"/>
  <c r="I559" i="7" s="1"/>
  <c r="J559" i="7" s="1"/>
  <c r="J472" i="7"/>
  <c r="AK821" i="7"/>
  <c r="AK837" i="7"/>
  <c r="AK829" i="7"/>
  <c r="AM813" i="7"/>
  <c r="AK845" i="7"/>
  <c r="AF828" i="7"/>
  <c r="AF820" i="7"/>
  <c r="AF844" i="7"/>
  <c r="AF836" i="7"/>
  <c r="F840" i="7"/>
  <c r="AI824" i="7"/>
  <c r="AP808" i="7"/>
  <c r="AI840" i="7"/>
  <c r="AN808" i="7"/>
  <c r="AL808" i="7"/>
  <c r="AK808" i="7"/>
  <c r="AJ808" i="7"/>
  <c r="AK827" i="7"/>
  <c r="AK843" i="7"/>
  <c r="AK819" i="7"/>
  <c r="AK835" i="7"/>
  <c r="I810" i="7"/>
  <c r="J809" i="7"/>
  <c r="AG832" i="7"/>
  <c r="AE816" i="7"/>
  <c r="O808" i="7"/>
  <c r="V808" i="7" s="1"/>
  <c r="AF832" i="7"/>
  <c r="AE832" i="7"/>
  <c r="AH816" i="7"/>
  <c r="AG816" i="7"/>
  <c r="AF846" i="7"/>
  <c r="AF822" i="7"/>
  <c r="AF838" i="7"/>
  <c r="F843" i="7"/>
  <c r="AF830" i="7"/>
  <c r="AK807" i="7"/>
  <c r="O810" i="7"/>
  <c r="V810" i="7" s="1"/>
  <c r="AP810" i="7"/>
  <c r="AE818" i="7"/>
  <c r="AH819" i="7"/>
  <c r="AK820" i="7"/>
  <c r="AF821" i="7"/>
  <c r="AI825" i="7"/>
  <c r="AE827" i="7"/>
  <c r="AK828" i="7"/>
  <c r="AG830" i="7"/>
  <c r="AF831" i="7"/>
  <c r="AG834" i="7"/>
  <c r="AJ835" i="7"/>
  <c r="AE836" i="7"/>
  <c r="AH837" i="7"/>
  <c r="AK838" i="7"/>
  <c r="AI842" i="7"/>
  <c r="AG843" i="7"/>
  <c r="AE844" i="7"/>
  <c r="AL807" i="7"/>
  <c r="AE815" i="7"/>
  <c r="AF818" i="7"/>
  <c r="AH830" i="7"/>
  <c r="AG831" i="7"/>
  <c r="AH834" i="7"/>
  <c r="AH843" i="7"/>
  <c r="AK809" i="7"/>
  <c r="AJ810" i="7"/>
  <c r="AF815" i="7"/>
  <c r="AG818" i="7"/>
  <c r="AJ819" i="7"/>
  <c r="AE820" i="7"/>
  <c r="AH821" i="7"/>
  <c r="AK822" i="7"/>
  <c r="AI826" i="7"/>
  <c r="AH831" i="7"/>
  <c r="AF833" i="7"/>
  <c r="AG836" i="7"/>
  <c r="AJ837" i="7"/>
  <c r="AE838" i="7"/>
  <c r="AI839" i="7"/>
  <c r="AG844" i="7"/>
  <c r="AK846" i="7"/>
  <c r="AN807" i="7"/>
  <c r="AK810" i="7"/>
  <c r="AG815" i="7"/>
  <c r="AH818" i="7"/>
  <c r="AH827" i="7"/>
  <c r="AL829" i="7"/>
  <c r="AG833" i="7"/>
  <c r="AE835" i="7"/>
  <c r="AH836" i="7"/>
  <c r="AJ843" i="7"/>
  <c r="AH844" i="7"/>
  <c r="AF845" i="7"/>
  <c r="J808" i="7"/>
  <c r="AL810" i="7"/>
  <c r="AL814" i="7"/>
  <c r="F815" i="7"/>
  <c r="AH815" i="7"/>
  <c r="AF817" i="7"/>
  <c r="AG820" i="7"/>
  <c r="AJ821" i="7"/>
  <c r="AE822" i="7"/>
  <c r="AI823" i="7"/>
  <c r="AH833" i="7"/>
  <c r="AF835" i="7"/>
  <c r="AL837" i="7"/>
  <c r="AG838" i="7"/>
  <c r="F841" i="7"/>
  <c r="AG845" i="7"/>
  <c r="AE846" i="7"/>
  <c r="AH820" i="7"/>
  <c r="AK836" i="7"/>
  <c r="I768" i="7"/>
  <c r="J767" i="7"/>
  <c r="O769" i="7"/>
  <c r="V769" i="7" s="1"/>
  <c r="AJ765" i="7"/>
  <c r="AF790" i="7"/>
  <c r="AE790" i="7"/>
  <c r="AH774" i="7"/>
  <c r="AG774" i="7"/>
  <c r="AP767" i="7"/>
  <c r="O768" i="7"/>
  <c r="V768" i="7" s="1"/>
  <c r="AE774" i="7"/>
  <c r="AF777" i="7"/>
  <c r="AE789" i="7"/>
  <c r="AE796" i="7"/>
  <c r="AG793" i="7"/>
  <c r="AG801" i="7"/>
  <c r="AK765" i="7"/>
  <c r="AG775" i="7"/>
  <c r="AH791" i="7"/>
  <c r="AF775" i="7"/>
  <c r="AG791" i="7"/>
  <c r="AE775" i="7"/>
  <c r="AE791" i="7"/>
  <c r="AH776" i="7"/>
  <c r="AH792" i="7"/>
  <c r="AF776" i="7"/>
  <c r="AG792" i="7"/>
  <c r="AE776" i="7"/>
  <c r="AJ785" i="7"/>
  <c r="AJ801" i="7"/>
  <c r="AJ793" i="7"/>
  <c r="O771" i="7"/>
  <c r="V771" i="7" s="1"/>
  <c r="AF774" i="7"/>
  <c r="AH775" i="7"/>
  <c r="AG776" i="7"/>
  <c r="AG777" i="7"/>
  <c r="AG780" i="7"/>
  <c r="AI782" i="7"/>
  <c r="AH789" i="7"/>
  <c r="AG790" i="7"/>
  <c r="AF791" i="7"/>
  <c r="AF792" i="7"/>
  <c r="AH793" i="7"/>
  <c r="AG795" i="7"/>
  <c r="F800" i="7"/>
  <c r="AE795" i="7"/>
  <c r="AE787" i="7"/>
  <c r="AL765" i="7"/>
  <c r="AK766" i="7"/>
  <c r="V767" i="7"/>
  <c r="AJ767" i="7"/>
  <c r="AJ768" i="7"/>
  <c r="AK801" i="7"/>
  <c r="AK777" i="7"/>
  <c r="AK793" i="7"/>
  <c r="AE802" i="7"/>
  <c r="AE794" i="7"/>
  <c r="AE804" i="7"/>
  <c r="AE780" i="7"/>
  <c r="AJ777" i="7"/>
  <c r="AH779" i="7"/>
  <c r="AG785" i="7"/>
  <c r="AE786" i="7"/>
  <c r="AH790" i="7"/>
  <c r="AJ796" i="7"/>
  <c r="AH773" i="7"/>
  <c r="AG773" i="7"/>
  <c r="AG789" i="7"/>
  <c r="AE773" i="7"/>
  <c r="AF789" i="7"/>
  <c r="AL766" i="7"/>
  <c r="AK767" i="7"/>
  <c r="AK768" i="7"/>
  <c r="AL769" i="7"/>
  <c r="AO769" i="7" s="1"/>
  <c r="AF786" i="7"/>
  <c r="AF778" i="7"/>
  <c r="AF802" i="7"/>
  <c r="AF794" i="7"/>
  <c r="AJ779" i="7"/>
  <c r="AJ787" i="7"/>
  <c r="AF804" i="7"/>
  <c r="AF780" i="7"/>
  <c r="AF796" i="7"/>
  <c r="AI797" i="7"/>
  <c r="AE803" i="7"/>
  <c r="AN765" i="7"/>
  <c r="AG786" i="7"/>
  <c r="AG778" i="7"/>
  <c r="AK779" i="7"/>
  <c r="AK795" i="7"/>
  <c r="AK803" i="7"/>
  <c r="O772" i="7"/>
  <c r="V772" i="7" s="1"/>
  <c r="AL772" i="7"/>
  <c r="AM772" i="7" s="1"/>
  <c r="AG796" i="7"/>
  <c r="F791" i="7"/>
  <c r="AK787" i="7"/>
  <c r="AG802" i="7"/>
  <c r="J766" i="7"/>
  <c r="AE777" i="7"/>
  <c r="AE793" i="7"/>
  <c r="AE785" i="7"/>
  <c r="AH796" i="7"/>
  <c r="O765" i="7"/>
  <c r="V765" i="7" s="1"/>
  <c r="AP765" i="7"/>
  <c r="AN767" i="7"/>
  <c r="AF793" i="7"/>
  <c r="AJ802" i="7"/>
  <c r="AJ794" i="7"/>
  <c r="AJ788" i="7"/>
  <c r="AJ804" i="7"/>
  <c r="AJ780" i="7"/>
  <c r="F777" i="7"/>
  <c r="F795" i="7"/>
  <c r="AI799" i="7"/>
  <c r="AH777" i="7"/>
  <c r="AK778" i="7"/>
  <c r="AF779" i="7"/>
  <c r="AG788" i="7"/>
  <c r="AH795" i="7"/>
  <c r="AK796" i="7"/>
  <c r="AG779" i="7"/>
  <c r="AF785" i="7"/>
  <c r="AH788" i="7"/>
  <c r="AH801" i="7"/>
  <c r="AH794" i="7"/>
  <c r="AH802" i="7"/>
  <c r="AF803" i="7"/>
  <c r="AH778" i="7"/>
  <c r="F753" i="7"/>
  <c r="AJ747" i="7"/>
  <c r="AJ755" i="7"/>
  <c r="AG748" i="7"/>
  <c r="AE732" i="7"/>
  <c r="O724" i="7"/>
  <c r="V724" i="7" s="1"/>
  <c r="AF748" i="7"/>
  <c r="AE748" i="7"/>
  <c r="AH732" i="7"/>
  <c r="AG732" i="7"/>
  <c r="AF762" i="7"/>
  <c r="AF738" i="7"/>
  <c r="AF754" i="7"/>
  <c r="F754" i="7"/>
  <c r="AH748" i="7"/>
  <c r="AL746" i="7"/>
  <c r="AM730" i="7"/>
  <c r="AL762" i="7"/>
  <c r="AL738" i="7"/>
  <c r="AL754" i="7"/>
  <c r="AF746" i="7"/>
  <c r="I726" i="7"/>
  <c r="J725" i="7"/>
  <c r="AO729" i="7"/>
  <c r="AK737" i="7"/>
  <c r="AK753" i="7"/>
  <c r="AK745" i="7"/>
  <c r="AM729" i="7"/>
  <c r="AK761" i="7"/>
  <c r="F759" i="7"/>
  <c r="AF744" i="7"/>
  <c r="AF736" i="7"/>
  <c r="AF760" i="7"/>
  <c r="AF752" i="7"/>
  <c r="AI740" i="7"/>
  <c r="AP724" i="7"/>
  <c r="AI756" i="7"/>
  <c r="AN724" i="7"/>
  <c r="AL724" i="7"/>
  <c r="AK724" i="7"/>
  <c r="AJ724" i="7"/>
  <c r="AK743" i="7"/>
  <c r="AK759" i="7"/>
  <c r="AK735" i="7"/>
  <c r="AK751" i="7"/>
  <c r="F750" i="7"/>
  <c r="AK723" i="7"/>
  <c r="O726" i="7"/>
  <c r="V726" i="7" s="1"/>
  <c r="AP726" i="7"/>
  <c r="AE734" i="7"/>
  <c r="AH735" i="7"/>
  <c r="AK736" i="7"/>
  <c r="AF737" i="7"/>
  <c r="AI741" i="7"/>
  <c r="AE743" i="7"/>
  <c r="AK744" i="7"/>
  <c r="AG746" i="7"/>
  <c r="AF747" i="7"/>
  <c r="AG750" i="7"/>
  <c r="AJ751" i="7"/>
  <c r="AE752" i="7"/>
  <c r="AH753" i="7"/>
  <c r="AK754" i="7"/>
  <c r="AI758" i="7"/>
  <c r="AG759" i="7"/>
  <c r="AE760" i="7"/>
  <c r="AL723" i="7"/>
  <c r="AE731" i="7"/>
  <c r="AF734" i="7"/>
  <c r="AH746" i="7"/>
  <c r="AG747" i="7"/>
  <c r="AH750" i="7"/>
  <c r="AH759" i="7"/>
  <c r="AK725" i="7"/>
  <c r="AJ726" i="7"/>
  <c r="AF731" i="7"/>
  <c r="AG734" i="7"/>
  <c r="AJ735" i="7"/>
  <c r="AE736" i="7"/>
  <c r="AH737" i="7"/>
  <c r="AK738" i="7"/>
  <c r="AI742" i="7"/>
  <c r="AH747" i="7"/>
  <c r="AF749" i="7"/>
  <c r="AG752" i="7"/>
  <c r="AJ753" i="7"/>
  <c r="AE754" i="7"/>
  <c r="AI755" i="7"/>
  <c r="AG760" i="7"/>
  <c r="AE761" i="7"/>
  <c r="AK762" i="7"/>
  <c r="AN723" i="7"/>
  <c r="AK726" i="7"/>
  <c r="AG731" i="7"/>
  <c r="AH734" i="7"/>
  <c r="AH743" i="7"/>
  <c r="AL745" i="7"/>
  <c r="AG749" i="7"/>
  <c r="AE751" i="7"/>
  <c r="AH752" i="7"/>
  <c r="AJ759" i="7"/>
  <c r="AH760" i="7"/>
  <c r="AF761" i="7"/>
  <c r="J724" i="7"/>
  <c r="AL726" i="7"/>
  <c r="F731" i="7"/>
  <c r="AH731" i="7"/>
  <c r="AF733" i="7"/>
  <c r="AG736" i="7"/>
  <c r="AJ737" i="7"/>
  <c r="AE738" i="7"/>
  <c r="AI739" i="7"/>
  <c r="AH749" i="7"/>
  <c r="AF751" i="7"/>
  <c r="AL753" i="7"/>
  <c r="AG754" i="7"/>
  <c r="F757" i="7"/>
  <c r="AG761" i="7"/>
  <c r="AE762" i="7"/>
  <c r="AH736" i="7"/>
  <c r="AG738" i="7"/>
  <c r="AK752" i="7"/>
  <c r="AL711" i="7"/>
  <c r="AL703" i="7"/>
  <c r="AL719" i="7"/>
  <c r="AL695" i="7"/>
  <c r="I684" i="7"/>
  <c r="J683" i="7"/>
  <c r="AK681" i="7"/>
  <c r="AJ682" i="7"/>
  <c r="AG691" i="7"/>
  <c r="AH707" i="7"/>
  <c r="AF691" i="7"/>
  <c r="AG707" i="7"/>
  <c r="AE691" i="7"/>
  <c r="AE707" i="7"/>
  <c r="AK717" i="7"/>
  <c r="AK693" i="7"/>
  <c r="AK709" i="7"/>
  <c r="AE720" i="7"/>
  <c r="AE696" i="7"/>
  <c r="AE690" i="7"/>
  <c r="AF693" i="7"/>
  <c r="AH695" i="7"/>
  <c r="AF705" i="7"/>
  <c r="AG711" i="7"/>
  <c r="AL681" i="7"/>
  <c r="AK682" i="7"/>
  <c r="AF702" i="7"/>
  <c r="AF694" i="7"/>
  <c r="AF718" i="7"/>
  <c r="AF710" i="7"/>
  <c r="AJ695" i="7"/>
  <c r="AO687" i="7"/>
  <c r="AJ703" i="7"/>
  <c r="AM687" i="7"/>
  <c r="AF720" i="7"/>
  <c r="AF696" i="7"/>
  <c r="AF712" i="7"/>
  <c r="F707" i="7"/>
  <c r="AH705" i="7"/>
  <c r="AJ711" i="7"/>
  <c r="AF706" i="7"/>
  <c r="AE706" i="7"/>
  <c r="AH690" i="7"/>
  <c r="AL682" i="7"/>
  <c r="AK683" i="7"/>
  <c r="V686" i="7"/>
  <c r="AG702" i="7"/>
  <c r="AG694" i="7"/>
  <c r="AK695" i="7"/>
  <c r="AK711" i="7"/>
  <c r="AK719" i="7"/>
  <c r="O688" i="7"/>
  <c r="V688" i="7" s="1"/>
  <c r="AL688" i="7"/>
  <c r="AG712" i="7"/>
  <c r="AG690" i="7"/>
  <c r="AH693" i="7"/>
  <c r="AH696" i="7"/>
  <c r="AG720" i="7"/>
  <c r="AF695" i="7"/>
  <c r="AN681" i="7"/>
  <c r="AL683" i="7"/>
  <c r="AE693" i="7"/>
  <c r="AE709" i="7"/>
  <c r="AJ693" i="7"/>
  <c r="AG706" i="7"/>
  <c r="AH709" i="7"/>
  <c r="AI713" i="7"/>
  <c r="O687" i="7"/>
  <c r="V687" i="7" s="1"/>
  <c r="AH711" i="7"/>
  <c r="J682" i="7"/>
  <c r="AN682" i="7"/>
  <c r="AF709" i="7"/>
  <c r="AJ718" i="7"/>
  <c r="AJ710" i="7"/>
  <c r="AJ704" i="7"/>
  <c r="AJ720" i="7"/>
  <c r="AJ696" i="7"/>
  <c r="AH691" i="7"/>
  <c r="AE694" i="7"/>
  <c r="AH706" i="7"/>
  <c r="F711" i="7"/>
  <c r="AE717" i="7"/>
  <c r="AG718" i="7"/>
  <c r="AP681" i="7"/>
  <c r="AN683" i="7"/>
  <c r="V685" i="7"/>
  <c r="AG709" i="7"/>
  <c r="AG717" i="7"/>
  <c r="AE711" i="7"/>
  <c r="AE703" i="7"/>
  <c r="F693" i="7"/>
  <c r="AI698" i="7"/>
  <c r="AK701" i="7"/>
  <c r="AE702" i="7"/>
  <c r="AE710" i="7"/>
  <c r="AJ719" i="7"/>
  <c r="AJ701" i="7"/>
  <c r="AJ717" i="7"/>
  <c r="AF711" i="7"/>
  <c r="AH689" i="7"/>
  <c r="AG689" i="7"/>
  <c r="AG705" i="7"/>
  <c r="AE689" i="7"/>
  <c r="O682" i="7"/>
  <c r="V682" i="7" s="1"/>
  <c r="AP682" i="7"/>
  <c r="AL686" i="7"/>
  <c r="AM686" i="7" s="1"/>
  <c r="AF689" i="7"/>
  <c r="AE695" i="7"/>
  <c r="AG710" i="7"/>
  <c r="AF692" i="7"/>
  <c r="AG695" i="7"/>
  <c r="AF701" i="7"/>
  <c r="AH704" i="7"/>
  <c r="AH708" i="7"/>
  <c r="AH717" i="7"/>
  <c r="AH710" i="7"/>
  <c r="AH718" i="7"/>
  <c r="AF719" i="7"/>
  <c r="AH694" i="7"/>
  <c r="J640" i="7"/>
  <c r="AG647" i="7"/>
  <c r="F675" i="7"/>
  <c r="AF664" i="7"/>
  <c r="AG669" i="7"/>
  <c r="AL678" i="7"/>
  <c r="AL670" i="7"/>
  <c r="F672" i="7"/>
  <c r="O639" i="7"/>
  <c r="V639" i="7" s="1"/>
  <c r="AP639" i="7"/>
  <c r="AI656" i="7"/>
  <c r="AP640" i="7"/>
  <c r="AK640" i="7"/>
  <c r="AH663" i="7"/>
  <c r="AF647" i="7"/>
  <c r="AG663" i="7"/>
  <c r="AE647" i="7"/>
  <c r="AF663" i="7"/>
  <c r="AG664" i="7"/>
  <c r="AE648" i="7"/>
  <c r="O640" i="7"/>
  <c r="V640" i="7" s="1"/>
  <c r="AH648" i="7"/>
  <c r="AG648" i="7"/>
  <c r="AF651" i="7"/>
  <c r="AF659" i="7"/>
  <c r="AF660" i="7"/>
  <c r="AF676" i="7"/>
  <c r="AF668" i="7"/>
  <c r="AF669" i="7"/>
  <c r="AF677" i="7"/>
  <c r="AF653" i="7"/>
  <c r="AO646" i="7"/>
  <c r="F668" i="7"/>
  <c r="AF678" i="7"/>
  <c r="AL654" i="7"/>
  <c r="I641" i="7"/>
  <c r="AG659" i="7"/>
  <c r="AG675" i="7"/>
  <c r="AG676" i="7"/>
  <c r="AG668" i="7"/>
  <c r="AG661" i="7"/>
  <c r="AG653" i="7"/>
  <c r="AF648" i="7"/>
  <c r="AI655" i="7"/>
  <c r="AL662" i="7"/>
  <c r="AI673" i="7"/>
  <c r="AK641" i="7"/>
  <c r="AJ641" i="7"/>
  <c r="AI657" i="7"/>
  <c r="AH667" i="7"/>
  <c r="AH659" i="7"/>
  <c r="AH675" i="7"/>
  <c r="AH651" i="7"/>
  <c r="AH653" i="7"/>
  <c r="AH669" i="7"/>
  <c r="AF675" i="7"/>
  <c r="AL641" i="7"/>
  <c r="AG660" i="7"/>
  <c r="AL653" i="7"/>
  <c r="AL661" i="7"/>
  <c r="AL677" i="7"/>
  <c r="AH649" i="7"/>
  <c r="AG665" i="7"/>
  <c r="AF665" i="7"/>
  <c r="AE665" i="7"/>
  <c r="AK659" i="7"/>
  <c r="AK667" i="7"/>
  <c r="AK676" i="7"/>
  <c r="AK668" i="7"/>
  <c r="AK660" i="7"/>
  <c r="AK652" i="7"/>
  <c r="AK669" i="7"/>
  <c r="AK661" i="7"/>
  <c r="AM645" i="7"/>
  <c r="AK677" i="7"/>
  <c r="AK678" i="7"/>
  <c r="AK654" i="7"/>
  <c r="AK670" i="7"/>
  <c r="AG649" i="7"/>
  <c r="AG652" i="7"/>
  <c r="AF661" i="7"/>
  <c r="AK675" i="7"/>
  <c r="AE650" i="7"/>
  <c r="AE659" i="7"/>
  <c r="AG662" i="7"/>
  <c r="AG666" i="7"/>
  <c r="AJ667" i="7"/>
  <c r="AE668" i="7"/>
  <c r="AI674" i="7"/>
  <c r="AE676" i="7"/>
  <c r="AF650" i="7"/>
  <c r="AJ654" i="7"/>
  <c r="AJ661" i="7"/>
  <c r="AH666" i="7"/>
  <c r="AJ678" i="7"/>
  <c r="AJ642" i="7"/>
  <c r="AG650" i="7"/>
  <c r="AJ651" i="7"/>
  <c r="AE652" i="7"/>
  <c r="AI658" i="7"/>
  <c r="AJ669" i="7"/>
  <c r="AE670" i="7"/>
  <c r="AE667" i="7"/>
  <c r="AH668" i="7"/>
  <c r="AJ675" i="7"/>
  <c r="AG654" i="7"/>
  <c r="AN600" i="7"/>
  <c r="AL600" i="7"/>
  <c r="AI632" i="7"/>
  <c r="AP600" i="7"/>
  <c r="AL601" i="7"/>
  <c r="AG609" i="7"/>
  <c r="AF609" i="7"/>
  <c r="AF625" i="7"/>
  <c r="AF633" i="7"/>
  <c r="AJ634" i="7"/>
  <c r="AJ626" i="7"/>
  <c r="AJ618" i="7"/>
  <c r="AJ610" i="7"/>
  <c r="AL620" i="7"/>
  <c r="AL636" i="7"/>
  <c r="AL612" i="7"/>
  <c r="AI616" i="7"/>
  <c r="AE633" i="7"/>
  <c r="AE609" i="7"/>
  <c r="AE625" i="7"/>
  <c r="AE617" i="7"/>
  <c r="AK634" i="7"/>
  <c r="AK626" i="7"/>
  <c r="AK618" i="7"/>
  <c r="AK610" i="7"/>
  <c r="AE627" i="7"/>
  <c r="AE619" i="7"/>
  <c r="AE611" i="7"/>
  <c r="AH628" i="7"/>
  <c r="AH636" i="7"/>
  <c r="AH612" i="7"/>
  <c r="AE624" i="7"/>
  <c r="AG624" i="7"/>
  <c r="AE608" i="7"/>
  <c r="O600" i="7"/>
  <c r="V600" i="7" s="1"/>
  <c r="AF624" i="7"/>
  <c r="AL603" i="7"/>
  <c r="AG627" i="7"/>
  <c r="AF627" i="7"/>
  <c r="AF619" i="7"/>
  <c r="AF635" i="7"/>
  <c r="AF611" i="7"/>
  <c r="AM604" i="7"/>
  <c r="AJ620" i="7"/>
  <c r="AJ628" i="7"/>
  <c r="AO604" i="7"/>
  <c r="AG611" i="7"/>
  <c r="AJ612" i="7"/>
  <c r="F609" i="7"/>
  <c r="V603" i="7"/>
  <c r="AK620" i="7"/>
  <c r="AK628" i="7"/>
  <c r="F624" i="7"/>
  <c r="AH611" i="7"/>
  <c r="AK612" i="7"/>
  <c r="AF617" i="7"/>
  <c r="AH620" i="7"/>
  <c r="I599" i="7"/>
  <c r="J598" i="7"/>
  <c r="AF608" i="7"/>
  <c r="AE635" i="7"/>
  <c r="AJ636" i="7"/>
  <c r="AH618" i="7"/>
  <c r="AH610" i="7"/>
  <c r="AH634" i="7"/>
  <c r="AH626" i="7"/>
  <c r="AG608" i="7"/>
  <c r="AK636" i="7"/>
  <c r="AF606" i="7"/>
  <c r="AF620" i="7"/>
  <c r="AE621" i="7"/>
  <c r="AH622" i="7"/>
  <c r="AK597" i="7"/>
  <c r="AJ598" i="7"/>
  <c r="AG606" i="7"/>
  <c r="AH609" i="7"/>
  <c r="AI615" i="7"/>
  <c r="AG620" i="7"/>
  <c r="AF621" i="7"/>
  <c r="AJ625" i="7"/>
  <c r="AE626" i="7"/>
  <c r="AH627" i="7"/>
  <c r="AG633" i="7"/>
  <c r="AK635" i="7"/>
  <c r="AH617" i="7"/>
  <c r="AG623" i="7"/>
  <c r="AK627" i="7"/>
  <c r="AF628" i="7"/>
  <c r="AJ633" i="7"/>
  <c r="AN598" i="7"/>
  <c r="F605" i="7"/>
  <c r="AH605" i="7"/>
  <c r="AF607" i="7"/>
  <c r="AG610" i="7"/>
  <c r="AJ611" i="7"/>
  <c r="AE612" i="7"/>
  <c r="AI613" i="7"/>
  <c r="AE622" i="7"/>
  <c r="AH623" i="7"/>
  <c r="AG628" i="7"/>
  <c r="AI630" i="7"/>
  <c r="AK633" i="7"/>
  <c r="AG635" i="7"/>
  <c r="AE636" i="7"/>
  <c r="AF612" i="7"/>
  <c r="AF622" i="7"/>
  <c r="O598" i="7"/>
  <c r="V598" i="7" s="1"/>
  <c r="AP598" i="7"/>
  <c r="AE606" i="7"/>
  <c r="AG612" i="7"/>
  <c r="AH580" i="7"/>
  <c r="AK575" i="7"/>
  <c r="AK591" i="7"/>
  <c r="AK567" i="7"/>
  <c r="AK583" i="7"/>
  <c r="AF594" i="7"/>
  <c r="AF570" i="7"/>
  <c r="AF586" i="7"/>
  <c r="F584" i="7"/>
  <c r="AI572" i="7"/>
  <c r="AP556" i="7"/>
  <c r="AI588" i="7"/>
  <c r="AN556" i="7"/>
  <c r="AL556" i="7"/>
  <c r="AK556" i="7"/>
  <c r="AJ556" i="7"/>
  <c r="AK569" i="7"/>
  <c r="AK585" i="7"/>
  <c r="AK577" i="7"/>
  <c r="AM561" i="7"/>
  <c r="AK593" i="7"/>
  <c r="AF576" i="7"/>
  <c r="AF568" i="7"/>
  <c r="AF592" i="7"/>
  <c r="AF584" i="7"/>
  <c r="AG580" i="7"/>
  <c r="AE564" i="7"/>
  <c r="O556" i="7"/>
  <c r="V556" i="7" s="1"/>
  <c r="AF580" i="7"/>
  <c r="AE580" i="7"/>
  <c r="AH564" i="7"/>
  <c r="AG564" i="7"/>
  <c r="F591" i="7"/>
  <c r="AK555" i="7"/>
  <c r="O558" i="7"/>
  <c r="V558" i="7" s="1"/>
  <c r="AP558" i="7"/>
  <c r="AE566" i="7"/>
  <c r="AH567" i="7"/>
  <c r="AK568" i="7"/>
  <c r="AF569" i="7"/>
  <c r="AI573" i="7"/>
  <c r="AE575" i="7"/>
  <c r="AK576" i="7"/>
  <c r="AG578" i="7"/>
  <c r="AF579" i="7"/>
  <c r="AG582" i="7"/>
  <c r="AJ583" i="7"/>
  <c r="AE584" i="7"/>
  <c r="AH585" i="7"/>
  <c r="AK586" i="7"/>
  <c r="AI590" i="7"/>
  <c r="AG591" i="7"/>
  <c r="AE592" i="7"/>
  <c r="AE563" i="7"/>
  <c r="AF566" i="7"/>
  <c r="AH578" i="7"/>
  <c r="AG579" i="7"/>
  <c r="AH582" i="7"/>
  <c r="AH591" i="7"/>
  <c r="AK557" i="7"/>
  <c r="AJ558" i="7"/>
  <c r="AF563" i="7"/>
  <c r="AG566" i="7"/>
  <c r="AJ567" i="7"/>
  <c r="AE568" i="7"/>
  <c r="AH569" i="7"/>
  <c r="AK570" i="7"/>
  <c r="AI574" i="7"/>
  <c r="AH579" i="7"/>
  <c r="AF581" i="7"/>
  <c r="AG584" i="7"/>
  <c r="AJ585" i="7"/>
  <c r="AE586" i="7"/>
  <c r="AI587" i="7"/>
  <c r="AG592" i="7"/>
  <c r="AE593" i="7"/>
  <c r="AK594" i="7"/>
  <c r="AN555" i="7"/>
  <c r="AL557" i="7"/>
  <c r="AK558" i="7"/>
  <c r="AO561" i="7"/>
  <c r="AG563" i="7"/>
  <c r="AE565" i="7"/>
  <c r="AH566" i="7"/>
  <c r="AL570" i="7"/>
  <c r="AH575" i="7"/>
  <c r="AL577" i="7"/>
  <c r="AG581" i="7"/>
  <c r="AE583" i="7"/>
  <c r="AH584" i="7"/>
  <c r="AJ591" i="7"/>
  <c r="AH592" i="7"/>
  <c r="AF593" i="7"/>
  <c r="AL558" i="7"/>
  <c r="AF565" i="7"/>
  <c r="AH581" i="7"/>
  <c r="AF583" i="7"/>
  <c r="AL585" i="7"/>
  <c r="AG586" i="7"/>
  <c r="AG593" i="7"/>
  <c r="AE594" i="7"/>
  <c r="AH568" i="7"/>
  <c r="AG570" i="7"/>
  <c r="AK584" i="7"/>
  <c r="I516" i="7"/>
  <c r="J515" i="7"/>
  <c r="AJ513" i="7"/>
  <c r="AF538" i="7"/>
  <c r="AE538" i="7"/>
  <c r="AG522" i="7"/>
  <c r="AP515" i="7"/>
  <c r="AE525" i="7"/>
  <c r="AE541" i="7"/>
  <c r="AE533" i="7"/>
  <c r="AK527" i="7"/>
  <c r="AK543" i="7"/>
  <c r="AK551" i="7"/>
  <c r="AF521" i="7"/>
  <c r="F549" i="7"/>
  <c r="AK533" i="7"/>
  <c r="AG538" i="7"/>
  <c r="AJ543" i="7"/>
  <c r="AK513" i="7"/>
  <c r="AG523" i="7"/>
  <c r="AH539" i="7"/>
  <c r="AF523" i="7"/>
  <c r="AG539" i="7"/>
  <c r="AE523" i="7"/>
  <c r="AH524" i="7"/>
  <c r="AG540" i="7"/>
  <c r="AE524" i="7"/>
  <c r="AE550" i="7"/>
  <c r="AE542" i="7"/>
  <c r="AF524" i="7"/>
  <c r="AL513" i="7"/>
  <c r="AJ515" i="7"/>
  <c r="V516" i="7"/>
  <c r="AJ516" i="7"/>
  <c r="AG541" i="7"/>
  <c r="AG549" i="7"/>
  <c r="AF534" i="7"/>
  <c r="AF526" i="7"/>
  <c r="AE552" i="7"/>
  <c r="AE528" i="7"/>
  <c r="AG524" i="7"/>
  <c r="AE539" i="7"/>
  <c r="AF542" i="7"/>
  <c r="AI547" i="7"/>
  <c r="AJ551" i="7"/>
  <c r="AK515" i="7"/>
  <c r="AK516" i="7"/>
  <c r="V518" i="7"/>
  <c r="AG534" i="7"/>
  <c r="AG526" i="7"/>
  <c r="AE543" i="7"/>
  <c r="AE535" i="7"/>
  <c r="AF552" i="7"/>
  <c r="AF528" i="7"/>
  <c r="AF544" i="7"/>
  <c r="AE522" i="7"/>
  <c r="AF525" i="7"/>
  <c r="AH527" i="7"/>
  <c r="F539" i="7"/>
  <c r="AE536" i="7"/>
  <c r="AF539" i="7"/>
  <c r="AG542" i="7"/>
  <c r="AK536" i="7"/>
  <c r="AK544" i="7"/>
  <c r="AN513" i="7"/>
  <c r="AL515" i="7"/>
  <c r="AL516" i="7"/>
  <c r="AJ533" i="7"/>
  <c r="AJ549" i="7"/>
  <c r="AJ541" i="7"/>
  <c r="AH534" i="7"/>
  <c r="AH526" i="7"/>
  <c r="AH550" i="7"/>
  <c r="AH542" i="7"/>
  <c r="AF535" i="7"/>
  <c r="AF551" i="7"/>
  <c r="AF527" i="7"/>
  <c r="O520" i="7"/>
  <c r="V520" i="7" s="1"/>
  <c r="AL520" i="7"/>
  <c r="AM520" i="7" s="1"/>
  <c r="AG544" i="7"/>
  <c r="AG528" i="7"/>
  <c r="AJ535" i="7"/>
  <c r="AE537" i="7"/>
  <c r="AE540" i="7"/>
  <c r="AF543" i="7"/>
  <c r="AI545" i="7"/>
  <c r="J514" i="7"/>
  <c r="AN516" i="7"/>
  <c r="AK549" i="7"/>
  <c r="AK525" i="7"/>
  <c r="AJ550" i="7"/>
  <c r="AJ542" i="7"/>
  <c r="AH544" i="7"/>
  <c r="AH522" i="7"/>
  <c r="AH528" i="7"/>
  <c r="AF533" i="7"/>
  <c r="AK535" i="7"/>
  <c r="AH536" i="7"/>
  <c r="AF540" i="7"/>
  <c r="AF549" i="7"/>
  <c r="AK552" i="7"/>
  <c r="AH521" i="7"/>
  <c r="AG521" i="7"/>
  <c r="AF537" i="7"/>
  <c r="AE521" i="7"/>
  <c r="O513" i="7"/>
  <c r="V513" i="7" s="1"/>
  <c r="AP513" i="7"/>
  <c r="AN515" i="7"/>
  <c r="AK534" i="7"/>
  <c r="AK526" i="7"/>
  <c r="AJ536" i="7"/>
  <c r="AJ525" i="7"/>
  <c r="AJ528" i="7"/>
  <c r="AI532" i="7"/>
  <c r="AH537" i="7"/>
  <c r="AH540" i="7"/>
  <c r="AF550" i="7"/>
  <c r="AH525" i="7"/>
  <c r="AG536" i="7"/>
  <c r="AH543" i="7"/>
  <c r="F521" i="7"/>
  <c r="AH499" i="7"/>
  <c r="AH491" i="7"/>
  <c r="AH507" i="7"/>
  <c r="AH483" i="7"/>
  <c r="AH509" i="7"/>
  <c r="AH485" i="7"/>
  <c r="AH501" i="7"/>
  <c r="G487" i="7"/>
  <c r="F479" i="7"/>
  <c r="AG499" i="7"/>
  <c r="AG491" i="7"/>
  <c r="AG507" i="7"/>
  <c r="AG492" i="7"/>
  <c r="AG484" i="7"/>
  <c r="AG508" i="7"/>
  <c r="AG500" i="7"/>
  <c r="I473" i="7"/>
  <c r="AK491" i="7"/>
  <c r="AK507" i="7"/>
  <c r="AK499" i="7"/>
  <c r="AK508" i="7"/>
  <c r="AK500" i="7"/>
  <c r="AK492" i="7"/>
  <c r="AK484" i="7"/>
  <c r="AK501" i="7"/>
  <c r="AK493" i="7"/>
  <c r="AK509" i="7"/>
  <c r="AG483" i="7"/>
  <c r="AH496" i="7"/>
  <c r="AL492" i="7"/>
  <c r="AL484" i="7"/>
  <c r="AK483" i="7"/>
  <c r="AF486" i="7"/>
  <c r="AK494" i="7"/>
  <c r="AK510" i="7"/>
  <c r="AK486" i="7"/>
  <c r="AK502" i="7"/>
  <c r="AF510" i="7"/>
  <c r="AF502" i="7"/>
  <c r="F507" i="7"/>
  <c r="AH479" i="7"/>
  <c r="AH495" i="7"/>
  <c r="AF479" i="7"/>
  <c r="AG495" i="7"/>
  <c r="AE479" i="7"/>
  <c r="AF495" i="7"/>
  <c r="AI487" i="7"/>
  <c r="AI503" i="7"/>
  <c r="AI505" i="7"/>
  <c r="AK473" i="7"/>
  <c r="AJ473" i="7"/>
  <c r="AI489" i="7"/>
  <c r="AL500" i="7"/>
  <c r="AJ471" i="7"/>
  <c r="AG496" i="7"/>
  <c r="AE480" i="7"/>
  <c r="AF496" i="7"/>
  <c r="AE496" i="7"/>
  <c r="AH480" i="7"/>
  <c r="AG480" i="7"/>
  <c r="AI488" i="7"/>
  <c r="AI504" i="7"/>
  <c r="AH481" i="7"/>
  <c r="AH497" i="7"/>
  <c r="AF481" i="7"/>
  <c r="AG497" i="7"/>
  <c r="AF497" i="7"/>
  <c r="AE497" i="7"/>
  <c r="V473" i="7"/>
  <c r="AL473" i="7"/>
  <c r="AF483" i="7"/>
  <c r="AF499" i="7"/>
  <c r="AF491" i="7"/>
  <c r="AF492" i="7"/>
  <c r="AF508" i="7"/>
  <c r="AF500" i="7"/>
  <c r="AO476" i="7"/>
  <c r="AF501" i="7"/>
  <c r="AF493" i="7"/>
  <c r="AF509" i="7"/>
  <c r="AF485" i="7"/>
  <c r="F496" i="7"/>
  <c r="AE495" i="7"/>
  <c r="AE482" i="7"/>
  <c r="AE491" i="7"/>
  <c r="AG494" i="7"/>
  <c r="AG498" i="7"/>
  <c r="AJ499" i="7"/>
  <c r="AE500" i="7"/>
  <c r="AI506" i="7"/>
  <c r="AE508" i="7"/>
  <c r="AF482" i="7"/>
  <c r="AG485" i="7"/>
  <c r="AJ486" i="7"/>
  <c r="AJ493" i="7"/>
  <c r="AH494" i="7"/>
  <c r="AH498" i="7"/>
  <c r="AJ510" i="7"/>
  <c r="V474" i="7"/>
  <c r="AJ474" i="7"/>
  <c r="AG482" i="7"/>
  <c r="AJ483" i="7"/>
  <c r="AE484" i="7"/>
  <c r="AJ501" i="7"/>
  <c r="AE502" i="7"/>
  <c r="AE509" i="7"/>
  <c r="AE499" i="7"/>
  <c r="AH500" i="7"/>
  <c r="AJ507" i="7"/>
  <c r="AH508" i="7"/>
  <c r="AL478" i="7"/>
  <c r="AJ485" i="7"/>
  <c r="AE486" i="7"/>
  <c r="AE493" i="7"/>
  <c r="AG502" i="7"/>
  <c r="AG509" i="7"/>
  <c r="AE510" i="7"/>
  <c r="AJ500" i="7"/>
  <c r="F461" i="7"/>
  <c r="G437" i="7"/>
  <c r="AK468" i="7"/>
  <c r="AK444" i="7"/>
  <c r="AK460" i="7"/>
  <c r="AN429" i="7"/>
  <c r="AH439" i="7"/>
  <c r="AG455" i="7"/>
  <c r="AF455" i="7"/>
  <c r="AE455" i="7"/>
  <c r="V431" i="7"/>
  <c r="AK449" i="7"/>
  <c r="AK457" i="7"/>
  <c r="AK466" i="7"/>
  <c r="AK458" i="7"/>
  <c r="AK450" i="7"/>
  <c r="AK442" i="7"/>
  <c r="AL451" i="7"/>
  <c r="F462" i="7"/>
  <c r="AH451" i="7"/>
  <c r="AF452" i="7"/>
  <c r="AH455" i="7"/>
  <c r="AG459" i="7"/>
  <c r="O429" i="7"/>
  <c r="V429" i="7" s="1"/>
  <c r="AP429" i="7"/>
  <c r="AI446" i="7"/>
  <c r="AP430" i="7"/>
  <c r="AK452" i="7"/>
  <c r="AF468" i="7"/>
  <c r="AH453" i="7"/>
  <c r="AF437" i="7"/>
  <c r="AG453" i="7"/>
  <c r="AE437" i="7"/>
  <c r="AF453" i="7"/>
  <c r="AG454" i="7"/>
  <c r="AE438" i="7"/>
  <c r="O430" i="7"/>
  <c r="V430" i="7" s="1"/>
  <c r="AH438" i="7"/>
  <c r="AG438" i="7"/>
  <c r="AF459" i="7"/>
  <c r="AF467" i="7"/>
  <c r="AF443" i="7"/>
  <c r="F458" i="7"/>
  <c r="AF441" i="7"/>
  <c r="AF449" i="7"/>
  <c r="AF450" i="7"/>
  <c r="AF466" i="7"/>
  <c r="AF458" i="7"/>
  <c r="AG451" i="7"/>
  <c r="AG443" i="7"/>
  <c r="AK437" i="7"/>
  <c r="AF465" i="7"/>
  <c r="AG449" i="7"/>
  <c r="AG465" i="7"/>
  <c r="AG466" i="7"/>
  <c r="AG458" i="7"/>
  <c r="AH443" i="7"/>
  <c r="AH459" i="7"/>
  <c r="AG441" i="7"/>
  <c r="AK459" i="7"/>
  <c r="AK451" i="7"/>
  <c r="AK467" i="7"/>
  <c r="AL429" i="7"/>
  <c r="AI463" i="7"/>
  <c r="AK431" i="7"/>
  <c r="AJ431" i="7"/>
  <c r="AI447" i="7"/>
  <c r="AH457" i="7"/>
  <c r="AH449" i="7"/>
  <c r="AH465" i="7"/>
  <c r="AH441" i="7"/>
  <c r="AF439" i="7"/>
  <c r="AK441" i="7"/>
  <c r="AF442" i="7"/>
  <c r="AF444" i="7"/>
  <c r="AG450" i="7"/>
  <c r="AK465" i="7"/>
  <c r="AE440" i="7"/>
  <c r="AE449" i="7"/>
  <c r="AG452" i="7"/>
  <c r="AG456" i="7"/>
  <c r="AJ457" i="7"/>
  <c r="AE458" i="7"/>
  <c r="AI464" i="7"/>
  <c r="AE466" i="7"/>
  <c r="AM435" i="7"/>
  <c r="AF440" i="7"/>
  <c r="AJ444" i="7"/>
  <c r="AJ451" i="7"/>
  <c r="AH456" i="7"/>
  <c r="AJ468" i="7"/>
  <c r="AJ432" i="7"/>
  <c r="AG440" i="7"/>
  <c r="AJ441" i="7"/>
  <c r="AE442" i="7"/>
  <c r="AI448" i="7"/>
  <c r="AJ459" i="7"/>
  <c r="AE460" i="7"/>
  <c r="AE457" i="7"/>
  <c r="AH458" i="7"/>
  <c r="AJ465" i="7"/>
  <c r="AG444" i="7"/>
  <c r="AO310" i="7"/>
  <c r="AO326" i="7" s="1"/>
  <c r="AO1105" i="7"/>
  <c r="AO1137" i="7" s="1"/>
  <c r="AO981" i="7"/>
  <c r="AO1013" i="7" s="1"/>
  <c r="AO392" i="7"/>
  <c r="AO424" i="7" s="1"/>
  <c r="AJ240" i="7"/>
  <c r="AO224" i="7"/>
  <c r="AO256" i="7" s="1"/>
  <c r="AO350" i="7"/>
  <c r="AO382" i="7" s="1"/>
  <c r="AO938" i="7"/>
  <c r="AO970" i="7" s="1"/>
  <c r="AO1064" i="7"/>
  <c r="AO1096" i="7" s="1"/>
  <c r="AO1190" i="7"/>
  <c r="AO1222" i="7" s="1"/>
  <c r="AJ37" i="7"/>
  <c r="AO855" i="7"/>
  <c r="AO1149" i="7"/>
  <c r="AO1181" i="7" s="1"/>
  <c r="AO307" i="7"/>
  <c r="AO339" i="7" s="1"/>
  <c r="AO266" i="7"/>
  <c r="AO298" i="7" s="1"/>
  <c r="AO896" i="7"/>
  <c r="AO928" i="7" s="1"/>
  <c r="AO1022" i="7"/>
  <c r="AO1054" i="7" s="1"/>
  <c r="AO1148" i="7"/>
  <c r="AO1180" i="7" s="1"/>
  <c r="AO308" i="7"/>
  <c r="AO340" i="7" s="1"/>
  <c r="AO854" i="7"/>
  <c r="AO980" i="7"/>
  <c r="AO1012" i="7" s="1"/>
  <c r="AO1106" i="7"/>
  <c r="AO1138" i="7" s="1"/>
  <c r="AO1232" i="7"/>
  <c r="AO1264" i="7" s="1"/>
  <c r="AO352" i="7"/>
  <c r="AO384" i="7" s="1"/>
  <c r="AO225" i="7"/>
  <c r="AO309" i="7"/>
  <c r="AO341" i="7" s="1"/>
  <c r="AO351" i="7"/>
  <c r="AO383" i="7" s="1"/>
  <c r="AO393" i="7"/>
  <c r="AO425" i="7" s="1"/>
  <c r="AO897" i="7"/>
  <c r="AO929" i="7" s="1"/>
  <c r="AO939" i="7"/>
  <c r="AO971" i="7" s="1"/>
  <c r="AO1023" i="7"/>
  <c r="AO1055" i="7" s="1"/>
  <c r="AO1065" i="7"/>
  <c r="AO1097" i="7" s="1"/>
  <c r="AO1107" i="7"/>
  <c r="AO1191" i="7"/>
  <c r="AO1223" i="7" s="1"/>
  <c r="AO1233" i="7"/>
  <c r="AO1265" i="7" s="1"/>
  <c r="AJ24" i="7"/>
  <c r="AO267" i="7"/>
  <c r="AO299" i="7" s="1"/>
  <c r="AO226" i="7"/>
  <c r="AO258" i="7" s="1"/>
  <c r="AO268" i="7"/>
  <c r="AO300" i="7" s="1"/>
  <c r="AO394" i="7"/>
  <c r="AO426" i="7" s="1"/>
  <c r="AJ872" i="7"/>
  <c r="AO856" i="7"/>
  <c r="AO898" i="7"/>
  <c r="AO940" i="7"/>
  <c r="AO972" i="7" s="1"/>
  <c r="AO982" i="7"/>
  <c r="AO1014" i="7" s="1"/>
  <c r="AO1024" i="7"/>
  <c r="AO1066" i="7"/>
  <c r="AO1108" i="7"/>
  <c r="AO1140" i="7" s="1"/>
  <c r="AO1150" i="7"/>
  <c r="AO1192" i="7"/>
  <c r="AO1234" i="7"/>
  <c r="AJ39" i="7"/>
  <c r="AO223" i="7"/>
  <c r="AO255" i="7" s="1"/>
  <c r="AJ281" i="7"/>
  <c r="AO265" i="7"/>
  <c r="AO297" i="7" s="1"/>
  <c r="AO349" i="7"/>
  <c r="AO391" i="7"/>
  <c r="AO853" i="7"/>
  <c r="AO895" i="7"/>
  <c r="AO927" i="7" s="1"/>
  <c r="AO937" i="7"/>
  <c r="AO979" i="7"/>
  <c r="AO1021" i="7"/>
  <c r="AO1063" i="7"/>
  <c r="AO1095" i="7" s="1"/>
  <c r="AO1147" i="7"/>
  <c r="AO1179" i="7" s="1"/>
  <c r="AO1189" i="7"/>
  <c r="AO1231" i="7"/>
  <c r="AO1263" i="7" s="1"/>
  <c r="AJ121" i="7"/>
  <c r="AJ129" i="7" s="1"/>
  <c r="AK339" i="7"/>
  <c r="AM391" i="7"/>
  <c r="AM937" i="7"/>
  <c r="AM1147" i="7"/>
  <c r="AM895" i="7"/>
  <c r="AM1105" i="7"/>
  <c r="AM853" i="7"/>
  <c r="AN853" i="7" s="1"/>
  <c r="AM1063" i="7"/>
  <c r="AK124" i="7"/>
  <c r="AK132" i="7" s="1"/>
  <c r="AJ256" i="7"/>
  <c r="AM308" i="7"/>
  <c r="AK22" i="7"/>
  <c r="AJ21" i="7"/>
  <c r="AM223" i="7"/>
  <c r="AM392" i="7"/>
  <c r="AM1190" i="7"/>
  <c r="AM1233" i="7"/>
  <c r="AM349" i="7"/>
  <c r="AG244" i="7"/>
  <c r="AJ40" i="7"/>
  <c r="AH228" i="7"/>
  <c r="AK240" i="7"/>
  <c r="AM224" i="7"/>
  <c r="AK248" i="7"/>
  <c r="AM896" i="7"/>
  <c r="AM979" i="7"/>
  <c r="AS979" i="7" s="1"/>
  <c r="AM265" i="7"/>
  <c r="AM307" i="7"/>
  <c r="AL315" i="7"/>
  <c r="AM938" i="7"/>
  <c r="AM1231" i="7"/>
  <c r="AS1231" i="7" s="1"/>
  <c r="AK106" i="7"/>
  <c r="AK114" i="7" s="1"/>
  <c r="AK23" i="7"/>
  <c r="AK39" i="7"/>
  <c r="AM1064" i="7"/>
  <c r="AM1191" i="7"/>
  <c r="AM1021" i="7"/>
  <c r="AK199" i="7"/>
  <c r="AM267" i="7"/>
  <c r="AJ331" i="7"/>
  <c r="AM351" i="7"/>
  <c r="AK79" i="7"/>
  <c r="AK87" i="7" s="1"/>
  <c r="AM855" i="7"/>
  <c r="AN855" i="7" s="1"/>
  <c r="AM1065" i="7"/>
  <c r="AM1232" i="7"/>
  <c r="AM898" i="7"/>
  <c r="AM1148" i="7"/>
  <c r="AM1189" i="7"/>
  <c r="AM1192" i="7"/>
  <c r="AJ190" i="7"/>
  <c r="AL255" i="7"/>
  <c r="AL869" i="7"/>
  <c r="AK37" i="7"/>
  <c r="AM225" i="7"/>
  <c r="AS225" i="7" s="1"/>
  <c r="AM350" i="7"/>
  <c r="AM393" i="7"/>
  <c r="AM1106" i="7"/>
  <c r="AM1149" i="7"/>
  <c r="AS1149" i="7" s="1"/>
  <c r="AM266" i="7"/>
  <c r="AM854" i="7"/>
  <c r="AN854" i="7" s="1"/>
  <c r="AM980" i="7"/>
  <c r="AM1234" i="7"/>
  <c r="AM1150" i="7"/>
  <c r="AM1108" i="7"/>
  <c r="AM1107" i="7"/>
  <c r="AM1066" i="7"/>
  <c r="AM1024" i="7"/>
  <c r="AS1024" i="7" s="1"/>
  <c r="AM1023" i="7"/>
  <c r="AM1022" i="7"/>
  <c r="AM982" i="7"/>
  <c r="AM981" i="7"/>
  <c r="AM940" i="7"/>
  <c r="AM939" i="7"/>
  <c r="AM897" i="7"/>
  <c r="AS897" i="7" s="1"/>
  <c r="AM856" i="7"/>
  <c r="AN856" i="7" s="1"/>
  <c r="AM394" i="7"/>
  <c r="AM352" i="7"/>
  <c r="AS352" i="7" s="1"/>
  <c r="AM310" i="7"/>
  <c r="AS310" i="7" s="1"/>
  <c r="AM309" i="7"/>
  <c r="AS309" i="7" s="1"/>
  <c r="AJ317" i="7"/>
  <c r="AM268" i="7"/>
  <c r="AM226" i="7"/>
  <c r="AJ81" i="7"/>
  <c r="AJ89" i="7" s="1"/>
  <c r="AK206" i="7"/>
  <c r="AJ106" i="7"/>
  <c r="AJ82" i="7"/>
  <c r="AJ90" i="7" s="1"/>
  <c r="AJ66" i="7"/>
  <c r="AJ74" i="7" s="1"/>
  <c r="AJ63" i="7"/>
  <c r="AE245" i="7"/>
  <c r="AE229" i="7"/>
  <c r="AH245" i="7"/>
  <c r="AG245" i="7"/>
  <c r="AH229" i="7"/>
  <c r="AF245" i="7"/>
  <c r="AG229" i="7"/>
  <c r="AF229" i="7"/>
  <c r="AH371" i="7"/>
  <c r="AH355" i="7"/>
  <c r="AG371" i="7"/>
  <c r="AG355" i="7"/>
  <c r="AF371" i="7"/>
  <c r="AF355" i="7"/>
  <c r="AE355" i="7"/>
  <c r="AE371" i="7"/>
  <c r="AH917" i="7"/>
  <c r="AG917" i="7"/>
  <c r="AF917" i="7"/>
  <c r="AE917" i="7"/>
  <c r="AF901" i="7"/>
  <c r="AG901" i="7"/>
  <c r="AE901" i="7"/>
  <c r="AH901" i="7"/>
  <c r="AH1001" i="7"/>
  <c r="AH985" i="7"/>
  <c r="AG1001" i="7"/>
  <c r="AG985" i="7"/>
  <c r="AE1001" i="7"/>
  <c r="AE985" i="7"/>
  <c r="AF985" i="7"/>
  <c r="AF1001" i="7"/>
  <c r="AH1085" i="7"/>
  <c r="AG1085" i="7"/>
  <c r="AH1069" i="7"/>
  <c r="AG1069" i="7"/>
  <c r="AF1069" i="7"/>
  <c r="AE1069" i="7"/>
  <c r="AF1085" i="7"/>
  <c r="AE1085" i="7"/>
  <c r="AE1169" i="7"/>
  <c r="AH1153" i="7"/>
  <c r="AF1153" i="7"/>
  <c r="AH1169" i="7"/>
  <c r="AF1169" i="7"/>
  <c r="AG1153" i="7"/>
  <c r="AE1153" i="7"/>
  <c r="AG1169" i="7"/>
  <c r="AH1253" i="7"/>
  <c r="AH1237" i="7"/>
  <c r="AG1253" i="7"/>
  <c r="AG1237" i="7"/>
  <c r="AF1253" i="7"/>
  <c r="AF1237" i="7"/>
  <c r="AE1253" i="7"/>
  <c r="AE1237" i="7"/>
  <c r="AK1263" i="7"/>
  <c r="AK1247" i="7"/>
  <c r="AK1239" i="7"/>
  <c r="AK1255" i="7"/>
  <c r="AJ38" i="7"/>
  <c r="AJ79" i="7"/>
  <c r="AJ87" i="7" s="1"/>
  <c r="AJ1222" i="7"/>
  <c r="AJ1214" i="7"/>
  <c r="AJ1198" i="7"/>
  <c r="AJ1206" i="7"/>
  <c r="AL1263" i="7"/>
  <c r="AL1247" i="7"/>
  <c r="AL1255" i="7"/>
  <c r="AL1239" i="7"/>
  <c r="AJ22" i="7"/>
  <c r="AK886" i="7"/>
  <c r="AK870" i="7"/>
  <c r="AK862" i="7"/>
  <c r="AK878" i="7"/>
  <c r="AK928" i="7"/>
  <c r="AK912" i="7"/>
  <c r="AK920" i="7"/>
  <c r="AK904" i="7"/>
  <c r="AK970" i="7"/>
  <c r="AK962" i="7"/>
  <c r="AK946" i="7"/>
  <c r="AK954" i="7"/>
  <c r="AK1012" i="7"/>
  <c r="AK996" i="7"/>
  <c r="AK1004" i="7"/>
  <c r="AK988" i="7"/>
  <c r="AK1046" i="7"/>
  <c r="AK1030" i="7"/>
  <c r="AK1054" i="7"/>
  <c r="AK1038" i="7"/>
  <c r="AK1096" i="7"/>
  <c r="AK1088" i="7"/>
  <c r="AK1072" i="7"/>
  <c r="AK1080" i="7"/>
  <c r="AK1138" i="7"/>
  <c r="AK1122" i="7"/>
  <c r="AK1114" i="7"/>
  <c r="AK1130" i="7"/>
  <c r="AK1164" i="7"/>
  <c r="AK1180" i="7"/>
  <c r="AK1156" i="7"/>
  <c r="AK1172" i="7"/>
  <c r="AK1222" i="7"/>
  <c r="AK1214" i="7"/>
  <c r="AK1206" i="7"/>
  <c r="AK1198" i="7"/>
  <c r="AK64" i="7"/>
  <c r="AK72" i="7" s="1"/>
  <c r="AK80" i="7"/>
  <c r="AK88" i="7" s="1"/>
  <c r="AF413" i="7"/>
  <c r="AH413" i="7"/>
  <c r="AE397" i="7"/>
  <c r="AG413" i="7"/>
  <c r="AE413" i="7"/>
  <c r="AH397" i="7"/>
  <c r="AG397" i="7"/>
  <c r="AF397" i="7"/>
  <c r="AL290" i="7"/>
  <c r="AL298" i="7"/>
  <c r="AL274" i="7"/>
  <c r="AL282" i="7"/>
  <c r="AL382" i="7"/>
  <c r="AL366" i="7"/>
  <c r="AL374" i="7"/>
  <c r="AL358" i="7"/>
  <c r="AL928" i="7"/>
  <c r="AL912" i="7"/>
  <c r="AL920" i="7"/>
  <c r="AL904" i="7"/>
  <c r="AL1012" i="7"/>
  <c r="AL996" i="7"/>
  <c r="AL1004" i="7"/>
  <c r="AL988" i="7"/>
  <c r="AL1138" i="7"/>
  <c r="AL1122" i="7"/>
  <c r="AL1114" i="7"/>
  <c r="AL1130" i="7"/>
  <c r="AL1214" i="7"/>
  <c r="AL1206" i="7"/>
  <c r="AL1198" i="7"/>
  <c r="AL1222" i="7"/>
  <c r="AK149" i="7"/>
  <c r="AK157" i="7" s="1"/>
  <c r="AK173" i="7"/>
  <c r="AK215" i="7"/>
  <c r="AK191" i="7"/>
  <c r="AK207" i="7"/>
  <c r="AK257" i="7"/>
  <c r="AK241" i="7"/>
  <c r="AK249" i="7"/>
  <c r="AK291" i="7"/>
  <c r="AK299" i="7"/>
  <c r="AK275" i="7"/>
  <c r="AK283" i="7"/>
  <c r="AK333" i="7"/>
  <c r="AK317" i="7"/>
  <c r="AK325" i="7"/>
  <c r="AK341" i="7"/>
  <c r="AK383" i="7"/>
  <c r="AK367" i="7"/>
  <c r="AK375" i="7"/>
  <c r="AK359" i="7"/>
  <c r="AJ425" i="7"/>
  <c r="AJ409" i="7"/>
  <c r="AJ401" i="7"/>
  <c r="AJ417" i="7"/>
  <c r="AJ863" i="7"/>
  <c r="AJ871" i="7" s="1"/>
  <c r="AJ879" i="7"/>
  <c r="AJ887" i="7" s="1"/>
  <c r="AJ929" i="7"/>
  <c r="AJ913" i="7"/>
  <c r="AJ905" i="7"/>
  <c r="AJ921" i="7"/>
  <c r="AJ971" i="7"/>
  <c r="AJ963" i="7"/>
  <c r="AJ947" i="7"/>
  <c r="AJ955" i="7"/>
  <c r="AJ1005" i="7"/>
  <c r="AJ989" i="7"/>
  <c r="AJ1013" i="7"/>
  <c r="AJ997" i="7"/>
  <c r="AJ1055" i="7"/>
  <c r="AJ1039" i="7"/>
  <c r="AJ1047" i="7"/>
  <c r="AJ1031" i="7"/>
  <c r="AJ1097" i="7"/>
  <c r="AJ1081" i="7"/>
  <c r="AJ1073" i="7"/>
  <c r="AJ1089" i="7"/>
  <c r="AJ1139" i="7"/>
  <c r="AJ1123" i="7"/>
  <c r="AJ1131" i="7"/>
  <c r="AJ1115" i="7"/>
  <c r="AJ1181" i="7"/>
  <c r="AJ1165" i="7"/>
  <c r="AJ1173" i="7"/>
  <c r="AJ1157" i="7"/>
  <c r="AK40" i="7"/>
  <c r="AJ107" i="7"/>
  <c r="AJ123" i="7"/>
  <c r="AK82" i="7"/>
  <c r="AK90" i="7" s="1"/>
  <c r="AK66" i="7"/>
  <c r="AK74" i="7" s="1"/>
  <c r="AG287" i="7"/>
  <c r="AF287" i="7"/>
  <c r="AE287" i="7"/>
  <c r="AG271" i="7"/>
  <c r="AF271" i="7"/>
  <c r="AE271" i="7"/>
  <c r="AH271" i="7"/>
  <c r="AH287" i="7"/>
  <c r="AH329" i="7"/>
  <c r="AH313" i="7"/>
  <c r="AG329" i="7"/>
  <c r="AG313" i="7"/>
  <c r="AF329" i="7"/>
  <c r="AF313" i="7"/>
  <c r="AE329" i="7"/>
  <c r="AE313" i="7"/>
  <c r="AH875" i="7"/>
  <c r="AH883" i="7" s="1"/>
  <c r="AH859" i="7"/>
  <c r="AH867" i="7" s="1"/>
  <c r="AG859" i="7"/>
  <c r="AG867" i="7" s="1"/>
  <c r="AF859" i="7"/>
  <c r="AF867" i="7" s="1"/>
  <c r="AE859" i="7"/>
  <c r="AE867" i="7" s="1"/>
  <c r="AG875" i="7"/>
  <c r="AG883" i="7" s="1"/>
  <c r="AF875" i="7"/>
  <c r="AF883" i="7" s="1"/>
  <c r="AE875" i="7"/>
  <c r="AE883" i="7" s="1"/>
  <c r="AF959" i="7"/>
  <c r="AE943" i="7"/>
  <c r="AE959" i="7"/>
  <c r="AH943" i="7"/>
  <c r="AH959" i="7"/>
  <c r="AG959" i="7"/>
  <c r="AG943" i="7"/>
  <c r="AF943" i="7"/>
  <c r="AG1043" i="7"/>
  <c r="AF1043" i="7"/>
  <c r="AH1027" i="7"/>
  <c r="AG1027" i="7"/>
  <c r="AH1043" i="7"/>
  <c r="AE1043" i="7"/>
  <c r="AF1027" i="7"/>
  <c r="AE1027" i="7"/>
  <c r="AH1127" i="7"/>
  <c r="AE1127" i="7"/>
  <c r="AH1111" i="7"/>
  <c r="AG1111" i="7"/>
  <c r="AE1111" i="7"/>
  <c r="AF1111" i="7"/>
  <c r="AG1127" i="7"/>
  <c r="AF1127" i="7"/>
  <c r="AF1211" i="7"/>
  <c r="AF1195" i="7"/>
  <c r="AE1211" i="7"/>
  <c r="AE1195" i="7"/>
  <c r="AH1195" i="7"/>
  <c r="AH1211" i="7"/>
  <c r="AG1195" i="7"/>
  <c r="AG1211" i="7"/>
  <c r="AL256" i="7"/>
  <c r="AL240" i="7"/>
  <c r="AL232" i="7"/>
  <c r="AL340" i="7"/>
  <c r="AL324" i="7"/>
  <c r="AL332" i="7"/>
  <c r="AL316" i="7"/>
  <c r="AL424" i="7"/>
  <c r="AL400" i="7"/>
  <c r="AL408" i="7"/>
  <c r="AL416" i="7"/>
  <c r="AL862" i="7"/>
  <c r="AL886" i="7"/>
  <c r="AL878" i="7"/>
  <c r="AL870" i="7"/>
  <c r="AL954" i="7"/>
  <c r="AL970" i="7"/>
  <c r="AL962" i="7"/>
  <c r="AL946" i="7"/>
  <c r="AL1054" i="7"/>
  <c r="AL1038" i="7"/>
  <c r="AL1046" i="7"/>
  <c r="AL1030" i="7"/>
  <c r="AL1096" i="7"/>
  <c r="AL1088" i="7"/>
  <c r="AL1080" i="7"/>
  <c r="AL1072" i="7"/>
  <c r="AL1180" i="7"/>
  <c r="AL1156" i="7"/>
  <c r="AL1172" i="7"/>
  <c r="AL1164" i="7"/>
  <c r="AL1256" i="7"/>
  <c r="AL1240" i="7"/>
  <c r="AL1248" i="7"/>
  <c r="AL1264" i="7"/>
  <c r="AL257" i="7"/>
  <c r="AL241" i="7"/>
  <c r="AL249" i="7"/>
  <c r="AL233" i="7"/>
  <c r="AL291" i="7"/>
  <c r="AL299" i="7"/>
  <c r="AL283" i="7"/>
  <c r="AL275" i="7"/>
  <c r="AL333" i="7"/>
  <c r="AL317" i="7"/>
  <c r="AL341" i="7"/>
  <c r="AL325" i="7"/>
  <c r="AL375" i="7"/>
  <c r="AL359" i="7"/>
  <c r="AL383" i="7"/>
  <c r="AL367" i="7"/>
  <c r="AL409" i="7"/>
  <c r="AL425" i="7"/>
  <c r="AL401" i="7"/>
  <c r="AL417" i="7"/>
  <c r="AL887" i="7"/>
  <c r="AL871" i="7"/>
  <c r="AL863" i="7"/>
  <c r="AL879" i="7"/>
  <c r="AL921" i="7"/>
  <c r="AL905" i="7"/>
  <c r="AL913" i="7"/>
  <c r="AL929" i="7"/>
  <c r="AL971" i="7"/>
  <c r="AL955" i="7"/>
  <c r="AL963" i="7"/>
  <c r="AL947" i="7"/>
  <c r="AL1005" i="7"/>
  <c r="AL989" i="7"/>
  <c r="AL1013" i="7"/>
  <c r="AL997" i="7"/>
  <c r="AL1047" i="7"/>
  <c r="AL1031" i="7"/>
  <c r="AL1039" i="7"/>
  <c r="AL1055" i="7"/>
  <c r="AL1089" i="7"/>
  <c r="AL1081" i="7"/>
  <c r="AL1073" i="7"/>
  <c r="AL1097" i="7"/>
  <c r="AL1131" i="7"/>
  <c r="AL1139" i="7"/>
  <c r="AL1115" i="7"/>
  <c r="AL1123" i="7"/>
  <c r="AL1181" i="7"/>
  <c r="AL1173" i="7"/>
  <c r="AL1157" i="7"/>
  <c r="AL1165" i="7"/>
  <c r="AL1207" i="7"/>
  <c r="AL1215" i="7"/>
  <c r="AL1199" i="7"/>
  <c r="AL1223" i="7"/>
  <c r="AL1257" i="7"/>
  <c r="AL1241" i="7"/>
  <c r="AL1265" i="7"/>
  <c r="AL1249" i="7"/>
  <c r="AJ166" i="7"/>
  <c r="AJ150" i="7"/>
  <c r="AJ216" i="7"/>
  <c r="AJ192" i="7"/>
  <c r="AJ200" i="7"/>
  <c r="AJ208" i="7"/>
  <c r="AJ258" i="7"/>
  <c r="AJ242" i="7"/>
  <c r="AJ250" i="7"/>
  <c r="AJ234" i="7"/>
  <c r="AJ292" i="7"/>
  <c r="AJ300" i="7"/>
  <c r="AJ284" i="7"/>
  <c r="AJ276" i="7"/>
  <c r="AJ334" i="7"/>
  <c r="AJ342" i="7"/>
  <c r="AJ318" i="7"/>
  <c r="AJ326" i="7"/>
  <c r="AK417" i="7"/>
  <c r="AK425" i="7"/>
  <c r="AK409" i="7"/>
  <c r="AK401" i="7"/>
  <c r="AK107" i="7"/>
  <c r="AK115" i="7" s="1"/>
  <c r="AK123" i="7"/>
  <c r="AK131" i="7" s="1"/>
  <c r="AJ71" i="7"/>
  <c r="AL250" i="7"/>
  <c r="AL234" i="7"/>
  <c r="AL258" i="7"/>
  <c r="AL242" i="7"/>
  <c r="AL300" i="7"/>
  <c r="AL284" i="7"/>
  <c r="AL276" i="7"/>
  <c r="AL292" i="7"/>
  <c r="AL342" i="7"/>
  <c r="AL318" i="7"/>
  <c r="AL326" i="7"/>
  <c r="AL334" i="7"/>
  <c r="AL376" i="7"/>
  <c r="AL360" i="7"/>
  <c r="AL384" i="7"/>
  <c r="AL368" i="7"/>
  <c r="AL426" i="7"/>
  <c r="AL410" i="7"/>
  <c r="AL402" i="7"/>
  <c r="AL418" i="7"/>
  <c r="AL888" i="7"/>
  <c r="AL864" i="7"/>
  <c r="AL872" i="7"/>
  <c r="AL880" i="7"/>
  <c r="AL922" i="7"/>
  <c r="AL906" i="7"/>
  <c r="AL930" i="7"/>
  <c r="AL914" i="7"/>
  <c r="AL972" i="7"/>
  <c r="AL964" i="7"/>
  <c r="AL948" i="7"/>
  <c r="AL956" i="7"/>
  <c r="AL1006" i="7"/>
  <c r="AL990" i="7"/>
  <c r="AL1014" i="7"/>
  <c r="AL998" i="7"/>
  <c r="AL1048" i="7"/>
  <c r="AL1032" i="7"/>
  <c r="AL1056" i="7"/>
  <c r="AL1040" i="7"/>
  <c r="AL1090" i="7"/>
  <c r="AL1098" i="7"/>
  <c r="AL1082" i="7"/>
  <c r="AL1074" i="7"/>
  <c r="AL1132" i="7"/>
  <c r="AL1116" i="7"/>
  <c r="AL1140" i="7"/>
  <c r="AL1124" i="7"/>
  <c r="AL1174" i="7"/>
  <c r="AL1166" i="7"/>
  <c r="AL1182" i="7"/>
  <c r="AL1158" i="7"/>
  <c r="AL1224" i="7"/>
  <c r="AL1200" i="7"/>
  <c r="AL1208" i="7"/>
  <c r="AL1216" i="7"/>
  <c r="AL1266" i="7"/>
  <c r="AL1250" i="7"/>
  <c r="AL1258" i="7"/>
  <c r="AL1242" i="7"/>
  <c r="AG243" i="7"/>
  <c r="AG227" i="7"/>
  <c r="AF243" i="7"/>
  <c r="AF227" i="7"/>
  <c r="AE243" i="7"/>
  <c r="AE227" i="7"/>
  <c r="AH285" i="7"/>
  <c r="AG285" i="7"/>
  <c r="AF285" i="7"/>
  <c r="AG269" i="7"/>
  <c r="AF269" i="7"/>
  <c r="AE269" i="7"/>
  <c r="AH311" i="7"/>
  <c r="AG311" i="7"/>
  <c r="AH327" i="7"/>
  <c r="AF311" i="7"/>
  <c r="AG327" i="7"/>
  <c r="AF327" i="7"/>
  <c r="AE327" i="7"/>
  <c r="AE311" i="7"/>
  <c r="AE369" i="7"/>
  <c r="AH353" i="7"/>
  <c r="AG353" i="7"/>
  <c r="AH369" i="7"/>
  <c r="AF353" i="7"/>
  <c r="AG369" i="7"/>
  <c r="AF369" i="7"/>
  <c r="AF411" i="7"/>
  <c r="AE395" i="7"/>
  <c r="AH411" i="7"/>
  <c r="AG411" i="7"/>
  <c r="AH395" i="7"/>
  <c r="AE411" i="7"/>
  <c r="AG395" i="7"/>
  <c r="AF395" i="7"/>
  <c r="AH857" i="7"/>
  <c r="AH865" i="7" s="1"/>
  <c r="AF873" i="7"/>
  <c r="AF881" i="7" s="1"/>
  <c r="AH873" i="7"/>
  <c r="AH881" i="7" s="1"/>
  <c r="AG873" i="7"/>
  <c r="AG881" i="7" s="1"/>
  <c r="AE873" i="7"/>
  <c r="AE881" i="7" s="1"/>
  <c r="AG857" i="7"/>
  <c r="AG865" i="7" s="1"/>
  <c r="AF857" i="7"/>
  <c r="AF865" i="7" s="1"/>
  <c r="AE857" i="7"/>
  <c r="AE865" i="7" s="1"/>
  <c r="AE915" i="7"/>
  <c r="AH915" i="7"/>
  <c r="AG915" i="7"/>
  <c r="AF899" i="7"/>
  <c r="AH899" i="7"/>
  <c r="AG899" i="7"/>
  <c r="AF915" i="7"/>
  <c r="AE899" i="7"/>
  <c r="AH957" i="7"/>
  <c r="AE941" i="7"/>
  <c r="AG957" i="7"/>
  <c r="AF957" i="7"/>
  <c r="AE957" i="7"/>
  <c r="AH941" i="7"/>
  <c r="AG941" i="7"/>
  <c r="AH983" i="7"/>
  <c r="AG999" i="7"/>
  <c r="AF983" i="7"/>
  <c r="AE999" i="7"/>
  <c r="AF999" i="7"/>
  <c r="AE983" i="7"/>
  <c r="AH999" i="7"/>
  <c r="AG983" i="7"/>
  <c r="AH1041" i="7"/>
  <c r="AF1041" i="7"/>
  <c r="AE1041" i="7"/>
  <c r="AH1025" i="7"/>
  <c r="AG1025" i="7"/>
  <c r="AF1025" i="7"/>
  <c r="AE1025" i="7"/>
  <c r="AG1041" i="7"/>
  <c r="AE1083" i="7"/>
  <c r="AH1067" i="7"/>
  <c r="AH1083" i="7"/>
  <c r="AG1083" i="7"/>
  <c r="AF1083" i="7"/>
  <c r="AG1067" i="7"/>
  <c r="AF1067" i="7"/>
  <c r="AE1067" i="7"/>
  <c r="AH1125" i="7"/>
  <c r="AG1109" i="7"/>
  <c r="AG1125" i="7"/>
  <c r="AF1109" i="7"/>
  <c r="AH1109" i="7"/>
  <c r="AF1125" i="7"/>
  <c r="AE1109" i="7"/>
  <c r="AE1125" i="7"/>
  <c r="AH1167" i="7"/>
  <c r="AH1151" i="7"/>
  <c r="AG1167" i="7"/>
  <c r="AE1167" i="7"/>
  <c r="AF1151" i="7"/>
  <c r="AE1151" i="7"/>
  <c r="AF1167" i="7"/>
  <c r="AG1151" i="7"/>
  <c r="AF1209" i="7"/>
  <c r="AF1193" i="7"/>
  <c r="AE1209" i="7"/>
  <c r="AE1193" i="7"/>
  <c r="AH1193" i="7"/>
  <c r="AH1209" i="7"/>
  <c r="AG1193" i="7"/>
  <c r="AG1209" i="7"/>
  <c r="AH1251" i="7"/>
  <c r="AH1235" i="7"/>
  <c r="AG1251" i="7"/>
  <c r="AG1235" i="7"/>
  <c r="AF1251" i="7"/>
  <c r="AF1235" i="7"/>
  <c r="AE1235" i="7"/>
  <c r="AE1251" i="7"/>
  <c r="AK192" i="7"/>
  <c r="AK200" i="7"/>
  <c r="AK300" i="7"/>
  <c r="AK284" i="7"/>
  <c r="AK276" i="7"/>
  <c r="AK342" i="7"/>
  <c r="AK318" i="7"/>
  <c r="AK326" i="7"/>
  <c r="AJ376" i="7"/>
  <c r="AJ360" i="7"/>
  <c r="AJ368" i="7"/>
  <c r="AJ384" i="7"/>
  <c r="AJ418" i="7"/>
  <c r="AJ426" i="7"/>
  <c r="AJ410" i="7"/>
  <c r="AJ402" i="7"/>
  <c r="AK887" i="7"/>
  <c r="AK863" i="7"/>
  <c r="AK879" i="7"/>
  <c r="AK871" i="7"/>
  <c r="AK929" i="7"/>
  <c r="AK913" i="7"/>
  <c r="AK921" i="7"/>
  <c r="AK905" i="7"/>
  <c r="AK971" i="7"/>
  <c r="AK963" i="7"/>
  <c r="AK947" i="7"/>
  <c r="AK955" i="7"/>
  <c r="AK1005" i="7"/>
  <c r="AK997" i="7"/>
  <c r="AK989" i="7"/>
  <c r="AK1013" i="7"/>
  <c r="AK1047" i="7"/>
  <c r="AK1031" i="7"/>
  <c r="AK1039" i="7"/>
  <c r="AK1055" i="7"/>
  <c r="AK1089" i="7"/>
  <c r="AK1097" i="7"/>
  <c r="AK1081" i="7"/>
  <c r="AK1073" i="7"/>
  <c r="AK1131" i="7"/>
  <c r="AK1139" i="7"/>
  <c r="AK1123" i="7"/>
  <c r="AK1115" i="7"/>
  <c r="AK1181" i="7"/>
  <c r="AK1157" i="7"/>
  <c r="AK1165" i="7"/>
  <c r="AK1173" i="7"/>
  <c r="AJ1207" i="7"/>
  <c r="AJ1215" i="7"/>
  <c r="AJ1223" i="7"/>
  <c r="AJ1199" i="7"/>
  <c r="AJ1264" i="7"/>
  <c r="AJ1248" i="7"/>
  <c r="AJ1256" i="7"/>
  <c r="AJ1240" i="7"/>
  <c r="AJ80" i="7"/>
  <c r="AJ88" i="7" s="1"/>
  <c r="AK242" i="7"/>
  <c r="AK256" i="7"/>
  <c r="AK281" i="7"/>
  <c r="AK331" i="7"/>
  <c r="AF244" i="7"/>
  <c r="AF228" i="7"/>
  <c r="AE244" i="7"/>
  <c r="AE228" i="7"/>
  <c r="AH286" i="7"/>
  <c r="AG286" i="7"/>
  <c r="AF286" i="7"/>
  <c r="AE286" i="7"/>
  <c r="AG270" i="7"/>
  <c r="AF270" i="7"/>
  <c r="AE270" i="7"/>
  <c r="AH312" i="7"/>
  <c r="AH328" i="7"/>
  <c r="AG312" i="7"/>
  <c r="AG328" i="7"/>
  <c r="AF312" i="7"/>
  <c r="AF328" i="7"/>
  <c r="AH354" i="7"/>
  <c r="AH370" i="7"/>
  <c r="AG354" i="7"/>
  <c r="AG370" i="7"/>
  <c r="AF354" i="7"/>
  <c r="AE354" i="7"/>
  <c r="AF412" i="7"/>
  <c r="AE412" i="7"/>
  <c r="AE396" i="7"/>
  <c r="AH396" i="7"/>
  <c r="AG396" i="7"/>
  <c r="AF396" i="7"/>
  <c r="AH858" i="7"/>
  <c r="AH866" i="7" s="1"/>
  <c r="AE874" i="7"/>
  <c r="AE882" i="7" s="1"/>
  <c r="AE858" i="7"/>
  <c r="AE866" i="7" s="1"/>
  <c r="AH874" i="7"/>
  <c r="AH882" i="7" s="1"/>
  <c r="AG874" i="7"/>
  <c r="AG882" i="7" s="1"/>
  <c r="AF874" i="7"/>
  <c r="AF882" i="7" s="1"/>
  <c r="AF858" i="7"/>
  <c r="AF866" i="7" s="1"/>
  <c r="AH916" i="7"/>
  <c r="AG916" i="7"/>
  <c r="AF900" i="7"/>
  <c r="AF916" i="7"/>
  <c r="AE916" i="7"/>
  <c r="AH900" i="7"/>
  <c r="AG900" i="7"/>
  <c r="AE900" i="7"/>
  <c r="AG958" i="7"/>
  <c r="AE942" i="7"/>
  <c r="AF958" i="7"/>
  <c r="AE958" i="7"/>
  <c r="AH942" i="7"/>
  <c r="AH958" i="7"/>
  <c r="AG942" i="7"/>
  <c r="AF942" i="7"/>
  <c r="AH1000" i="7"/>
  <c r="AH984" i="7"/>
  <c r="AF1000" i="7"/>
  <c r="AF984" i="7"/>
  <c r="AG1000" i="7"/>
  <c r="AG984" i="7"/>
  <c r="AE1000" i="7"/>
  <c r="AE984" i="7"/>
  <c r="AH1042" i="7"/>
  <c r="AG1042" i="7"/>
  <c r="AF1042" i="7"/>
  <c r="AH1026" i="7"/>
  <c r="AE1042" i="7"/>
  <c r="AG1026" i="7"/>
  <c r="AF1026" i="7"/>
  <c r="AE1026" i="7"/>
  <c r="AH1084" i="7"/>
  <c r="AG1084" i="7"/>
  <c r="AE1084" i="7"/>
  <c r="AH1068" i="7"/>
  <c r="AF1084" i="7"/>
  <c r="AG1068" i="7"/>
  <c r="AF1068" i="7"/>
  <c r="AE1068" i="7"/>
  <c r="AH1110" i="7"/>
  <c r="AG1126" i="7"/>
  <c r="AE1110" i="7"/>
  <c r="AF1126" i="7"/>
  <c r="AG1110" i="7"/>
  <c r="AH1126" i="7"/>
  <c r="AF1110" i="7"/>
  <c r="AE1126" i="7"/>
  <c r="AH1168" i="7"/>
  <c r="AG1152" i="7"/>
  <c r="AG1168" i="7"/>
  <c r="AH1152" i="7"/>
  <c r="AF1152" i="7"/>
  <c r="AF1168" i="7"/>
  <c r="AE1152" i="7"/>
  <c r="AE1168" i="7"/>
  <c r="AF1210" i="7"/>
  <c r="AF1194" i="7"/>
  <c r="AE1210" i="7"/>
  <c r="AE1194" i="7"/>
  <c r="AH1194" i="7"/>
  <c r="AG1210" i="7"/>
  <c r="AG1194" i="7"/>
  <c r="AH1210" i="7"/>
  <c r="AH1252" i="7"/>
  <c r="AH1236" i="7"/>
  <c r="AG1252" i="7"/>
  <c r="AG1236" i="7"/>
  <c r="AF1252" i="7"/>
  <c r="AF1236" i="7"/>
  <c r="AE1236" i="7"/>
  <c r="AE1252" i="7"/>
  <c r="AJ213" i="7"/>
  <c r="AJ205" i="7"/>
  <c r="AJ255" i="7"/>
  <c r="AJ239" i="7"/>
  <c r="AJ247" i="7"/>
  <c r="AJ231" i="7"/>
  <c r="AJ297" i="7"/>
  <c r="AJ289" i="7"/>
  <c r="AJ339" i="7"/>
  <c r="AJ315" i="7"/>
  <c r="AJ373" i="7"/>
  <c r="AJ357" i="7"/>
  <c r="AK376" i="7"/>
  <c r="AK360" i="7"/>
  <c r="AK384" i="7"/>
  <c r="AK368" i="7"/>
  <c r="AK426" i="7"/>
  <c r="AK410" i="7"/>
  <c r="AK402" i="7"/>
  <c r="AJ888" i="7"/>
  <c r="AJ864" i="7"/>
  <c r="AJ880" i="7"/>
  <c r="AJ922" i="7"/>
  <c r="AJ906" i="7"/>
  <c r="AJ930" i="7"/>
  <c r="AJ956" i="7"/>
  <c r="AJ972" i="7"/>
  <c r="AJ964" i="7"/>
  <c r="AJ948" i="7"/>
  <c r="AJ1006" i="7"/>
  <c r="AJ990" i="7"/>
  <c r="AJ1014" i="7"/>
  <c r="AJ998" i="7"/>
  <c r="AJ1048" i="7"/>
  <c r="AJ1032" i="7"/>
  <c r="AJ1056" i="7"/>
  <c r="AJ1040" i="7"/>
  <c r="AJ1090" i="7"/>
  <c r="AJ1082" i="7"/>
  <c r="AJ1074" i="7"/>
  <c r="AJ1098" i="7"/>
  <c r="AJ1132" i="7"/>
  <c r="AJ1116" i="7"/>
  <c r="AJ1124" i="7"/>
  <c r="AJ1140" i="7"/>
  <c r="AK1207" i="7"/>
  <c r="AK1215" i="7"/>
  <c r="AK1199" i="7"/>
  <c r="AK1223" i="7"/>
  <c r="AK1264" i="7"/>
  <c r="AK1248" i="7"/>
  <c r="AK1256" i="7"/>
  <c r="AK1240" i="7"/>
  <c r="AJ64" i="7"/>
  <c r="AJ72" i="7" s="1"/>
  <c r="AK81" i="7"/>
  <c r="AK89" i="7" s="1"/>
  <c r="AK121" i="7"/>
  <c r="AK129" i="7" s="1"/>
  <c r="AK148" i="7"/>
  <c r="AK156" i="7" s="1"/>
  <c r="AK150" i="7"/>
  <c r="AK158" i="7" s="1"/>
  <c r="AK258" i="7"/>
  <c r="AJ273" i="7"/>
  <c r="AK292" i="7"/>
  <c r="AE353" i="7"/>
  <c r="AE370" i="7"/>
  <c r="AG412" i="7"/>
  <c r="AG858" i="7"/>
  <c r="AG866" i="7" s="1"/>
  <c r="AK255" i="7"/>
  <c r="AK239" i="7"/>
  <c r="AK247" i="7"/>
  <c r="AK231" i="7"/>
  <c r="AK1056" i="7"/>
  <c r="AK1040" i="7"/>
  <c r="AK1032" i="7"/>
  <c r="AK1048" i="7"/>
  <c r="AJ1257" i="7"/>
  <c r="AJ1241" i="7"/>
  <c r="AJ1249" i="7"/>
  <c r="AJ1265" i="7"/>
  <c r="AJ65" i="7"/>
  <c r="AJ73" i="7" s="1"/>
  <c r="AJ122" i="7"/>
  <c r="AJ197" i="7"/>
  <c r="AH227" i="7"/>
  <c r="AL239" i="7"/>
  <c r="AE328" i="7"/>
  <c r="AF370" i="7"/>
  <c r="AJ381" i="7"/>
  <c r="AH412" i="7"/>
  <c r="AF941" i="7"/>
  <c r="AH246" i="7"/>
  <c r="AH230" i="7"/>
  <c r="AF288" i="7"/>
  <c r="AE288" i="7"/>
  <c r="AH288" i="7"/>
  <c r="AG272" i="7"/>
  <c r="AG288" i="7"/>
  <c r="AF272" i="7"/>
  <c r="AE272" i="7"/>
  <c r="AH330" i="7"/>
  <c r="AH314" i="7"/>
  <c r="AG330" i="7"/>
  <c r="AG314" i="7"/>
  <c r="AF330" i="7"/>
  <c r="AF314" i="7"/>
  <c r="AE330" i="7"/>
  <c r="AE314" i="7"/>
  <c r="AH372" i="7"/>
  <c r="AH356" i="7"/>
  <c r="AG372" i="7"/>
  <c r="AG356" i="7"/>
  <c r="AF372" i="7"/>
  <c r="AF356" i="7"/>
  <c r="AE372" i="7"/>
  <c r="AE356" i="7"/>
  <c r="AF414" i="7"/>
  <c r="AE398" i="7"/>
  <c r="AH414" i="7"/>
  <c r="AG414" i="7"/>
  <c r="AE414" i="7"/>
  <c r="AH398" i="7"/>
  <c r="AG398" i="7"/>
  <c r="AG876" i="7"/>
  <c r="AG884" i="7" s="1"/>
  <c r="AG860" i="7"/>
  <c r="AG868" i="7" s="1"/>
  <c r="AH860" i="7"/>
  <c r="AH868" i="7" s="1"/>
  <c r="AF860" i="7"/>
  <c r="AF868" i="7" s="1"/>
  <c r="AE860" i="7"/>
  <c r="AE868" i="7" s="1"/>
  <c r="AH876" i="7"/>
  <c r="AH884" i="7" s="1"/>
  <c r="AF876" i="7"/>
  <c r="AF884" i="7" s="1"/>
  <c r="AH918" i="7"/>
  <c r="AG918" i="7"/>
  <c r="AF918" i="7"/>
  <c r="AE918" i="7"/>
  <c r="AE902" i="7"/>
  <c r="AH902" i="7"/>
  <c r="AG902" i="7"/>
  <c r="AF902" i="7"/>
  <c r="AE960" i="7"/>
  <c r="AH944" i="7"/>
  <c r="AH960" i="7"/>
  <c r="AG944" i="7"/>
  <c r="AF960" i="7"/>
  <c r="AF944" i="7"/>
  <c r="AG960" i="7"/>
  <c r="AE944" i="7"/>
  <c r="AH1002" i="7"/>
  <c r="AH986" i="7"/>
  <c r="AG1002" i="7"/>
  <c r="AG986" i="7"/>
  <c r="AF1002" i="7"/>
  <c r="AF986" i="7"/>
  <c r="AE1002" i="7"/>
  <c r="AE986" i="7"/>
  <c r="AH1044" i="7"/>
  <c r="AG1028" i="7"/>
  <c r="AF1044" i="7"/>
  <c r="AE1028" i="7"/>
  <c r="AE1044" i="7"/>
  <c r="AG1044" i="7"/>
  <c r="AF1028" i="7"/>
  <c r="AH1028" i="7"/>
  <c r="AF1086" i="7"/>
  <c r="AE1086" i="7"/>
  <c r="AH1070" i="7"/>
  <c r="AG1070" i="7"/>
  <c r="AF1070" i="7"/>
  <c r="AH1086" i="7"/>
  <c r="AE1070" i="7"/>
  <c r="AG1086" i="7"/>
  <c r="AG1128" i="7"/>
  <c r="AF1128" i="7"/>
  <c r="AE1128" i="7"/>
  <c r="AH1112" i="7"/>
  <c r="AG1112" i="7"/>
  <c r="AF1112" i="7"/>
  <c r="AH1128" i="7"/>
  <c r="AE1112" i="7"/>
  <c r="AH1170" i="7"/>
  <c r="AF1170" i="7"/>
  <c r="AG1154" i="7"/>
  <c r="AE1154" i="7"/>
  <c r="AG1170" i="7"/>
  <c r="AH1154" i="7"/>
  <c r="AE1170" i="7"/>
  <c r="AF1154" i="7"/>
  <c r="AF1212" i="7"/>
  <c r="AF1196" i="7"/>
  <c r="AE1212" i="7"/>
  <c r="AE1196" i="7"/>
  <c r="AH1196" i="7"/>
  <c r="AG1212" i="7"/>
  <c r="AG1196" i="7"/>
  <c r="AH1212" i="7"/>
  <c r="AG1254" i="7"/>
  <c r="AG1238" i="7"/>
  <c r="AF1254" i="7"/>
  <c r="AF1238" i="7"/>
  <c r="AE1254" i="7"/>
  <c r="AE1238" i="7"/>
  <c r="AH1254" i="7"/>
  <c r="AH1238" i="7"/>
  <c r="AJ164" i="7"/>
  <c r="AJ156" i="7"/>
  <c r="AJ206" i="7"/>
  <c r="AJ198" i="7"/>
  <c r="AJ248" i="7"/>
  <c r="AJ232" i="7"/>
  <c r="AJ298" i="7"/>
  <c r="AJ290" i="7"/>
  <c r="AJ340" i="7"/>
  <c r="AJ324" i="7"/>
  <c r="AJ332" i="7"/>
  <c r="AJ316" i="7"/>
  <c r="AJ382" i="7"/>
  <c r="AJ366" i="7"/>
  <c r="AJ358" i="7"/>
  <c r="AJ374" i="7"/>
  <c r="AK415" i="7"/>
  <c r="AK423" i="7"/>
  <c r="AK399" i="7"/>
  <c r="AK407" i="7"/>
  <c r="AJ861" i="7"/>
  <c r="AJ869" i="7" s="1"/>
  <c r="AJ877" i="7"/>
  <c r="AJ885" i="7" s="1"/>
  <c r="AJ919" i="7"/>
  <c r="AJ903" i="7"/>
  <c r="AJ927" i="7"/>
  <c r="AJ911" i="7"/>
  <c r="AJ969" i="7"/>
  <c r="AJ953" i="7"/>
  <c r="AJ961" i="7"/>
  <c r="AJ945" i="7"/>
  <c r="AJ1011" i="7"/>
  <c r="AJ1003" i="7"/>
  <c r="AJ995" i="7"/>
  <c r="AJ987" i="7"/>
  <c r="AJ1053" i="7"/>
  <c r="AJ1045" i="7"/>
  <c r="AJ1029" i="7"/>
  <c r="AJ1037" i="7"/>
  <c r="AJ1087" i="7"/>
  <c r="AJ1095" i="7"/>
  <c r="AJ1071" i="7"/>
  <c r="AJ1079" i="7"/>
  <c r="AJ1129" i="7"/>
  <c r="AJ1137" i="7"/>
  <c r="AJ1113" i="7"/>
  <c r="AJ1121" i="7"/>
  <c r="AJ1179" i="7"/>
  <c r="AJ1171" i="7"/>
  <c r="AJ1155" i="7"/>
  <c r="AJ1163" i="7"/>
  <c r="AK1182" i="7"/>
  <c r="AK1158" i="7"/>
  <c r="AK1166" i="7"/>
  <c r="AK1174" i="7"/>
  <c r="AK1216" i="7"/>
  <c r="AK1224" i="7"/>
  <c r="AK1200" i="7"/>
  <c r="AK1208" i="7"/>
  <c r="AK1257" i="7"/>
  <c r="AK1241" i="7"/>
  <c r="AK1265" i="7"/>
  <c r="AK1249" i="7"/>
  <c r="AJ23" i="7"/>
  <c r="AK65" i="7"/>
  <c r="AK73" i="7" s="1"/>
  <c r="AK122" i="7"/>
  <c r="AK130" i="7" s="1"/>
  <c r="AK208" i="7"/>
  <c r="AE230" i="7"/>
  <c r="AH243" i="7"/>
  <c r="AJ282" i="7"/>
  <c r="AJ365" i="7"/>
  <c r="AK381" i="7"/>
  <c r="AK213" i="7"/>
  <c r="AK205" i="7"/>
  <c r="AK197" i="7"/>
  <c r="AK297" i="7"/>
  <c r="AK289" i="7"/>
  <c r="AJ407" i="7"/>
  <c r="AJ415" i="7"/>
  <c r="AJ423" i="7"/>
  <c r="AJ399" i="7"/>
  <c r="AK880" i="7"/>
  <c r="AK864" i="7"/>
  <c r="AK888" i="7"/>
  <c r="AK922" i="7"/>
  <c r="AK906" i="7"/>
  <c r="AK930" i="7"/>
  <c r="AK914" i="7"/>
  <c r="AK972" i="7"/>
  <c r="AK956" i="7"/>
  <c r="AK964" i="7"/>
  <c r="AK948" i="7"/>
  <c r="AK1006" i="7"/>
  <c r="AK990" i="7"/>
  <c r="AK1014" i="7"/>
  <c r="AK998" i="7"/>
  <c r="AK1090" i="7"/>
  <c r="AK1074" i="7"/>
  <c r="AK1098" i="7"/>
  <c r="AK1082" i="7"/>
  <c r="AK1132" i="7"/>
  <c r="AK1140" i="7"/>
  <c r="AK1116" i="7"/>
  <c r="AK1124" i="7"/>
  <c r="AJ1166" i="7"/>
  <c r="AJ1174" i="7"/>
  <c r="AJ1182" i="7"/>
  <c r="AJ1158" i="7"/>
  <c r="AJ1216" i="7"/>
  <c r="AJ1224" i="7"/>
  <c r="AJ1208" i="7"/>
  <c r="AJ1200" i="7"/>
  <c r="AL247" i="7"/>
  <c r="AL231" i="7"/>
  <c r="AL297" i="7"/>
  <c r="AL281" i="7"/>
  <c r="AL289" i="7"/>
  <c r="AL273" i="7"/>
  <c r="AL339" i="7"/>
  <c r="AL323" i="7"/>
  <c r="AL331" i="7"/>
  <c r="AL381" i="7"/>
  <c r="AL365" i="7"/>
  <c r="AL357" i="7"/>
  <c r="AL423" i="7"/>
  <c r="AL415" i="7"/>
  <c r="AL399" i="7"/>
  <c r="AL407" i="7"/>
  <c r="AL861" i="7"/>
  <c r="AL885" i="7"/>
  <c r="AL877" i="7"/>
  <c r="AL927" i="7"/>
  <c r="AL911" i="7"/>
  <c r="AL903" i="7"/>
  <c r="AL919" i="7"/>
  <c r="AL953" i="7"/>
  <c r="AL961" i="7"/>
  <c r="AL945" i="7"/>
  <c r="AL969" i="7"/>
  <c r="AL1011" i="7"/>
  <c r="AL1003" i="7"/>
  <c r="AL987" i="7"/>
  <c r="AL995" i="7"/>
  <c r="AL1053" i="7"/>
  <c r="AL1037" i="7"/>
  <c r="AL1045" i="7"/>
  <c r="AL1029" i="7"/>
  <c r="AL1087" i="7"/>
  <c r="AL1071" i="7"/>
  <c r="AL1079" i="7"/>
  <c r="AL1095" i="7"/>
  <c r="AL1137" i="7"/>
  <c r="AL1121" i="7"/>
  <c r="AL1113" i="7"/>
  <c r="AL1129" i="7"/>
  <c r="AL1179" i="7"/>
  <c r="AL1171" i="7"/>
  <c r="AL1163" i="7"/>
  <c r="AL1155" i="7"/>
  <c r="AL1221" i="7"/>
  <c r="AL1213" i="7"/>
  <c r="AL1197" i="7"/>
  <c r="AL1205" i="7"/>
  <c r="AK198" i="7"/>
  <c r="AK190" i="7"/>
  <c r="AK290" i="7"/>
  <c r="AK298" i="7"/>
  <c r="AK340" i="7"/>
  <c r="AK324" i="7"/>
  <c r="AK332" i="7"/>
  <c r="AK316" i="7"/>
  <c r="AK382" i="7"/>
  <c r="AK366" i="7"/>
  <c r="AK374" i="7"/>
  <c r="AK358" i="7"/>
  <c r="AJ424" i="7"/>
  <c r="AJ408" i="7"/>
  <c r="AJ400" i="7"/>
  <c r="AJ416" i="7"/>
  <c r="AK877" i="7"/>
  <c r="AK861" i="7"/>
  <c r="AK869" i="7"/>
  <c r="AK885" i="7"/>
  <c r="AK911" i="7"/>
  <c r="AK927" i="7"/>
  <c r="AK903" i="7"/>
  <c r="AK919" i="7"/>
  <c r="AK969" i="7"/>
  <c r="AK953" i="7"/>
  <c r="AK961" i="7"/>
  <c r="AK945" i="7"/>
  <c r="AK1011" i="7"/>
  <c r="AK995" i="7"/>
  <c r="AK1003" i="7"/>
  <c r="AK987" i="7"/>
  <c r="AK1053" i="7"/>
  <c r="AK1045" i="7"/>
  <c r="AK1029" i="7"/>
  <c r="AK1037" i="7"/>
  <c r="AK1087" i="7"/>
  <c r="AK1095" i="7"/>
  <c r="AK1071" i="7"/>
  <c r="AK1079" i="7"/>
  <c r="AK1137" i="7"/>
  <c r="AK1113" i="7"/>
  <c r="AK1121" i="7"/>
  <c r="AK1129" i="7"/>
  <c r="AK1171" i="7"/>
  <c r="AK1163" i="7"/>
  <c r="AK1179" i="7"/>
  <c r="AK1155" i="7"/>
  <c r="AJ1205" i="7"/>
  <c r="AJ1213" i="7"/>
  <c r="AJ1221" i="7"/>
  <c r="AJ1197" i="7"/>
  <c r="AJ1258" i="7"/>
  <c r="AJ1242" i="7"/>
  <c r="AJ1266" i="7"/>
  <c r="AJ1250" i="7"/>
  <c r="AJ147" i="7"/>
  <c r="AJ149" i="7"/>
  <c r="AF230" i="7"/>
  <c r="AK232" i="7"/>
  <c r="AK234" i="7"/>
  <c r="AE246" i="7"/>
  <c r="AH269" i="7"/>
  <c r="AJ274" i="7"/>
  <c r="AK282" i="7"/>
  <c r="AE285" i="7"/>
  <c r="AK334" i="7"/>
  <c r="AK373" i="7"/>
  <c r="AF398" i="7"/>
  <c r="AJ914" i="7"/>
  <c r="AJ207" i="7"/>
  <c r="AJ215" i="7"/>
  <c r="AJ249" i="7"/>
  <c r="AJ233" i="7"/>
  <c r="AJ257" i="7"/>
  <c r="AJ241" i="7"/>
  <c r="AJ291" i="7"/>
  <c r="AJ283" i="7"/>
  <c r="AJ299" i="7"/>
  <c r="AJ333" i="7"/>
  <c r="AJ325" i="7"/>
  <c r="AJ341" i="7"/>
  <c r="AJ383" i="7"/>
  <c r="AJ367" i="7"/>
  <c r="AJ359" i="7"/>
  <c r="AJ375" i="7"/>
  <c r="AK416" i="7"/>
  <c r="AK408" i="7"/>
  <c r="AK424" i="7"/>
  <c r="AK400" i="7"/>
  <c r="AJ862" i="7"/>
  <c r="AJ870" i="7" s="1"/>
  <c r="AJ886" i="7"/>
  <c r="AJ878" i="7"/>
  <c r="AJ928" i="7"/>
  <c r="AJ912" i="7"/>
  <c r="AJ920" i="7"/>
  <c r="AJ904" i="7"/>
  <c r="AJ970" i="7"/>
  <c r="AJ962" i="7"/>
  <c r="AJ946" i="7"/>
  <c r="AJ954" i="7"/>
  <c r="AJ1012" i="7"/>
  <c r="AJ996" i="7"/>
  <c r="AJ1004" i="7"/>
  <c r="AJ988" i="7"/>
  <c r="AJ1054" i="7"/>
  <c r="AJ1038" i="7"/>
  <c r="AJ1030" i="7"/>
  <c r="AJ1046" i="7"/>
  <c r="AJ1096" i="7"/>
  <c r="AJ1088" i="7"/>
  <c r="AJ1080" i="7"/>
  <c r="AJ1072" i="7"/>
  <c r="AJ1130" i="7"/>
  <c r="AJ1138" i="7"/>
  <c r="AJ1122" i="7"/>
  <c r="AJ1114" i="7"/>
  <c r="AJ1172" i="7"/>
  <c r="AJ1180" i="7"/>
  <c r="AJ1156" i="7"/>
  <c r="AJ1164" i="7"/>
  <c r="AK1221" i="7"/>
  <c r="AK1197" i="7"/>
  <c r="AK1205" i="7"/>
  <c r="AK1213" i="7"/>
  <c r="AJ1255" i="7"/>
  <c r="AJ1247" i="7"/>
  <c r="AJ1263" i="7"/>
  <c r="AJ1239" i="7"/>
  <c r="AK1258" i="7"/>
  <c r="AK1242" i="7"/>
  <c r="AK1266" i="7"/>
  <c r="AK1250" i="7"/>
  <c r="AJ124" i="7"/>
  <c r="AK147" i="7"/>
  <c r="AK155" i="7" s="1"/>
  <c r="AJ199" i="7"/>
  <c r="AJ214" i="7"/>
  <c r="AG228" i="7"/>
  <c r="AG230" i="7"/>
  <c r="AF246" i="7"/>
  <c r="AH272" i="7"/>
  <c r="AK274" i="7"/>
  <c r="AK315" i="7"/>
  <c r="AJ323" i="7"/>
  <c r="AK357" i="7"/>
  <c r="AL373" i="7"/>
  <c r="AK174" i="7"/>
  <c r="AS1023" i="7" l="1"/>
  <c r="AK454" i="7"/>
  <c r="AO519" i="7"/>
  <c r="AL551" i="7"/>
  <c r="AK438" i="7"/>
  <c r="AK446" i="7"/>
  <c r="AL467" i="7"/>
  <c r="AK506" i="7"/>
  <c r="AK456" i="7"/>
  <c r="AL443" i="7"/>
  <c r="AM443" i="7" s="1"/>
  <c r="AK538" i="7"/>
  <c r="AL613" i="7"/>
  <c r="AS1148" i="7"/>
  <c r="AL660" i="7"/>
  <c r="AL441" i="7"/>
  <c r="AO441" i="7" s="1"/>
  <c r="AL458" i="7"/>
  <c r="AO458" i="7" s="1"/>
  <c r="AL664" i="7"/>
  <c r="AS1192" i="7"/>
  <c r="AS981" i="7"/>
  <c r="AS267" i="7"/>
  <c r="AS1234" i="7"/>
  <c r="AS898" i="7"/>
  <c r="AO433" i="7"/>
  <c r="AO449" i="7" s="1"/>
  <c r="AS308" i="7"/>
  <c r="AS940" i="7"/>
  <c r="AS393" i="7"/>
  <c r="AS1190" i="7"/>
  <c r="AS1105" i="7"/>
  <c r="AS937" i="7"/>
  <c r="I560" i="7"/>
  <c r="I561" i="7" s="1"/>
  <c r="AJ573" i="7"/>
  <c r="AL584" i="7"/>
  <c r="AM584" i="7" s="1"/>
  <c r="AI607" i="7"/>
  <c r="AP607" i="7" s="1"/>
  <c r="AI605" i="7"/>
  <c r="AP605" i="7" s="1"/>
  <c r="AL751" i="7"/>
  <c r="AM751" i="7" s="1"/>
  <c r="AM727" i="7"/>
  <c r="AM743" i="7" s="1"/>
  <c r="AS982" i="7"/>
  <c r="AS223" i="7"/>
  <c r="AS980" i="7"/>
  <c r="AS645" i="7"/>
  <c r="AS392" i="7"/>
  <c r="AS895" i="7"/>
  <c r="AK671" i="7"/>
  <c r="AO560" i="7"/>
  <c r="AO592" i="7" s="1"/>
  <c r="AD560" i="7" s="1"/>
  <c r="AJ739" i="7"/>
  <c r="AL592" i="7"/>
  <c r="AL568" i="7"/>
  <c r="AO568" i="7" s="1"/>
  <c r="AM560" i="7"/>
  <c r="AM576" i="7" s="1"/>
  <c r="AS394" i="7"/>
  <c r="AS1065" i="7"/>
  <c r="AS1191" i="7"/>
  <c r="AS307" i="7"/>
  <c r="AS1147" i="7"/>
  <c r="AL466" i="7"/>
  <c r="AJ446" i="7"/>
  <c r="AM519" i="7"/>
  <c r="AS519" i="7" s="1"/>
  <c r="AK522" i="7"/>
  <c r="AL563" i="7"/>
  <c r="AM430" i="7"/>
  <c r="AO430" i="7"/>
  <c r="AO462" i="7" s="1"/>
  <c r="AD430" i="7" s="1"/>
  <c r="AS1064" i="7"/>
  <c r="AM433" i="7"/>
  <c r="AS391" i="7"/>
  <c r="AJ462" i="7"/>
  <c r="AM434" i="7"/>
  <c r="AM450" i="7" s="1"/>
  <c r="AL450" i="7"/>
  <c r="AL527" i="7"/>
  <c r="AM527" i="7" s="1"/>
  <c r="AS1022" i="7"/>
  <c r="AS1107" i="7"/>
  <c r="AL535" i="7"/>
  <c r="AL488" i="7"/>
  <c r="AL442" i="7"/>
  <c r="AO442" i="7" s="1"/>
  <c r="AS1189" i="7"/>
  <c r="AL587" i="7"/>
  <c r="AL465" i="7"/>
  <c r="AL449" i="7"/>
  <c r="AS1150" i="7"/>
  <c r="AM662" i="7"/>
  <c r="AS813" i="7"/>
  <c r="AS561" i="7"/>
  <c r="AL794" i="7"/>
  <c r="AM794" i="7" s="1"/>
  <c r="AS604" i="7"/>
  <c r="AS896" i="7"/>
  <c r="AS687" i="7"/>
  <c r="AL786" i="7"/>
  <c r="AS1108" i="7"/>
  <c r="AS938" i="7"/>
  <c r="AS853" i="7"/>
  <c r="I139" i="4"/>
  <c r="I131" i="4"/>
  <c r="I132" i="4" s="1"/>
  <c r="I133" i="4" s="1"/>
  <c r="I134" i="4" s="1"/>
  <c r="I135" i="4" s="1"/>
  <c r="I136" i="4" s="1"/>
  <c r="I137" i="4" s="1"/>
  <c r="AS266" i="7"/>
  <c r="AS265" i="7"/>
  <c r="AS226" i="7"/>
  <c r="AS1066" i="7"/>
  <c r="AS349" i="7"/>
  <c r="AJ587" i="7"/>
  <c r="AO661" i="7"/>
  <c r="AM514" i="7"/>
  <c r="AM530" i="7" s="1"/>
  <c r="AS268" i="7"/>
  <c r="AS939" i="7"/>
  <c r="AS351" i="7"/>
  <c r="AS1233" i="7"/>
  <c r="AJ579" i="7"/>
  <c r="AS224" i="7"/>
  <c r="AL446" i="7"/>
  <c r="AL499" i="7"/>
  <c r="AO499" i="7" s="1"/>
  <c r="AL496" i="7"/>
  <c r="AK623" i="7"/>
  <c r="AJ700" i="7"/>
  <c r="AS1063" i="7"/>
  <c r="AL483" i="7"/>
  <c r="AO483" i="7" s="1"/>
  <c r="F587" i="7"/>
  <c r="G587" i="7" s="1"/>
  <c r="AL647" i="7"/>
  <c r="AS729" i="7"/>
  <c r="AS1232" i="7"/>
  <c r="AS1021" i="7"/>
  <c r="AS730" i="7"/>
  <c r="AS1106" i="7"/>
  <c r="AM477" i="7"/>
  <c r="AS477" i="7" s="1"/>
  <c r="AL480" i="7"/>
  <c r="AL507" i="7"/>
  <c r="AJ571" i="7"/>
  <c r="AL668" i="7"/>
  <c r="AM668" i="7" s="1"/>
  <c r="AO736" i="7"/>
  <c r="AL448" i="7"/>
  <c r="AS562" i="7"/>
  <c r="AJ461" i="7"/>
  <c r="AM475" i="7"/>
  <c r="AL493" i="7"/>
  <c r="AJ565" i="7"/>
  <c r="AK606" i="7"/>
  <c r="AJ589" i="7"/>
  <c r="AS350" i="7"/>
  <c r="AJ437" i="7"/>
  <c r="AL501" i="7"/>
  <c r="AO501" i="7" s="1"/>
  <c r="AL676" i="7"/>
  <c r="AM643" i="7"/>
  <c r="AM675" i="7" s="1"/>
  <c r="AC643" i="7" s="1"/>
  <c r="AL708" i="7"/>
  <c r="AS855" i="7"/>
  <c r="AS646" i="7"/>
  <c r="AJ445" i="7"/>
  <c r="AL456" i="7"/>
  <c r="AL485" i="7"/>
  <c r="AM485" i="7" s="1"/>
  <c r="AK608" i="7"/>
  <c r="AO653" i="7"/>
  <c r="AS728" i="7"/>
  <c r="AJ757" i="7"/>
  <c r="AS856" i="7"/>
  <c r="AL440" i="7"/>
  <c r="AS476" i="7"/>
  <c r="AS854" i="7"/>
  <c r="AK630" i="7"/>
  <c r="AL795" i="7"/>
  <c r="AM795" i="7" s="1"/>
  <c r="AO771" i="7"/>
  <c r="AO787" i="7" s="1"/>
  <c r="AJ823" i="7"/>
  <c r="AL490" i="7"/>
  <c r="AM676" i="7"/>
  <c r="AC644" i="7" s="1"/>
  <c r="AL522" i="7"/>
  <c r="AI454" i="7"/>
  <c r="AP454" i="7" s="1"/>
  <c r="I433" i="7"/>
  <c r="I434" i="7" s="1"/>
  <c r="AO644" i="7"/>
  <c r="AS644" i="7" s="1"/>
  <c r="AL675" i="7"/>
  <c r="J431" i="7"/>
  <c r="AK614" i="7"/>
  <c r="AL652" i="7"/>
  <c r="AO652" i="7" s="1"/>
  <c r="AL700" i="7"/>
  <c r="AL634" i="7"/>
  <c r="AK453" i="7"/>
  <c r="AK530" i="7"/>
  <c r="AL666" i="7"/>
  <c r="AJ782" i="7"/>
  <c r="AL650" i="7"/>
  <c r="AL506" i="7"/>
  <c r="F663" i="7"/>
  <c r="G663" i="7" s="1"/>
  <c r="AJ692" i="7"/>
  <c r="AL482" i="7"/>
  <c r="G647" i="7"/>
  <c r="AI664" i="7"/>
  <c r="AP664" i="7" s="1"/>
  <c r="AK464" i="7"/>
  <c r="AK503" i="7"/>
  <c r="AL658" i="7"/>
  <c r="AO727" i="7"/>
  <c r="AO743" i="7" s="1"/>
  <c r="AK440" i="7"/>
  <c r="AK495" i="7"/>
  <c r="F797" i="7"/>
  <c r="F789" i="7" s="1"/>
  <c r="G789" i="7" s="1"/>
  <c r="AJ790" i="7"/>
  <c r="AK461" i="7"/>
  <c r="AI625" i="7"/>
  <c r="AP625" i="7" s="1"/>
  <c r="AM770" i="7"/>
  <c r="AM802" i="7" s="1"/>
  <c r="AC770" i="7" s="1"/>
  <c r="AO766" i="7"/>
  <c r="AO782" i="7" s="1"/>
  <c r="AJ815" i="7"/>
  <c r="AJ648" i="7"/>
  <c r="AI837" i="7"/>
  <c r="AN837" i="7" s="1"/>
  <c r="AJ774" i="7"/>
  <c r="AL778" i="7"/>
  <c r="AO778" i="7" s="1"/>
  <c r="AJ438" i="7"/>
  <c r="AI773" i="7"/>
  <c r="AN773" i="7" s="1"/>
  <c r="AM769" i="7"/>
  <c r="AM801" i="7" s="1"/>
  <c r="AC769" i="7" s="1"/>
  <c r="AO670" i="7"/>
  <c r="AM811" i="7"/>
  <c r="AM843" i="7" s="1"/>
  <c r="AC811" i="7" s="1"/>
  <c r="AJ707" i="7"/>
  <c r="AI663" i="7"/>
  <c r="AP663" i="7" s="1"/>
  <c r="AI581" i="7"/>
  <c r="AN581" i="7" s="1"/>
  <c r="AI831" i="7"/>
  <c r="AP831" i="7" s="1"/>
  <c r="AO886" i="7"/>
  <c r="AD854" i="7" s="1"/>
  <c r="AP854" i="7"/>
  <c r="AO887" i="7"/>
  <c r="AD855" i="7" s="1"/>
  <c r="AP855" i="7"/>
  <c r="AO888" i="7"/>
  <c r="AD856" i="7" s="1"/>
  <c r="AP856" i="7"/>
  <c r="AO885" i="7"/>
  <c r="AD853" i="7" s="1"/>
  <c r="AP853" i="7"/>
  <c r="F752" i="7"/>
  <c r="AL452" i="7"/>
  <c r="AO484" i="7"/>
  <c r="AJ488" i="7"/>
  <c r="AI527" i="7"/>
  <c r="AJ522" i="7"/>
  <c r="F589" i="7"/>
  <c r="F581" i="7" s="1"/>
  <c r="AL621" i="7"/>
  <c r="AL630" i="7"/>
  <c r="AI608" i="7"/>
  <c r="AP608" i="7" s="1"/>
  <c r="AI692" i="7"/>
  <c r="AP692" i="7" s="1"/>
  <c r="AJ716" i="7"/>
  <c r="AM760" i="7"/>
  <c r="AC728" i="7" s="1"/>
  <c r="AI750" i="7"/>
  <c r="AP750" i="7" s="1"/>
  <c r="AL800" i="7"/>
  <c r="F505" i="7"/>
  <c r="F497" i="7" s="1"/>
  <c r="AJ546" i="7"/>
  <c r="AL622" i="7"/>
  <c r="AM639" i="7"/>
  <c r="AL792" i="7"/>
  <c r="AL817" i="7"/>
  <c r="F720" i="7"/>
  <c r="AL605" i="7"/>
  <c r="AK488" i="7"/>
  <c r="AK479" i="7"/>
  <c r="AK496" i="7"/>
  <c r="AJ538" i="7"/>
  <c r="AL631" i="7"/>
  <c r="AL606" i="7"/>
  <c r="AM602" i="7"/>
  <c r="AM634" i="7" s="1"/>
  <c r="AC602" i="7" s="1"/>
  <c r="AI670" i="7"/>
  <c r="AN670" i="7" s="1"/>
  <c r="AK647" i="7"/>
  <c r="AL656" i="7"/>
  <c r="AI733" i="7"/>
  <c r="AP733" i="7" s="1"/>
  <c r="AJ733" i="7"/>
  <c r="AO770" i="7"/>
  <c r="AO786" i="7" s="1"/>
  <c r="AL626" i="7"/>
  <c r="AM626" i="7" s="1"/>
  <c r="F710" i="7"/>
  <c r="AO683" i="7"/>
  <c r="AO699" i="7" s="1"/>
  <c r="AO466" i="7"/>
  <c r="AD434" i="7" s="1"/>
  <c r="AK480" i="7"/>
  <c r="AL526" i="7"/>
  <c r="AO526" i="7" s="1"/>
  <c r="AI610" i="7"/>
  <c r="AP610" i="7" s="1"/>
  <c r="AK616" i="7"/>
  <c r="AI649" i="7"/>
  <c r="AN649" i="7" s="1"/>
  <c r="AK663" i="7"/>
  <c r="F713" i="7"/>
  <c r="F705" i="7" s="1"/>
  <c r="G705" i="7" s="1"/>
  <c r="AJ691" i="7"/>
  <c r="AJ715" i="7"/>
  <c r="AO643" i="7"/>
  <c r="AL618" i="7"/>
  <c r="AI822" i="7"/>
  <c r="AN822" i="7" s="1"/>
  <c r="AI753" i="7"/>
  <c r="AN753" i="7" s="1"/>
  <c r="AO514" i="7"/>
  <c r="AO546" i="7" s="1"/>
  <c r="AD514" i="7" s="1"/>
  <c r="AO602" i="7"/>
  <c r="AO618" i="7" s="1"/>
  <c r="AI712" i="7"/>
  <c r="AP712" i="7" s="1"/>
  <c r="AO454" i="7"/>
  <c r="AL455" i="7"/>
  <c r="AL509" i="7"/>
  <c r="AL534" i="7"/>
  <c r="AL538" i="7"/>
  <c r="F585" i="7"/>
  <c r="AK624" i="7"/>
  <c r="AL648" i="7"/>
  <c r="AL659" i="7"/>
  <c r="AO752" i="7"/>
  <c r="AL733" i="7"/>
  <c r="AJ741" i="7"/>
  <c r="AM809" i="7"/>
  <c r="AM736" i="7"/>
  <c r="AM600" i="7"/>
  <c r="AM616" i="7" s="1"/>
  <c r="AL735" i="7"/>
  <c r="AM735" i="7" s="1"/>
  <c r="AL743" i="7"/>
  <c r="AO493" i="7"/>
  <c r="AO509" i="7"/>
  <c r="AD477" i="7" s="1"/>
  <c r="AO844" i="7"/>
  <c r="AD812" i="7" s="1"/>
  <c r="AO828" i="7"/>
  <c r="AO533" i="7"/>
  <c r="AO549" i="7"/>
  <c r="AD517" i="7" s="1"/>
  <c r="AM518" i="7"/>
  <c r="AM550" i="7" s="1"/>
  <c r="AC518" i="7" s="1"/>
  <c r="AJ629" i="7"/>
  <c r="AI654" i="7"/>
  <c r="AP654" i="7" s="1"/>
  <c r="AO681" i="7"/>
  <c r="AO697" i="7" s="1"/>
  <c r="AI749" i="7"/>
  <c r="AP749" i="7" s="1"/>
  <c r="AM517" i="7"/>
  <c r="AS517" i="7" s="1"/>
  <c r="F550" i="7"/>
  <c r="F542" i="7" s="1"/>
  <c r="AM685" i="7"/>
  <c r="AM701" i="7" s="1"/>
  <c r="AM754" i="7"/>
  <c r="AI821" i="7"/>
  <c r="AP821" i="7" s="1"/>
  <c r="AL550" i="7"/>
  <c r="AL623" i="7"/>
  <c r="AO685" i="7"/>
  <c r="AO701" i="7" s="1"/>
  <c r="AI483" i="7"/>
  <c r="AN483" i="7" s="1"/>
  <c r="AI439" i="7"/>
  <c r="AP439" i="7" s="1"/>
  <c r="AK498" i="7"/>
  <c r="AI521" i="7"/>
  <c r="AP521" i="7" s="1"/>
  <c r="AO518" i="7"/>
  <c r="AO550" i="7" s="1"/>
  <c r="AD518" i="7" s="1"/>
  <c r="AO570" i="7"/>
  <c r="AL615" i="7"/>
  <c r="AJ672" i="7"/>
  <c r="AK666" i="7"/>
  <c r="AJ689" i="7"/>
  <c r="AL784" i="7"/>
  <c r="AO475" i="7"/>
  <c r="AL571" i="7"/>
  <c r="AK674" i="7"/>
  <c r="AL709" i="7"/>
  <c r="AO709" i="7" s="1"/>
  <c r="AJ713" i="7"/>
  <c r="AI706" i="7"/>
  <c r="AN706" i="7" s="1"/>
  <c r="AI737" i="7"/>
  <c r="AP737" i="7" s="1"/>
  <c r="AI817" i="7"/>
  <c r="AN817" i="7" s="1"/>
  <c r="AL835" i="7"/>
  <c r="AO835" i="7" s="1"/>
  <c r="AJ839" i="7"/>
  <c r="AO845" i="7"/>
  <c r="AD813" i="7" s="1"/>
  <c r="AJ656" i="7"/>
  <c r="F546" i="7"/>
  <c r="AI523" i="7"/>
  <c r="AN523" i="7" s="1"/>
  <c r="AI460" i="7"/>
  <c r="AN460" i="7" s="1"/>
  <c r="AI579" i="7"/>
  <c r="AP579" i="7" s="1"/>
  <c r="AJ613" i="7"/>
  <c r="AI501" i="7"/>
  <c r="AN501" i="7" s="1"/>
  <c r="AL503" i="7"/>
  <c r="AM508" i="7"/>
  <c r="AC476" i="7" s="1"/>
  <c r="AL525" i="7"/>
  <c r="AM525" i="7" s="1"/>
  <c r="AM594" i="7"/>
  <c r="AC562" i="7" s="1"/>
  <c r="AM569" i="7"/>
  <c r="AK650" i="7"/>
  <c r="AL701" i="7"/>
  <c r="AI705" i="7"/>
  <c r="AP705" i="7" s="1"/>
  <c r="AJ705" i="7"/>
  <c r="AL693" i="7"/>
  <c r="AM693" i="7" s="1"/>
  <c r="AO746" i="7"/>
  <c r="AI792" i="7"/>
  <c r="AP792" i="7" s="1"/>
  <c r="AI833" i="7"/>
  <c r="AP833" i="7" s="1"/>
  <c r="AM807" i="7"/>
  <c r="AM839" i="7" s="1"/>
  <c r="AC807" i="7" s="1"/>
  <c r="AO807" i="7"/>
  <c r="AO823" i="7" s="1"/>
  <c r="F837" i="7"/>
  <c r="AI735" i="7"/>
  <c r="AN735" i="7" s="1"/>
  <c r="AL479" i="7"/>
  <c r="AI456" i="7"/>
  <c r="AP456" i="7" s="1"/>
  <c r="AI444" i="7"/>
  <c r="AP444" i="7" s="1"/>
  <c r="AL487" i="7"/>
  <c r="AL549" i="7"/>
  <c r="AM557" i="7"/>
  <c r="AM573" i="7" s="1"/>
  <c r="AI568" i="7"/>
  <c r="AP568" i="7" s="1"/>
  <c r="AJ621" i="7"/>
  <c r="AJ632" i="7"/>
  <c r="AJ608" i="7"/>
  <c r="AL651" i="7"/>
  <c r="AM651" i="7" s="1"/>
  <c r="AO640" i="7"/>
  <c r="AO656" i="7" s="1"/>
  <c r="AL716" i="7"/>
  <c r="AI694" i="7"/>
  <c r="AN694" i="7" s="1"/>
  <c r="AL567" i="7"/>
  <c r="AM567" i="7" s="1"/>
  <c r="AL591" i="7"/>
  <c r="AL575" i="7"/>
  <c r="AO594" i="7"/>
  <c r="AD562" i="7" s="1"/>
  <c r="AO578" i="7"/>
  <c r="AJ663" i="7"/>
  <c r="AJ655" i="7"/>
  <c r="F636" i="7"/>
  <c r="F790" i="7"/>
  <c r="F586" i="7"/>
  <c r="AI459" i="7"/>
  <c r="AP459" i="7" s="1"/>
  <c r="AI453" i="7"/>
  <c r="AP453" i="7" s="1"/>
  <c r="AI486" i="7"/>
  <c r="AP486" i="7" s="1"/>
  <c r="AI485" i="7"/>
  <c r="AP485" i="7" s="1"/>
  <c r="AI481" i="7"/>
  <c r="AP481" i="7" s="1"/>
  <c r="AK490" i="7"/>
  <c r="AM559" i="7"/>
  <c r="AM591" i="7" s="1"/>
  <c r="AC559" i="7" s="1"/>
  <c r="AJ671" i="7"/>
  <c r="AO684" i="7"/>
  <c r="AO716" i="7" s="1"/>
  <c r="AD684" i="7" s="1"/>
  <c r="AM684" i="7"/>
  <c r="AM716" i="7" s="1"/>
  <c r="AC684" i="7" s="1"/>
  <c r="AO754" i="7"/>
  <c r="AI793" i="7"/>
  <c r="AN793" i="7" s="1"/>
  <c r="F844" i="7"/>
  <c r="AL463" i="7"/>
  <c r="AI441" i="7"/>
  <c r="AN441" i="7" s="1"/>
  <c r="AL444" i="7"/>
  <c r="AO444" i="7" s="1"/>
  <c r="AI484" i="7"/>
  <c r="AP484" i="7" s="1"/>
  <c r="AI479" i="7"/>
  <c r="AP479" i="7" s="1"/>
  <c r="AM484" i="7"/>
  <c r="AI544" i="7"/>
  <c r="AN544" i="7" s="1"/>
  <c r="AI539" i="7"/>
  <c r="AN539" i="7" s="1"/>
  <c r="AO586" i="7"/>
  <c r="AJ631" i="7"/>
  <c r="AL663" i="7"/>
  <c r="AI653" i="7"/>
  <c r="AP653" i="7" s="1"/>
  <c r="AI651" i="7"/>
  <c r="AN651" i="7" s="1"/>
  <c r="AI707" i="7"/>
  <c r="AP707" i="7" s="1"/>
  <c r="AI747" i="7"/>
  <c r="AN747" i="7" s="1"/>
  <c r="AL791" i="7"/>
  <c r="AI778" i="7"/>
  <c r="AP778" i="7" s="1"/>
  <c r="AI819" i="7"/>
  <c r="AN819" i="7" s="1"/>
  <c r="AL546" i="7"/>
  <c r="AL530" i="7"/>
  <c r="F716" i="7"/>
  <c r="F506" i="7"/>
  <c r="F468" i="7"/>
  <c r="AL462" i="7"/>
  <c r="AL438" i="7"/>
  <c r="F677" i="7"/>
  <c r="AL460" i="7"/>
  <c r="AM460" i="7" s="1"/>
  <c r="AJ480" i="7"/>
  <c r="AO559" i="7"/>
  <c r="AO575" i="7" s="1"/>
  <c r="AI585" i="7"/>
  <c r="AN585" i="7" s="1"/>
  <c r="AI606" i="7"/>
  <c r="AP606" i="7" s="1"/>
  <c r="AI612" i="7"/>
  <c r="AN612" i="7" s="1"/>
  <c r="AI626" i="7"/>
  <c r="AN626" i="7" s="1"/>
  <c r="AJ607" i="7"/>
  <c r="AO600" i="7"/>
  <c r="AO616" i="7" s="1"/>
  <c r="AI779" i="7"/>
  <c r="AN779" i="7" s="1"/>
  <c r="AL799" i="7"/>
  <c r="AL844" i="7"/>
  <c r="AL828" i="7"/>
  <c r="AL820" i="7"/>
  <c r="AO820" i="7" s="1"/>
  <c r="AL836" i="7"/>
  <c r="AM836" i="7" s="1"/>
  <c r="AJ833" i="7"/>
  <c r="AJ841" i="7"/>
  <c r="AM454" i="7"/>
  <c r="AM436" i="7"/>
  <c r="AS436" i="7" s="1"/>
  <c r="AL468" i="7"/>
  <c r="AM472" i="7"/>
  <c r="AM488" i="7" s="1"/>
  <c r="AJ496" i="7"/>
  <c r="AI563" i="7"/>
  <c r="AP563" i="7" s="1"/>
  <c r="AI584" i="7"/>
  <c r="AN584" i="7" s="1"/>
  <c r="AI569" i="7"/>
  <c r="AN569" i="7" s="1"/>
  <c r="AI628" i="7"/>
  <c r="AP628" i="7" s="1"/>
  <c r="AM599" i="7"/>
  <c r="AJ616" i="7"/>
  <c r="AI667" i="7"/>
  <c r="AP667" i="7" s="1"/>
  <c r="AL655" i="7"/>
  <c r="AI669" i="7"/>
  <c r="AN669" i="7" s="1"/>
  <c r="AK700" i="7"/>
  <c r="AM738" i="7"/>
  <c r="AO760" i="7"/>
  <c r="AD728" i="7" s="1"/>
  <c r="AL803" i="7"/>
  <c r="AL783" i="7"/>
  <c r="AM771" i="7"/>
  <c r="AM787" i="7" s="1"/>
  <c r="AO809" i="7"/>
  <c r="AO841" i="7" s="1"/>
  <c r="AD809" i="7" s="1"/>
  <c r="AJ825" i="7"/>
  <c r="AJ817" i="7"/>
  <c r="F551" i="7"/>
  <c r="AL741" i="7"/>
  <c r="AL757" i="7"/>
  <c r="AL819" i="7"/>
  <c r="AM819" i="7" s="1"/>
  <c r="AL843" i="7"/>
  <c r="AL827" i="7"/>
  <c r="AL541" i="7"/>
  <c r="AO541" i="7" s="1"/>
  <c r="AL533" i="7"/>
  <c r="F756" i="7"/>
  <c r="F706" i="7"/>
  <c r="AL825" i="7"/>
  <c r="AL841" i="7"/>
  <c r="AO435" i="7"/>
  <c r="AS435" i="7" s="1"/>
  <c r="AI526" i="7"/>
  <c r="AP526" i="7" s="1"/>
  <c r="AL439" i="7"/>
  <c r="AO472" i="7"/>
  <c r="AO504" i="7" s="1"/>
  <c r="AD472" i="7" s="1"/>
  <c r="AM570" i="7"/>
  <c r="AO599" i="7"/>
  <c r="AO615" i="7" s="1"/>
  <c r="AJ624" i="7"/>
  <c r="AI708" i="7"/>
  <c r="AP708" i="7" s="1"/>
  <c r="AI689" i="7"/>
  <c r="AP689" i="7" s="1"/>
  <c r="AI711" i="7"/>
  <c r="AP711" i="7" s="1"/>
  <c r="AK708" i="7"/>
  <c r="AK692" i="7"/>
  <c r="AI738" i="7"/>
  <c r="AN738" i="7" s="1"/>
  <c r="AI754" i="7"/>
  <c r="AN754" i="7" s="1"/>
  <c r="AM752" i="7"/>
  <c r="AL787" i="7"/>
  <c r="F588" i="7"/>
  <c r="F630" i="7"/>
  <c r="F670" i="7"/>
  <c r="F464" i="7"/>
  <c r="AM812" i="7"/>
  <c r="AS812" i="7" s="1"/>
  <c r="AI834" i="7"/>
  <c r="AP834" i="7" s="1"/>
  <c r="AI498" i="7"/>
  <c r="AN498" i="7" s="1"/>
  <c r="AI538" i="7"/>
  <c r="AN538" i="7" s="1"/>
  <c r="AL583" i="7"/>
  <c r="AM583" i="7" s="1"/>
  <c r="AI582" i="7"/>
  <c r="AP582" i="7" s="1"/>
  <c r="AI567" i="7"/>
  <c r="AN567" i="7" s="1"/>
  <c r="AI564" i="7"/>
  <c r="AN564" i="7" s="1"/>
  <c r="AI570" i="7"/>
  <c r="AN570" i="7" s="1"/>
  <c r="AI623" i="7"/>
  <c r="AN623" i="7" s="1"/>
  <c r="AJ623" i="7"/>
  <c r="AI666" i="7"/>
  <c r="AP666" i="7" s="1"/>
  <c r="AO639" i="7"/>
  <c r="AO671" i="7" s="1"/>
  <c r="AD639" i="7" s="1"/>
  <c r="AO723" i="7"/>
  <c r="AO739" i="7" s="1"/>
  <c r="AK615" i="7"/>
  <c r="AK607" i="7"/>
  <c r="F634" i="7"/>
  <c r="F508" i="7"/>
  <c r="F834" i="7"/>
  <c r="F510" i="7"/>
  <c r="J558" i="7"/>
  <c r="F833" i="7"/>
  <c r="AO821" i="7"/>
  <c r="AM821" i="7"/>
  <c r="AL840" i="7"/>
  <c r="AL816" i="7"/>
  <c r="AL832" i="7"/>
  <c r="AL824" i="7"/>
  <c r="AI838" i="7"/>
  <c r="AI818" i="7"/>
  <c r="AM829" i="7"/>
  <c r="AM845" i="7"/>
  <c r="AC813" i="7" s="1"/>
  <c r="AO837" i="7"/>
  <c r="AM837" i="7"/>
  <c r="AJ818" i="7"/>
  <c r="AM810" i="7"/>
  <c r="AJ834" i="7"/>
  <c r="AJ826" i="7"/>
  <c r="AJ842" i="7"/>
  <c r="AO810" i="7"/>
  <c r="AK840" i="7"/>
  <c r="AK816" i="7"/>
  <c r="AK832" i="7"/>
  <c r="AK824" i="7"/>
  <c r="AK818" i="7"/>
  <c r="AK834" i="7"/>
  <c r="AK826" i="7"/>
  <c r="AK842" i="7"/>
  <c r="AI820" i="7"/>
  <c r="AI815" i="7"/>
  <c r="F835" i="7"/>
  <c r="AI832" i="7"/>
  <c r="I811" i="7"/>
  <c r="J810" i="7"/>
  <c r="G815" i="7"/>
  <c r="F839" i="7"/>
  <c r="AK825" i="7"/>
  <c r="AK817" i="7"/>
  <c r="AK841" i="7"/>
  <c r="AK833" i="7"/>
  <c r="AO843" i="7"/>
  <c r="AD811" i="7" s="1"/>
  <c r="AO827" i="7"/>
  <c r="F832" i="7"/>
  <c r="AL830" i="7"/>
  <c r="AM814" i="7"/>
  <c r="AL846" i="7"/>
  <c r="AL822" i="7"/>
  <c r="AL838" i="7"/>
  <c r="AM838" i="7" s="1"/>
  <c r="AO814" i="7"/>
  <c r="AI835" i="7"/>
  <c r="AL831" i="7"/>
  <c r="AL839" i="7"/>
  <c r="AL815" i="7"/>
  <c r="AL823" i="7"/>
  <c r="AI836" i="7"/>
  <c r="AK823" i="7"/>
  <c r="AK831" i="7"/>
  <c r="AK839" i="7"/>
  <c r="AK815" i="7"/>
  <c r="AJ840" i="7"/>
  <c r="AO808" i="7"/>
  <c r="AJ816" i="7"/>
  <c r="AM808" i="7"/>
  <c r="AJ832" i="7"/>
  <c r="AJ824" i="7"/>
  <c r="AL834" i="7"/>
  <c r="AL826" i="7"/>
  <c r="AL842" i="7"/>
  <c r="AL818" i="7"/>
  <c r="AI816" i="7"/>
  <c r="AM804" i="7"/>
  <c r="AC772" i="7" s="1"/>
  <c r="AM788" i="7"/>
  <c r="AL797" i="7"/>
  <c r="AL773" i="7"/>
  <c r="AL781" i="7"/>
  <c r="AL789" i="7"/>
  <c r="AI776" i="7"/>
  <c r="AL801" i="7"/>
  <c r="AL777" i="7"/>
  <c r="AM777" i="7" s="1"/>
  <c r="AL785" i="7"/>
  <c r="AL793" i="7"/>
  <c r="AO793" i="7" s="1"/>
  <c r="AJ781" i="7"/>
  <c r="AJ789" i="7"/>
  <c r="AJ797" i="7"/>
  <c r="AO765" i="7"/>
  <c r="AM765" i="7"/>
  <c r="AJ773" i="7"/>
  <c r="F801" i="7"/>
  <c r="AK774" i="7"/>
  <c r="AK782" i="7"/>
  <c r="AK798" i="7"/>
  <c r="AM766" i="7"/>
  <c r="AK790" i="7"/>
  <c r="AK789" i="7"/>
  <c r="AK797" i="7"/>
  <c r="AK781" i="7"/>
  <c r="AK773" i="7"/>
  <c r="AK792" i="7"/>
  <c r="AK784" i="7"/>
  <c r="AK776" i="7"/>
  <c r="AK800" i="7"/>
  <c r="AI780" i="7"/>
  <c r="AJ776" i="7"/>
  <c r="AM768" i="7"/>
  <c r="AJ792" i="7"/>
  <c r="AJ784" i="7"/>
  <c r="AJ800" i="7"/>
  <c r="AO768" i="7"/>
  <c r="AI795" i="7"/>
  <c r="AK775" i="7"/>
  <c r="AK799" i="7"/>
  <c r="AK791" i="7"/>
  <c r="AK783" i="7"/>
  <c r="F792" i="7"/>
  <c r="AI796" i="7"/>
  <c r="AO779" i="7"/>
  <c r="AM779" i="7"/>
  <c r="AL774" i="7"/>
  <c r="AL790" i="7"/>
  <c r="AL782" i="7"/>
  <c r="AL798" i="7"/>
  <c r="AO785" i="7"/>
  <c r="AO801" i="7"/>
  <c r="AD769" i="7" s="1"/>
  <c r="AI789" i="7"/>
  <c r="J768" i="7"/>
  <c r="I769" i="7"/>
  <c r="AL788" i="7"/>
  <c r="AL804" i="7"/>
  <c r="AL780" i="7"/>
  <c r="AM780" i="7" s="1"/>
  <c r="AL796" i="7"/>
  <c r="AM796" i="7" s="1"/>
  <c r="AO772" i="7"/>
  <c r="AS772" i="7" s="1"/>
  <c r="AI794" i="7"/>
  <c r="AJ783" i="7"/>
  <c r="AJ775" i="7"/>
  <c r="AJ799" i="7"/>
  <c r="AM767" i="7"/>
  <c r="AO767" i="7"/>
  <c r="AJ791" i="7"/>
  <c r="AI791" i="7"/>
  <c r="AI777" i="7"/>
  <c r="AI775" i="7"/>
  <c r="AI774" i="7"/>
  <c r="AI790" i="7"/>
  <c r="F749" i="7"/>
  <c r="AO737" i="7"/>
  <c r="AM737" i="7"/>
  <c r="AI734" i="7"/>
  <c r="AM723" i="7"/>
  <c r="AM753" i="7"/>
  <c r="AO753" i="7"/>
  <c r="AJ734" i="7"/>
  <c r="AM726" i="7"/>
  <c r="AJ750" i="7"/>
  <c r="AJ742" i="7"/>
  <c r="AJ758" i="7"/>
  <c r="AO726" i="7"/>
  <c r="AJ756" i="7"/>
  <c r="AO724" i="7"/>
  <c r="AJ732" i="7"/>
  <c r="AM724" i="7"/>
  <c r="AJ748" i="7"/>
  <c r="AJ740" i="7"/>
  <c r="F751" i="7"/>
  <c r="AK734" i="7"/>
  <c r="AK750" i="7"/>
  <c r="AK742" i="7"/>
  <c r="AK758" i="7"/>
  <c r="AI736" i="7"/>
  <c r="AI731" i="7"/>
  <c r="AK741" i="7"/>
  <c r="AK733" i="7"/>
  <c r="AK757" i="7"/>
  <c r="AK749" i="7"/>
  <c r="AK756" i="7"/>
  <c r="AK732" i="7"/>
  <c r="AK748" i="7"/>
  <c r="AK740" i="7"/>
  <c r="AM745" i="7"/>
  <c r="AM761" i="7"/>
  <c r="AC729" i="7" s="1"/>
  <c r="AI748" i="7"/>
  <c r="AO725" i="7"/>
  <c r="G731" i="7"/>
  <c r="F755" i="7"/>
  <c r="AI751" i="7"/>
  <c r="AL747" i="7"/>
  <c r="AL755" i="7"/>
  <c r="AL731" i="7"/>
  <c r="AL739" i="7"/>
  <c r="AI752" i="7"/>
  <c r="AK739" i="7"/>
  <c r="AK747" i="7"/>
  <c r="AK755" i="7"/>
  <c r="AK731" i="7"/>
  <c r="AL756" i="7"/>
  <c r="AL732" i="7"/>
  <c r="AL748" i="7"/>
  <c r="AL740" i="7"/>
  <c r="AM746" i="7"/>
  <c r="AM762" i="7"/>
  <c r="AC730" i="7" s="1"/>
  <c r="AO745" i="7"/>
  <c r="AO761" i="7"/>
  <c r="AD729" i="7" s="1"/>
  <c r="AL750" i="7"/>
  <c r="AL742" i="7"/>
  <c r="AL758" i="7"/>
  <c r="AL734" i="7"/>
  <c r="I727" i="7"/>
  <c r="J726" i="7"/>
  <c r="AO738" i="7"/>
  <c r="AM725" i="7"/>
  <c r="AI732" i="7"/>
  <c r="AL690" i="7"/>
  <c r="AL706" i="7"/>
  <c r="AL698" i="7"/>
  <c r="AL714" i="7"/>
  <c r="AL713" i="7"/>
  <c r="AL705" i="7"/>
  <c r="AL697" i="7"/>
  <c r="AL689" i="7"/>
  <c r="AI691" i="7"/>
  <c r="AK705" i="7"/>
  <c r="AK713" i="7"/>
  <c r="AK697" i="7"/>
  <c r="AK689" i="7"/>
  <c r="AM718" i="7"/>
  <c r="AC686" i="7" s="1"/>
  <c r="AM702" i="7"/>
  <c r="AI710" i="7"/>
  <c r="AL702" i="7"/>
  <c r="AL694" i="7"/>
  <c r="AL718" i="7"/>
  <c r="AL710" i="7"/>
  <c r="AO710" i="7" s="1"/>
  <c r="AO686" i="7"/>
  <c r="AS686" i="7" s="1"/>
  <c r="AI709" i="7"/>
  <c r="AM681" i="7"/>
  <c r="AI693" i="7"/>
  <c r="AL704" i="7"/>
  <c r="AL720" i="7"/>
  <c r="AL696" i="7"/>
  <c r="AO696" i="7" s="1"/>
  <c r="AL712" i="7"/>
  <c r="AO688" i="7"/>
  <c r="AM703" i="7"/>
  <c r="AM719" i="7"/>
  <c r="AC687" i="7" s="1"/>
  <c r="AI690" i="7"/>
  <c r="J684" i="7"/>
  <c r="I685" i="7"/>
  <c r="AK690" i="7"/>
  <c r="AK706" i="7"/>
  <c r="AK698" i="7"/>
  <c r="AK714" i="7"/>
  <c r="AI695" i="7"/>
  <c r="AL699" i="7"/>
  <c r="AL715" i="7"/>
  <c r="AL691" i="7"/>
  <c r="AL707" i="7"/>
  <c r="AM711" i="7"/>
  <c r="AO711" i="7"/>
  <c r="AI696" i="7"/>
  <c r="F717" i="7"/>
  <c r="AM683" i="7"/>
  <c r="AO703" i="7"/>
  <c r="AO719" i="7"/>
  <c r="AD687" i="7" s="1"/>
  <c r="AM688" i="7"/>
  <c r="AK691" i="7"/>
  <c r="AK715" i="7"/>
  <c r="AK699" i="7"/>
  <c r="AK707" i="7"/>
  <c r="AO695" i="7"/>
  <c r="AM695" i="7"/>
  <c r="AJ714" i="7"/>
  <c r="AJ690" i="7"/>
  <c r="AJ706" i="7"/>
  <c r="AJ698" i="7"/>
  <c r="AO682" i="7"/>
  <c r="AM682" i="7"/>
  <c r="AI652" i="7"/>
  <c r="AM677" i="7"/>
  <c r="AC645" i="7" s="1"/>
  <c r="AM661" i="7"/>
  <c r="AI647" i="7"/>
  <c r="AM670" i="7"/>
  <c r="F665" i="7"/>
  <c r="F667" i="7"/>
  <c r="AO654" i="7"/>
  <c r="AM654" i="7"/>
  <c r="AI650" i="7"/>
  <c r="I642" i="7"/>
  <c r="J641" i="7"/>
  <c r="AI665" i="7"/>
  <c r="AJ665" i="7"/>
  <c r="AO641" i="7"/>
  <c r="AJ657" i="7"/>
  <c r="AJ649" i="7"/>
  <c r="AM641" i="7"/>
  <c r="AJ673" i="7"/>
  <c r="AO678" i="7"/>
  <c r="AD646" i="7" s="1"/>
  <c r="AO662" i="7"/>
  <c r="AJ666" i="7"/>
  <c r="AJ674" i="7"/>
  <c r="AJ658" i="7"/>
  <c r="AJ650" i="7"/>
  <c r="AO642" i="7"/>
  <c r="AM642" i="7"/>
  <c r="AL649" i="7"/>
  <c r="AL673" i="7"/>
  <c r="AL665" i="7"/>
  <c r="AL657" i="7"/>
  <c r="F664" i="7"/>
  <c r="AM653" i="7"/>
  <c r="AI668" i="7"/>
  <c r="AK657" i="7"/>
  <c r="AK649" i="7"/>
  <c r="AK673" i="7"/>
  <c r="AK665" i="7"/>
  <c r="AI648" i="7"/>
  <c r="AO669" i="7"/>
  <c r="AM669" i="7"/>
  <c r="AM667" i="7"/>
  <c r="AO667" i="7"/>
  <c r="AK672" i="7"/>
  <c r="AK664" i="7"/>
  <c r="AK656" i="7"/>
  <c r="AK648" i="7"/>
  <c r="AM640" i="7"/>
  <c r="AO597" i="7"/>
  <c r="AI611" i="7"/>
  <c r="AL633" i="7"/>
  <c r="AL609" i="7"/>
  <c r="AL617" i="7"/>
  <c r="AM601" i="7"/>
  <c r="AL625" i="7"/>
  <c r="AM625" i="7" s="1"/>
  <c r="AO601" i="7"/>
  <c r="AO610" i="7"/>
  <c r="AM610" i="7"/>
  <c r="AO612" i="7"/>
  <c r="AM612" i="7"/>
  <c r="F633" i="7"/>
  <c r="F623" i="7"/>
  <c r="AJ630" i="7"/>
  <c r="AO598" i="7"/>
  <c r="AJ614" i="7"/>
  <c r="AJ622" i="7"/>
  <c r="AJ606" i="7"/>
  <c r="AM598" i="7"/>
  <c r="AI627" i="7"/>
  <c r="AO636" i="7"/>
  <c r="AD604" i="7" s="1"/>
  <c r="AO620" i="7"/>
  <c r="AL624" i="7"/>
  <c r="AL616" i="7"/>
  <c r="AL632" i="7"/>
  <c r="AL608" i="7"/>
  <c r="AK613" i="7"/>
  <c r="AK621" i="7"/>
  <c r="AK629" i="7"/>
  <c r="AK605" i="7"/>
  <c r="AM597" i="7"/>
  <c r="AO628" i="7"/>
  <c r="AM628" i="7"/>
  <c r="AL611" i="7"/>
  <c r="AM611" i="7" s="1"/>
  <c r="AL627" i="7"/>
  <c r="AO627" i="7" s="1"/>
  <c r="AL619" i="7"/>
  <c r="AM603" i="7"/>
  <c r="AO603" i="7"/>
  <c r="AL635" i="7"/>
  <c r="AI624" i="7"/>
  <c r="AI622" i="7"/>
  <c r="G605" i="7"/>
  <c r="F629" i="7"/>
  <c r="AI621" i="7"/>
  <c r="I600" i="7"/>
  <c r="J599" i="7"/>
  <c r="AM620" i="7"/>
  <c r="AM636" i="7"/>
  <c r="AC604" i="7" s="1"/>
  <c r="AI609" i="7"/>
  <c r="AI565" i="7"/>
  <c r="AM586" i="7"/>
  <c r="AI583" i="7"/>
  <c r="AM577" i="7"/>
  <c r="AM593" i="7"/>
  <c r="AC561" i="7" s="1"/>
  <c r="AK571" i="7"/>
  <c r="AK579" i="7"/>
  <c r="AK587" i="7"/>
  <c r="AK563" i="7"/>
  <c r="AO577" i="7"/>
  <c r="AO593" i="7"/>
  <c r="AD561" i="7" s="1"/>
  <c r="AI566" i="7"/>
  <c r="AI580" i="7"/>
  <c r="AJ588" i="7"/>
  <c r="AO556" i="7"/>
  <c r="AJ564" i="7"/>
  <c r="AM556" i="7"/>
  <c r="AJ580" i="7"/>
  <c r="AJ572" i="7"/>
  <c r="AM555" i="7"/>
  <c r="AL582" i="7"/>
  <c r="AL574" i="7"/>
  <c r="AL590" i="7"/>
  <c r="AL566" i="7"/>
  <c r="AI586" i="7"/>
  <c r="AK566" i="7"/>
  <c r="AK582" i="7"/>
  <c r="AK574" i="7"/>
  <c r="AK590" i="7"/>
  <c r="AM585" i="7"/>
  <c r="AO585" i="7"/>
  <c r="AJ566" i="7"/>
  <c r="AM558" i="7"/>
  <c r="AJ582" i="7"/>
  <c r="AJ574" i="7"/>
  <c r="AJ590" i="7"/>
  <c r="AO558" i="7"/>
  <c r="AK588" i="7"/>
  <c r="AK564" i="7"/>
  <c r="AK580" i="7"/>
  <c r="AK572" i="7"/>
  <c r="AO555" i="7"/>
  <c r="AL573" i="7"/>
  <c r="AL565" i="7"/>
  <c r="AL589" i="7"/>
  <c r="AL581" i="7"/>
  <c r="F583" i="7"/>
  <c r="AO569" i="7"/>
  <c r="AL564" i="7"/>
  <c r="AL580" i="7"/>
  <c r="AL572" i="7"/>
  <c r="AL588" i="7"/>
  <c r="AO557" i="7"/>
  <c r="AK573" i="7"/>
  <c r="AK565" i="7"/>
  <c r="AK589" i="7"/>
  <c r="AK581" i="7"/>
  <c r="AM552" i="7"/>
  <c r="AC520" i="7" s="1"/>
  <c r="AM536" i="7"/>
  <c r="AM542" i="7"/>
  <c r="AO542" i="7"/>
  <c r="AI537" i="7"/>
  <c r="AO535" i="7"/>
  <c r="AO551" i="7"/>
  <c r="AD519" i="7" s="1"/>
  <c r="AK547" i="7"/>
  <c r="AK539" i="7"/>
  <c r="AK531" i="7"/>
  <c r="AK523" i="7"/>
  <c r="AK537" i="7"/>
  <c r="AK545" i="7"/>
  <c r="AK529" i="7"/>
  <c r="AK521" i="7"/>
  <c r="G521" i="7"/>
  <c r="F545" i="7"/>
  <c r="AL545" i="7"/>
  <c r="AL521" i="7"/>
  <c r="AL529" i="7"/>
  <c r="AL537" i="7"/>
  <c r="AM543" i="7"/>
  <c r="AO543" i="7"/>
  <c r="AJ524" i="7"/>
  <c r="AM516" i="7"/>
  <c r="AJ540" i="7"/>
  <c r="AJ532" i="7"/>
  <c r="AJ548" i="7"/>
  <c r="AO516" i="7"/>
  <c r="AI542" i="7"/>
  <c r="J516" i="7"/>
  <c r="I517" i="7"/>
  <c r="AI543" i="7"/>
  <c r="AI528" i="7"/>
  <c r="AI540" i="7"/>
  <c r="AL540" i="7"/>
  <c r="AL532" i="7"/>
  <c r="AL548" i="7"/>
  <c r="AL524" i="7"/>
  <c r="AI541" i="7"/>
  <c r="AJ529" i="7"/>
  <c r="AJ537" i="7"/>
  <c r="AJ545" i="7"/>
  <c r="AO513" i="7"/>
  <c r="AM513" i="7"/>
  <c r="AJ521" i="7"/>
  <c r="AO520" i="7"/>
  <c r="AS520" i="7" s="1"/>
  <c r="AK540" i="7"/>
  <c r="AK532" i="7"/>
  <c r="AK548" i="7"/>
  <c r="AK524" i="7"/>
  <c r="AL531" i="7"/>
  <c r="AL539" i="7"/>
  <c r="AL547" i="7"/>
  <c r="AL523" i="7"/>
  <c r="AJ523" i="7"/>
  <c r="AM515" i="7"/>
  <c r="AJ539" i="7"/>
  <c r="AO515" i="7"/>
  <c r="AJ547" i="7"/>
  <c r="AJ531" i="7"/>
  <c r="AI524" i="7"/>
  <c r="AI525" i="7"/>
  <c r="F540" i="7"/>
  <c r="AL536" i="7"/>
  <c r="AL552" i="7"/>
  <c r="AL528" i="7"/>
  <c r="AM528" i="7" s="1"/>
  <c r="AL544" i="7"/>
  <c r="AI522" i="7"/>
  <c r="F541" i="7"/>
  <c r="AO500" i="7"/>
  <c r="AM500" i="7"/>
  <c r="AI482" i="7"/>
  <c r="AI480" i="7"/>
  <c r="AO478" i="7"/>
  <c r="AK489" i="7"/>
  <c r="AK481" i="7"/>
  <c r="AK505" i="7"/>
  <c r="AK497" i="7"/>
  <c r="AI495" i="7"/>
  <c r="AL481" i="7"/>
  <c r="AL505" i="7"/>
  <c r="AL497" i="7"/>
  <c r="AL489" i="7"/>
  <c r="F501" i="7"/>
  <c r="F499" i="7"/>
  <c r="I474" i="7"/>
  <c r="J473" i="7"/>
  <c r="AI499" i="7"/>
  <c r="AI500" i="7"/>
  <c r="AO492" i="7"/>
  <c r="AO508" i="7"/>
  <c r="AD476" i="7" s="1"/>
  <c r="AJ479" i="7"/>
  <c r="AJ495" i="7"/>
  <c r="AJ503" i="7"/>
  <c r="AO471" i="7"/>
  <c r="AM471" i="7"/>
  <c r="AJ487" i="7"/>
  <c r="AL494" i="7"/>
  <c r="AL510" i="7"/>
  <c r="AL502" i="7"/>
  <c r="AL486" i="7"/>
  <c r="AO486" i="7" s="1"/>
  <c r="AI497" i="7"/>
  <c r="F503" i="7"/>
  <c r="G479" i="7"/>
  <c r="AI502" i="7"/>
  <c r="AJ498" i="7"/>
  <c r="AJ506" i="7"/>
  <c r="AJ490" i="7"/>
  <c r="AO474" i="7"/>
  <c r="AM474" i="7"/>
  <c r="AJ482" i="7"/>
  <c r="AJ497" i="7"/>
  <c r="AJ489" i="7"/>
  <c r="AJ481" i="7"/>
  <c r="AM473" i="7"/>
  <c r="AJ505" i="7"/>
  <c r="AO473" i="7"/>
  <c r="AI496" i="7"/>
  <c r="AM478" i="7"/>
  <c r="AO459" i="7"/>
  <c r="AM459" i="7"/>
  <c r="AI458" i="7"/>
  <c r="AK447" i="7"/>
  <c r="AK439" i="7"/>
  <c r="AK463" i="7"/>
  <c r="AK455" i="7"/>
  <c r="AJ455" i="7"/>
  <c r="AO431" i="7"/>
  <c r="AJ447" i="7"/>
  <c r="AJ439" i="7"/>
  <c r="AJ463" i="7"/>
  <c r="AM431" i="7"/>
  <c r="AI442" i="7"/>
  <c r="AM457" i="7"/>
  <c r="AO457" i="7"/>
  <c r="AO468" i="7"/>
  <c r="AD436" i="7" s="1"/>
  <c r="AO452" i="7"/>
  <c r="AI443" i="7"/>
  <c r="AI438" i="7"/>
  <c r="AI455" i="7"/>
  <c r="G461" i="7"/>
  <c r="F453" i="7"/>
  <c r="G453" i="7" s="1"/>
  <c r="AL453" i="7"/>
  <c r="AL437" i="7"/>
  <c r="AL445" i="7"/>
  <c r="AL461" i="7"/>
  <c r="AM429" i="7"/>
  <c r="F454" i="7"/>
  <c r="AJ456" i="7"/>
  <c r="AJ464" i="7"/>
  <c r="AJ440" i="7"/>
  <c r="AO432" i="7"/>
  <c r="AM432" i="7"/>
  <c r="AJ448" i="7"/>
  <c r="AI457" i="7"/>
  <c r="AM467" i="7"/>
  <c r="AC435" i="7" s="1"/>
  <c r="AM451" i="7"/>
  <c r="AI440" i="7"/>
  <c r="AI437" i="7"/>
  <c r="F457" i="7"/>
  <c r="F455" i="7"/>
  <c r="AO429" i="7"/>
  <c r="AO1080" i="7"/>
  <c r="AO324" i="7"/>
  <c r="AO911" i="7"/>
  <c r="AO997" i="7"/>
  <c r="AO1207" i="7"/>
  <c r="AO366" i="7"/>
  <c r="AO1039" i="7"/>
  <c r="AO418" i="7"/>
  <c r="AO1156" i="7"/>
  <c r="AO291" i="7"/>
  <c r="AO1200" i="7"/>
  <c r="AO1079" i="7"/>
  <c r="AO368" i="7"/>
  <c r="AO410" i="7"/>
  <c r="AO1124" i="7"/>
  <c r="AO912" i="7"/>
  <c r="AO954" i="7"/>
  <c r="AO1174" i="7"/>
  <c r="AO284" i="7"/>
  <c r="AO1248" i="7"/>
  <c r="AO282" i="7"/>
  <c r="AO1038" i="7"/>
  <c r="AO1088" i="7"/>
  <c r="AO1249" i="7"/>
  <c r="AO342" i="7"/>
  <c r="AD310" i="7" s="1"/>
  <c r="AO906" i="7"/>
  <c r="AO289" i="7"/>
  <c r="AO376" i="7"/>
  <c r="AO367" i="7"/>
  <c r="AO415" i="7"/>
  <c r="AO275" i="7"/>
  <c r="AO283" i="7"/>
  <c r="AO408" i="7"/>
  <c r="AO913" i="7"/>
  <c r="AO1239" i="7"/>
  <c r="AO325" i="7"/>
  <c r="AO1031" i="7"/>
  <c r="AO240" i="7"/>
  <c r="AO1171" i="7"/>
  <c r="AO1216" i="7"/>
  <c r="AM922" i="7"/>
  <c r="AO409" i="7"/>
  <c r="AO956" i="7"/>
  <c r="AO1247" i="7"/>
  <c r="AO920" i="7"/>
  <c r="AO862" i="7"/>
  <c r="AO333" i="7"/>
  <c r="AO274" i="7"/>
  <c r="AO416" i="7"/>
  <c r="AO1045" i="7"/>
  <c r="AO232" i="7"/>
  <c r="AO273" i="7"/>
  <c r="AO357" i="7"/>
  <c r="AO1157" i="7"/>
  <c r="AO921" i="7"/>
  <c r="AO417" i="7"/>
  <c r="AO871" i="7"/>
  <c r="AO998" i="7"/>
  <c r="AO1122" i="7"/>
  <c r="AO1172" i="7"/>
  <c r="AO400" i="7"/>
  <c r="AO248" i="7"/>
  <c r="AO1032" i="7"/>
  <c r="AO292" i="7"/>
  <c r="AO1173" i="7"/>
  <c r="AO1073" i="7"/>
  <c r="AO905" i="7"/>
  <c r="AO401" i="7"/>
  <c r="AO870" i="7"/>
  <c r="AO1121" i="7"/>
  <c r="AO1114" i="7"/>
  <c r="AO1046" i="7"/>
  <c r="AO878" i="7"/>
  <c r="AO375" i="7"/>
  <c r="AO869" i="7"/>
  <c r="AO996" i="7"/>
  <c r="AO1165" i="7"/>
  <c r="AO964" i="7"/>
  <c r="AO1089" i="7"/>
  <c r="AO423" i="7"/>
  <c r="AD391" i="7" s="1"/>
  <c r="AO407" i="7"/>
  <c r="AO1056" i="7"/>
  <c r="AD1024" i="7" s="1"/>
  <c r="AO1040" i="7"/>
  <c r="AO1241" i="7"/>
  <c r="AO1199" i="7"/>
  <c r="AO1242" i="7"/>
  <c r="AO399" i="7"/>
  <c r="AO987" i="7"/>
  <c r="AO316" i="7"/>
  <c r="AO1257" i="7"/>
  <c r="AO1132" i="7"/>
  <c r="AO1048" i="7"/>
  <c r="AO315" i="7"/>
  <c r="AO234" i="7"/>
  <c r="AJ158" i="7"/>
  <c r="AO989" i="7"/>
  <c r="AO1164" i="7"/>
  <c r="AO1221" i="7"/>
  <c r="AD1189" i="7" s="1"/>
  <c r="AO1205" i="7"/>
  <c r="AO1255" i="7"/>
  <c r="AO1129" i="7"/>
  <c r="AO1116" i="7"/>
  <c r="AO373" i="7"/>
  <c r="AO381" i="7"/>
  <c r="AD349" i="7" s="1"/>
  <c r="AO365" i="7"/>
  <c r="AO1030" i="7"/>
  <c r="AO946" i="7"/>
  <c r="AO359" i="7"/>
  <c r="AM234" i="7"/>
  <c r="AO1258" i="7"/>
  <c r="AO1155" i="7"/>
  <c r="AO1071" i="7"/>
  <c r="AO332" i="7"/>
  <c r="AO1215" i="7"/>
  <c r="AO360" i="7"/>
  <c r="AO318" i="7"/>
  <c r="AO250" i="7"/>
  <c r="AJ174" i="7"/>
  <c r="AO1005" i="7"/>
  <c r="AO317" i="7"/>
  <c r="AO331" i="7"/>
  <c r="AO242" i="7"/>
  <c r="AO281" i="7"/>
  <c r="AO872" i="7"/>
  <c r="AO1163" i="7"/>
  <c r="AO1053" i="7"/>
  <c r="AD1021" i="7" s="1"/>
  <c r="AO1037" i="7"/>
  <c r="AO1266" i="7"/>
  <c r="AD1234" i="7" s="1"/>
  <c r="AO1250" i="7"/>
  <c r="AO914" i="7"/>
  <c r="AO930" i="7"/>
  <c r="AD898" i="7" s="1"/>
  <c r="AO903" i="7"/>
  <c r="AO1130" i="7"/>
  <c r="AO1087" i="7"/>
  <c r="AO919" i="7"/>
  <c r="AJ172" i="7"/>
  <c r="AJ130" i="7"/>
  <c r="AO990" i="7"/>
  <c r="AO922" i="7"/>
  <c r="AO1240" i="7"/>
  <c r="AO402" i="7"/>
  <c r="AO334" i="7"/>
  <c r="AO1131" i="7"/>
  <c r="AO1047" i="7"/>
  <c r="AO947" i="7"/>
  <c r="AO863" i="7"/>
  <c r="AO1214" i="7"/>
  <c r="AJ114" i="7"/>
  <c r="AO239" i="7"/>
  <c r="AO955" i="7"/>
  <c r="AO969" i="7"/>
  <c r="AD937" i="7" s="1"/>
  <c r="AO953" i="7"/>
  <c r="AO1166" i="7"/>
  <c r="AO1182" i="7"/>
  <c r="AD1150" i="7" s="1"/>
  <c r="AM962" i="7"/>
  <c r="AO962" i="7"/>
  <c r="AO1003" i="7"/>
  <c r="AO1115" i="7"/>
  <c r="AO1198" i="7"/>
  <c r="AO1072" i="7"/>
  <c r="AO988" i="7"/>
  <c r="AO904" i="7"/>
  <c r="AO233" i="7"/>
  <c r="AJ157" i="7"/>
  <c r="AO1213" i="7"/>
  <c r="AO945" i="7"/>
  <c r="AO877" i="7"/>
  <c r="AO374" i="7"/>
  <c r="AO290" i="7"/>
  <c r="AO1090" i="7"/>
  <c r="AO1006" i="7"/>
  <c r="AO880" i="7"/>
  <c r="AO231" i="7"/>
  <c r="AO1256" i="7"/>
  <c r="AO276" i="7"/>
  <c r="AO963" i="7"/>
  <c r="AO1197" i="7"/>
  <c r="AO1074" i="7"/>
  <c r="AO879" i="7"/>
  <c r="AO1011" i="7"/>
  <c r="AD979" i="7" s="1"/>
  <c r="AO995" i="7"/>
  <c r="AO1208" i="7"/>
  <c r="AO1224" i="7"/>
  <c r="AD1192" i="7" s="1"/>
  <c r="AO1004" i="7"/>
  <c r="AO249" i="7"/>
  <c r="AJ155" i="7"/>
  <c r="AO1158" i="7"/>
  <c r="AO1113" i="7"/>
  <c r="AO1029" i="7"/>
  <c r="AO961" i="7"/>
  <c r="AO861" i="7"/>
  <c r="AO358" i="7"/>
  <c r="AO948" i="7"/>
  <c r="AO864" i="7"/>
  <c r="AO247" i="7"/>
  <c r="AO323" i="7"/>
  <c r="AO1081" i="7"/>
  <c r="AO1206" i="7"/>
  <c r="AO1098" i="7"/>
  <c r="AD1066" i="7" s="1"/>
  <c r="AO1082" i="7"/>
  <c r="AO1139" i="7"/>
  <c r="AD1107" i="7" s="1"/>
  <c r="AO1123" i="7"/>
  <c r="AO257" i="7"/>
  <c r="AD225" i="7" s="1"/>
  <c r="AO241" i="7"/>
  <c r="AM1255" i="7"/>
  <c r="AM946" i="7"/>
  <c r="AM400" i="7"/>
  <c r="AM1130" i="7"/>
  <c r="AM906" i="7"/>
  <c r="AI874" i="7"/>
  <c r="AI1083" i="7"/>
  <c r="AI1027" i="7"/>
  <c r="AI1025" i="7"/>
  <c r="AI1235" i="7"/>
  <c r="AI1109" i="7"/>
  <c r="AI411" i="7"/>
  <c r="AI1043" i="7"/>
  <c r="AM878" i="7"/>
  <c r="AM1172" i="7"/>
  <c r="AM360" i="7"/>
  <c r="AM1048" i="7"/>
  <c r="AI244" i="7"/>
  <c r="AI1110" i="7"/>
  <c r="AI899" i="7"/>
  <c r="AI857" i="7"/>
  <c r="AI327" i="7"/>
  <c r="AI875" i="7"/>
  <c r="AI313" i="7"/>
  <c r="AM904" i="7"/>
  <c r="AM1174" i="7"/>
  <c r="AI876" i="7"/>
  <c r="AI312" i="7"/>
  <c r="AM1032" i="7"/>
  <c r="AM334" i="7"/>
  <c r="AI1069" i="7"/>
  <c r="AM399" i="7"/>
  <c r="AI311" i="7"/>
  <c r="AI1084" i="7"/>
  <c r="AM1156" i="7"/>
  <c r="AM316" i="7"/>
  <c r="AI271" i="7"/>
  <c r="AI1238" i="7"/>
  <c r="AI1252" i="7"/>
  <c r="AI1168" i="7"/>
  <c r="AI396" i="7"/>
  <c r="AI228" i="7"/>
  <c r="AM418" i="7"/>
  <c r="AM920" i="7"/>
  <c r="AI1254" i="7"/>
  <c r="AI1044" i="7"/>
  <c r="AI902" i="7"/>
  <c r="AI288" i="7"/>
  <c r="AI328" i="7"/>
  <c r="AI1195" i="7"/>
  <c r="AI985" i="7"/>
  <c r="AM1258" i="7"/>
  <c r="AM1116" i="7"/>
  <c r="AM415" i="7"/>
  <c r="AI1128" i="7"/>
  <c r="AM864" i="7"/>
  <c r="AM1239" i="7"/>
  <c r="AM233" i="7"/>
  <c r="AI1028" i="7"/>
  <c r="AI412" i="7"/>
  <c r="AM331" i="7"/>
  <c r="AI915" i="7"/>
  <c r="AM318" i="7"/>
  <c r="AI1237" i="7"/>
  <c r="AI1085" i="7"/>
  <c r="AI371" i="7"/>
  <c r="AM1256" i="7"/>
  <c r="AM1242" i="7"/>
  <c r="AM1199" i="7"/>
  <c r="AM1216" i="7"/>
  <c r="AM1200" i="7"/>
  <c r="AM1198" i="7"/>
  <c r="AM1158" i="7"/>
  <c r="AM1132" i="7"/>
  <c r="AM1129" i="7"/>
  <c r="AM1072" i="7"/>
  <c r="AM905" i="7"/>
  <c r="AM862" i="7"/>
  <c r="AM358" i="7"/>
  <c r="AM250" i="7"/>
  <c r="AM290" i="7"/>
  <c r="AM232" i="7"/>
  <c r="AM231" i="7"/>
  <c r="AD351" i="7"/>
  <c r="AD1190" i="7"/>
  <c r="AD1149" i="7"/>
  <c r="AM1088" i="7"/>
  <c r="AD267" i="7"/>
  <c r="AM972" i="7"/>
  <c r="AC940" i="7" s="1"/>
  <c r="AM956" i="7"/>
  <c r="AM1096" i="7"/>
  <c r="AC1064" i="7" s="1"/>
  <c r="AM1080" i="7"/>
  <c r="AD1147" i="7"/>
  <c r="AM1053" i="7"/>
  <c r="AC1021" i="7" s="1"/>
  <c r="AM1037" i="7"/>
  <c r="AM381" i="7"/>
  <c r="AC349" i="7" s="1"/>
  <c r="AM365" i="7"/>
  <c r="AD940" i="7"/>
  <c r="AD1108" i="7"/>
  <c r="AM1081" i="7"/>
  <c r="AM1097" i="7"/>
  <c r="AC1065" i="7" s="1"/>
  <c r="AD352" i="7"/>
  <c r="AM1046" i="7"/>
  <c r="AM274" i="7"/>
  <c r="AM990" i="7"/>
  <c r="AM987" i="7"/>
  <c r="AI1154" i="7"/>
  <c r="AI1070" i="7"/>
  <c r="AI944" i="7"/>
  <c r="AI918" i="7"/>
  <c r="AM1241" i="7"/>
  <c r="AM948" i="7"/>
  <c r="AM376" i="7"/>
  <c r="AM247" i="7"/>
  <c r="AI1251" i="7"/>
  <c r="AI1125" i="7"/>
  <c r="AI1067" i="7"/>
  <c r="AI329" i="7"/>
  <c r="AM1157" i="7"/>
  <c r="AM921" i="7"/>
  <c r="AM417" i="7"/>
  <c r="AI1253" i="7"/>
  <c r="AI1153" i="7"/>
  <c r="AI901" i="7"/>
  <c r="AI355" i="7"/>
  <c r="AM1163" i="7"/>
  <c r="AM1179" i="7"/>
  <c r="AC1147" i="7" s="1"/>
  <c r="AD1191" i="7"/>
  <c r="AD1022" i="7"/>
  <c r="AJ132" i="7"/>
  <c r="AM248" i="7"/>
  <c r="AM1155" i="7"/>
  <c r="AM357" i="7"/>
  <c r="AI1126" i="7"/>
  <c r="AM1165" i="7"/>
  <c r="AM1181" i="7"/>
  <c r="AC1149" i="7" s="1"/>
  <c r="AM1173" i="7"/>
  <c r="AM255" i="7"/>
  <c r="AC223" i="7" s="1"/>
  <c r="AM239" i="7"/>
  <c r="AD265" i="7"/>
  <c r="AM423" i="7"/>
  <c r="AC391" i="7" s="1"/>
  <c r="AM407" i="7"/>
  <c r="AM930" i="7"/>
  <c r="AC898" i="7" s="1"/>
  <c r="AM914" i="7"/>
  <c r="AM1013" i="7"/>
  <c r="AC981" i="7" s="1"/>
  <c r="AM997" i="7"/>
  <c r="AD1063" i="7"/>
  <c r="AM1223" i="7"/>
  <c r="AC1191" i="7" s="1"/>
  <c r="AM1207" i="7"/>
  <c r="AM410" i="7"/>
  <c r="AM426" i="7"/>
  <c r="AC394" i="7" s="1"/>
  <c r="AD981" i="7"/>
  <c r="AM1224" i="7"/>
  <c r="AC1192" i="7" s="1"/>
  <c r="AM1208" i="7"/>
  <c r="AD1106" i="7"/>
  <c r="AD982" i="7"/>
  <c r="AM872" i="7"/>
  <c r="AM416" i="7"/>
  <c r="AM1214" i="7"/>
  <c r="AM1197" i="7"/>
  <c r="AM359" i="7"/>
  <c r="AM291" i="7"/>
  <c r="AI246" i="7"/>
  <c r="AM1071" i="7"/>
  <c r="AM1171" i="7"/>
  <c r="AM1003" i="7"/>
  <c r="AM903" i="7"/>
  <c r="AI356" i="7"/>
  <c r="AI314" i="7"/>
  <c r="AI858" i="7"/>
  <c r="AM402" i="7"/>
  <c r="AM373" i="7"/>
  <c r="AI1236" i="7"/>
  <c r="AI1194" i="7"/>
  <c r="AI1152" i="7"/>
  <c r="AI1000" i="7"/>
  <c r="AI942" i="7"/>
  <c r="AI900" i="7"/>
  <c r="AI1151" i="7"/>
  <c r="AI983" i="7"/>
  <c r="AI957" i="7"/>
  <c r="AI873" i="7"/>
  <c r="AD224" i="7"/>
  <c r="AI1111" i="7"/>
  <c r="AI859" i="7"/>
  <c r="AM989" i="7"/>
  <c r="AI413" i="7"/>
  <c r="AI1001" i="7"/>
  <c r="AM284" i="7"/>
  <c r="AM300" i="7"/>
  <c r="AC268" i="7" s="1"/>
  <c r="AM955" i="7"/>
  <c r="AM971" i="7"/>
  <c r="AC939" i="7" s="1"/>
  <c r="AM256" i="7"/>
  <c r="AC224" i="7" s="1"/>
  <c r="AM240" i="7"/>
  <c r="AM333" i="7"/>
  <c r="AD393" i="7"/>
  <c r="AD895" i="7"/>
  <c r="AM1056" i="7"/>
  <c r="AC1024" i="7" s="1"/>
  <c r="AM1040" i="7"/>
  <c r="AM964" i="7"/>
  <c r="AM367" i="7"/>
  <c r="AM383" i="7"/>
  <c r="AC351" i="7" s="1"/>
  <c r="AD309" i="7"/>
  <c r="AM1098" i="7"/>
  <c r="AC1066" i="7" s="1"/>
  <c r="AM1082" i="7"/>
  <c r="AM1221" i="7"/>
  <c r="AC1189" i="7" s="1"/>
  <c r="AM1205" i="7"/>
  <c r="AM1114" i="7"/>
  <c r="AI230" i="7"/>
  <c r="AM919" i="7"/>
  <c r="AI960" i="7"/>
  <c r="AI398" i="7"/>
  <c r="AI372" i="7"/>
  <c r="AI330" i="7"/>
  <c r="AM315" i="7"/>
  <c r="AI1210" i="7"/>
  <c r="AI1068" i="7"/>
  <c r="AI1026" i="7"/>
  <c r="AM1073" i="7"/>
  <c r="AM1180" i="7"/>
  <c r="AC1148" i="7" s="1"/>
  <c r="AM1164" i="7"/>
  <c r="AJ131" i="7"/>
  <c r="AM1005" i="7"/>
  <c r="AI917" i="7"/>
  <c r="AM1206" i="7"/>
  <c r="AM1222" i="7"/>
  <c r="AC1190" i="7" s="1"/>
  <c r="AM375" i="7"/>
  <c r="AM1215" i="7"/>
  <c r="AD226" i="7"/>
  <c r="AD897" i="7"/>
  <c r="AD1233" i="7"/>
  <c r="AD1232" i="7"/>
  <c r="AM928" i="7"/>
  <c r="AC896" i="7" s="1"/>
  <c r="AM912" i="7"/>
  <c r="AM1011" i="7"/>
  <c r="AC979" i="7" s="1"/>
  <c r="AM995" i="7"/>
  <c r="AM342" i="7"/>
  <c r="AC310" i="7" s="1"/>
  <c r="AM326" i="7"/>
  <c r="AM1014" i="7"/>
  <c r="AC982" i="7" s="1"/>
  <c r="AM998" i="7"/>
  <c r="AM424" i="7"/>
  <c r="AC392" i="7" s="1"/>
  <c r="AM408" i="7"/>
  <c r="AM341" i="7"/>
  <c r="AC309" i="7" s="1"/>
  <c r="AM325" i="7"/>
  <c r="AM913" i="7"/>
  <c r="AM929" i="7"/>
  <c r="AC897" i="7" s="1"/>
  <c r="AM1054" i="7"/>
  <c r="AC1022" i="7" s="1"/>
  <c r="AM1038" i="7"/>
  <c r="AM1265" i="7"/>
  <c r="AC1233" i="7" s="1"/>
  <c r="AM1249" i="7"/>
  <c r="AM298" i="7"/>
  <c r="AC266" i="7" s="1"/>
  <c r="AM282" i="7"/>
  <c r="AD1064" i="7"/>
  <c r="AM1140" i="7"/>
  <c r="AC1108" i="7" s="1"/>
  <c r="AM1124" i="7"/>
  <c r="AD350" i="7"/>
  <c r="AM953" i="7"/>
  <c r="AM969" i="7"/>
  <c r="AC937" i="7" s="1"/>
  <c r="AM258" i="7"/>
  <c r="AC226" i="7" s="1"/>
  <c r="AM242" i="7"/>
  <c r="AM374" i="7"/>
  <c r="AM1030" i="7"/>
  <c r="AM1240" i="7"/>
  <c r="AM1087" i="7"/>
  <c r="AM945" i="7"/>
  <c r="AM877" i="7"/>
  <c r="AM885" i="7" s="1"/>
  <c r="AC853" i="7" s="1"/>
  <c r="AI1112" i="7"/>
  <c r="AI1086" i="7"/>
  <c r="AI986" i="7"/>
  <c r="AI370" i="7"/>
  <c r="AI1042" i="7"/>
  <c r="AI916" i="7"/>
  <c r="AI270" i="7"/>
  <c r="AI1193" i="7"/>
  <c r="AI1167" i="7"/>
  <c r="AI999" i="7"/>
  <c r="AI227" i="7"/>
  <c r="AM275" i="7"/>
  <c r="AI1211" i="7"/>
  <c r="AI959" i="7"/>
  <c r="AI287" i="7"/>
  <c r="AJ115" i="7"/>
  <c r="AM1115" i="7"/>
  <c r="AM1031" i="7"/>
  <c r="AM879" i="7"/>
  <c r="AM887" i="7" s="1"/>
  <c r="AC855" i="7" s="1"/>
  <c r="AI397" i="7"/>
  <c r="AM1166" i="7"/>
  <c r="AM1182" i="7"/>
  <c r="AC1150" i="7" s="1"/>
  <c r="AD980" i="7"/>
  <c r="AM1213" i="7"/>
  <c r="AD1065" i="7"/>
  <c r="AM324" i="7"/>
  <c r="AM340" i="7"/>
  <c r="AC308" i="7" s="1"/>
  <c r="AM1006" i="7"/>
  <c r="AM425" i="7"/>
  <c r="AC393" i="7" s="1"/>
  <c r="AM409" i="7"/>
  <c r="AD392" i="7"/>
  <c r="AM257" i="7"/>
  <c r="AC225" i="7" s="1"/>
  <c r="AM241" i="7"/>
  <c r="AD307" i="7"/>
  <c r="AD394" i="7"/>
  <c r="AM954" i="7"/>
  <c r="AM970" i="7"/>
  <c r="AC938" i="7" s="1"/>
  <c r="AD1023" i="7"/>
  <c r="AD1105" i="7"/>
  <c r="AD1231" i="7"/>
  <c r="AM927" i="7"/>
  <c r="AC895" i="7" s="1"/>
  <c r="AM911" i="7"/>
  <c r="AM1138" i="7"/>
  <c r="AC1106" i="7" s="1"/>
  <c r="AM1122" i="7"/>
  <c r="AD1148" i="7"/>
  <c r="AM297" i="7"/>
  <c r="AC265" i="7" s="1"/>
  <c r="AM281" i="7"/>
  <c r="AM339" i="7"/>
  <c r="AC307" i="7" s="1"/>
  <c r="AM323" i="7"/>
  <c r="AM1266" i="7"/>
  <c r="AC1234" i="7" s="1"/>
  <c r="AM1250" i="7"/>
  <c r="AM1137" i="7"/>
  <c r="AC1105" i="7" s="1"/>
  <c r="AM1121" i="7"/>
  <c r="AM1090" i="7"/>
  <c r="AM1113" i="7"/>
  <c r="AM1029" i="7"/>
  <c r="AM961" i="7"/>
  <c r="AM861" i="7"/>
  <c r="AM869" i="7" s="1"/>
  <c r="AI1196" i="7"/>
  <c r="AI1170" i="7"/>
  <c r="AI1002" i="7"/>
  <c r="AI272" i="7"/>
  <c r="AI353" i="7"/>
  <c r="AM1074" i="7"/>
  <c r="AM289" i="7"/>
  <c r="AI958" i="7"/>
  <c r="AI286" i="7"/>
  <c r="AI1209" i="7"/>
  <c r="AI1041" i="7"/>
  <c r="AI941" i="7"/>
  <c r="AI395" i="7"/>
  <c r="AI369" i="7"/>
  <c r="AI243" i="7"/>
  <c r="AM401" i="7"/>
  <c r="AI1127" i="7"/>
  <c r="AI943" i="7"/>
  <c r="AM1131" i="7"/>
  <c r="AM1047" i="7"/>
  <c r="AM947" i="7"/>
  <c r="AM863" i="7"/>
  <c r="AM871" i="7" s="1"/>
  <c r="AD266" i="7"/>
  <c r="AM988" i="7"/>
  <c r="AM317" i="7"/>
  <c r="AI229" i="7"/>
  <c r="AM273" i="7"/>
  <c r="AM1012" i="7"/>
  <c r="AC980" i="7" s="1"/>
  <c r="AM996" i="7"/>
  <c r="AM299" i="7"/>
  <c r="AC267" i="7" s="1"/>
  <c r="AM283" i="7"/>
  <c r="AD308" i="7"/>
  <c r="AM382" i="7"/>
  <c r="AC350" i="7" s="1"/>
  <c r="AM366" i="7"/>
  <c r="AM1257" i="7"/>
  <c r="AI984" i="7"/>
  <c r="AI354" i="7"/>
  <c r="AD223" i="7"/>
  <c r="AM384" i="7"/>
  <c r="AC352" i="7" s="1"/>
  <c r="AM368" i="7"/>
  <c r="AM886" i="7"/>
  <c r="AC854" i="7" s="1"/>
  <c r="AM870" i="7"/>
  <c r="AD939" i="7"/>
  <c r="AM1055" i="7"/>
  <c r="AC1023" i="7" s="1"/>
  <c r="AM1039" i="7"/>
  <c r="AM1139" i="7"/>
  <c r="AC1107" i="7" s="1"/>
  <c r="AM1123" i="7"/>
  <c r="AM1263" i="7"/>
  <c r="AC1231" i="7" s="1"/>
  <c r="AM1247" i="7"/>
  <c r="AD268" i="7"/>
  <c r="AM1095" i="7"/>
  <c r="AC1063" i="7" s="1"/>
  <c r="AM1079" i="7"/>
  <c r="AD938" i="7"/>
  <c r="AM1264" i="7"/>
  <c r="AC1232" i="7" s="1"/>
  <c r="AM1248" i="7"/>
  <c r="AM292" i="7"/>
  <c r="AM332" i="7"/>
  <c r="AM880" i="7"/>
  <c r="AM888" i="7" s="1"/>
  <c r="AC856" i="7" s="1"/>
  <c r="AM249" i="7"/>
  <c r="AI285" i="7"/>
  <c r="AM1045" i="7"/>
  <c r="AI1212" i="7"/>
  <c r="AI860" i="7"/>
  <c r="AI414" i="7"/>
  <c r="AM1089" i="7"/>
  <c r="AI269" i="7"/>
  <c r="AM276" i="7"/>
  <c r="AM963" i="7"/>
  <c r="AD896" i="7"/>
  <c r="AM1004" i="7"/>
  <c r="AI1169" i="7"/>
  <c r="AI245" i="7"/>
  <c r="AO443" i="7" l="1"/>
  <c r="AM458" i="7"/>
  <c r="AM441" i="7"/>
  <c r="AP441" i="7"/>
  <c r="AM759" i="7"/>
  <c r="AC727" i="7" s="1"/>
  <c r="AO446" i="7"/>
  <c r="AO576" i="7"/>
  <c r="AN654" i="7"/>
  <c r="AO751" i="7"/>
  <c r="AS751" i="7" s="1"/>
  <c r="AM659" i="7"/>
  <c r="G797" i="7"/>
  <c r="AO465" i="7"/>
  <c r="AD433" i="7" s="1"/>
  <c r="AS433" i="7"/>
  <c r="G713" i="7"/>
  <c r="AO583" i="7"/>
  <c r="AS583" i="7" s="1"/>
  <c r="AN607" i="7"/>
  <c r="AM466" i="7"/>
  <c r="AC434" i="7" s="1"/>
  <c r="AO534" i="7"/>
  <c r="AS434" i="7"/>
  <c r="AO794" i="7"/>
  <c r="AS794" i="7" s="1"/>
  <c r="AM437" i="7"/>
  <c r="AM509" i="7"/>
  <c r="AC477" i="7" s="1"/>
  <c r="AM551" i="7"/>
  <c r="AC519" i="7" s="1"/>
  <c r="AN605" i="7"/>
  <c r="AM480" i="7"/>
  <c r="AO584" i="7"/>
  <c r="AS584" i="7" s="1"/>
  <c r="AS432" i="7"/>
  <c r="AN439" i="7"/>
  <c r="AP773" i="7"/>
  <c r="AM592" i="7"/>
  <c r="AC560" i="7" s="1"/>
  <c r="AM465" i="7"/>
  <c r="AC433" i="7" s="1"/>
  <c r="J560" i="7"/>
  <c r="AS681" i="7"/>
  <c r="AO626" i="7"/>
  <c r="AS626" i="7" s="1"/>
  <c r="AM449" i="7"/>
  <c r="AP581" i="7"/>
  <c r="AO460" i="7"/>
  <c r="AS460" i="7" s="1"/>
  <c r="AS430" i="7"/>
  <c r="AN610" i="7"/>
  <c r="AP817" i="7"/>
  <c r="AM568" i="7"/>
  <c r="AS568" i="7" s="1"/>
  <c r="AS560" i="7"/>
  <c r="AS682" i="7"/>
  <c r="AM786" i="7"/>
  <c r="AM462" i="7"/>
  <c r="AC430" i="7" s="1"/>
  <c r="AM546" i="7"/>
  <c r="AC514" i="7" s="1"/>
  <c r="AM446" i="7"/>
  <c r="AO563" i="7"/>
  <c r="AS603" i="7"/>
  <c r="AO527" i="7"/>
  <c r="AS527" i="7" s="1"/>
  <c r="AS431" i="7"/>
  <c r="AO708" i="7"/>
  <c r="AM501" i="7"/>
  <c r="AS501" i="7" s="1"/>
  <c r="AP569" i="7"/>
  <c r="AS723" i="7"/>
  <c r="AM535" i="7"/>
  <c r="AS599" i="7"/>
  <c r="AM632" i="7"/>
  <c r="AC600" i="7" s="1"/>
  <c r="AN454" i="7"/>
  <c r="AO480" i="7"/>
  <c r="AP498" i="7"/>
  <c r="AM534" i="7"/>
  <c r="AP570" i="7"/>
  <c r="AS642" i="7"/>
  <c r="AO676" i="7"/>
  <c r="AD644" i="7" s="1"/>
  <c r="AO759" i="7"/>
  <c r="AD727" i="7" s="1"/>
  <c r="AP779" i="7"/>
  <c r="AO803" i="7"/>
  <c r="AD771" i="7" s="1"/>
  <c r="AO631" i="7"/>
  <c r="AD599" i="7" s="1"/>
  <c r="AM717" i="7"/>
  <c r="AC685" i="7" s="1"/>
  <c r="AM708" i="7"/>
  <c r="AM442" i="7"/>
  <c r="AS442" i="7" s="1"/>
  <c r="AS569" i="7"/>
  <c r="AO591" i="7"/>
  <c r="AD559" i="7" s="1"/>
  <c r="AS556" i="7"/>
  <c r="AN579" i="7"/>
  <c r="AS598" i="7"/>
  <c r="AS653" i="7"/>
  <c r="AP793" i="7"/>
  <c r="AS558" i="7"/>
  <c r="AP460" i="7"/>
  <c r="AN521" i="7"/>
  <c r="AO634" i="7"/>
  <c r="AD602" i="7" s="1"/>
  <c r="AS640" i="7"/>
  <c r="AM496" i="7"/>
  <c r="AS559" i="7"/>
  <c r="AO660" i="7"/>
  <c r="AN653" i="7"/>
  <c r="AM483" i="7"/>
  <c r="AS483" i="7" s="1"/>
  <c r="AS515" i="7"/>
  <c r="AS473" i="7"/>
  <c r="AM618" i="7"/>
  <c r="AS601" i="7"/>
  <c r="AN831" i="7"/>
  <c r="AO668" i="7"/>
  <c r="AS668" i="7" s="1"/>
  <c r="AS516" i="7"/>
  <c r="AO579" i="7"/>
  <c r="AM652" i="7"/>
  <c r="AS652" i="7" s="1"/>
  <c r="AS641" i="7"/>
  <c r="AS726" i="7"/>
  <c r="AN833" i="7"/>
  <c r="AS478" i="7"/>
  <c r="AS471" i="7"/>
  <c r="AS555" i="7"/>
  <c r="AS429" i="7"/>
  <c r="AS688" i="7"/>
  <c r="AS768" i="7"/>
  <c r="H13" i="4"/>
  <c r="F13" i="4"/>
  <c r="D13" i="4"/>
  <c r="AS474" i="7"/>
  <c r="AS513" i="7"/>
  <c r="I142" i="4"/>
  <c r="I140" i="4"/>
  <c r="AO485" i="7"/>
  <c r="AS485" i="7" s="1"/>
  <c r="AN834" i="7"/>
  <c r="AS518" i="7"/>
  <c r="AS475" i="7"/>
  <c r="AM499" i="7"/>
  <c r="AS499" i="7" s="1"/>
  <c r="AS597" i="7"/>
  <c r="AS724" i="7"/>
  <c r="AO802" i="7"/>
  <c r="AD770" i="7" s="1"/>
  <c r="AS600" i="7"/>
  <c r="AS767" i="7"/>
  <c r="AP501" i="7"/>
  <c r="AM526" i="7"/>
  <c r="AS526" i="7" s="1"/>
  <c r="AN663" i="7"/>
  <c r="AS765" i="7"/>
  <c r="AO647" i="7"/>
  <c r="AS639" i="7"/>
  <c r="AO692" i="7"/>
  <c r="AM621" i="7"/>
  <c r="AS814" i="7"/>
  <c r="AO607" i="7"/>
  <c r="AO538" i="7"/>
  <c r="AS454" i="7"/>
  <c r="AN664" i="7"/>
  <c r="AS725" i="7"/>
  <c r="AP837" i="7"/>
  <c r="AS810" i="7"/>
  <c r="AS602" i="7"/>
  <c r="F579" i="7"/>
  <c r="G579" i="7" s="1"/>
  <c r="AS770" i="7"/>
  <c r="AM575" i="7"/>
  <c r="AN750" i="7"/>
  <c r="AS808" i="7"/>
  <c r="AS643" i="7"/>
  <c r="AM493" i="7"/>
  <c r="AS684" i="7"/>
  <c r="AN484" i="7"/>
  <c r="AM491" i="7"/>
  <c r="AM608" i="7"/>
  <c r="AN692" i="7"/>
  <c r="AO795" i="7"/>
  <c r="AS795" i="7" s="1"/>
  <c r="AO623" i="7"/>
  <c r="AS807" i="7"/>
  <c r="AS685" i="7"/>
  <c r="AS557" i="7"/>
  <c r="AS771" i="7"/>
  <c r="J433" i="7"/>
  <c r="AN456" i="7"/>
  <c r="AP483" i="7"/>
  <c r="AM507" i="7"/>
  <c r="AC475" i="7" s="1"/>
  <c r="AO525" i="7"/>
  <c r="AS525" i="7" s="1"/>
  <c r="AS811" i="7"/>
  <c r="AN444" i="7"/>
  <c r="AP523" i="7"/>
  <c r="AP670" i="7"/>
  <c r="AO651" i="7"/>
  <c r="AS651" i="7" s="1"/>
  <c r="AS727" i="7"/>
  <c r="AM825" i="7"/>
  <c r="AS809" i="7"/>
  <c r="AM785" i="7"/>
  <c r="AS769" i="7"/>
  <c r="AM453" i="7"/>
  <c r="AM541" i="7"/>
  <c r="AS541" i="7" s="1"/>
  <c r="AM655" i="7"/>
  <c r="AS683" i="7"/>
  <c r="AN792" i="7"/>
  <c r="AP584" i="7"/>
  <c r="AS766" i="7"/>
  <c r="AS514" i="7"/>
  <c r="AN608" i="7"/>
  <c r="AP626" i="7"/>
  <c r="AM671" i="7"/>
  <c r="AC639" i="7" s="1"/>
  <c r="AO831" i="7"/>
  <c r="AM692" i="7"/>
  <c r="AS472" i="7"/>
  <c r="AO632" i="7"/>
  <c r="AD600" i="7" s="1"/>
  <c r="AO715" i="7"/>
  <c r="AD683" i="7" s="1"/>
  <c r="AO530" i="7"/>
  <c r="AN625" i="7"/>
  <c r="AM841" i="7"/>
  <c r="AC809" i="7" s="1"/>
  <c r="AS570" i="7"/>
  <c r="AP669" i="7"/>
  <c r="AN778" i="7"/>
  <c r="AO825" i="7"/>
  <c r="AN479" i="7"/>
  <c r="AM778" i="7"/>
  <c r="AS778" i="7" s="1"/>
  <c r="AO836" i="7"/>
  <c r="AS836" i="7" s="1"/>
  <c r="AN481" i="7"/>
  <c r="AP527" i="7"/>
  <c r="AM565" i="7"/>
  <c r="AP694" i="7"/>
  <c r="AM438" i="7"/>
  <c r="AP538" i="7"/>
  <c r="AN527" i="7"/>
  <c r="AN563" i="7"/>
  <c r="AM607" i="7"/>
  <c r="AM709" i="7"/>
  <c r="AS709" i="7" s="1"/>
  <c r="AP623" i="7"/>
  <c r="AO522" i="7"/>
  <c r="AN486" i="7"/>
  <c r="AP564" i="7"/>
  <c r="AO567" i="7"/>
  <c r="AS567" i="7" s="1"/>
  <c r="AM647" i="7"/>
  <c r="AM700" i="7"/>
  <c r="AP747" i="7"/>
  <c r="AP822" i="7"/>
  <c r="AP754" i="7"/>
  <c r="AM823" i="7"/>
  <c r="AO672" i="7"/>
  <c r="AD640" i="7" s="1"/>
  <c r="AP738" i="7"/>
  <c r="AO713" i="7"/>
  <c r="AD681" i="7" s="1"/>
  <c r="AN712" i="7"/>
  <c r="AM835" i="7"/>
  <c r="AS835" i="7" s="1"/>
  <c r="AS837" i="7"/>
  <c r="AM790" i="7"/>
  <c r="AM444" i="7"/>
  <c r="AS444" i="7" s="1"/>
  <c r="AP649" i="7"/>
  <c r="AM827" i="7"/>
  <c r="AM623" i="7"/>
  <c r="AM504" i="7"/>
  <c r="AC472" i="7" s="1"/>
  <c r="AS670" i="7"/>
  <c r="AO717" i="7"/>
  <c r="AD685" i="7" s="1"/>
  <c r="AN705" i="7"/>
  <c r="AS484" i="7"/>
  <c r="AO624" i="7"/>
  <c r="AN667" i="7"/>
  <c r="AS779" i="7"/>
  <c r="AM803" i="7"/>
  <c r="AC771" i="7" s="1"/>
  <c r="AS754" i="7"/>
  <c r="AN749" i="7"/>
  <c r="AM538" i="7"/>
  <c r="AO798" i="7"/>
  <c r="AD766" i="7" s="1"/>
  <c r="AP819" i="7"/>
  <c r="AO496" i="7"/>
  <c r="AM705" i="7"/>
  <c r="AO735" i="7"/>
  <c r="AS735" i="7" s="1"/>
  <c r="AP539" i="7"/>
  <c r="AN711" i="7"/>
  <c r="AO815" i="7"/>
  <c r="AO663" i="7"/>
  <c r="AM522" i="7"/>
  <c r="AP567" i="7"/>
  <c r="AP612" i="7"/>
  <c r="AN733" i="7"/>
  <c r="AP753" i="7"/>
  <c r="AS737" i="7"/>
  <c r="AN737" i="7"/>
  <c r="AO438" i="7"/>
  <c r="AN459" i="7"/>
  <c r="AN568" i="7"/>
  <c r="AP706" i="7"/>
  <c r="AO790" i="7"/>
  <c r="AM774" i="7"/>
  <c r="AO675" i="7"/>
  <c r="AD643" i="7" s="1"/>
  <c r="AO659" i="7"/>
  <c r="AN453" i="7"/>
  <c r="AO488" i="7"/>
  <c r="AO693" i="7"/>
  <c r="AS693" i="7" s="1"/>
  <c r="AP735" i="7"/>
  <c r="AO755" i="7"/>
  <c r="AD723" i="7" s="1"/>
  <c r="AS654" i="7"/>
  <c r="AS441" i="7"/>
  <c r="AS610" i="7"/>
  <c r="AM663" i="7"/>
  <c r="F712" i="7"/>
  <c r="AP544" i="7"/>
  <c r="F538" i="7"/>
  <c r="AM589" i="7"/>
  <c r="AC557" i="7" s="1"/>
  <c r="AO689" i="7"/>
  <c r="AN821" i="7"/>
  <c r="AP585" i="7"/>
  <c r="AN666" i="7"/>
  <c r="AO700" i="7"/>
  <c r="AS738" i="7"/>
  <c r="AM815" i="7"/>
  <c r="AO608" i="7"/>
  <c r="AO528" i="7"/>
  <c r="AS528" i="7" s="1"/>
  <c r="AS711" i="7"/>
  <c r="AM696" i="7"/>
  <c r="AS696" i="7" s="1"/>
  <c r="AM533" i="7"/>
  <c r="AM549" i="7"/>
  <c r="AC517" i="7" s="1"/>
  <c r="AO839" i="7"/>
  <c r="AD807" i="7" s="1"/>
  <c r="AN526" i="7"/>
  <c r="AN628" i="7"/>
  <c r="AP651" i="7"/>
  <c r="AM691" i="7"/>
  <c r="AN708" i="7"/>
  <c r="AS753" i="7"/>
  <c r="AO491" i="7"/>
  <c r="AO507" i="7"/>
  <c r="AD475" i="7" s="1"/>
  <c r="AS669" i="7"/>
  <c r="AM731" i="7"/>
  <c r="AM747" i="7"/>
  <c r="AM468" i="7"/>
  <c r="AC436" i="7" s="1"/>
  <c r="AM631" i="7"/>
  <c r="AC599" i="7" s="1"/>
  <c r="AM624" i="7"/>
  <c r="AN606" i="7"/>
  <c r="AO655" i="7"/>
  <c r="AO705" i="7"/>
  <c r="AO731" i="7"/>
  <c r="AO747" i="7"/>
  <c r="AS821" i="7"/>
  <c r="AM828" i="7"/>
  <c r="AM844" i="7"/>
  <c r="AC812" i="7" s="1"/>
  <c r="F498" i="7"/>
  <c r="AM452" i="7"/>
  <c r="AM615" i="7"/>
  <c r="AS667" i="7"/>
  <c r="F669" i="7"/>
  <c r="F708" i="7"/>
  <c r="F836" i="7"/>
  <c r="F580" i="7"/>
  <c r="F748" i="7"/>
  <c r="AO437" i="7"/>
  <c r="AS459" i="7"/>
  <c r="AN485" i="7"/>
  <c r="AS585" i="7"/>
  <c r="AN707" i="7"/>
  <c r="AO838" i="7"/>
  <c r="AS838" i="7" s="1"/>
  <c r="F626" i="7"/>
  <c r="F543" i="7"/>
  <c r="F500" i="7"/>
  <c r="F456" i="7"/>
  <c r="AM563" i="7"/>
  <c r="AN582" i="7"/>
  <c r="AS628" i="7"/>
  <c r="AS612" i="7"/>
  <c r="AM793" i="7"/>
  <c r="AS793" i="7" s="1"/>
  <c r="AO451" i="7"/>
  <c r="AO467" i="7"/>
  <c r="AD435" i="7" s="1"/>
  <c r="AO565" i="7"/>
  <c r="AN689" i="7"/>
  <c r="AO691" i="7"/>
  <c r="AO774" i="7"/>
  <c r="AO819" i="7"/>
  <c r="AS819" i="7" s="1"/>
  <c r="F628" i="7"/>
  <c r="AM579" i="7"/>
  <c r="AO796" i="7"/>
  <c r="AS796" i="7" s="1"/>
  <c r="AO777" i="7"/>
  <c r="AS777" i="7" s="1"/>
  <c r="AO780" i="7"/>
  <c r="AS780" i="7" s="1"/>
  <c r="F502" i="7"/>
  <c r="F460" i="7"/>
  <c r="F622" i="7"/>
  <c r="AM820" i="7"/>
  <c r="AS820" i="7" s="1"/>
  <c r="AP815" i="7"/>
  <c r="AN815" i="7"/>
  <c r="AO833" i="7"/>
  <c r="AM833" i="7"/>
  <c r="AP820" i="7"/>
  <c r="AN820" i="7"/>
  <c r="AM834" i="7"/>
  <c r="AO834" i="7"/>
  <c r="AP816" i="7"/>
  <c r="AN816" i="7"/>
  <c r="AM830" i="7"/>
  <c r="AM846" i="7"/>
  <c r="AC814" i="7" s="1"/>
  <c r="AM826" i="7"/>
  <c r="AM842" i="7"/>
  <c r="AC810" i="7" s="1"/>
  <c r="AP836" i="7"/>
  <c r="AN836" i="7"/>
  <c r="AM831" i="7"/>
  <c r="AO818" i="7"/>
  <c r="AM818" i="7"/>
  <c r="AO832" i="7"/>
  <c r="AM832" i="7"/>
  <c r="AM817" i="7"/>
  <c r="AO822" i="7"/>
  <c r="AM822" i="7"/>
  <c r="I812" i="7"/>
  <c r="J811" i="7"/>
  <c r="AM824" i="7"/>
  <c r="AM840" i="7"/>
  <c r="AC808" i="7" s="1"/>
  <c r="AP835" i="7"/>
  <c r="AN835" i="7"/>
  <c r="AN832" i="7"/>
  <c r="AP832" i="7"/>
  <c r="AO817" i="7"/>
  <c r="AM816" i="7"/>
  <c r="AO816" i="7"/>
  <c r="AO846" i="7"/>
  <c r="AD814" i="7" s="1"/>
  <c r="AO830" i="7"/>
  <c r="AO842" i="7"/>
  <c r="AD810" i="7" s="1"/>
  <c r="AO826" i="7"/>
  <c r="AP818" i="7"/>
  <c r="AN818" i="7"/>
  <c r="AO824" i="7"/>
  <c r="AO840" i="7"/>
  <c r="AD808" i="7" s="1"/>
  <c r="G839" i="7"/>
  <c r="F831" i="7"/>
  <c r="G831" i="7" s="1"/>
  <c r="AP838" i="7"/>
  <c r="AN838" i="7"/>
  <c r="AO791" i="7"/>
  <c r="AM791" i="7"/>
  <c r="AO789" i="7"/>
  <c r="AM789" i="7"/>
  <c r="AN780" i="7"/>
  <c r="AP780" i="7"/>
  <c r="AP777" i="7"/>
  <c r="AN777" i="7"/>
  <c r="AO783" i="7"/>
  <c r="AO799" i="7"/>
  <c r="AD767" i="7" s="1"/>
  <c r="AP795" i="7"/>
  <c r="AN795" i="7"/>
  <c r="AO800" i="7"/>
  <c r="AD768" i="7" s="1"/>
  <c r="AO784" i="7"/>
  <c r="J769" i="7"/>
  <c r="I770" i="7"/>
  <c r="F793" i="7"/>
  <c r="AP774" i="7"/>
  <c r="AN774" i="7"/>
  <c r="AO775" i="7"/>
  <c r="AM775" i="7"/>
  <c r="AO773" i="7"/>
  <c r="AM773" i="7"/>
  <c r="AM783" i="7"/>
  <c r="AM799" i="7"/>
  <c r="AC767" i="7" s="1"/>
  <c r="AP796" i="7"/>
  <c r="AN796" i="7"/>
  <c r="AN775" i="7"/>
  <c r="AP775" i="7"/>
  <c r="AN789" i="7"/>
  <c r="AP789" i="7"/>
  <c r="AO792" i="7"/>
  <c r="AM792" i="7"/>
  <c r="AM781" i="7"/>
  <c r="AM797" i="7"/>
  <c r="AC765" i="7" s="1"/>
  <c r="AP776" i="7"/>
  <c r="AN776" i="7"/>
  <c r="AP794" i="7"/>
  <c r="AN794" i="7"/>
  <c r="AM800" i="7"/>
  <c r="AC768" i="7" s="1"/>
  <c r="AM784" i="7"/>
  <c r="AM798" i="7"/>
  <c r="AC766" i="7" s="1"/>
  <c r="AM782" i="7"/>
  <c r="AO781" i="7"/>
  <c r="AO797" i="7"/>
  <c r="AD765" i="7" s="1"/>
  <c r="AN790" i="7"/>
  <c r="AP790" i="7"/>
  <c r="AP791" i="7"/>
  <c r="AN791" i="7"/>
  <c r="AO804" i="7"/>
  <c r="AD772" i="7" s="1"/>
  <c r="AO788" i="7"/>
  <c r="AM776" i="7"/>
  <c r="AO776" i="7"/>
  <c r="AS752" i="7"/>
  <c r="AP752" i="7"/>
  <c r="AN752" i="7"/>
  <c r="AO741" i="7"/>
  <c r="AO757" i="7"/>
  <c r="AD725" i="7" s="1"/>
  <c r="AO740" i="7"/>
  <c r="AO756" i="7"/>
  <c r="AD724" i="7" s="1"/>
  <c r="AM742" i="7"/>
  <c r="AM758" i="7"/>
  <c r="AC726" i="7" s="1"/>
  <c r="AO734" i="7"/>
  <c r="AM734" i="7"/>
  <c r="AP732" i="7"/>
  <c r="AN732" i="7"/>
  <c r="AM733" i="7"/>
  <c r="AO733" i="7"/>
  <c r="AM741" i="7"/>
  <c r="AM757" i="7"/>
  <c r="AC725" i="7" s="1"/>
  <c r="AN748" i="7"/>
  <c r="AP748" i="7"/>
  <c r="AO758" i="7"/>
  <c r="AD726" i="7" s="1"/>
  <c r="AO742" i="7"/>
  <c r="I728" i="7"/>
  <c r="J727" i="7"/>
  <c r="AO748" i="7"/>
  <c r="AM748" i="7"/>
  <c r="AP734" i="7"/>
  <c r="AN734" i="7"/>
  <c r="AP751" i="7"/>
  <c r="AN751" i="7"/>
  <c r="AO749" i="7"/>
  <c r="AM749" i="7"/>
  <c r="AP731" i="7"/>
  <c r="AN731" i="7"/>
  <c r="AM740" i="7"/>
  <c r="AM756" i="7"/>
  <c r="AC724" i="7" s="1"/>
  <c r="G755" i="7"/>
  <c r="F747" i="7"/>
  <c r="G747" i="7" s="1"/>
  <c r="AP736" i="7"/>
  <c r="AN736" i="7"/>
  <c r="AS736" i="7"/>
  <c r="AM732" i="7"/>
  <c r="AO732" i="7"/>
  <c r="AM750" i="7"/>
  <c r="AO750" i="7"/>
  <c r="AM755" i="7"/>
  <c r="AC723" i="7" s="1"/>
  <c r="AM739" i="7"/>
  <c r="AM712" i="7"/>
  <c r="AO712" i="7"/>
  <c r="AM714" i="7"/>
  <c r="AC682" i="7" s="1"/>
  <c r="AM698" i="7"/>
  <c r="AM713" i="7"/>
  <c r="AC681" i="7" s="1"/>
  <c r="AM697" i="7"/>
  <c r="AM689" i="7"/>
  <c r="F709" i="7"/>
  <c r="AS695" i="7"/>
  <c r="AP695" i="7"/>
  <c r="AN695" i="7"/>
  <c r="AO698" i="7"/>
  <c r="AO714" i="7"/>
  <c r="AD682" i="7" s="1"/>
  <c r="AO707" i="7"/>
  <c r="AM707" i="7"/>
  <c r="AN709" i="7"/>
  <c r="AP709" i="7"/>
  <c r="AO720" i="7"/>
  <c r="AD688" i="7" s="1"/>
  <c r="AO704" i="7"/>
  <c r="AN696" i="7"/>
  <c r="AP696" i="7"/>
  <c r="AP690" i="7"/>
  <c r="AN690" i="7"/>
  <c r="AO702" i="7"/>
  <c r="AO718" i="7"/>
  <c r="AD686" i="7" s="1"/>
  <c r="AM710" i="7"/>
  <c r="AS710" i="7" s="1"/>
  <c r="AM706" i="7"/>
  <c r="AO706" i="7"/>
  <c r="AP693" i="7"/>
  <c r="AN693" i="7"/>
  <c r="AN691" i="7"/>
  <c r="AP691" i="7"/>
  <c r="AO690" i="7"/>
  <c r="AM690" i="7"/>
  <c r="AP710" i="7"/>
  <c r="AN710" i="7"/>
  <c r="AM720" i="7"/>
  <c r="AC688" i="7" s="1"/>
  <c r="AM704" i="7"/>
  <c r="AM699" i="7"/>
  <c r="AM715" i="7"/>
  <c r="AC683" i="7" s="1"/>
  <c r="J685" i="7"/>
  <c r="I686" i="7"/>
  <c r="AO694" i="7"/>
  <c r="AM694" i="7"/>
  <c r="AM658" i="7"/>
  <c r="AM674" i="7"/>
  <c r="AC642" i="7" s="1"/>
  <c r="AP652" i="7"/>
  <c r="AN652" i="7"/>
  <c r="AM656" i="7"/>
  <c r="AM672" i="7"/>
  <c r="AC640" i="7" s="1"/>
  <c r="AO658" i="7"/>
  <c r="AO674" i="7"/>
  <c r="AD642" i="7" s="1"/>
  <c r="AM648" i="7"/>
  <c r="AO648" i="7"/>
  <c r="AP668" i="7"/>
  <c r="AN668" i="7"/>
  <c r="AN665" i="7"/>
  <c r="AP665" i="7"/>
  <c r="AP648" i="7"/>
  <c r="AN648" i="7"/>
  <c r="AM664" i="7"/>
  <c r="AO664" i="7"/>
  <c r="AM673" i="7"/>
  <c r="AC641" i="7" s="1"/>
  <c r="AM657" i="7"/>
  <c r="AM666" i="7"/>
  <c r="AO666" i="7"/>
  <c r="AO649" i="7"/>
  <c r="AM649" i="7"/>
  <c r="I643" i="7"/>
  <c r="J642" i="7"/>
  <c r="AN647" i="7"/>
  <c r="AP647" i="7"/>
  <c r="AO650" i="7"/>
  <c r="AM650" i="7"/>
  <c r="AO665" i="7"/>
  <c r="AM665" i="7"/>
  <c r="AO673" i="7"/>
  <c r="AD641" i="7" s="1"/>
  <c r="AO657" i="7"/>
  <c r="AN650" i="7"/>
  <c r="AP650" i="7"/>
  <c r="AN622" i="7"/>
  <c r="AP622" i="7"/>
  <c r="AM619" i="7"/>
  <c r="AM635" i="7"/>
  <c r="AC603" i="7" s="1"/>
  <c r="AO625" i="7"/>
  <c r="AS625" i="7" s="1"/>
  <c r="AO621" i="7"/>
  <c r="AN611" i="7"/>
  <c r="AP611" i="7"/>
  <c r="AO619" i="7"/>
  <c r="AO635" i="7"/>
  <c r="AD603" i="7" s="1"/>
  <c r="AN627" i="7"/>
  <c r="AP627" i="7"/>
  <c r="AO614" i="7"/>
  <c r="AO630" i="7"/>
  <c r="AD598" i="7" s="1"/>
  <c r="AM629" i="7"/>
  <c r="AC597" i="7" s="1"/>
  <c r="AM613" i="7"/>
  <c r="AO633" i="7"/>
  <c r="AD601" i="7" s="1"/>
  <c r="AO617" i="7"/>
  <c r="AM627" i="7"/>
  <c r="AS627" i="7" s="1"/>
  <c r="AN609" i="7"/>
  <c r="AP609" i="7"/>
  <c r="I601" i="7"/>
  <c r="J600" i="7"/>
  <c r="AO605" i="7"/>
  <c r="AM605" i="7"/>
  <c r="AM630" i="7"/>
  <c r="AC598" i="7" s="1"/>
  <c r="AM614" i="7"/>
  <c r="AO629" i="7"/>
  <c r="AD597" i="7" s="1"/>
  <c r="AO613" i="7"/>
  <c r="AM606" i="7"/>
  <c r="AO606" i="7"/>
  <c r="AO611" i="7"/>
  <c r="AS611" i="7" s="1"/>
  <c r="F625" i="7"/>
  <c r="AM633" i="7"/>
  <c r="AC601" i="7" s="1"/>
  <c r="AM617" i="7"/>
  <c r="AN621" i="7"/>
  <c r="AP621" i="7"/>
  <c r="AN624" i="7"/>
  <c r="AP624" i="7"/>
  <c r="AO622" i="7"/>
  <c r="AM622" i="7"/>
  <c r="F621" i="7"/>
  <c r="G621" i="7" s="1"/>
  <c r="G629" i="7"/>
  <c r="AM609" i="7"/>
  <c r="AO609" i="7"/>
  <c r="AP565" i="7"/>
  <c r="AN565" i="7"/>
  <c r="AM572" i="7"/>
  <c r="AM588" i="7"/>
  <c r="AC556" i="7" s="1"/>
  <c r="AO580" i="7"/>
  <c r="AM580" i="7"/>
  <c r="AP583" i="7"/>
  <c r="AN583" i="7"/>
  <c r="AO571" i="7"/>
  <c r="AO587" i="7"/>
  <c r="AD555" i="7" s="1"/>
  <c r="AM582" i="7"/>
  <c r="AO582" i="7"/>
  <c r="AM564" i="7"/>
  <c r="AO564" i="7"/>
  <c r="AM574" i="7"/>
  <c r="AM590" i="7"/>
  <c r="AC558" i="7" s="1"/>
  <c r="AO572" i="7"/>
  <c r="AO588" i="7"/>
  <c r="AD556" i="7" s="1"/>
  <c r="AO566" i="7"/>
  <c r="AM566" i="7"/>
  <c r="I562" i="7"/>
  <c r="J561" i="7"/>
  <c r="AN580" i="7"/>
  <c r="AP580" i="7"/>
  <c r="AO573" i="7"/>
  <c r="AO589" i="7"/>
  <c r="AD557" i="7" s="1"/>
  <c r="AM587" i="7"/>
  <c r="AC555" i="7" s="1"/>
  <c r="AM571" i="7"/>
  <c r="AP566" i="7"/>
  <c r="AN566" i="7"/>
  <c r="AM581" i="7"/>
  <c r="AO581" i="7"/>
  <c r="AO590" i="7"/>
  <c r="AD558" i="7" s="1"/>
  <c r="AO574" i="7"/>
  <c r="AP586" i="7"/>
  <c r="AN586" i="7"/>
  <c r="AS586" i="7"/>
  <c r="AO539" i="7"/>
  <c r="AM539" i="7"/>
  <c r="AO545" i="7"/>
  <c r="AD513" i="7" s="1"/>
  <c r="AO529" i="7"/>
  <c r="AP543" i="7"/>
  <c r="AS543" i="7"/>
  <c r="AN543" i="7"/>
  <c r="AM544" i="7"/>
  <c r="AO523" i="7"/>
  <c r="AM523" i="7"/>
  <c r="AO537" i="7"/>
  <c r="AM537" i="7"/>
  <c r="AP525" i="7"/>
  <c r="AN525" i="7"/>
  <c r="AO540" i="7"/>
  <c r="AM540" i="7"/>
  <c r="AO521" i="7"/>
  <c r="AM521" i="7"/>
  <c r="AM548" i="7"/>
  <c r="AC516" i="7" s="1"/>
  <c r="AM532" i="7"/>
  <c r="AO544" i="7"/>
  <c r="AP540" i="7"/>
  <c r="AN540" i="7"/>
  <c r="AP522" i="7"/>
  <c r="AN522" i="7"/>
  <c r="AP524" i="7"/>
  <c r="AN524" i="7"/>
  <c r="AN541" i="7"/>
  <c r="AP541" i="7"/>
  <c r="AO552" i="7"/>
  <c r="AD520" i="7" s="1"/>
  <c r="AO536" i="7"/>
  <c r="I518" i="7"/>
  <c r="J517" i="7"/>
  <c r="AM524" i="7"/>
  <c r="AO524" i="7"/>
  <c r="F537" i="7"/>
  <c r="G537" i="7" s="1"/>
  <c r="G545" i="7"/>
  <c r="AN537" i="7"/>
  <c r="AP537" i="7"/>
  <c r="AO531" i="7"/>
  <c r="AO547" i="7"/>
  <c r="AD515" i="7" s="1"/>
  <c r="AM529" i="7"/>
  <c r="AM545" i="7"/>
  <c r="AC513" i="7" s="1"/>
  <c r="AN528" i="7"/>
  <c r="AP528" i="7"/>
  <c r="AS542" i="7"/>
  <c r="AP542" i="7"/>
  <c r="AN542" i="7"/>
  <c r="AO548" i="7"/>
  <c r="AD516" i="7" s="1"/>
  <c r="AO532" i="7"/>
  <c r="AM531" i="7"/>
  <c r="AM547" i="7"/>
  <c r="AC515" i="7" s="1"/>
  <c r="AM489" i="7"/>
  <c r="AM505" i="7"/>
  <c r="AC473" i="7" s="1"/>
  <c r="AO510" i="7"/>
  <c r="AD478" i="7" s="1"/>
  <c r="AO494" i="7"/>
  <c r="AO481" i="7"/>
  <c r="AM481" i="7"/>
  <c r="AM498" i="7"/>
  <c r="AO498" i="7"/>
  <c r="AP499" i="7"/>
  <c r="AN499" i="7"/>
  <c r="AP502" i="7"/>
  <c r="AN502" i="7"/>
  <c r="G503" i="7"/>
  <c r="F495" i="7"/>
  <c r="G495" i="7" s="1"/>
  <c r="AO502" i="7"/>
  <c r="AM502" i="7"/>
  <c r="AP480" i="7"/>
  <c r="AN480" i="7"/>
  <c r="AO497" i="7"/>
  <c r="AM497" i="7"/>
  <c r="AM503" i="7"/>
  <c r="AC471" i="7" s="1"/>
  <c r="AM487" i="7"/>
  <c r="AN482" i="7"/>
  <c r="AP482" i="7"/>
  <c r="AM479" i="7"/>
  <c r="AO479" i="7"/>
  <c r="AM494" i="7"/>
  <c r="AM510" i="7"/>
  <c r="AC478" i="7" s="1"/>
  <c r="AO482" i="7"/>
  <c r="AM482" i="7"/>
  <c r="AO487" i="7"/>
  <c r="AO503" i="7"/>
  <c r="AD471" i="7" s="1"/>
  <c r="AS500" i="7"/>
  <c r="AP500" i="7"/>
  <c r="AN500" i="7"/>
  <c r="AM490" i="7"/>
  <c r="AM506" i="7"/>
  <c r="AC474" i="7" s="1"/>
  <c r="AM486" i="7"/>
  <c r="AS486" i="7" s="1"/>
  <c r="I475" i="7"/>
  <c r="J474" i="7"/>
  <c r="AN496" i="7"/>
  <c r="AP496" i="7"/>
  <c r="AO505" i="7"/>
  <c r="AD473" i="7" s="1"/>
  <c r="AO489" i="7"/>
  <c r="AO506" i="7"/>
  <c r="AD474" i="7" s="1"/>
  <c r="AO490" i="7"/>
  <c r="AP497" i="7"/>
  <c r="AN497" i="7"/>
  <c r="AO495" i="7"/>
  <c r="AM495" i="7"/>
  <c r="AP495" i="7"/>
  <c r="AN495" i="7"/>
  <c r="AO439" i="7"/>
  <c r="AM439" i="7"/>
  <c r="AO440" i="7"/>
  <c r="AM440" i="7"/>
  <c r="AO448" i="7"/>
  <c r="AO464" i="7"/>
  <c r="AD432" i="7" s="1"/>
  <c r="AO463" i="7"/>
  <c r="AD431" i="7" s="1"/>
  <c r="AO447" i="7"/>
  <c r="AP458" i="7"/>
  <c r="AN458" i="7"/>
  <c r="AS458" i="7"/>
  <c r="AN437" i="7"/>
  <c r="AP437" i="7"/>
  <c r="AP457" i="7"/>
  <c r="AS457" i="7"/>
  <c r="AN457" i="7"/>
  <c r="AM456" i="7"/>
  <c r="AO456" i="7"/>
  <c r="AO455" i="7"/>
  <c r="AM455" i="7"/>
  <c r="AN440" i="7"/>
  <c r="AP440" i="7"/>
  <c r="AN455" i="7"/>
  <c r="AP455" i="7"/>
  <c r="AP438" i="7"/>
  <c r="AN438" i="7"/>
  <c r="AP442" i="7"/>
  <c r="AN442" i="7"/>
  <c r="AO445" i="7"/>
  <c r="AO461" i="7"/>
  <c r="AD429" i="7" s="1"/>
  <c r="AM461" i="7"/>
  <c r="AC429" i="7" s="1"/>
  <c r="AM445" i="7"/>
  <c r="AP443" i="7"/>
  <c r="AN443" i="7"/>
  <c r="AS443" i="7"/>
  <c r="AM463" i="7"/>
  <c r="AC431" i="7" s="1"/>
  <c r="AM447" i="7"/>
  <c r="I435" i="7"/>
  <c r="J434" i="7"/>
  <c r="AO453" i="7"/>
  <c r="AM448" i="7"/>
  <c r="AM464" i="7"/>
  <c r="AC432" i="7" s="1"/>
  <c r="AP984" i="7"/>
  <c r="AN984" i="7"/>
  <c r="AN958" i="7"/>
  <c r="AP958" i="7"/>
  <c r="AP1253" i="7"/>
  <c r="AN1253" i="7"/>
  <c r="AN1086" i="7"/>
  <c r="AP1086" i="7"/>
  <c r="AP398" i="7"/>
  <c r="AN398" i="7"/>
  <c r="AP1152" i="7"/>
  <c r="AN1152" i="7"/>
  <c r="AP369" i="7"/>
  <c r="AN369" i="7"/>
  <c r="AP1167" i="7"/>
  <c r="AN1167" i="7"/>
  <c r="AP1112" i="7"/>
  <c r="AN1112" i="7"/>
  <c r="AP960" i="7"/>
  <c r="AN960" i="7"/>
  <c r="AN1194" i="7"/>
  <c r="AP1194" i="7"/>
  <c r="AP985" i="7"/>
  <c r="AN985" i="7"/>
  <c r="AP1252" i="7"/>
  <c r="AN1252" i="7"/>
  <c r="AP311" i="7"/>
  <c r="AN311" i="7"/>
  <c r="AN1043" i="7"/>
  <c r="AP1043" i="7"/>
  <c r="AN372" i="7"/>
  <c r="AP372" i="7"/>
  <c r="AP1000" i="7"/>
  <c r="AN1000" i="7"/>
  <c r="AP1069" i="7"/>
  <c r="AN1069" i="7"/>
  <c r="AN1027" i="7"/>
  <c r="AP1027" i="7"/>
  <c r="AN999" i="7"/>
  <c r="AP999" i="7"/>
  <c r="AP1237" i="7"/>
  <c r="AN1237" i="7"/>
  <c r="AN1168" i="7"/>
  <c r="AP1168" i="7"/>
  <c r="AP313" i="7"/>
  <c r="AN313" i="7"/>
  <c r="AP1083" i="7"/>
  <c r="AN1083" i="7"/>
  <c r="AP245" i="7"/>
  <c r="AN245" i="7"/>
  <c r="AP414" i="7"/>
  <c r="AN414" i="7"/>
  <c r="AN395" i="7"/>
  <c r="AP395" i="7"/>
  <c r="AP353" i="7"/>
  <c r="AN353" i="7"/>
  <c r="AN1193" i="7"/>
  <c r="AP1193" i="7"/>
  <c r="AN1026" i="7"/>
  <c r="AP1026" i="7"/>
  <c r="AP957" i="7"/>
  <c r="AN957" i="7"/>
  <c r="AN1236" i="7"/>
  <c r="AP1236" i="7"/>
  <c r="AP1126" i="7"/>
  <c r="AN1126" i="7"/>
  <c r="AP915" i="7"/>
  <c r="AN915" i="7"/>
  <c r="AP1195" i="7"/>
  <c r="AN1195" i="7"/>
  <c r="AP1238" i="7"/>
  <c r="AN1238" i="7"/>
  <c r="AN312" i="7"/>
  <c r="AP312" i="7"/>
  <c r="AN327" i="7"/>
  <c r="AP327" i="7"/>
  <c r="AP411" i="7"/>
  <c r="AN411" i="7"/>
  <c r="AP227" i="7"/>
  <c r="AN227" i="7"/>
  <c r="AN986" i="7"/>
  <c r="AP986" i="7"/>
  <c r="AN1169" i="7"/>
  <c r="AP1169" i="7"/>
  <c r="AN941" i="7"/>
  <c r="AP941" i="7"/>
  <c r="AP270" i="7"/>
  <c r="AN270" i="7"/>
  <c r="AP230" i="7"/>
  <c r="AN230" i="7"/>
  <c r="AN1001" i="7"/>
  <c r="AP1001" i="7"/>
  <c r="AP918" i="7"/>
  <c r="AN918" i="7"/>
  <c r="AP1109" i="7"/>
  <c r="AN1109" i="7"/>
  <c r="AN1002" i="7"/>
  <c r="AP1002" i="7"/>
  <c r="AN959" i="7"/>
  <c r="AP959" i="7"/>
  <c r="AN916" i="7"/>
  <c r="AP916" i="7"/>
  <c r="AP917" i="7"/>
  <c r="AN917" i="7"/>
  <c r="AN1210" i="7"/>
  <c r="AP1210" i="7"/>
  <c r="AP413" i="7"/>
  <c r="AN413" i="7"/>
  <c r="AP1151" i="7"/>
  <c r="AN1151" i="7"/>
  <c r="AP246" i="7"/>
  <c r="AN246" i="7"/>
  <c r="AP355" i="7"/>
  <c r="AN355" i="7"/>
  <c r="AP1067" i="7"/>
  <c r="AN1067" i="7"/>
  <c r="AP944" i="7"/>
  <c r="AN944" i="7"/>
  <c r="AN412" i="7"/>
  <c r="AP412" i="7"/>
  <c r="AP288" i="7"/>
  <c r="AN288" i="7"/>
  <c r="AN899" i="7"/>
  <c r="AP899" i="7"/>
  <c r="AN1235" i="7"/>
  <c r="AP1235" i="7"/>
  <c r="AN1111" i="7"/>
  <c r="AP1111" i="7"/>
  <c r="AP356" i="7"/>
  <c r="AN356" i="7"/>
  <c r="AP1254" i="7"/>
  <c r="AN1254" i="7"/>
  <c r="AN269" i="7"/>
  <c r="AP269" i="7"/>
  <c r="AN287" i="7"/>
  <c r="AP287" i="7"/>
  <c r="AP983" i="7"/>
  <c r="AN983" i="7"/>
  <c r="AP943" i="7"/>
  <c r="AN943" i="7"/>
  <c r="AP1127" i="7"/>
  <c r="AN1127" i="7"/>
  <c r="AP1209" i="7"/>
  <c r="AN1209" i="7"/>
  <c r="AP1170" i="7"/>
  <c r="AN1170" i="7"/>
  <c r="AP1211" i="7"/>
  <c r="AN1211" i="7"/>
  <c r="AP1042" i="7"/>
  <c r="AN1042" i="7"/>
  <c r="AN900" i="7"/>
  <c r="AP900" i="7"/>
  <c r="AP901" i="7"/>
  <c r="AN901" i="7"/>
  <c r="AN1125" i="7"/>
  <c r="AP1125" i="7"/>
  <c r="AN1070" i="7"/>
  <c r="AP1070" i="7"/>
  <c r="AP1028" i="7"/>
  <c r="AN1028" i="7"/>
  <c r="AN1128" i="7"/>
  <c r="AP1128" i="7"/>
  <c r="AP902" i="7"/>
  <c r="AN902" i="7"/>
  <c r="AN1110" i="7"/>
  <c r="AP1110" i="7"/>
  <c r="AN244" i="7"/>
  <c r="AP244" i="7"/>
  <c r="AP1025" i="7"/>
  <c r="AN1025" i="7"/>
  <c r="AN1085" i="7"/>
  <c r="AP1085" i="7"/>
  <c r="AP396" i="7"/>
  <c r="AN396" i="7"/>
  <c r="AP243" i="7"/>
  <c r="AN243" i="7"/>
  <c r="AN272" i="7"/>
  <c r="AP272" i="7"/>
  <c r="AP1068" i="7"/>
  <c r="AN1068" i="7"/>
  <c r="AP329" i="7"/>
  <c r="AN329" i="7"/>
  <c r="AP328" i="7"/>
  <c r="AN328" i="7"/>
  <c r="AP271" i="7"/>
  <c r="AN271" i="7"/>
  <c r="AP1212" i="7"/>
  <c r="AN1212" i="7"/>
  <c r="AN229" i="7"/>
  <c r="AP229" i="7"/>
  <c r="AP1041" i="7"/>
  <c r="AN1041" i="7"/>
  <c r="AP285" i="7"/>
  <c r="AN285" i="7"/>
  <c r="AP354" i="7"/>
  <c r="AN354" i="7"/>
  <c r="AP286" i="7"/>
  <c r="AN286" i="7"/>
  <c r="AN1196" i="7"/>
  <c r="AP1196" i="7"/>
  <c r="AN397" i="7"/>
  <c r="AP397" i="7"/>
  <c r="AN370" i="7"/>
  <c r="AP370" i="7"/>
  <c r="AN330" i="7"/>
  <c r="AP330" i="7"/>
  <c r="AN942" i="7"/>
  <c r="AP942" i="7"/>
  <c r="AP314" i="7"/>
  <c r="AN314" i="7"/>
  <c r="AN1153" i="7"/>
  <c r="AP1153" i="7"/>
  <c r="AN1251" i="7"/>
  <c r="AP1251" i="7"/>
  <c r="AP1154" i="7"/>
  <c r="AN1154" i="7"/>
  <c r="AP371" i="7"/>
  <c r="AN371" i="7"/>
  <c r="AN1044" i="7"/>
  <c r="AP1044" i="7"/>
  <c r="AP228" i="7"/>
  <c r="AN228" i="7"/>
  <c r="AP1084" i="7"/>
  <c r="AN1084" i="7"/>
  <c r="Z9" i="7"/>
  <c r="AH1234" i="7"/>
  <c r="AG1234" i="7"/>
  <c r="AF1234" i="7"/>
  <c r="AE1234" i="7"/>
  <c r="AH1233" i="7"/>
  <c r="AG1233" i="7"/>
  <c r="AF1233" i="7"/>
  <c r="AE1233" i="7"/>
  <c r="AH1232" i="7"/>
  <c r="AG1232" i="7"/>
  <c r="AF1232" i="7"/>
  <c r="AE1232" i="7"/>
  <c r="AH1231" i="7"/>
  <c r="AG1231" i="7"/>
  <c r="AF1231" i="7"/>
  <c r="AE1231" i="7"/>
  <c r="AH1192" i="7"/>
  <c r="AG1192" i="7"/>
  <c r="AF1192" i="7"/>
  <c r="AE1192" i="7"/>
  <c r="AH1191" i="7"/>
  <c r="AG1191" i="7"/>
  <c r="AF1191" i="7"/>
  <c r="AE1191" i="7"/>
  <c r="AH1190" i="7"/>
  <c r="AG1190" i="7"/>
  <c r="AF1190" i="7"/>
  <c r="AE1190" i="7"/>
  <c r="AH1189" i="7"/>
  <c r="AG1189" i="7"/>
  <c r="AF1189" i="7"/>
  <c r="AE1189" i="7"/>
  <c r="AH1150" i="7"/>
  <c r="AG1150" i="7"/>
  <c r="AF1150" i="7"/>
  <c r="AE1150" i="7"/>
  <c r="AH1149" i="7"/>
  <c r="AG1149" i="7"/>
  <c r="AF1149" i="7"/>
  <c r="AE1149" i="7"/>
  <c r="AH1148" i="7"/>
  <c r="AG1148" i="7"/>
  <c r="AF1148" i="7"/>
  <c r="AE1148" i="7"/>
  <c r="AH1147" i="7"/>
  <c r="AG1147" i="7"/>
  <c r="AF1147" i="7"/>
  <c r="AE1147" i="7"/>
  <c r="AH1108" i="7"/>
  <c r="AG1108" i="7"/>
  <c r="AF1108" i="7"/>
  <c r="AE1108" i="7"/>
  <c r="AH1107" i="7"/>
  <c r="AG1107" i="7"/>
  <c r="AF1107" i="7"/>
  <c r="AE1107" i="7"/>
  <c r="AH1106" i="7"/>
  <c r="AG1106" i="7"/>
  <c r="AF1106" i="7"/>
  <c r="AE1106" i="7"/>
  <c r="AH1105" i="7"/>
  <c r="AG1105" i="7"/>
  <c r="AF1105" i="7"/>
  <c r="AE1105" i="7"/>
  <c r="AH1066" i="7"/>
  <c r="AG1066" i="7"/>
  <c r="AF1066" i="7"/>
  <c r="AE1066" i="7"/>
  <c r="AH1065" i="7"/>
  <c r="AG1065" i="7"/>
  <c r="AF1065" i="7"/>
  <c r="AE1065" i="7"/>
  <c r="AH1064" i="7"/>
  <c r="AG1064" i="7"/>
  <c r="AF1064" i="7"/>
  <c r="AE1064" i="7"/>
  <c r="AH1063" i="7"/>
  <c r="AG1063" i="7"/>
  <c r="AF1063" i="7"/>
  <c r="AE1063" i="7"/>
  <c r="AH1024" i="7"/>
  <c r="AG1024" i="7"/>
  <c r="AF1024" i="7"/>
  <c r="AE1024" i="7"/>
  <c r="AH1023" i="7"/>
  <c r="AG1023" i="7"/>
  <c r="AF1023" i="7"/>
  <c r="AE1023" i="7"/>
  <c r="AH1022" i="7"/>
  <c r="AG1022" i="7"/>
  <c r="AF1022" i="7"/>
  <c r="AE1022" i="7"/>
  <c r="AH1021" i="7"/>
  <c r="AG1021" i="7"/>
  <c r="AF1021" i="7"/>
  <c r="AE1021" i="7"/>
  <c r="AH982" i="7"/>
  <c r="AG982" i="7"/>
  <c r="AF982" i="7"/>
  <c r="AE982" i="7"/>
  <c r="AH981" i="7"/>
  <c r="AG981" i="7"/>
  <c r="AF981" i="7"/>
  <c r="AE981" i="7"/>
  <c r="AH980" i="7"/>
  <c r="AG980" i="7"/>
  <c r="AF980" i="7"/>
  <c r="AE980" i="7"/>
  <c r="AH979" i="7"/>
  <c r="AG979" i="7"/>
  <c r="AF979" i="7"/>
  <c r="AE979" i="7"/>
  <c r="AH940" i="7"/>
  <c r="AG940" i="7"/>
  <c r="AF940" i="7"/>
  <c r="AE940" i="7"/>
  <c r="AH939" i="7"/>
  <c r="AG939" i="7"/>
  <c r="AF939" i="7"/>
  <c r="AE939" i="7"/>
  <c r="AH938" i="7"/>
  <c r="AG938" i="7"/>
  <c r="AF938" i="7"/>
  <c r="AE938" i="7"/>
  <c r="AH937" i="7"/>
  <c r="AG937" i="7"/>
  <c r="AF937" i="7"/>
  <c r="AE937" i="7"/>
  <c r="AH898" i="7"/>
  <c r="AG898" i="7"/>
  <c r="AF898" i="7"/>
  <c r="AE898" i="7"/>
  <c r="AH897" i="7"/>
  <c r="AG897" i="7"/>
  <c r="AF897" i="7"/>
  <c r="AE897" i="7"/>
  <c r="AH896" i="7"/>
  <c r="AG896" i="7"/>
  <c r="AF896" i="7"/>
  <c r="AE896" i="7"/>
  <c r="AH895" i="7"/>
  <c r="AG895" i="7"/>
  <c r="AF895" i="7"/>
  <c r="AE895" i="7"/>
  <c r="AH856" i="7"/>
  <c r="AG856" i="7"/>
  <c r="AF856" i="7"/>
  <c r="AE856" i="7"/>
  <c r="AH855" i="7"/>
  <c r="AG855" i="7"/>
  <c r="AF855" i="7"/>
  <c r="AE855" i="7"/>
  <c r="AH854" i="7"/>
  <c r="AG854" i="7"/>
  <c r="AF854" i="7"/>
  <c r="AE854" i="7"/>
  <c r="AH853" i="7"/>
  <c r="AG853" i="7"/>
  <c r="AF853" i="7"/>
  <c r="AE853" i="7"/>
  <c r="AH394" i="7"/>
  <c r="AG394" i="7"/>
  <c r="AF394" i="7"/>
  <c r="AE394" i="7"/>
  <c r="AH393" i="7"/>
  <c r="AG393" i="7"/>
  <c r="AF393" i="7"/>
  <c r="AE393" i="7"/>
  <c r="AH392" i="7"/>
  <c r="AG392" i="7"/>
  <c r="AF392" i="7"/>
  <c r="AE392" i="7"/>
  <c r="AH391" i="7"/>
  <c r="AG391" i="7"/>
  <c r="AF391" i="7"/>
  <c r="AE391" i="7"/>
  <c r="AH352" i="7"/>
  <c r="AG352" i="7"/>
  <c r="AF352" i="7"/>
  <c r="AE352" i="7"/>
  <c r="AH351" i="7"/>
  <c r="AG351" i="7"/>
  <c r="AF351" i="7"/>
  <c r="AE351" i="7"/>
  <c r="AH350" i="7"/>
  <c r="AG350" i="7"/>
  <c r="AF350" i="7"/>
  <c r="AE350" i="7"/>
  <c r="AH349" i="7"/>
  <c r="AG349" i="7"/>
  <c r="AF349" i="7"/>
  <c r="AE349" i="7"/>
  <c r="AH310" i="7"/>
  <c r="AG310" i="7"/>
  <c r="AF310" i="7"/>
  <c r="AE310" i="7"/>
  <c r="AH309" i="7"/>
  <c r="AG309" i="7"/>
  <c r="AF309" i="7"/>
  <c r="AE309" i="7"/>
  <c r="AH308" i="7"/>
  <c r="AG308" i="7"/>
  <c r="AF308" i="7"/>
  <c r="AE308" i="7"/>
  <c r="AH307" i="7"/>
  <c r="AG307" i="7"/>
  <c r="AF307" i="7"/>
  <c r="AE307" i="7"/>
  <c r="AH268" i="7"/>
  <c r="AG268" i="7"/>
  <c r="AF268" i="7"/>
  <c r="AE268" i="7"/>
  <c r="AH267" i="7"/>
  <c r="AG267" i="7"/>
  <c r="AF267" i="7"/>
  <c r="AE267" i="7"/>
  <c r="AH266" i="7"/>
  <c r="AG266" i="7"/>
  <c r="AF266" i="7"/>
  <c r="AE266" i="7"/>
  <c r="AH265" i="7"/>
  <c r="AG265" i="7"/>
  <c r="AF265" i="7"/>
  <c r="AE265" i="7"/>
  <c r="AH226" i="7"/>
  <c r="AG226" i="7"/>
  <c r="AF226" i="7"/>
  <c r="AE226" i="7"/>
  <c r="AH225" i="7"/>
  <c r="AG225" i="7"/>
  <c r="AF225" i="7"/>
  <c r="AE225" i="7"/>
  <c r="AH224" i="7"/>
  <c r="AG224" i="7"/>
  <c r="AF224" i="7"/>
  <c r="AE224" i="7"/>
  <c r="AH223" i="7"/>
  <c r="AG223" i="7"/>
  <c r="AF223" i="7"/>
  <c r="AE223" i="7"/>
  <c r="AH184" i="7"/>
  <c r="AG184" i="7"/>
  <c r="AF184" i="7"/>
  <c r="AE184" i="7"/>
  <c r="AH183" i="7"/>
  <c r="AG183" i="7"/>
  <c r="AF183" i="7"/>
  <c r="AE183" i="7"/>
  <c r="AH182" i="7"/>
  <c r="AG182" i="7"/>
  <c r="AF182" i="7"/>
  <c r="AE182" i="7"/>
  <c r="AH181" i="7"/>
  <c r="AG181" i="7"/>
  <c r="AF181" i="7"/>
  <c r="AE181" i="7"/>
  <c r="AH142" i="7"/>
  <c r="AG142" i="7"/>
  <c r="AF142" i="7"/>
  <c r="AE142" i="7"/>
  <c r="AH141" i="7"/>
  <c r="AG141" i="7"/>
  <c r="AF141" i="7"/>
  <c r="AE141" i="7"/>
  <c r="AH140" i="7"/>
  <c r="AG140" i="7"/>
  <c r="AF140" i="7"/>
  <c r="AE140" i="7"/>
  <c r="AH139" i="7"/>
  <c r="AG139" i="7"/>
  <c r="AF139" i="7"/>
  <c r="AE139" i="7"/>
  <c r="AH100" i="7"/>
  <c r="AG100" i="7"/>
  <c r="AF100" i="7"/>
  <c r="AE100" i="7"/>
  <c r="AH99" i="7"/>
  <c r="AG99" i="7"/>
  <c r="AF99" i="7"/>
  <c r="AE99" i="7"/>
  <c r="AH98" i="7"/>
  <c r="AG98" i="7"/>
  <c r="AF98" i="7"/>
  <c r="AE98" i="7"/>
  <c r="AH97" i="7"/>
  <c r="AG97" i="7"/>
  <c r="AF97" i="7"/>
  <c r="AE97" i="7"/>
  <c r="AH58" i="7"/>
  <c r="AG58" i="7"/>
  <c r="AF58" i="7"/>
  <c r="AE58" i="7"/>
  <c r="AH57" i="7"/>
  <c r="AG57" i="7"/>
  <c r="AF57" i="7"/>
  <c r="AE57" i="7"/>
  <c r="AH56" i="7"/>
  <c r="AG56" i="7"/>
  <c r="AF56" i="7"/>
  <c r="AE56" i="7"/>
  <c r="AH55" i="7"/>
  <c r="AG55" i="7"/>
  <c r="AF55" i="7"/>
  <c r="AE55" i="7"/>
  <c r="AE14" i="7"/>
  <c r="AF14" i="7"/>
  <c r="AG14" i="7"/>
  <c r="AH14" i="7"/>
  <c r="AE15" i="7"/>
  <c r="AF15" i="7"/>
  <c r="AG15" i="7"/>
  <c r="AH15" i="7"/>
  <c r="AE16" i="7"/>
  <c r="AF16" i="7"/>
  <c r="AG16" i="7"/>
  <c r="AH16" i="7"/>
  <c r="AF13" i="7"/>
  <c r="AG13" i="7"/>
  <c r="AH13" i="7"/>
  <c r="AE13" i="7"/>
  <c r="J9" i="7"/>
  <c r="AS563" i="7" l="1"/>
  <c r="AS579" i="7"/>
  <c r="AS437" i="7"/>
  <c r="AS623" i="7"/>
  <c r="AS538" i="7"/>
  <c r="AS480" i="7"/>
  <c r="AS692" i="7"/>
  <c r="AS621" i="7"/>
  <c r="AS708" i="7"/>
  <c r="AS607" i="7"/>
  <c r="AS624" i="7"/>
  <c r="AS790" i="7"/>
  <c r="AS496" i="7"/>
  <c r="AS647" i="7"/>
  <c r="I148" i="4"/>
  <c r="I143" i="4"/>
  <c r="I144" i="4" s="1"/>
  <c r="I145" i="4" s="1"/>
  <c r="I146" i="4" s="1"/>
  <c r="AS608" i="7"/>
  <c r="AS453" i="7"/>
  <c r="AS831" i="7"/>
  <c r="AS731" i="7"/>
  <c r="AS832" i="7"/>
  <c r="AS818" i="7"/>
  <c r="AS834" i="7"/>
  <c r="AS789" i="7"/>
  <c r="AS539" i="7"/>
  <c r="AS748" i="7"/>
  <c r="AS691" i="7"/>
  <c r="AS705" i="7"/>
  <c r="AS565" i="7"/>
  <c r="AS438" i="7"/>
  <c r="AS522" i="7"/>
  <c r="AS663" i="7"/>
  <c r="AS734" i="7"/>
  <c r="AS750" i="7"/>
  <c r="AS815" i="7"/>
  <c r="AS650" i="7"/>
  <c r="AS495" i="7"/>
  <c r="AS524" i="7"/>
  <c r="AS774" i="7"/>
  <c r="AS689" i="7"/>
  <c r="AS706" i="7"/>
  <c r="AS537" i="7"/>
  <c r="AS502" i="7"/>
  <c r="AS440" i="7"/>
  <c r="AS622" i="7"/>
  <c r="AS776" i="7"/>
  <c r="AS833" i="7"/>
  <c r="AS455" i="7"/>
  <c r="AS482" i="7"/>
  <c r="AS566" i="7"/>
  <c r="AS582" i="7"/>
  <c r="AS609" i="7"/>
  <c r="AS775" i="7"/>
  <c r="AS816" i="7"/>
  <c r="AS817" i="7"/>
  <c r="AS747" i="7"/>
  <c r="AS665" i="7"/>
  <c r="AS521" i="7"/>
  <c r="AS439" i="7"/>
  <c r="AS497" i="7"/>
  <c r="AS481" i="7"/>
  <c r="AS540" i="7"/>
  <c r="AS523" i="7"/>
  <c r="AS648" i="7"/>
  <c r="AS690" i="7"/>
  <c r="AS707" i="7"/>
  <c r="AS649" i="7"/>
  <c r="AS791" i="7"/>
  <c r="AS822" i="7"/>
  <c r="AS733" i="7"/>
  <c r="AS498" i="7"/>
  <c r="AS732" i="7"/>
  <c r="AS479" i="7"/>
  <c r="AS564" i="7"/>
  <c r="AS580" i="7"/>
  <c r="AS666" i="7"/>
  <c r="AS605" i="7"/>
  <c r="AS694" i="7"/>
  <c r="AS749" i="7"/>
  <c r="AS773" i="7"/>
  <c r="AS544" i="7"/>
  <c r="AS581" i="7"/>
  <c r="AS664" i="7"/>
  <c r="I813" i="7"/>
  <c r="J812" i="7"/>
  <c r="J770" i="7"/>
  <c r="I771" i="7"/>
  <c r="AS792" i="7"/>
  <c r="I729" i="7"/>
  <c r="J728" i="7"/>
  <c r="J686" i="7"/>
  <c r="I687" i="7"/>
  <c r="AS712" i="7"/>
  <c r="I644" i="7"/>
  <c r="J643" i="7"/>
  <c r="AS606" i="7"/>
  <c r="J601" i="7"/>
  <c r="I602" i="7"/>
  <c r="J562" i="7"/>
  <c r="I563" i="7"/>
  <c r="I519" i="7"/>
  <c r="J518" i="7"/>
  <c r="I476" i="7"/>
  <c r="J475" i="7"/>
  <c r="I436" i="7"/>
  <c r="J435" i="7"/>
  <c r="AS456" i="7"/>
  <c r="AE257" i="7"/>
  <c r="AE241" i="7"/>
  <c r="AE249" i="7"/>
  <c r="AE233" i="7"/>
  <c r="AE317" i="7"/>
  <c r="AE341" i="7"/>
  <c r="AE325" i="7"/>
  <c r="AE333" i="7"/>
  <c r="AE927" i="7"/>
  <c r="AE919" i="7"/>
  <c r="AE911" i="7"/>
  <c r="AE903" i="7"/>
  <c r="AF249" i="7"/>
  <c r="AF233" i="7"/>
  <c r="AF257" i="7"/>
  <c r="AF241" i="7"/>
  <c r="AF341" i="7"/>
  <c r="AF325" i="7"/>
  <c r="AF317" i="7"/>
  <c r="AF333" i="7"/>
  <c r="AF407" i="7"/>
  <c r="AF415" i="7"/>
  <c r="AF399" i="7"/>
  <c r="AF423" i="7"/>
  <c r="AF879" i="7"/>
  <c r="AF887" i="7" s="1"/>
  <c r="AF863" i="7"/>
  <c r="AF871" i="7" s="1"/>
  <c r="AF971" i="7"/>
  <c r="AF955" i="7"/>
  <c r="AF963" i="7"/>
  <c r="AF947" i="7"/>
  <c r="AF1095" i="7"/>
  <c r="AF1087" i="7"/>
  <c r="AF1079" i="7"/>
  <c r="AF1071" i="7"/>
  <c r="AF1221" i="7"/>
  <c r="AF1213" i="7"/>
  <c r="AF1197" i="7"/>
  <c r="AF1205" i="7"/>
  <c r="AG199" i="7"/>
  <c r="AG215" i="7"/>
  <c r="AG273" i="7"/>
  <c r="AG297" i="7"/>
  <c r="AG281" i="7"/>
  <c r="AG289" i="7"/>
  <c r="AG341" i="7"/>
  <c r="AG325" i="7"/>
  <c r="AG317" i="7"/>
  <c r="AG333" i="7"/>
  <c r="AG375" i="7"/>
  <c r="AG359" i="7"/>
  <c r="AG383" i="7"/>
  <c r="AG367" i="7"/>
  <c r="AG879" i="7"/>
  <c r="AG887" i="7"/>
  <c r="AG863" i="7"/>
  <c r="AG871" i="7" s="1"/>
  <c r="AG1011" i="7"/>
  <c r="AG1003" i="7"/>
  <c r="AG995" i="7"/>
  <c r="AG987" i="7"/>
  <c r="AG1095" i="7"/>
  <c r="AG1079" i="7"/>
  <c r="AG1087" i="7"/>
  <c r="AG1071" i="7"/>
  <c r="AG1179" i="7"/>
  <c r="AG1171" i="7"/>
  <c r="AG1155" i="7"/>
  <c r="AG1163" i="7"/>
  <c r="AH199" i="7"/>
  <c r="AH215" i="7"/>
  <c r="AH297" i="7"/>
  <c r="AH281" i="7"/>
  <c r="AH289" i="7"/>
  <c r="AH273" i="7"/>
  <c r="AH423" i="7"/>
  <c r="AH415" i="7"/>
  <c r="AH399" i="7"/>
  <c r="AH407" i="7"/>
  <c r="AH1053" i="7"/>
  <c r="AH1045" i="7"/>
  <c r="AH1037" i="7"/>
  <c r="AH1029" i="7"/>
  <c r="AE255" i="7"/>
  <c r="AE247" i="7"/>
  <c r="AE231" i="7"/>
  <c r="AE239" i="7"/>
  <c r="AE381" i="7"/>
  <c r="AE373" i="7"/>
  <c r="AE365" i="7"/>
  <c r="AE357" i="7"/>
  <c r="AE879" i="7"/>
  <c r="AE887" i="7" s="1"/>
  <c r="AE871" i="7"/>
  <c r="AE863" i="7"/>
  <c r="AF255" i="7"/>
  <c r="AF247" i="7"/>
  <c r="AF239" i="7"/>
  <c r="AF231" i="7"/>
  <c r="AF273" i="7"/>
  <c r="AF297" i="7"/>
  <c r="AF281" i="7"/>
  <c r="AF289" i="7"/>
  <c r="AF381" i="7"/>
  <c r="AF373" i="7"/>
  <c r="AF365" i="7"/>
  <c r="AF357" i="7"/>
  <c r="AF927" i="7"/>
  <c r="AF919" i="7"/>
  <c r="AF911" i="7"/>
  <c r="AF903" i="7"/>
  <c r="AF969" i="7"/>
  <c r="AF945" i="7"/>
  <c r="AF953" i="7"/>
  <c r="AF961" i="7"/>
  <c r="AF1047" i="7"/>
  <c r="AF1031" i="7"/>
  <c r="AF1055" i="7"/>
  <c r="AF1039" i="7"/>
  <c r="AF1199" i="7"/>
  <c r="AF1223" i="7"/>
  <c r="AF1215" i="7"/>
  <c r="AF1207" i="7"/>
  <c r="AG249" i="7"/>
  <c r="AG233" i="7"/>
  <c r="AG257" i="7"/>
  <c r="AG241" i="7"/>
  <c r="AG339" i="7"/>
  <c r="AG331" i="7"/>
  <c r="AG323" i="7"/>
  <c r="AG315" i="7"/>
  <c r="AG415" i="7"/>
  <c r="AG399" i="7"/>
  <c r="AG423" i="7"/>
  <c r="AG407" i="7"/>
  <c r="AG927" i="7"/>
  <c r="AG919" i="7"/>
  <c r="AG911" i="7"/>
  <c r="AG903" i="7"/>
  <c r="AG971" i="7"/>
  <c r="AG963" i="7"/>
  <c r="AG947" i="7"/>
  <c r="AG955" i="7"/>
  <c r="AG1055" i="7"/>
  <c r="AG1039" i="7"/>
  <c r="AG1047" i="7"/>
  <c r="AG1031" i="7"/>
  <c r="AG1129" i="7"/>
  <c r="AG1121" i="7"/>
  <c r="AG1113" i="7"/>
  <c r="AG1137" i="7"/>
  <c r="AG1205" i="7"/>
  <c r="AG1197" i="7"/>
  <c r="AG1221" i="7"/>
  <c r="AG1213" i="7"/>
  <c r="AG1263" i="7"/>
  <c r="AG1255" i="7"/>
  <c r="AG1247" i="7"/>
  <c r="AG1239" i="7"/>
  <c r="AH249" i="7"/>
  <c r="AH233" i="7"/>
  <c r="AH257" i="7"/>
  <c r="AH241" i="7"/>
  <c r="AH323" i="7"/>
  <c r="AH315" i="7"/>
  <c r="AH339" i="7"/>
  <c r="AH331" i="7"/>
  <c r="AH381" i="7"/>
  <c r="AH373" i="7"/>
  <c r="AH365" i="7"/>
  <c r="AH357" i="7"/>
  <c r="AH861" i="7"/>
  <c r="AH869" i="7" s="1"/>
  <c r="AH877" i="7"/>
  <c r="AH885" i="7" s="1"/>
  <c r="AH927" i="7"/>
  <c r="AH919" i="7"/>
  <c r="AH911" i="7"/>
  <c r="AH903" i="7"/>
  <c r="AH969" i="7"/>
  <c r="AH961" i="7"/>
  <c r="AH953" i="7"/>
  <c r="AH945" i="7"/>
  <c r="AH1013" i="7"/>
  <c r="AH997" i="7"/>
  <c r="AH1005" i="7"/>
  <c r="AH989" i="7"/>
  <c r="AH1097" i="7"/>
  <c r="AH1081" i="7"/>
  <c r="AH1073" i="7"/>
  <c r="AH1089" i="7"/>
  <c r="AH1139" i="7"/>
  <c r="AH1123" i="7"/>
  <c r="AH1131" i="7"/>
  <c r="AH1115" i="7"/>
  <c r="AH1173" i="7"/>
  <c r="AH1181" i="7"/>
  <c r="AH1165" i="7"/>
  <c r="AH1157" i="7"/>
  <c r="AH1247" i="7"/>
  <c r="AH1239" i="7"/>
  <c r="AH1255" i="7"/>
  <c r="AH1263" i="7"/>
  <c r="AE214" i="7"/>
  <c r="AE198" i="7"/>
  <c r="AE256" i="7"/>
  <c r="AE240" i="7"/>
  <c r="AE248" i="7"/>
  <c r="AE232" i="7"/>
  <c r="AE290" i="7"/>
  <c r="AE282" i="7"/>
  <c r="AE274" i="7"/>
  <c r="AE298" i="7"/>
  <c r="AE332" i="7"/>
  <c r="AE316" i="7"/>
  <c r="AE340" i="7"/>
  <c r="AE324" i="7"/>
  <c r="AE382" i="7"/>
  <c r="AE366" i="7"/>
  <c r="AE374" i="7"/>
  <c r="AE358" i="7"/>
  <c r="AE424" i="7"/>
  <c r="AE416" i="7"/>
  <c r="AE408" i="7"/>
  <c r="AE400" i="7"/>
  <c r="AE878" i="7"/>
  <c r="AE886" i="7" s="1"/>
  <c r="AE862" i="7"/>
  <c r="AE870" i="7" s="1"/>
  <c r="AE928" i="7"/>
  <c r="AE912" i="7"/>
  <c r="AE920" i="7"/>
  <c r="AE904" i="7"/>
  <c r="AE970" i="7"/>
  <c r="AE954" i="7"/>
  <c r="AE946" i="7"/>
  <c r="AE962" i="7"/>
  <c r="AE1004" i="7"/>
  <c r="AE988" i="7"/>
  <c r="AE1012" i="7"/>
  <c r="AE996" i="7"/>
  <c r="AE1048" i="7"/>
  <c r="AE1032" i="7"/>
  <c r="AE1056" i="7"/>
  <c r="AE1040" i="7"/>
  <c r="AE1098" i="7"/>
  <c r="AE1082" i="7"/>
  <c r="AE1090" i="7"/>
  <c r="AE1074" i="7"/>
  <c r="AE1132" i="7"/>
  <c r="AE1140" i="7"/>
  <c r="AE1116" i="7"/>
  <c r="AE1124" i="7"/>
  <c r="AE1174" i="7"/>
  <c r="AE1158" i="7"/>
  <c r="AE1166" i="7"/>
  <c r="AE1182" i="7"/>
  <c r="AE1214" i="7"/>
  <c r="AE1198" i="7"/>
  <c r="AE1206" i="7"/>
  <c r="AE1222" i="7"/>
  <c r="AE1256" i="7"/>
  <c r="AE1240" i="7"/>
  <c r="AE1248" i="7"/>
  <c r="AE1264" i="7"/>
  <c r="AF214" i="7"/>
  <c r="AF198" i="7"/>
  <c r="AF216" i="7"/>
  <c r="AF200" i="7"/>
  <c r="AF256" i="7"/>
  <c r="AF240" i="7"/>
  <c r="AF248" i="7"/>
  <c r="AF232" i="7"/>
  <c r="AF250" i="7"/>
  <c r="AF234" i="7"/>
  <c r="AF258" i="7"/>
  <c r="AF242" i="7"/>
  <c r="AF290" i="7"/>
  <c r="AF282" i="7"/>
  <c r="AF274" i="7"/>
  <c r="AF298" i="7"/>
  <c r="AF276" i="7"/>
  <c r="AF300" i="7"/>
  <c r="AF284" i="7"/>
  <c r="AF292" i="7"/>
  <c r="AF316" i="7"/>
  <c r="AF340" i="7"/>
  <c r="AF332" i="7"/>
  <c r="AF324" i="7"/>
  <c r="AF342" i="7"/>
  <c r="AF326" i="7"/>
  <c r="AF334" i="7"/>
  <c r="AF318" i="7"/>
  <c r="AF382" i="7"/>
  <c r="AF366" i="7"/>
  <c r="AF374" i="7"/>
  <c r="AF358" i="7"/>
  <c r="AF376" i="7"/>
  <c r="AF360" i="7"/>
  <c r="AF384" i="7"/>
  <c r="AF368" i="7"/>
  <c r="AF416" i="7"/>
  <c r="AF400" i="7"/>
  <c r="AF408" i="7"/>
  <c r="AF424" i="7"/>
  <c r="AF418" i="7"/>
  <c r="AF426" i="7"/>
  <c r="AF410" i="7"/>
  <c r="AF402" i="7"/>
  <c r="AF878" i="7"/>
  <c r="AF862" i="7"/>
  <c r="AF870" i="7" s="1"/>
  <c r="AF886" i="7"/>
  <c r="AF880" i="7"/>
  <c r="AF888" i="7" s="1"/>
  <c r="AF864" i="7"/>
  <c r="AF872" i="7" s="1"/>
  <c r="AF928" i="7"/>
  <c r="AF912" i="7"/>
  <c r="AF920" i="7"/>
  <c r="AF904" i="7"/>
  <c r="AF922" i="7"/>
  <c r="AF906" i="7"/>
  <c r="AF930" i="7"/>
  <c r="AF914" i="7"/>
  <c r="AF970" i="7"/>
  <c r="AF954" i="7"/>
  <c r="AF962" i="7"/>
  <c r="AF946" i="7"/>
  <c r="AF964" i="7"/>
  <c r="AF948" i="7"/>
  <c r="AF956" i="7"/>
  <c r="AF972" i="7"/>
  <c r="AF1004" i="7"/>
  <c r="AF988" i="7"/>
  <c r="AF996" i="7"/>
  <c r="AF1012" i="7"/>
  <c r="AF1014" i="7"/>
  <c r="AF998" i="7"/>
  <c r="AF990" i="7"/>
  <c r="AF1006" i="7"/>
  <c r="AF1046" i="7"/>
  <c r="AF1030" i="7"/>
  <c r="AF1054" i="7"/>
  <c r="AF1038" i="7"/>
  <c r="AF1056" i="7"/>
  <c r="AF1040" i="7"/>
  <c r="AF1048" i="7"/>
  <c r="AF1032" i="7"/>
  <c r="AF1096" i="7"/>
  <c r="AF1072" i="7"/>
  <c r="AF1080" i="7"/>
  <c r="AF1088" i="7"/>
  <c r="AF1098" i="7"/>
  <c r="AF1082" i="7"/>
  <c r="AF1090" i="7"/>
  <c r="AF1074" i="7"/>
  <c r="AF1114" i="7"/>
  <c r="AF1130" i="7"/>
  <c r="AF1138" i="7"/>
  <c r="AF1122" i="7"/>
  <c r="AF1124" i="7"/>
  <c r="AF1140" i="7"/>
  <c r="AF1132" i="7"/>
  <c r="AF1116" i="7"/>
  <c r="AF1180" i="7"/>
  <c r="AF1172" i="7"/>
  <c r="AF1164" i="7"/>
  <c r="AF1156" i="7"/>
  <c r="AF1174" i="7"/>
  <c r="AF1182" i="7"/>
  <c r="AF1158" i="7"/>
  <c r="AF1166" i="7"/>
  <c r="AF1198" i="7"/>
  <c r="AF1206" i="7"/>
  <c r="AF1222" i="7"/>
  <c r="AF1214" i="7"/>
  <c r="AF1200" i="7"/>
  <c r="AF1208" i="7"/>
  <c r="AF1216" i="7"/>
  <c r="AF1224" i="7"/>
  <c r="AF1256" i="7"/>
  <c r="AF1264" i="7"/>
  <c r="AF1248" i="7"/>
  <c r="AF1240" i="7"/>
  <c r="AF1250" i="7"/>
  <c r="AF1266" i="7"/>
  <c r="AF1258" i="7"/>
  <c r="AF1242" i="7"/>
  <c r="AE197" i="7"/>
  <c r="AE213" i="7"/>
  <c r="AE299" i="7"/>
  <c r="AE283" i="7"/>
  <c r="AE275" i="7"/>
  <c r="AE291" i="7"/>
  <c r="AE861" i="7"/>
  <c r="AE869" i="7" s="1"/>
  <c r="AE877" i="7"/>
  <c r="AE885" i="7" s="1"/>
  <c r="AF199" i="7"/>
  <c r="AF215" i="7"/>
  <c r="AF339" i="7"/>
  <c r="AF331" i="7"/>
  <c r="AF323" i="7"/>
  <c r="AF315" i="7"/>
  <c r="AF425" i="7"/>
  <c r="AF417" i="7"/>
  <c r="AF409" i="7"/>
  <c r="AF401" i="7"/>
  <c r="AF921" i="7"/>
  <c r="AF905" i="7"/>
  <c r="AF929" i="7"/>
  <c r="AF913" i="7"/>
  <c r="AF1037" i="7"/>
  <c r="AF1029" i="7"/>
  <c r="AF1053" i="7"/>
  <c r="AF1045" i="7"/>
  <c r="AF1131" i="7"/>
  <c r="AF1139" i="7"/>
  <c r="AF1115" i="7"/>
  <c r="AF1123" i="7"/>
  <c r="AG255" i="7"/>
  <c r="AG247" i="7"/>
  <c r="AG239" i="7"/>
  <c r="AG231" i="7"/>
  <c r="AG381" i="7"/>
  <c r="AG373" i="7"/>
  <c r="AG365" i="7"/>
  <c r="AG357" i="7"/>
  <c r="AG861" i="7"/>
  <c r="AG869" i="7" s="1"/>
  <c r="AG877" i="7"/>
  <c r="AG885" i="7" s="1"/>
  <c r="AG969" i="7"/>
  <c r="AG961" i="7"/>
  <c r="AG953" i="7"/>
  <c r="AG945" i="7"/>
  <c r="AG1053" i="7"/>
  <c r="AG1045" i="7"/>
  <c r="AG1037" i="7"/>
  <c r="AG1029" i="7"/>
  <c r="AG1123" i="7"/>
  <c r="AG1115" i="7"/>
  <c r="AG1139" i="7"/>
  <c r="AG1131" i="7"/>
  <c r="AG1223" i="7"/>
  <c r="AG1207" i="7"/>
  <c r="AG1215" i="7"/>
  <c r="AG1199" i="7"/>
  <c r="AH255" i="7"/>
  <c r="AH247" i="7"/>
  <c r="AH239" i="7"/>
  <c r="AH231" i="7"/>
  <c r="AH341" i="7"/>
  <c r="AH325" i="7"/>
  <c r="AH333" i="7"/>
  <c r="AH317" i="7"/>
  <c r="AH409" i="7"/>
  <c r="AH417" i="7"/>
  <c r="AH425" i="7"/>
  <c r="AH401" i="7"/>
  <c r="AH929" i="7"/>
  <c r="AH913" i="7"/>
  <c r="AH921" i="7"/>
  <c r="AH905" i="7"/>
  <c r="AH1011" i="7"/>
  <c r="AH1003" i="7"/>
  <c r="AH987" i="7"/>
  <c r="AH995" i="7"/>
  <c r="AH1055" i="7"/>
  <c r="AH1039" i="7"/>
  <c r="AH1047" i="7"/>
  <c r="AH1031" i="7"/>
  <c r="AH1137" i="7"/>
  <c r="AH1129" i="7"/>
  <c r="AH1121" i="7"/>
  <c r="AH1113" i="7"/>
  <c r="AH1179" i="7"/>
  <c r="AH1171" i="7"/>
  <c r="AH1163" i="7"/>
  <c r="AH1155" i="7"/>
  <c r="AH1205" i="7"/>
  <c r="AH1197" i="7"/>
  <c r="AH1221" i="7"/>
  <c r="AH1213" i="7"/>
  <c r="AH1265" i="7"/>
  <c r="AH1249" i="7"/>
  <c r="AH1241" i="7"/>
  <c r="AH1257" i="7"/>
  <c r="AE200" i="7"/>
  <c r="AE216" i="7"/>
  <c r="AE250" i="7"/>
  <c r="AE234" i="7"/>
  <c r="AE258" i="7"/>
  <c r="AE242" i="7"/>
  <c r="AE276" i="7"/>
  <c r="AE300" i="7"/>
  <c r="AE284" i="7"/>
  <c r="AE292" i="7"/>
  <c r="AE342" i="7"/>
  <c r="AE326" i="7"/>
  <c r="AE334" i="7"/>
  <c r="AE318" i="7"/>
  <c r="AE376" i="7"/>
  <c r="AE360" i="7"/>
  <c r="AE384" i="7"/>
  <c r="AE368" i="7"/>
  <c r="AE410" i="7"/>
  <c r="AE418" i="7"/>
  <c r="AE402" i="7"/>
  <c r="AE426" i="7"/>
  <c r="AE864" i="7"/>
  <c r="AE872" i="7" s="1"/>
  <c r="AE880" i="7"/>
  <c r="AE888" i="7" s="1"/>
  <c r="AE922" i="7"/>
  <c r="AE906" i="7"/>
  <c r="AE930" i="7"/>
  <c r="AE914" i="7"/>
  <c r="AE972" i="7"/>
  <c r="AE964" i="7"/>
  <c r="AE948" i="7"/>
  <c r="AE956" i="7"/>
  <c r="AE1014" i="7"/>
  <c r="AE998" i="7"/>
  <c r="AE990" i="7"/>
  <c r="AE1006" i="7"/>
  <c r="AE1054" i="7"/>
  <c r="AE1038" i="7"/>
  <c r="AE1046" i="7"/>
  <c r="AE1030" i="7"/>
  <c r="AE1096" i="7"/>
  <c r="AE1080" i="7"/>
  <c r="AE1088" i="7"/>
  <c r="AE1072" i="7"/>
  <c r="AE1138" i="7"/>
  <c r="AE1130" i="7"/>
  <c r="AE1122" i="7"/>
  <c r="AE1114" i="7"/>
  <c r="AE1180" i="7"/>
  <c r="AE1164" i="7"/>
  <c r="AE1156" i="7"/>
  <c r="AE1172" i="7"/>
  <c r="AE1224" i="7"/>
  <c r="AE1200" i="7"/>
  <c r="AE1208" i="7"/>
  <c r="AE1216" i="7"/>
  <c r="AE1266" i="7"/>
  <c r="AE1250" i="7"/>
  <c r="AE1242" i="7"/>
  <c r="AE1258" i="7"/>
  <c r="AG214" i="7"/>
  <c r="AG198" i="7"/>
  <c r="AG216" i="7"/>
  <c r="AG200" i="7"/>
  <c r="AG256" i="7"/>
  <c r="AG240" i="7"/>
  <c r="AG248" i="7"/>
  <c r="AG232" i="7"/>
  <c r="AG250" i="7"/>
  <c r="AG234" i="7"/>
  <c r="AG258" i="7"/>
  <c r="AG242" i="7"/>
  <c r="AG298" i="7"/>
  <c r="AG282" i="7"/>
  <c r="AG274" i="7"/>
  <c r="AG290" i="7"/>
  <c r="AG292" i="7"/>
  <c r="AG300" i="7"/>
  <c r="AG284" i="7"/>
  <c r="AG276" i="7"/>
  <c r="AG340" i="7"/>
  <c r="AG332" i="7"/>
  <c r="AG324" i="7"/>
  <c r="AG316" i="7"/>
  <c r="AG334" i="7"/>
  <c r="AG342" i="7"/>
  <c r="AG318" i="7"/>
  <c r="AG326" i="7"/>
  <c r="AG374" i="7"/>
  <c r="AG358" i="7"/>
  <c r="AG366" i="7"/>
  <c r="AG382" i="7"/>
  <c r="AG384" i="7"/>
  <c r="AG368" i="7"/>
  <c r="AG376" i="7"/>
  <c r="AG360" i="7"/>
  <c r="AG408" i="7"/>
  <c r="AG400" i="7"/>
  <c r="AG416" i="7"/>
  <c r="AG424" i="7"/>
  <c r="AG426" i="7"/>
  <c r="AG418" i="7"/>
  <c r="AG410" i="7"/>
  <c r="AG402" i="7"/>
  <c r="AG862" i="7"/>
  <c r="AG870" i="7" s="1"/>
  <c r="AG878" i="7"/>
  <c r="AG886" i="7" s="1"/>
  <c r="AG880" i="7"/>
  <c r="AG864" i="7"/>
  <c r="AG872" i="7" s="1"/>
  <c r="AG888" i="7"/>
  <c r="AG920" i="7"/>
  <c r="AG904" i="7"/>
  <c r="AG912" i="7"/>
  <c r="AG928" i="7"/>
  <c r="AG930" i="7"/>
  <c r="AG914" i="7"/>
  <c r="AG922" i="7"/>
  <c r="AG906" i="7"/>
  <c r="AG970" i="7"/>
  <c r="AG954" i="7"/>
  <c r="AG962" i="7"/>
  <c r="AG946" i="7"/>
  <c r="AG964" i="7"/>
  <c r="AG948" i="7"/>
  <c r="AG956" i="7"/>
  <c r="AG972" i="7"/>
  <c r="AG996" i="7"/>
  <c r="AG1004" i="7"/>
  <c r="AG988" i="7"/>
  <c r="AG1012" i="7"/>
  <c r="AG1006" i="7"/>
  <c r="AG1014" i="7"/>
  <c r="AG998" i="7"/>
  <c r="AG990" i="7"/>
  <c r="AG1046" i="7"/>
  <c r="AG1030" i="7"/>
  <c r="AG1054" i="7"/>
  <c r="AG1038" i="7"/>
  <c r="AG1056" i="7"/>
  <c r="AG1040" i="7"/>
  <c r="AG1048" i="7"/>
  <c r="AG1032" i="7"/>
  <c r="AG1072" i="7"/>
  <c r="AG1080" i="7"/>
  <c r="AG1088" i="7"/>
  <c r="AG1096" i="7"/>
  <c r="AG1098" i="7"/>
  <c r="AG1082" i="7"/>
  <c r="AG1090" i="7"/>
  <c r="AG1074" i="7"/>
  <c r="AG1130" i="7"/>
  <c r="AG1114" i="7"/>
  <c r="AG1122" i="7"/>
  <c r="AG1138" i="7"/>
  <c r="AG1140" i="7"/>
  <c r="AG1124" i="7"/>
  <c r="AG1132" i="7"/>
  <c r="AG1116" i="7"/>
  <c r="AG1180" i="7"/>
  <c r="AG1172" i="7"/>
  <c r="AG1156" i="7"/>
  <c r="AG1164" i="7"/>
  <c r="AG1174" i="7"/>
  <c r="AG1182" i="7"/>
  <c r="AG1166" i="7"/>
  <c r="AG1158" i="7"/>
  <c r="AG1206" i="7"/>
  <c r="AG1198" i="7"/>
  <c r="AG1214" i="7"/>
  <c r="AG1222" i="7"/>
  <c r="AG1208" i="7"/>
  <c r="AG1224" i="7"/>
  <c r="AG1216" i="7"/>
  <c r="AG1200" i="7"/>
  <c r="AG1240" i="7"/>
  <c r="AG1264" i="7"/>
  <c r="AG1256" i="7"/>
  <c r="AG1248" i="7"/>
  <c r="AG1266" i="7"/>
  <c r="AG1258" i="7"/>
  <c r="AG1250" i="7"/>
  <c r="AG1242" i="7"/>
  <c r="AE215" i="7"/>
  <c r="AE199" i="7"/>
  <c r="AE339" i="7"/>
  <c r="AE331" i="7"/>
  <c r="AE323" i="7"/>
  <c r="AE315" i="7"/>
  <c r="AE409" i="7"/>
  <c r="AE401" i="7"/>
  <c r="AE417" i="7"/>
  <c r="AE425" i="7"/>
  <c r="AF197" i="7"/>
  <c r="AF213" i="7"/>
  <c r="AF299" i="7"/>
  <c r="AF283" i="7"/>
  <c r="AF275" i="7"/>
  <c r="AF291" i="7"/>
  <c r="AF877" i="7"/>
  <c r="AF885" i="7" s="1"/>
  <c r="AF861" i="7"/>
  <c r="AF869" i="7" s="1"/>
  <c r="AF1011" i="7"/>
  <c r="AF1003" i="7"/>
  <c r="AF995" i="7"/>
  <c r="AF987" i="7"/>
  <c r="AF1163" i="7"/>
  <c r="AF1155" i="7"/>
  <c r="AF1179" i="7"/>
  <c r="AF1171" i="7"/>
  <c r="AG213" i="7"/>
  <c r="AG197" i="7"/>
  <c r="AG299" i="7"/>
  <c r="AG283" i="7"/>
  <c r="AG275" i="7"/>
  <c r="AG291" i="7"/>
  <c r="AG417" i="7"/>
  <c r="AG425" i="7"/>
  <c r="AG401" i="7"/>
  <c r="AG409" i="7"/>
  <c r="AG921" i="7"/>
  <c r="AG905" i="7"/>
  <c r="AG929" i="7"/>
  <c r="AG913" i="7"/>
  <c r="AG1013" i="7"/>
  <c r="AG997" i="7"/>
  <c r="AG1005" i="7"/>
  <c r="AG989" i="7"/>
  <c r="AG1097" i="7"/>
  <c r="AG1089" i="7"/>
  <c r="AG1081" i="7"/>
  <c r="AG1073" i="7"/>
  <c r="AG1173" i="7"/>
  <c r="AG1181" i="7"/>
  <c r="AG1165" i="7"/>
  <c r="AG1157" i="7"/>
  <c r="AG1265" i="7"/>
  <c r="AG1249" i="7"/>
  <c r="AG1257" i="7"/>
  <c r="AG1241" i="7"/>
  <c r="AH213" i="7"/>
  <c r="AH197" i="7"/>
  <c r="AH291" i="7"/>
  <c r="AH283" i="7"/>
  <c r="AH299" i="7"/>
  <c r="AH275" i="7"/>
  <c r="AH383" i="7"/>
  <c r="AH367" i="7"/>
  <c r="AH359" i="7"/>
  <c r="AH375" i="7"/>
  <c r="AH879" i="7"/>
  <c r="AH887" i="7" s="1"/>
  <c r="AH863" i="7"/>
  <c r="AH871" i="7" s="1"/>
  <c r="AH971" i="7"/>
  <c r="AH963" i="7"/>
  <c r="AH947" i="7"/>
  <c r="AH955" i="7"/>
  <c r="AH1095" i="7"/>
  <c r="AH1079" i="7"/>
  <c r="AH1087" i="7"/>
  <c r="AH1071" i="7"/>
  <c r="AH1223" i="7"/>
  <c r="AH1199" i="7"/>
  <c r="AH1207" i="7"/>
  <c r="AH1215" i="7"/>
  <c r="AH214" i="7"/>
  <c r="AH198" i="7"/>
  <c r="AH216" i="7"/>
  <c r="AH200" i="7"/>
  <c r="AH256" i="7"/>
  <c r="AH240" i="7"/>
  <c r="AH248" i="7"/>
  <c r="AH232" i="7"/>
  <c r="AH250" i="7"/>
  <c r="AH234" i="7"/>
  <c r="AH258" i="7"/>
  <c r="AH242" i="7"/>
  <c r="AH298" i="7"/>
  <c r="AH282" i="7"/>
  <c r="AH290" i="7"/>
  <c r="AH274" i="7"/>
  <c r="AH292" i="7"/>
  <c r="AH284" i="7"/>
  <c r="AH300" i="7"/>
  <c r="AH276" i="7"/>
  <c r="AH340" i="7"/>
  <c r="AH332" i="7"/>
  <c r="AH324" i="7"/>
  <c r="AH316" i="7"/>
  <c r="AH334" i="7"/>
  <c r="AH342" i="7"/>
  <c r="AH318" i="7"/>
  <c r="AH326" i="7"/>
  <c r="AH374" i="7"/>
  <c r="AH358" i="7"/>
  <c r="AH366" i="7"/>
  <c r="AH382" i="7"/>
  <c r="AH384" i="7"/>
  <c r="AH368" i="7"/>
  <c r="AH376" i="7"/>
  <c r="AH360" i="7"/>
  <c r="AH424" i="7"/>
  <c r="AH400" i="7"/>
  <c r="AH416" i="7"/>
  <c r="AH408" i="7"/>
  <c r="AH418" i="7"/>
  <c r="AH426" i="7"/>
  <c r="AH410" i="7"/>
  <c r="AH402" i="7"/>
  <c r="AH862" i="7"/>
  <c r="AH870" i="7" s="1"/>
  <c r="AH878" i="7"/>
  <c r="AH886" i="7" s="1"/>
  <c r="AH880" i="7"/>
  <c r="AH888" i="7" s="1"/>
  <c r="AH864" i="7"/>
  <c r="AH872" i="7" s="1"/>
  <c r="AH920" i="7"/>
  <c r="AH904" i="7"/>
  <c r="AH928" i="7"/>
  <c r="AH912" i="7"/>
  <c r="AH930" i="7"/>
  <c r="AH914" i="7"/>
  <c r="AH922" i="7"/>
  <c r="AH906" i="7"/>
  <c r="AH970" i="7"/>
  <c r="AH954" i="7"/>
  <c r="AH962" i="7"/>
  <c r="AH946" i="7"/>
  <c r="AH964" i="7"/>
  <c r="AH948" i="7"/>
  <c r="AH956" i="7"/>
  <c r="AH972" i="7"/>
  <c r="AH1012" i="7"/>
  <c r="AH996" i="7"/>
  <c r="AH1004" i="7"/>
  <c r="AH988" i="7"/>
  <c r="AH1006" i="7"/>
  <c r="AH990" i="7"/>
  <c r="AH1014" i="7"/>
  <c r="AH998" i="7"/>
  <c r="AH1046" i="7"/>
  <c r="AH1038" i="7"/>
  <c r="AH1030" i="7"/>
  <c r="AH1054" i="7"/>
  <c r="AH1032" i="7"/>
  <c r="AH1056" i="7"/>
  <c r="AH1048" i="7"/>
  <c r="AH1040" i="7"/>
  <c r="AH1096" i="7"/>
  <c r="AH1088" i="7"/>
  <c r="AH1072" i="7"/>
  <c r="AH1080" i="7"/>
  <c r="AH1098" i="7"/>
  <c r="AH1074" i="7"/>
  <c r="AH1090" i="7"/>
  <c r="AH1082" i="7"/>
  <c r="AH1130" i="7"/>
  <c r="AH1114" i="7"/>
  <c r="AH1138" i="7"/>
  <c r="AH1122" i="7"/>
  <c r="AH1132" i="7"/>
  <c r="AH1116" i="7"/>
  <c r="AH1124" i="7"/>
  <c r="AH1140" i="7"/>
  <c r="AH1172" i="7"/>
  <c r="AH1164" i="7"/>
  <c r="AH1156" i="7"/>
  <c r="AH1180" i="7"/>
  <c r="AH1182" i="7"/>
  <c r="AH1174" i="7"/>
  <c r="AH1158" i="7"/>
  <c r="AH1166" i="7"/>
  <c r="AH1222" i="7"/>
  <c r="AH1214" i="7"/>
  <c r="AH1206" i="7"/>
  <c r="AH1198" i="7"/>
  <c r="AH1208" i="7"/>
  <c r="AH1216" i="7"/>
  <c r="AH1200" i="7"/>
  <c r="AH1224" i="7"/>
  <c r="AH1264" i="7"/>
  <c r="AH1248" i="7"/>
  <c r="AH1256" i="7"/>
  <c r="AH1240" i="7"/>
  <c r="AH1258" i="7"/>
  <c r="AH1242" i="7"/>
  <c r="AH1250" i="7"/>
  <c r="AH1266" i="7"/>
  <c r="AE297" i="7"/>
  <c r="AE289" i="7"/>
  <c r="AE273" i="7"/>
  <c r="AE281" i="7"/>
  <c r="AE375" i="7"/>
  <c r="AE359" i="7"/>
  <c r="AE383" i="7"/>
  <c r="AE367" i="7"/>
  <c r="AE423" i="7"/>
  <c r="AE407" i="7"/>
  <c r="AE399" i="7"/>
  <c r="AE415" i="7"/>
  <c r="AE921" i="7"/>
  <c r="AE905" i="7"/>
  <c r="AE913" i="7"/>
  <c r="AE929" i="7"/>
  <c r="AE961" i="7"/>
  <c r="AE945" i="7"/>
  <c r="AE969" i="7"/>
  <c r="AE953" i="7"/>
  <c r="AE955" i="7"/>
  <c r="AE971" i="7"/>
  <c r="AE963" i="7"/>
  <c r="AE947" i="7"/>
  <c r="AE1011" i="7"/>
  <c r="AE1003" i="7"/>
  <c r="AE995" i="7"/>
  <c r="AE987" i="7"/>
  <c r="AE1005" i="7"/>
  <c r="AE989" i="7"/>
  <c r="AE1013" i="7"/>
  <c r="AE997" i="7"/>
  <c r="AE1053" i="7"/>
  <c r="AE1045" i="7"/>
  <c r="AE1037" i="7"/>
  <c r="AE1029" i="7"/>
  <c r="AE1047" i="7"/>
  <c r="AE1031" i="7"/>
  <c r="AE1055" i="7"/>
  <c r="AE1039" i="7"/>
  <c r="AE1095" i="7"/>
  <c r="AE1079" i="7"/>
  <c r="AE1087" i="7"/>
  <c r="AE1071" i="7"/>
  <c r="AE1097" i="7"/>
  <c r="AE1089" i="7"/>
  <c r="AE1081" i="7"/>
  <c r="AE1073" i="7"/>
  <c r="AE1129" i="7"/>
  <c r="AE1121" i="7"/>
  <c r="AE1113" i="7"/>
  <c r="AE1137" i="7"/>
  <c r="AE1115" i="7"/>
  <c r="AE1131" i="7"/>
  <c r="AE1123" i="7"/>
  <c r="AE1139" i="7"/>
  <c r="AE1179" i="7"/>
  <c r="AE1155" i="7"/>
  <c r="AE1171" i="7"/>
  <c r="AE1163" i="7"/>
  <c r="AE1173" i="7"/>
  <c r="AE1165" i="7"/>
  <c r="AE1181" i="7"/>
  <c r="AE1157" i="7"/>
  <c r="AE1221" i="7"/>
  <c r="AE1213" i="7"/>
  <c r="AE1197" i="7"/>
  <c r="AE1205" i="7"/>
  <c r="AE1199" i="7"/>
  <c r="AE1223" i="7"/>
  <c r="AE1207" i="7"/>
  <c r="AE1215" i="7"/>
  <c r="AE1263" i="7"/>
  <c r="AE1255" i="7"/>
  <c r="AE1247" i="7"/>
  <c r="AE1239" i="7"/>
  <c r="AE1265" i="7"/>
  <c r="AE1249" i="7"/>
  <c r="AE1257" i="7"/>
  <c r="AE1241" i="7"/>
  <c r="AF375" i="7"/>
  <c r="AF359" i="7"/>
  <c r="AF383" i="7"/>
  <c r="AF367" i="7"/>
  <c r="AF1013" i="7"/>
  <c r="AF997" i="7"/>
  <c r="AF1005" i="7"/>
  <c r="AF989" i="7"/>
  <c r="AF1089" i="7"/>
  <c r="AF1097" i="7"/>
  <c r="AF1081" i="7"/>
  <c r="AF1073" i="7"/>
  <c r="AF1137" i="7"/>
  <c r="AF1129" i="7"/>
  <c r="AF1121" i="7"/>
  <c r="AF1113" i="7"/>
  <c r="AF1173" i="7"/>
  <c r="AF1157" i="7"/>
  <c r="AF1181" i="7"/>
  <c r="AF1165" i="7"/>
  <c r="AF1263" i="7"/>
  <c r="AF1255" i="7"/>
  <c r="AF1247" i="7"/>
  <c r="AF1239" i="7"/>
  <c r="AF1265" i="7"/>
  <c r="AF1249" i="7"/>
  <c r="AF1241" i="7"/>
  <c r="AF1257" i="7"/>
  <c r="I184" i="4" l="1"/>
  <c r="I186" i="4" s="1"/>
  <c r="I188" i="4" s="1"/>
  <c r="I149" i="4"/>
  <c r="I150" i="4" s="1"/>
  <c r="I151" i="4" s="1"/>
  <c r="I152" i="4" s="1"/>
  <c r="I153" i="4" s="1"/>
  <c r="I154" i="4" s="1"/>
  <c r="I155" i="4" s="1"/>
  <c r="I156" i="4" s="1"/>
  <c r="I157" i="4" s="1"/>
  <c r="I158" i="4" s="1"/>
  <c r="I159" i="4" s="1"/>
  <c r="I160" i="4" s="1"/>
  <c r="I161" i="4" s="1"/>
  <c r="I162" i="4" s="1"/>
  <c r="I163" i="4" s="1"/>
  <c r="I164" i="4" s="1"/>
  <c r="I165" i="4" s="1"/>
  <c r="I166" i="4" s="1"/>
  <c r="I167" i="4" s="1"/>
  <c r="I168" i="4" s="1"/>
  <c r="I169" i="4" s="1"/>
  <c r="I170" i="4" s="1"/>
  <c r="I171" i="4" s="1"/>
  <c r="I172" i="4" s="1"/>
  <c r="I173" i="4" s="1"/>
  <c r="I174" i="4" s="1"/>
  <c r="I175" i="4" s="1"/>
  <c r="I176" i="4" s="1"/>
  <c r="I177" i="4" s="1"/>
  <c r="I178" i="4" s="1"/>
  <c r="I179" i="4" s="1"/>
  <c r="I180" i="4" s="1"/>
  <c r="I181" i="4" s="1"/>
  <c r="I182" i="4" s="1"/>
  <c r="I814" i="7"/>
  <c r="J813" i="7"/>
  <c r="I772" i="7"/>
  <c r="J771" i="7"/>
  <c r="I730" i="7"/>
  <c r="J729" i="7"/>
  <c r="J687" i="7"/>
  <c r="I688" i="7"/>
  <c r="I645" i="7"/>
  <c r="J644" i="7"/>
  <c r="I603" i="7"/>
  <c r="J602" i="7"/>
  <c r="I564" i="7"/>
  <c r="J563" i="7"/>
  <c r="I520" i="7"/>
  <c r="J519" i="7"/>
  <c r="I477" i="7"/>
  <c r="J476" i="7"/>
  <c r="J436" i="7"/>
  <c r="I437" i="7"/>
  <c r="AI1213" i="7"/>
  <c r="AI273" i="7"/>
  <c r="AI1029" i="7"/>
  <c r="AI1258" i="7"/>
  <c r="AI333" i="7"/>
  <c r="AI987" i="7"/>
  <c r="AI1006" i="7"/>
  <c r="AI1115" i="7"/>
  <c r="AI1047" i="7"/>
  <c r="AI921" i="7"/>
  <c r="AI1113" i="7"/>
  <c r="AI399" i="7"/>
  <c r="AI1174" i="7"/>
  <c r="AI961" i="7"/>
  <c r="AI1072" i="7"/>
  <c r="AI946" i="7"/>
  <c r="AI1004" i="7"/>
  <c r="AI1241" i="7"/>
  <c r="AI1215" i="7"/>
  <c r="AI357" i="7"/>
  <c r="AI1171" i="7"/>
  <c r="AI1256" i="7"/>
  <c r="AI963" i="7"/>
  <c r="AI1090" i="7"/>
  <c r="AI315" i="7"/>
  <c r="AI964" i="7"/>
  <c r="AI360" i="7"/>
  <c r="AI373" i="7"/>
  <c r="AI1199" i="7"/>
  <c r="AI1173" i="7"/>
  <c r="AI375" i="7"/>
  <c r="AI332" i="7"/>
  <c r="AI1239" i="7"/>
  <c r="AI1071" i="7"/>
  <c r="AI415" i="7"/>
  <c r="AI331" i="7"/>
  <c r="AI1200" i="7"/>
  <c r="AI1074" i="7"/>
  <c r="AI402" i="7"/>
  <c r="AI376" i="7"/>
  <c r="AI276" i="7"/>
  <c r="AI877" i="7"/>
  <c r="AI885" i="7" s="1"/>
  <c r="AI962" i="7"/>
  <c r="AI358" i="7"/>
  <c r="AI1005" i="7"/>
  <c r="AI374" i="7"/>
  <c r="AI1155" i="7"/>
  <c r="AI1045" i="7"/>
  <c r="AI1003" i="7"/>
  <c r="AI945" i="7"/>
  <c r="AI289" i="7"/>
  <c r="AI1242" i="7"/>
  <c r="AI1156" i="7"/>
  <c r="AI990" i="7"/>
  <c r="AI334" i="7"/>
  <c r="AI861" i="7"/>
  <c r="AI869" i="7" s="1"/>
  <c r="AI1032" i="7"/>
  <c r="AI862" i="7"/>
  <c r="AI870" i="7" s="1"/>
  <c r="AI317" i="7"/>
  <c r="AI1172" i="7"/>
  <c r="AI1255" i="7"/>
  <c r="AI1129" i="7"/>
  <c r="AI417" i="7"/>
  <c r="AI906" i="7"/>
  <c r="AI418" i="7"/>
  <c r="AI234" i="7"/>
  <c r="AI1214" i="7"/>
  <c r="AI1132" i="7"/>
  <c r="AI1048" i="7"/>
  <c r="AI878" i="7"/>
  <c r="AI886" i="7" s="1"/>
  <c r="AI290" i="7"/>
  <c r="AI903" i="7"/>
  <c r="AI233" i="7"/>
  <c r="AI1157" i="7"/>
  <c r="AI1073" i="7"/>
  <c r="AI947" i="7"/>
  <c r="AI401" i="7"/>
  <c r="AI922" i="7"/>
  <c r="AI250" i="7"/>
  <c r="AI291" i="7"/>
  <c r="AI904" i="7"/>
  <c r="AI232" i="7"/>
  <c r="AI863" i="7"/>
  <c r="AI871" i="7" s="1"/>
  <c r="AI231" i="7"/>
  <c r="AI249" i="7"/>
  <c r="AI1130" i="7"/>
  <c r="AI1257" i="7"/>
  <c r="AI1088" i="7"/>
  <c r="AI416" i="7"/>
  <c r="AI274" i="7"/>
  <c r="AI1216" i="7"/>
  <c r="AI1114" i="7"/>
  <c r="AI1030" i="7"/>
  <c r="AI880" i="7"/>
  <c r="AI888" i="7" s="1"/>
  <c r="AI292" i="7"/>
  <c r="AI275" i="7"/>
  <c r="AI920" i="7"/>
  <c r="AI248" i="7"/>
  <c r="AI247" i="7"/>
  <c r="AI919" i="7"/>
  <c r="AI1197" i="7"/>
  <c r="AI1087" i="7"/>
  <c r="AI318" i="7"/>
  <c r="AI1116" i="7"/>
  <c r="AI1131" i="7"/>
  <c r="AI1089" i="7"/>
  <c r="AI1031" i="7"/>
  <c r="AI989" i="7"/>
  <c r="AI905" i="7"/>
  <c r="AI359" i="7"/>
  <c r="AI1198" i="7"/>
  <c r="AI400" i="7"/>
  <c r="AI1046" i="7"/>
  <c r="AI948" i="7"/>
  <c r="AI864" i="7"/>
  <c r="AI872" i="7" s="1"/>
  <c r="AI1240" i="7"/>
  <c r="AI1158" i="7"/>
  <c r="AI988" i="7"/>
  <c r="AI316" i="7"/>
  <c r="AI879" i="7"/>
  <c r="AI887" i="7" s="1"/>
  <c r="X820" i="1"/>
  <c r="I189" i="4" l="1"/>
  <c r="I190" i="4" s="1"/>
  <c r="I191" i="4" s="1"/>
  <c r="I192" i="4" s="1"/>
  <c r="I193" i="4" s="1"/>
  <c r="I194" i="4" s="1"/>
  <c r="I195" i="4" s="1"/>
  <c r="I196" i="4" s="1"/>
  <c r="I197" i="4" s="1"/>
  <c r="I198" i="4" s="1"/>
  <c r="I199" i="4" s="1"/>
  <c r="I200" i="4" s="1"/>
  <c r="I201" i="4" s="1"/>
  <c r="I202" i="4" s="1"/>
  <c r="F14" i="4"/>
  <c r="H14" i="4"/>
  <c r="D14" i="4"/>
  <c r="J814" i="7"/>
  <c r="I815" i="7"/>
  <c r="J772" i="7"/>
  <c r="I773" i="7"/>
  <c r="J730" i="7"/>
  <c r="I731" i="7"/>
  <c r="J688" i="7"/>
  <c r="I689" i="7"/>
  <c r="I646" i="7"/>
  <c r="J645" i="7"/>
  <c r="J603" i="7"/>
  <c r="I604" i="7"/>
  <c r="J564" i="7"/>
  <c r="I565" i="7"/>
  <c r="I521" i="7"/>
  <c r="J520" i="7"/>
  <c r="I478" i="7"/>
  <c r="J477" i="7"/>
  <c r="J437" i="7"/>
  <c r="I438" i="7"/>
  <c r="AS948" i="7"/>
  <c r="AP948" i="7"/>
  <c r="AN948" i="7"/>
  <c r="AS1131" i="7"/>
  <c r="AP1131" i="7"/>
  <c r="AN1131" i="7"/>
  <c r="AS416" i="7"/>
  <c r="AP416" i="7"/>
  <c r="AN416" i="7"/>
  <c r="AS400" i="7"/>
  <c r="AN400" i="7"/>
  <c r="AP400" i="7"/>
  <c r="AS275" i="7"/>
  <c r="AN275" i="7"/>
  <c r="AP275" i="7"/>
  <c r="AS291" i="7"/>
  <c r="AP291" i="7"/>
  <c r="AN291" i="7"/>
  <c r="AS906" i="7"/>
  <c r="AP906" i="7"/>
  <c r="AN906" i="7"/>
  <c r="AS1045" i="7"/>
  <c r="AP1045" i="7"/>
  <c r="AN1045" i="7"/>
  <c r="AS332" i="7"/>
  <c r="AN332" i="7"/>
  <c r="AP332" i="7"/>
  <c r="AS946" i="7"/>
  <c r="AN946" i="7"/>
  <c r="AP946" i="7"/>
  <c r="AS316" i="7"/>
  <c r="AP316" i="7"/>
  <c r="AN316" i="7"/>
  <c r="AS318" i="7"/>
  <c r="AP318" i="7"/>
  <c r="AN318" i="7"/>
  <c r="AS1257" i="7"/>
  <c r="AP1257" i="7"/>
  <c r="AN1257" i="7"/>
  <c r="AS290" i="7"/>
  <c r="AN290" i="7"/>
  <c r="AP290" i="7"/>
  <c r="AS334" i="7"/>
  <c r="AP334" i="7"/>
  <c r="AN334" i="7"/>
  <c r="AS402" i="7"/>
  <c r="AP402" i="7"/>
  <c r="AN402" i="7"/>
  <c r="AS963" i="7"/>
  <c r="AP963" i="7"/>
  <c r="AN963" i="7"/>
  <c r="AS1006" i="7"/>
  <c r="AN1006" i="7"/>
  <c r="AP1006" i="7"/>
  <c r="AS359" i="7"/>
  <c r="AP359" i="7"/>
  <c r="AN359" i="7"/>
  <c r="AS880" i="7"/>
  <c r="AN880" i="7"/>
  <c r="AP880" i="7"/>
  <c r="AS922" i="7"/>
  <c r="AP922" i="7"/>
  <c r="AN922" i="7"/>
  <c r="AS1129" i="7"/>
  <c r="AN1129" i="7"/>
  <c r="AP1129" i="7"/>
  <c r="AS990" i="7"/>
  <c r="AN990" i="7"/>
  <c r="AP990" i="7"/>
  <c r="AS1074" i="7"/>
  <c r="AN1074" i="7"/>
  <c r="AP1074" i="7"/>
  <c r="AS1173" i="7"/>
  <c r="AP1173" i="7"/>
  <c r="AN1173" i="7"/>
  <c r="AS1256" i="7"/>
  <c r="AP1256" i="7"/>
  <c r="AN1256" i="7"/>
  <c r="AS987" i="7"/>
  <c r="AN987" i="7"/>
  <c r="AP987" i="7"/>
  <c r="AS905" i="7"/>
  <c r="AN905" i="7"/>
  <c r="AP905" i="7"/>
  <c r="AS1030" i="7"/>
  <c r="AP1030" i="7"/>
  <c r="AN1030" i="7"/>
  <c r="AS401" i="7"/>
  <c r="AP401" i="7"/>
  <c r="AN401" i="7"/>
  <c r="AS1255" i="7"/>
  <c r="AN1255" i="7"/>
  <c r="AP1255" i="7"/>
  <c r="AS1005" i="7"/>
  <c r="AP1005" i="7"/>
  <c r="AN1005" i="7"/>
  <c r="AS1200" i="7"/>
  <c r="AP1200" i="7"/>
  <c r="AN1200" i="7"/>
  <c r="AS1171" i="7"/>
  <c r="AN1171" i="7"/>
  <c r="AP1171" i="7"/>
  <c r="AS333" i="7"/>
  <c r="AP333" i="7"/>
  <c r="AN333" i="7"/>
  <c r="AS1240" i="7"/>
  <c r="AN1240" i="7"/>
  <c r="AP1240" i="7"/>
  <c r="AS989" i="7"/>
  <c r="AN989" i="7"/>
  <c r="AP989" i="7"/>
  <c r="AS919" i="7"/>
  <c r="AN919" i="7"/>
  <c r="AP919" i="7"/>
  <c r="AS1114" i="7"/>
  <c r="AP1114" i="7"/>
  <c r="AN1114" i="7"/>
  <c r="AS231" i="7"/>
  <c r="AP231" i="7"/>
  <c r="AN231" i="7"/>
  <c r="AS947" i="7"/>
  <c r="AN947" i="7"/>
  <c r="AP947" i="7"/>
  <c r="AS1132" i="7"/>
  <c r="AP1132" i="7"/>
  <c r="AN1132" i="7"/>
  <c r="AS1172" i="7"/>
  <c r="AN1172" i="7"/>
  <c r="AP1172" i="7"/>
  <c r="AS1242" i="7"/>
  <c r="AP1242" i="7"/>
  <c r="AN1242" i="7"/>
  <c r="AS358" i="7"/>
  <c r="AP358" i="7"/>
  <c r="AN358" i="7"/>
  <c r="AS331" i="7"/>
  <c r="AP331" i="7"/>
  <c r="AN331" i="7"/>
  <c r="AS373" i="7"/>
  <c r="AP373" i="7"/>
  <c r="AN373" i="7"/>
  <c r="AS357" i="7"/>
  <c r="AN357" i="7"/>
  <c r="AP357" i="7"/>
  <c r="AS399" i="7"/>
  <c r="AP399" i="7"/>
  <c r="AN399" i="7"/>
  <c r="AS1258" i="7"/>
  <c r="AN1258" i="7"/>
  <c r="AP1258" i="7"/>
  <c r="AS879" i="7"/>
  <c r="AN879" i="7"/>
  <c r="AP879" i="7"/>
  <c r="AS1116" i="7"/>
  <c r="AN1116" i="7"/>
  <c r="AP1116" i="7"/>
  <c r="AS1088" i="7"/>
  <c r="AP1088" i="7"/>
  <c r="AN1088" i="7"/>
  <c r="AS903" i="7"/>
  <c r="AP903" i="7"/>
  <c r="AN903" i="7"/>
  <c r="AS861" i="7"/>
  <c r="AP861" i="7"/>
  <c r="AN861" i="7"/>
  <c r="AS376" i="7"/>
  <c r="AP376" i="7"/>
  <c r="AN376" i="7"/>
  <c r="AS1090" i="7"/>
  <c r="AN1090" i="7"/>
  <c r="AP1090" i="7"/>
  <c r="AS1115" i="7"/>
  <c r="AN1115" i="7"/>
  <c r="AP1115" i="7"/>
  <c r="AS1198" i="7"/>
  <c r="AP1198" i="7"/>
  <c r="AN1198" i="7"/>
  <c r="AS292" i="7"/>
  <c r="AN292" i="7"/>
  <c r="AP292" i="7"/>
  <c r="AS250" i="7"/>
  <c r="AN250" i="7"/>
  <c r="AP250" i="7"/>
  <c r="AS417" i="7"/>
  <c r="AN417" i="7"/>
  <c r="AP417" i="7"/>
  <c r="AS1155" i="7"/>
  <c r="AP1155" i="7"/>
  <c r="AN1155" i="7"/>
  <c r="AS375" i="7"/>
  <c r="AN375" i="7"/>
  <c r="AP375" i="7"/>
  <c r="AS1072" i="7"/>
  <c r="AP1072" i="7"/>
  <c r="AN1072" i="7"/>
  <c r="AS988" i="7"/>
  <c r="AP988" i="7"/>
  <c r="AN988" i="7"/>
  <c r="AS1087" i="7"/>
  <c r="AP1087" i="7"/>
  <c r="AN1087" i="7"/>
  <c r="AS1130" i="7"/>
  <c r="AP1130" i="7"/>
  <c r="AN1130" i="7"/>
  <c r="AS878" i="7"/>
  <c r="AP878" i="7"/>
  <c r="AN878" i="7"/>
  <c r="AS374" i="7"/>
  <c r="AP374" i="7"/>
  <c r="AN374" i="7"/>
  <c r="AS961" i="7"/>
  <c r="AN961" i="7"/>
  <c r="AP961" i="7"/>
  <c r="AS1158" i="7"/>
  <c r="AP1158" i="7"/>
  <c r="AN1158" i="7"/>
  <c r="AS1197" i="7"/>
  <c r="AN1197" i="7"/>
  <c r="AP1197" i="7"/>
  <c r="AS249" i="7"/>
  <c r="AP249" i="7"/>
  <c r="AN249" i="7"/>
  <c r="AS1048" i="7"/>
  <c r="AN1048" i="7"/>
  <c r="AP1048" i="7"/>
  <c r="AS1156" i="7"/>
  <c r="AN1156" i="7"/>
  <c r="AP1156" i="7"/>
  <c r="AS1199" i="7"/>
  <c r="AP1199" i="7"/>
  <c r="AN1199" i="7"/>
  <c r="AS1174" i="7"/>
  <c r="AP1174" i="7"/>
  <c r="AN1174" i="7"/>
  <c r="AS864" i="7"/>
  <c r="AP864" i="7"/>
  <c r="AN864" i="7"/>
  <c r="AS1031" i="7"/>
  <c r="AN1031" i="7"/>
  <c r="AP1031" i="7"/>
  <c r="AS247" i="7"/>
  <c r="AN247" i="7"/>
  <c r="AP247" i="7"/>
  <c r="AS1216" i="7"/>
  <c r="AP1216" i="7"/>
  <c r="AN1216" i="7"/>
  <c r="AS863" i="7"/>
  <c r="AP863" i="7"/>
  <c r="AN863" i="7"/>
  <c r="AS1073" i="7"/>
  <c r="AN1073" i="7"/>
  <c r="AP1073" i="7"/>
  <c r="AS1214" i="7"/>
  <c r="AN1214" i="7"/>
  <c r="AP1214" i="7"/>
  <c r="AS317" i="7"/>
  <c r="AN317" i="7"/>
  <c r="AP317" i="7"/>
  <c r="AS289" i="7"/>
  <c r="AP289" i="7"/>
  <c r="AN289" i="7"/>
  <c r="AS962" i="7"/>
  <c r="AN962" i="7"/>
  <c r="AP962" i="7"/>
  <c r="AS415" i="7"/>
  <c r="AP415" i="7"/>
  <c r="AN415" i="7"/>
  <c r="AS360" i="7"/>
  <c r="AN360" i="7"/>
  <c r="AP360" i="7"/>
  <c r="AS1215" i="7"/>
  <c r="AP1215" i="7"/>
  <c r="AN1215" i="7"/>
  <c r="AS1113" i="7"/>
  <c r="AP1113" i="7"/>
  <c r="AN1113" i="7"/>
  <c r="AS1029" i="7"/>
  <c r="AP1029" i="7"/>
  <c r="AN1029" i="7"/>
  <c r="AS1089" i="7"/>
  <c r="AP1089" i="7"/>
  <c r="AN1089" i="7"/>
  <c r="AS248" i="7"/>
  <c r="AP248" i="7"/>
  <c r="AN248" i="7"/>
  <c r="AS274" i="7"/>
  <c r="AP274" i="7"/>
  <c r="AN274" i="7"/>
  <c r="AS232" i="7"/>
  <c r="AN232" i="7"/>
  <c r="AP232" i="7"/>
  <c r="AS1157" i="7"/>
  <c r="AN1157" i="7"/>
  <c r="AP1157" i="7"/>
  <c r="AS234" i="7"/>
  <c r="AP234" i="7"/>
  <c r="AN234" i="7"/>
  <c r="AS862" i="7"/>
  <c r="AN862" i="7"/>
  <c r="AP862" i="7"/>
  <c r="AS945" i="7"/>
  <c r="AP945" i="7"/>
  <c r="AN945" i="7"/>
  <c r="AS877" i="7"/>
  <c r="AP877" i="7"/>
  <c r="AN877" i="7"/>
  <c r="AS1071" i="7"/>
  <c r="AP1071" i="7"/>
  <c r="AN1071" i="7"/>
  <c r="AS964" i="7"/>
  <c r="AP964" i="7"/>
  <c r="AN964" i="7"/>
  <c r="AS1241" i="7"/>
  <c r="AN1241" i="7"/>
  <c r="AP1241" i="7"/>
  <c r="AS921" i="7"/>
  <c r="AP921" i="7"/>
  <c r="AN921" i="7"/>
  <c r="AS273" i="7"/>
  <c r="AP273" i="7"/>
  <c r="AN273" i="7"/>
  <c r="AS1046" i="7"/>
  <c r="AP1046" i="7"/>
  <c r="AN1046" i="7"/>
  <c r="AS920" i="7"/>
  <c r="AN920" i="7"/>
  <c r="AP920" i="7"/>
  <c r="AS904" i="7"/>
  <c r="AN904" i="7"/>
  <c r="AP904" i="7"/>
  <c r="AS233" i="7"/>
  <c r="AP233" i="7"/>
  <c r="AN233" i="7"/>
  <c r="AS418" i="7"/>
  <c r="AP418" i="7"/>
  <c r="AN418" i="7"/>
  <c r="AS1032" i="7"/>
  <c r="AP1032" i="7"/>
  <c r="AN1032" i="7"/>
  <c r="AS1003" i="7"/>
  <c r="AP1003" i="7"/>
  <c r="AN1003" i="7"/>
  <c r="AS276" i="7"/>
  <c r="AP276" i="7"/>
  <c r="AN276" i="7"/>
  <c r="AS1239" i="7"/>
  <c r="AP1239" i="7"/>
  <c r="AN1239" i="7"/>
  <c r="AS315" i="7"/>
  <c r="AP315" i="7"/>
  <c r="AN315" i="7"/>
  <c r="AS1004" i="7"/>
  <c r="AP1004" i="7"/>
  <c r="AN1004" i="7"/>
  <c r="AS1047" i="7"/>
  <c r="AP1047" i="7"/>
  <c r="AN1047" i="7"/>
  <c r="AS1213" i="7"/>
  <c r="AN1213" i="7"/>
  <c r="AP1213" i="7"/>
  <c r="BS46" i="8"/>
  <c r="BS16" i="8"/>
  <c r="BS17" i="8"/>
  <c r="BS18" i="8"/>
  <c r="BS19" i="8"/>
  <c r="BS15" i="8"/>
  <c r="I816" i="7" l="1"/>
  <c r="J815" i="7"/>
  <c r="I774" i="7"/>
  <c r="J773" i="7"/>
  <c r="I732" i="7"/>
  <c r="J731" i="7"/>
  <c r="I690" i="7"/>
  <c r="J689" i="7"/>
  <c r="J646" i="7"/>
  <c r="I647" i="7"/>
  <c r="I605" i="7"/>
  <c r="J604" i="7"/>
  <c r="I566" i="7"/>
  <c r="J565" i="7"/>
  <c r="I522" i="7"/>
  <c r="J521" i="7"/>
  <c r="I479" i="7"/>
  <c r="J478" i="7"/>
  <c r="I439" i="7"/>
  <c r="J438" i="7"/>
  <c r="J816" i="7" l="1"/>
  <c r="I817" i="7"/>
  <c r="J774" i="7"/>
  <c r="I775" i="7"/>
  <c r="J732" i="7"/>
  <c r="I733" i="7"/>
  <c r="J690" i="7"/>
  <c r="I691" i="7"/>
  <c r="J647" i="7"/>
  <c r="I648" i="7"/>
  <c r="J605" i="7"/>
  <c r="I606" i="7"/>
  <c r="J566" i="7"/>
  <c r="I567" i="7"/>
  <c r="J522" i="7"/>
  <c r="I523" i="7"/>
  <c r="J479" i="7"/>
  <c r="I480" i="7"/>
  <c r="J439" i="7"/>
  <c r="I440" i="7"/>
  <c r="B6" i="8"/>
  <c r="N1023" i="3"/>
  <c r="AH362" i="1"/>
  <c r="I369" i="1"/>
  <c r="I368" i="1"/>
  <c r="I367" i="1"/>
  <c r="I366" i="1"/>
  <c r="I365" i="1"/>
  <c r="I364" i="1"/>
  <c r="I363" i="1"/>
  <c r="I362" i="1"/>
  <c r="I361" i="1"/>
  <c r="I360" i="1"/>
  <c r="I195" i="1"/>
  <c r="I194" i="1"/>
  <c r="I193" i="1"/>
  <c r="I192" i="1"/>
  <c r="I185" i="1"/>
  <c r="I184" i="1"/>
  <c r="I183" i="1"/>
  <c r="I182" i="1"/>
  <c r="I143" i="1"/>
  <c r="I142" i="1"/>
  <c r="I141" i="1"/>
  <c r="I140" i="1"/>
  <c r="H178" i="4"/>
  <c r="H176" i="4"/>
  <c r="H175" i="4"/>
  <c r="H174" i="4"/>
  <c r="H171" i="4"/>
  <c r="H170" i="4"/>
  <c r="H169" i="4"/>
  <c r="H166" i="4"/>
  <c r="H165" i="4"/>
  <c r="H164" i="4"/>
  <c r="H163" i="4"/>
  <c r="H162" i="4"/>
  <c r="H161" i="4"/>
  <c r="F178" i="4"/>
  <c r="F176" i="4"/>
  <c r="F175" i="4"/>
  <c r="F174" i="4"/>
  <c r="F171" i="4"/>
  <c r="F170" i="4"/>
  <c r="F169" i="4"/>
  <c r="F166" i="4"/>
  <c r="F165" i="4"/>
  <c r="F164" i="4"/>
  <c r="F163" i="4"/>
  <c r="F162" i="4"/>
  <c r="F161" i="4"/>
  <c r="H128" i="4"/>
  <c r="H125" i="4"/>
  <c r="H122" i="4"/>
  <c r="H121" i="4"/>
  <c r="H120" i="4"/>
  <c r="H119" i="4"/>
  <c r="H118" i="4"/>
  <c r="H117" i="4"/>
  <c r="H116" i="4"/>
  <c r="H115" i="4"/>
  <c r="H114" i="4"/>
  <c r="H113" i="4"/>
  <c r="F128" i="4"/>
  <c r="F125" i="4"/>
  <c r="F122" i="4"/>
  <c r="F121" i="4"/>
  <c r="F120" i="4"/>
  <c r="F119" i="4"/>
  <c r="F118" i="4"/>
  <c r="F117" i="4"/>
  <c r="F116" i="4"/>
  <c r="F115" i="4"/>
  <c r="F114" i="4"/>
  <c r="F113" i="4"/>
  <c r="J140" i="5"/>
  <c r="H20" i="5"/>
  <c r="F67" i="5"/>
  <c r="G67" i="5"/>
  <c r="D19" i="5"/>
  <c r="D141" i="5"/>
  <c r="G18" i="5"/>
  <c r="I68" i="5"/>
  <c r="G20" i="5"/>
  <c r="J67" i="5"/>
  <c r="J143" i="5"/>
  <c r="J141" i="5"/>
  <c r="H144" i="5"/>
  <c r="F144" i="5"/>
  <c r="C67" i="5"/>
  <c r="I144" i="5"/>
  <c r="D126" i="4" a="1"/>
  <c r="H19" i="5"/>
  <c r="D143" i="4" a="1"/>
  <c r="H68" i="5"/>
  <c r="D142" i="5"/>
  <c r="K66" i="5"/>
  <c r="J64" i="5"/>
  <c r="E140" i="5"/>
  <c r="J68" i="5"/>
  <c r="J71" i="5"/>
  <c r="I71" i="5"/>
  <c r="H16" i="5"/>
  <c r="J17" i="5"/>
  <c r="I140" i="5"/>
  <c r="F15" i="5"/>
  <c r="D70" i="5"/>
  <c r="D140" i="4" a="1"/>
  <c r="D150" i="4" a="1"/>
  <c r="G15" i="5"/>
  <c r="F70" i="5"/>
  <c r="I64" i="5"/>
  <c r="D148" i="4" a="1"/>
  <c r="E16" i="5"/>
  <c r="J20" i="5"/>
  <c r="D144" i="5"/>
  <c r="I14" i="5"/>
  <c r="E18" i="5"/>
  <c r="G69" i="5"/>
  <c r="F18" i="5"/>
  <c r="F69" i="5"/>
  <c r="D66" i="5"/>
  <c r="E15" i="5"/>
  <c r="K68" i="5"/>
  <c r="H141" i="5"/>
  <c r="F17" i="5"/>
  <c r="G66" i="5"/>
  <c r="D16" i="5"/>
  <c r="H14" i="5"/>
  <c r="H70" i="5"/>
  <c r="C66" i="5"/>
  <c r="D94" i="4" a="1"/>
  <c r="I18" i="5"/>
  <c r="F141" i="5"/>
  <c r="D68" i="5"/>
  <c r="C20" i="5"/>
  <c r="F71" i="5"/>
  <c r="J15" i="5"/>
  <c r="I66" i="5"/>
  <c r="D20" i="5"/>
  <c r="D70" i="4" a="1"/>
  <c r="F65" i="5"/>
  <c r="E142" i="5"/>
  <c r="D65" i="5"/>
  <c r="I15" i="5"/>
  <c r="C18" i="5"/>
  <c r="C65" i="5"/>
  <c r="E66" i="5"/>
  <c r="C143" i="5"/>
  <c r="D21" i="4" a="1"/>
  <c r="E69" i="5"/>
  <c r="F140" i="5"/>
  <c r="G141" i="5"/>
  <c r="H18" i="5"/>
  <c r="E141" i="5"/>
  <c r="D110" i="4" a="1"/>
  <c r="K69" i="5"/>
  <c r="H64" i="5"/>
  <c r="I13" i="5"/>
  <c r="D143" i="5"/>
  <c r="F68" i="5"/>
  <c r="C140" i="5"/>
  <c r="H143" i="5"/>
  <c r="D18" i="5"/>
  <c r="H140" i="5"/>
  <c r="C144" i="5"/>
  <c r="E17" i="5"/>
  <c r="C70" i="5"/>
  <c r="F142" i="5"/>
  <c r="D14" i="5"/>
  <c r="K67" i="5"/>
  <c r="I65" i="5"/>
  <c r="C15" i="5"/>
  <c r="F66" i="5"/>
  <c r="J144" i="5"/>
  <c r="H66" i="5"/>
  <c r="J65" i="5"/>
  <c r="C142" i="5"/>
  <c r="H65" i="5"/>
  <c r="D69" i="5"/>
  <c r="D184" i="4" a="1"/>
  <c r="G14" i="5"/>
  <c r="I69" i="5"/>
  <c r="E20" i="5"/>
  <c r="D84" i="4" a="1"/>
  <c r="C16" i="5"/>
  <c r="G13" i="5"/>
  <c r="E64" i="5"/>
  <c r="H67" i="5"/>
  <c r="G142" i="5"/>
  <c r="E68" i="5"/>
  <c r="G16" i="5"/>
  <c r="C14" i="5"/>
  <c r="K70" i="5"/>
  <c r="F143" i="5"/>
  <c r="E19" i="5"/>
  <c r="F13" i="5"/>
  <c r="C71" i="5"/>
  <c r="I67" i="5"/>
  <c r="D71" i="5"/>
  <c r="H71" i="5"/>
  <c r="E71" i="5"/>
  <c r="G65" i="5"/>
  <c r="I20" i="5"/>
  <c r="H17" i="5"/>
  <c r="D186" i="4" a="1"/>
  <c r="D145" i="4" a="1"/>
  <c r="D15" i="5"/>
  <c r="J66" i="5"/>
  <c r="F64" i="5"/>
  <c r="G68" i="5"/>
  <c r="D13" i="5"/>
  <c r="E70" i="5"/>
  <c r="C141" i="5"/>
  <c r="I17" i="5"/>
  <c r="G17" i="5"/>
  <c r="D106" i="4" a="1"/>
  <c r="G70" i="5"/>
  <c r="I143" i="5"/>
  <c r="H69" i="5"/>
  <c r="E13" i="5"/>
  <c r="J18" i="5"/>
  <c r="J14" i="5"/>
  <c r="G64" i="5"/>
  <c r="G144" i="5"/>
  <c r="E143" i="5"/>
  <c r="H15" i="5"/>
  <c r="C69" i="5"/>
  <c r="F19" i="5"/>
  <c r="D64" i="5"/>
  <c r="K64" i="5"/>
  <c r="E67" i="5"/>
  <c r="J142" i="5"/>
  <c r="I142" i="5"/>
  <c r="D67" i="5"/>
  <c r="G143" i="5"/>
  <c r="D7" i="4" a="1"/>
  <c r="D123" i="4" a="1"/>
  <c r="J16" i="5"/>
  <c r="G71" i="5"/>
  <c r="C19" i="5"/>
  <c r="H142" i="5"/>
  <c r="D140" i="5"/>
  <c r="F16" i="5"/>
  <c r="F14" i="5"/>
  <c r="C17" i="5"/>
  <c r="K71" i="5"/>
  <c r="J70" i="5"/>
  <c r="D75" i="4" a="1"/>
  <c r="K65" i="5"/>
  <c r="D130" i="4" a="1"/>
  <c r="E65" i="5"/>
  <c r="G19" i="5"/>
  <c r="D68" i="4" a="1"/>
  <c r="G140" i="5"/>
  <c r="D100" i="4" a="1"/>
  <c r="I16" i="5"/>
  <c r="J13" i="5"/>
  <c r="I70" i="5"/>
  <c r="J19" i="5"/>
  <c r="D97" i="4" a="1"/>
  <c r="E144" i="5"/>
  <c r="C68" i="5"/>
  <c r="J69" i="5"/>
  <c r="I141" i="5"/>
  <c r="F20" i="5"/>
  <c r="D17" i="5"/>
  <c r="D144" i="4" a="1"/>
  <c r="H13" i="5"/>
  <c r="E14" i="5"/>
  <c r="I19" i="5"/>
  <c r="C13" i="5"/>
  <c r="D104" i="4" a="1"/>
  <c r="F150" i="5" l="1"/>
  <c r="C148" i="5"/>
  <c r="D149" i="5"/>
  <c r="F149" i="5"/>
  <c r="D148" i="5"/>
  <c r="J150" i="5"/>
  <c r="H151" i="5"/>
  <c r="I151" i="5"/>
  <c r="J147" i="5"/>
  <c r="C151" i="5"/>
  <c r="E149" i="5"/>
  <c r="F147" i="5"/>
  <c r="H149" i="5"/>
  <c r="C149" i="5"/>
  <c r="H147" i="5"/>
  <c r="J149" i="5"/>
  <c r="E147" i="5"/>
  <c r="C150" i="5"/>
  <c r="I148" i="5"/>
  <c r="I149" i="5"/>
  <c r="H148" i="5"/>
  <c r="E151" i="5"/>
  <c r="G149" i="5"/>
  <c r="D151" i="5"/>
  <c r="G148" i="5"/>
  <c r="F148" i="5"/>
  <c r="G151" i="5"/>
  <c r="I147" i="5"/>
  <c r="G147" i="5"/>
  <c r="H150" i="5"/>
  <c r="F151" i="5"/>
  <c r="D150" i="5"/>
  <c r="G150" i="5"/>
  <c r="D147" i="5"/>
  <c r="J148" i="5"/>
  <c r="J151" i="5"/>
  <c r="C147" i="5"/>
  <c r="I150" i="5"/>
  <c r="E148" i="5"/>
  <c r="E150" i="5"/>
  <c r="H28" i="5"/>
  <c r="C26" i="5"/>
  <c r="J24" i="5"/>
  <c r="I26" i="5"/>
  <c r="H25" i="5"/>
  <c r="H27" i="5"/>
  <c r="C31" i="5"/>
  <c r="I28" i="5"/>
  <c r="J28" i="5"/>
  <c r="F24" i="5"/>
  <c r="D30" i="5"/>
  <c r="G31" i="5"/>
  <c r="G26" i="5"/>
  <c r="D25" i="5"/>
  <c r="F31" i="5"/>
  <c r="G24" i="5"/>
  <c r="E29" i="5"/>
  <c r="F30" i="5"/>
  <c r="F28" i="5"/>
  <c r="E30" i="5"/>
  <c r="I31" i="5"/>
  <c r="G27" i="5"/>
  <c r="J25" i="5"/>
  <c r="E27" i="5"/>
  <c r="D24" i="5"/>
  <c r="F27" i="5"/>
  <c r="J29" i="5"/>
  <c r="G28" i="5"/>
  <c r="I24" i="5"/>
  <c r="E26" i="5"/>
  <c r="H31" i="5"/>
  <c r="H26" i="5"/>
  <c r="I30" i="5"/>
  <c r="E24" i="5"/>
  <c r="H24" i="5"/>
  <c r="D31" i="5"/>
  <c r="D28" i="5"/>
  <c r="D26" i="5"/>
  <c r="E25" i="5"/>
  <c r="J30" i="5"/>
  <c r="E31" i="5"/>
  <c r="G25" i="5"/>
  <c r="D27" i="5"/>
  <c r="I29" i="5"/>
  <c r="G30" i="5"/>
  <c r="H30" i="5"/>
  <c r="C28" i="5"/>
  <c r="J27" i="5"/>
  <c r="C24" i="5"/>
  <c r="F29" i="5"/>
  <c r="C29" i="5"/>
  <c r="C30" i="5"/>
  <c r="C27" i="5"/>
  <c r="F25" i="5"/>
  <c r="G29" i="5"/>
  <c r="C25" i="5"/>
  <c r="H29" i="5"/>
  <c r="D29" i="5"/>
  <c r="I25" i="5"/>
  <c r="E28" i="5"/>
  <c r="J31" i="5"/>
  <c r="F26" i="5"/>
  <c r="I27" i="5"/>
  <c r="J26" i="5"/>
  <c r="D102" i="5"/>
  <c r="D101" i="5"/>
  <c r="D100" i="5"/>
  <c r="D99" i="5"/>
  <c r="D98" i="5"/>
  <c r="D97" i="5"/>
  <c r="D96" i="5"/>
  <c r="D95" i="5"/>
  <c r="D94" i="5"/>
  <c r="E102" i="5"/>
  <c r="E101" i="5"/>
  <c r="E100" i="5"/>
  <c r="E99" i="5"/>
  <c r="E98" i="5"/>
  <c r="E97" i="5"/>
  <c r="E96" i="5"/>
  <c r="E95" i="5"/>
  <c r="E94" i="5"/>
  <c r="F100" i="5"/>
  <c r="F97" i="5"/>
  <c r="F95" i="5"/>
  <c r="F102" i="5"/>
  <c r="F101" i="5"/>
  <c r="F99" i="5"/>
  <c r="F98" i="5"/>
  <c r="F96" i="5"/>
  <c r="F94" i="5"/>
  <c r="J102" i="5"/>
  <c r="J101" i="5"/>
  <c r="J100" i="5"/>
  <c r="J99" i="5"/>
  <c r="J98" i="5"/>
  <c r="J97" i="5"/>
  <c r="J96" i="5"/>
  <c r="J95" i="5"/>
  <c r="J94" i="5"/>
  <c r="C102" i="5"/>
  <c r="C101" i="5"/>
  <c r="C100" i="5"/>
  <c r="C99" i="5"/>
  <c r="C98" i="5"/>
  <c r="C97" i="5"/>
  <c r="C96" i="5"/>
  <c r="C95" i="5"/>
  <c r="C94" i="5"/>
  <c r="I102" i="5"/>
  <c r="I100" i="5"/>
  <c r="I98" i="5"/>
  <c r="I96" i="5"/>
  <c r="I94" i="5"/>
  <c r="I101" i="5"/>
  <c r="I99" i="5"/>
  <c r="I97" i="5"/>
  <c r="I95" i="5"/>
  <c r="G101" i="5"/>
  <c r="G98" i="5"/>
  <c r="G95" i="5"/>
  <c r="G102" i="5"/>
  <c r="G100" i="5"/>
  <c r="G99" i="5"/>
  <c r="G97" i="5"/>
  <c r="G96" i="5"/>
  <c r="G94" i="5"/>
  <c r="H102" i="5"/>
  <c r="H100" i="5"/>
  <c r="H99" i="5"/>
  <c r="H97" i="5"/>
  <c r="H95" i="5"/>
  <c r="H101" i="5"/>
  <c r="H98" i="5"/>
  <c r="H96" i="5"/>
  <c r="H94" i="5"/>
  <c r="D51" i="5"/>
  <c r="D52" i="5"/>
  <c r="D53" i="5"/>
  <c r="D54" i="5"/>
  <c r="D55" i="5"/>
  <c r="C52" i="5"/>
  <c r="C54" i="5"/>
  <c r="C53" i="5"/>
  <c r="C51" i="5"/>
  <c r="C55" i="5"/>
  <c r="J54" i="5"/>
  <c r="J55" i="5"/>
  <c r="J51" i="5"/>
  <c r="J52" i="5"/>
  <c r="J53" i="5"/>
  <c r="F51" i="5"/>
  <c r="F52" i="5"/>
  <c r="F53" i="5"/>
  <c r="F54" i="5"/>
  <c r="F55" i="5"/>
  <c r="H52" i="5"/>
  <c r="H53" i="5"/>
  <c r="H51" i="5"/>
  <c r="H54" i="5"/>
  <c r="H55" i="5"/>
  <c r="I51" i="5"/>
  <c r="I53" i="5"/>
  <c r="I54" i="5"/>
  <c r="I52" i="5"/>
  <c r="I55" i="5"/>
  <c r="G52" i="5"/>
  <c r="G53" i="5"/>
  <c r="G55" i="5"/>
  <c r="G54" i="5"/>
  <c r="G51" i="5"/>
  <c r="E51" i="5"/>
  <c r="E55" i="5"/>
  <c r="E53" i="5"/>
  <c r="E54" i="5"/>
  <c r="E52" i="5"/>
  <c r="D21" i="5"/>
  <c r="D32" i="5" s="1"/>
  <c r="C21" i="5"/>
  <c r="C32" i="5" s="1"/>
  <c r="J21" i="5"/>
  <c r="J32" i="5" s="1"/>
  <c r="F21" i="5"/>
  <c r="F32" i="5" s="1"/>
  <c r="H21" i="5"/>
  <c r="H32" i="5" s="1"/>
  <c r="I21" i="5"/>
  <c r="I32" i="5" s="1"/>
  <c r="G21" i="5"/>
  <c r="G32" i="5" s="1"/>
  <c r="E21" i="5"/>
  <c r="E32" i="5" s="1"/>
  <c r="I818" i="7"/>
  <c r="J817" i="7"/>
  <c r="I776" i="7"/>
  <c r="J775" i="7"/>
  <c r="I734" i="7"/>
  <c r="J733" i="7"/>
  <c r="I692" i="7"/>
  <c r="J691" i="7"/>
  <c r="I649" i="7"/>
  <c r="J648" i="7"/>
  <c r="J606" i="7"/>
  <c r="I607" i="7"/>
  <c r="J567" i="7"/>
  <c r="I568" i="7"/>
  <c r="I524" i="7"/>
  <c r="J523" i="7"/>
  <c r="J480" i="7"/>
  <c r="I481" i="7"/>
  <c r="J440" i="7"/>
  <c r="I441" i="7"/>
  <c r="D14" i="3"/>
  <c r="AH142" i="1"/>
  <c r="D7" i="4"/>
  <c r="AH182" i="1"/>
  <c r="D23" i="3"/>
  <c r="D24" i="3"/>
  <c r="D144" i="4"/>
  <c r="D143" i="4"/>
  <c r="D145" i="4"/>
  <c r="D148" i="4"/>
  <c r="D70" i="4"/>
  <c r="N423" i="3"/>
  <c r="N323" i="3"/>
  <c r="D25" i="3"/>
  <c r="N523" i="3"/>
  <c r="D27" i="3"/>
  <c r="N623" i="3"/>
  <c r="D29" i="3"/>
  <c r="N723" i="3"/>
  <c r="D31" i="3"/>
  <c r="N823" i="3"/>
  <c r="D17" i="3"/>
  <c r="N923" i="3"/>
  <c r="D49" i="3"/>
  <c r="D83" i="3"/>
  <c r="D18" i="3"/>
  <c r="D26" i="3"/>
  <c r="D15" i="3"/>
  <c r="D28" i="3"/>
  <c r="D30" i="3"/>
  <c r="AH361" i="1"/>
  <c r="AH143" i="1"/>
  <c r="AH185" i="1"/>
  <c r="AH184" i="1"/>
  <c r="AH367" i="1"/>
  <c r="AH363" i="1"/>
  <c r="AH365" i="1"/>
  <c r="AH364" i="1"/>
  <c r="AH366" i="1"/>
  <c r="AH360" i="1"/>
  <c r="AH368" i="1"/>
  <c r="AH140" i="1"/>
  <c r="D140" i="4"/>
  <c r="D68" i="4"/>
  <c r="D75" i="4"/>
  <c r="D97" i="4"/>
  <c r="D110" i="4"/>
  <c r="D100" i="4"/>
  <c r="D123" i="4"/>
  <c r="D150" i="4"/>
  <c r="D104" i="4"/>
  <c r="D126" i="4"/>
  <c r="D21" i="4"/>
  <c r="D84" i="4"/>
  <c r="D184" i="4"/>
  <c r="D94" i="4"/>
  <c r="D106" i="4"/>
  <c r="D130" i="4"/>
  <c r="D186" i="4"/>
  <c r="H143" i="4" l="1"/>
  <c r="H140" i="4"/>
  <c r="H70" i="4"/>
  <c r="H68" i="4"/>
  <c r="J818" i="7"/>
  <c r="I819" i="7"/>
  <c r="J776" i="7"/>
  <c r="I777" i="7"/>
  <c r="J734" i="7"/>
  <c r="I735" i="7"/>
  <c r="I693" i="7"/>
  <c r="J692" i="7"/>
  <c r="J649" i="7"/>
  <c r="I650" i="7"/>
  <c r="I608" i="7"/>
  <c r="J607" i="7"/>
  <c r="I569" i="7"/>
  <c r="J568" i="7"/>
  <c r="J524" i="7"/>
  <c r="I525" i="7"/>
  <c r="J481" i="7"/>
  <c r="I482" i="7"/>
  <c r="I442" i="7"/>
  <c r="J441" i="7"/>
  <c r="F7" i="4"/>
  <c r="H7" i="4"/>
  <c r="F144" i="4"/>
  <c r="H144" i="4"/>
  <c r="F143" i="4"/>
  <c r="H145" i="4"/>
  <c r="F145" i="4"/>
  <c r="H148" i="4"/>
  <c r="F148" i="4"/>
  <c r="F70" i="4"/>
  <c r="F140" i="4"/>
  <c r="F68" i="4"/>
  <c r="F186" i="4"/>
  <c r="H186" i="4"/>
  <c r="F184" i="4"/>
  <c r="H184" i="4"/>
  <c r="F150" i="4"/>
  <c r="H150" i="4"/>
  <c r="H130" i="4"/>
  <c r="F130" i="4"/>
  <c r="F126" i="4"/>
  <c r="H126" i="4"/>
  <c r="F123" i="4"/>
  <c r="H123" i="4"/>
  <c r="F110" i="4"/>
  <c r="H110" i="4"/>
  <c r="F97" i="4"/>
  <c r="H97" i="4"/>
  <c r="F104" i="4"/>
  <c r="H104" i="4"/>
  <c r="F106" i="4"/>
  <c r="H106" i="4"/>
  <c r="F94" i="4"/>
  <c r="H94" i="4"/>
  <c r="F100" i="4"/>
  <c r="H100" i="4"/>
  <c r="F84" i="4"/>
  <c r="H84" i="4"/>
  <c r="F82" i="4"/>
  <c r="H82" i="4"/>
  <c r="F75" i="4"/>
  <c r="H75" i="4"/>
  <c r="F21" i="4"/>
  <c r="H21" i="4"/>
  <c r="J819" i="7" l="1"/>
  <c r="I820" i="7"/>
  <c r="J777" i="7"/>
  <c r="I778" i="7"/>
  <c r="J735" i="7"/>
  <c r="I736" i="7"/>
  <c r="J693" i="7"/>
  <c r="I694" i="7"/>
  <c r="J650" i="7"/>
  <c r="I651" i="7"/>
  <c r="J608" i="7"/>
  <c r="I609" i="7"/>
  <c r="J569" i="7"/>
  <c r="I570" i="7"/>
  <c r="J525" i="7"/>
  <c r="I526" i="7"/>
  <c r="J482" i="7"/>
  <c r="I483" i="7"/>
  <c r="J442" i="7"/>
  <c r="I443" i="7"/>
  <c r="B5" i="4"/>
  <c r="H1" i="4"/>
  <c r="G1" i="4"/>
  <c r="F1" i="4"/>
  <c r="E1" i="4"/>
  <c r="D1" i="4"/>
  <c r="C1" i="4"/>
  <c r="H392" i="1"/>
  <c r="C96" i="6"/>
  <c r="J96" i="6"/>
  <c r="I96" i="6"/>
  <c r="H96" i="6"/>
  <c r="G96" i="6"/>
  <c r="F96" i="6"/>
  <c r="E96" i="6"/>
  <c r="J95" i="6"/>
  <c r="I95" i="6"/>
  <c r="H95" i="6"/>
  <c r="G95" i="6"/>
  <c r="F95" i="6"/>
  <c r="E95" i="6"/>
  <c r="D96" i="6"/>
  <c r="D95" i="6"/>
  <c r="B137" i="5"/>
  <c r="B107" i="5"/>
  <c r="BW7" i="8"/>
  <c r="BX7" i="8"/>
  <c r="BY7" i="8"/>
  <c r="BZ7" i="8"/>
  <c r="CA7" i="8"/>
  <c r="CB7" i="8"/>
  <c r="CC7" i="8"/>
  <c r="CD7" i="8"/>
  <c r="CE7" i="8"/>
  <c r="CF7" i="8"/>
  <c r="CG7" i="8"/>
  <c r="CH7" i="8"/>
  <c r="CI7" i="8"/>
  <c r="CJ7" i="8"/>
  <c r="CK7" i="8"/>
  <c r="CL7" i="8"/>
  <c r="CM7" i="8"/>
  <c r="CN7" i="8"/>
  <c r="CO7" i="8"/>
  <c r="CP7" i="8"/>
  <c r="CQ7" i="8"/>
  <c r="CR7" i="8"/>
  <c r="CS7" i="8"/>
  <c r="BV7" i="8"/>
  <c r="B1121" i="3"/>
  <c r="B1120" i="3"/>
  <c r="B1119" i="3"/>
  <c r="B1118" i="3"/>
  <c r="B1117" i="3"/>
  <c r="B1116" i="3"/>
  <c r="B1115" i="3"/>
  <c r="B1114" i="3"/>
  <c r="B1113" i="3"/>
  <c r="B1112" i="3"/>
  <c r="B1111" i="3"/>
  <c r="B1110" i="3"/>
  <c r="B1109" i="3"/>
  <c r="B1108" i="3"/>
  <c r="B1107" i="3"/>
  <c r="B1106" i="3"/>
  <c r="B1105" i="3"/>
  <c r="B1104" i="3"/>
  <c r="B1103" i="3"/>
  <c r="B1102" i="3"/>
  <c r="B1101" i="3"/>
  <c r="B1100" i="3"/>
  <c r="B1099" i="3"/>
  <c r="B1098" i="3"/>
  <c r="B1097" i="3"/>
  <c r="B1096" i="3"/>
  <c r="B1095" i="3"/>
  <c r="B1094" i="3"/>
  <c r="B1093" i="3"/>
  <c r="B1092" i="3"/>
  <c r="B1091" i="3"/>
  <c r="B1090" i="3"/>
  <c r="B1089" i="3"/>
  <c r="B1088" i="3"/>
  <c r="B1087" i="3"/>
  <c r="B1086" i="3"/>
  <c r="B1085" i="3"/>
  <c r="B1084" i="3"/>
  <c r="B1083" i="3"/>
  <c r="B1082" i="3"/>
  <c r="B1081" i="3"/>
  <c r="B1080" i="3"/>
  <c r="B1079" i="3"/>
  <c r="B1078" i="3"/>
  <c r="B1077" i="3"/>
  <c r="B1076" i="3"/>
  <c r="B1075" i="3"/>
  <c r="B1074" i="3"/>
  <c r="B1073" i="3"/>
  <c r="B1072" i="3"/>
  <c r="B1071" i="3"/>
  <c r="B1070" i="3"/>
  <c r="B1069" i="3"/>
  <c r="B1068" i="3"/>
  <c r="B1067" i="3"/>
  <c r="B1066" i="3"/>
  <c r="B1065" i="3"/>
  <c r="B1064" i="3"/>
  <c r="B1063" i="3"/>
  <c r="B1062" i="3"/>
  <c r="B1061" i="3"/>
  <c r="B1060" i="3"/>
  <c r="B1059" i="3"/>
  <c r="B1058" i="3"/>
  <c r="B1021" i="3"/>
  <c r="B1020" i="3"/>
  <c r="B1019" i="3"/>
  <c r="B1018" i="3"/>
  <c r="B1017" i="3"/>
  <c r="B1016" i="3"/>
  <c r="B1015" i="3"/>
  <c r="B1014" i="3"/>
  <c r="B1013" i="3"/>
  <c r="B1012" i="3"/>
  <c r="B1011" i="3"/>
  <c r="B1010" i="3"/>
  <c r="B1009" i="3"/>
  <c r="B1008" i="3"/>
  <c r="B1007" i="3"/>
  <c r="B1006" i="3"/>
  <c r="B1005" i="3"/>
  <c r="B1004" i="3"/>
  <c r="B1003" i="3"/>
  <c r="B1002" i="3"/>
  <c r="B1001" i="3"/>
  <c r="B1000" i="3"/>
  <c r="B999" i="3"/>
  <c r="B998" i="3"/>
  <c r="B997" i="3"/>
  <c r="B996" i="3"/>
  <c r="B995" i="3"/>
  <c r="B994" i="3"/>
  <c r="B993" i="3"/>
  <c r="B992" i="3"/>
  <c r="B991" i="3"/>
  <c r="B990" i="3"/>
  <c r="B989" i="3"/>
  <c r="B988" i="3"/>
  <c r="B987" i="3"/>
  <c r="B986" i="3"/>
  <c r="B985" i="3"/>
  <c r="B984" i="3"/>
  <c r="B983" i="3"/>
  <c r="B982" i="3"/>
  <c r="B981" i="3"/>
  <c r="B980" i="3"/>
  <c r="B979" i="3"/>
  <c r="B978" i="3"/>
  <c r="B977" i="3"/>
  <c r="B976" i="3"/>
  <c r="B975" i="3"/>
  <c r="B974" i="3"/>
  <c r="B973" i="3"/>
  <c r="B972" i="3"/>
  <c r="B971" i="3"/>
  <c r="B970" i="3"/>
  <c r="B969" i="3"/>
  <c r="B968" i="3"/>
  <c r="B967" i="3"/>
  <c r="B966" i="3"/>
  <c r="B965" i="3"/>
  <c r="B964" i="3"/>
  <c r="B963" i="3"/>
  <c r="B962" i="3"/>
  <c r="B961" i="3"/>
  <c r="B960" i="3"/>
  <c r="B959" i="3"/>
  <c r="B958" i="3"/>
  <c r="B957" i="3"/>
  <c r="B956" i="3"/>
  <c r="B955" i="3"/>
  <c r="B954" i="3"/>
  <c r="B953" i="3"/>
  <c r="B952" i="3"/>
  <c r="B921" i="3"/>
  <c r="B920" i="3"/>
  <c r="B919" i="3"/>
  <c r="B918" i="3"/>
  <c r="B917" i="3"/>
  <c r="B916" i="3"/>
  <c r="B915" i="3"/>
  <c r="B914" i="3"/>
  <c r="B913" i="3"/>
  <c r="B912" i="3"/>
  <c r="B911" i="3"/>
  <c r="B910" i="3"/>
  <c r="B909" i="3"/>
  <c r="B908" i="3"/>
  <c r="B907" i="3"/>
  <c r="B906" i="3"/>
  <c r="B905" i="3"/>
  <c r="B904" i="3"/>
  <c r="B903" i="3"/>
  <c r="B902" i="3"/>
  <c r="B901" i="3"/>
  <c r="B900" i="3"/>
  <c r="B899" i="3"/>
  <c r="B898" i="3"/>
  <c r="B897" i="3"/>
  <c r="B896" i="3"/>
  <c r="B895" i="3"/>
  <c r="B894" i="3"/>
  <c r="B893" i="3"/>
  <c r="B892" i="3"/>
  <c r="B891" i="3"/>
  <c r="B890" i="3"/>
  <c r="B889" i="3"/>
  <c r="B888" i="3"/>
  <c r="B887" i="3"/>
  <c r="B886" i="3"/>
  <c r="B885" i="3"/>
  <c r="B884" i="3"/>
  <c r="B883" i="3"/>
  <c r="B882" i="3"/>
  <c r="B881" i="3"/>
  <c r="B880" i="3"/>
  <c r="B879" i="3"/>
  <c r="B878" i="3"/>
  <c r="B877" i="3"/>
  <c r="B876" i="3"/>
  <c r="B875" i="3"/>
  <c r="B874" i="3"/>
  <c r="B873" i="3"/>
  <c r="B872" i="3"/>
  <c r="B871" i="3"/>
  <c r="B870" i="3"/>
  <c r="B869" i="3"/>
  <c r="B868" i="3"/>
  <c r="B867" i="3"/>
  <c r="B866" i="3"/>
  <c r="B865" i="3"/>
  <c r="B864" i="3"/>
  <c r="B863" i="3"/>
  <c r="B862" i="3"/>
  <c r="B861" i="3"/>
  <c r="B860" i="3"/>
  <c r="B859" i="3"/>
  <c r="B858" i="3"/>
  <c r="B857" i="3"/>
  <c r="B856" i="3"/>
  <c r="B855" i="3"/>
  <c r="B854"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21" i="3"/>
  <c r="B620" i="3"/>
  <c r="B619" i="3"/>
  <c r="B618" i="3"/>
  <c r="B617" i="3"/>
  <c r="B616" i="3"/>
  <c r="B615" i="3"/>
  <c r="B614" i="3"/>
  <c r="B613" i="3"/>
  <c r="B612" i="3"/>
  <c r="B611" i="3"/>
  <c r="B610" i="3"/>
  <c r="B609" i="3"/>
  <c r="B608" i="3"/>
  <c r="B607" i="3"/>
  <c r="B606" i="3"/>
  <c r="B605" i="3"/>
  <c r="B604" i="3"/>
  <c r="B603" i="3"/>
  <c r="B602" i="3"/>
  <c r="B601" i="3"/>
  <c r="B600" i="3"/>
  <c r="B599" i="3"/>
  <c r="B598" i="3"/>
  <c r="B597" i="3"/>
  <c r="B596" i="3"/>
  <c r="B595" i="3"/>
  <c r="B594" i="3"/>
  <c r="B593" i="3"/>
  <c r="B592" i="3"/>
  <c r="B591" i="3"/>
  <c r="B590" i="3"/>
  <c r="B589" i="3"/>
  <c r="B588" i="3"/>
  <c r="B587" i="3"/>
  <c r="B586" i="3"/>
  <c r="B585" i="3"/>
  <c r="B584" i="3"/>
  <c r="B583" i="3"/>
  <c r="B582" i="3"/>
  <c r="B581" i="3"/>
  <c r="B580" i="3"/>
  <c r="B579" i="3"/>
  <c r="B578" i="3"/>
  <c r="B577" i="3"/>
  <c r="B576" i="3"/>
  <c r="B575" i="3"/>
  <c r="B574" i="3"/>
  <c r="B573" i="3"/>
  <c r="B572" i="3"/>
  <c r="B571" i="3"/>
  <c r="B570" i="3"/>
  <c r="B569" i="3"/>
  <c r="B568" i="3"/>
  <c r="B567" i="3"/>
  <c r="B566" i="3"/>
  <c r="B565" i="3"/>
  <c r="B564" i="3"/>
  <c r="B563" i="3"/>
  <c r="B562" i="3"/>
  <c r="B561" i="3"/>
  <c r="B560" i="3"/>
  <c r="B559" i="3"/>
  <c r="B558" i="3"/>
  <c r="B557" i="3"/>
  <c r="B556" i="3"/>
  <c r="B555" i="3"/>
  <c r="B554" i="3"/>
  <c r="B553" i="3"/>
  <c r="B552" i="3"/>
  <c r="B551" i="3"/>
  <c r="B550" i="3"/>
  <c r="B549" i="3"/>
  <c r="B548" i="3"/>
  <c r="B547" i="3"/>
  <c r="B546" i="3"/>
  <c r="B545" i="3"/>
  <c r="B544" i="3"/>
  <c r="B543" i="3"/>
  <c r="B542" i="3"/>
  <c r="B541"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4" i="3"/>
  <c r="N55" i="3"/>
  <c r="I54" i="3"/>
  <c r="J35" i="3"/>
  <c r="K56" i="3"/>
  <c r="H56" i="3"/>
  <c r="H54" i="3"/>
  <c r="N54" i="3"/>
  <c r="J55" i="3"/>
  <c r="I35" i="3"/>
  <c r="G56" i="3"/>
  <c r="M35" i="3"/>
  <c r="H35" i="3"/>
  <c r="K35" i="3"/>
  <c r="G54" i="3"/>
  <c r="M54" i="3"/>
  <c r="L54" i="3"/>
  <c r="M55" i="3"/>
  <c r="N56" i="3"/>
  <c r="I56" i="3"/>
  <c r="N35" i="3"/>
  <c r="I55" i="3"/>
  <c r="J54" i="3"/>
  <c r="G35" i="3"/>
  <c r="J56" i="3"/>
  <c r="M56" i="3"/>
  <c r="G55" i="3"/>
  <c r="K54" i="3"/>
  <c r="L55" i="3"/>
  <c r="L56" i="3"/>
  <c r="L35" i="3"/>
  <c r="H55" i="3"/>
  <c r="K55" i="3"/>
  <c r="L115" i="3" l="1"/>
  <c r="K115" i="3"/>
  <c r="H115" i="3"/>
  <c r="M115" i="3"/>
  <c r="J115" i="3"/>
  <c r="N115" i="3"/>
  <c r="I115" i="3"/>
  <c r="L1" i="4"/>
  <c r="I821" i="7"/>
  <c r="J820" i="7"/>
  <c r="I779" i="7"/>
  <c r="J778" i="7"/>
  <c r="I737" i="7"/>
  <c r="J736" i="7"/>
  <c r="I695" i="7"/>
  <c r="J694" i="7"/>
  <c r="I652" i="7"/>
  <c r="J651" i="7"/>
  <c r="I610" i="7"/>
  <c r="J609" i="7"/>
  <c r="I571" i="7"/>
  <c r="J570" i="7"/>
  <c r="I527" i="7"/>
  <c r="J526" i="7"/>
  <c r="I484" i="7"/>
  <c r="J483" i="7"/>
  <c r="I444" i="7"/>
  <c r="J443" i="7"/>
  <c r="B64" i="5"/>
  <c r="C12" i="5"/>
  <c r="H375" i="1"/>
  <c r="S338" i="1"/>
  <c r="AB338" i="1" s="1"/>
  <c r="S340" i="1"/>
  <c r="AB340" i="1" s="1"/>
  <c r="S339" i="1"/>
  <c r="AB339" i="1" s="1"/>
  <c r="S330" i="1"/>
  <c r="AB330" i="1" s="1"/>
  <c r="S329" i="1"/>
  <c r="AB329" i="1" s="1"/>
  <c r="S317" i="1"/>
  <c r="AB317" i="1" s="1"/>
  <c r="S316" i="1"/>
  <c r="AB316" i="1" s="1"/>
  <c r="S289" i="1"/>
  <c r="AB289" i="1" s="1"/>
  <c r="S288" i="1"/>
  <c r="AB288" i="1" s="1"/>
  <c r="O292" i="1"/>
  <c r="S287" i="1"/>
  <c r="AB287" i="1" s="1"/>
  <c r="H384" i="1"/>
  <c r="H383" i="1"/>
  <c r="H382" i="1"/>
  <c r="H381" i="1"/>
  <c r="H380" i="1"/>
  <c r="H379" i="1"/>
  <c r="H378" i="1"/>
  <c r="H377" i="1"/>
  <c r="H376" i="1"/>
  <c r="J38" i="3"/>
  <c r="G31" i="3"/>
  <c r="I61" i="3"/>
  <c r="J27" i="3"/>
  <c r="H75" i="3"/>
  <c r="H72" i="3"/>
  <c r="G38" i="3"/>
  <c r="G30" i="3"/>
  <c r="G25" i="3"/>
  <c r="H19" i="3"/>
  <c r="M23" i="3"/>
  <c r="N38" i="3"/>
  <c r="H76" i="3"/>
  <c r="J40" i="3"/>
  <c r="J59" i="3"/>
  <c r="L26" i="3"/>
  <c r="K25" i="3"/>
  <c r="I18" i="3"/>
  <c r="L17" i="3"/>
  <c r="J73" i="3"/>
  <c r="J60" i="3"/>
  <c r="H30" i="3"/>
  <c r="I72" i="3"/>
  <c r="I26" i="3"/>
  <c r="J75" i="3"/>
  <c r="K29" i="3"/>
  <c r="G78" i="3"/>
  <c r="I42" i="3"/>
  <c r="J29" i="3"/>
  <c r="G42" i="3"/>
  <c r="M78" i="3"/>
  <c r="L78" i="3"/>
  <c r="I59" i="3"/>
  <c r="N40" i="3"/>
  <c r="J77" i="3"/>
  <c r="K27" i="3"/>
  <c r="J26" i="3"/>
  <c r="K78" i="3"/>
  <c r="N14" i="3"/>
  <c r="I73" i="3"/>
  <c r="M38" i="3"/>
  <c r="K75" i="3"/>
  <c r="G29" i="3"/>
  <c r="N25" i="3"/>
  <c r="K42" i="3"/>
  <c r="L27" i="3"/>
  <c r="H26" i="3"/>
  <c r="K76" i="3"/>
  <c r="M61" i="3"/>
  <c r="I76" i="3"/>
  <c r="G73" i="3"/>
  <c r="N26" i="3"/>
  <c r="M30" i="3"/>
  <c r="G72" i="3"/>
  <c r="J72" i="3"/>
  <c r="H17" i="3"/>
  <c r="I40" i="3"/>
  <c r="I77" i="3"/>
  <c r="L45" i="3"/>
  <c r="J45" i="3"/>
  <c r="K26" i="3"/>
  <c r="M27" i="3"/>
  <c r="L40" i="3"/>
  <c r="H60" i="3"/>
  <c r="M60" i="3"/>
  <c r="H73" i="3"/>
  <c r="J39" i="3"/>
  <c r="H61" i="3"/>
  <c r="H14" i="3"/>
  <c r="M25" i="3"/>
  <c r="H78" i="3"/>
  <c r="L30" i="3"/>
  <c r="N72" i="3"/>
  <c r="M77" i="3"/>
  <c r="J19" i="3"/>
  <c r="K61" i="3"/>
  <c r="J61" i="3"/>
  <c r="J30" i="3"/>
  <c r="I23" i="3"/>
  <c r="G28" i="3"/>
  <c r="L14" i="3"/>
  <c r="L25" i="3"/>
  <c r="J31" i="3"/>
  <c r="H39" i="3"/>
  <c r="K30" i="3"/>
  <c r="G18" i="3"/>
  <c r="M73" i="3"/>
  <c r="N28" i="3"/>
  <c r="K24" i="3"/>
  <c r="N30" i="3"/>
  <c r="N45" i="3"/>
  <c r="L18" i="3"/>
  <c r="H77" i="3"/>
  <c r="N61" i="3"/>
  <c r="I38" i="3"/>
  <c r="J17" i="3"/>
  <c r="I30" i="3"/>
  <c r="K14" i="3"/>
  <c r="N17" i="3"/>
  <c r="J23" i="3"/>
  <c r="G77" i="3"/>
  <c r="I14" i="3"/>
  <c r="G59" i="3"/>
  <c r="I45" i="3"/>
  <c r="N19" i="3"/>
  <c r="N76" i="3"/>
  <c r="I17" i="3"/>
  <c r="I75" i="3"/>
  <c r="N77" i="3"/>
  <c r="L76" i="3"/>
  <c r="G45" i="3"/>
  <c r="L29" i="3"/>
  <c r="N42" i="3"/>
  <c r="K15" i="3"/>
  <c r="K38" i="3"/>
  <c r="L23" i="3"/>
  <c r="H29" i="3"/>
  <c r="L28" i="3"/>
  <c r="M18" i="3"/>
  <c r="J28" i="3"/>
  <c r="L59" i="3"/>
  <c r="J42" i="3"/>
  <c r="I39" i="3"/>
  <c r="K23" i="3"/>
  <c r="M42" i="3"/>
  <c r="K31" i="3"/>
  <c r="N23" i="3"/>
  <c r="H40" i="3"/>
  <c r="G60" i="3"/>
  <c r="K45" i="3"/>
  <c r="J25" i="3"/>
  <c r="H18" i="3"/>
  <c r="L39" i="3"/>
  <c r="M72" i="3"/>
  <c r="M24" i="3"/>
  <c r="I60" i="3"/>
  <c r="H23" i="3"/>
  <c r="M14" i="3"/>
  <c r="L24" i="3"/>
  <c r="N15" i="3"/>
  <c r="M15" i="3"/>
  <c r="H15" i="3"/>
  <c r="M76" i="3"/>
  <c r="N31" i="3"/>
  <c r="G26" i="3"/>
  <c r="M45" i="3"/>
  <c r="N39" i="3"/>
  <c r="K18" i="3"/>
  <c r="N59" i="3"/>
  <c r="G40" i="3"/>
  <c r="G76" i="3"/>
  <c r="I15" i="3"/>
  <c r="L42" i="3"/>
  <c r="M19" i="3"/>
  <c r="L75" i="3"/>
  <c r="J76" i="3"/>
  <c r="I25" i="3"/>
  <c r="M17" i="3"/>
  <c r="G75" i="3"/>
  <c r="M26" i="3"/>
  <c r="L61" i="3"/>
  <c r="G23" i="3"/>
  <c r="L60" i="3"/>
  <c r="M40" i="3"/>
  <c r="K59" i="3"/>
  <c r="H38" i="3"/>
  <c r="H42" i="3"/>
  <c r="M29" i="3"/>
  <c r="M39" i="3"/>
  <c r="M28" i="3"/>
  <c r="H59" i="3"/>
  <c r="G67" i="3"/>
  <c r="I24" i="3"/>
  <c r="G17" i="3"/>
  <c r="K40" i="3"/>
  <c r="L15" i="3"/>
  <c r="N73" i="3"/>
  <c r="N24" i="3"/>
  <c r="I19" i="3"/>
  <c r="H28" i="3"/>
  <c r="M59" i="3"/>
  <c r="K19" i="3"/>
  <c r="J18" i="3"/>
  <c r="I31" i="3"/>
  <c r="H27" i="3"/>
  <c r="I27" i="3"/>
  <c r="J14" i="3"/>
  <c r="I78" i="3"/>
  <c r="I28" i="3"/>
  <c r="H24" i="3"/>
  <c r="N60" i="3"/>
  <c r="G27" i="3"/>
  <c r="M31" i="3"/>
  <c r="L77" i="3"/>
  <c r="J78" i="3"/>
  <c r="L31" i="3"/>
  <c r="G19" i="3"/>
  <c r="K28" i="3"/>
  <c r="H25" i="3"/>
  <c r="K72" i="3"/>
  <c r="K77" i="3"/>
  <c r="H45" i="3"/>
  <c r="L73" i="3"/>
  <c r="K73" i="3"/>
  <c r="G24" i="3"/>
  <c r="N75" i="3"/>
  <c r="M75" i="3"/>
  <c r="L38" i="3"/>
  <c r="K39" i="3"/>
  <c r="G61" i="3"/>
  <c r="L72" i="3"/>
  <c r="H31" i="3"/>
  <c r="G66" i="3"/>
  <c r="N27" i="3"/>
  <c r="N29" i="3"/>
  <c r="J15" i="3"/>
  <c r="N18" i="3"/>
  <c r="G15" i="3"/>
  <c r="N78" i="3"/>
  <c r="G39" i="3"/>
  <c r="J24" i="3"/>
  <c r="K60" i="3"/>
  <c r="K17" i="3"/>
  <c r="L19" i="3"/>
  <c r="I29" i="3"/>
  <c r="L25" i="4" l="1" a="1"/>
  <c r="L25" i="4" s="1"/>
  <c r="L28" i="4" a="1"/>
  <c r="L28" i="4" s="1"/>
  <c r="L27" i="4" a="1"/>
  <c r="L27" i="4" s="1"/>
  <c r="L26" i="4" a="1"/>
  <c r="L26" i="4" s="1"/>
  <c r="L32" i="4" a="1"/>
  <c r="L32" i="4" s="1"/>
  <c r="L20" i="4" a="1"/>
  <c r="L20" i="4" s="1"/>
  <c r="L36" i="4" a="1"/>
  <c r="L36" i="4" s="1"/>
  <c r="L29" i="4" a="1"/>
  <c r="L29" i="4" s="1"/>
  <c r="L40" i="4" a="1"/>
  <c r="L40" i="4" s="1"/>
  <c r="L38" i="4" a="1"/>
  <c r="L38" i="4" s="1"/>
  <c r="L24" i="4" a="1"/>
  <c r="L24" i="4" s="1"/>
  <c r="L105" i="4" a="1"/>
  <c r="L105" i="4" s="1"/>
  <c r="L107" i="4" a="1"/>
  <c r="L107" i="4" s="1"/>
  <c r="L103" i="4" a="1"/>
  <c r="L103" i="4" s="1"/>
  <c r="L102" i="4" a="1"/>
  <c r="L102" i="4" s="1"/>
  <c r="L101" i="4" a="1"/>
  <c r="L101" i="4" s="1"/>
  <c r="L80" i="4" a="1"/>
  <c r="L80" i="4" s="1"/>
  <c r="L99" i="4" a="1"/>
  <c r="L99" i="4" s="1"/>
  <c r="L98" i="4" a="1"/>
  <c r="L98" i="4" s="1"/>
  <c r="L95" i="4" a="1"/>
  <c r="L95" i="4" s="1"/>
  <c r="L96" i="4" a="1"/>
  <c r="L96" i="4" s="1"/>
  <c r="L83" i="4" a="1"/>
  <c r="L83" i="4" s="1"/>
  <c r="L81" i="4" a="1"/>
  <c r="L81" i="4" s="1"/>
  <c r="L79" i="4" a="1"/>
  <c r="L79" i="4" s="1"/>
  <c r="L39" i="4" a="1"/>
  <c r="L39" i="4" s="1"/>
  <c r="L88" i="4" a="1"/>
  <c r="L88" i="4" s="1"/>
  <c r="L87" i="4" a="1"/>
  <c r="L87" i="4" s="1"/>
  <c r="L90" i="4" a="1"/>
  <c r="L90" i="4" s="1"/>
  <c r="L85" i="4" a="1"/>
  <c r="L85" i="4" s="1"/>
  <c r="L91" i="4" a="1"/>
  <c r="L91" i="4" s="1"/>
  <c r="L93" i="4" a="1"/>
  <c r="L93" i="4" s="1"/>
  <c r="L92" i="4" a="1"/>
  <c r="L92" i="4" s="1"/>
  <c r="L89" i="4" a="1"/>
  <c r="L89" i="4" s="1"/>
  <c r="L86" i="4" a="1"/>
  <c r="L86" i="4" s="1"/>
  <c r="L104" i="4" a="1"/>
  <c r="L104" i="4" s="1"/>
  <c r="L31" i="4" a="1"/>
  <c r="L31" i="4" s="1"/>
  <c r="L34" i="4" a="1"/>
  <c r="L34" i="4" s="1"/>
  <c r="L33" i="4" a="1"/>
  <c r="L33" i="4" s="1"/>
  <c r="L35" i="4" a="1"/>
  <c r="L35" i="4" s="1"/>
  <c r="L145" i="4" a="1"/>
  <c r="L145" i="4" s="1"/>
  <c r="L62" i="4" a="1"/>
  <c r="L62" i="4" s="1"/>
  <c r="L150" i="4" a="1"/>
  <c r="L150" i="4" s="1"/>
  <c r="L82" i="4" a="1"/>
  <c r="L82" i="4" s="1"/>
  <c r="L68" i="4" a="1"/>
  <c r="L68" i="4" s="1"/>
  <c r="L137" i="4" a="1"/>
  <c r="L137" i="4" s="1"/>
  <c r="L119" i="4" a="1"/>
  <c r="L119" i="4" s="1"/>
  <c r="L132" i="4" a="1"/>
  <c r="L132" i="4" s="1"/>
  <c r="L112" i="4" a="1"/>
  <c r="L112" i="4" s="1"/>
  <c r="L148" i="4" a="1"/>
  <c r="L148" i="4" s="1"/>
  <c r="L127" i="4" a="1"/>
  <c r="L127" i="4" s="1"/>
  <c r="L130" i="4" a="1"/>
  <c r="L130" i="4" s="1"/>
  <c r="L152" i="4" a="1"/>
  <c r="L152" i="4" s="1"/>
  <c r="L42" i="4" a="1"/>
  <c r="L42" i="4" s="1"/>
  <c r="L75" i="4" a="1"/>
  <c r="L75" i="4" s="1"/>
  <c r="L100" i="4" a="1"/>
  <c r="L100" i="4" s="1"/>
  <c r="L117" i="4" a="1"/>
  <c r="L117" i="4" s="1"/>
  <c r="L173" i="4" a="1"/>
  <c r="L173" i="4" s="1"/>
  <c r="L43" i="4" a="1"/>
  <c r="L43" i="4" s="1"/>
  <c r="L168" i="4" a="1"/>
  <c r="L168" i="4" s="1"/>
  <c r="L197" i="4" a="1"/>
  <c r="L197" i="4" s="1"/>
  <c r="L198" i="4" a="1"/>
  <c r="L198" i="4" s="1"/>
  <c r="L182" i="4" a="1"/>
  <c r="L182" i="4" s="1"/>
  <c r="L97" i="4" a="1"/>
  <c r="L97" i="4" s="1"/>
  <c r="L16" i="4" a="1"/>
  <c r="L16" i="4" s="1"/>
  <c r="L121" i="4" a="1"/>
  <c r="L121" i="4" s="1"/>
  <c r="L84" i="4" a="1"/>
  <c r="L84" i="4" s="1"/>
  <c r="L123" i="4" a="1"/>
  <c r="L123" i="4" s="1"/>
  <c r="L111" i="4" a="1"/>
  <c r="L111" i="4" s="1"/>
  <c r="L136" i="4" a="1"/>
  <c r="L136" i="4" s="1"/>
  <c r="L108" i="4" a="1"/>
  <c r="L108" i="4" s="1"/>
  <c r="L188" i="4" a="1"/>
  <c r="L188" i="4" s="1"/>
  <c r="L122" i="4" a="1"/>
  <c r="L122" i="4" s="1"/>
  <c r="L78" i="4" a="1"/>
  <c r="L78" i="4" s="1"/>
  <c r="L184" i="4" a="1"/>
  <c r="L184" i="4" s="1"/>
  <c r="L181" i="4" a="1"/>
  <c r="L181" i="4" s="1"/>
  <c r="L160" i="4" a="1"/>
  <c r="L160" i="4" s="1"/>
  <c r="L51" i="4" a="1"/>
  <c r="L51" i="4" s="1"/>
  <c r="L144" i="4" a="1"/>
  <c r="L144" i="4" s="1"/>
  <c r="L140" i="4" a="1"/>
  <c r="L140" i="4" s="1"/>
  <c r="L190" i="4" a="1"/>
  <c r="L190" i="4" s="1"/>
  <c r="L124" i="4" a="1"/>
  <c r="L124" i="4" s="1"/>
  <c r="L193" i="4" a="1"/>
  <c r="L193" i="4" s="1"/>
  <c r="L47" i="4" a="1"/>
  <c r="L47" i="4" s="1"/>
  <c r="L166" i="4" a="1"/>
  <c r="L166" i="4" s="1"/>
  <c r="L176" i="4" a="1"/>
  <c r="L176" i="4" s="1"/>
  <c r="L186" i="4" a="1"/>
  <c r="L186" i="4" s="1"/>
  <c r="L23" i="4" a="1"/>
  <c r="L23" i="4" s="1"/>
  <c r="L106" i="4" a="1"/>
  <c r="L106" i="4" s="1"/>
  <c r="L171" i="4" a="1"/>
  <c r="L171" i="4" s="1"/>
  <c r="L142" i="4" a="1"/>
  <c r="L142" i="4" s="1"/>
  <c r="L131" i="4" a="1"/>
  <c r="L131" i="4" s="1"/>
  <c r="L21" i="4" a="1"/>
  <c r="L21" i="4" s="1"/>
  <c r="L110" i="4" a="1"/>
  <c r="L110" i="4" s="1"/>
  <c r="L191" i="4" a="1"/>
  <c r="L191" i="4" s="1"/>
  <c r="L134" i="4" a="1"/>
  <c r="L134" i="4" s="1"/>
  <c r="L178" i="4" a="1"/>
  <c r="L178" i="4" s="1"/>
  <c r="L37" i="4" a="1"/>
  <c r="L37" i="4" s="1"/>
  <c r="L135" i="4" a="1"/>
  <c r="L135" i="4" s="1"/>
  <c r="L196" i="4" a="1"/>
  <c r="L196" i="4" s="1"/>
  <c r="L46" i="4" a="1"/>
  <c r="L46" i="4" s="1"/>
  <c r="L114" i="4" a="1"/>
  <c r="L114" i="4" s="1"/>
  <c r="L195" i="4" a="1"/>
  <c r="L195" i="4" s="1"/>
  <c r="L153" i="4" a="1"/>
  <c r="L153" i="4" s="1"/>
  <c r="L133" i="4" a="1"/>
  <c r="L133" i="4" s="1"/>
  <c r="L63" i="4" a="1"/>
  <c r="L63" i="4" s="1"/>
  <c r="L155" i="4" a="1"/>
  <c r="L155" i="4" s="1"/>
  <c r="L19" i="4" a="1"/>
  <c r="L19" i="4" s="1"/>
  <c r="L53" i="4" a="1"/>
  <c r="L53" i="4" s="1"/>
  <c r="L59" i="4" a="1"/>
  <c r="L59" i="4" s="1"/>
  <c r="L174" i="4" a="1"/>
  <c r="L174" i="4" s="1"/>
  <c r="L159" i="4" a="1"/>
  <c r="L159" i="4" s="1"/>
  <c r="L128" i="4" a="1"/>
  <c r="L128" i="4" s="1"/>
  <c r="L169" i="4" a="1"/>
  <c r="L169" i="4" s="1"/>
  <c r="L52" i="4" a="1"/>
  <c r="L52" i="4" s="1"/>
  <c r="L162" i="4" a="1"/>
  <c r="L162" i="4" s="1"/>
  <c r="L64" i="4" a="1"/>
  <c r="L64" i="4" s="1"/>
  <c r="L57" i="4" a="1"/>
  <c r="L57" i="4" s="1"/>
  <c r="L61" i="4" a="1"/>
  <c r="L61" i="4" s="1"/>
  <c r="L163" i="4" a="1"/>
  <c r="L163" i="4" s="1"/>
  <c r="L175" i="4" a="1"/>
  <c r="L175" i="4" s="1"/>
  <c r="L157" i="4" a="1"/>
  <c r="L157" i="4" s="1"/>
  <c r="L116" i="4" a="1"/>
  <c r="L116" i="4" s="1"/>
  <c r="L50" i="4" a="1"/>
  <c r="L50" i="4" s="1"/>
  <c r="L200" i="4" a="1"/>
  <c r="L200" i="4" s="1"/>
  <c r="L194" i="4" a="1"/>
  <c r="L194" i="4" s="1"/>
  <c r="L54" i="4" a="1"/>
  <c r="L54" i="4" s="1"/>
  <c r="L48" i="4" a="1"/>
  <c r="L48" i="4" s="1"/>
  <c r="L45" i="4" a="1"/>
  <c r="L45" i="4" s="1"/>
  <c r="L115" i="4" a="1"/>
  <c r="L115" i="4" s="1"/>
  <c r="L113" i="4" a="1"/>
  <c r="L113" i="4" s="1"/>
  <c r="L118" i="4" a="1"/>
  <c r="L118" i="4" s="1"/>
  <c r="L164" i="4" a="1"/>
  <c r="L164" i="4" s="1"/>
  <c r="L15" i="4" a="1"/>
  <c r="L15" i="4" s="1"/>
  <c r="L180" i="4" a="1"/>
  <c r="L180" i="4" s="1"/>
  <c r="L55" i="4" a="1"/>
  <c r="L55" i="4" s="1"/>
  <c r="L154" i="4" a="1"/>
  <c r="L154" i="4" s="1"/>
  <c r="L56" i="4" a="1"/>
  <c r="L56" i="4" s="1"/>
  <c r="L49" i="4" a="1"/>
  <c r="L49" i="4" s="1"/>
  <c r="L151" i="4" a="1"/>
  <c r="L151" i="4" s="1"/>
  <c r="L125" i="4" a="1"/>
  <c r="L125" i="4" s="1"/>
  <c r="L170" i="4" a="1"/>
  <c r="L170" i="4" s="1"/>
  <c r="L41" i="4" a="1"/>
  <c r="L41" i="4" s="1"/>
  <c r="L67" i="4" a="1"/>
  <c r="L67" i="4" s="1"/>
  <c r="M1" i="4"/>
  <c r="M28" i="4" s="1" a="1"/>
  <c r="M28" i="4" s="1"/>
  <c r="L30" i="4" a="1"/>
  <c r="L30" i="4" s="1"/>
  <c r="L120" i="4" a="1"/>
  <c r="L120" i="4" s="1"/>
  <c r="L139" i="4" a="1"/>
  <c r="L139" i="4" s="1"/>
  <c r="L161" i="4" a="1"/>
  <c r="L161" i="4" s="1"/>
  <c r="L179" i="4" a="1"/>
  <c r="L179" i="4" s="1"/>
  <c r="L60" i="4" a="1"/>
  <c r="L60" i="4" s="1"/>
  <c r="L156" i="4" a="1"/>
  <c r="L156" i="4" s="1"/>
  <c r="L76" i="4" a="1"/>
  <c r="L76" i="4" s="1"/>
  <c r="L70" i="4" a="1"/>
  <c r="L70" i="4" s="1"/>
  <c r="L7" i="4" a="1"/>
  <c r="L7" i="4" s="1"/>
  <c r="L94" i="4" a="1"/>
  <c r="L94" i="4" s="1"/>
  <c r="L143" i="4" a="1"/>
  <c r="L143" i="4" s="1"/>
  <c r="L165" i="4" a="1"/>
  <c r="L165" i="4" s="1"/>
  <c r="L22" i="4" a="1"/>
  <c r="L22" i="4" s="1"/>
  <c r="L58" i="4" a="1"/>
  <c r="L58" i="4" s="1"/>
  <c r="L201" i="4" a="1"/>
  <c r="L201" i="4" s="1"/>
  <c r="L126" i="4" a="1"/>
  <c r="L126" i="4" s="1"/>
  <c r="J821" i="7"/>
  <c r="I822" i="7"/>
  <c r="J779" i="7"/>
  <c r="I780" i="7"/>
  <c r="J737" i="7"/>
  <c r="I738" i="7"/>
  <c r="J695" i="7"/>
  <c r="I696" i="7"/>
  <c r="J652" i="7"/>
  <c r="I653" i="7"/>
  <c r="I611" i="7"/>
  <c r="J610" i="7"/>
  <c r="I572" i="7"/>
  <c r="J571" i="7"/>
  <c r="J527" i="7"/>
  <c r="I528" i="7"/>
  <c r="I485" i="7"/>
  <c r="J484" i="7"/>
  <c r="I445" i="7"/>
  <c r="J444" i="7"/>
  <c r="M74" i="3"/>
  <c r="H41" i="3"/>
  <c r="H66" i="3"/>
  <c r="I41" i="3"/>
  <c r="M41" i="3"/>
  <c r="L41" i="3"/>
  <c r="J41" i="3"/>
  <c r="H67" i="3"/>
  <c r="N41" i="3"/>
  <c r="G41" i="3"/>
  <c r="K41" i="3"/>
  <c r="H100" i="3" l="1"/>
  <c r="M106" i="3"/>
  <c r="M104" i="3"/>
  <c r="M105" i="3"/>
  <c r="M26" i="4" a="1"/>
  <c r="M26" i="4" s="1"/>
  <c r="M25" i="4" a="1"/>
  <c r="M25" i="4" s="1"/>
  <c r="M24" i="4" a="1"/>
  <c r="M24" i="4" s="1"/>
  <c r="M80" i="4" a="1"/>
  <c r="M80" i="4" s="1"/>
  <c r="M81" i="4" a="1"/>
  <c r="M81" i="4" s="1"/>
  <c r="M34" i="4" a="1"/>
  <c r="M34" i="4" s="1"/>
  <c r="M33" i="4" a="1"/>
  <c r="M33" i="4" s="1"/>
  <c r="M105" i="4" a="1"/>
  <c r="M105" i="4" s="1"/>
  <c r="M107" i="4" a="1"/>
  <c r="M107" i="4" s="1"/>
  <c r="M103" i="4" a="1"/>
  <c r="M103" i="4" s="1"/>
  <c r="M101" i="4" a="1"/>
  <c r="M101" i="4" s="1"/>
  <c r="M102" i="4" a="1"/>
  <c r="M102" i="4" s="1"/>
  <c r="M98" i="4" a="1"/>
  <c r="M98" i="4" s="1"/>
  <c r="M99" i="4" a="1"/>
  <c r="M99" i="4" s="1"/>
  <c r="M95" i="4" a="1"/>
  <c r="M95" i="4" s="1"/>
  <c r="M96" i="4" a="1"/>
  <c r="M96" i="4" s="1"/>
  <c r="M87" i="4" a="1"/>
  <c r="M87" i="4" s="1"/>
  <c r="M93" i="4" a="1"/>
  <c r="M93" i="4" s="1"/>
  <c r="M85" i="4" a="1"/>
  <c r="M85" i="4" s="1"/>
  <c r="M88" i="4" a="1"/>
  <c r="M88" i="4" s="1"/>
  <c r="M92" i="4" a="1"/>
  <c r="M92" i="4" s="1"/>
  <c r="M91" i="4" a="1"/>
  <c r="M91" i="4" s="1"/>
  <c r="M89" i="4" a="1"/>
  <c r="M89" i="4" s="1"/>
  <c r="M39" i="4" a="1"/>
  <c r="M39" i="4" s="1"/>
  <c r="M23" i="4" a="1"/>
  <c r="M23" i="4" s="1"/>
  <c r="M37" i="4" a="1"/>
  <c r="M37" i="4" s="1"/>
  <c r="M30" i="4" a="1"/>
  <c r="M30" i="4" s="1"/>
  <c r="M9" i="4" a="1"/>
  <c r="M9" i="4" s="1"/>
  <c r="M35" i="4" a="1"/>
  <c r="M35" i="4" s="1"/>
  <c r="M31" i="4" a="1"/>
  <c r="M31" i="4" s="1"/>
  <c r="M161" i="4" a="1"/>
  <c r="M161" i="4" s="1"/>
  <c r="M176" i="4" a="1"/>
  <c r="M176" i="4" s="1"/>
  <c r="M120" i="4" a="1"/>
  <c r="M120" i="4" s="1"/>
  <c r="M126" i="4" a="1"/>
  <c r="M126" i="4" s="1"/>
  <c r="M84" i="4" a="1"/>
  <c r="M84" i="4" s="1"/>
  <c r="M110" i="4" a="1"/>
  <c r="M110" i="4" s="1"/>
  <c r="M163" i="4" a="1"/>
  <c r="M163" i="4" s="1"/>
  <c r="M57" i="4" a="1"/>
  <c r="M57" i="4" s="1"/>
  <c r="M116" i="4" a="1"/>
  <c r="M116" i="4" s="1"/>
  <c r="M162" i="4" a="1"/>
  <c r="M162" i="4" s="1"/>
  <c r="M48" i="4" a="1"/>
  <c r="M48" i="4" s="1"/>
  <c r="M175" i="4" a="1"/>
  <c r="M175" i="4" s="1"/>
  <c r="M54" i="4" a="1"/>
  <c r="M54" i="4" s="1"/>
  <c r="M150" i="4" a="1"/>
  <c r="M150" i="4" s="1"/>
  <c r="M117" i="4" a="1"/>
  <c r="M117" i="4" s="1"/>
  <c r="M114" i="4" a="1"/>
  <c r="M114" i="4" s="1"/>
  <c r="M97" i="4" a="1"/>
  <c r="M97" i="4" s="1"/>
  <c r="M43" i="4" a="1"/>
  <c r="M43" i="4" s="1"/>
  <c r="M42" i="4" a="1"/>
  <c r="M42" i="4" s="1"/>
  <c r="M55" i="4" a="1"/>
  <c r="M55" i="4" s="1"/>
  <c r="M75" i="4" a="1"/>
  <c r="M75" i="4" s="1"/>
  <c r="M143" i="4" a="1"/>
  <c r="M143" i="4" s="1"/>
  <c r="M115" i="4" a="1"/>
  <c r="M115" i="4" s="1"/>
  <c r="M82" i="4" a="1"/>
  <c r="M82" i="4" s="1"/>
  <c r="M94" i="4" a="1"/>
  <c r="M94" i="4" s="1"/>
  <c r="M125" i="4" a="1"/>
  <c r="M125" i="4" s="1"/>
  <c r="M50" i="4" a="1"/>
  <c r="M50" i="4" s="1"/>
  <c r="M49" i="4" a="1"/>
  <c r="M49" i="4" s="1"/>
  <c r="M41" i="4" a="1"/>
  <c r="M41" i="4" s="1"/>
  <c r="M171" i="4" a="1"/>
  <c r="M171" i="4" s="1"/>
  <c r="M15" i="4" a="1"/>
  <c r="M15" i="4" s="1"/>
  <c r="M178" i="4" a="1"/>
  <c r="M178" i="4" s="1"/>
  <c r="M184" i="4" a="1"/>
  <c r="M184" i="4" s="1"/>
  <c r="M123" i="4" a="1"/>
  <c r="M123" i="4" s="1"/>
  <c r="M140" i="4" a="1"/>
  <c r="M140" i="4" s="1"/>
  <c r="M118" i="4" a="1"/>
  <c r="M118" i="4" s="1"/>
  <c r="M21" i="4" a="1"/>
  <c r="M21" i="4" s="1"/>
  <c r="M174" i="4" a="1"/>
  <c r="M174" i="4" s="1"/>
  <c r="M7" i="4" a="1"/>
  <c r="M7" i="4" s="1"/>
  <c r="M130" i="4" a="1"/>
  <c r="M130" i="4" s="1"/>
  <c r="M148" i="4" a="1"/>
  <c r="M148" i="4" s="1"/>
  <c r="M119" i="4" a="1"/>
  <c r="M119" i="4" s="1"/>
  <c r="M47" i="4" a="1"/>
  <c r="M47" i="4" s="1"/>
  <c r="M52" i="4" a="1"/>
  <c r="M52" i="4" s="1"/>
  <c r="M113" i="4" a="1"/>
  <c r="M113" i="4" s="1"/>
  <c r="M128" i="4" a="1"/>
  <c r="M128" i="4" s="1"/>
  <c r="M186" i="4" a="1"/>
  <c r="M186" i="4" s="1"/>
  <c r="M68" i="4" a="1"/>
  <c r="M68" i="4" s="1"/>
  <c r="M22" i="4" a="1"/>
  <c r="M22" i="4" s="1"/>
  <c r="M169" i="4" a="1"/>
  <c r="M169" i="4" s="1"/>
  <c r="M70" i="4" a="1"/>
  <c r="M70" i="4" s="1"/>
  <c r="M144" i="4" a="1"/>
  <c r="M144" i="4" s="1"/>
  <c r="M106" i="4" a="1"/>
  <c r="M106" i="4" s="1"/>
  <c r="M164" i="4" a="1"/>
  <c r="M164" i="4" s="1"/>
  <c r="M122" i="4" a="1"/>
  <c r="M122" i="4" s="1"/>
  <c r="M104" i="4" a="1"/>
  <c r="M104" i="4" s="1"/>
  <c r="M100" i="4" a="1"/>
  <c r="M100" i="4" s="1"/>
  <c r="M145" i="4" a="1"/>
  <c r="M145" i="4" s="1"/>
  <c r="M56" i="4" a="1"/>
  <c r="M56" i="4" s="1"/>
  <c r="M121" i="4" a="1"/>
  <c r="M121" i="4" s="1"/>
  <c r="M166" i="4" a="1"/>
  <c r="M166" i="4" s="1"/>
  <c r="M53" i="4" a="1"/>
  <c r="M53" i="4" s="1"/>
  <c r="M165" i="4" a="1"/>
  <c r="M165" i="4" s="1"/>
  <c r="M170" i="4" a="1"/>
  <c r="M170" i="4" s="1"/>
  <c r="I823" i="7"/>
  <c r="J822" i="7"/>
  <c r="I781" i="7"/>
  <c r="J780" i="7"/>
  <c r="I739" i="7"/>
  <c r="J738" i="7"/>
  <c r="I697" i="7"/>
  <c r="J696" i="7"/>
  <c r="I654" i="7"/>
  <c r="J653" i="7"/>
  <c r="J611" i="7"/>
  <c r="I612" i="7"/>
  <c r="I573" i="7"/>
  <c r="J572" i="7"/>
  <c r="I529" i="7"/>
  <c r="J528" i="7"/>
  <c r="I486" i="7"/>
  <c r="J485" i="7"/>
  <c r="J445" i="7"/>
  <c r="I446" i="7"/>
  <c r="BM70" i="8"/>
  <c r="BO68" i="8"/>
  <c r="BN68" i="8"/>
  <c r="BM68" i="8"/>
  <c r="BN60" i="8"/>
  <c r="BO60" i="8"/>
  <c r="BN61" i="8"/>
  <c r="BO61" i="8"/>
  <c r="BN62" i="8"/>
  <c r="BO62" i="8"/>
  <c r="BN63" i="8"/>
  <c r="BO63" i="8"/>
  <c r="BN64" i="8"/>
  <c r="BO64" i="8"/>
  <c r="BN65" i="8"/>
  <c r="BO65" i="8"/>
  <c r="BN66" i="8"/>
  <c r="BO66" i="8"/>
  <c r="BN67" i="8"/>
  <c r="BO67" i="8"/>
  <c r="BM61" i="8"/>
  <c r="BM62" i="8"/>
  <c r="BM63" i="8"/>
  <c r="BM64" i="8"/>
  <c r="BM65" i="8"/>
  <c r="BM66" i="8"/>
  <c r="BM67" i="8"/>
  <c r="BM60" i="8"/>
  <c r="BL85" i="8"/>
  <c r="BL84" i="8"/>
  <c r="BL83" i="8"/>
  <c r="BL82" i="8"/>
  <c r="BL81" i="8"/>
  <c r="BL80" i="8"/>
  <c r="BL79" i="8"/>
  <c r="BK79" i="8"/>
  <c r="BK80" i="8" s="1"/>
  <c r="BK81" i="8" s="1"/>
  <c r="BK82" i="8" s="1"/>
  <c r="BK83" i="8" s="1"/>
  <c r="BK84" i="8" s="1"/>
  <c r="BK85" i="8" s="1"/>
  <c r="BK86" i="8" s="1"/>
  <c r="BL78" i="8"/>
  <c r="BO76" i="8"/>
  <c r="BN76" i="8"/>
  <c r="BM76" i="8"/>
  <c r="BL76" i="8"/>
  <c r="BO75" i="8"/>
  <c r="BN75" i="8"/>
  <c r="BM75" i="8"/>
  <c r="BL75" i="8"/>
  <c r="BO74" i="8"/>
  <c r="BN74" i="8"/>
  <c r="BM74" i="8"/>
  <c r="BL74" i="8"/>
  <c r="BO73" i="8"/>
  <c r="BN73" i="8"/>
  <c r="BM73" i="8"/>
  <c r="BL73" i="8"/>
  <c r="BO72" i="8"/>
  <c r="BN72" i="8"/>
  <c r="BM72" i="8"/>
  <c r="BL72" i="8"/>
  <c r="BO71" i="8"/>
  <c r="BN71" i="8"/>
  <c r="BM71" i="8"/>
  <c r="BL71" i="8"/>
  <c r="BO70" i="8"/>
  <c r="BN70" i="8"/>
  <c r="BL70" i="8"/>
  <c r="BK70" i="8"/>
  <c r="BK71" i="8" s="1"/>
  <c r="BK72" i="8" s="1"/>
  <c r="BK73" i="8" s="1"/>
  <c r="BK74" i="8" s="1"/>
  <c r="BK75" i="8" s="1"/>
  <c r="BK76" i="8" s="1"/>
  <c r="BK77" i="8" s="1"/>
  <c r="BL69" i="8"/>
  <c r="BL67" i="8"/>
  <c r="BL66" i="8"/>
  <c r="BL65" i="8"/>
  <c r="BL64" i="8"/>
  <c r="BL63" i="8"/>
  <c r="BL62" i="8"/>
  <c r="BL61" i="8"/>
  <c r="BK61" i="8"/>
  <c r="BK62" i="8" s="1"/>
  <c r="BK63" i="8" s="1"/>
  <c r="BK64" i="8" s="1"/>
  <c r="BK65" i="8" s="1"/>
  <c r="BK66" i="8" s="1"/>
  <c r="BK67" i="8" s="1"/>
  <c r="BK68" i="8" s="1"/>
  <c r="BL60" i="8"/>
  <c r="H1228" i="7"/>
  <c r="H1229" i="7" s="1"/>
  <c r="H1230" i="7" s="1"/>
  <c r="H1231" i="7" s="1"/>
  <c r="H1232" i="7" s="1"/>
  <c r="H1233" i="7" s="1"/>
  <c r="H1234" i="7" s="1"/>
  <c r="H1235" i="7" s="1"/>
  <c r="H1236" i="7" s="1"/>
  <c r="H1237" i="7" s="1"/>
  <c r="H1238" i="7" s="1"/>
  <c r="H1239" i="7" s="1"/>
  <c r="H1240" i="7" s="1"/>
  <c r="H1241" i="7" s="1"/>
  <c r="H1242" i="7" s="1"/>
  <c r="H1243" i="7" s="1"/>
  <c r="H1244" i="7" s="1"/>
  <c r="H1245" i="7" s="1"/>
  <c r="H1246" i="7" s="1"/>
  <c r="H1247" i="7" s="1"/>
  <c r="H1248" i="7" s="1"/>
  <c r="H1249" i="7" s="1"/>
  <c r="H1250" i="7" s="1"/>
  <c r="H1251" i="7" s="1"/>
  <c r="H1252" i="7" s="1"/>
  <c r="H1253" i="7" s="1"/>
  <c r="H1254" i="7" s="1"/>
  <c r="H1255" i="7" s="1"/>
  <c r="H1256" i="7" s="1"/>
  <c r="H1257" i="7" s="1"/>
  <c r="H1258" i="7" s="1"/>
  <c r="H1259" i="7" s="1"/>
  <c r="H1260" i="7" s="1"/>
  <c r="H1261" i="7" s="1"/>
  <c r="H1262" i="7" s="1"/>
  <c r="H1263" i="7" s="1"/>
  <c r="H1264" i="7" s="1"/>
  <c r="H1265" i="7" s="1"/>
  <c r="H1266" i="7" s="1"/>
  <c r="H1186" i="7"/>
  <c r="H1187" i="7" s="1"/>
  <c r="H1188" i="7" s="1"/>
  <c r="H1189" i="7" s="1"/>
  <c r="H1190" i="7" s="1"/>
  <c r="H1191" i="7" s="1"/>
  <c r="H1192" i="7" s="1"/>
  <c r="H1193" i="7" s="1"/>
  <c r="H1194" i="7" s="1"/>
  <c r="H1195" i="7" s="1"/>
  <c r="H1196" i="7" s="1"/>
  <c r="H1197" i="7" s="1"/>
  <c r="H1198" i="7" s="1"/>
  <c r="H1199" i="7" s="1"/>
  <c r="H1200" i="7" s="1"/>
  <c r="H1201" i="7" s="1"/>
  <c r="H1202" i="7" s="1"/>
  <c r="H1203" i="7" s="1"/>
  <c r="H1204" i="7" s="1"/>
  <c r="H1205" i="7" s="1"/>
  <c r="H1206" i="7" s="1"/>
  <c r="H1207" i="7" s="1"/>
  <c r="H1208" i="7" s="1"/>
  <c r="H1209" i="7" s="1"/>
  <c r="H1210" i="7" s="1"/>
  <c r="H1211" i="7" s="1"/>
  <c r="H1212" i="7" s="1"/>
  <c r="H1213" i="7" s="1"/>
  <c r="H1214" i="7" s="1"/>
  <c r="H1215" i="7" s="1"/>
  <c r="H1216" i="7" s="1"/>
  <c r="H1217" i="7" s="1"/>
  <c r="H1218" i="7" s="1"/>
  <c r="H1219" i="7" s="1"/>
  <c r="H1220" i="7" s="1"/>
  <c r="H1221" i="7" s="1"/>
  <c r="H1222" i="7" s="1"/>
  <c r="H1223" i="7" s="1"/>
  <c r="H1224" i="7" s="1"/>
  <c r="H1144" i="7"/>
  <c r="H1145" i="7" s="1"/>
  <c r="H1146" i="7" s="1"/>
  <c r="H1147" i="7" s="1"/>
  <c r="H1148" i="7" s="1"/>
  <c r="H1149" i="7" s="1"/>
  <c r="H1150" i="7" s="1"/>
  <c r="H1151" i="7" s="1"/>
  <c r="H1152" i="7" s="1"/>
  <c r="H1153" i="7" s="1"/>
  <c r="H1154" i="7" s="1"/>
  <c r="H1155" i="7" s="1"/>
  <c r="H1156" i="7" s="1"/>
  <c r="H1157" i="7" s="1"/>
  <c r="H1158" i="7" s="1"/>
  <c r="H1159" i="7" s="1"/>
  <c r="H1160" i="7" s="1"/>
  <c r="H1161" i="7" s="1"/>
  <c r="H1162" i="7" s="1"/>
  <c r="H1163" i="7" s="1"/>
  <c r="H1164" i="7" s="1"/>
  <c r="H1165" i="7" s="1"/>
  <c r="H1166" i="7" s="1"/>
  <c r="H1167" i="7" s="1"/>
  <c r="H1168" i="7" s="1"/>
  <c r="H1169" i="7" s="1"/>
  <c r="H1170" i="7" s="1"/>
  <c r="H1171" i="7" s="1"/>
  <c r="H1172" i="7" s="1"/>
  <c r="H1173" i="7" s="1"/>
  <c r="H1174" i="7" s="1"/>
  <c r="H1175" i="7" s="1"/>
  <c r="H1176" i="7" s="1"/>
  <c r="H1177" i="7" s="1"/>
  <c r="H1178" i="7" s="1"/>
  <c r="H1179" i="7" s="1"/>
  <c r="H1180" i="7" s="1"/>
  <c r="H1181" i="7" s="1"/>
  <c r="H1182" i="7" s="1"/>
  <c r="H1102" i="7"/>
  <c r="H1103" i="7" s="1"/>
  <c r="H1104" i="7" s="1"/>
  <c r="H1105" i="7" s="1"/>
  <c r="H1106" i="7" s="1"/>
  <c r="H1107" i="7" s="1"/>
  <c r="H1108" i="7" s="1"/>
  <c r="H1109" i="7" s="1"/>
  <c r="H1110" i="7" s="1"/>
  <c r="H1111" i="7" s="1"/>
  <c r="H1112" i="7" s="1"/>
  <c r="H1113" i="7" s="1"/>
  <c r="H1114" i="7" s="1"/>
  <c r="H1115" i="7" s="1"/>
  <c r="H1116" i="7" s="1"/>
  <c r="H1117" i="7" s="1"/>
  <c r="H1118" i="7" s="1"/>
  <c r="H1119" i="7" s="1"/>
  <c r="H1120" i="7" s="1"/>
  <c r="H1121" i="7" s="1"/>
  <c r="H1122" i="7" s="1"/>
  <c r="H1123" i="7" s="1"/>
  <c r="H1124" i="7" s="1"/>
  <c r="H1125" i="7" s="1"/>
  <c r="H1126" i="7" s="1"/>
  <c r="H1127" i="7" s="1"/>
  <c r="H1128" i="7" s="1"/>
  <c r="H1129" i="7" s="1"/>
  <c r="H1130" i="7" s="1"/>
  <c r="H1131" i="7" s="1"/>
  <c r="H1132" i="7" s="1"/>
  <c r="H1133" i="7" s="1"/>
  <c r="H1134" i="7" s="1"/>
  <c r="H1135" i="7" s="1"/>
  <c r="H1136" i="7" s="1"/>
  <c r="H1137" i="7" s="1"/>
  <c r="H1138" i="7" s="1"/>
  <c r="H1139" i="7" s="1"/>
  <c r="H1140" i="7" s="1"/>
  <c r="H1060" i="7"/>
  <c r="H1061" i="7" s="1"/>
  <c r="H1062" i="7" s="1"/>
  <c r="H1063" i="7" s="1"/>
  <c r="H1064" i="7" s="1"/>
  <c r="H1065" i="7" s="1"/>
  <c r="H1066" i="7" s="1"/>
  <c r="H1067" i="7" s="1"/>
  <c r="H1068" i="7" s="1"/>
  <c r="H1069" i="7" s="1"/>
  <c r="H1070" i="7" s="1"/>
  <c r="H1071" i="7" s="1"/>
  <c r="H1072" i="7" s="1"/>
  <c r="H1073" i="7" s="1"/>
  <c r="H1074" i="7" s="1"/>
  <c r="H1075" i="7" s="1"/>
  <c r="H1076" i="7" s="1"/>
  <c r="H1077" i="7" s="1"/>
  <c r="H1078" i="7" s="1"/>
  <c r="H1079" i="7" s="1"/>
  <c r="H1080" i="7" s="1"/>
  <c r="H1081" i="7" s="1"/>
  <c r="H1082" i="7" s="1"/>
  <c r="H1083" i="7" s="1"/>
  <c r="H1084" i="7" s="1"/>
  <c r="H1085" i="7" s="1"/>
  <c r="H1086" i="7" s="1"/>
  <c r="H1087" i="7" s="1"/>
  <c r="H1088" i="7" s="1"/>
  <c r="H1089" i="7" s="1"/>
  <c r="H1090" i="7" s="1"/>
  <c r="H1091" i="7" s="1"/>
  <c r="H1092" i="7" s="1"/>
  <c r="H1093" i="7" s="1"/>
  <c r="H1094" i="7" s="1"/>
  <c r="H1095" i="7" s="1"/>
  <c r="H1096" i="7" s="1"/>
  <c r="H1097" i="7" s="1"/>
  <c r="H1098" i="7" s="1"/>
  <c r="H1018" i="7"/>
  <c r="H1019" i="7" s="1"/>
  <c r="H1020" i="7" s="1"/>
  <c r="H1021" i="7" s="1"/>
  <c r="H1022" i="7" s="1"/>
  <c r="H1023" i="7" s="1"/>
  <c r="H1024" i="7" s="1"/>
  <c r="H1025" i="7" s="1"/>
  <c r="H1026" i="7" s="1"/>
  <c r="H1027" i="7" s="1"/>
  <c r="H1028" i="7" s="1"/>
  <c r="H1029" i="7" s="1"/>
  <c r="H1030" i="7" s="1"/>
  <c r="H1031" i="7" s="1"/>
  <c r="H1032" i="7" s="1"/>
  <c r="H1033" i="7" s="1"/>
  <c r="H1034" i="7" s="1"/>
  <c r="H1035" i="7" s="1"/>
  <c r="H1036" i="7" s="1"/>
  <c r="H1037" i="7" s="1"/>
  <c r="H1038" i="7" s="1"/>
  <c r="H1039" i="7" s="1"/>
  <c r="H1040" i="7" s="1"/>
  <c r="H1041" i="7" s="1"/>
  <c r="H1042" i="7" s="1"/>
  <c r="H1043" i="7" s="1"/>
  <c r="H1044" i="7" s="1"/>
  <c r="H1045" i="7" s="1"/>
  <c r="H1046" i="7" s="1"/>
  <c r="H1047" i="7" s="1"/>
  <c r="H1048" i="7" s="1"/>
  <c r="H1049" i="7" s="1"/>
  <c r="H1050" i="7" s="1"/>
  <c r="H1051" i="7" s="1"/>
  <c r="H1052" i="7" s="1"/>
  <c r="H1053" i="7" s="1"/>
  <c r="H1054" i="7" s="1"/>
  <c r="H1055" i="7" s="1"/>
  <c r="H1056" i="7" s="1"/>
  <c r="H976" i="7"/>
  <c r="H977" i="7" s="1"/>
  <c r="H978" i="7" s="1"/>
  <c r="H979" i="7" s="1"/>
  <c r="H980" i="7" s="1"/>
  <c r="H981" i="7" s="1"/>
  <c r="H982" i="7" s="1"/>
  <c r="H983" i="7" s="1"/>
  <c r="H984" i="7" s="1"/>
  <c r="H985" i="7" s="1"/>
  <c r="H986" i="7" s="1"/>
  <c r="H987" i="7" s="1"/>
  <c r="H988" i="7" s="1"/>
  <c r="H989" i="7" s="1"/>
  <c r="H990" i="7" s="1"/>
  <c r="H991" i="7" s="1"/>
  <c r="H992" i="7" s="1"/>
  <c r="H993" i="7" s="1"/>
  <c r="H994" i="7" s="1"/>
  <c r="H995" i="7" s="1"/>
  <c r="H996" i="7" s="1"/>
  <c r="H997" i="7" s="1"/>
  <c r="H998" i="7" s="1"/>
  <c r="H999" i="7" s="1"/>
  <c r="H1000" i="7" s="1"/>
  <c r="H1001" i="7" s="1"/>
  <c r="H1002" i="7" s="1"/>
  <c r="H1003" i="7" s="1"/>
  <c r="H1004" i="7" s="1"/>
  <c r="H1005" i="7" s="1"/>
  <c r="H1006" i="7" s="1"/>
  <c r="H1007" i="7" s="1"/>
  <c r="H1008" i="7" s="1"/>
  <c r="H1009" i="7" s="1"/>
  <c r="H1010" i="7" s="1"/>
  <c r="H1011" i="7" s="1"/>
  <c r="H1012" i="7" s="1"/>
  <c r="H1013" i="7" s="1"/>
  <c r="H1014" i="7" s="1"/>
  <c r="H934" i="7"/>
  <c r="H935" i="7" s="1"/>
  <c r="H936" i="7" s="1"/>
  <c r="H937" i="7" s="1"/>
  <c r="H938" i="7" s="1"/>
  <c r="H939" i="7" s="1"/>
  <c r="H940" i="7" s="1"/>
  <c r="H941" i="7" s="1"/>
  <c r="H942" i="7" s="1"/>
  <c r="H943" i="7" s="1"/>
  <c r="H944" i="7" s="1"/>
  <c r="H945" i="7" s="1"/>
  <c r="H946" i="7" s="1"/>
  <c r="H947" i="7" s="1"/>
  <c r="H948" i="7" s="1"/>
  <c r="H949" i="7" s="1"/>
  <c r="H950" i="7" s="1"/>
  <c r="H951" i="7" s="1"/>
  <c r="H952" i="7" s="1"/>
  <c r="H953" i="7" s="1"/>
  <c r="H954" i="7" s="1"/>
  <c r="H955" i="7" s="1"/>
  <c r="H956" i="7" s="1"/>
  <c r="H957" i="7" s="1"/>
  <c r="H958" i="7" s="1"/>
  <c r="H959" i="7" s="1"/>
  <c r="H960" i="7" s="1"/>
  <c r="H961" i="7" s="1"/>
  <c r="H962" i="7" s="1"/>
  <c r="H963" i="7" s="1"/>
  <c r="H964" i="7" s="1"/>
  <c r="H965" i="7" s="1"/>
  <c r="H966" i="7" s="1"/>
  <c r="H967" i="7" s="1"/>
  <c r="H968" i="7" s="1"/>
  <c r="H969" i="7" s="1"/>
  <c r="H970" i="7" s="1"/>
  <c r="H971" i="7" s="1"/>
  <c r="H972" i="7" s="1"/>
  <c r="H892" i="7"/>
  <c r="H893" i="7" s="1"/>
  <c r="H894" i="7" s="1"/>
  <c r="H895" i="7" s="1"/>
  <c r="H896" i="7" s="1"/>
  <c r="H897" i="7" s="1"/>
  <c r="H898" i="7" s="1"/>
  <c r="H899" i="7" s="1"/>
  <c r="H900" i="7" s="1"/>
  <c r="H901" i="7" s="1"/>
  <c r="H902" i="7" s="1"/>
  <c r="H903" i="7" s="1"/>
  <c r="H904" i="7" s="1"/>
  <c r="H905" i="7" s="1"/>
  <c r="H906" i="7" s="1"/>
  <c r="H907" i="7" s="1"/>
  <c r="H908" i="7" s="1"/>
  <c r="H909" i="7" s="1"/>
  <c r="H910" i="7" s="1"/>
  <c r="H911" i="7" s="1"/>
  <c r="H912" i="7" s="1"/>
  <c r="H913" i="7" s="1"/>
  <c r="H914" i="7" s="1"/>
  <c r="H915" i="7" s="1"/>
  <c r="H916" i="7" s="1"/>
  <c r="H917" i="7" s="1"/>
  <c r="H918" i="7" s="1"/>
  <c r="H919" i="7" s="1"/>
  <c r="H920" i="7" s="1"/>
  <c r="H921" i="7" s="1"/>
  <c r="H922" i="7" s="1"/>
  <c r="H923" i="7" s="1"/>
  <c r="H924" i="7" s="1"/>
  <c r="H925" i="7" s="1"/>
  <c r="H926" i="7" s="1"/>
  <c r="H927" i="7" s="1"/>
  <c r="H928" i="7" s="1"/>
  <c r="H929" i="7" s="1"/>
  <c r="H930" i="7" s="1"/>
  <c r="H850" i="7"/>
  <c r="H851" i="7" s="1"/>
  <c r="H852" i="7" s="1"/>
  <c r="H853" i="7" s="1"/>
  <c r="H854" i="7" s="1"/>
  <c r="H855" i="7" s="1"/>
  <c r="H856" i="7" s="1"/>
  <c r="H857" i="7" s="1"/>
  <c r="H858" i="7" s="1"/>
  <c r="H859" i="7" s="1"/>
  <c r="H860" i="7" s="1"/>
  <c r="H861" i="7" s="1"/>
  <c r="H862" i="7" s="1"/>
  <c r="H863" i="7" s="1"/>
  <c r="H864" i="7" s="1"/>
  <c r="H865" i="7" s="1"/>
  <c r="H866" i="7" s="1"/>
  <c r="H867" i="7" s="1"/>
  <c r="H868" i="7" s="1"/>
  <c r="H869" i="7" s="1"/>
  <c r="H870" i="7" s="1"/>
  <c r="H871" i="7" s="1"/>
  <c r="H872" i="7" s="1"/>
  <c r="H873" i="7" s="1"/>
  <c r="H874" i="7" s="1"/>
  <c r="H875" i="7" s="1"/>
  <c r="H876" i="7" s="1"/>
  <c r="H877" i="7" s="1"/>
  <c r="H878" i="7" s="1"/>
  <c r="H879" i="7" s="1"/>
  <c r="H880" i="7" s="1"/>
  <c r="H881" i="7" s="1"/>
  <c r="H882" i="7" s="1"/>
  <c r="H883" i="7" s="1"/>
  <c r="H884" i="7" s="1"/>
  <c r="H885" i="7" s="1"/>
  <c r="H886" i="7" s="1"/>
  <c r="H887" i="7" s="1"/>
  <c r="H888" i="7" s="1"/>
  <c r="H388" i="7"/>
  <c r="H389" i="7" s="1"/>
  <c r="H390" i="7" s="1"/>
  <c r="H391" i="7" s="1"/>
  <c r="H392" i="7" s="1"/>
  <c r="H393" i="7" s="1"/>
  <c r="H394" i="7" s="1"/>
  <c r="H395" i="7" s="1"/>
  <c r="H396" i="7" s="1"/>
  <c r="H397" i="7" s="1"/>
  <c r="H398" i="7" s="1"/>
  <c r="H399" i="7" s="1"/>
  <c r="H400" i="7" s="1"/>
  <c r="H401" i="7" s="1"/>
  <c r="H402" i="7" s="1"/>
  <c r="H403" i="7" s="1"/>
  <c r="H404" i="7" s="1"/>
  <c r="H405" i="7" s="1"/>
  <c r="H406" i="7" s="1"/>
  <c r="H407" i="7" s="1"/>
  <c r="H408" i="7" s="1"/>
  <c r="H409" i="7" s="1"/>
  <c r="H410" i="7" s="1"/>
  <c r="H411" i="7" s="1"/>
  <c r="H412" i="7" s="1"/>
  <c r="H413" i="7" s="1"/>
  <c r="H414" i="7" s="1"/>
  <c r="H415" i="7" s="1"/>
  <c r="H416" i="7" s="1"/>
  <c r="H417" i="7" s="1"/>
  <c r="H418" i="7" s="1"/>
  <c r="H419" i="7" s="1"/>
  <c r="H420" i="7" s="1"/>
  <c r="H421" i="7" s="1"/>
  <c r="H422" i="7" s="1"/>
  <c r="H423" i="7" s="1"/>
  <c r="H424" i="7" s="1"/>
  <c r="H425" i="7" s="1"/>
  <c r="H426" i="7" s="1"/>
  <c r="H346" i="7"/>
  <c r="H347" i="7" s="1"/>
  <c r="H348" i="7" s="1"/>
  <c r="H349" i="7" s="1"/>
  <c r="H350" i="7" s="1"/>
  <c r="H351" i="7" s="1"/>
  <c r="H352" i="7" s="1"/>
  <c r="H353" i="7" s="1"/>
  <c r="H354" i="7" s="1"/>
  <c r="H355" i="7" s="1"/>
  <c r="H356" i="7" s="1"/>
  <c r="H357" i="7" s="1"/>
  <c r="H358" i="7" s="1"/>
  <c r="H359" i="7" s="1"/>
  <c r="H360" i="7" s="1"/>
  <c r="H361" i="7" s="1"/>
  <c r="H362" i="7" s="1"/>
  <c r="H363" i="7" s="1"/>
  <c r="H364" i="7" s="1"/>
  <c r="H365" i="7" s="1"/>
  <c r="H366" i="7" s="1"/>
  <c r="H367" i="7" s="1"/>
  <c r="H368" i="7" s="1"/>
  <c r="H369" i="7" s="1"/>
  <c r="H370" i="7" s="1"/>
  <c r="H371" i="7" s="1"/>
  <c r="H372" i="7" s="1"/>
  <c r="H373" i="7" s="1"/>
  <c r="H374" i="7" s="1"/>
  <c r="H375" i="7" s="1"/>
  <c r="H376" i="7" s="1"/>
  <c r="H377" i="7" s="1"/>
  <c r="H378" i="7" s="1"/>
  <c r="H379" i="7" s="1"/>
  <c r="H380" i="7" s="1"/>
  <c r="H381" i="7" s="1"/>
  <c r="H382" i="7" s="1"/>
  <c r="H383" i="7" s="1"/>
  <c r="H384" i="7" s="1"/>
  <c r="H304" i="7"/>
  <c r="H305" i="7" s="1"/>
  <c r="H306" i="7" s="1"/>
  <c r="H307" i="7" s="1"/>
  <c r="H308" i="7" s="1"/>
  <c r="H309" i="7" s="1"/>
  <c r="H310" i="7" s="1"/>
  <c r="H311" i="7" s="1"/>
  <c r="H312" i="7" s="1"/>
  <c r="H313" i="7" s="1"/>
  <c r="H314" i="7" s="1"/>
  <c r="H315" i="7" s="1"/>
  <c r="H316" i="7" s="1"/>
  <c r="H317" i="7" s="1"/>
  <c r="H318" i="7" s="1"/>
  <c r="H319" i="7" s="1"/>
  <c r="H320" i="7" s="1"/>
  <c r="H321" i="7" s="1"/>
  <c r="H322" i="7" s="1"/>
  <c r="H323" i="7" s="1"/>
  <c r="H324" i="7" s="1"/>
  <c r="H325" i="7" s="1"/>
  <c r="H326" i="7" s="1"/>
  <c r="H327" i="7" s="1"/>
  <c r="H328" i="7" s="1"/>
  <c r="H329" i="7" s="1"/>
  <c r="H330" i="7" s="1"/>
  <c r="H331" i="7" s="1"/>
  <c r="H332" i="7" s="1"/>
  <c r="H333" i="7" s="1"/>
  <c r="H334" i="7" s="1"/>
  <c r="H335" i="7" s="1"/>
  <c r="H336" i="7" s="1"/>
  <c r="H337" i="7" s="1"/>
  <c r="H338" i="7" s="1"/>
  <c r="H339" i="7" s="1"/>
  <c r="H340" i="7" s="1"/>
  <c r="H341" i="7" s="1"/>
  <c r="H342" i="7" s="1"/>
  <c r="H262" i="7"/>
  <c r="H263" i="7" s="1"/>
  <c r="H264" i="7" s="1"/>
  <c r="H265" i="7" s="1"/>
  <c r="H266" i="7" s="1"/>
  <c r="H267" i="7" s="1"/>
  <c r="H268" i="7" s="1"/>
  <c r="H269" i="7" s="1"/>
  <c r="H270" i="7" s="1"/>
  <c r="H271" i="7" s="1"/>
  <c r="H272" i="7" s="1"/>
  <c r="H273" i="7" s="1"/>
  <c r="H274" i="7" s="1"/>
  <c r="H275" i="7" s="1"/>
  <c r="H276" i="7" s="1"/>
  <c r="H277" i="7" s="1"/>
  <c r="H278" i="7" s="1"/>
  <c r="H279" i="7" s="1"/>
  <c r="H280" i="7" s="1"/>
  <c r="H281" i="7" s="1"/>
  <c r="H282" i="7" s="1"/>
  <c r="H283" i="7" s="1"/>
  <c r="H284" i="7" s="1"/>
  <c r="H285" i="7" s="1"/>
  <c r="H286" i="7" s="1"/>
  <c r="H287" i="7" s="1"/>
  <c r="H288" i="7" s="1"/>
  <c r="H289" i="7" s="1"/>
  <c r="H290" i="7" s="1"/>
  <c r="H291" i="7" s="1"/>
  <c r="H292" i="7" s="1"/>
  <c r="H293" i="7" s="1"/>
  <c r="H294" i="7" s="1"/>
  <c r="H295" i="7" s="1"/>
  <c r="H296" i="7" s="1"/>
  <c r="H297" i="7" s="1"/>
  <c r="H298" i="7" s="1"/>
  <c r="H299" i="7" s="1"/>
  <c r="H300" i="7" s="1"/>
  <c r="H220" i="7"/>
  <c r="H221" i="7" s="1"/>
  <c r="H222" i="7" s="1"/>
  <c r="H223" i="7" s="1"/>
  <c r="H224" i="7" s="1"/>
  <c r="H225" i="7" s="1"/>
  <c r="H226" i="7" s="1"/>
  <c r="H227" i="7" s="1"/>
  <c r="H228" i="7" s="1"/>
  <c r="H229" i="7" s="1"/>
  <c r="H230" i="7" s="1"/>
  <c r="H231" i="7" s="1"/>
  <c r="H232" i="7" s="1"/>
  <c r="H233" i="7" s="1"/>
  <c r="H234" i="7" s="1"/>
  <c r="H235" i="7" s="1"/>
  <c r="H236" i="7" s="1"/>
  <c r="H237" i="7" s="1"/>
  <c r="H238" i="7" s="1"/>
  <c r="H239" i="7" s="1"/>
  <c r="H240" i="7" s="1"/>
  <c r="H241" i="7" s="1"/>
  <c r="H242" i="7" s="1"/>
  <c r="H243" i="7" s="1"/>
  <c r="H244" i="7" s="1"/>
  <c r="H245" i="7" s="1"/>
  <c r="H246" i="7" s="1"/>
  <c r="H247" i="7" s="1"/>
  <c r="H248" i="7" s="1"/>
  <c r="H249" i="7" s="1"/>
  <c r="H250" i="7" s="1"/>
  <c r="H251" i="7" s="1"/>
  <c r="H252" i="7" s="1"/>
  <c r="H253" i="7" s="1"/>
  <c r="H254" i="7" s="1"/>
  <c r="H255" i="7" s="1"/>
  <c r="H256" i="7" s="1"/>
  <c r="H257" i="7" s="1"/>
  <c r="H258" i="7" s="1"/>
  <c r="H178" i="7"/>
  <c r="H179" i="7" s="1"/>
  <c r="H180" i="7" s="1"/>
  <c r="H181" i="7" s="1"/>
  <c r="H182" i="7" s="1"/>
  <c r="H183" i="7" s="1"/>
  <c r="H184" i="7" s="1"/>
  <c r="H185" i="7" s="1"/>
  <c r="H186" i="7" s="1"/>
  <c r="H187" i="7" s="1"/>
  <c r="H188" i="7" s="1"/>
  <c r="H189" i="7" s="1"/>
  <c r="H190" i="7" s="1"/>
  <c r="H191" i="7" s="1"/>
  <c r="H192" i="7" s="1"/>
  <c r="H193" i="7" s="1"/>
  <c r="H194" i="7" s="1"/>
  <c r="H195" i="7" s="1"/>
  <c r="H196" i="7" s="1"/>
  <c r="H197" i="7" s="1"/>
  <c r="H198" i="7" s="1"/>
  <c r="H199" i="7" s="1"/>
  <c r="H200" i="7" s="1"/>
  <c r="H201" i="7" s="1"/>
  <c r="H202" i="7" s="1"/>
  <c r="H203" i="7" s="1"/>
  <c r="H204" i="7" s="1"/>
  <c r="H205" i="7" s="1"/>
  <c r="H206" i="7" s="1"/>
  <c r="H207" i="7" s="1"/>
  <c r="H208" i="7" s="1"/>
  <c r="H209" i="7" s="1"/>
  <c r="H210" i="7" s="1"/>
  <c r="H211" i="7" s="1"/>
  <c r="H212" i="7" s="1"/>
  <c r="H213" i="7" s="1"/>
  <c r="H214" i="7" s="1"/>
  <c r="H215" i="7" s="1"/>
  <c r="H216" i="7" s="1"/>
  <c r="H136" i="7"/>
  <c r="H137" i="7" s="1"/>
  <c r="H138" i="7" s="1"/>
  <c r="H139" i="7" s="1"/>
  <c r="H140" i="7" s="1"/>
  <c r="H141" i="7" s="1"/>
  <c r="H142" i="7" s="1"/>
  <c r="H143" i="7" s="1"/>
  <c r="H144" i="7" s="1"/>
  <c r="H145" i="7" s="1"/>
  <c r="H146" i="7" s="1"/>
  <c r="H147" i="7" s="1"/>
  <c r="H148" i="7" s="1"/>
  <c r="H149" i="7" s="1"/>
  <c r="H150" i="7" s="1"/>
  <c r="H151" i="7" s="1"/>
  <c r="H152" i="7" s="1"/>
  <c r="H153" i="7" s="1"/>
  <c r="H154" i="7" s="1"/>
  <c r="H155" i="7" s="1"/>
  <c r="H156" i="7" s="1"/>
  <c r="H157" i="7" s="1"/>
  <c r="H158" i="7" s="1"/>
  <c r="H159" i="7" s="1"/>
  <c r="H160" i="7" s="1"/>
  <c r="H161" i="7" s="1"/>
  <c r="H162" i="7" s="1"/>
  <c r="H163" i="7" s="1"/>
  <c r="H164" i="7" s="1"/>
  <c r="H165" i="7" s="1"/>
  <c r="H166" i="7" s="1"/>
  <c r="H167" i="7" s="1"/>
  <c r="H168" i="7" s="1"/>
  <c r="H169" i="7" s="1"/>
  <c r="H170" i="7" s="1"/>
  <c r="H171" i="7" s="1"/>
  <c r="H172" i="7" s="1"/>
  <c r="H173" i="7" s="1"/>
  <c r="H174" i="7" s="1"/>
  <c r="H94" i="7"/>
  <c r="H95" i="7" s="1"/>
  <c r="H96" i="7" s="1"/>
  <c r="H97" i="7" s="1"/>
  <c r="H98" i="7" s="1"/>
  <c r="H99" i="7" s="1"/>
  <c r="H100" i="7" s="1"/>
  <c r="H101" i="7" s="1"/>
  <c r="H102" i="7" s="1"/>
  <c r="H103" i="7" s="1"/>
  <c r="H104" i="7" s="1"/>
  <c r="H105" i="7" s="1"/>
  <c r="H106" i="7" s="1"/>
  <c r="H107" i="7" s="1"/>
  <c r="H108" i="7" s="1"/>
  <c r="H109" i="7" s="1"/>
  <c r="H110" i="7" s="1"/>
  <c r="H111" i="7" s="1"/>
  <c r="H112" i="7" s="1"/>
  <c r="H113" i="7" s="1"/>
  <c r="H114" i="7" s="1"/>
  <c r="H115" i="7" s="1"/>
  <c r="H116" i="7" s="1"/>
  <c r="H117" i="7" s="1"/>
  <c r="H118" i="7" s="1"/>
  <c r="H119" i="7" s="1"/>
  <c r="H120" i="7" s="1"/>
  <c r="H121" i="7" s="1"/>
  <c r="H122" i="7" s="1"/>
  <c r="H123" i="7" s="1"/>
  <c r="H124" i="7" s="1"/>
  <c r="H125" i="7" s="1"/>
  <c r="H126" i="7" s="1"/>
  <c r="H127" i="7" s="1"/>
  <c r="H128" i="7" s="1"/>
  <c r="H129" i="7" s="1"/>
  <c r="H130" i="7" s="1"/>
  <c r="H131" i="7" s="1"/>
  <c r="H132" i="7" s="1"/>
  <c r="H52" i="7"/>
  <c r="H53" i="7" s="1"/>
  <c r="H54" i="7" s="1"/>
  <c r="H55" i="7" s="1"/>
  <c r="H56" i="7" s="1"/>
  <c r="H57" i="7" s="1"/>
  <c r="H58" i="7" s="1"/>
  <c r="H59" i="7" s="1"/>
  <c r="H60" i="7" s="1"/>
  <c r="H61" i="7" s="1"/>
  <c r="H62" i="7" s="1"/>
  <c r="H63" i="7" s="1"/>
  <c r="H64" i="7" s="1"/>
  <c r="H65" i="7" s="1"/>
  <c r="H66" i="7" s="1"/>
  <c r="H67" i="7" s="1"/>
  <c r="H68" i="7" s="1"/>
  <c r="H69" i="7" s="1"/>
  <c r="H70" i="7" s="1"/>
  <c r="H71" i="7" s="1"/>
  <c r="H72" i="7" s="1"/>
  <c r="H73" i="7" s="1"/>
  <c r="H74" i="7" s="1"/>
  <c r="H75" i="7" s="1"/>
  <c r="H76" i="7" s="1"/>
  <c r="H77" i="7" s="1"/>
  <c r="H78" i="7" s="1"/>
  <c r="H79" i="7" s="1"/>
  <c r="H80" i="7" s="1"/>
  <c r="H81" i="7" s="1"/>
  <c r="H82" i="7" s="1"/>
  <c r="H83" i="7" s="1"/>
  <c r="H84" i="7" s="1"/>
  <c r="H85" i="7" s="1"/>
  <c r="H86" i="7" s="1"/>
  <c r="H87" i="7" s="1"/>
  <c r="H88" i="7" s="1"/>
  <c r="H89" i="7" s="1"/>
  <c r="H90" i="7" s="1"/>
  <c r="H10" i="7"/>
  <c r="H11" i="7" s="1"/>
  <c r="H12" i="7" s="1"/>
  <c r="H13" i="7" s="1"/>
  <c r="H14" i="7" s="1"/>
  <c r="H15" i="7" s="1"/>
  <c r="H16" i="7" s="1"/>
  <c r="H17" i="7" s="1"/>
  <c r="H18" i="7" s="1"/>
  <c r="H19" i="7" s="1"/>
  <c r="H20" i="7" s="1"/>
  <c r="H21" i="7" s="1"/>
  <c r="H22" i="7" s="1"/>
  <c r="H23" i="7" s="1"/>
  <c r="H24" i="7" s="1"/>
  <c r="H25" i="7" s="1"/>
  <c r="H26" i="7" s="1"/>
  <c r="H27" i="7" s="1"/>
  <c r="H28" i="7" s="1"/>
  <c r="H29" i="7" s="1"/>
  <c r="H30" i="7" s="1"/>
  <c r="H31" i="7" s="1"/>
  <c r="H32" i="7" s="1"/>
  <c r="H33" i="7" s="1"/>
  <c r="H34" i="7" s="1"/>
  <c r="H35" i="7" s="1"/>
  <c r="H36" i="7" s="1"/>
  <c r="H37" i="7" s="1"/>
  <c r="H38" i="7" s="1"/>
  <c r="H39" i="7" s="1"/>
  <c r="H40" i="7" s="1"/>
  <c r="H41" i="7" s="1"/>
  <c r="H42" i="7" s="1"/>
  <c r="H43" i="7" s="1"/>
  <c r="H44" i="7" s="1"/>
  <c r="H45" i="7" s="1"/>
  <c r="H46" i="7" s="1"/>
  <c r="H47" i="7" s="1"/>
  <c r="H48" i="7" s="1"/>
  <c r="BH2" i="8"/>
  <c r="BH1" i="8"/>
  <c r="I66" i="3"/>
  <c r="I67" i="3"/>
  <c r="I100" i="3" l="1"/>
  <c r="I824" i="7"/>
  <c r="J823" i="7"/>
  <c r="I782" i="7"/>
  <c r="J781" i="7"/>
  <c r="I740" i="7"/>
  <c r="J739" i="7"/>
  <c r="I698" i="7"/>
  <c r="J697" i="7"/>
  <c r="I655" i="7"/>
  <c r="J654" i="7"/>
  <c r="I613" i="7"/>
  <c r="J612" i="7"/>
  <c r="I574" i="7"/>
  <c r="J573" i="7"/>
  <c r="J529" i="7"/>
  <c r="I530" i="7"/>
  <c r="I487" i="7"/>
  <c r="J486" i="7"/>
  <c r="I447" i="7"/>
  <c r="J446" i="7"/>
  <c r="N1" i="1"/>
  <c r="M1" i="1"/>
  <c r="L1" i="1"/>
  <c r="J66" i="3"/>
  <c r="O109" i="1"/>
  <c r="BA2" i="8"/>
  <c r="BA1" i="8"/>
  <c r="J67" i="3"/>
  <c r="J100" i="3" l="1"/>
  <c r="I825" i="7"/>
  <c r="J824" i="7"/>
  <c r="I783" i="7"/>
  <c r="J782" i="7"/>
  <c r="I741" i="7"/>
  <c r="J740" i="7"/>
  <c r="I699" i="7"/>
  <c r="J698" i="7"/>
  <c r="J655" i="7"/>
  <c r="I656" i="7"/>
  <c r="I614" i="7"/>
  <c r="J613" i="7"/>
  <c r="I575" i="7"/>
  <c r="J574" i="7"/>
  <c r="J530" i="7"/>
  <c r="I531" i="7"/>
  <c r="I488" i="7"/>
  <c r="J487" i="7"/>
  <c r="J447" i="7"/>
  <c r="I448" i="7"/>
  <c r="O362" i="1"/>
  <c r="BD79" i="8"/>
  <c r="BD80" i="8" s="1"/>
  <c r="BD81" i="8" s="1"/>
  <c r="BD82" i="8" s="1"/>
  <c r="BD83" i="8" s="1"/>
  <c r="BD84" i="8" s="1"/>
  <c r="BD85" i="8" s="1"/>
  <c r="BD86" i="8" s="1"/>
  <c r="BD70" i="8"/>
  <c r="BD71" i="8" s="1"/>
  <c r="BD72" i="8" s="1"/>
  <c r="BD73" i="8" s="1"/>
  <c r="BD74" i="8" s="1"/>
  <c r="BD75" i="8" s="1"/>
  <c r="BD76" i="8" s="1"/>
  <c r="BD77" i="8" s="1"/>
  <c r="BD61" i="8"/>
  <c r="BD62" i="8" s="1"/>
  <c r="BD63" i="8" s="1"/>
  <c r="BD64" i="8" s="1"/>
  <c r="BD65" i="8" s="1"/>
  <c r="BD66" i="8" s="1"/>
  <c r="BD67" i="8" s="1"/>
  <c r="BD68" i="8" s="1"/>
  <c r="AV79" i="8"/>
  <c r="AV80" i="8" s="1"/>
  <c r="AV81" i="8" s="1"/>
  <c r="AV82" i="8" s="1"/>
  <c r="AV83" i="8" s="1"/>
  <c r="AV84" i="8" s="1"/>
  <c r="AV85" i="8" s="1"/>
  <c r="AV86" i="8" s="1"/>
  <c r="AV70" i="8"/>
  <c r="AV71" i="8" s="1"/>
  <c r="AV72" i="8" s="1"/>
  <c r="AV73" i="8" s="1"/>
  <c r="AV74" i="8" s="1"/>
  <c r="AV75" i="8" s="1"/>
  <c r="AV76" i="8" s="1"/>
  <c r="AV77" i="8" s="1"/>
  <c r="AV61" i="8"/>
  <c r="AV62" i="8" s="1"/>
  <c r="AV63" i="8" s="1"/>
  <c r="AV64" i="8" s="1"/>
  <c r="AV65" i="8" s="1"/>
  <c r="AV66" i="8" s="1"/>
  <c r="AV67" i="8" s="1"/>
  <c r="AV68" i="8" s="1"/>
  <c r="S11" i="8"/>
  <c r="T11" i="8"/>
  <c r="O108" i="1"/>
  <c r="K66" i="3"/>
  <c r="O10" i="1"/>
  <c r="O151" i="1"/>
  <c r="K67" i="3"/>
  <c r="O15" i="1"/>
  <c r="O155" i="1"/>
  <c r="O14" i="1"/>
  <c r="O154" i="1"/>
  <c r="O158" i="1"/>
  <c r="O69" i="1"/>
  <c r="O99" i="1"/>
  <c r="O55" i="1"/>
  <c r="O110" i="1"/>
  <c r="O166" i="1"/>
  <c r="O96" i="1"/>
  <c r="O165" i="1"/>
  <c r="O153" i="1"/>
  <c r="O113" i="1"/>
  <c r="O114" i="1"/>
  <c r="O161" i="1"/>
  <c r="O106" i="1"/>
  <c r="O25" i="1"/>
  <c r="O112" i="1"/>
  <c r="O63" i="1"/>
  <c r="O9" i="1"/>
  <c r="P50" i="8"/>
  <c r="O60" i="1"/>
  <c r="O53" i="1"/>
  <c r="O102" i="1"/>
  <c r="O26" i="1"/>
  <c r="O56" i="1"/>
  <c r="O148" i="1"/>
  <c r="O105" i="1"/>
  <c r="O11" i="1"/>
  <c r="O162" i="1"/>
  <c r="O57" i="1"/>
  <c r="O160" i="1"/>
  <c r="O101" i="1"/>
  <c r="O71" i="1"/>
  <c r="O54" i="1"/>
  <c r="O97" i="1"/>
  <c r="O22" i="1"/>
  <c r="O70" i="1"/>
  <c r="O27" i="1"/>
  <c r="O8" i="1"/>
  <c r="O159" i="1"/>
  <c r="O150" i="1"/>
  <c r="O13" i="1"/>
  <c r="O167" i="1"/>
  <c r="O98" i="1"/>
  <c r="S50" i="8"/>
  <c r="O107" i="1"/>
  <c r="O66" i="1"/>
  <c r="O115" i="1"/>
  <c r="O163" i="1"/>
  <c r="O59" i="1"/>
  <c r="O16" i="1"/>
  <c r="O152" i="1"/>
  <c r="O64" i="1"/>
  <c r="O52" i="1"/>
  <c r="O164" i="1"/>
  <c r="O149" i="1"/>
  <c r="O147" i="1"/>
  <c r="O62" i="1"/>
  <c r="O19" i="1"/>
  <c r="O17" i="1"/>
  <c r="O100" i="1"/>
  <c r="O65" i="1"/>
  <c r="O21" i="1"/>
  <c r="O61" i="1"/>
  <c r="O20" i="1"/>
  <c r="O68" i="1"/>
  <c r="O111" i="1"/>
  <c r="O12" i="1"/>
  <c r="O58" i="1"/>
  <c r="O18" i="1"/>
  <c r="O50" i="8"/>
  <c r="O146" i="1"/>
  <c r="O24" i="1"/>
  <c r="O103" i="1"/>
  <c r="O67" i="1"/>
  <c r="O23" i="1"/>
  <c r="O104" i="1"/>
  <c r="Z793" i="1" l="1"/>
  <c r="Z797" i="1"/>
  <c r="Z815" i="1"/>
  <c r="Z811" i="1"/>
  <c r="Z802" i="1"/>
  <c r="Z806" i="1"/>
  <c r="B63" i="3"/>
  <c r="AJ15" i="9"/>
  <c r="U7" i="8"/>
  <c r="AC7" i="8"/>
  <c r="AK7" i="8"/>
  <c r="U10" i="8"/>
  <c r="AC10" i="8"/>
  <c r="AK10" i="8"/>
  <c r="J15" i="9"/>
  <c r="AA15" i="9"/>
  <c r="AI15" i="9"/>
  <c r="V7" i="8"/>
  <c r="AD7" i="8"/>
  <c r="AL7" i="8"/>
  <c r="V10" i="8"/>
  <c r="AD10" i="8"/>
  <c r="AL10" i="8"/>
  <c r="K15" i="9"/>
  <c r="AB15" i="9"/>
  <c r="W7" i="8"/>
  <c r="AE7" i="8"/>
  <c r="AM7" i="8"/>
  <c r="W10" i="8"/>
  <c r="AE10" i="8"/>
  <c r="AM10" i="8"/>
  <c r="L15" i="9"/>
  <c r="AC15" i="9"/>
  <c r="S7" i="8"/>
  <c r="AR7" i="8"/>
  <c r="X7" i="8"/>
  <c r="AF7" i="8"/>
  <c r="AN7" i="8"/>
  <c r="X10" i="8"/>
  <c r="AF10" i="8"/>
  <c r="AN10" i="8"/>
  <c r="M15" i="9"/>
  <c r="AD15" i="9"/>
  <c r="T7" i="8"/>
  <c r="AB10" i="8"/>
  <c r="Y7" i="8"/>
  <c r="AG7" i="8"/>
  <c r="AO7" i="8"/>
  <c r="Y10" i="8"/>
  <c r="AG10" i="8"/>
  <c r="AO10" i="8"/>
  <c r="N15" i="9"/>
  <c r="AE15" i="9"/>
  <c r="Z7" i="8"/>
  <c r="AH7" i="8"/>
  <c r="AP7" i="8"/>
  <c r="Z10" i="8"/>
  <c r="AH10" i="8"/>
  <c r="AP10" i="8"/>
  <c r="X15" i="9"/>
  <c r="AF15" i="9"/>
  <c r="AB7" i="8"/>
  <c r="AR10" i="8"/>
  <c r="AA7" i="8"/>
  <c r="AI7" i="8"/>
  <c r="AQ7" i="8"/>
  <c r="AA10" i="8"/>
  <c r="AI10" i="8"/>
  <c r="AQ10" i="8"/>
  <c r="Y15" i="9"/>
  <c r="AG15" i="9"/>
  <c r="AJ7" i="8"/>
  <c r="AJ10" i="8"/>
  <c r="AH15" i="9"/>
  <c r="K100" i="3"/>
  <c r="B1039" i="3"/>
  <c r="B1056" i="3"/>
  <c r="B1042" i="3"/>
  <c r="B932" i="3"/>
  <c r="B951" i="3"/>
  <c r="B950" i="3"/>
  <c r="B1047" i="3"/>
  <c r="B1041" i="3"/>
  <c r="B1050" i="3"/>
  <c r="B940" i="3"/>
  <c r="B1045" i="3"/>
  <c r="B1054" i="3"/>
  <c r="B1055" i="3"/>
  <c r="B1049" i="3"/>
  <c r="B931" i="3"/>
  <c r="B943" i="3"/>
  <c r="B1053" i="3"/>
  <c r="B936" i="3"/>
  <c r="B1057" i="3"/>
  <c r="B939" i="3"/>
  <c r="B1044" i="3"/>
  <c r="B934" i="3"/>
  <c r="B933" i="3"/>
  <c r="B944" i="3"/>
  <c r="B938" i="3"/>
  <c r="B947" i="3"/>
  <c r="B1052" i="3"/>
  <c r="B942" i="3"/>
  <c r="B1048" i="3"/>
  <c r="B946" i="3"/>
  <c r="B6" i="6"/>
  <c r="B937" i="3"/>
  <c r="B948" i="3"/>
  <c r="B1043" i="3"/>
  <c r="B941" i="3"/>
  <c r="B1046" i="3"/>
  <c r="B949" i="3"/>
  <c r="B1040" i="3"/>
  <c r="B945" i="3"/>
  <c r="B1051" i="3"/>
  <c r="B935" i="3"/>
  <c r="AS7" i="8"/>
  <c r="AR487" i="7"/>
  <c r="B97" i="8"/>
  <c r="B88" i="8"/>
  <c r="B96" i="8"/>
  <c r="B87" i="8"/>
  <c r="B98" i="8"/>
  <c r="B103" i="8"/>
  <c r="B104" i="8" s="1"/>
  <c r="B94" i="8"/>
  <c r="B95" i="8" s="1"/>
  <c r="B102" i="8"/>
  <c r="B93" i="8"/>
  <c r="B99" i="8"/>
  <c r="B101" i="8"/>
  <c r="B92" i="8"/>
  <c r="B90" i="8"/>
  <c r="B100" i="8"/>
  <c r="B91" i="8"/>
  <c r="B89" i="8"/>
  <c r="O86" i="1"/>
  <c r="O42" i="1"/>
  <c r="O135" i="1"/>
  <c r="O84" i="1"/>
  <c r="O40" i="1"/>
  <c r="O136" i="1"/>
  <c r="O43" i="1"/>
  <c r="O87" i="1"/>
  <c r="O128" i="1"/>
  <c r="O46" i="1"/>
  <c r="O90" i="1"/>
  <c r="O47" i="1"/>
  <c r="O91" i="1"/>
  <c r="O130" i="1"/>
  <c r="O89" i="1"/>
  <c r="O45" i="1"/>
  <c r="AR447" i="7"/>
  <c r="AR824" i="7"/>
  <c r="AR574" i="7"/>
  <c r="AR698" i="7"/>
  <c r="AR530" i="7"/>
  <c r="AR613" i="7"/>
  <c r="O116" i="1"/>
  <c r="O142" i="1" s="1"/>
  <c r="O72" i="1"/>
  <c r="O140" i="1" s="1"/>
  <c r="O137" i="1"/>
  <c r="O132" i="1"/>
  <c r="O28" i="1"/>
  <c r="O88" i="1"/>
  <c r="O44" i="1"/>
  <c r="O93" i="1"/>
  <c r="O49" i="1"/>
  <c r="O85" i="1"/>
  <c r="O41" i="1"/>
  <c r="O131" i="1"/>
  <c r="O134" i="1"/>
  <c r="O48" i="1"/>
  <c r="O92" i="1"/>
  <c r="O129" i="1"/>
  <c r="O133" i="1"/>
  <c r="J2" i="1"/>
  <c r="Z136" i="1"/>
  <c r="Z134" i="1"/>
  <c r="Z132" i="1"/>
  <c r="Z130" i="1"/>
  <c r="Z112" i="1"/>
  <c r="Z108" i="1"/>
  <c r="Z88" i="1"/>
  <c r="Z70" i="1"/>
  <c r="Z64" i="1"/>
  <c r="Z46" i="1"/>
  <c r="Z40" i="1"/>
  <c r="Z22" i="1"/>
  <c r="D60" i="9"/>
  <c r="I70" i="1"/>
  <c r="I62" i="1"/>
  <c r="I42" i="1"/>
  <c r="I24" i="1"/>
  <c r="C60" i="9"/>
  <c r="L57" i="9"/>
  <c r="B43" i="9"/>
  <c r="B45" i="9"/>
  <c r="I136" i="1"/>
  <c r="I134" i="1"/>
  <c r="I132" i="1"/>
  <c r="I130" i="1"/>
  <c r="I128" i="1"/>
  <c r="I114" i="1"/>
  <c r="I112" i="1"/>
  <c r="I110" i="1"/>
  <c r="I108" i="1"/>
  <c r="I106" i="1"/>
  <c r="I92" i="1"/>
  <c r="I90" i="1"/>
  <c r="I88" i="1"/>
  <c r="I86" i="1"/>
  <c r="I68" i="1"/>
  <c r="I48" i="1"/>
  <c r="I40" i="1"/>
  <c r="I20" i="1"/>
  <c r="B49" i="9"/>
  <c r="B60" i="9"/>
  <c r="K57" i="9"/>
  <c r="Z109" i="1"/>
  <c r="Z91" i="1"/>
  <c r="Z85" i="1"/>
  <c r="Z67" i="1"/>
  <c r="Z49" i="1"/>
  <c r="Z43" i="1"/>
  <c r="Z25" i="1"/>
  <c r="Z19" i="1"/>
  <c r="I67" i="1"/>
  <c r="I47" i="1"/>
  <c r="I27" i="1"/>
  <c r="I19" i="1"/>
  <c r="B68" i="9"/>
  <c r="D59" i="9"/>
  <c r="J57" i="9"/>
  <c r="B46" i="9"/>
  <c r="B42" i="9"/>
  <c r="Z131" i="1"/>
  <c r="Z115" i="1"/>
  <c r="Z111" i="1"/>
  <c r="Z93" i="1"/>
  <c r="Z87" i="1"/>
  <c r="Z69" i="1"/>
  <c r="Z63" i="1"/>
  <c r="Z45" i="1"/>
  <c r="Z27" i="1"/>
  <c r="Z21" i="1"/>
  <c r="C59" i="9"/>
  <c r="I57" i="9"/>
  <c r="I71" i="1"/>
  <c r="I63" i="1"/>
  <c r="I43" i="1"/>
  <c r="I23" i="1"/>
  <c r="Z137" i="1"/>
  <c r="Z135" i="1"/>
  <c r="Z133" i="1"/>
  <c r="Z129" i="1"/>
  <c r="Z113" i="1"/>
  <c r="Z107" i="1"/>
  <c r="Z89" i="1"/>
  <c r="Z71" i="1"/>
  <c r="Z65" i="1"/>
  <c r="Z47" i="1"/>
  <c r="Z41" i="1"/>
  <c r="Z23" i="1"/>
  <c r="B67" i="9"/>
  <c r="I69" i="1"/>
  <c r="I49" i="1"/>
  <c r="I41" i="1"/>
  <c r="I21" i="1"/>
  <c r="I137" i="1"/>
  <c r="I135" i="1"/>
  <c r="I133" i="1"/>
  <c r="I131" i="1"/>
  <c r="I129" i="1"/>
  <c r="I115" i="1"/>
  <c r="I113" i="1"/>
  <c r="I111" i="1"/>
  <c r="I109" i="1"/>
  <c r="I107" i="1"/>
  <c r="I93" i="1"/>
  <c r="I91" i="1"/>
  <c r="I89" i="1"/>
  <c r="I87" i="1"/>
  <c r="I85" i="1"/>
  <c r="I65" i="1"/>
  <c r="I45" i="1"/>
  <c r="I25" i="1"/>
  <c r="G64" i="9"/>
  <c r="F64" i="9"/>
  <c r="D57" i="9"/>
  <c r="G57" i="9"/>
  <c r="Z114" i="1"/>
  <c r="Z106" i="1"/>
  <c r="Z90" i="1"/>
  <c r="Z84" i="1"/>
  <c r="Z66" i="1"/>
  <c r="Z48" i="1"/>
  <c r="Z42" i="1"/>
  <c r="Z24" i="1"/>
  <c r="Z18" i="1"/>
  <c r="I66" i="1"/>
  <c r="I46" i="1"/>
  <c r="I26" i="1"/>
  <c r="I18" i="1"/>
  <c r="B57" i="9"/>
  <c r="C57" i="9"/>
  <c r="F57" i="9"/>
  <c r="B48" i="9"/>
  <c r="B44" i="9"/>
  <c r="B40" i="9"/>
  <c r="Z128" i="1"/>
  <c r="Z110" i="1"/>
  <c r="Z92" i="1"/>
  <c r="Z86" i="1"/>
  <c r="Z68" i="1"/>
  <c r="Z62" i="1"/>
  <c r="Z44" i="1"/>
  <c r="Z26" i="1"/>
  <c r="Z20" i="1"/>
  <c r="E57" i="9"/>
  <c r="I84" i="1"/>
  <c r="I64" i="1"/>
  <c r="I44" i="1"/>
  <c r="I22" i="1"/>
  <c r="B47" i="9"/>
  <c r="B59" i="9"/>
  <c r="H57" i="9"/>
  <c r="B41" i="9"/>
  <c r="I15" i="9"/>
  <c r="AR765" i="7"/>
  <c r="AR597" i="7"/>
  <c r="B120" i="9"/>
  <c r="AR555" i="7"/>
  <c r="AR513" i="7"/>
  <c r="B169" i="9"/>
  <c r="B119" i="9"/>
  <c r="AR723" i="7"/>
  <c r="AR639" i="7"/>
  <c r="AR429" i="7"/>
  <c r="B168" i="9"/>
  <c r="B118" i="9"/>
  <c r="AR807" i="7"/>
  <c r="AR681" i="7"/>
  <c r="AR471" i="7"/>
  <c r="B157" i="9"/>
  <c r="G15" i="9"/>
  <c r="H15" i="9"/>
  <c r="AR430" i="7"/>
  <c r="AR557" i="7"/>
  <c r="AR724" i="7"/>
  <c r="AR558" i="7"/>
  <c r="AR515" i="7"/>
  <c r="AR640" i="7"/>
  <c r="AR556" i="7"/>
  <c r="AR682" i="7"/>
  <c r="AR766" i="7"/>
  <c r="AR431" i="7"/>
  <c r="AR767" i="7"/>
  <c r="AR598" i="7"/>
  <c r="AR683" i="7"/>
  <c r="AR472" i="7"/>
  <c r="AR809" i="7"/>
  <c r="AR514" i="7"/>
  <c r="AR808" i="7"/>
  <c r="AR725" i="7"/>
  <c r="AR684" i="7"/>
  <c r="AR473" i="7"/>
  <c r="AR768" i="7"/>
  <c r="AR599" i="7"/>
  <c r="AR516" i="7"/>
  <c r="AR559" i="7"/>
  <c r="AR810" i="7"/>
  <c r="AR726" i="7"/>
  <c r="AR641" i="7"/>
  <c r="AR560" i="7"/>
  <c r="AR432" i="7"/>
  <c r="AR433" i="7"/>
  <c r="AR769" i="7"/>
  <c r="AR600" i="7"/>
  <c r="AR474" i="7"/>
  <c r="AR434" i="7"/>
  <c r="AR561" i="7"/>
  <c r="AR727" i="7"/>
  <c r="AR642" i="7"/>
  <c r="AR811" i="7"/>
  <c r="AR517" i="7"/>
  <c r="AR685" i="7"/>
  <c r="AR728" i="7"/>
  <c r="AR812" i="7"/>
  <c r="AR601" i="7"/>
  <c r="AR686" i="7"/>
  <c r="AR770" i="7"/>
  <c r="AR475" i="7"/>
  <c r="AR562" i="7"/>
  <c r="AR435" i="7"/>
  <c r="AR643" i="7"/>
  <c r="AR518" i="7"/>
  <c r="AR813" i="7"/>
  <c r="AR687" i="7"/>
  <c r="AR476" i="7"/>
  <c r="AR563" i="7"/>
  <c r="AR771" i="7"/>
  <c r="AR436" i="7"/>
  <c r="AR644" i="7"/>
  <c r="AR519" i="7"/>
  <c r="AR729" i="7"/>
  <c r="AR602" i="7"/>
  <c r="AR814" i="7"/>
  <c r="AR477" i="7"/>
  <c r="AR688" i="7"/>
  <c r="AR564" i="7"/>
  <c r="AR772" i="7"/>
  <c r="AR437" i="7"/>
  <c r="AR645" i="7"/>
  <c r="AR520" i="7"/>
  <c r="AR730" i="7"/>
  <c r="AR603" i="7"/>
  <c r="AR815" i="7"/>
  <c r="AR604" i="7"/>
  <c r="AR478" i="7"/>
  <c r="AR689" i="7"/>
  <c r="AR773" i="7"/>
  <c r="AR438" i="7"/>
  <c r="AR646" i="7"/>
  <c r="AR565" i="7"/>
  <c r="AR521" i="7"/>
  <c r="AR731" i="7"/>
  <c r="AR816" i="7"/>
  <c r="AR479" i="7"/>
  <c r="AR690" i="7"/>
  <c r="AR566" i="7"/>
  <c r="AR439" i="7"/>
  <c r="AR774" i="7"/>
  <c r="AR647" i="7"/>
  <c r="AR732" i="7"/>
  <c r="AR605" i="7"/>
  <c r="AR522" i="7"/>
  <c r="AR733" i="7"/>
  <c r="AR606" i="7"/>
  <c r="AR480" i="7"/>
  <c r="AR817" i="7"/>
  <c r="AR691" i="7"/>
  <c r="AR567" i="7"/>
  <c r="AR648" i="7"/>
  <c r="AR775" i="7"/>
  <c r="AR440" i="7"/>
  <c r="AR523" i="7"/>
  <c r="AR607" i="7"/>
  <c r="AR818" i="7"/>
  <c r="AR692" i="7"/>
  <c r="AR568" i="7"/>
  <c r="AR481" i="7"/>
  <c r="AR441" i="7"/>
  <c r="AR776" i="7"/>
  <c r="AR524" i="7"/>
  <c r="AR649" i="7"/>
  <c r="AR734" i="7"/>
  <c r="AR608" i="7"/>
  <c r="AR819" i="7"/>
  <c r="AR482" i="7"/>
  <c r="AR693" i="7"/>
  <c r="AR569" i="7"/>
  <c r="AR442" i="7"/>
  <c r="AR777" i="7"/>
  <c r="AR650" i="7"/>
  <c r="AR735" i="7"/>
  <c r="AR525" i="7"/>
  <c r="AR820" i="7"/>
  <c r="AR483" i="7"/>
  <c r="AR609" i="7"/>
  <c r="AR694" i="7"/>
  <c r="AR651" i="7"/>
  <c r="AR570" i="7"/>
  <c r="AR778" i="7"/>
  <c r="AR443" i="7"/>
  <c r="AR736" i="7"/>
  <c r="AR526" i="7"/>
  <c r="AR484" i="7"/>
  <c r="AR821" i="7"/>
  <c r="AR695" i="7"/>
  <c r="AR571" i="7"/>
  <c r="AR779" i="7"/>
  <c r="AR652" i="7"/>
  <c r="AR444" i="7"/>
  <c r="AR527" i="7"/>
  <c r="AR737" i="7"/>
  <c r="AR610" i="7"/>
  <c r="AR738" i="7"/>
  <c r="AR611" i="7"/>
  <c r="AR696" i="7"/>
  <c r="AR485" i="7"/>
  <c r="AR822" i="7"/>
  <c r="AR572" i="7"/>
  <c r="AR780" i="7"/>
  <c r="AR445" i="7"/>
  <c r="AR653" i="7"/>
  <c r="AR528" i="7"/>
  <c r="AR697" i="7"/>
  <c r="AR573" i="7"/>
  <c r="AR486" i="7"/>
  <c r="AR781" i="7"/>
  <c r="AR529" i="7"/>
  <c r="AR446" i="7"/>
  <c r="AR739" i="7"/>
  <c r="AR654" i="7"/>
  <c r="AR823" i="7"/>
  <c r="AR612" i="7"/>
  <c r="AR740" i="7"/>
  <c r="AR655" i="7"/>
  <c r="AR782" i="7"/>
  <c r="AR825" i="7"/>
  <c r="I826" i="7"/>
  <c r="J825" i="7"/>
  <c r="I784" i="7"/>
  <c r="J783" i="7"/>
  <c r="AR783" i="7"/>
  <c r="AR741" i="7"/>
  <c r="I742" i="7"/>
  <c r="J741" i="7"/>
  <c r="I700" i="7"/>
  <c r="J699" i="7"/>
  <c r="AR699" i="7"/>
  <c r="I657" i="7"/>
  <c r="J656" i="7"/>
  <c r="AR656" i="7"/>
  <c r="AR614" i="7"/>
  <c r="J614" i="7"/>
  <c r="I615" i="7"/>
  <c r="J575" i="7"/>
  <c r="AR575" i="7"/>
  <c r="I576" i="7"/>
  <c r="I532" i="7"/>
  <c r="J531" i="7"/>
  <c r="AR531" i="7"/>
  <c r="AR488" i="7"/>
  <c r="I489" i="7"/>
  <c r="J488" i="7"/>
  <c r="AR448" i="7"/>
  <c r="I449" i="7"/>
  <c r="J448" i="7"/>
  <c r="AO5" i="7"/>
  <c r="AM5" i="7"/>
  <c r="X1" i="7"/>
  <c r="AP1" i="7"/>
  <c r="AF5" i="7"/>
  <c r="AE5" i="7"/>
  <c r="Y1" i="7"/>
  <c r="AG5" i="7"/>
  <c r="AE1" i="7"/>
  <c r="Z1" i="7"/>
  <c r="AH5" i="7"/>
  <c r="AA1" i="7"/>
  <c r="AD1" i="7"/>
  <c r="AI5" i="7"/>
  <c r="AB1" i="7"/>
  <c r="V1" i="7"/>
  <c r="AJ5" i="7"/>
  <c r="AC1" i="7"/>
  <c r="AK5" i="7"/>
  <c r="AL5" i="7"/>
  <c r="W1" i="7"/>
  <c r="AN1" i="7"/>
  <c r="AR1185" i="7"/>
  <c r="AR849" i="7"/>
  <c r="AR93" i="7"/>
  <c r="AR1059" i="7"/>
  <c r="AR1143" i="7"/>
  <c r="AR387" i="7"/>
  <c r="AR51" i="7"/>
  <c r="AR303" i="7"/>
  <c r="AR1101" i="7"/>
  <c r="AR345" i="7"/>
  <c r="AR1017" i="7"/>
  <c r="AR261" i="7"/>
  <c r="AR933" i="7"/>
  <c r="AR177" i="7"/>
  <c r="T1" i="7"/>
  <c r="AR975" i="7"/>
  <c r="AR219" i="7"/>
  <c r="U1" i="7"/>
  <c r="AR1227" i="7"/>
  <c r="AR891" i="7"/>
  <c r="AR135" i="7"/>
  <c r="AO1" i="7"/>
  <c r="AM1" i="7"/>
  <c r="AL1" i="7"/>
  <c r="AK1" i="7"/>
  <c r="AJ1" i="7"/>
  <c r="B39" i="9"/>
  <c r="B35" i="9"/>
  <c r="B31" i="9"/>
  <c r="B27" i="9"/>
  <c r="B23" i="9"/>
  <c r="B38" i="9"/>
  <c r="B34" i="9"/>
  <c r="B30" i="9"/>
  <c r="B26" i="9"/>
  <c r="B22" i="9"/>
  <c r="B37" i="9"/>
  <c r="B33" i="9"/>
  <c r="B29" i="9"/>
  <c r="B25" i="9"/>
  <c r="B21" i="9"/>
  <c r="B36" i="9"/>
  <c r="B32" i="9"/>
  <c r="B28" i="9"/>
  <c r="B24" i="9"/>
  <c r="B20" i="9"/>
  <c r="AI1" i="7"/>
  <c r="AR9" i="7"/>
  <c r="AR1" i="7"/>
  <c r="AQ1" i="7"/>
  <c r="Y2" i="1"/>
  <c r="C6" i="6"/>
  <c r="M3" i="4"/>
  <c r="H1" i="1"/>
  <c r="Z2" i="1"/>
  <c r="Z195" i="1"/>
  <c r="Z184" i="1"/>
  <c r="Z175" i="1"/>
  <c r="Z166" i="1"/>
  <c r="Z158" i="1"/>
  <c r="Z149" i="1"/>
  <c r="Z124" i="1"/>
  <c r="Z105" i="1"/>
  <c r="Z97" i="1"/>
  <c r="Z78" i="1"/>
  <c r="Z59" i="1"/>
  <c r="Z50" i="1"/>
  <c r="Z32" i="1"/>
  <c r="Z13" i="1"/>
  <c r="Z831" i="1"/>
  <c r="Z809" i="1"/>
  <c r="Z798" i="1"/>
  <c r="Z786" i="1"/>
  <c r="Z773" i="1"/>
  <c r="Z763" i="1"/>
  <c r="Z752" i="1"/>
  <c r="Z737" i="1"/>
  <c r="Z729" i="1"/>
  <c r="Z716" i="1"/>
  <c r="Z699" i="1"/>
  <c r="Z685" i="1"/>
  <c r="Z676" i="1"/>
  <c r="Z666" i="1"/>
  <c r="Z658" i="1"/>
  <c r="Z650" i="1"/>
  <c r="Z641" i="1"/>
  <c r="Z632" i="1"/>
  <c r="Z624" i="1"/>
  <c r="Z616" i="1"/>
  <c r="Z608" i="1"/>
  <c r="Z600" i="1"/>
  <c r="Z590" i="1"/>
  <c r="Z581" i="1"/>
  <c r="Z571" i="1"/>
  <c r="Z563" i="1"/>
  <c r="Z554" i="1"/>
  <c r="Z546" i="1"/>
  <c r="Z537" i="1"/>
  <c r="Z529" i="1"/>
  <c r="Z521" i="1"/>
  <c r="Z513" i="1"/>
  <c r="Z505" i="1"/>
  <c r="Z498" i="1"/>
  <c r="Z488" i="1"/>
  <c r="Z476" i="1"/>
  <c r="Z468" i="1"/>
  <c r="Z458" i="1"/>
  <c r="Z450" i="1"/>
  <c r="Z440" i="1"/>
  <c r="Z432" i="1"/>
  <c r="Z424" i="1"/>
  <c r="Z416" i="1"/>
  <c r="Z408" i="1"/>
  <c r="Z365" i="1"/>
  <c r="Z347" i="1"/>
  <c r="Z327" i="1"/>
  <c r="Z813" i="1"/>
  <c r="Z688" i="1"/>
  <c r="Z592" i="1"/>
  <c r="Z470" i="1"/>
  <c r="Z418" i="1"/>
  <c r="L2" i="1"/>
  <c r="Z194" i="1"/>
  <c r="Z183" i="1"/>
  <c r="Z174" i="1"/>
  <c r="Z165" i="1"/>
  <c r="Z156" i="1"/>
  <c r="Z148" i="1"/>
  <c r="Z123" i="1"/>
  <c r="Z104" i="1"/>
  <c r="Z96" i="1"/>
  <c r="Z77" i="1"/>
  <c r="Z58" i="1"/>
  <c r="Z39" i="1"/>
  <c r="Z31" i="1"/>
  <c r="Z14" i="1"/>
  <c r="Z830" i="1"/>
  <c r="Z808" i="1"/>
  <c r="Z796" i="1"/>
  <c r="Z785" i="1"/>
  <c r="Z771" i="1"/>
  <c r="Z761" i="1"/>
  <c r="Z751" i="1"/>
  <c r="Z744" i="1"/>
  <c r="Z727" i="1"/>
  <c r="Z714" i="1"/>
  <c r="Z698" i="1"/>
  <c r="Z684" i="1"/>
  <c r="Z675" i="1"/>
  <c r="Z665" i="1"/>
  <c r="Z657" i="1"/>
  <c r="Z648" i="1"/>
  <c r="Z640" i="1"/>
  <c r="Z631" i="1"/>
  <c r="Z623" i="1"/>
  <c r="Z615" i="1"/>
  <c r="Z607" i="1"/>
  <c r="Z599" i="1"/>
  <c r="Z589" i="1"/>
  <c r="Z580" i="1"/>
  <c r="Z570" i="1"/>
  <c r="Z562" i="1"/>
  <c r="Z553" i="1"/>
  <c r="Z545" i="1"/>
  <c r="Z536" i="1"/>
  <c r="Z528" i="1"/>
  <c r="Z520" i="1"/>
  <c r="Z512" i="1"/>
  <c r="Z504" i="1"/>
  <c r="Z497" i="1"/>
  <c r="Z487" i="1"/>
  <c r="Z475" i="1"/>
  <c r="Z467" i="1"/>
  <c r="Z457" i="1"/>
  <c r="Z447" i="1"/>
  <c r="Z439" i="1"/>
  <c r="Z431" i="1"/>
  <c r="Z423" i="1"/>
  <c r="Z415" i="1"/>
  <c r="Z403" i="1"/>
  <c r="Z364" i="1"/>
  <c r="Z354" i="1"/>
  <c r="Z346" i="1"/>
  <c r="Z336" i="1"/>
  <c r="Z326" i="1"/>
  <c r="Z314" i="1"/>
  <c r="Z61" i="1"/>
  <c r="Z788" i="1"/>
  <c r="Z702" i="1"/>
  <c r="Z610" i="1"/>
  <c r="Z548" i="1"/>
  <c r="Z482" i="1"/>
  <c r="Z434" i="1"/>
  <c r="Z339" i="1"/>
  <c r="M2" i="1"/>
  <c r="Z193" i="1"/>
  <c r="Z182" i="1"/>
  <c r="Z173" i="1"/>
  <c r="Z164" i="1"/>
  <c r="Z155" i="1"/>
  <c r="Z147" i="1"/>
  <c r="Z122" i="1"/>
  <c r="Z103" i="1"/>
  <c r="Z94" i="1"/>
  <c r="Z76" i="1"/>
  <c r="Z57" i="1"/>
  <c r="Z38" i="1"/>
  <c r="Z30" i="1"/>
  <c r="Z15" i="1"/>
  <c r="Z829" i="1"/>
  <c r="Z818" i="1"/>
  <c r="Z807" i="1"/>
  <c r="Z795" i="1"/>
  <c r="Z783" i="1"/>
  <c r="Z770" i="1"/>
  <c r="Z759" i="1"/>
  <c r="Z750" i="1"/>
  <c r="Z742" i="1"/>
  <c r="Z726" i="1"/>
  <c r="Z712" i="1"/>
  <c r="Z697" i="1"/>
  <c r="Z683" i="1"/>
  <c r="Z674" i="1"/>
  <c r="Z664" i="1"/>
  <c r="Z656" i="1"/>
  <c r="Z647" i="1"/>
  <c r="Z639" i="1"/>
  <c r="Z630" i="1"/>
  <c r="Z622" i="1"/>
  <c r="Z614" i="1"/>
  <c r="Z606" i="1"/>
  <c r="Z598" i="1"/>
  <c r="Z588" i="1"/>
  <c r="Z578" i="1"/>
  <c r="Z569" i="1"/>
  <c r="Z561" i="1"/>
  <c r="Z552" i="1"/>
  <c r="Z544" i="1"/>
  <c r="Z535" i="1"/>
  <c r="Z527" i="1"/>
  <c r="Z519" i="1"/>
  <c r="Z511" i="1"/>
  <c r="Z503" i="1"/>
  <c r="Z496" i="1"/>
  <c r="Z486" i="1"/>
  <c r="Z474" i="1"/>
  <c r="Z466" i="1"/>
  <c r="Z456" i="1"/>
  <c r="Z446" i="1"/>
  <c r="Z438" i="1"/>
  <c r="Z430" i="1"/>
  <c r="Z422" i="1"/>
  <c r="Z414" i="1"/>
  <c r="Z373" i="1"/>
  <c r="Z363" i="1"/>
  <c r="Z353" i="1"/>
  <c r="Z345" i="1"/>
  <c r="Z335" i="1"/>
  <c r="Z323" i="1"/>
  <c r="Z313" i="1"/>
  <c r="Z53" i="1"/>
  <c r="Z800" i="1"/>
  <c r="Z678" i="1"/>
  <c r="Z634" i="1"/>
  <c r="Z573" i="1"/>
  <c r="Z523" i="1"/>
  <c r="Z462" i="1"/>
  <c r="Z367" i="1"/>
  <c r="N2" i="1"/>
  <c r="Z192" i="1"/>
  <c r="Z180" i="1"/>
  <c r="Z172" i="1"/>
  <c r="Z163" i="1"/>
  <c r="Z154" i="1"/>
  <c r="Z146" i="1"/>
  <c r="Z121" i="1"/>
  <c r="Z102" i="1"/>
  <c r="Z83" i="1"/>
  <c r="Z75" i="1"/>
  <c r="Z56" i="1"/>
  <c r="Z37" i="1"/>
  <c r="Z28" i="1"/>
  <c r="Z16" i="1"/>
  <c r="Z828" i="1"/>
  <c r="Z817" i="1"/>
  <c r="Z805" i="1"/>
  <c r="Z794" i="1"/>
  <c r="Z782" i="1"/>
  <c r="Z769" i="1"/>
  <c r="Z758" i="1"/>
  <c r="Z749" i="1"/>
  <c r="Z735" i="1"/>
  <c r="Z725" i="1"/>
  <c r="Z710" i="1"/>
  <c r="Z695" i="1"/>
  <c r="Z682" i="1"/>
  <c r="Z672" i="1"/>
  <c r="Z663" i="1"/>
  <c r="Z655" i="1"/>
  <c r="Z646" i="1"/>
  <c r="Z638" i="1"/>
  <c r="Z629" i="1"/>
  <c r="Z621" i="1"/>
  <c r="Z613" i="1"/>
  <c r="Z605" i="1"/>
  <c r="Z597" i="1"/>
  <c r="Z587" i="1"/>
  <c r="Z576" i="1"/>
  <c r="Z568" i="1"/>
  <c r="Z560" i="1"/>
  <c r="Z551" i="1"/>
  <c r="Z542" i="1"/>
  <c r="Z534" i="1"/>
  <c r="Z526" i="1"/>
  <c r="Z518" i="1"/>
  <c r="Z510" i="1"/>
  <c r="Z502" i="1"/>
  <c r="Z495" i="1"/>
  <c r="Z481" i="1"/>
  <c r="Z473" i="1"/>
  <c r="Z465" i="1"/>
  <c r="Z455" i="1"/>
  <c r="Z445" i="1"/>
  <c r="Z437" i="1"/>
  <c r="Z429" i="1"/>
  <c r="Z421" i="1"/>
  <c r="Z413" i="1"/>
  <c r="Z372" i="1"/>
  <c r="Z362" i="1"/>
  <c r="Z352" i="1"/>
  <c r="Z342" i="1"/>
  <c r="Z332" i="1"/>
  <c r="Z322" i="1"/>
  <c r="Z312" i="1"/>
  <c r="Z151" i="1"/>
  <c r="Z80" i="1"/>
  <c r="Z824" i="1"/>
  <c r="Z720" i="1"/>
  <c r="Z618" i="1"/>
  <c r="Z557" i="1"/>
  <c r="Z507" i="1"/>
  <c r="Z442" i="1"/>
  <c r="Z349" i="1"/>
  <c r="Z190" i="1"/>
  <c r="Z179" i="1"/>
  <c r="Z171" i="1"/>
  <c r="Z162" i="1"/>
  <c r="Z153" i="1"/>
  <c r="Z138" i="1"/>
  <c r="Z120" i="1"/>
  <c r="Z101" i="1"/>
  <c r="Z82" i="1"/>
  <c r="Z74" i="1"/>
  <c r="Z55" i="1"/>
  <c r="Z36" i="1"/>
  <c r="Z9" i="1"/>
  <c r="Z17" i="1"/>
  <c r="Z826" i="1"/>
  <c r="Z816" i="1"/>
  <c r="Z804" i="1"/>
  <c r="Z791" i="1"/>
  <c r="Z781" i="1"/>
  <c r="Z768" i="1"/>
  <c r="Z757" i="1"/>
  <c r="Z738" i="1"/>
  <c r="Z733" i="1"/>
  <c r="Z724" i="1"/>
  <c r="Z705" i="1"/>
  <c r="Z694" i="1"/>
  <c r="Z681" i="1"/>
  <c r="Z670" i="1"/>
  <c r="Z662" i="1"/>
  <c r="Z654" i="1"/>
  <c r="Z645" i="1"/>
  <c r="Z636" i="1"/>
  <c r="Z628" i="1"/>
  <c r="Z620" i="1"/>
  <c r="Z612" i="1"/>
  <c r="Z604" i="1"/>
  <c r="Z596" i="1"/>
  <c r="Z585" i="1"/>
  <c r="Z575" i="1"/>
  <c r="Z567" i="1"/>
  <c r="Z559" i="1"/>
  <c r="Z550" i="1"/>
  <c r="Z541" i="1"/>
  <c r="Z533" i="1"/>
  <c r="Z525" i="1"/>
  <c r="Z517" i="1"/>
  <c r="Z509" i="1"/>
  <c r="Z500" i="1"/>
  <c r="Z494" i="1"/>
  <c r="Z480" i="1"/>
  <c r="Z472" i="1"/>
  <c r="Z464" i="1"/>
  <c r="Z454" i="1"/>
  <c r="Z444" i="1"/>
  <c r="Z436" i="1"/>
  <c r="Z428" i="1"/>
  <c r="Z420" i="1"/>
  <c r="Z412" i="1"/>
  <c r="Z369" i="1"/>
  <c r="Z361" i="1"/>
  <c r="Z351" i="1"/>
  <c r="Z341" i="1"/>
  <c r="Z331" i="1"/>
  <c r="Z319" i="1"/>
  <c r="Z311" i="1"/>
  <c r="Z368" i="1"/>
  <c r="Z350" i="1"/>
  <c r="Z330" i="1"/>
  <c r="Z188" i="1"/>
  <c r="Z168" i="1"/>
  <c r="Z126" i="1"/>
  <c r="Z99" i="1"/>
  <c r="Z11" i="1"/>
  <c r="Z755" i="1"/>
  <c r="Z740" i="1"/>
  <c r="Z660" i="1"/>
  <c r="Z626" i="1"/>
  <c r="Z565" i="1"/>
  <c r="Z531" i="1"/>
  <c r="Z490" i="1"/>
  <c r="Z410" i="1"/>
  <c r="Z189" i="1"/>
  <c r="Z178" i="1"/>
  <c r="Z170" i="1"/>
  <c r="Z161" i="1"/>
  <c r="Z152" i="1"/>
  <c r="Z127" i="1"/>
  <c r="Z119" i="1"/>
  <c r="Z100" i="1"/>
  <c r="Z81" i="1"/>
  <c r="Z72" i="1"/>
  <c r="Z54" i="1"/>
  <c r="Z35" i="1"/>
  <c r="Z10" i="1"/>
  <c r="Z8" i="1"/>
  <c r="Z825" i="1"/>
  <c r="Z814" i="1"/>
  <c r="Z803" i="1"/>
  <c r="Z789" i="1"/>
  <c r="Z780" i="1"/>
  <c r="Z766" i="1"/>
  <c r="Z756" i="1"/>
  <c r="Z739" i="1"/>
  <c r="Z732" i="1"/>
  <c r="Z722" i="1"/>
  <c r="Z703" i="1"/>
  <c r="Z693" i="1"/>
  <c r="Z679" i="1"/>
  <c r="Z669" i="1"/>
  <c r="Z661" i="1"/>
  <c r="Z653" i="1"/>
  <c r="Z644" i="1"/>
  <c r="Z635" i="1"/>
  <c r="Z627" i="1"/>
  <c r="Z619" i="1"/>
  <c r="Z611" i="1"/>
  <c r="Z603" i="1"/>
  <c r="Z594" i="1"/>
  <c r="Z584" i="1"/>
  <c r="Z574" i="1"/>
  <c r="Z566" i="1"/>
  <c r="Z558" i="1"/>
  <c r="Z549" i="1"/>
  <c r="Z540" i="1"/>
  <c r="Z532" i="1"/>
  <c r="Z524" i="1"/>
  <c r="Z516" i="1"/>
  <c r="Z508" i="1"/>
  <c r="Z484" i="1"/>
  <c r="Z493" i="1"/>
  <c r="Z479" i="1"/>
  <c r="Z471" i="1"/>
  <c r="Z463" i="1"/>
  <c r="Z453" i="1"/>
  <c r="Z443" i="1"/>
  <c r="Z435" i="1"/>
  <c r="Z427" i="1"/>
  <c r="Z419" i="1"/>
  <c r="Z411" i="1"/>
  <c r="Z360" i="1"/>
  <c r="Z340" i="1"/>
  <c r="Z318" i="1"/>
  <c r="K2" i="1"/>
  <c r="Z177" i="1"/>
  <c r="Z160" i="1"/>
  <c r="Z118" i="1"/>
  <c r="Z34" i="1"/>
  <c r="Z779" i="1"/>
  <c r="Z668" i="1"/>
  <c r="Z652" i="1"/>
  <c r="Z602" i="1"/>
  <c r="Z539" i="1"/>
  <c r="Z478" i="1"/>
  <c r="Z426" i="1"/>
  <c r="Z329" i="1"/>
  <c r="L1" i="7"/>
  <c r="Z185" i="1"/>
  <c r="Z176" i="1"/>
  <c r="Z167" i="1"/>
  <c r="Z159" i="1"/>
  <c r="Z150" i="1"/>
  <c r="Z125" i="1"/>
  <c r="Z116" i="1"/>
  <c r="Z98" i="1"/>
  <c r="Z79" i="1"/>
  <c r="Z60" i="1"/>
  <c r="Z52" i="1"/>
  <c r="Z33" i="1"/>
  <c r="Z12" i="1"/>
  <c r="Z812" i="1"/>
  <c r="Z799" i="1"/>
  <c r="Z787" i="1"/>
  <c r="Z778" i="1"/>
  <c r="Z764" i="1"/>
  <c r="Z753" i="1"/>
  <c r="Z741" i="1"/>
  <c r="Z730" i="1"/>
  <c r="Z718" i="1"/>
  <c r="Z701" i="1"/>
  <c r="Z686" i="1"/>
  <c r="Z677" i="1"/>
  <c r="Z667" i="1"/>
  <c r="Z659" i="1"/>
  <c r="Z651" i="1"/>
  <c r="Z642" i="1"/>
  <c r="Z633" i="1"/>
  <c r="Z625" i="1"/>
  <c r="Z617" i="1"/>
  <c r="Z609" i="1"/>
  <c r="Z601" i="1"/>
  <c r="Z591" i="1"/>
  <c r="Z582" i="1"/>
  <c r="Z572" i="1"/>
  <c r="Z564" i="1"/>
  <c r="Z556" i="1"/>
  <c r="Z547" i="1"/>
  <c r="Z538" i="1"/>
  <c r="Z530" i="1"/>
  <c r="Z522" i="1"/>
  <c r="Z514" i="1"/>
  <c r="Z506" i="1"/>
  <c r="Z491" i="1"/>
  <c r="Z489" i="1"/>
  <c r="Z477" i="1"/>
  <c r="Z469" i="1"/>
  <c r="Z459" i="1"/>
  <c r="Z451" i="1"/>
  <c r="Z441" i="1"/>
  <c r="Z433" i="1"/>
  <c r="Z425" i="1"/>
  <c r="Z417" i="1"/>
  <c r="Z409" i="1"/>
  <c r="Z366" i="1"/>
  <c r="Z356" i="1"/>
  <c r="Z348" i="1"/>
  <c r="Z338" i="1"/>
  <c r="Z328" i="1"/>
  <c r="Z316" i="1"/>
  <c r="Z355" i="1"/>
  <c r="Z337" i="1"/>
  <c r="Z315" i="1"/>
  <c r="Z765" i="1"/>
  <c r="Z731" i="1"/>
  <c r="Z643" i="1"/>
  <c r="Z583" i="1"/>
  <c r="Z515" i="1"/>
  <c r="Z452" i="1"/>
  <c r="Z357" i="1"/>
  <c r="Z317" i="1"/>
  <c r="Z392" i="1"/>
  <c r="Z382" i="1"/>
  <c r="Z377" i="1"/>
  <c r="Z379" i="1"/>
  <c r="Z378" i="1"/>
  <c r="Z375" i="1"/>
  <c r="Z384" i="1"/>
  <c r="Z381" i="1"/>
  <c r="Z376" i="1"/>
  <c r="Z383" i="1"/>
  <c r="Z380" i="1"/>
  <c r="Z308" i="1"/>
  <c r="Z307" i="1"/>
  <c r="Z299" i="1"/>
  <c r="Z289" i="1"/>
  <c r="Z280" i="1"/>
  <c r="Z276" i="1"/>
  <c r="Z270" i="1"/>
  <c r="Z264" i="1"/>
  <c r="Z258" i="1"/>
  <c r="Z252" i="1"/>
  <c r="Z248" i="1"/>
  <c r="Z242" i="1"/>
  <c r="Z236" i="1"/>
  <c r="Z230" i="1"/>
  <c r="Z224" i="1"/>
  <c r="Z306" i="1"/>
  <c r="Z298" i="1"/>
  <c r="Z288" i="1"/>
  <c r="Z217" i="1"/>
  <c r="Z205" i="1"/>
  <c r="Z241" i="1"/>
  <c r="Z229" i="1"/>
  <c r="Z216" i="1"/>
  <c r="Z296" i="1"/>
  <c r="Z215" i="1"/>
  <c r="Z237" i="1"/>
  <c r="Z202" i="1"/>
  <c r="Z300" i="1"/>
  <c r="B434" i="3"/>
  <c r="Z305" i="1"/>
  <c r="Z297" i="1"/>
  <c r="Z287" i="1"/>
  <c r="Z279" i="1"/>
  <c r="Z273" i="1"/>
  <c r="Z269" i="1"/>
  <c r="Z263" i="1"/>
  <c r="Z257" i="1"/>
  <c r="Z251" i="1"/>
  <c r="Z245" i="1"/>
  <c r="Z235" i="1"/>
  <c r="Z223" i="1"/>
  <c r="Z206" i="1"/>
  <c r="Z286" i="1"/>
  <c r="Z207" i="1"/>
  <c r="Z249" i="1"/>
  <c r="Z227" i="1"/>
  <c r="Z203" i="1"/>
  <c r="Z204" i="1"/>
  <c r="Z304" i="1"/>
  <c r="Z303" i="1"/>
  <c r="Z295" i="1"/>
  <c r="Z285" i="1"/>
  <c r="Z278" i="1"/>
  <c r="Z272" i="1"/>
  <c r="Z266" i="1"/>
  <c r="Z262" i="1"/>
  <c r="Z256" i="1"/>
  <c r="Z250" i="1"/>
  <c r="Z244" i="1"/>
  <c r="Z238" i="1"/>
  <c r="Z234" i="1"/>
  <c r="Z228" i="1"/>
  <c r="Z222" i="1"/>
  <c r="Z214" i="1"/>
  <c r="Z208" i="1"/>
  <c r="Z243" i="1"/>
  <c r="Z221" i="1"/>
  <c r="Z290" i="1"/>
  <c r="Z220" i="1"/>
  <c r="Z302" i="1"/>
  <c r="Z294" i="1"/>
  <c r="Z284" i="1"/>
  <c r="Z213" i="1"/>
  <c r="Z209" i="1"/>
  <c r="Z291" i="1"/>
  <c r="Z283" i="1"/>
  <c r="Z277" i="1"/>
  <c r="Z271" i="1"/>
  <c r="Z265" i="1"/>
  <c r="Z259" i="1"/>
  <c r="Z255" i="1"/>
  <c r="Z231" i="1"/>
  <c r="Z210" i="1"/>
  <c r="Z201" i="1"/>
  <c r="Z301" i="1"/>
  <c r="B12" i="6"/>
  <c r="J91" i="6"/>
  <c r="B96" i="6"/>
  <c r="B54" i="6"/>
  <c r="F48" i="6"/>
  <c r="G7" i="6"/>
  <c r="B10" i="6"/>
  <c r="B102" i="5"/>
  <c r="B94" i="5"/>
  <c r="B14" i="3"/>
  <c r="D4" i="5"/>
  <c r="D136" i="5" s="1"/>
  <c r="I91" i="6"/>
  <c r="B95" i="6"/>
  <c r="B53" i="6"/>
  <c r="E48" i="6"/>
  <c r="F7" i="6"/>
  <c r="B9" i="6"/>
  <c r="B101" i="5"/>
  <c r="B52" i="5"/>
  <c r="C4" i="5"/>
  <c r="G48" i="6"/>
  <c r="B10" i="5"/>
  <c r="H91" i="6"/>
  <c r="B48" i="6"/>
  <c r="B52" i="6"/>
  <c r="D48" i="6"/>
  <c r="E7" i="6"/>
  <c r="B91" i="6"/>
  <c r="B100" i="5"/>
  <c r="B53" i="5"/>
  <c r="J4" i="5"/>
  <c r="B55" i="6"/>
  <c r="G91" i="6"/>
  <c r="B56" i="6"/>
  <c r="C48" i="6"/>
  <c r="D7" i="6"/>
  <c r="B94" i="6"/>
  <c r="B99" i="5"/>
  <c r="B54" i="5"/>
  <c r="I4" i="5"/>
  <c r="C91" i="6"/>
  <c r="F91" i="6"/>
  <c r="B51" i="6"/>
  <c r="J48" i="6"/>
  <c r="C7" i="6"/>
  <c r="B93" i="6"/>
  <c r="B98" i="5"/>
  <c r="B55" i="5"/>
  <c r="H4" i="5"/>
  <c r="H7" i="6"/>
  <c r="B95" i="5"/>
  <c r="E91" i="6"/>
  <c r="B50" i="6"/>
  <c r="I48" i="6"/>
  <c r="J7" i="6"/>
  <c r="B97" i="5"/>
  <c r="G4" i="5"/>
  <c r="B7" i="6"/>
  <c r="D91" i="6"/>
  <c r="B49" i="6"/>
  <c r="H48" i="6"/>
  <c r="I7" i="6"/>
  <c r="B11" i="6"/>
  <c r="B106" i="5"/>
  <c r="B96" i="5"/>
  <c r="B59" i="5"/>
  <c r="F4" i="5"/>
  <c r="E4" i="5"/>
  <c r="Q1" i="7"/>
  <c r="R1" i="7"/>
  <c r="AF1" i="7"/>
  <c r="M1" i="7"/>
  <c r="AG1" i="7"/>
  <c r="N1" i="7"/>
  <c r="AH1" i="7"/>
  <c r="O1" i="7"/>
  <c r="S1" i="7"/>
  <c r="P1" i="7"/>
  <c r="B851" i="3"/>
  <c r="B1038" i="3"/>
  <c r="B1030" i="3"/>
  <c r="B841" i="3"/>
  <c r="B833" i="3"/>
  <c r="B649" i="3"/>
  <c r="B641" i="3"/>
  <c r="B633" i="3"/>
  <c r="B537" i="3"/>
  <c r="B433" i="3"/>
  <c r="B337" i="3"/>
  <c r="B230" i="3"/>
  <c r="B731" i="3"/>
  <c r="B531" i="3"/>
  <c r="B850" i="3"/>
  <c r="B1037" i="3"/>
  <c r="B853" i="3"/>
  <c r="B840" i="3"/>
  <c r="B832" i="3"/>
  <c r="B648" i="3"/>
  <c r="B640" i="3"/>
  <c r="B632" i="3"/>
  <c r="B536" i="3"/>
  <c r="B432" i="3"/>
  <c r="B336" i="3"/>
  <c r="B232" i="3"/>
  <c r="B1032" i="3"/>
  <c r="B843" i="3"/>
  <c r="B435" i="3"/>
  <c r="B849" i="3"/>
  <c r="B1036" i="3"/>
  <c r="B852" i="3"/>
  <c r="B839" i="3"/>
  <c r="B831" i="3"/>
  <c r="B647" i="3"/>
  <c r="B639" i="3"/>
  <c r="B631" i="3"/>
  <c r="B535" i="3"/>
  <c r="B439" i="3"/>
  <c r="B431" i="3"/>
  <c r="B335" i="3"/>
  <c r="B239" i="3"/>
  <c r="B231" i="3"/>
  <c r="B835" i="3"/>
  <c r="B539" i="3"/>
  <c r="B848" i="3"/>
  <c r="B1035" i="3"/>
  <c r="B846" i="3"/>
  <c r="B838" i="3"/>
  <c r="B830" i="3"/>
  <c r="B646" i="3"/>
  <c r="B638" i="3"/>
  <c r="B630" i="3"/>
  <c r="B534" i="3"/>
  <c r="B438" i="3"/>
  <c r="B430" i="3"/>
  <c r="B334" i="3"/>
  <c r="B238" i="3"/>
  <c r="B847" i="3"/>
  <c r="B1034" i="3"/>
  <c r="B930" i="3"/>
  <c r="B845" i="3"/>
  <c r="B837" i="3"/>
  <c r="B733" i="3"/>
  <c r="B645" i="3"/>
  <c r="B637" i="3"/>
  <c r="B533" i="3"/>
  <c r="B437" i="3"/>
  <c r="B333" i="3"/>
  <c r="B237" i="3"/>
  <c r="B635" i="3"/>
  <c r="B235" i="3"/>
  <c r="B1033" i="3"/>
  <c r="B844" i="3"/>
  <c r="B836" i="3"/>
  <c r="B732" i="3"/>
  <c r="B644" i="3"/>
  <c r="B636" i="3"/>
  <c r="B540" i="3"/>
  <c r="B532" i="3"/>
  <c r="B436" i="3"/>
  <c r="B332" i="3"/>
  <c r="B236" i="3"/>
  <c r="B1031" i="3"/>
  <c r="B842" i="3"/>
  <c r="B834" i="3"/>
  <c r="B730" i="3"/>
  <c r="B650" i="3"/>
  <c r="B642" i="3"/>
  <c r="B634" i="3"/>
  <c r="B538" i="3"/>
  <c r="B530" i="3"/>
  <c r="B338" i="3"/>
  <c r="B330" i="3"/>
  <c r="B234" i="3"/>
  <c r="B233" i="3"/>
  <c r="B643" i="3"/>
  <c r="B331" i="3"/>
  <c r="N4" i="3"/>
  <c r="M4" i="3"/>
  <c r="J4" i="3"/>
  <c r="I4" i="3"/>
  <c r="L4" i="3"/>
  <c r="K4" i="3"/>
  <c r="H4" i="3"/>
  <c r="B32" i="3"/>
  <c r="B323" i="3"/>
  <c r="B1023" i="3"/>
  <c r="B623" i="3"/>
  <c r="B115" i="3"/>
  <c r="B105" i="3"/>
  <c r="B96" i="3"/>
  <c r="B87" i="3"/>
  <c r="B104" i="3"/>
  <c r="B95" i="3"/>
  <c r="B923" i="3"/>
  <c r="B114" i="3"/>
  <c r="B86" i="3"/>
  <c r="B117" i="3"/>
  <c r="B116" i="3"/>
  <c r="B423" i="3"/>
  <c r="B113" i="3"/>
  <c r="B103" i="3"/>
  <c r="B94" i="3"/>
  <c r="B100" i="3"/>
  <c r="B523" i="3"/>
  <c r="B109" i="3"/>
  <c r="B108" i="3"/>
  <c r="B723" i="3"/>
  <c r="B111" i="3"/>
  <c r="B101" i="3"/>
  <c r="B92" i="3"/>
  <c r="B110" i="3"/>
  <c r="B91" i="3"/>
  <c r="B90" i="3"/>
  <c r="B106" i="3"/>
  <c r="B223" i="3"/>
  <c r="B99" i="3"/>
  <c r="B97" i="3"/>
  <c r="B98" i="3"/>
  <c r="B88" i="3"/>
  <c r="B823" i="3"/>
  <c r="B89" i="3"/>
  <c r="B74" i="3"/>
  <c r="B65" i="3"/>
  <c r="B54" i="3"/>
  <c r="B20" i="3"/>
  <c r="B40" i="3"/>
  <c r="B67" i="3"/>
  <c r="B73" i="3"/>
  <c r="B53" i="3"/>
  <c r="B21" i="3"/>
  <c r="B30" i="3"/>
  <c r="B41" i="3"/>
  <c r="B42" i="3"/>
  <c r="B43" i="3"/>
  <c r="B38" i="3"/>
  <c r="B72" i="3"/>
  <c r="B61" i="3"/>
  <c r="B46" i="3"/>
  <c r="B23" i="3"/>
  <c r="B31" i="3"/>
  <c r="B56" i="3"/>
  <c r="B80" i="3"/>
  <c r="B71" i="3"/>
  <c r="B60" i="3"/>
  <c r="B24" i="3"/>
  <c r="B33" i="3"/>
  <c r="B45" i="3"/>
  <c r="B27" i="3"/>
  <c r="B78" i="3"/>
  <c r="B70" i="3"/>
  <c r="B59" i="3"/>
  <c r="B16" i="3"/>
  <c r="B25" i="3"/>
  <c r="B35" i="3"/>
  <c r="B15" i="3"/>
  <c r="B77" i="3"/>
  <c r="B68" i="3"/>
  <c r="B58" i="3"/>
  <c r="B17" i="3"/>
  <c r="B26" i="3"/>
  <c r="B36" i="3"/>
  <c r="B18" i="3"/>
  <c r="B75" i="3"/>
  <c r="B66" i="3"/>
  <c r="B55" i="3"/>
  <c r="B19" i="3"/>
  <c r="B28" i="3"/>
  <c r="B39" i="3"/>
  <c r="B29" i="3"/>
  <c r="B76" i="3"/>
  <c r="E9" i="9"/>
  <c r="E157" i="9"/>
  <c r="E107" i="9"/>
  <c r="K157" i="9"/>
  <c r="K107" i="9"/>
  <c r="J157" i="9"/>
  <c r="J107" i="9"/>
  <c r="I157" i="9"/>
  <c r="I107" i="9"/>
  <c r="H157" i="9"/>
  <c r="L157" i="9"/>
  <c r="H107" i="9"/>
  <c r="F157" i="9"/>
  <c r="G157" i="9"/>
  <c r="G107" i="9"/>
  <c r="F107" i="9"/>
  <c r="L107" i="9"/>
  <c r="F9" i="9"/>
  <c r="G9" i="9"/>
  <c r="K9" i="9"/>
  <c r="H9" i="9"/>
  <c r="I9" i="9"/>
  <c r="J9" i="9"/>
  <c r="L9" i="9"/>
  <c r="B31" i="8"/>
  <c r="B32" i="8" s="1"/>
  <c r="B40" i="8"/>
  <c r="B41" i="8" s="1"/>
  <c r="B49" i="8"/>
  <c r="B50" i="8" s="1"/>
  <c r="B51" i="8" s="1"/>
  <c r="B58" i="8"/>
  <c r="B59" i="8" s="1"/>
  <c r="B24" i="8"/>
  <c r="B33" i="8"/>
  <c r="B42" i="8"/>
  <c r="B60" i="8"/>
  <c r="B69" i="8"/>
  <c r="B78" i="8"/>
  <c r="B15" i="8"/>
  <c r="B16" i="8" s="1"/>
  <c r="B17" i="8"/>
  <c r="B18" i="8" s="1"/>
  <c r="B25" i="8"/>
  <c r="B34" i="8"/>
  <c r="B43" i="8"/>
  <c r="B52" i="8"/>
  <c r="B48" i="8"/>
  <c r="B26" i="8"/>
  <c r="B35" i="8"/>
  <c r="B44" i="8"/>
  <c r="B53" i="8"/>
  <c r="B22" i="8"/>
  <c r="B23" i="8" s="1"/>
  <c r="B30" i="8"/>
  <c r="B19" i="8"/>
  <c r="B20" i="8" s="1"/>
  <c r="B27" i="8"/>
  <c r="B36" i="8"/>
  <c r="B45" i="8"/>
  <c r="B54" i="8"/>
  <c r="B28" i="8"/>
  <c r="B37" i="8"/>
  <c r="B46" i="8"/>
  <c r="B55" i="8"/>
  <c r="B57" i="8"/>
  <c r="B21" i="8"/>
  <c r="B29" i="8"/>
  <c r="B38" i="8"/>
  <c r="B47" i="8"/>
  <c r="B56" i="8"/>
  <c r="B39" i="8"/>
  <c r="B3" i="6"/>
  <c r="J1" i="2"/>
  <c r="B4" i="6"/>
  <c r="BO7" i="8"/>
  <c r="BN7" i="8"/>
  <c r="BM7" i="8"/>
  <c r="I174" i="1"/>
  <c r="I164" i="1"/>
  <c r="I154" i="1"/>
  <c r="I146" i="1"/>
  <c r="I120" i="1"/>
  <c r="I100" i="1"/>
  <c r="I80" i="1"/>
  <c r="I60" i="1"/>
  <c r="I52" i="1"/>
  <c r="I32" i="1"/>
  <c r="I14" i="1"/>
  <c r="I102" i="1"/>
  <c r="I12" i="1"/>
  <c r="I165" i="1"/>
  <c r="I53" i="1"/>
  <c r="I173" i="1"/>
  <c r="I163" i="1"/>
  <c r="I153" i="1"/>
  <c r="I127" i="1"/>
  <c r="I119" i="1"/>
  <c r="I99" i="1"/>
  <c r="I79" i="1"/>
  <c r="I59" i="1"/>
  <c r="I39" i="1"/>
  <c r="I31" i="1"/>
  <c r="I15" i="1"/>
  <c r="I148" i="1"/>
  <c r="I34" i="1"/>
  <c r="I147" i="1"/>
  <c r="I33" i="1"/>
  <c r="I172" i="1"/>
  <c r="I162" i="1"/>
  <c r="I152" i="1"/>
  <c r="I126" i="1"/>
  <c r="I118" i="1"/>
  <c r="I98" i="1"/>
  <c r="I78" i="1"/>
  <c r="I58" i="1"/>
  <c r="I38" i="1"/>
  <c r="I30" i="1"/>
  <c r="I16" i="1"/>
  <c r="I55" i="1"/>
  <c r="I176" i="1"/>
  <c r="I54" i="1"/>
  <c r="I155" i="1"/>
  <c r="I179" i="1"/>
  <c r="I171" i="1"/>
  <c r="I161" i="1"/>
  <c r="I151" i="1"/>
  <c r="I125" i="1"/>
  <c r="I105" i="1"/>
  <c r="I97" i="1"/>
  <c r="I77" i="1"/>
  <c r="I57" i="1"/>
  <c r="I37" i="1"/>
  <c r="I9" i="1"/>
  <c r="I17" i="1"/>
  <c r="I8" i="1"/>
  <c r="I11" i="1"/>
  <c r="I158" i="1"/>
  <c r="I82" i="1"/>
  <c r="I101" i="1"/>
  <c r="I13" i="1"/>
  <c r="I178" i="1"/>
  <c r="I170" i="1"/>
  <c r="I160" i="1"/>
  <c r="I150" i="1"/>
  <c r="I124" i="1"/>
  <c r="I104" i="1"/>
  <c r="I96" i="1"/>
  <c r="I76" i="1"/>
  <c r="I56" i="1"/>
  <c r="I36" i="1"/>
  <c r="I10" i="1"/>
  <c r="I75" i="1"/>
  <c r="I122" i="1"/>
  <c r="I121" i="1"/>
  <c r="I61" i="1"/>
  <c r="I177" i="1"/>
  <c r="I167" i="1"/>
  <c r="I159" i="1"/>
  <c r="I149" i="1"/>
  <c r="I123" i="1"/>
  <c r="I103" i="1"/>
  <c r="I83" i="1"/>
  <c r="I35" i="1"/>
  <c r="I166" i="1"/>
  <c r="I74" i="1"/>
  <c r="I175" i="1"/>
  <c r="I81" i="1"/>
  <c r="E1" i="8"/>
  <c r="K1" i="1"/>
  <c r="D160" i="9"/>
  <c r="B109" i="9"/>
  <c r="C11" i="9"/>
  <c r="D107" i="9"/>
  <c r="B11" i="9"/>
  <c r="C107" i="9"/>
  <c r="C9" i="9"/>
  <c r="C160" i="9"/>
  <c r="D9" i="9"/>
  <c r="B160" i="9"/>
  <c r="B107" i="9"/>
  <c r="D159" i="9"/>
  <c r="D110" i="9"/>
  <c r="B9" i="9"/>
  <c r="C159" i="9"/>
  <c r="C110" i="9"/>
  <c r="D12" i="9"/>
  <c r="D109" i="9"/>
  <c r="C157" i="9"/>
  <c r="D11" i="9"/>
  <c r="B159" i="9"/>
  <c r="B110" i="9"/>
  <c r="C12" i="9"/>
  <c r="D157" i="9"/>
  <c r="B12" i="9"/>
  <c r="C109" i="9"/>
  <c r="T10" i="8"/>
  <c r="S10" i="8"/>
  <c r="J7" i="8"/>
  <c r="F15" i="9"/>
  <c r="O7" i="8"/>
  <c r="BF7" i="8"/>
  <c r="BH7" i="8"/>
  <c r="BG7" i="8"/>
  <c r="F7" i="8"/>
  <c r="AX7" i="8"/>
  <c r="BA7" i="8"/>
  <c r="AZ7" i="8"/>
  <c r="AY7" i="8"/>
  <c r="R7" i="8"/>
  <c r="Q7" i="8"/>
  <c r="P7" i="8"/>
  <c r="E2" i="8"/>
  <c r="D9" i="8"/>
  <c r="I7" i="8"/>
  <c r="H7" i="8"/>
  <c r="G7" i="8"/>
  <c r="L66" i="3"/>
  <c r="T50" i="8"/>
  <c r="L67" i="3"/>
  <c r="R50" i="8"/>
  <c r="Q50" i="8"/>
  <c r="L100" i="3" l="1"/>
  <c r="B15" i="6"/>
  <c r="B56" i="9"/>
  <c r="I827" i="7"/>
  <c r="J826" i="7"/>
  <c r="AR826" i="7"/>
  <c r="I785" i="7"/>
  <c r="J784" i="7"/>
  <c r="AR784" i="7"/>
  <c r="I743" i="7"/>
  <c r="J742" i="7"/>
  <c r="AR742" i="7"/>
  <c r="I701" i="7"/>
  <c r="J700" i="7"/>
  <c r="AR700" i="7"/>
  <c r="AR657" i="7"/>
  <c r="J657" i="7"/>
  <c r="I658" i="7"/>
  <c r="AR615" i="7"/>
  <c r="I616" i="7"/>
  <c r="J615" i="7"/>
  <c r="AR576" i="7"/>
  <c r="I577" i="7"/>
  <c r="J576" i="7"/>
  <c r="I533" i="7"/>
  <c r="J532" i="7"/>
  <c r="AR532" i="7"/>
  <c r="AR489" i="7"/>
  <c r="J489" i="7"/>
  <c r="I490" i="7"/>
  <c r="J449" i="7"/>
  <c r="AR449" i="7"/>
  <c r="I450" i="7"/>
  <c r="B11" i="5"/>
  <c r="K106" i="5"/>
  <c r="K136" i="5"/>
  <c r="B138" i="5" s="1"/>
  <c r="L59" i="5"/>
  <c r="B60" i="5" s="1"/>
  <c r="K91" i="5"/>
  <c r="K48" i="5"/>
  <c r="C47" i="6"/>
  <c r="B58" i="6" s="1"/>
  <c r="C90" i="6"/>
  <c r="B98" i="6" s="1"/>
  <c r="B3" i="5"/>
  <c r="B9" i="5" s="1"/>
  <c r="D48" i="3"/>
  <c r="D82" i="3"/>
  <c r="BK5" i="8"/>
  <c r="D9" i="3"/>
  <c r="B156" i="9"/>
  <c r="C1" i="1"/>
  <c r="B106" i="9"/>
  <c r="BT5" i="8"/>
  <c r="B8" i="9"/>
  <c r="M5" i="8"/>
  <c r="BD5" i="8"/>
  <c r="AV5" i="8"/>
  <c r="M67" i="3"/>
  <c r="M66" i="3"/>
  <c r="M100" i="3" l="1"/>
  <c r="J827" i="7"/>
  <c r="AR827" i="7"/>
  <c r="I828" i="7"/>
  <c r="AR785" i="7"/>
  <c r="I786" i="7"/>
  <c r="J785" i="7"/>
  <c r="J743" i="7"/>
  <c r="AR743" i="7"/>
  <c r="I744" i="7"/>
  <c r="I702" i="7"/>
  <c r="AR701" i="7"/>
  <c r="J701" i="7"/>
  <c r="AR658" i="7"/>
  <c r="I659" i="7"/>
  <c r="J658" i="7"/>
  <c r="I617" i="7"/>
  <c r="J616" i="7"/>
  <c r="AR616" i="7"/>
  <c r="AR577" i="7"/>
  <c r="I578" i="7"/>
  <c r="J577" i="7"/>
  <c r="I534" i="7"/>
  <c r="AR533" i="7"/>
  <c r="J533" i="7"/>
  <c r="J490" i="7"/>
  <c r="AR490" i="7"/>
  <c r="I491" i="7"/>
  <c r="I451" i="7"/>
  <c r="J450" i="7"/>
  <c r="AR450" i="7"/>
  <c r="K1260" i="7"/>
  <c r="K1261" i="7" s="1"/>
  <c r="K1262" i="7" s="1"/>
  <c r="K1263" i="7" s="1"/>
  <c r="K1264" i="7" s="1"/>
  <c r="K1265" i="7" s="1"/>
  <c r="K1266" i="7" s="1"/>
  <c r="K1252" i="7"/>
  <c r="K1253" i="7" s="1"/>
  <c r="K1254" i="7" s="1"/>
  <c r="K1255" i="7" s="1"/>
  <c r="K1256" i="7" s="1"/>
  <c r="K1257" i="7" s="1"/>
  <c r="K1258" i="7" s="1"/>
  <c r="K1244" i="7"/>
  <c r="K1245" i="7" s="1"/>
  <c r="K1246" i="7" s="1"/>
  <c r="K1247" i="7" s="1"/>
  <c r="K1248" i="7" s="1"/>
  <c r="K1249" i="7" s="1"/>
  <c r="K1250" i="7" s="1"/>
  <c r="K1236" i="7"/>
  <c r="K1237" i="7" s="1"/>
  <c r="K1238" i="7" s="1"/>
  <c r="K1239" i="7" s="1"/>
  <c r="K1240" i="7" s="1"/>
  <c r="K1241" i="7" s="1"/>
  <c r="K1242" i="7" s="1"/>
  <c r="K1228" i="7"/>
  <c r="K1229" i="7" s="1"/>
  <c r="K1230" i="7" s="1"/>
  <c r="K1231" i="7" s="1"/>
  <c r="K1232" i="7" s="1"/>
  <c r="K1233" i="7" s="1"/>
  <c r="K1234" i="7" s="1"/>
  <c r="K1218" i="7"/>
  <c r="K1219" i="7" s="1"/>
  <c r="K1220" i="7" s="1"/>
  <c r="K1221" i="7" s="1"/>
  <c r="K1222" i="7" s="1"/>
  <c r="K1223" i="7" s="1"/>
  <c r="K1224" i="7" s="1"/>
  <c r="K1210" i="7"/>
  <c r="K1211" i="7" s="1"/>
  <c r="K1212" i="7" s="1"/>
  <c r="K1213" i="7" s="1"/>
  <c r="K1214" i="7" s="1"/>
  <c r="K1215" i="7" s="1"/>
  <c r="K1216" i="7" s="1"/>
  <c r="K1202" i="7"/>
  <c r="K1203" i="7" s="1"/>
  <c r="K1204" i="7" s="1"/>
  <c r="K1205" i="7" s="1"/>
  <c r="K1206" i="7" s="1"/>
  <c r="K1207" i="7" s="1"/>
  <c r="K1208" i="7" s="1"/>
  <c r="K1194" i="7"/>
  <c r="K1195" i="7" s="1"/>
  <c r="K1196" i="7" s="1"/>
  <c r="K1197" i="7" s="1"/>
  <c r="K1198" i="7" s="1"/>
  <c r="K1199" i="7" s="1"/>
  <c r="K1200" i="7" s="1"/>
  <c r="K1186" i="7"/>
  <c r="K1187" i="7" s="1"/>
  <c r="K1188" i="7" s="1"/>
  <c r="K1189" i="7" s="1"/>
  <c r="K1190" i="7" s="1"/>
  <c r="K1191" i="7" s="1"/>
  <c r="K1192" i="7" s="1"/>
  <c r="K1176" i="7"/>
  <c r="K1177" i="7" s="1"/>
  <c r="K1178" i="7" s="1"/>
  <c r="K1179" i="7" s="1"/>
  <c r="K1180" i="7" s="1"/>
  <c r="K1181" i="7" s="1"/>
  <c r="K1182" i="7" s="1"/>
  <c r="K1168" i="7"/>
  <c r="K1169" i="7" s="1"/>
  <c r="K1170" i="7" s="1"/>
  <c r="K1171" i="7" s="1"/>
  <c r="K1172" i="7" s="1"/>
  <c r="K1173" i="7" s="1"/>
  <c r="K1174" i="7" s="1"/>
  <c r="K1160" i="7"/>
  <c r="K1161" i="7" s="1"/>
  <c r="K1162" i="7" s="1"/>
  <c r="K1163" i="7" s="1"/>
  <c r="K1164" i="7" s="1"/>
  <c r="K1165" i="7" s="1"/>
  <c r="K1166" i="7" s="1"/>
  <c r="K1152" i="7"/>
  <c r="K1153" i="7" s="1"/>
  <c r="K1154" i="7" s="1"/>
  <c r="K1155" i="7" s="1"/>
  <c r="K1156" i="7" s="1"/>
  <c r="K1157" i="7" s="1"/>
  <c r="K1158" i="7" s="1"/>
  <c r="K1144" i="7"/>
  <c r="K1145" i="7" s="1"/>
  <c r="K1146" i="7" s="1"/>
  <c r="K1147" i="7" s="1"/>
  <c r="K1148" i="7" s="1"/>
  <c r="K1149" i="7" s="1"/>
  <c r="K1150" i="7" s="1"/>
  <c r="K1134" i="7"/>
  <c r="K1135" i="7" s="1"/>
  <c r="K1136" i="7" s="1"/>
  <c r="K1137" i="7" s="1"/>
  <c r="K1138" i="7" s="1"/>
  <c r="K1139" i="7" s="1"/>
  <c r="K1140" i="7" s="1"/>
  <c r="K1126" i="7"/>
  <c r="K1127" i="7" s="1"/>
  <c r="K1128" i="7" s="1"/>
  <c r="K1129" i="7" s="1"/>
  <c r="K1130" i="7" s="1"/>
  <c r="K1131" i="7" s="1"/>
  <c r="K1132" i="7" s="1"/>
  <c r="K1118" i="7"/>
  <c r="K1119" i="7" s="1"/>
  <c r="K1120" i="7" s="1"/>
  <c r="K1121" i="7" s="1"/>
  <c r="K1122" i="7" s="1"/>
  <c r="K1123" i="7" s="1"/>
  <c r="K1124" i="7" s="1"/>
  <c r="K1110" i="7"/>
  <c r="K1111" i="7" s="1"/>
  <c r="K1112" i="7" s="1"/>
  <c r="K1113" i="7" s="1"/>
  <c r="K1114" i="7" s="1"/>
  <c r="K1115" i="7" s="1"/>
  <c r="K1116" i="7" s="1"/>
  <c r="K1102" i="7"/>
  <c r="K1103" i="7" s="1"/>
  <c r="K1104" i="7" s="1"/>
  <c r="K1105" i="7" s="1"/>
  <c r="K1106" i="7" s="1"/>
  <c r="K1107" i="7" s="1"/>
  <c r="K1108" i="7" s="1"/>
  <c r="K1092" i="7"/>
  <c r="K1093" i="7" s="1"/>
  <c r="K1094" i="7" s="1"/>
  <c r="K1095" i="7" s="1"/>
  <c r="K1096" i="7" s="1"/>
  <c r="K1097" i="7" s="1"/>
  <c r="K1098" i="7" s="1"/>
  <c r="K1084" i="7"/>
  <c r="K1085" i="7" s="1"/>
  <c r="K1086" i="7" s="1"/>
  <c r="K1087" i="7" s="1"/>
  <c r="K1088" i="7" s="1"/>
  <c r="K1089" i="7" s="1"/>
  <c r="K1090" i="7" s="1"/>
  <c r="K1076" i="7"/>
  <c r="K1077" i="7" s="1"/>
  <c r="K1078" i="7" s="1"/>
  <c r="K1079" i="7" s="1"/>
  <c r="K1080" i="7" s="1"/>
  <c r="K1081" i="7" s="1"/>
  <c r="K1082" i="7" s="1"/>
  <c r="K1068" i="7"/>
  <c r="K1069" i="7" s="1"/>
  <c r="K1070" i="7" s="1"/>
  <c r="K1071" i="7" s="1"/>
  <c r="K1072" i="7" s="1"/>
  <c r="K1073" i="7" s="1"/>
  <c r="K1074" i="7" s="1"/>
  <c r="K1060" i="7"/>
  <c r="K1061" i="7" s="1"/>
  <c r="K1062" i="7" s="1"/>
  <c r="K1063" i="7" s="1"/>
  <c r="K1064" i="7" s="1"/>
  <c r="K1065" i="7" s="1"/>
  <c r="K1066" i="7" s="1"/>
  <c r="K1050" i="7"/>
  <c r="K1051" i="7" s="1"/>
  <c r="K1052" i="7" s="1"/>
  <c r="K1053" i="7" s="1"/>
  <c r="K1054" i="7" s="1"/>
  <c r="K1055" i="7" s="1"/>
  <c r="K1056" i="7" s="1"/>
  <c r="K1042" i="7"/>
  <c r="K1043" i="7" s="1"/>
  <c r="K1044" i="7" s="1"/>
  <c r="K1045" i="7" s="1"/>
  <c r="K1046" i="7" s="1"/>
  <c r="K1047" i="7" s="1"/>
  <c r="K1048" i="7" s="1"/>
  <c r="K1034" i="7"/>
  <c r="K1035" i="7" s="1"/>
  <c r="K1036" i="7" s="1"/>
  <c r="K1037" i="7" s="1"/>
  <c r="K1038" i="7" s="1"/>
  <c r="K1039" i="7" s="1"/>
  <c r="K1040" i="7" s="1"/>
  <c r="K1026" i="7"/>
  <c r="K1027" i="7" s="1"/>
  <c r="K1028" i="7" s="1"/>
  <c r="K1029" i="7" s="1"/>
  <c r="K1030" i="7" s="1"/>
  <c r="K1031" i="7" s="1"/>
  <c r="K1032" i="7" s="1"/>
  <c r="K1018" i="7"/>
  <c r="K1019" i="7" s="1"/>
  <c r="K1020" i="7" s="1"/>
  <c r="K1021" i="7" s="1"/>
  <c r="K1022" i="7" s="1"/>
  <c r="K1023" i="7" s="1"/>
  <c r="K1024" i="7" s="1"/>
  <c r="K1008" i="7"/>
  <c r="K1009" i="7" s="1"/>
  <c r="K1010" i="7" s="1"/>
  <c r="K1011" i="7" s="1"/>
  <c r="K1012" i="7" s="1"/>
  <c r="K1013" i="7" s="1"/>
  <c r="K1014" i="7" s="1"/>
  <c r="K1000" i="7"/>
  <c r="K1001" i="7" s="1"/>
  <c r="K1002" i="7" s="1"/>
  <c r="K1003" i="7" s="1"/>
  <c r="K1004" i="7" s="1"/>
  <c r="K1005" i="7" s="1"/>
  <c r="K1006" i="7" s="1"/>
  <c r="K992" i="7"/>
  <c r="K993" i="7" s="1"/>
  <c r="K994" i="7" s="1"/>
  <c r="K995" i="7" s="1"/>
  <c r="K996" i="7" s="1"/>
  <c r="K997" i="7" s="1"/>
  <c r="K998" i="7" s="1"/>
  <c r="K984" i="7"/>
  <c r="K985" i="7" s="1"/>
  <c r="K986" i="7" s="1"/>
  <c r="K987" i="7" s="1"/>
  <c r="K988" i="7" s="1"/>
  <c r="K989" i="7" s="1"/>
  <c r="K990" i="7" s="1"/>
  <c r="K976" i="7"/>
  <c r="K977" i="7" s="1"/>
  <c r="K978" i="7" s="1"/>
  <c r="K979" i="7" s="1"/>
  <c r="K980" i="7" s="1"/>
  <c r="K981" i="7" s="1"/>
  <c r="K982" i="7" s="1"/>
  <c r="K966" i="7"/>
  <c r="K967" i="7" s="1"/>
  <c r="K968" i="7" s="1"/>
  <c r="K969" i="7" s="1"/>
  <c r="K970" i="7" s="1"/>
  <c r="K971" i="7" s="1"/>
  <c r="K972" i="7" s="1"/>
  <c r="K958" i="7"/>
  <c r="K959" i="7" s="1"/>
  <c r="K960" i="7" s="1"/>
  <c r="K961" i="7" s="1"/>
  <c r="K962" i="7" s="1"/>
  <c r="K963" i="7" s="1"/>
  <c r="K964" i="7" s="1"/>
  <c r="K950" i="7"/>
  <c r="K951" i="7" s="1"/>
  <c r="K952" i="7" s="1"/>
  <c r="K953" i="7" s="1"/>
  <c r="K954" i="7" s="1"/>
  <c r="K955" i="7" s="1"/>
  <c r="K956" i="7" s="1"/>
  <c r="K942" i="7"/>
  <c r="K943" i="7" s="1"/>
  <c r="K944" i="7" s="1"/>
  <c r="K945" i="7" s="1"/>
  <c r="K946" i="7" s="1"/>
  <c r="K947" i="7" s="1"/>
  <c r="K948" i="7" s="1"/>
  <c r="K934" i="7"/>
  <c r="K935" i="7" s="1"/>
  <c r="K936" i="7" s="1"/>
  <c r="K937" i="7" s="1"/>
  <c r="K938" i="7" s="1"/>
  <c r="K939" i="7" s="1"/>
  <c r="K940" i="7" s="1"/>
  <c r="K924" i="7"/>
  <c r="K925" i="7" s="1"/>
  <c r="K926" i="7" s="1"/>
  <c r="K927" i="7" s="1"/>
  <c r="K928" i="7" s="1"/>
  <c r="K929" i="7" s="1"/>
  <c r="K930" i="7" s="1"/>
  <c r="K916" i="7"/>
  <c r="K917" i="7" s="1"/>
  <c r="K918" i="7" s="1"/>
  <c r="K919" i="7" s="1"/>
  <c r="K920" i="7" s="1"/>
  <c r="K921" i="7" s="1"/>
  <c r="K922" i="7" s="1"/>
  <c r="K908" i="7"/>
  <c r="K909" i="7" s="1"/>
  <c r="K910" i="7" s="1"/>
  <c r="K911" i="7" s="1"/>
  <c r="K912" i="7" s="1"/>
  <c r="K913" i="7" s="1"/>
  <c r="K914" i="7" s="1"/>
  <c r="K900" i="7"/>
  <c r="K901" i="7" s="1"/>
  <c r="K902" i="7" s="1"/>
  <c r="K903" i="7" s="1"/>
  <c r="K904" i="7" s="1"/>
  <c r="K905" i="7" s="1"/>
  <c r="K906" i="7" s="1"/>
  <c r="K892" i="7"/>
  <c r="K893" i="7" s="1"/>
  <c r="K894" i="7" s="1"/>
  <c r="K895" i="7" s="1"/>
  <c r="K896" i="7" s="1"/>
  <c r="K897" i="7" s="1"/>
  <c r="K898" i="7" s="1"/>
  <c r="K882" i="7"/>
  <c r="K883" i="7" s="1"/>
  <c r="K884" i="7" s="1"/>
  <c r="K885" i="7" s="1"/>
  <c r="K886" i="7" s="1"/>
  <c r="K887" i="7" s="1"/>
  <c r="K888" i="7" s="1"/>
  <c r="K874" i="7"/>
  <c r="K875" i="7" s="1"/>
  <c r="K876" i="7" s="1"/>
  <c r="K877" i="7" s="1"/>
  <c r="K878" i="7" s="1"/>
  <c r="K879" i="7" s="1"/>
  <c r="K880" i="7" s="1"/>
  <c r="K866" i="7"/>
  <c r="K867" i="7" s="1"/>
  <c r="K868" i="7" s="1"/>
  <c r="K869" i="7" s="1"/>
  <c r="K870" i="7" s="1"/>
  <c r="K871" i="7" s="1"/>
  <c r="K872" i="7" s="1"/>
  <c r="K858" i="7"/>
  <c r="K859" i="7" s="1"/>
  <c r="K860" i="7" s="1"/>
  <c r="K861" i="7" s="1"/>
  <c r="K862" i="7" s="1"/>
  <c r="K863" i="7" s="1"/>
  <c r="K864" i="7" s="1"/>
  <c r="K850" i="7"/>
  <c r="K851" i="7" s="1"/>
  <c r="K852" i="7" s="1"/>
  <c r="K853" i="7" s="1"/>
  <c r="K854" i="7" s="1"/>
  <c r="K855" i="7" s="1"/>
  <c r="K856" i="7" s="1"/>
  <c r="K420" i="7"/>
  <c r="K421" i="7" s="1"/>
  <c r="K422" i="7" s="1"/>
  <c r="K423" i="7" s="1"/>
  <c r="K424" i="7" s="1"/>
  <c r="K425" i="7" s="1"/>
  <c r="K426" i="7" s="1"/>
  <c r="K412" i="7"/>
  <c r="K413" i="7" s="1"/>
  <c r="K414" i="7" s="1"/>
  <c r="K415" i="7" s="1"/>
  <c r="K416" i="7" s="1"/>
  <c r="K417" i="7" s="1"/>
  <c r="K418" i="7" s="1"/>
  <c r="K404" i="7"/>
  <c r="K405" i="7" s="1"/>
  <c r="K406" i="7" s="1"/>
  <c r="K407" i="7" s="1"/>
  <c r="K408" i="7" s="1"/>
  <c r="K409" i="7" s="1"/>
  <c r="K410" i="7" s="1"/>
  <c r="K396" i="7"/>
  <c r="K397" i="7" s="1"/>
  <c r="K398" i="7" s="1"/>
  <c r="K399" i="7" s="1"/>
  <c r="K400" i="7" s="1"/>
  <c r="K401" i="7" s="1"/>
  <c r="K402" i="7" s="1"/>
  <c r="K388" i="7"/>
  <c r="K389" i="7" s="1"/>
  <c r="K390" i="7" s="1"/>
  <c r="K391" i="7" s="1"/>
  <c r="K392" i="7" s="1"/>
  <c r="K393" i="7" s="1"/>
  <c r="K394" i="7" s="1"/>
  <c r="K378" i="7"/>
  <c r="K379" i="7" s="1"/>
  <c r="K380" i="7" s="1"/>
  <c r="K381" i="7" s="1"/>
  <c r="K382" i="7" s="1"/>
  <c r="K383" i="7" s="1"/>
  <c r="K384" i="7" s="1"/>
  <c r="K370" i="7"/>
  <c r="K371" i="7" s="1"/>
  <c r="K372" i="7" s="1"/>
  <c r="K373" i="7" s="1"/>
  <c r="K374" i="7" s="1"/>
  <c r="K375" i="7" s="1"/>
  <c r="K376" i="7" s="1"/>
  <c r="K362" i="7"/>
  <c r="K363" i="7" s="1"/>
  <c r="K364" i="7" s="1"/>
  <c r="K365" i="7" s="1"/>
  <c r="K366" i="7" s="1"/>
  <c r="K367" i="7" s="1"/>
  <c r="K368" i="7" s="1"/>
  <c r="K354" i="7"/>
  <c r="K355" i="7" s="1"/>
  <c r="K356" i="7" s="1"/>
  <c r="K357" i="7" s="1"/>
  <c r="K358" i="7" s="1"/>
  <c r="K359" i="7" s="1"/>
  <c r="K360" i="7" s="1"/>
  <c r="K346" i="7"/>
  <c r="K347" i="7" s="1"/>
  <c r="K348" i="7" s="1"/>
  <c r="K349" i="7" s="1"/>
  <c r="K350" i="7" s="1"/>
  <c r="K351" i="7" s="1"/>
  <c r="K352" i="7" s="1"/>
  <c r="K336" i="7"/>
  <c r="K337" i="7" s="1"/>
  <c r="K338" i="7" s="1"/>
  <c r="K339" i="7" s="1"/>
  <c r="K340" i="7" s="1"/>
  <c r="K341" i="7" s="1"/>
  <c r="K342" i="7" s="1"/>
  <c r="K328" i="7"/>
  <c r="K329" i="7" s="1"/>
  <c r="K330" i="7" s="1"/>
  <c r="K331" i="7" s="1"/>
  <c r="K332" i="7" s="1"/>
  <c r="K333" i="7" s="1"/>
  <c r="K334" i="7" s="1"/>
  <c r="K320" i="7"/>
  <c r="K321" i="7" s="1"/>
  <c r="K322" i="7" s="1"/>
  <c r="K323" i="7" s="1"/>
  <c r="K324" i="7" s="1"/>
  <c r="K325" i="7" s="1"/>
  <c r="K326" i="7" s="1"/>
  <c r="K312" i="7"/>
  <c r="K313" i="7" s="1"/>
  <c r="K314" i="7" s="1"/>
  <c r="K315" i="7" s="1"/>
  <c r="K316" i="7" s="1"/>
  <c r="K317" i="7" s="1"/>
  <c r="K318" i="7" s="1"/>
  <c r="K304" i="7"/>
  <c r="K305" i="7" s="1"/>
  <c r="K306" i="7" s="1"/>
  <c r="K307" i="7" s="1"/>
  <c r="K308" i="7" s="1"/>
  <c r="K309" i="7" s="1"/>
  <c r="K310" i="7" s="1"/>
  <c r="K294" i="7"/>
  <c r="K295" i="7" s="1"/>
  <c r="K296" i="7" s="1"/>
  <c r="K297" i="7" s="1"/>
  <c r="K298" i="7" s="1"/>
  <c r="K299" i="7" s="1"/>
  <c r="K300" i="7" s="1"/>
  <c r="K286" i="7"/>
  <c r="K287" i="7" s="1"/>
  <c r="K288" i="7" s="1"/>
  <c r="K289" i="7" s="1"/>
  <c r="K290" i="7" s="1"/>
  <c r="K291" i="7" s="1"/>
  <c r="K292" i="7" s="1"/>
  <c r="K278" i="7"/>
  <c r="K279" i="7" s="1"/>
  <c r="K280" i="7" s="1"/>
  <c r="K281" i="7" s="1"/>
  <c r="K282" i="7" s="1"/>
  <c r="K283" i="7" s="1"/>
  <c r="K284" i="7" s="1"/>
  <c r="K270" i="7"/>
  <c r="K271" i="7" s="1"/>
  <c r="K272" i="7" s="1"/>
  <c r="K273" i="7" s="1"/>
  <c r="K274" i="7" s="1"/>
  <c r="K275" i="7" s="1"/>
  <c r="K276" i="7" s="1"/>
  <c r="K262" i="7"/>
  <c r="K263" i="7" s="1"/>
  <c r="K264" i="7" s="1"/>
  <c r="K265" i="7" s="1"/>
  <c r="K266" i="7" s="1"/>
  <c r="K267" i="7" s="1"/>
  <c r="K268" i="7" s="1"/>
  <c r="K252" i="7"/>
  <c r="K253" i="7" s="1"/>
  <c r="K254" i="7" s="1"/>
  <c r="K255" i="7" s="1"/>
  <c r="K256" i="7" s="1"/>
  <c r="K257" i="7" s="1"/>
  <c r="K258" i="7" s="1"/>
  <c r="K244" i="7"/>
  <c r="K245" i="7" s="1"/>
  <c r="K246" i="7" s="1"/>
  <c r="K247" i="7" s="1"/>
  <c r="K248" i="7" s="1"/>
  <c r="K249" i="7" s="1"/>
  <c r="K250" i="7" s="1"/>
  <c r="K236" i="7"/>
  <c r="K237" i="7" s="1"/>
  <c r="K238" i="7" s="1"/>
  <c r="K239" i="7" s="1"/>
  <c r="K240" i="7" s="1"/>
  <c r="K241" i="7" s="1"/>
  <c r="K242" i="7" s="1"/>
  <c r="K228" i="7"/>
  <c r="K229" i="7" s="1"/>
  <c r="K230" i="7" s="1"/>
  <c r="K231" i="7" s="1"/>
  <c r="K232" i="7" s="1"/>
  <c r="K233" i="7" s="1"/>
  <c r="K234" i="7" s="1"/>
  <c r="K220" i="7"/>
  <c r="K221" i="7" s="1"/>
  <c r="K222" i="7" s="1"/>
  <c r="K223" i="7" s="1"/>
  <c r="K224" i="7" s="1"/>
  <c r="K225" i="7" s="1"/>
  <c r="K226" i="7" s="1"/>
  <c r="K210" i="7"/>
  <c r="K211" i="7" s="1"/>
  <c r="K212" i="7" s="1"/>
  <c r="K213" i="7" s="1"/>
  <c r="K214" i="7" s="1"/>
  <c r="K215" i="7" s="1"/>
  <c r="K216" i="7" s="1"/>
  <c r="K202" i="7"/>
  <c r="K203" i="7" s="1"/>
  <c r="K204" i="7" s="1"/>
  <c r="K205" i="7" s="1"/>
  <c r="K206" i="7" s="1"/>
  <c r="K207" i="7" s="1"/>
  <c r="K208" i="7" s="1"/>
  <c r="K194" i="7"/>
  <c r="K195" i="7" s="1"/>
  <c r="K196" i="7" s="1"/>
  <c r="K197" i="7" s="1"/>
  <c r="K198" i="7" s="1"/>
  <c r="K199" i="7" s="1"/>
  <c r="K200" i="7" s="1"/>
  <c r="K186" i="7"/>
  <c r="K187" i="7" s="1"/>
  <c r="K188" i="7" s="1"/>
  <c r="K189" i="7" s="1"/>
  <c r="K190" i="7" s="1"/>
  <c r="K191" i="7" s="1"/>
  <c r="K192" i="7" s="1"/>
  <c r="K178" i="7"/>
  <c r="K179" i="7" s="1"/>
  <c r="K180" i="7" s="1"/>
  <c r="K181" i="7" s="1"/>
  <c r="K182" i="7" s="1"/>
  <c r="K183" i="7" s="1"/>
  <c r="K184" i="7" s="1"/>
  <c r="K168" i="7"/>
  <c r="K169" i="7" s="1"/>
  <c r="K170" i="7" s="1"/>
  <c r="K171" i="7" s="1"/>
  <c r="K172" i="7" s="1"/>
  <c r="K173" i="7" s="1"/>
  <c r="K174" i="7" s="1"/>
  <c r="K160" i="7"/>
  <c r="K161" i="7" s="1"/>
  <c r="K162" i="7" s="1"/>
  <c r="K163" i="7" s="1"/>
  <c r="K164" i="7" s="1"/>
  <c r="K165" i="7" s="1"/>
  <c r="K166" i="7" s="1"/>
  <c r="K152" i="7"/>
  <c r="K153" i="7" s="1"/>
  <c r="K154" i="7" s="1"/>
  <c r="K155" i="7" s="1"/>
  <c r="K156" i="7" s="1"/>
  <c r="K157" i="7" s="1"/>
  <c r="K158" i="7" s="1"/>
  <c r="K144" i="7"/>
  <c r="K145" i="7" s="1"/>
  <c r="K146" i="7" s="1"/>
  <c r="K147" i="7" s="1"/>
  <c r="K148" i="7" s="1"/>
  <c r="K149" i="7" s="1"/>
  <c r="K150" i="7" s="1"/>
  <c r="K136" i="7"/>
  <c r="K137" i="7" s="1"/>
  <c r="K138" i="7" s="1"/>
  <c r="K139" i="7" s="1"/>
  <c r="K140" i="7" s="1"/>
  <c r="K141" i="7" s="1"/>
  <c r="K142" i="7" s="1"/>
  <c r="K126" i="7"/>
  <c r="K127" i="7" s="1"/>
  <c r="K128" i="7" s="1"/>
  <c r="K129" i="7" s="1"/>
  <c r="K130" i="7" s="1"/>
  <c r="K131" i="7" s="1"/>
  <c r="K132" i="7" s="1"/>
  <c r="K118" i="7"/>
  <c r="K119" i="7" s="1"/>
  <c r="K120" i="7" s="1"/>
  <c r="K121" i="7" s="1"/>
  <c r="K122" i="7" s="1"/>
  <c r="K123" i="7" s="1"/>
  <c r="K124" i="7" s="1"/>
  <c r="K110" i="7"/>
  <c r="K111" i="7" s="1"/>
  <c r="K112" i="7" s="1"/>
  <c r="K113" i="7" s="1"/>
  <c r="K114" i="7" s="1"/>
  <c r="K115" i="7" s="1"/>
  <c r="K116" i="7" s="1"/>
  <c r="K102" i="7"/>
  <c r="K103" i="7" s="1"/>
  <c r="K104" i="7" s="1"/>
  <c r="K105" i="7" s="1"/>
  <c r="K106" i="7" s="1"/>
  <c r="K107" i="7" s="1"/>
  <c r="K108" i="7" s="1"/>
  <c r="K94" i="7"/>
  <c r="K95" i="7" s="1"/>
  <c r="K96" i="7" s="1"/>
  <c r="K97" i="7" s="1"/>
  <c r="K98" i="7" s="1"/>
  <c r="K99" i="7" s="1"/>
  <c r="K100" i="7" s="1"/>
  <c r="K84" i="7"/>
  <c r="K85" i="7" s="1"/>
  <c r="K86" i="7" s="1"/>
  <c r="K87" i="7" s="1"/>
  <c r="K88" i="7" s="1"/>
  <c r="K89" i="7" s="1"/>
  <c r="K90" i="7" s="1"/>
  <c r="K76" i="7"/>
  <c r="K77" i="7" s="1"/>
  <c r="K78" i="7" s="1"/>
  <c r="K79" i="7" s="1"/>
  <c r="K80" i="7" s="1"/>
  <c r="K81" i="7" s="1"/>
  <c r="K82" i="7" s="1"/>
  <c r="K68" i="7"/>
  <c r="K69" i="7" s="1"/>
  <c r="K70" i="7" s="1"/>
  <c r="K71" i="7" s="1"/>
  <c r="K72" i="7" s="1"/>
  <c r="K73" i="7" s="1"/>
  <c r="K74" i="7" s="1"/>
  <c r="K60" i="7"/>
  <c r="K61" i="7" s="1"/>
  <c r="K62" i="7" s="1"/>
  <c r="K63" i="7" s="1"/>
  <c r="K64" i="7" s="1"/>
  <c r="K65" i="7" s="1"/>
  <c r="K66" i="7" s="1"/>
  <c r="K52" i="7"/>
  <c r="K53" i="7" s="1"/>
  <c r="K54" i="7" s="1"/>
  <c r="K55" i="7" s="1"/>
  <c r="K56" i="7" s="1"/>
  <c r="K57" i="7" s="1"/>
  <c r="K58" i="7" s="1"/>
  <c r="N66" i="3"/>
  <c r="N67" i="3"/>
  <c r="N100" i="3" l="1"/>
  <c r="AR828" i="7"/>
  <c r="I829" i="7"/>
  <c r="J828" i="7"/>
  <c r="AR786" i="7"/>
  <c r="I787" i="7"/>
  <c r="J786" i="7"/>
  <c r="AR744" i="7"/>
  <c r="I745" i="7"/>
  <c r="J744" i="7"/>
  <c r="AR702" i="7"/>
  <c r="I703" i="7"/>
  <c r="J702" i="7"/>
  <c r="J659" i="7"/>
  <c r="AR659" i="7"/>
  <c r="I660" i="7"/>
  <c r="J617" i="7"/>
  <c r="I618" i="7"/>
  <c r="AR617" i="7"/>
  <c r="I579" i="7"/>
  <c r="J578" i="7"/>
  <c r="AR578" i="7"/>
  <c r="AR534" i="7"/>
  <c r="J534" i="7"/>
  <c r="I535" i="7"/>
  <c r="J491" i="7"/>
  <c r="AR491" i="7"/>
  <c r="I492" i="7"/>
  <c r="AR451" i="7"/>
  <c r="I452" i="7"/>
  <c r="J451" i="7"/>
  <c r="C2" i="7"/>
  <c r="D5" i="8"/>
  <c r="D1227" i="7"/>
  <c r="D1185" i="7"/>
  <c r="D1143" i="7"/>
  <c r="D1101" i="7"/>
  <c r="D1059" i="7"/>
  <c r="D1017" i="7"/>
  <c r="D975" i="7"/>
  <c r="D933" i="7"/>
  <c r="D891" i="7"/>
  <c r="D849" i="7"/>
  <c r="D387" i="7"/>
  <c r="D345" i="7"/>
  <c r="D303" i="7"/>
  <c r="D261" i="7"/>
  <c r="D219" i="7"/>
  <c r="D177" i="7"/>
  <c r="D135" i="7"/>
  <c r="D93" i="7"/>
  <c r="D51" i="7"/>
  <c r="J1227" i="7"/>
  <c r="J1185" i="7"/>
  <c r="J1143" i="7"/>
  <c r="J1101" i="7"/>
  <c r="J1059" i="7"/>
  <c r="J1017" i="7"/>
  <c r="J975" i="7"/>
  <c r="J933" i="7"/>
  <c r="J891" i="7"/>
  <c r="J849" i="7"/>
  <c r="J387" i="7"/>
  <c r="J345" i="7"/>
  <c r="J303" i="7"/>
  <c r="J261" i="7"/>
  <c r="J219" i="7"/>
  <c r="J177" i="7"/>
  <c r="J135" i="7"/>
  <c r="J93" i="7"/>
  <c r="J51" i="7"/>
  <c r="G1227" i="7"/>
  <c r="G1185" i="7"/>
  <c r="G1143" i="7"/>
  <c r="G1101" i="7"/>
  <c r="G1059" i="7"/>
  <c r="G1017" i="7"/>
  <c r="G975" i="7"/>
  <c r="G933" i="7"/>
  <c r="G891" i="7"/>
  <c r="G849" i="7"/>
  <c r="G387" i="7"/>
  <c r="G345" i="7"/>
  <c r="G303" i="7"/>
  <c r="G261" i="7"/>
  <c r="G219" i="7"/>
  <c r="G177" i="7"/>
  <c r="G135" i="7"/>
  <c r="G93" i="7"/>
  <c r="G51" i="7"/>
  <c r="G9" i="7"/>
  <c r="J2" i="2"/>
  <c r="L56" i="9" s="1"/>
  <c r="N1" i="10"/>
  <c r="N46" i="10" s="1"/>
  <c r="N44" i="10" l="1"/>
  <c r="N45" i="10"/>
  <c r="N42" i="10"/>
  <c r="N43" i="10"/>
  <c r="N13" i="10"/>
  <c r="N36" i="10"/>
  <c r="N35" i="10"/>
  <c r="N14" i="10"/>
  <c r="N12" i="10"/>
  <c r="N37" i="10"/>
  <c r="N15" i="10"/>
  <c r="N38" i="10"/>
  <c r="N8" i="10"/>
  <c r="N16" i="10"/>
  <c r="N7" i="10"/>
  <c r="N39" i="10"/>
  <c r="N9" i="10"/>
  <c r="N40" i="10"/>
  <c r="N10" i="10"/>
  <c r="N41" i="10"/>
  <c r="N11" i="10"/>
  <c r="AR829" i="7"/>
  <c r="I830" i="7"/>
  <c r="J829" i="7"/>
  <c r="I788" i="7"/>
  <c r="AR787" i="7"/>
  <c r="J787" i="7"/>
  <c r="AR745" i="7"/>
  <c r="I746" i="7"/>
  <c r="J745" i="7"/>
  <c r="I704" i="7"/>
  <c r="J703" i="7"/>
  <c r="AR703" i="7"/>
  <c r="I661" i="7"/>
  <c r="J660" i="7"/>
  <c r="AR660" i="7"/>
  <c r="AR618" i="7"/>
  <c r="J618" i="7"/>
  <c r="I619" i="7"/>
  <c r="J579" i="7"/>
  <c r="AR579" i="7"/>
  <c r="I580" i="7"/>
  <c r="I536" i="7"/>
  <c r="AR535" i="7"/>
  <c r="J535" i="7"/>
  <c r="AR492" i="7"/>
  <c r="I493" i="7"/>
  <c r="J492" i="7"/>
  <c r="AR452" i="7"/>
  <c r="I453" i="7"/>
  <c r="J452" i="7"/>
  <c r="BO5" i="8"/>
  <c r="C5" i="7"/>
  <c r="L8" i="9"/>
  <c r="L156" i="9"/>
  <c r="L106" i="9"/>
  <c r="O1" i="10"/>
  <c r="O46" i="10" s="1"/>
  <c r="O44" i="10" l="1"/>
  <c r="O45" i="10"/>
  <c r="O42" i="10"/>
  <c r="O43" i="10"/>
  <c r="O36" i="10"/>
  <c r="O35" i="10"/>
  <c r="O9" i="10"/>
  <c r="O37" i="10"/>
  <c r="O16" i="10"/>
  <c r="O8" i="10"/>
  <c r="O38" i="10"/>
  <c r="O15" i="10"/>
  <c r="O7" i="10"/>
  <c r="O39" i="10"/>
  <c r="O14" i="10"/>
  <c r="O40" i="10"/>
  <c r="O13" i="10"/>
  <c r="O10" i="10"/>
  <c r="O41" i="10"/>
  <c r="O12" i="10"/>
  <c r="O11" i="10"/>
  <c r="L9" i="4" a="1"/>
  <c r="L9" i="4" s="1"/>
  <c r="I831" i="7"/>
  <c r="J830" i="7"/>
  <c r="AR830" i="7"/>
  <c r="I789" i="7"/>
  <c r="J788" i="7"/>
  <c r="AR788" i="7"/>
  <c r="I747" i="7"/>
  <c r="J746" i="7"/>
  <c r="AR746" i="7"/>
  <c r="I705" i="7"/>
  <c r="J704" i="7"/>
  <c r="AR704" i="7"/>
  <c r="AR661" i="7"/>
  <c r="I662" i="7"/>
  <c r="J661" i="7"/>
  <c r="AR619" i="7"/>
  <c r="I620" i="7"/>
  <c r="J619" i="7"/>
  <c r="I581" i="7"/>
  <c r="J580" i="7"/>
  <c r="AR580" i="7"/>
  <c r="I537" i="7"/>
  <c r="J536" i="7"/>
  <c r="AR536" i="7"/>
  <c r="AR493" i="7"/>
  <c r="I494" i="7"/>
  <c r="J493" i="7"/>
  <c r="J453" i="7"/>
  <c r="AR453" i="7"/>
  <c r="I454" i="7"/>
  <c r="M10" i="4" a="1"/>
  <c r="M10" i="4" s="1"/>
  <c r="L10" i="4" l="1" a="1"/>
  <c r="L10" i="4" s="1"/>
  <c r="J831" i="7"/>
  <c r="AR831" i="7"/>
  <c r="I832" i="7"/>
  <c r="AR789" i="7"/>
  <c r="I790" i="7"/>
  <c r="J789" i="7"/>
  <c r="J747" i="7"/>
  <c r="AR747" i="7"/>
  <c r="I748" i="7"/>
  <c r="AR705" i="7"/>
  <c r="I706" i="7"/>
  <c r="J705" i="7"/>
  <c r="AR662" i="7"/>
  <c r="I663" i="7"/>
  <c r="J662" i="7"/>
  <c r="I621" i="7"/>
  <c r="J620" i="7"/>
  <c r="AR620" i="7"/>
  <c r="AR581" i="7"/>
  <c r="I582" i="7"/>
  <c r="J581" i="7"/>
  <c r="AR537" i="7"/>
  <c r="I538" i="7"/>
  <c r="J537" i="7"/>
  <c r="I495" i="7"/>
  <c r="J494" i="7"/>
  <c r="AR494" i="7"/>
  <c r="I455" i="7"/>
  <c r="J454" i="7"/>
  <c r="AR454" i="7"/>
  <c r="M11" i="4" a="1"/>
  <c r="M11" i="4" s="1"/>
  <c r="BG60" i="8"/>
  <c r="BH60" i="8"/>
  <c r="BG61" i="8"/>
  <c r="BH61" i="8"/>
  <c r="BG62" i="8"/>
  <c r="BH62" i="8"/>
  <c r="BG63" i="8"/>
  <c r="BH63" i="8"/>
  <c r="BG64" i="8"/>
  <c r="BH64" i="8"/>
  <c r="BG65" i="8"/>
  <c r="BH65" i="8"/>
  <c r="BG66" i="8"/>
  <c r="BH66" i="8"/>
  <c r="BG67" i="8"/>
  <c r="BH67" i="8"/>
  <c r="BG68" i="8"/>
  <c r="BH68" i="8"/>
  <c r="BF61" i="8"/>
  <c r="BF62" i="8"/>
  <c r="BF63" i="8"/>
  <c r="BF64" i="8"/>
  <c r="BF65" i="8"/>
  <c r="BF66" i="8"/>
  <c r="BF67" i="8"/>
  <c r="BF68" i="8"/>
  <c r="BF60" i="8"/>
  <c r="BE85" i="8"/>
  <c r="BE84" i="8"/>
  <c r="BE83" i="8"/>
  <c r="BE82" i="8"/>
  <c r="BE81" i="8"/>
  <c r="BE80" i="8"/>
  <c r="BE79" i="8"/>
  <c r="BE78" i="8"/>
  <c r="AW85" i="8"/>
  <c r="AW84" i="8"/>
  <c r="AW83" i="8"/>
  <c r="AW82" i="8"/>
  <c r="AW81" i="8"/>
  <c r="AW80" i="8"/>
  <c r="AW79" i="8"/>
  <c r="AW78" i="8"/>
  <c r="BE76" i="8"/>
  <c r="BE75" i="8"/>
  <c r="BE74" i="8"/>
  <c r="BE73" i="8"/>
  <c r="BE72" i="8"/>
  <c r="BE71" i="8"/>
  <c r="BE70" i="8"/>
  <c r="BE69" i="8"/>
  <c r="AW76" i="8"/>
  <c r="AW75" i="8"/>
  <c r="AW74" i="8"/>
  <c r="AW73" i="8"/>
  <c r="AW72" i="8"/>
  <c r="AW71" i="8"/>
  <c r="AW70" i="8"/>
  <c r="AW69" i="8"/>
  <c r="BE67" i="8"/>
  <c r="BE66" i="8"/>
  <c r="BE65" i="8"/>
  <c r="BE64" i="8"/>
  <c r="BE63" i="8"/>
  <c r="BE62" i="8"/>
  <c r="BE61" i="8"/>
  <c r="BE60" i="8"/>
  <c r="AW67" i="8"/>
  <c r="AW66" i="8"/>
  <c r="AW65" i="8"/>
  <c r="AW64" i="8"/>
  <c r="AW63" i="8"/>
  <c r="AW62" i="8"/>
  <c r="AW61" i="8"/>
  <c r="AW60" i="8"/>
  <c r="N61" i="8"/>
  <c r="N62" i="8"/>
  <c r="N63" i="8"/>
  <c r="N64" i="8"/>
  <c r="N65" i="8"/>
  <c r="N66" i="8"/>
  <c r="N67" i="8"/>
  <c r="N60" i="8"/>
  <c r="AY60" i="8"/>
  <c r="AZ60" i="8"/>
  <c r="BA60" i="8"/>
  <c r="AY61" i="8"/>
  <c r="AZ61" i="8"/>
  <c r="BA61" i="8"/>
  <c r="AY62" i="8"/>
  <c r="AZ62" i="8"/>
  <c r="BA62" i="8"/>
  <c r="AY63" i="8"/>
  <c r="AZ63" i="8"/>
  <c r="BA63" i="8"/>
  <c r="AY64" i="8"/>
  <c r="AZ64" i="8"/>
  <c r="BA64" i="8"/>
  <c r="AY65" i="8"/>
  <c r="AZ65" i="8"/>
  <c r="BA65" i="8"/>
  <c r="AY66" i="8"/>
  <c r="AZ66" i="8"/>
  <c r="BA66" i="8"/>
  <c r="AY67" i="8"/>
  <c r="AZ67" i="8"/>
  <c r="BA67" i="8"/>
  <c r="AY68" i="8"/>
  <c r="AZ68" i="8"/>
  <c r="BA68" i="8"/>
  <c r="AX61" i="8"/>
  <c r="AX62" i="8"/>
  <c r="AX63" i="8"/>
  <c r="AX64" i="8"/>
  <c r="AX65" i="8"/>
  <c r="AX66" i="8"/>
  <c r="AX67" i="8"/>
  <c r="AX68" i="8"/>
  <c r="AX60" i="8"/>
  <c r="AS16" i="8"/>
  <c r="AS17" i="8"/>
  <c r="AS18" i="8"/>
  <c r="AS19" i="8"/>
  <c r="AS20" i="8"/>
  <c r="AS21" i="8"/>
  <c r="AS22" i="8"/>
  <c r="AS23" i="8"/>
  <c r="AS24" i="8"/>
  <c r="AS25" i="8"/>
  <c r="AS26" i="8"/>
  <c r="AS27" i="8"/>
  <c r="AS28" i="8"/>
  <c r="AS29" i="8"/>
  <c r="AS30" i="8"/>
  <c r="AS31" i="8"/>
  <c r="AS32" i="8"/>
  <c r="AS33" i="8"/>
  <c r="AS34" i="8"/>
  <c r="AS35" i="8"/>
  <c r="AS36" i="8"/>
  <c r="AS37" i="8"/>
  <c r="AS38" i="8"/>
  <c r="AS39" i="8"/>
  <c r="AS40" i="8"/>
  <c r="AS41" i="8"/>
  <c r="AS15" i="8"/>
  <c r="T60" i="8"/>
  <c r="T61" i="8"/>
  <c r="T62" i="8"/>
  <c r="T63" i="8"/>
  <c r="T64" i="8"/>
  <c r="T65" i="8"/>
  <c r="T66" i="8"/>
  <c r="T67" i="8"/>
  <c r="T68" i="8"/>
  <c r="S68" i="8"/>
  <c r="R68" i="8"/>
  <c r="Q68" i="8"/>
  <c r="P68" i="8"/>
  <c r="O68" i="8"/>
  <c r="S67" i="8"/>
  <c r="R67" i="8"/>
  <c r="Q67" i="8"/>
  <c r="P67" i="8"/>
  <c r="O67" i="8"/>
  <c r="S66" i="8"/>
  <c r="R66" i="8"/>
  <c r="Q66" i="8"/>
  <c r="P66" i="8"/>
  <c r="O66" i="8"/>
  <c r="S65" i="8"/>
  <c r="R65" i="8"/>
  <c r="Q65" i="8"/>
  <c r="P65" i="8"/>
  <c r="O65" i="8"/>
  <c r="S64" i="8"/>
  <c r="R64" i="8"/>
  <c r="Q64" i="8"/>
  <c r="P64" i="8"/>
  <c r="O64" i="8"/>
  <c r="S63" i="8"/>
  <c r="R63" i="8"/>
  <c r="Q63" i="8"/>
  <c r="P63" i="8"/>
  <c r="O63" i="8"/>
  <c r="S62" i="8"/>
  <c r="R62" i="8"/>
  <c r="Q62" i="8"/>
  <c r="P62" i="8"/>
  <c r="O62" i="8"/>
  <c r="S61" i="8"/>
  <c r="R61" i="8"/>
  <c r="Q61" i="8"/>
  <c r="P61" i="8"/>
  <c r="O61" i="8"/>
  <c r="M61" i="8"/>
  <c r="M62" i="8" s="1"/>
  <c r="M63" i="8" s="1"/>
  <c r="M64" i="8" s="1"/>
  <c r="M65" i="8" s="1"/>
  <c r="M66" i="8" s="1"/>
  <c r="M67" i="8" s="1"/>
  <c r="M68" i="8" s="1"/>
  <c r="S60" i="8"/>
  <c r="R60" i="8"/>
  <c r="Q60" i="8"/>
  <c r="P60" i="8"/>
  <c r="O60" i="8"/>
  <c r="F62" i="8"/>
  <c r="G62" i="8"/>
  <c r="H62" i="8"/>
  <c r="I62" i="8"/>
  <c r="J62" i="8"/>
  <c r="F63" i="8"/>
  <c r="G63" i="8"/>
  <c r="H63" i="8"/>
  <c r="I63" i="8"/>
  <c r="J63" i="8"/>
  <c r="F64" i="8"/>
  <c r="G64" i="8"/>
  <c r="H64" i="8"/>
  <c r="I64" i="8"/>
  <c r="J64" i="8"/>
  <c r="F65" i="8"/>
  <c r="G65" i="8"/>
  <c r="H65" i="8"/>
  <c r="I65" i="8"/>
  <c r="J65" i="8"/>
  <c r="F66" i="8"/>
  <c r="G66" i="8"/>
  <c r="H66" i="8"/>
  <c r="I66" i="8"/>
  <c r="J66" i="8"/>
  <c r="F67" i="8"/>
  <c r="G67" i="8"/>
  <c r="H67" i="8"/>
  <c r="I67" i="8"/>
  <c r="J67" i="8"/>
  <c r="F68" i="8"/>
  <c r="G68" i="8"/>
  <c r="H68" i="8"/>
  <c r="I68" i="8"/>
  <c r="J68" i="8"/>
  <c r="E62" i="8"/>
  <c r="E63" i="8"/>
  <c r="E64" i="8"/>
  <c r="E65" i="8"/>
  <c r="E66" i="8"/>
  <c r="E67" i="8"/>
  <c r="BH76" i="8"/>
  <c r="BG76" i="8"/>
  <c r="BF76" i="8"/>
  <c r="BH75" i="8"/>
  <c r="BG75" i="8"/>
  <c r="BF75" i="8"/>
  <c r="BH74" i="8"/>
  <c r="BG74" i="8"/>
  <c r="BF74" i="8"/>
  <c r="BH73" i="8"/>
  <c r="BG73" i="8"/>
  <c r="BF73" i="8"/>
  <c r="BH72" i="8"/>
  <c r="BG72" i="8"/>
  <c r="BF72" i="8"/>
  <c r="BH71" i="8"/>
  <c r="BG71" i="8"/>
  <c r="BF71" i="8"/>
  <c r="BH70" i="8"/>
  <c r="BG70" i="8"/>
  <c r="BF70" i="8"/>
  <c r="BA76" i="8"/>
  <c r="AZ76" i="8"/>
  <c r="AY76" i="8"/>
  <c r="AX76" i="8"/>
  <c r="BA75" i="8"/>
  <c r="AZ75" i="8"/>
  <c r="AY75" i="8"/>
  <c r="AX75" i="8"/>
  <c r="BA74" i="8"/>
  <c r="AZ74" i="8"/>
  <c r="AY74" i="8"/>
  <c r="AX74" i="8"/>
  <c r="BA73" i="8"/>
  <c r="AZ73" i="8"/>
  <c r="AY73" i="8"/>
  <c r="AX73" i="8"/>
  <c r="BA72" i="8"/>
  <c r="AZ72" i="8"/>
  <c r="AY72" i="8"/>
  <c r="AX72" i="8"/>
  <c r="BA71" i="8"/>
  <c r="AZ71" i="8"/>
  <c r="AY71" i="8"/>
  <c r="AX71" i="8"/>
  <c r="BA70" i="8"/>
  <c r="AZ70" i="8"/>
  <c r="AY70" i="8"/>
  <c r="AX70" i="8"/>
  <c r="T70" i="8"/>
  <c r="T71" i="8"/>
  <c r="T72" i="8"/>
  <c r="T73" i="8"/>
  <c r="T74" i="8"/>
  <c r="T75" i="8"/>
  <c r="T76" i="8"/>
  <c r="S76" i="8"/>
  <c r="R76" i="8"/>
  <c r="Q76" i="8"/>
  <c r="P76" i="8"/>
  <c r="O76" i="8"/>
  <c r="S75" i="8"/>
  <c r="R75" i="8"/>
  <c r="Q75" i="8"/>
  <c r="P75" i="8"/>
  <c r="O75" i="8"/>
  <c r="S74" i="8"/>
  <c r="R74" i="8"/>
  <c r="Q74" i="8"/>
  <c r="P74" i="8"/>
  <c r="O74" i="8"/>
  <c r="S73" i="8"/>
  <c r="R73" i="8"/>
  <c r="Q73" i="8"/>
  <c r="P73" i="8"/>
  <c r="O73" i="8"/>
  <c r="S72" i="8"/>
  <c r="R72" i="8"/>
  <c r="Q72" i="8"/>
  <c r="P72" i="8"/>
  <c r="O72" i="8"/>
  <c r="S71" i="8"/>
  <c r="R71" i="8"/>
  <c r="Q71" i="8"/>
  <c r="P71" i="8"/>
  <c r="O71" i="8"/>
  <c r="S70" i="8"/>
  <c r="R70" i="8"/>
  <c r="Q70" i="8"/>
  <c r="P70" i="8"/>
  <c r="O70" i="8"/>
  <c r="G70" i="8"/>
  <c r="H70" i="8"/>
  <c r="I70" i="8"/>
  <c r="J70" i="8"/>
  <c r="G71" i="8"/>
  <c r="H71" i="8"/>
  <c r="I71" i="8"/>
  <c r="J71" i="8"/>
  <c r="G72" i="8"/>
  <c r="H72" i="8"/>
  <c r="I72" i="8"/>
  <c r="J72" i="8"/>
  <c r="G73" i="8"/>
  <c r="H73" i="8"/>
  <c r="I73" i="8"/>
  <c r="J73" i="8"/>
  <c r="G74" i="8"/>
  <c r="H74" i="8"/>
  <c r="I74" i="8"/>
  <c r="J74" i="8"/>
  <c r="G75" i="8"/>
  <c r="H75" i="8"/>
  <c r="I75" i="8"/>
  <c r="J75" i="8"/>
  <c r="G76" i="8"/>
  <c r="H76" i="8"/>
  <c r="I76" i="8"/>
  <c r="J76" i="8"/>
  <c r="F71" i="8"/>
  <c r="F72" i="8"/>
  <c r="F73" i="8"/>
  <c r="F74" i="8"/>
  <c r="F75" i="8"/>
  <c r="F76" i="8"/>
  <c r="N76" i="8"/>
  <c r="N75" i="8"/>
  <c r="N74" i="8"/>
  <c r="N73" i="8"/>
  <c r="N72" i="8"/>
  <c r="N71" i="8"/>
  <c r="N70" i="8"/>
  <c r="N69" i="8"/>
  <c r="E70" i="8"/>
  <c r="E71" i="8"/>
  <c r="E72" i="8"/>
  <c r="E73" i="8"/>
  <c r="E74" i="8"/>
  <c r="E75" i="8"/>
  <c r="E76" i="8"/>
  <c r="E69" i="8"/>
  <c r="N85" i="8"/>
  <c r="N84" i="8"/>
  <c r="N83" i="8"/>
  <c r="N82" i="8"/>
  <c r="N81" i="8"/>
  <c r="N80" i="8"/>
  <c r="N79" i="8"/>
  <c r="M79" i="8"/>
  <c r="M80" i="8" s="1"/>
  <c r="M81" i="8" s="1"/>
  <c r="M82" i="8" s="1"/>
  <c r="M83" i="8" s="1"/>
  <c r="M84" i="8" s="1"/>
  <c r="M85" i="8" s="1"/>
  <c r="M86" i="8" s="1"/>
  <c r="N78" i="8"/>
  <c r="M70" i="8"/>
  <c r="M71" i="8" s="1"/>
  <c r="M72" i="8" s="1"/>
  <c r="M73" i="8" s="1"/>
  <c r="M74" i="8" s="1"/>
  <c r="M75" i="8" s="1"/>
  <c r="M76" i="8" s="1"/>
  <c r="M77" i="8" s="1"/>
  <c r="F9" i="8"/>
  <c r="F70" i="8"/>
  <c r="D79" i="8"/>
  <c r="E79" i="8"/>
  <c r="E80" i="8"/>
  <c r="E81" i="8"/>
  <c r="E82" i="8"/>
  <c r="E83" i="8"/>
  <c r="E84" i="8"/>
  <c r="E85" i="8"/>
  <c r="E78" i="8"/>
  <c r="D70" i="8"/>
  <c r="M52" i="8"/>
  <c r="M53" i="8" s="1"/>
  <c r="M54" i="8" s="1"/>
  <c r="M55" i="8" s="1"/>
  <c r="M56" i="8" s="1"/>
  <c r="M57" i="8" s="1"/>
  <c r="M58" i="8" s="1"/>
  <c r="M59" i="8" s="1"/>
  <c r="N52" i="8"/>
  <c r="N53" i="8"/>
  <c r="N54" i="8"/>
  <c r="N55" i="8"/>
  <c r="N56" i="8"/>
  <c r="N57" i="8"/>
  <c r="N58" i="8"/>
  <c r="N51" i="8"/>
  <c r="M43" i="8"/>
  <c r="M44" i="8" s="1"/>
  <c r="M45" i="8" s="1"/>
  <c r="M46" i="8" s="1"/>
  <c r="M47" i="8" s="1"/>
  <c r="M48" i="8" s="1"/>
  <c r="M49" i="8" s="1"/>
  <c r="N43" i="8"/>
  <c r="N44" i="8"/>
  <c r="N45" i="8"/>
  <c r="N46" i="8"/>
  <c r="N47" i="8"/>
  <c r="N48" i="8"/>
  <c r="N49" i="8"/>
  <c r="N42" i="8"/>
  <c r="M50" i="8"/>
  <c r="D1228" i="7"/>
  <c r="D1229" i="7" s="1"/>
  <c r="D1230" i="7" s="1"/>
  <c r="D1231" i="7" s="1"/>
  <c r="D1232" i="7" s="1"/>
  <c r="D1233" i="7" s="1"/>
  <c r="D1234" i="7" s="1"/>
  <c r="D1235" i="7" s="1"/>
  <c r="D1236" i="7" s="1"/>
  <c r="D1237" i="7" s="1"/>
  <c r="D1238" i="7" s="1"/>
  <c r="D1239" i="7" s="1"/>
  <c r="D1240" i="7" s="1"/>
  <c r="D1241" i="7" s="1"/>
  <c r="D1242" i="7" s="1"/>
  <c r="D1243" i="7" s="1"/>
  <c r="D1244" i="7" s="1"/>
  <c r="D1245" i="7" s="1"/>
  <c r="D1246" i="7" s="1"/>
  <c r="D1247" i="7" s="1"/>
  <c r="D1248" i="7" s="1"/>
  <c r="D1249" i="7" s="1"/>
  <c r="D1250" i="7" s="1"/>
  <c r="D1251" i="7" s="1"/>
  <c r="D1252" i="7" s="1"/>
  <c r="D1253" i="7" s="1"/>
  <c r="D1254" i="7" s="1"/>
  <c r="D1255" i="7" s="1"/>
  <c r="D1256" i="7" s="1"/>
  <c r="D1257" i="7" s="1"/>
  <c r="D1258" i="7" s="1"/>
  <c r="D1259" i="7" s="1"/>
  <c r="D1260" i="7" s="1"/>
  <c r="D1261" i="7" s="1"/>
  <c r="D1262" i="7" s="1"/>
  <c r="D1263" i="7" s="1"/>
  <c r="D1264" i="7" s="1"/>
  <c r="D1265" i="7" s="1"/>
  <c r="D1266" i="7" s="1"/>
  <c r="D1186" i="7"/>
  <c r="D1187" i="7" s="1"/>
  <c r="D1188" i="7" s="1"/>
  <c r="D1189" i="7" s="1"/>
  <c r="D1190" i="7" s="1"/>
  <c r="D1191" i="7" s="1"/>
  <c r="D1192" i="7" s="1"/>
  <c r="D1193" i="7" s="1"/>
  <c r="D1194" i="7" s="1"/>
  <c r="D1195" i="7" s="1"/>
  <c r="D1196" i="7" s="1"/>
  <c r="D1197" i="7" s="1"/>
  <c r="D1198" i="7" s="1"/>
  <c r="D1199" i="7" s="1"/>
  <c r="D1200" i="7" s="1"/>
  <c r="D1201" i="7" s="1"/>
  <c r="D1202" i="7" s="1"/>
  <c r="D1203" i="7" s="1"/>
  <c r="D1204" i="7" s="1"/>
  <c r="D1205" i="7" s="1"/>
  <c r="D1206" i="7" s="1"/>
  <c r="D1207" i="7" s="1"/>
  <c r="D1208" i="7" s="1"/>
  <c r="D1209" i="7" s="1"/>
  <c r="D1210" i="7" s="1"/>
  <c r="D1211" i="7" s="1"/>
  <c r="D1212" i="7" s="1"/>
  <c r="D1213" i="7" s="1"/>
  <c r="D1214" i="7" s="1"/>
  <c r="D1215" i="7" s="1"/>
  <c r="D1216" i="7" s="1"/>
  <c r="D1217" i="7" s="1"/>
  <c r="D1218" i="7" s="1"/>
  <c r="D1219" i="7" s="1"/>
  <c r="D1220" i="7" s="1"/>
  <c r="D1221" i="7" s="1"/>
  <c r="D1222" i="7" s="1"/>
  <c r="D1223" i="7" s="1"/>
  <c r="D1224" i="7" s="1"/>
  <c r="D1144" i="7"/>
  <c r="D1145" i="7" s="1"/>
  <c r="D1146" i="7" s="1"/>
  <c r="D1147" i="7" s="1"/>
  <c r="D1148" i="7" s="1"/>
  <c r="D1149" i="7" s="1"/>
  <c r="D1150" i="7" s="1"/>
  <c r="D1151" i="7" s="1"/>
  <c r="D1152" i="7" s="1"/>
  <c r="D1153" i="7" s="1"/>
  <c r="D1154" i="7" s="1"/>
  <c r="D1155" i="7" s="1"/>
  <c r="D1156" i="7" s="1"/>
  <c r="D1157" i="7" s="1"/>
  <c r="D1158" i="7" s="1"/>
  <c r="D1159" i="7" s="1"/>
  <c r="D1160" i="7" s="1"/>
  <c r="D1161" i="7" s="1"/>
  <c r="D1162" i="7" s="1"/>
  <c r="D1163" i="7" s="1"/>
  <c r="D1164" i="7" s="1"/>
  <c r="D1165" i="7" s="1"/>
  <c r="D1166" i="7" s="1"/>
  <c r="D1167" i="7" s="1"/>
  <c r="D1168" i="7" s="1"/>
  <c r="D1169" i="7" s="1"/>
  <c r="D1170" i="7" s="1"/>
  <c r="D1171" i="7" s="1"/>
  <c r="D1172" i="7" s="1"/>
  <c r="D1173" i="7" s="1"/>
  <c r="D1174" i="7" s="1"/>
  <c r="D1175" i="7" s="1"/>
  <c r="D1176" i="7" s="1"/>
  <c r="D1177" i="7" s="1"/>
  <c r="D1178" i="7" s="1"/>
  <c r="D1179" i="7" s="1"/>
  <c r="D1180" i="7" s="1"/>
  <c r="D1181" i="7" s="1"/>
  <c r="D1182" i="7" s="1"/>
  <c r="D1102" i="7"/>
  <c r="D1103" i="7" s="1"/>
  <c r="D1104" i="7" s="1"/>
  <c r="D1105" i="7" s="1"/>
  <c r="D1106" i="7" s="1"/>
  <c r="D1107" i="7" s="1"/>
  <c r="D1108" i="7" s="1"/>
  <c r="D1109" i="7" s="1"/>
  <c r="D1110" i="7" s="1"/>
  <c r="D1111" i="7" s="1"/>
  <c r="D1112" i="7" s="1"/>
  <c r="D1113" i="7" s="1"/>
  <c r="D1114" i="7" s="1"/>
  <c r="D1115" i="7" s="1"/>
  <c r="D1116" i="7" s="1"/>
  <c r="D1117" i="7" s="1"/>
  <c r="D1118" i="7" s="1"/>
  <c r="D1119" i="7" s="1"/>
  <c r="D1120" i="7" s="1"/>
  <c r="D1121" i="7" s="1"/>
  <c r="D1122" i="7" s="1"/>
  <c r="D1123" i="7" s="1"/>
  <c r="D1124" i="7" s="1"/>
  <c r="D1125" i="7" s="1"/>
  <c r="D1126" i="7" s="1"/>
  <c r="D1127" i="7" s="1"/>
  <c r="D1128" i="7" s="1"/>
  <c r="D1129" i="7" s="1"/>
  <c r="D1130" i="7" s="1"/>
  <c r="D1131" i="7" s="1"/>
  <c r="D1132" i="7" s="1"/>
  <c r="D1133" i="7" s="1"/>
  <c r="D1134" i="7" s="1"/>
  <c r="D1135" i="7" s="1"/>
  <c r="D1136" i="7" s="1"/>
  <c r="D1137" i="7" s="1"/>
  <c r="D1138" i="7" s="1"/>
  <c r="D1139" i="7" s="1"/>
  <c r="D1140" i="7" s="1"/>
  <c r="D1060" i="7"/>
  <c r="D1061" i="7" s="1"/>
  <c r="D1062" i="7" s="1"/>
  <c r="D1063" i="7" s="1"/>
  <c r="D1064" i="7" s="1"/>
  <c r="D1065" i="7" s="1"/>
  <c r="D1066" i="7" s="1"/>
  <c r="D1067" i="7" s="1"/>
  <c r="D1068" i="7" s="1"/>
  <c r="D1069" i="7" s="1"/>
  <c r="D1070" i="7" s="1"/>
  <c r="D1071" i="7" s="1"/>
  <c r="D1072" i="7" s="1"/>
  <c r="D1073" i="7" s="1"/>
  <c r="D1074" i="7" s="1"/>
  <c r="D1075" i="7" s="1"/>
  <c r="D1076" i="7" s="1"/>
  <c r="D1077" i="7" s="1"/>
  <c r="D1078" i="7" s="1"/>
  <c r="D1079" i="7" s="1"/>
  <c r="D1080" i="7" s="1"/>
  <c r="D1081" i="7" s="1"/>
  <c r="D1082" i="7" s="1"/>
  <c r="D1083" i="7" s="1"/>
  <c r="D1084" i="7" s="1"/>
  <c r="D1085" i="7" s="1"/>
  <c r="D1086" i="7" s="1"/>
  <c r="D1087" i="7" s="1"/>
  <c r="D1088" i="7" s="1"/>
  <c r="D1089" i="7" s="1"/>
  <c r="D1090" i="7" s="1"/>
  <c r="D1091" i="7" s="1"/>
  <c r="D1092" i="7" s="1"/>
  <c r="D1093" i="7" s="1"/>
  <c r="D1094" i="7" s="1"/>
  <c r="D1095" i="7" s="1"/>
  <c r="D1096" i="7" s="1"/>
  <c r="D1097" i="7" s="1"/>
  <c r="D1098" i="7" s="1"/>
  <c r="D1018" i="7"/>
  <c r="D1019" i="7" s="1"/>
  <c r="D1020" i="7" s="1"/>
  <c r="D1021" i="7" s="1"/>
  <c r="D1022" i="7" s="1"/>
  <c r="D1023" i="7" s="1"/>
  <c r="D1024" i="7" s="1"/>
  <c r="D1025" i="7" s="1"/>
  <c r="D1026" i="7" s="1"/>
  <c r="D1027" i="7" s="1"/>
  <c r="D1028" i="7" s="1"/>
  <c r="D1029" i="7" s="1"/>
  <c r="D1030" i="7" s="1"/>
  <c r="D1031" i="7" s="1"/>
  <c r="D1032" i="7" s="1"/>
  <c r="D1033" i="7" s="1"/>
  <c r="D1034" i="7" s="1"/>
  <c r="D1035" i="7" s="1"/>
  <c r="D1036" i="7" s="1"/>
  <c r="D1037" i="7" s="1"/>
  <c r="D1038" i="7" s="1"/>
  <c r="D1039" i="7" s="1"/>
  <c r="D1040" i="7" s="1"/>
  <c r="D1041" i="7" s="1"/>
  <c r="D1042" i="7" s="1"/>
  <c r="D1043" i="7" s="1"/>
  <c r="D1044" i="7" s="1"/>
  <c r="D1045" i="7" s="1"/>
  <c r="D1046" i="7" s="1"/>
  <c r="D1047" i="7" s="1"/>
  <c r="D1048" i="7" s="1"/>
  <c r="D1049" i="7" s="1"/>
  <c r="D1050" i="7" s="1"/>
  <c r="D1051" i="7" s="1"/>
  <c r="D1052" i="7" s="1"/>
  <c r="D1053" i="7" s="1"/>
  <c r="D1054" i="7" s="1"/>
  <c r="D1055" i="7" s="1"/>
  <c r="D1056" i="7" s="1"/>
  <c r="D976" i="7"/>
  <c r="D977" i="7" s="1"/>
  <c r="D978" i="7" s="1"/>
  <c r="D979" i="7" s="1"/>
  <c r="D980" i="7" s="1"/>
  <c r="D981" i="7" s="1"/>
  <c r="D982" i="7" s="1"/>
  <c r="D983" i="7" s="1"/>
  <c r="D984" i="7" s="1"/>
  <c r="D985" i="7" s="1"/>
  <c r="D986" i="7" s="1"/>
  <c r="D987" i="7" s="1"/>
  <c r="D988" i="7" s="1"/>
  <c r="D989" i="7" s="1"/>
  <c r="D990" i="7" s="1"/>
  <c r="D991" i="7" s="1"/>
  <c r="D992" i="7" s="1"/>
  <c r="D993" i="7" s="1"/>
  <c r="D994" i="7" s="1"/>
  <c r="D995" i="7" s="1"/>
  <c r="D996" i="7" s="1"/>
  <c r="D997" i="7" s="1"/>
  <c r="D998" i="7" s="1"/>
  <c r="D999" i="7" s="1"/>
  <c r="D1000" i="7" s="1"/>
  <c r="D1001" i="7" s="1"/>
  <c r="D1002" i="7" s="1"/>
  <c r="D1003" i="7" s="1"/>
  <c r="D1004" i="7" s="1"/>
  <c r="D1005" i="7" s="1"/>
  <c r="D1006" i="7" s="1"/>
  <c r="D1007" i="7" s="1"/>
  <c r="D1008" i="7" s="1"/>
  <c r="D1009" i="7" s="1"/>
  <c r="D1010" i="7" s="1"/>
  <c r="D1011" i="7" s="1"/>
  <c r="D1012" i="7" s="1"/>
  <c r="D1013" i="7" s="1"/>
  <c r="D1014" i="7" s="1"/>
  <c r="D934" i="7"/>
  <c r="D935" i="7" s="1"/>
  <c r="D936" i="7" s="1"/>
  <c r="D937" i="7" s="1"/>
  <c r="D938" i="7" s="1"/>
  <c r="D939" i="7" s="1"/>
  <c r="D940" i="7" s="1"/>
  <c r="D941" i="7" s="1"/>
  <c r="D942" i="7" s="1"/>
  <c r="D943" i="7" s="1"/>
  <c r="D944" i="7" s="1"/>
  <c r="D945" i="7" s="1"/>
  <c r="D946" i="7" s="1"/>
  <c r="D947" i="7" s="1"/>
  <c r="D948" i="7" s="1"/>
  <c r="D949" i="7" s="1"/>
  <c r="D950" i="7" s="1"/>
  <c r="D951" i="7" s="1"/>
  <c r="D952" i="7" s="1"/>
  <c r="D953" i="7" s="1"/>
  <c r="D954" i="7" s="1"/>
  <c r="D955" i="7" s="1"/>
  <c r="D956" i="7" s="1"/>
  <c r="D957" i="7" s="1"/>
  <c r="D958" i="7" s="1"/>
  <c r="D959" i="7" s="1"/>
  <c r="D960" i="7" s="1"/>
  <c r="D961" i="7" s="1"/>
  <c r="D962" i="7" s="1"/>
  <c r="D963" i="7" s="1"/>
  <c r="D964" i="7" s="1"/>
  <c r="D965" i="7" s="1"/>
  <c r="D966" i="7" s="1"/>
  <c r="D967" i="7" s="1"/>
  <c r="D968" i="7" s="1"/>
  <c r="D969" i="7" s="1"/>
  <c r="D970" i="7" s="1"/>
  <c r="D971" i="7" s="1"/>
  <c r="D972" i="7" s="1"/>
  <c r="D892" i="7"/>
  <c r="D893" i="7" s="1"/>
  <c r="D894" i="7" s="1"/>
  <c r="D895" i="7" s="1"/>
  <c r="D896" i="7" s="1"/>
  <c r="D897" i="7" s="1"/>
  <c r="D898" i="7" s="1"/>
  <c r="D899" i="7" s="1"/>
  <c r="D900" i="7" s="1"/>
  <c r="D901" i="7" s="1"/>
  <c r="D902" i="7" s="1"/>
  <c r="D903" i="7" s="1"/>
  <c r="D904" i="7" s="1"/>
  <c r="D905" i="7" s="1"/>
  <c r="D906" i="7" s="1"/>
  <c r="D907" i="7" s="1"/>
  <c r="D908" i="7" s="1"/>
  <c r="D909" i="7" s="1"/>
  <c r="D910" i="7" s="1"/>
  <c r="D911" i="7" s="1"/>
  <c r="D912" i="7" s="1"/>
  <c r="D913" i="7" s="1"/>
  <c r="D914" i="7" s="1"/>
  <c r="D915" i="7" s="1"/>
  <c r="D916" i="7" s="1"/>
  <c r="D917" i="7" s="1"/>
  <c r="D918" i="7" s="1"/>
  <c r="D919" i="7" s="1"/>
  <c r="D920" i="7" s="1"/>
  <c r="D921" i="7" s="1"/>
  <c r="D922" i="7" s="1"/>
  <c r="D923" i="7" s="1"/>
  <c r="D924" i="7" s="1"/>
  <c r="D925" i="7" s="1"/>
  <c r="D926" i="7" s="1"/>
  <c r="D927" i="7" s="1"/>
  <c r="D928" i="7" s="1"/>
  <c r="D929" i="7" s="1"/>
  <c r="D930" i="7" s="1"/>
  <c r="D850" i="7"/>
  <c r="D851" i="7" s="1"/>
  <c r="D852" i="7" s="1"/>
  <c r="D853" i="7" s="1"/>
  <c r="D854" i="7" s="1"/>
  <c r="D855" i="7" s="1"/>
  <c r="D856" i="7" s="1"/>
  <c r="D857" i="7" s="1"/>
  <c r="D858" i="7" s="1"/>
  <c r="D859" i="7" s="1"/>
  <c r="D860" i="7" s="1"/>
  <c r="D861" i="7" s="1"/>
  <c r="D862" i="7" s="1"/>
  <c r="D863" i="7" s="1"/>
  <c r="D864" i="7" s="1"/>
  <c r="D865" i="7" s="1"/>
  <c r="D866" i="7" s="1"/>
  <c r="D867" i="7" s="1"/>
  <c r="D868" i="7" s="1"/>
  <c r="D869" i="7" s="1"/>
  <c r="D870" i="7" s="1"/>
  <c r="D871" i="7" s="1"/>
  <c r="D872" i="7" s="1"/>
  <c r="D873" i="7" s="1"/>
  <c r="D874" i="7" s="1"/>
  <c r="D875" i="7" s="1"/>
  <c r="D876" i="7" s="1"/>
  <c r="D877" i="7" s="1"/>
  <c r="D878" i="7" s="1"/>
  <c r="D879" i="7" s="1"/>
  <c r="D880" i="7" s="1"/>
  <c r="D881" i="7" s="1"/>
  <c r="D882" i="7" s="1"/>
  <c r="D883" i="7" s="1"/>
  <c r="D884" i="7" s="1"/>
  <c r="D885" i="7" s="1"/>
  <c r="D886" i="7" s="1"/>
  <c r="D887" i="7" s="1"/>
  <c r="D888" i="7" s="1"/>
  <c r="D388" i="7"/>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346" i="7"/>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04" i="7"/>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262" i="7"/>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220" i="7"/>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178" i="7"/>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136" i="7"/>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94" i="7"/>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52" i="7"/>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10" i="7"/>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F3" i="6"/>
  <c r="S44" i="8"/>
  <c r="AJ46" i="8"/>
  <c r="AN48" i="8"/>
  <c r="U56" i="8"/>
  <c r="W47" i="8"/>
  <c r="U42" i="8"/>
  <c r="AC51" i="8"/>
  <c r="AJ45" i="8"/>
  <c r="W57" i="8"/>
  <c r="J1" i="8"/>
  <c r="AM55" i="8"/>
  <c r="T59" i="8"/>
  <c r="AJ54" i="8"/>
  <c r="AD52" i="8"/>
  <c r="AR53" i="8"/>
  <c r="S59" i="8"/>
  <c r="W49" i="8"/>
  <c r="AF48" i="8"/>
  <c r="Y43" i="8"/>
  <c r="AB57" i="8"/>
  <c r="Y58" i="8"/>
  <c r="AN47" i="8"/>
  <c r="AS98" i="8" l="1"/>
  <c r="AS89" i="8"/>
  <c r="AS97" i="8"/>
  <c r="AS88" i="8"/>
  <c r="AS95" i="8"/>
  <c r="AS104" i="8"/>
  <c r="AS103" i="8"/>
  <c r="AS94" i="8"/>
  <c r="AS102" i="8"/>
  <c r="AS93" i="8"/>
  <c r="AS92" i="8"/>
  <c r="AS101" i="8"/>
  <c r="AS91" i="8"/>
  <c r="AS100" i="8"/>
  <c r="AS87" i="8"/>
  <c r="AS96" i="8"/>
  <c r="AS99" i="8"/>
  <c r="AS90" i="8"/>
  <c r="L11" i="4" a="1"/>
  <c r="L11" i="4" s="1"/>
  <c r="Y78" i="8"/>
  <c r="AG78" i="8"/>
  <c r="AO78" i="8"/>
  <c r="Y79" i="8"/>
  <c r="AG79" i="8"/>
  <c r="AO79" i="8"/>
  <c r="Y80" i="8"/>
  <c r="AG80" i="8"/>
  <c r="AO80" i="8"/>
  <c r="Y81" i="8"/>
  <c r="AG81" i="8"/>
  <c r="AO81" i="8"/>
  <c r="Y82" i="8"/>
  <c r="AG82" i="8"/>
  <c r="AO82" i="8"/>
  <c r="Y83" i="8"/>
  <c r="AG83" i="8"/>
  <c r="AO83" i="8"/>
  <c r="Y84" i="8"/>
  <c r="AG84" i="8"/>
  <c r="AO84" i="8"/>
  <c r="Y85" i="8"/>
  <c r="AG85" i="8"/>
  <c r="AO85" i="8"/>
  <c r="Y86" i="8"/>
  <c r="AG86" i="8"/>
  <c r="AO86" i="8"/>
  <c r="AF78" i="8"/>
  <c r="AN79" i="8"/>
  <c r="AF80" i="8"/>
  <c r="X82" i="8"/>
  <c r="AF83" i="8"/>
  <c r="X84" i="8"/>
  <c r="AF85" i="8"/>
  <c r="AN86" i="8"/>
  <c r="Z78" i="8"/>
  <c r="AH78" i="8"/>
  <c r="AP78" i="8"/>
  <c r="Z79" i="8"/>
  <c r="AH79" i="8"/>
  <c r="AP79" i="8"/>
  <c r="Z80" i="8"/>
  <c r="AH80" i="8"/>
  <c r="AP80" i="8"/>
  <c r="Z81" i="8"/>
  <c r="AH81" i="8"/>
  <c r="AP81" i="8"/>
  <c r="Z82" i="8"/>
  <c r="AH82" i="8"/>
  <c r="AP82" i="8"/>
  <c r="Z83" i="8"/>
  <c r="AH83" i="8"/>
  <c r="AP83" i="8"/>
  <c r="Z84" i="8"/>
  <c r="AH84" i="8"/>
  <c r="AP84" i="8"/>
  <c r="Z85" i="8"/>
  <c r="AH85" i="8"/>
  <c r="AP85" i="8"/>
  <c r="Z86" i="8"/>
  <c r="AH86" i="8"/>
  <c r="AP86" i="8"/>
  <c r="X79" i="8"/>
  <c r="AN80" i="8"/>
  <c r="AF82" i="8"/>
  <c r="AN83" i="8"/>
  <c r="AF84" i="8"/>
  <c r="AN85" i="8"/>
  <c r="AA78" i="8"/>
  <c r="AI78" i="8"/>
  <c r="AQ78" i="8"/>
  <c r="AA79" i="8"/>
  <c r="AI79" i="8"/>
  <c r="AQ79" i="8"/>
  <c r="AA80" i="8"/>
  <c r="AI80" i="8"/>
  <c r="AQ80" i="8"/>
  <c r="AA81" i="8"/>
  <c r="AI81" i="8"/>
  <c r="AQ81" i="8"/>
  <c r="AA82" i="8"/>
  <c r="AI82" i="8"/>
  <c r="AQ82" i="8"/>
  <c r="AA83" i="8"/>
  <c r="AI83" i="8"/>
  <c r="AQ83" i="8"/>
  <c r="AA84" i="8"/>
  <c r="AI84" i="8"/>
  <c r="AQ84" i="8"/>
  <c r="AA85" i="8"/>
  <c r="AI85" i="8"/>
  <c r="AQ85" i="8"/>
  <c r="AA86" i="8"/>
  <c r="AI86" i="8"/>
  <c r="AQ86" i="8"/>
  <c r="AN78" i="8"/>
  <c r="X81" i="8"/>
  <c r="X83" i="8"/>
  <c r="X85" i="8"/>
  <c r="AB78" i="8"/>
  <c r="AJ78" i="8"/>
  <c r="AR78" i="8"/>
  <c r="AB79" i="8"/>
  <c r="AJ79" i="8"/>
  <c r="AR79" i="8"/>
  <c r="AB80" i="8"/>
  <c r="AJ80" i="8"/>
  <c r="AR80" i="8"/>
  <c r="AB81" i="8"/>
  <c r="AJ81" i="8"/>
  <c r="AR81" i="8"/>
  <c r="AB82" i="8"/>
  <c r="AJ82" i="8"/>
  <c r="AR82" i="8"/>
  <c r="AB83" i="8"/>
  <c r="AJ83" i="8"/>
  <c r="AR83" i="8"/>
  <c r="AB84" i="8"/>
  <c r="AJ84" i="8"/>
  <c r="AR84" i="8"/>
  <c r="AB85" i="8"/>
  <c r="AJ85" i="8"/>
  <c r="AR85" i="8"/>
  <c r="AB86" i="8"/>
  <c r="AJ86" i="8"/>
  <c r="AR86" i="8"/>
  <c r="AF79" i="8"/>
  <c r="U78" i="8"/>
  <c r="AC78" i="8"/>
  <c r="AK78" i="8"/>
  <c r="U79" i="8"/>
  <c r="AC79" i="8"/>
  <c r="AK79" i="8"/>
  <c r="U80" i="8"/>
  <c r="AC80" i="8"/>
  <c r="AK80" i="8"/>
  <c r="U81" i="8"/>
  <c r="AC81" i="8"/>
  <c r="AK81" i="8"/>
  <c r="U82" i="8"/>
  <c r="AC82" i="8"/>
  <c r="AK82" i="8"/>
  <c r="U83" i="8"/>
  <c r="AC83" i="8"/>
  <c r="AK83" i="8"/>
  <c r="U84" i="8"/>
  <c r="AC84" i="8"/>
  <c r="AK84" i="8"/>
  <c r="U85" i="8"/>
  <c r="AC85" i="8"/>
  <c r="AK85" i="8"/>
  <c r="U86" i="8"/>
  <c r="AC86" i="8"/>
  <c r="AK86" i="8"/>
  <c r="AF81" i="8"/>
  <c r="AF86" i="8"/>
  <c r="V78" i="8"/>
  <c r="AD78" i="8"/>
  <c r="AL78" i="8"/>
  <c r="V79" i="8"/>
  <c r="AD79" i="8"/>
  <c r="AL79" i="8"/>
  <c r="V80" i="8"/>
  <c r="AD80" i="8"/>
  <c r="AL80" i="8"/>
  <c r="V81" i="8"/>
  <c r="AD81" i="8"/>
  <c r="AL81" i="8"/>
  <c r="V82" i="8"/>
  <c r="AD82" i="8"/>
  <c r="AL82" i="8"/>
  <c r="V83" i="8"/>
  <c r="AD83" i="8"/>
  <c r="AL83" i="8"/>
  <c r="V84" i="8"/>
  <c r="AD84" i="8"/>
  <c r="AL84" i="8"/>
  <c r="V85" i="8"/>
  <c r="AD85" i="8"/>
  <c r="AL85" i="8"/>
  <c r="V86" i="8"/>
  <c r="AD86" i="8"/>
  <c r="AL86" i="8"/>
  <c r="AN81" i="8"/>
  <c r="X86" i="8"/>
  <c r="W78" i="8"/>
  <c r="AE78" i="8"/>
  <c r="AM78" i="8"/>
  <c r="W79" i="8"/>
  <c r="AE79" i="8"/>
  <c r="AM79" i="8"/>
  <c r="W80" i="8"/>
  <c r="AE80" i="8"/>
  <c r="AM80" i="8"/>
  <c r="W81" i="8"/>
  <c r="AE81" i="8"/>
  <c r="AM81" i="8"/>
  <c r="W82" i="8"/>
  <c r="AE82" i="8"/>
  <c r="AM82" i="8"/>
  <c r="W83" i="8"/>
  <c r="AE83" i="8"/>
  <c r="AM83" i="8"/>
  <c r="W84" i="8"/>
  <c r="AE84" i="8"/>
  <c r="AM84" i="8"/>
  <c r="W85" i="8"/>
  <c r="AE85" i="8"/>
  <c r="AM85" i="8"/>
  <c r="W86" i="8"/>
  <c r="AE86" i="8"/>
  <c r="AM86" i="8"/>
  <c r="X78" i="8"/>
  <c r="X80" i="8"/>
  <c r="AN82" i="8"/>
  <c r="AN84" i="8"/>
  <c r="I833" i="7"/>
  <c r="J832" i="7"/>
  <c r="AR832" i="7"/>
  <c r="AR790" i="7"/>
  <c r="J790" i="7"/>
  <c r="I791" i="7"/>
  <c r="I749" i="7"/>
  <c r="J748" i="7"/>
  <c r="AR748" i="7"/>
  <c r="I707" i="7"/>
  <c r="AR706" i="7"/>
  <c r="J706" i="7"/>
  <c r="J663" i="7"/>
  <c r="AR663" i="7"/>
  <c r="I664" i="7"/>
  <c r="J621" i="7"/>
  <c r="AR621" i="7"/>
  <c r="I622" i="7"/>
  <c r="J582" i="7"/>
  <c r="AR582" i="7"/>
  <c r="I583" i="7"/>
  <c r="AR538" i="7"/>
  <c r="J538" i="7"/>
  <c r="I539" i="7"/>
  <c r="J495" i="7"/>
  <c r="AR495" i="7"/>
  <c r="I496" i="7"/>
  <c r="I456" i="7"/>
  <c r="AR455" i="7"/>
  <c r="J455" i="7"/>
  <c r="C12" i="6"/>
  <c r="D62" i="8"/>
  <c r="B61" i="8"/>
  <c r="D71" i="8"/>
  <c r="B70" i="8"/>
  <c r="D80" i="8"/>
  <c r="B79" i="8"/>
  <c r="C56" i="6"/>
  <c r="D56" i="6"/>
  <c r="BN86" i="8"/>
  <c r="BM84" i="8"/>
  <c r="BM82" i="8"/>
  <c r="BM80" i="8"/>
  <c r="BO78" i="8"/>
  <c r="BM86" i="8"/>
  <c r="BN78" i="8"/>
  <c r="BM78" i="8"/>
  <c r="BO85" i="8"/>
  <c r="BO83" i="8"/>
  <c r="BO81" i="8"/>
  <c r="BN85" i="8"/>
  <c r="BN83" i="8"/>
  <c r="BN81" i="8"/>
  <c r="BO79" i="8"/>
  <c r="BM85" i="8"/>
  <c r="BM83" i="8"/>
  <c r="BM81" i="8"/>
  <c r="BN79" i="8"/>
  <c r="BM79" i="8"/>
  <c r="BO84" i="8"/>
  <c r="BO82" i="8"/>
  <c r="BO80" i="8"/>
  <c r="BO86" i="8"/>
  <c r="BN84" i="8"/>
  <c r="BN82" i="8"/>
  <c r="BN80" i="8"/>
  <c r="AZ81" i="8"/>
  <c r="AS60" i="8"/>
  <c r="AS63" i="8"/>
  <c r="BG83" i="8"/>
  <c r="T79" i="8"/>
  <c r="S79" i="8"/>
  <c r="P80" i="8"/>
  <c r="J86" i="8"/>
  <c r="G84" i="8"/>
  <c r="AX78" i="8"/>
  <c r="I83" i="8"/>
  <c r="Q82" i="8"/>
  <c r="AZ78" i="8"/>
  <c r="AS65" i="8"/>
  <c r="AS83" i="8"/>
  <c r="AS75" i="8"/>
  <c r="AS76" i="8"/>
  <c r="AS84" i="8"/>
  <c r="J80" i="8"/>
  <c r="R82" i="8"/>
  <c r="AY81" i="8"/>
  <c r="AS62" i="8"/>
  <c r="AS82" i="8"/>
  <c r="AS74" i="8"/>
  <c r="H80" i="8"/>
  <c r="O85" i="8"/>
  <c r="AS67" i="8"/>
  <c r="AS73" i="8"/>
  <c r="AS81" i="8"/>
  <c r="BG86" i="8"/>
  <c r="O78" i="8"/>
  <c r="P85" i="8"/>
  <c r="AZ84" i="8"/>
  <c r="AS64" i="8"/>
  <c r="AS72" i="8"/>
  <c r="AS80" i="8"/>
  <c r="BA84" i="8"/>
  <c r="AS61" i="8"/>
  <c r="AS71" i="8"/>
  <c r="AS79" i="8"/>
  <c r="AS85" i="8"/>
  <c r="AS68" i="8"/>
  <c r="F79" i="8"/>
  <c r="BF81" i="8"/>
  <c r="AS66" i="8"/>
  <c r="AS86" i="8"/>
  <c r="AS78" i="8"/>
  <c r="AS70" i="8"/>
  <c r="AS50" i="8"/>
  <c r="H86" i="8"/>
  <c r="H83" i="8"/>
  <c r="G80" i="8"/>
  <c r="Q80" i="8"/>
  <c r="O83" i="8"/>
  <c r="R85" i="8"/>
  <c r="T84" i="8"/>
  <c r="T78" i="8"/>
  <c r="BA78" i="8"/>
  <c r="AX82" i="8"/>
  <c r="AY85" i="8"/>
  <c r="BF79" i="8"/>
  <c r="BG81" i="8"/>
  <c r="BG84" i="8"/>
  <c r="G86" i="8"/>
  <c r="J82" i="8"/>
  <c r="I79" i="8"/>
  <c r="P78" i="8"/>
  <c r="S80" i="8"/>
  <c r="Q83" i="8"/>
  <c r="S85" i="8"/>
  <c r="AY79" i="8"/>
  <c r="AZ82" i="8"/>
  <c r="AZ85" i="8"/>
  <c r="BH79" i="8"/>
  <c r="BH84" i="8"/>
  <c r="F85" i="8"/>
  <c r="I85" i="8"/>
  <c r="H82" i="8"/>
  <c r="H79" i="8"/>
  <c r="R78" i="8"/>
  <c r="O81" i="8"/>
  <c r="R83" i="8"/>
  <c r="P86" i="8"/>
  <c r="AZ79" i="8"/>
  <c r="BA82" i="8"/>
  <c r="AZ86" i="8"/>
  <c r="BG82" i="8"/>
  <c r="F83" i="8"/>
  <c r="H85" i="8"/>
  <c r="G82" i="8"/>
  <c r="J78" i="8"/>
  <c r="S78" i="8"/>
  <c r="Q81" i="8"/>
  <c r="O84" i="8"/>
  <c r="R86" i="8"/>
  <c r="T82" i="8"/>
  <c r="AX80" i="8"/>
  <c r="AY83" i="8"/>
  <c r="BA86" i="8"/>
  <c r="BH82" i="8"/>
  <c r="BF85" i="8"/>
  <c r="F82" i="8"/>
  <c r="J84" i="8"/>
  <c r="I81" i="8"/>
  <c r="H78" i="8"/>
  <c r="P79" i="8"/>
  <c r="S81" i="8"/>
  <c r="P84" i="8"/>
  <c r="S86" i="8"/>
  <c r="T81" i="8"/>
  <c r="AZ80" i="8"/>
  <c r="AZ83" i="8"/>
  <c r="BH80" i="8"/>
  <c r="BG85" i="8"/>
  <c r="F80" i="8"/>
  <c r="H84" i="8"/>
  <c r="H81" i="8"/>
  <c r="G78" i="8"/>
  <c r="Q79" i="8"/>
  <c r="O82" i="8"/>
  <c r="R84" i="8"/>
  <c r="T86" i="8"/>
  <c r="BA80" i="8"/>
  <c r="AX84" i="8"/>
  <c r="BF78" i="8"/>
  <c r="BF83" i="8"/>
  <c r="BH86" i="8"/>
  <c r="F81" i="8"/>
  <c r="J85" i="8"/>
  <c r="J83" i="8"/>
  <c r="J81" i="8"/>
  <c r="J79" i="8"/>
  <c r="O79" i="8"/>
  <c r="R80" i="8"/>
  <c r="P82" i="8"/>
  <c r="S83" i="8"/>
  <c r="Q85" i="8"/>
  <c r="T80" i="8"/>
  <c r="AX79" i="8"/>
  <c r="AX81" i="8"/>
  <c r="AX83" i="8"/>
  <c r="AX85" i="8"/>
  <c r="BG79" i="8"/>
  <c r="F78" i="8"/>
  <c r="F86" i="8"/>
  <c r="G85" i="8"/>
  <c r="G83" i="8"/>
  <c r="G81" i="8"/>
  <c r="G79" i="8"/>
  <c r="R79" i="8"/>
  <c r="P81" i="8"/>
  <c r="S82" i="8"/>
  <c r="Q84" i="8"/>
  <c r="O86" i="8"/>
  <c r="T83" i="8"/>
  <c r="BA79" i="8"/>
  <c r="BA81" i="8"/>
  <c r="BA83" i="8"/>
  <c r="BA85" i="8"/>
  <c r="BG78" i="8"/>
  <c r="BH81" i="8"/>
  <c r="BH83" i="8"/>
  <c r="BH85" i="8"/>
  <c r="AX86" i="8"/>
  <c r="BH78" i="8"/>
  <c r="BF80" i="8"/>
  <c r="BF86" i="8"/>
  <c r="F84" i="8"/>
  <c r="I86" i="8"/>
  <c r="I84" i="8"/>
  <c r="I82" i="8"/>
  <c r="I80" i="8"/>
  <c r="I78" i="8"/>
  <c r="Q78" i="8"/>
  <c r="O80" i="8"/>
  <c r="R81" i="8"/>
  <c r="P83" i="8"/>
  <c r="S84" i="8"/>
  <c r="Q86" i="8"/>
  <c r="T85" i="8"/>
  <c r="AY78" i="8"/>
  <c r="AY80" i="8"/>
  <c r="AY82" i="8"/>
  <c r="AY84" i="8"/>
  <c r="AY86" i="8"/>
  <c r="BG80" i="8"/>
  <c r="BF82" i="8"/>
  <c r="BF84" i="8"/>
  <c r="AM48" i="8"/>
  <c r="Y45" i="8"/>
  <c r="V42" i="8"/>
  <c r="AM56" i="8"/>
  <c r="AF57" i="8"/>
  <c r="AQ57" i="8"/>
  <c r="U58" i="8"/>
  <c r="AP57" i="8"/>
  <c r="W54" i="8"/>
  <c r="X46" i="8"/>
  <c r="Z43" i="8"/>
  <c r="AP48" i="8"/>
  <c r="AR57" i="8"/>
  <c r="AF58" i="8"/>
  <c r="AD54" i="8"/>
  <c r="Y47" i="8"/>
  <c r="AQ49" i="8"/>
  <c r="AL57" i="8"/>
  <c r="AG51" i="8"/>
  <c r="X51" i="8"/>
  <c r="AM51" i="8"/>
  <c r="AB52" i="8"/>
  <c r="AR833" i="7" l="1"/>
  <c r="I834" i="7"/>
  <c r="J833" i="7"/>
  <c r="AR791" i="7"/>
  <c r="I792" i="7"/>
  <c r="J791" i="7"/>
  <c r="AR749" i="7"/>
  <c r="I750" i="7"/>
  <c r="J749" i="7"/>
  <c r="AR707" i="7"/>
  <c r="I708" i="7"/>
  <c r="J707" i="7"/>
  <c r="I665" i="7"/>
  <c r="J664" i="7"/>
  <c r="AR664" i="7"/>
  <c r="I623" i="7"/>
  <c r="AR622" i="7"/>
  <c r="J622" i="7"/>
  <c r="I584" i="7"/>
  <c r="J583" i="7"/>
  <c r="AR583" i="7"/>
  <c r="AR539" i="7"/>
  <c r="I540" i="7"/>
  <c r="J539" i="7"/>
  <c r="I497" i="7"/>
  <c r="J496" i="7"/>
  <c r="AR496" i="7"/>
  <c r="AR456" i="7"/>
  <c r="I457" i="7"/>
  <c r="J456" i="7"/>
  <c r="M12" i="4" a="1"/>
  <c r="M12" i="4" s="1"/>
  <c r="D81" i="8"/>
  <c r="B80" i="8"/>
  <c r="D72" i="8"/>
  <c r="B71" i="8"/>
  <c r="D63" i="8"/>
  <c r="B62" i="8"/>
  <c r="AS59" i="8"/>
  <c r="B1226" i="7"/>
  <c r="B1184" i="7"/>
  <c r="B1142" i="7"/>
  <c r="B1100" i="7"/>
  <c r="B1058" i="7"/>
  <c r="B1016" i="7"/>
  <c r="B974" i="7"/>
  <c r="B932" i="7"/>
  <c r="B890" i="7"/>
  <c r="B848" i="7"/>
  <c r="B386" i="7"/>
  <c r="B344" i="7"/>
  <c r="B302" i="7"/>
  <c r="B260" i="7"/>
  <c r="B218" i="7"/>
  <c r="B176" i="7"/>
  <c r="B134" i="7"/>
  <c r="B92" i="7"/>
  <c r="B50" i="7"/>
  <c r="O849" i="7"/>
  <c r="V849" i="7" s="1"/>
  <c r="AI849" i="7"/>
  <c r="I850" i="7"/>
  <c r="AR850" i="7" s="1"/>
  <c r="O850" i="7"/>
  <c r="V850" i="7" s="1"/>
  <c r="AI850" i="7"/>
  <c r="O851" i="7"/>
  <c r="V851" i="7" s="1"/>
  <c r="AI851" i="7"/>
  <c r="O852" i="7"/>
  <c r="V852" i="7" s="1"/>
  <c r="AI852" i="7"/>
  <c r="O854" i="7"/>
  <c r="V854" i="7" s="1"/>
  <c r="O856" i="7"/>
  <c r="V856" i="7" s="1"/>
  <c r="F865" i="7"/>
  <c r="G865" i="7" s="1"/>
  <c r="F866" i="7"/>
  <c r="F867" i="7"/>
  <c r="F868" i="7"/>
  <c r="F869" i="7"/>
  <c r="F870" i="7"/>
  <c r="F871" i="7"/>
  <c r="F872" i="7"/>
  <c r="AI891" i="7"/>
  <c r="I892" i="7"/>
  <c r="AR892" i="7" s="1"/>
  <c r="AI892" i="7"/>
  <c r="AI893" i="7"/>
  <c r="AI894" i="7"/>
  <c r="O897" i="7"/>
  <c r="V897" i="7" s="1"/>
  <c r="F907" i="7"/>
  <c r="G907" i="7" s="1"/>
  <c r="F908" i="7"/>
  <c r="F909" i="7"/>
  <c r="F910" i="7"/>
  <c r="F911" i="7"/>
  <c r="F912" i="7"/>
  <c r="F913" i="7"/>
  <c r="F914" i="7"/>
  <c r="AI933" i="7"/>
  <c r="I934" i="7"/>
  <c r="AR934" i="7" s="1"/>
  <c r="AI934" i="7"/>
  <c r="AI935" i="7"/>
  <c r="AI936" i="7"/>
  <c r="F949" i="7"/>
  <c r="G949" i="7" s="1"/>
  <c r="F950" i="7"/>
  <c r="F951" i="7"/>
  <c r="F952" i="7"/>
  <c r="F953" i="7"/>
  <c r="F954" i="7"/>
  <c r="F955" i="7"/>
  <c r="F956" i="7"/>
  <c r="AI975" i="7"/>
  <c r="I976" i="7"/>
  <c r="AR976" i="7" s="1"/>
  <c r="AI976" i="7"/>
  <c r="O977" i="7"/>
  <c r="V977" i="7" s="1"/>
  <c r="AI977" i="7"/>
  <c r="O978" i="7"/>
  <c r="V978" i="7" s="1"/>
  <c r="AI978" i="7"/>
  <c r="O981" i="7"/>
  <c r="V981" i="7" s="1"/>
  <c r="O982" i="7"/>
  <c r="V982" i="7" s="1"/>
  <c r="F991" i="7"/>
  <c r="G991" i="7" s="1"/>
  <c r="F992" i="7"/>
  <c r="F993" i="7"/>
  <c r="F994" i="7"/>
  <c r="F995" i="7"/>
  <c r="F996" i="7"/>
  <c r="F997" i="7"/>
  <c r="F998" i="7"/>
  <c r="O1017" i="7"/>
  <c r="V1017" i="7" s="1"/>
  <c r="AI1017" i="7"/>
  <c r="I1018" i="7"/>
  <c r="AR1018" i="7" s="1"/>
  <c r="O1018" i="7"/>
  <c r="V1018" i="7" s="1"/>
  <c r="AI1018" i="7"/>
  <c r="AI1019" i="7"/>
  <c r="AI1020" i="7"/>
  <c r="F1033" i="7"/>
  <c r="F1034" i="7"/>
  <c r="F1035" i="7"/>
  <c r="F1036" i="7"/>
  <c r="F1037" i="7"/>
  <c r="F1038" i="7"/>
  <c r="F1039" i="7"/>
  <c r="F1040" i="7"/>
  <c r="O1059" i="7"/>
  <c r="V1059" i="7" s="1"/>
  <c r="AI1059" i="7"/>
  <c r="I1060" i="7"/>
  <c r="AR1060" i="7" s="1"/>
  <c r="AI1060" i="7"/>
  <c r="AI1061" i="7"/>
  <c r="AI1062" i="7"/>
  <c r="O1066" i="7"/>
  <c r="V1066" i="7" s="1"/>
  <c r="F1075" i="7"/>
  <c r="F1076" i="7"/>
  <c r="F1077" i="7"/>
  <c r="F1078" i="7"/>
  <c r="F1079" i="7"/>
  <c r="F1080" i="7"/>
  <c r="F1081" i="7"/>
  <c r="F1082" i="7"/>
  <c r="AI1101" i="7"/>
  <c r="I1102" i="7"/>
  <c r="AR1102" i="7" s="1"/>
  <c r="AI1102" i="7"/>
  <c r="AI1103" i="7"/>
  <c r="AI1104" i="7"/>
  <c r="F1117" i="7"/>
  <c r="F1118" i="7"/>
  <c r="F1119" i="7"/>
  <c r="F1120" i="7"/>
  <c r="F1121" i="7"/>
  <c r="F1122" i="7"/>
  <c r="F1123" i="7"/>
  <c r="F1124" i="7"/>
  <c r="O1143" i="7"/>
  <c r="V1143" i="7" s="1"/>
  <c r="AI1143" i="7"/>
  <c r="I1144" i="7"/>
  <c r="AR1144" i="7" s="1"/>
  <c r="AI1144" i="7"/>
  <c r="AI1145" i="7"/>
  <c r="AI1146" i="7"/>
  <c r="F1159" i="7"/>
  <c r="F1160" i="7"/>
  <c r="F1161" i="7"/>
  <c r="F1162" i="7"/>
  <c r="F1163" i="7"/>
  <c r="F1164" i="7"/>
  <c r="F1165" i="7"/>
  <c r="F1166" i="7"/>
  <c r="AI1185" i="7"/>
  <c r="I1186" i="7"/>
  <c r="AR1186" i="7" s="1"/>
  <c r="AI1186" i="7"/>
  <c r="O1187" i="7"/>
  <c r="V1187" i="7" s="1"/>
  <c r="AI1187" i="7"/>
  <c r="AI1188" i="7"/>
  <c r="F1201" i="7"/>
  <c r="F1202" i="7"/>
  <c r="F1203" i="7"/>
  <c r="F1204" i="7"/>
  <c r="F1205" i="7"/>
  <c r="F1206" i="7"/>
  <c r="F1207" i="7"/>
  <c r="F1208" i="7"/>
  <c r="O1227" i="7"/>
  <c r="V1227" i="7" s="1"/>
  <c r="AI1227" i="7"/>
  <c r="I1228" i="7"/>
  <c r="AR1228" i="7" s="1"/>
  <c r="AI1228" i="7"/>
  <c r="AI1229" i="7"/>
  <c r="AI1230" i="7"/>
  <c r="O1231" i="7"/>
  <c r="V1231" i="7" s="1"/>
  <c r="F1243" i="7"/>
  <c r="F1244" i="7"/>
  <c r="F1245" i="7"/>
  <c r="F1246" i="7"/>
  <c r="F1247" i="7"/>
  <c r="F1248" i="7"/>
  <c r="F1249" i="7"/>
  <c r="F1250" i="7"/>
  <c r="AI137" i="7"/>
  <c r="AI135" i="7"/>
  <c r="AI95" i="7"/>
  <c r="AI93" i="7"/>
  <c r="AI53" i="7"/>
  <c r="AI387" i="7"/>
  <c r="I388" i="7"/>
  <c r="AR388" i="7" s="1"/>
  <c r="AI388" i="7"/>
  <c r="AI389" i="7"/>
  <c r="AI390" i="7"/>
  <c r="O392" i="7"/>
  <c r="V392" i="7" s="1"/>
  <c r="F403" i="7"/>
  <c r="F404" i="7"/>
  <c r="F405" i="7"/>
  <c r="F406" i="7"/>
  <c r="F407" i="7"/>
  <c r="F408" i="7"/>
  <c r="F409" i="7"/>
  <c r="F410" i="7"/>
  <c r="AI345" i="7"/>
  <c r="I346" i="7"/>
  <c r="AR346" i="7" s="1"/>
  <c r="AI346" i="7"/>
  <c r="AI347" i="7"/>
  <c r="AI348" i="7"/>
  <c r="F361" i="7"/>
  <c r="F362" i="7"/>
  <c r="F363" i="7"/>
  <c r="F364" i="7"/>
  <c r="F365" i="7"/>
  <c r="F366" i="7"/>
  <c r="F367" i="7"/>
  <c r="F368" i="7"/>
  <c r="AI303" i="7"/>
  <c r="I304" i="7"/>
  <c r="AR304" i="7" s="1"/>
  <c r="AI304" i="7"/>
  <c r="AI305" i="7"/>
  <c r="AI306" i="7"/>
  <c r="F319" i="7"/>
  <c r="F320" i="7"/>
  <c r="F321" i="7"/>
  <c r="F322" i="7"/>
  <c r="F323" i="7"/>
  <c r="F324" i="7"/>
  <c r="F325" i="7"/>
  <c r="F326" i="7"/>
  <c r="AI261" i="7"/>
  <c r="I262" i="7"/>
  <c r="AR262" i="7" s="1"/>
  <c r="AI262" i="7"/>
  <c r="AI263" i="7"/>
  <c r="AI264" i="7"/>
  <c r="F277" i="7"/>
  <c r="G277" i="7" s="1"/>
  <c r="F278" i="7"/>
  <c r="F279" i="7"/>
  <c r="F280" i="7"/>
  <c r="F281" i="7"/>
  <c r="F282" i="7"/>
  <c r="F283" i="7"/>
  <c r="F284" i="7"/>
  <c r="AI219" i="7"/>
  <c r="I220" i="7"/>
  <c r="AR220" i="7" s="1"/>
  <c r="AI220" i="7"/>
  <c r="AI221" i="7"/>
  <c r="AI222" i="7"/>
  <c r="F235" i="7"/>
  <c r="F236" i="7"/>
  <c r="F237" i="7"/>
  <c r="F238" i="7"/>
  <c r="F239" i="7"/>
  <c r="F240" i="7"/>
  <c r="F241" i="7"/>
  <c r="F242" i="7"/>
  <c r="R177" i="7"/>
  <c r="AI177" i="7"/>
  <c r="I178" i="7"/>
  <c r="AR178" i="7" s="1"/>
  <c r="R178" i="7"/>
  <c r="AI178" i="7"/>
  <c r="R179" i="7"/>
  <c r="AI179" i="7"/>
  <c r="R180" i="7"/>
  <c r="AI180" i="7"/>
  <c r="R181" i="7"/>
  <c r="R182" i="7"/>
  <c r="R183" i="7"/>
  <c r="R184" i="7"/>
  <c r="F193" i="7"/>
  <c r="F194" i="7"/>
  <c r="F195" i="7"/>
  <c r="F196" i="7"/>
  <c r="F197" i="7"/>
  <c r="F198" i="7"/>
  <c r="F199" i="7"/>
  <c r="F200" i="7"/>
  <c r="R135" i="7"/>
  <c r="I136" i="7"/>
  <c r="AR136" i="7" s="1"/>
  <c r="R136" i="7"/>
  <c r="AI136" i="7"/>
  <c r="R137" i="7"/>
  <c r="R138" i="7"/>
  <c r="AI138" i="7"/>
  <c r="R139" i="7"/>
  <c r="R140" i="7"/>
  <c r="R141" i="7"/>
  <c r="R142" i="7"/>
  <c r="F151" i="7"/>
  <c r="G151" i="7" s="1"/>
  <c r="F152" i="7"/>
  <c r="F153" i="7"/>
  <c r="F154" i="7"/>
  <c r="F155" i="7"/>
  <c r="F156" i="7"/>
  <c r="F157" i="7"/>
  <c r="F158" i="7"/>
  <c r="R93" i="7"/>
  <c r="I94" i="7"/>
  <c r="AR94" i="7" s="1"/>
  <c r="R94" i="7"/>
  <c r="AI94" i="7"/>
  <c r="R95" i="7"/>
  <c r="R96" i="7"/>
  <c r="AI96" i="7"/>
  <c r="R97" i="7"/>
  <c r="R98" i="7"/>
  <c r="R99" i="7"/>
  <c r="R100" i="7"/>
  <c r="F109" i="7"/>
  <c r="F110" i="7"/>
  <c r="F111" i="7"/>
  <c r="F112" i="7"/>
  <c r="F113" i="7"/>
  <c r="F114" i="7"/>
  <c r="F115" i="7"/>
  <c r="F116" i="7"/>
  <c r="R51" i="7"/>
  <c r="I52" i="7"/>
  <c r="AR52" i="7" s="1"/>
  <c r="R52" i="7"/>
  <c r="AI52" i="7"/>
  <c r="R53" i="7"/>
  <c r="R54" i="7"/>
  <c r="AI54" i="7"/>
  <c r="R55" i="7"/>
  <c r="R56" i="7"/>
  <c r="R57" i="7"/>
  <c r="R58" i="7"/>
  <c r="F67" i="7"/>
  <c r="G67" i="7" s="1"/>
  <c r="F68" i="7"/>
  <c r="F69" i="7"/>
  <c r="F70" i="7"/>
  <c r="F71" i="7"/>
  <c r="F72" i="7"/>
  <c r="F73" i="7"/>
  <c r="F74" i="7"/>
  <c r="AI9" i="7"/>
  <c r="AI10" i="7"/>
  <c r="AI11" i="7"/>
  <c r="AI12" i="7"/>
  <c r="R10" i="7"/>
  <c r="R11" i="7"/>
  <c r="R12" i="7"/>
  <c r="R13" i="7"/>
  <c r="R14" i="7"/>
  <c r="R15" i="7"/>
  <c r="R16" i="7"/>
  <c r="R9" i="7"/>
  <c r="K34" i="7"/>
  <c r="K35" i="7" s="1"/>
  <c r="K36" i="7" s="1"/>
  <c r="K37" i="7" s="1"/>
  <c r="K38" i="7" s="1"/>
  <c r="K39" i="7" s="1"/>
  <c r="K40" i="7" s="1"/>
  <c r="K42" i="7"/>
  <c r="K43" i="7" s="1"/>
  <c r="K44" i="7" s="1"/>
  <c r="K45" i="7" s="1"/>
  <c r="K46" i="7" s="1"/>
  <c r="K47" i="7" s="1"/>
  <c r="K48" i="7" s="1"/>
  <c r="K18" i="7"/>
  <c r="K19" i="7" s="1"/>
  <c r="K20" i="7" s="1"/>
  <c r="K21" i="7" s="1"/>
  <c r="K22" i="7" s="1"/>
  <c r="K23" i="7" s="1"/>
  <c r="K24" i="7" s="1"/>
  <c r="K26" i="7"/>
  <c r="K27" i="7" s="1"/>
  <c r="K28" i="7" s="1"/>
  <c r="K29" i="7" s="1"/>
  <c r="K30" i="7" s="1"/>
  <c r="K31" i="7" s="1"/>
  <c r="K32" i="7" s="1"/>
  <c r="K10" i="7"/>
  <c r="K11" i="7" s="1"/>
  <c r="K12" i="7" s="1"/>
  <c r="K13" i="7" s="1"/>
  <c r="K14" i="7" s="1"/>
  <c r="K15" i="7" s="1"/>
  <c r="K16" i="7" s="1"/>
  <c r="I10" i="7"/>
  <c r="F26" i="7"/>
  <c r="F18" i="7" s="1"/>
  <c r="F27" i="7"/>
  <c r="F28" i="7"/>
  <c r="F29" i="7"/>
  <c r="F30" i="7"/>
  <c r="F31" i="7"/>
  <c r="F32" i="7"/>
  <c r="F25" i="7"/>
  <c r="L12" i="4" l="1" a="1"/>
  <c r="L12" i="4" s="1"/>
  <c r="AK48" i="8"/>
  <c r="AL53" i="8"/>
  <c r="AE58" i="8"/>
  <c r="X42" i="8"/>
  <c r="AL42" i="8"/>
  <c r="AC44" i="8"/>
  <c r="Z55" i="8"/>
  <c r="AH45" i="8"/>
  <c r="AH47" i="8"/>
  <c r="AJ51" i="8"/>
  <c r="Q47" i="8"/>
  <c r="AI44" i="8"/>
  <c r="AK54" i="8"/>
  <c r="X43" i="8"/>
  <c r="AR43" i="8"/>
  <c r="AA46" i="8"/>
  <c r="AB53" i="8"/>
  <c r="S47" i="8"/>
  <c r="AR54" i="8"/>
  <c r="AR45" i="8"/>
  <c r="AL58" i="8"/>
  <c r="AH48" i="8"/>
  <c r="AI49" i="8"/>
  <c r="AI42" i="8"/>
  <c r="AN54" i="8"/>
  <c r="AL45" i="8"/>
  <c r="AK53" i="8"/>
  <c r="X49" i="8"/>
  <c r="AO55" i="8"/>
  <c r="AO45" i="8"/>
  <c r="AN51" i="8"/>
  <c r="AN45" i="8"/>
  <c r="AP54" i="8"/>
  <c r="T42" i="8"/>
  <c r="AQ47" i="8"/>
  <c r="AS2" i="8"/>
  <c r="AR42" i="8"/>
  <c r="AO43" i="8"/>
  <c r="R49" i="8"/>
  <c r="AG47" i="8"/>
  <c r="AC58" i="8"/>
  <c r="AQ55" i="8"/>
  <c r="AH42" i="8"/>
  <c r="AJ43" i="8"/>
  <c r="AN53" i="8"/>
  <c r="AM49" i="8"/>
  <c r="AL51" i="8"/>
  <c r="S58" i="8"/>
  <c r="T55" i="8"/>
  <c r="AE43" i="8"/>
  <c r="T44" i="8"/>
  <c r="AH56" i="8"/>
  <c r="Q44" i="8"/>
  <c r="X56" i="8"/>
  <c r="O42" i="8"/>
  <c r="U49" i="8"/>
  <c r="AK49" i="8"/>
  <c r="AN42" i="8"/>
  <c r="R44" i="8"/>
  <c r="AJ44" i="8"/>
  <c r="S43" i="8"/>
  <c r="U45" i="8"/>
  <c r="V43" i="8"/>
  <c r="Y46" i="8"/>
  <c r="AE48" i="8"/>
  <c r="Y48" i="8"/>
  <c r="AD45" i="8"/>
  <c r="AL52" i="8"/>
  <c r="AE44" i="8"/>
  <c r="AA42" i="8"/>
  <c r="AF46" i="8"/>
  <c r="Q51" i="8"/>
  <c r="AP52" i="8"/>
  <c r="T57" i="8"/>
  <c r="AK47" i="8"/>
  <c r="X54" i="8"/>
  <c r="AO53" i="8"/>
  <c r="AI55" i="8"/>
  <c r="AA52" i="8"/>
  <c r="AM53" i="8"/>
  <c r="AI47" i="8"/>
  <c r="AP55" i="8"/>
  <c r="AN43" i="8"/>
  <c r="O49" i="8"/>
  <c r="S53" i="8"/>
  <c r="AG43" i="8"/>
  <c r="AA49" i="8"/>
  <c r="AD47" i="8"/>
  <c r="R45" i="8"/>
  <c r="R59" i="8"/>
  <c r="AE42" i="8"/>
  <c r="AD51" i="8"/>
  <c r="V45" i="8"/>
  <c r="AR56" i="8"/>
  <c r="X48" i="8"/>
  <c r="T54" i="8"/>
  <c r="AO46" i="8"/>
  <c r="W43" i="8"/>
  <c r="P44" i="8"/>
  <c r="AH46" i="8"/>
  <c r="Y44" i="8"/>
  <c r="T48" i="8"/>
  <c r="AR44" i="8"/>
  <c r="AB54" i="8"/>
  <c r="AA56" i="8"/>
  <c r="AH49" i="8"/>
  <c r="AS1" i="8"/>
  <c r="R48" i="8"/>
  <c r="AJ48" i="8"/>
  <c r="AJ55" i="8"/>
  <c r="Z45" i="8"/>
  <c r="AM58" i="8"/>
  <c r="AK55" i="8"/>
  <c r="AK45" i="8"/>
  <c r="AA57" i="8"/>
  <c r="AH58" i="8"/>
  <c r="T45" i="8"/>
  <c r="Z53" i="8"/>
  <c r="AJ52" i="8"/>
  <c r="V52" i="8"/>
  <c r="AQ54" i="8"/>
  <c r="W53" i="8"/>
  <c r="AQ48" i="8"/>
  <c r="AP44" i="8"/>
  <c r="AF54" i="8"/>
  <c r="AL55" i="8"/>
  <c r="AG57" i="8"/>
  <c r="AD44" i="8"/>
  <c r="U47" i="8"/>
  <c r="AQ52" i="8"/>
  <c r="AF42" i="8"/>
  <c r="W51" i="8"/>
  <c r="AG55" i="8"/>
  <c r="AK56" i="8"/>
  <c r="AD49" i="8"/>
  <c r="AF44" i="8"/>
  <c r="Q49" i="8"/>
  <c r="O45" i="8"/>
  <c r="AP49" i="8"/>
  <c r="AM46" i="8"/>
  <c r="T47" i="8"/>
  <c r="AJ42" i="8"/>
  <c r="Q59" i="8"/>
  <c r="V53" i="8"/>
  <c r="Z57" i="8"/>
  <c r="Z54" i="8"/>
  <c r="AL47" i="8"/>
  <c r="W44" i="8"/>
  <c r="AF49" i="8"/>
  <c r="AA51" i="8"/>
  <c r="AL43" i="8"/>
  <c r="AR48" i="8"/>
  <c r="AO49" i="8"/>
  <c r="Y56" i="8"/>
  <c r="AM45" i="8"/>
  <c r="AE53" i="8"/>
  <c r="Y55" i="8"/>
  <c r="AC57" i="8"/>
  <c r="AJ53" i="8"/>
  <c r="AJ58" i="8"/>
  <c r="AO54" i="8"/>
  <c r="U57" i="8"/>
  <c r="U43" i="8"/>
  <c r="Q46" i="8"/>
  <c r="AO58" i="8"/>
  <c r="AQ51" i="8"/>
  <c r="P43" i="8"/>
  <c r="AG49" i="8"/>
  <c r="AM54" i="8"/>
  <c r="AI57" i="8"/>
  <c r="S52" i="8"/>
  <c r="AN44" i="8"/>
  <c r="AP43" i="8"/>
  <c r="T56" i="8"/>
  <c r="AP51" i="8"/>
  <c r="AP53" i="8"/>
  <c r="AR52" i="8"/>
  <c r="AL54" i="8"/>
  <c r="V55" i="8"/>
  <c r="AQ44" i="8"/>
  <c r="AG44" i="8"/>
  <c r="AH54" i="8"/>
  <c r="AG53" i="8"/>
  <c r="W55" i="8"/>
  <c r="AI58" i="8"/>
  <c r="Y53" i="8"/>
  <c r="S49" i="8"/>
  <c r="R47" i="8"/>
  <c r="AM43" i="8"/>
  <c r="AM52" i="8"/>
  <c r="AC45" i="8"/>
  <c r="P42" i="8"/>
  <c r="T53" i="8"/>
  <c r="AM47" i="8"/>
  <c r="AR47" i="8"/>
  <c r="AP45" i="8"/>
  <c r="AC43" i="8"/>
  <c r="AE47" i="8"/>
  <c r="AO56" i="8"/>
  <c r="AO57" i="8"/>
  <c r="AC46" i="8"/>
  <c r="S51" i="8"/>
  <c r="AL49" i="8"/>
  <c r="AD58" i="8"/>
  <c r="V44" i="8"/>
  <c r="Y52" i="8"/>
  <c r="AD57" i="8"/>
  <c r="X57" i="8"/>
  <c r="AE51" i="8"/>
  <c r="AN52" i="8"/>
  <c r="AF47" i="8"/>
  <c r="U55" i="8"/>
  <c r="AN58" i="8"/>
  <c r="R42" i="8"/>
  <c r="U52" i="8"/>
  <c r="O59" i="8"/>
  <c r="O46" i="8"/>
  <c r="V54" i="8"/>
  <c r="V51" i="8"/>
  <c r="AE54" i="8"/>
  <c r="AI51" i="8"/>
  <c r="P47" i="8"/>
  <c r="AB49" i="8"/>
  <c r="S57" i="8"/>
  <c r="AG58" i="8"/>
  <c r="P51" i="8"/>
  <c r="AG54" i="8"/>
  <c r="AL44" i="8"/>
  <c r="AJ47" i="8"/>
  <c r="AA53" i="8"/>
  <c r="O48" i="8"/>
  <c r="AF52" i="8"/>
  <c r="AQ56" i="8"/>
  <c r="AB43" i="8"/>
  <c r="P45" i="8"/>
  <c r="AC42" i="8"/>
  <c r="AD55" i="8"/>
  <c r="AE57" i="8"/>
  <c r="AO42" i="8"/>
  <c r="X53" i="8"/>
  <c r="AL48" i="8"/>
  <c r="S56" i="8"/>
  <c r="Y57" i="8"/>
  <c r="Y42" i="8"/>
  <c r="AN57" i="8"/>
  <c r="T51" i="8"/>
  <c r="S46" i="8"/>
  <c r="AE46" i="8"/>
  <c r="AG56" i="8"/>
  <c r="AP42" i="8"/>
  <c r="AG46" i="8"/>
  <c r="AJ49" i="8"/>
  <c r="T43" i="8"/>
  <c r="Z47" i="8"/>
  <c r="Z52" i="8"/>
  <c r="AI43" i="8"/>
  <c r="V56" i="8"/>
  <c r="AC54" i="8"/>
  <c r="AO44" i="8"/>
  <c r="W56" i="8"/>
  <c r="AR58" i="8"/>
  <c r="AQ46" i="8"/>
  <c r="AA47" i="8"/>
  <c r="T46" i="8"/>
  <c r="AO51" i="8"/>
  <c r="X47" i="8"/>
  <c r="AB58" i="8"/>
  <c r="AF53" i="8"/>
  <c r="J2" i="8"/>
  <c r="AC53" i="8"/>
  <c r="AN55" i="8"/>
  <c r="AA44" i="8"/>
  <c r="AQ43" i="8"/>
  <c r="S45" i="8"/>
  <c r="AQ58" i="8"/>
  <c r="AP46" i="8"/>
  <c r="AE56" i="8"/>
  <c r="AB44" i="8"/>
  <c r="AP58" i="8"/>
  <c r="Y49" i="8"/>
  <c r="AR51" i="8"/>
  <c r="AL46" i="8"/>
  <c r="AM57" i="8"/>
  <c r="W45" i="8"/>
  <c r="AE52" i="8"/>
  <c r="AB46" i="8"/>
  <c r="AC55" i="8"/>
  <c r="AI54" i="8"/>
  <c r="Z49" i="8"/>
  <c r="V49" i="8"/>
  <c r="X45" i="8"/>
  <c r="Z42" i="8"/>
  <c r="W42" i="8"/>
  <c r="AG45" i="8"/>
  <c r="AK52" i="8"/>
  <c r="AF56" i="8"/>
  <c r="AP56" i="8"/>
  <c r="AC56" i="8"/>
  <c r="AQ53" i="8"/>
  <c r="V57" i="8"/>
  <c r="AN46" i="8"/>
  <c r="AA58" i="8"/>
  <c r="AK57" i="8"/>
  <c r="AD46" i="8"/>
  <c r="V58" i="8"/>
  <c r="W58" i="8"/>
  <c r="T49" i="8"/>
  <c r="AB56" i="8"/>
  <c r="AB55" i="8"/>
  <c r="AE49" i="8"/>
  <c r="Z51" i="8"/>
  <c r="U53" i="8"/>
  <c r="AH43" i="8"/>
  <c r="AA48" i="8"/>
  <c r="AA55" i="8"/>
  <c r="V46" i="8"/>
  <c r="X52" i="8"/>
  <c r="AK43" i="8"/>
  <c r="Z58" i="8"/>
  <c r="AR55" i="8"/>
  <c r="U44" i="8"/>
  <c r="AB51" i="8"/>
  <c r="T52" i="8"/>
  <c r="R51" i="8"/>
  <c r="Q48" i="8"/>
  <c r="AB45" i="8"/>
  <c r="Z48" i="8"/>
  <c r="AG42" i="8"/>
  <c r="AA54" i="8"/>
  <c r="S42" i="8"/>
  <c r="AH44" i="8"/>
  <c r="AD43" i="8"/>
  <c r="AA43" i="8"/>
  <c r="AR49" i="8"/>
  <c r="W48" i="8"/>
  <c r="Q45" i="8"/>
  <c r="S48" i="8"/>
  <c r="P46" i="8"/>
  <c r="AJ57" i="8"/>
  <c r="AC47" i="8"/>
  <c r="X44" i="8"/>
  <c r="AN56" i="8"/>
  <c r="AI56" i="8"/>
  <c r="AK42" i="8"/>
  <c r="U46" i="8"/>
  <c r="Z44" i="8"/>
  <c r="Q42" i="8"/>
  <c r="P59" i="8"/>
  <c r="O44" i="8"/>
  <c r="AE45" i="8"/>
  <c r="AF45" i="8"/>
  <c r="P49" i="8"/>
  <c r="AH55" i="8"/>
  <c r="X55" i="8"/>
  <c r="AR46" i="8"/>
  <c r="AF55" i="8"/>
  <c r="AK51" i="8"/>
  <c r="AP47" i="8"/>
  <c r="AN49" i="8"/>
  <c r="AO52" i="8"/>
  <c r="R46" i="8"/>
  <c r="AQ45" i="8"/>
  <c r="AL56" i="8"/>
  <c r="O43" i="8"/>
  <c r="AJ56" i="8"/>
  <c r="AB48" i="8"/>
  <c r="AI45" i="8"/>
  <c r="Z46" i="8"/>
  <c r="AI53" i="8"/>
  <c r="W46" i="8"/>
  <c r="AD42" i="8"/>
  <c r="AB42" i="8"/>
  <c r="Y54" i="8"/>
  <c r="AO48" i="8"/>
  <c r="AQ42" i="8"/>
  <c r="R43" i="8"/>
  <c r="U51" i="8"/>
  <c r="X58" i="8"/>
  <c r="AG48" i="8"/>
  <c r="AI48" i="8"/>
  <c r="AO47" i="8"/>
  <c r="AC49" i="8"/>
  <c r="O47" i="8"/>
  <c r="AC48" i="8"/>
  <c r="W52" i="8"/>
  <c r="AI46" i="8"/>
  <c r="AG52" i="8"/>
  <c r="Q43" i="8"/>
  <c r="AK44" i="8"/>
  <c r="V47" i="8"/>
  <c r="AD53" i="8"/>
  <c r="AB47" i="8"/>
  <c r="AM42" i="8"/>
  <c r="AF51" i="8"/>
  <c r="AH57" i="8"/>
  <c r="AD48" i="8"/>
  <c r="S54" i="8"/>
  <c r="AA45" i="8"/>
  <c r="AH51" i="8"/>
  <c r="AK58" i="8"/>
  <c r="Y51" i="8"/>
  <c r="AM44" i="8"/>
  <c r="U48" i="8"/>
  <c r="AF43" i="8"/>
  <c r="Z56" i="8"/>
  <c r="AH52" i="8"/>
  <c r="AH53" i="8"/>
  <c r="AC52" i="8"/>
  <c r="AI52" i="8"/>
  <c r="U54" i="8"/>
  <c r="P48" i="8"/>
  <c r="AD56" i="8"/>
  <c r="V48" i="8"/>
  <c r="T58" i="8"/>
  <c r="AE55" i="8"/>
  <c r="AK46" i="8"/>
  <c r="Q52" i="8"/>
  <c r="P54" i="8"/>
  <c r="R56" i="8"/>
  <c r="O58" i="8"/>
  <c r="P58" i="8"/>
  <c r="P52" i="8"/>
  <c r="P56" i="8"/>
  <c r="P53" i="8"/>
  <c r="Q53" i="8"/>
  <c r="Q57" i="8"/>
  <c r="R53" i="8"/>
  <c r="R52" i="8"/>
  <c r="R57" i="8"/>
  <c r="R55" i="8"/>
  <c r="O56" i="8"/>
  <c r="R54" i="8"/>
  <c r="O57" i="8"/>
  <c r="R58" i="8"/>
  <c r="O55" i="8"/>
  <c r="Q55" i="8"/>
  <c r="Q56" i="8"/>
  <c r="O53" i="8"/>
  <c r="S55" i="8"/>
  <c r="Q58" i="8"/>
  <c r="O51" i="8"/>
  <c r="O54" i="8"/>
  <c r="O52" i="8"/>
  <c r="Q54" i="8"/>
  <c r="P57" i="8"/>
  <c r="P55" i="8"/>
  <c r="AS47" i="8" l="1"/>
  <c r="AS56" i="8" s="1"/>
  <c r="AS43" i="8"/>
  <c r="AS52" i="8" s="1"/>
  <c r="AS44" i="8"/>
  <c r="AS53" i="8" s="1"/>
  <c r="AS48" i="8"/>
  <c r="AS57" i="8" s="1"/>
  <c r="AS46" i="8"/>
  <c r="AS55" i="8" s="1"/>
  <c r="AS45" i="8"/>
  <c r="AS54" i="8" s="1"/>
  <c r="D1" i="8"/>
  <c r="M190" i="4" s="1"/>
  <c r="AS49" i="8"/>
  <c r="AS58" i="8" s="1"/>
  <c r="AS42" i="8"/>
  <c r="AS51" i="8" s="1"/>
  <c r="J834" i="7"/>
  <c r="AR834" i="7"/>
  <c r="I835" i="7"/>
  <c r="J792" i="7"/>
  <c r="I793" i="7"/>
  <c r="AR792" i="7"/>
  <c r="J750" i="7"/>
  <c r="AR750" i="7"/>
  <c r="I751" i="7"/>
  <c r="J708" i="7"/>
  <c r="AR708" i="7"/>
  <c r="I709" i="7"/>
  <c r="I666" i="7"/>
  <c r="J665" i="7"/>
  <c r="AR665" i="7"/>
  <c r="AR623" i="7"/>
  <c r="I624" i="7"/>
  <c r="J623" i="7"/>
  <c r="J584" i="7"/>
  <c r="AR584" i="7"/>
  <c r="I585" i="7"/>
  <c r="J540" i="7"/>
  <c r="I541" i="7"/>
  <c r="AR540" i="7"/>
  <c r="AR497" i="7"/>
  <c r="I498" i="7"/>
  <c r="J497" i="7"/>
  <c r="J457" i="7"/>
  <c r="I458" i="7"/>
  <c r="AR457" i="7"/>
  <c r="AP390" i="7"/>
  <c r="AN390" i="7"/>
  <c r="AN1145" i="7"/>
  <c r="AP1145" i="7"/>
  <c r="AP893" i="7"/>
  <c r="AN893" i="7"/>
  <c r="AN177" i="7"/>
  <c r="AP177" i="7"/>
  <c r="AP263" i="7"/>
  <c r="AN263" i="7"/>
  <c r="AP303" i="7"/>
  <c r="AN303" i="7"/>
  <c r="AN389" i="7"/>
  <c r="AP389" i="7"/>
  <c r="AN1188" i="7"/>
  <c r="AP1188" i="7"/>
  <c r="AP1144" i="7"/>
  <c r="AN1144" i="7"/>
  <c r="AP1101" i="7"/>
  <c r="AN1101" i="7"/>
  <c r="AP1020" i="7"/>
  <c r="AN1020" i="7"/>
  <c r="AP936" i="7"/>
  <c r="AN936" i="7"/>
  <c r="AN892" i="7"/>
  <c r="AP892" i="7"/>
  <c r="AP220" i="7"/>
  <c r="AN220" i="7"/>
  <c r="AP306" i="7"/>
  <c r="AN306" i="7"/>
  <c r="AN219" i="7"/>
  <c r="AP219" i="7"/>
  <c r="AN1227" i="7"/>
  <c r="AP1227" i="7"/>
  <c r="AN1102" i="7"/>
  <c r="AP1102" i="7"/>
  <c r="AP975" i="7"/>
  <c r="AN975" i="7"/>
  <c r="AP180" i="7"/>
  <c r="AN180" i="7"/>
  <c r="AP262" i="7"/>
  <c r="AN262" i="7"/>
  <c r="AP348" i="7"/>
  <c r="AN348" i="7"/>
  <c r="AP388" i="7"/>
  <c r="AN388" i="7"/>
  <c r="AP1187" i="7"/>
  <c r="AN1187" i="7"/>
  <c r="AN1019" i="7"/>
  <c r="AP1019" i="7"/>
  <c r="AN978" i="7"/>
  <c r="AP978" i="7"/>
  <c r="AP935" i="7"/>
  <c r="AN935" i="7"/>
  <c r="AN264" i="7"/>
  <c r="AP264" i="7"/>
  <c r="AP222" i="7"/>
  <c r="AN222" i="7"/>
  <c r="AN347" i="7"/>
  <c r="AP347" i="7"/>
  <c r="AP1230" i="7"/>
  <c r="AN1230" i="7"/>
  <c r="AP1143" i="7"/>
  <c r="AN1143" i="7"/>
  <c r="AN1062" i="7"/>
  <c r="AP1062" i="7"/>
  <c r="AN1018" i="7"/>
  <c r="AP1018" i="7"/>
  <c r="AN934" i="7"/>
  <c r="AP934" i="7"/>
  <c r="AN891" i="7"/>
  <c r="AP891" i="7"/>
  <c r="AP178" i="7"/>
  <c r="AN178" i="7"/>
  <c r="AN304" i="7"/>
  <c r="AP304" i="7"/>
  <c r="AP1146" i="7"/>
  <c r="AN1146" i="7"/>
  <c r="AP1059" i="7"/>
  <c r="AN1059" i="7"/>
  <c r="AP894" i="7"/>
  <c r="AN894" i="7"/>
  <c r="AN179" i="7"/>
  <c r="AP179" i="7"/>
  <c r="AN221" i="7"/>
  <c r="AP221" i="7"/>
  <c r="AN261" i="7"/>
  <c r="AP261" i="7"/>
  <c r="AP346" i="7"/>
  <c r="AN346" i="7"/>
  <c r="AN387" i="7"/>
  <c r="AP387" i="7"/>
  <c r="AP1229" i="7"/>
  <c r="AN1229" i="7"/>
  <c r="AP1186" i="7"/>
  <c r="AN1186" i="7"/>
  <c r="AP1061" i="7"/>
  <c r="AN1061" i="7"/>
  <c r="AP977" i="7"/>
  <c r="AN977" i="7"/>
  <c r="AN1228" i="7"/>
  <c r="AP1228" i="7"/>
  <c r="AP1104" i="7"/>
  <c r="AN1104" i="7"/>
  <c r="AP1060" i="7"/>
  <c r="AN1060" i="7"/>
  <c r="AN933" i="7"/>
  <c r="AP933" i="7"/>
  <c r="AP305" i="7"/>
  <c r="AN305" i="7"/>
  <c r="AP345" i="7"/>
  <c r="AN345" i="7"/>
  <c r="AN1185" i="7"/>
  <c r="AP1185" i="7"/>
  <c r="AN1103" i="7"/>
  <c r="AP1103" i="7"/>
  <c r="AP1017" i="7"/>
  <c r="AN1017" i="7"/>
  <c r="AP976" i="7"/>
  <c r="AN976" i="7"/>
  <c r="AL139" i="7"/>
  <c r="AL184" i="7"/>
  <c r="AL56" i="7"/>
  <c r="AL183" i="7"/>
  <c r="AL99" i="7"/>
  <c r="AL181" i="7"/>
  <c r="AL141" i="7"/>
  <c r="AL140" i="7"/>
  <c r="AL57" i="7"/>
  <c r="AL55" i="7"/>
  <c r="AL100" i="7"/>
  <c r="AL182" i="7"/>
  <c r="AL98" i="7"/>
  <c r="AL97" i="7"/>
  <c r="AL142" i="7"/>
  <c r="AL58" i="7"/>
  <c r="AJ10" i="7"/>
  <c r="AJ9" i="7"/>
  <c r="AL975" i="7"/>
  <c r="AK975" i="7"/>
  <c r="AJ975" i="7"/>
  <c r="AL893" i="7"/>
  <c r="AK893" i="7"/>
  <c r="AJ893" i="7"/>
  <c r="AK851" i="7"/>
  <c r="AJ851" i="7"/>
  <c r="AL851" i="7"/>
  <c r="AL54" i="7"/>
  <c r="AK54" i="7"/>
  <c r="AJ54" i="7"/>
  <c r="AL177" i="7"/>
  <c r="AK177" i="7"/>
  <c r="AJ177" i="7"/>
  <c r="AK263" i="7"/>
  <c r="AJ263" i="7"/>
  <c r="AL263" i="7"/>
  <c r="AK303" i="7"/>
  <c r="AJ303" i="7"/>
  <c r="AL303" i="7"/>
  <c r="AL389" i="7"/>
  <c r="AK389" i="7"/>
  <c r="AJ389" i="7"/>
  <c r="AK137" i="7"/>
  <c r="AJ137" i="7"/>
  <c r="AL137" i="7"/>
  <c r="AL1188" i="7"/>
  <c r="AK1188" i="7"/>
  <c r="AJ1188" i="7"/>
  <c r="AL1144" i="7"/>
  <c r="AK1144" i="7"/>
  <c r="AJ1144" i="7"/>
  <c r="AL1101" i="7"/>
  <c r="AK1101" i="7"/>
  <c r="AJ1101" i="7"/>
  <c r="AL1020" i="7"/>
  <c r="AK1020" i="7"/>
  <c r="AJ1020" i="7"/>
  <c r="AL936" i="7"/>
  <c r="AK936" i="7"/>
  <c r="AJ936" i="7"/>
  <c r="AJ892" i="7"/>
  <c r="AL892" i="7"/>
  <c r="AK892" i="7"/>
  <c r="AL264" i="7"/>
  <c r="AK264" i="7"/>
  <c r="AJ264" i="7"/>
  <c r="AL390" i="7"/>
  <c r="AK390" i="7"/>
  <c r="AJ390" i="7"/>
  <c r="AL1145" i="7"/>
  <c r="AK1145" i="7"/>
  <c r="AJ1145" i="7"/>
  <c r="AL136" i="7"/>
  <c r="AK136" i="7"/>
  <c r="AJ136" i="7"/>
  <c r="AJ180" i="7"/>
  <c r="AL180" i="7"/>
  <c r="AK180" i="7"/>
  <c r="AL262" i="7"/>
  <c r="AK262" i="7"/>
  <c r="AJ262" i="7"/>
  <c r="AJ348" i="7"/>
  <c r="AL348" i="7"/>
  <c r="AK348" i="7"/>
  <c r="AL388" i="7"/>
  <c r="AK388" i="7"/>
  <c r="AJ388" i="7"/>
  <c r="AJ1187" i="7"/>
  <c r="AK1187" i="7"/>
  <c r="AL1187" i="7"/>
  <c r="AL1019" i="7"/>
  <c r="AK1019" i="7"/>
  <c r="AJ1019" i="7"/>
  <c r="AL978" i="7"/>
  <c r="AK978" i="7"/>
  <c r="AJ978" i="7"/>
  <c r="AJ935" i="7"/>
  <c r="AL935" i="7"/>
  <c r="AK935" i="7"/>
  <c r="AL850" i="7"/>
  <c r="AK850" i="7"/>
  <c r="AJ850" i="7"/>
  <c r="AL94" i="7"/>
  <c r="AK94" i="7"/>
  <c r="AJ94" i="7"/>
  <c r="AL138" i="7"/>
  <c r="AK138" i="7"/>
  <c r="AJ138" i="7"/>
  <c r="AK135" i="7"/>
  <c r="AJ135" i="7"/>
  <c r="AL135" i="7"/>
  <c r="AL222" i="7"/>
  <c r="AK222" i="7"/>
  <c r="AJ222" i="7"/>
  <c r="AL347" i="7"/>
  <c r="AK347" i="7"/>
  <c r="AJ347" i="7"/>
  <c r="AL1230" i="7"/>
  <c r="AK1230" i="7"/>
  <c r="AJ1230" i="7"/>
  <c r="AL1143" i="7"/>
  <c r="AK1143" i="7"/>
  <c r="AJ1143" i="7"/>
  <c r="AL1062" i="7"/>
  <c r="AK1062" i="7"/>
  <c r="AJ1062" i="7"/>
  <c r="AK1018" i="7"/>
  <c r="AL1018" i="7"/>
  <c r="AJ1018" i="7"/>
  <c r="AL934" i="7"/>
  <c r="AK934" i="7"/>
  <c r="AJ934" i="7"/>
  <c r="AL891" i="7"/>
  <c r="AK891" i="7"/>
  <c r="AJ891" i="7"/>
  <c r="AL304" i="7"/>
  <c r="AK304" i="7"/>
  <c r="AJ304" i="7"/>
  <c r="AL95" i="7"/>
  <c r="AK95" i="7"/>
  <c r="AJ95" i="7"/>
  <c r="AL1227" i="7"/>
  <c r="AK1227" i="7"/>
  <c r="AJ1227" i="7"/>
  <c r="AL1146" i="7"/>
  <c r="AK1146" i="7"/>
  <c r="AJ1146" i="7"/>
  <c r="AK1059" i="7"/>
  <c r="AJ1059" i="7"/>
  <c r="AL1059" i="7"/>
  <c r="AJ894" i="7"/>
  <c r="AK894" i="7"/>
  <c r="AL894" i="7"/>
  <c r="AL179" i="7"/>
  <c r="AK179" i="7"/>
  <c r="AJ179" i="7"/>
  <c r="AL221" i="7"/>
  <c r="AK221" i="7"/>
  <c r="AJ221" i="7"/>
  <c r="AK261" i="7"/>
  <c r="AJ261" i="7"/>
  <c r="AL261" i="7"/>
  <c r="AJ346" i="7"/>
  <c r="AL346" i="7"/>
  <c r="AK346" i="7"/>
  <c r="AL387" i="7"/>
  <c r="AK387" i="7"/>
  <c r="AJ387" i="7"/>
  <c r="AL1229" i="7"/>
  <c r="AJ1229" i="7"/>
  <c r="AK1229" i="7"/>
  <c r="AL1186" i="7"/>
  <c r="AK1186" i="7"/>
  <c r="AJ1186" i="7"/>
  <c r="AK1061" i="7"/>
  <c r="AJ1061" i="7"/>
  <c r="AL1061" i="7"/>
  <c r="AK977" i="7"/>
  <c r="AJ977" i="7"/>
  <c r="AL977" i="7"/>
  <c r="AL219" i="7"/>
  <c r="AK219" i="7"/>
  <c r="AJ219" i="7"/>
  <c r="AJ1102" i="7"/>
  <c r="AK1102" i="7"/>
  <c r="AL1102" i="7"/>
  <c r="AL52" i="7"/>
  <c r="AK52" i="7"/>
  <c r="AJ52" i="7"/>
  <c r="AL96" i="7"/>
  <c r="AK96" i="7"/>
  <c r="AJ96" i="7"/>
  <c r="AL220" i="7"/>
  <c r="AK220" i="7"/>
  <c r="AJ220" i="7"/>
  <c r="AL306" i="7"/>
  <c r="AK306" i="7"/>
  <c r="AJ306" i="7"/>
  <c r="AJ53" i="7"/>
  <c r="AL53" i="7"/>
  <c r="AK53" i="7"/>
  <c r="AL1228" i="7"/>
  <c r="AK1228" i="7"/>
  <c r="AJ1228" i="7"/>
  <c r="AJ1104" i="7"/>
  <c r="AL1104" i="7"/>
  <c r="AK1104" i="7"/>
  <c r="AL1060" i="7"/>
  <c r="AK1060" i="7"/>
  <c r="AJ1060" i="7"/>
  <c r="AJ933" i="7"/>
  <c r="AK933" i="7"/>
  <c r="AL933" i="7"/>
  <c r="AK849" i="7"/>
  <c r="AJ849" i="7"/>
  <c r="AL849" i="7"/>
  <c r="AJ178" i="7"/>
  <c r="AL178" i="7"/>
  <c r="AK178" i="7"/>
  <c r="AK305" i="7"/>
  <c r="AJ305" i="7"/>
  <c r="AL305" i="7"/>
  <c r="AL345" i="7"/>
  <c r="AK345" i="7"/>
  <c r="AJ345" i="7"/>
  <c r="AL93" i="7"/>
  <c r="AK93" i="7"/>
  <c r="AJ93" i="7"/>
  <c r="AJ1185" i="7"/>
  <c r="AK1185" i="7"/>
  <c r="AL1185" i="7"/>
  <c r="AL1103" i="7"/>
  <c r="AK1103" i="7"/>
  <c r="AJ1103" i="7"/>
  <c r="AL1017" i="7"/>
  <c r="AK1017" i="7"/>
  <c r="AJ1017" i="7"/>
  <c r="AL976" i="7"/>
  <c r="AK976" i="7"/>
  <c r="AJ976" i="7"/>
  <c r="AL852" i="7"/>
  <c r="AK852" i="7"/>
  <c r="AJ852" i="7"/>
  <c r="AE81" i="7"/>
  <c r="AE65" i="7"/>
  <c r="AF81" i="7"/>
  <c r="AF89" i="7" s="1"/>
  <c r="AH65" i="7"/>
  <c r="AH73" i="7" s="1"/>
  <c r="AG65" i="7"/>
  <c r="AG73" i="7" s="1"/>
  <c r="AH81" i="7"/>
  <c r="AH89" i="7" s="1"/>
  <c r="AG81" i="7"/>
  <c r="AG89" i="7" s="1"/>
  <c r="AF65" i="7"/>
  <c r="AF73" i="7" s="1"/>
  <c r="AE64" i="7"/>
  <c r="AE80" i="7"/>
  <c r="AG80" i="7"/>
  <c r="AG88" i="7" s="1"/>
  <c r="AH64" i="7"/>
  <c r="AH72" i="7" s="1"/>
  <c r="AF80" i="7"/>
  <c r="AF88" i="7" s="1"/>
  <c r="AG64" i="7"/>
  <c r="AG72" i="7" s="1"/>
  <c r="AH80" i="7"/>
  <c r="AH88" i="7" s="1"/>
  <c r="AF64" i="7"/>
  <c r="AF72" i="7" s="1"/>
  <c r="AI336" i="7"/>
  <c r="AI320" i="7"/>
  <c r="AI1259" i="7"/>
  <c r="AI1243" i="7"/>
  <c r="AI1162" i="7"/>
  <c r="AI1178" i="7"/>
  <c r="AI1134" i="7"/>
  <c r="AI1118" i="7"/>
  <c r="AI1091" i="7"/>
  <c r="AI1075" i="7"/>
  <c r="AI926" i="7"/>
  <c r="AI910" i="7"/>
  <c r="AL16" i="7"/>
  <c r="AG24" i="7"/>
  <c r="AH40" i="7"/>
  <c r="AE40" i="7"/>
  <c r="AF24" i="7"/>
  <c r="AG40" i="7"/>
  <c r="AH24" i="7"/>
  <c r="AF40" i="7"/>
  <c r="AE24" i="7"/>
  <c r="AL11" i="7"/>
  <c r="AJ11" i="7"/>
  <c r="AK11" i="7"/>
  <c r="AE79" i="7"/>
  <c r="AF63" i="7"/>
  <c r="AF71" i="7" s="1"/>
  <c r="AE63" i="7"/>
  <c r="AH79" i="7"/>
  <c r="AH87" i="7" s="1"/>
  <c r="AF79" i="7"/>
  <c r="AF87" i="7" s="1"/>
  <c r="AG79" i="7"/>
  <c r="AG87" i="7" s="1"/>
  <c r="AH63" i="7"/>
  <c r="AH71" i="7" s="1"/>
  <c r="AG63" i="7"/>
  <c r="AG71" i="7" s="1"/>
  <c r="AE124" i="7"/>
  <c r="AG108" i="7"/>
  <c r="AG116" i="7" s="1"/>
  <c r="AH124" i="7"/>
  <c r="AH132" i="7" s="1"/>
  <c r="AG124" i="7"/>
  <c r="AG132" i="7" s="1"/>
  <c r="AF124" i="7"/>
  <c r="AF132" i="7" s="1"/>
  <c r="AF108" i="7"/>
  <c r="AF116" i="7" s="1"/>
  <c r="AH108" i="7"/>
  <c r="AH116" i="7" s="1"/>
  <c r="AE108" i="7"/>
  <c r="AH118" i="7"/>
  <c r="AH126" i="7" s="1"/>
  <c r="AG118" i="7"/>
  <c r="AG126" i="7" s="1"/>
  <c r="AF118" i="7"/>
  <c r="AF126" i="7" s="1"/>
  <c r="AE118" i="7"/>
  <c r="AH102" i="7"/>
  <c r="AH110" i="7" s="1"/>
  <c r="AG102" i="7"/>
  <c r="AG110" i="7" s="1"/>
  <c r="AE102" i="7"/>
  <c r="AF102" i="7"/>
  <c r="AF110" i="7" s="1"/>
  <c r="AG146" i="7"/>
  <c r="AF146" i="7"/>
  <c r="AF154" i="7" s="1"/>
  <c r="AE146" i="7"/>
  <c r="AE154" i="7" s="1"/>
  <c r="AH162" i="7"/>
  <c r="AH170" i="7" s="1"/>
  <c r="AG162" i="7"/>
  <c r="AG170" i="7" s="1"/>
  <c r="AF162" i="7"/>
  <c r="AF170" i="7" s="1"/>
  <c r="AE162" i="7"/>
  <c r="AH146" i="7"/>
  <c r="AH154" i="7" s="1"/>
  <c r="AG206" i="7"/>
  <c r="AH206" i="7"/>
  <c r="AF206" i="7"/>
  <c r="AG190" i="7"/>
  <c r="AH190" i="7"/>
  <c r="AE190" i="7"/>
  <c r="AE206" i="7"/>
  <c r="AF190" i="7"/>
  <c r="AI280" i="7"/>
  <c r="AI296" i="7"/>
  <c r="AI406" i="7"/>
  <c r="AI422" i="7"/>
  <c r="AI1161" i="7"/>
  <c r="AI1177" i="7"/>
  <c r="AI1007" i="7"/>
  <c r="AI991" i="7"/>
  <c r="AI925" i="7"/>
  <c r="AI909" i="7"/>
  <c r="AI867" i="7"/>
  <c r="AI883" i="7"/>
  <c r="AG191" i="7"/>
  <c r="AH207" i="7"/>
  <c r="AF207" i="7"/>
  <c r="AE191" i="7"/>
  <c r="AG207" i="7"/>
  <c r="AF191" i="7"/>
  <c r="AE207" i="7"/>
  <c r="AH191" i="7"/>
  <c r="AK10" i="7"/>
  <c r="AL10" i="7"/>
  <c r="AE161" i="7"/>
  <c r="AG145" i="7"/>
  <c r="AG153" i="7" s="1"/>
  <c r="AF145" i="7"/>
  <c r="AE145" i="7"/>
  <c r="AH161" i="7"/>
  <c r="AH169" i="7" s="1"/>
  <c r="AG161" i="7"/>
  <c r="AG169" i="7" s="1"/>
  <c r="AF161" i="7"/>
  <c r="AH145" i="7"/>
  <c r="AH153" i="7" s="1"/>
  <c r="AI335" i="7"/>
  <c r="AI319" i="7"/>
  <c r="AI421" i="7"/>
  <c r="AI405" i="7"/>
  <c r="AI1117" i="7"/>
  <c r="AI1133" i="7"/>
  <c r="AI1052" i="7"/>
  <c r="AI1036" i="7"/>
  <c r="AI196" i="7"/>
  <c r="AI212" i="7"/>
  <c r="AF185" i="7"/>
  <c r="AE185" i="7"/>
  <c r="AH201" i="7"/>
  <c r="AG201" i="7"/>
  <c r="AH185" i="7"/>
  <c r="AG185" i="7"/>
  <c r="AF201" i="7"/>
  <c r="AE201" i="7"/>
  <c r="AI278" i="7"/>
  <c r="AI294" i="7"/>
  <c r="AI380" i="7"/>
  <c r="AI364" i="7"/>
  <c r="AI420" i="7"/>
  <c r="AI404" i="7"/>
  <c r="AI1219" i="7"/>
  <c r="AI1203" i="7"/>
  <c r="AI1051" i="7"/>
  <c r="AI1035" i="7"/>
  <c r="AI1010" i="7"/>
  <c r="AI994" i="7"/>
  <c r="AI967" i="7"/>
  <c r="AI951" i="7"/>
  <c r="AI866" i="7"/>
  <c r="AI882" i="7"/>
  <c r="AG34" i="7"/>
  <c r="AH34" i="7"/>
  <c r="AE18" i="7"/>
  <c r="AE26" i="7" s="1"/>
  <c r="AE34" i="7"/>
  <c r="AF18" i="7"/>
  <c r="AG18" i="7"/>
  <c r="AH18" i="7"/>
  <c r="AF34" i="7"/>
  <c r="AJ12" i="7"/>
  <c r="AL12" i="7"/>
  <c r="AK12" i="7"/>
  <c r="AG107" i="7"/>
  <c r="AG115" i="7" s="1"/>
  <c r="AF123" i="7"/>
  <c r="AF131" i="7" s="1"/>
  <c r="AH123" i="7"/>
  <c r="AH131" i="7" s="1"/>
  <c r="AG123" i="7"/>
  <c r="AG131" i="7" s="1"/>
  <c r="AE107" i="7"/>
  <c r="AE123" i="7"/>
  <c r="AF107" i="7"/>
  <c r="AF115" i="7" s="1"/>
  <c r="AH107" i="7"/>
  <c r="AH115" i="7" s="1"/>
  <c r="AF189" i="7"/>
  <c r="AE205" i="7"/>
  <c r="AF205" i="7"/>
  <c r="AH189" i="7"/>
  <c r="AG189" i="7"/>
  <c r="AH205" i="7"/>
  <c r="AG205" i="7"/>
  <c r="AE189" i="7"/>
  <c r="AI295" i="7"/>
  <c r="AI279" i="7"/>
  <c r="AI1176" i="7"/>
  <c r="AI1160" i="7"/>
  <c r="AL13" i="7"/>
  <c r="AF37" i="7"/>
  <c r="AG37" i="7"/>
  <c r="AE37" i="7"/>
  <c r="AF21" i="7"/>
  <c r="AG21" i="7"/>
  <c r="AH21" i="7"/>
  <c r="AH37" i="7"/>
  <c r="AE21" i="7"/>
  <c r="AH77" i="7"/>
  <c r="AH85" i="7" s="1"/>
  <c r="AF61" i="7"/>
  <c r="AF69" i="7" s="1"/>
  <c r="AG77" i="7"/>
  <c r="AG85" i="7" s="1"/>
  <c r="AE61" i="7"/>
  <c r="AF77" i="7"/>
  <c r="AF85" i="7" s="1"/>
  <c r="AE77" i="7"/>
  <c r="AG61" i="7"/>
  <c r="AG69" i="7" s="1"/>
  <c r="AH61" i="7"/>
  <c r="AH69" i="7" s="1"/>
  <c r="AE121" i="7"/>
  <c r="AH105" i="7"/>
  <c r="AH113" i="7" s="1"/>
  <c r="AE105" i="7"/>
  <c r="AH121" i="7"/>
  <c r="AH129" i="7" s="1"/>
  <c r="AF121" i="7"/>
  <c r="AF129" i="7" s="1"/>
  <c r="AG105" i="7"/>
  <c r="AG113" i="7" s="1"/>
  <c r="AF105" i="7"/>
  <c r="AF113" i="7" s="1"/>
  <c r="AG121" i="7"/>
  <c r="AG129" i="7" s="1"/>
  <c r="AE150" i="7"/>
  <c r="AE166" i="7"/>
  <c r="AF150" i="7"/>
  <c r="AF158" i="7" s="1"/>
  <c r="AH166" i="7"/>
  <c r="AH174" i="7" s="1"/>
  <c r="AG150" i="7"/>
  <c r="AG158" i="7" s="1"/>
  <c r="AH150" i="7"/>
  <c r="AH158" i="7" s="1"/>
  <c r="AF166" i="7"/>
  <c r="AF174" i="7" s="1"/>
  <c r="AG166" i="7"/>
  <c r="AG174" i="7" s="1"/>
  <c r="AF160" i="7"/>
  <c r="AF168" i="7" s="1"/>
  <c r="AG144" i="7"/>
  <c r="AG152" i="7" s="1"/>
  <c r="AE160" i="7"/>
  <c r="AF144" i="7"/>
  <c r="AF152" i="7" s="1"/>
  <c r="AE144" i="7"/>
  <c r="AH160" i="7"/>
  <c r="AH168" i="7" s="1"/>
  <c r="AG160" i="7"/>
  <c r="AG168" i="7" s="1"/>
  <c r="AH144" i="7"/>
  <c r="AH152" i="7" s="1"/>
  <c r="AE204" i="7"/>
  <c r="AH188" i="7"/>
  <c r="AG188" i="7"/>
  <c r="AF188" i="7"/>
  <c r="AG204" i="7"/>
  <c r="AF204" i="7"/>
  <c r="AE188" i="7"/>
  <c r="AH204" i="7"/>
  <c r="AI238" i="7"/>
  <c r="AI254" i="7"/>
  <c r="AI379" i="7"/>
  <c r="AI363" i="7"/>
  <c r="AI1262" i="7"/>
  <c r="AI1246" i="7"/>
  <c r="AI1175" i="7"/>
  <c r="AI1159" i="7"/>
  <c r="AI1094" i="7"/>
  <c r="AI1078" i="7"/>
  <c r="AI1050" i="7"/>
  <c r="AI1034" i="7"/>
  <c r="AI966" i="7"/>
  <c r="AI950" i="7"/>
  <c r="AI923" i="7"/>
  <c r="AI907" i="7"/>
  <c r="AF17" i="7"/>
  <c r="AF25" i="7" s="1"/>
  <c r="AG17" i="7"/>
  <c r="AE33" i="7"/>
  <c r="AE41" i="7" s="1"/>
  <c r="AH17" i="7"/>
  <c r="AF33" i="7"/>
  <c r="AF41" i="7" s="1"/>
  <c r="AE17" i="7"/>
  <c r="AE25" i="7" s="1"/>
  <c r="AG33" i="7"/>
  <c r="AH33" i="7"/>
  <c r="AH75" i="7"/>
  <c r="AH83" i="7" s="1"/>
  <c r="AG59" i="7"/>
  <c r="AG67" i="7" s="1"/>
  <c r="AG75" i="7"/>
  <c r="AG83" i="7" s="1"/>
  <c r="AF59" i="7"/>
  <c r="AF67" i="7" s="1"/>
  <c r="AF75" i="7"/>
  <c r="AF83" i="7" s="1"/>
  <c r="AE59" i="7"/>
  <c r="AE67" i="7" s="1"/>
  <c r="AE75" i="7"/>
  <c r="AE83" i="7" s="1"/>
  <c r="AH59" i="7"/>
  <c r="AH67" i="7" s="1"/>
  <c r="AH202" i="7"/>
  <c r="AG202" i="7"/>
  <c r="AF202" i="7"/>
  <c r="AE202" i="7"/>
  <c r="AH186" i="7"/>
  <c r="AG186" i="7"/>
  <c r="AF186" i="7"/>
  <c r="AE186" i="7"/>
  <c r="AI251" i="7"/>
  <c r="AI235" i="7"/>
  <c r="AL15" i="7"/>
  <c r="AH39" i="7"/>
  <c r="AG39" i="7"/>
  <c r="AH23" i="7"/>
  <c r="AE39" i="7"/>
  <c r="AE23" i="7"/>
  <c r="AF39" i="7"/>
  <c r="AG23" i="7"/>
  <c r="AF23" i="7"/>
  <c r="AI193" i="7"/>
  <c r="AI209" i="7"/>
  <c r="AI1220" i="7"/>
  <c r="AI1204" i="7"/>
  <c r="AI924" i="7"/>
  <c r="AI908" i="7"/>
  <c r="AL14" i="7"/>
  <c r="AG22" i="7"/>
  <c r="AF22" i="7"/>
  <c r="AE22" i="7"/>
  <c r="AG38" i="7"/>
  <c r="AF38" i="7"/>
  <c r="AH22" i="7"/>
  <c r="AH38" i="7"/>
  <c r="AE38" i="7"/>
  <c r="AL9" i="7"/>
  <c r="AK9" i="7"/>
  <c r="AH78" i="7"/>
  <c r="AH86" i="7" s="1"/>
  <c r="AF62" i="7"/>
  <c r="AF70" i="7" s="1"/>
  <c r="AG78" i="7"/>
  <c r="AG86" i="7" s="1"/>
  <c r="AE62" i="7"/>
  <c r="AF78" i="7"/>
  <c r="AF86" i="7" s="1"/>
  <c r="AE78" i="7"/>
  <c r="AH62" i="7"/>
  <c r="AH70" i="7" s="1"/>
  <c r="AG62" i="7"/>
  <c r="AG70" i="7" s="1"/>
  <c r="AH106" i="7"/>
  <c r="AH114" i="7" s="1"/>
  <c r="AG122" i="7"/>
  <c r="AG130" i="7" s="1"/>
  <c r="AF106" i="7"/>
  <c r="AF114" i="7" s="1"/>
  <c r="AH122" i="7"/>
  <c r="AH130" i="7" s="1"/>
  <c r="AF122" i="7"/>
  <c r="AF130" i="7" s="1"/>
  <c r="AE122" i="7"/>
  <c r="AE106" i="7"/>
  <c r="AG106" i="7"/>
  <c r="AG114" i="7" s="1"/>
  <c r="AH117" i="7"/>
  <c r="AH125" i="7" s="1"/>
  <c r="AG117" i="7"/>
  <c r="AG125" i="7" s="1"/>
  <c r="AF117" i="7"/>
  <c r="AF125" i="7" s="1"/>
  <c r="AH101" i="7"/>
  <c r="AH109" i="7" s="1"/>
  <c r="AE117" i="7"/>
  <c r="AE125" i="7" s="1"/>
  <c r="AG101" i="7"/>
  <c r="AG109" i="7" s="1"/>
  <c r="AF101" i="7"/>
  <c r="AF109" i="7" s="1"/>
  <c r="AE101" i="7"/>
  <c r="AE109" i="7" s="1"/>
  <c r="AF20" i="7"/>
  <c r="AG20" i="7"/>
  <c r="AE20" i="7"/>
  <c r="AE28" i="7" s="1"/>
  <c r="AH20" i="7"/>
  <c r="AF36" i="7"/>
  <c r="AE36" i="7"/>
  <c r="AG36" i="7"/>
  <c r="AH36" i="7"/>
  <c r="AF149" i="7"/>
  <c r="AF157" i="7" s="1"/>
  <c r="AG149" i="7"/>
  <c r="AG157" i="7" s="1"/>
  <c r="AH165" i="7"/>
  <c r="AH173" i="7" s="1"/>
  <c r="AF165" i="7"/>
  <c r="AF173" i="7" s="1"/>
  <c r="AG165" i="7"/>
  <c r="AG173" i="7" s="1"/>
  <c r="AE165" i="7"/>
  <c r="AE149" i="7"/>
  <c r="AH149" i="7"/>
  <c r="AH157" i="7" s="1"/>
  <c r="AI211" i="7"/>
  <c r="AI195" i="7"/>
  <c r="AI253" i="7"/>
  <c r="AI237" i="7"/>
  <c r="AI293" i="7"/>
  <c r="AI277" i="7"/>
  <c r="AI378" i="7"/>
  <c r="AI362" i="7"/>
  <c r="AI419" i="7"/>
  <c r="AI403" i="7"/>
  <c r="AI1261" i="7"/>
  <c r="AI1245" i="7"/>
  <c r="AI1202" i="7"/>
  <c r="AI1218" i="7"/>
  <c r="AI1093" i="7"/>
  <c r="AI1077" i="7"/>
  <c r="AI1009" i="7"/>
  <c r="AI993" i="7"/>
  <c r="AI968" i="7"/>
  <c r="AI952" i="7"/>
  <c r="AG19" i="7"/>
  <c r="AH19" i="7"/>
  <c r="AF35" i="7"/>
  <c r="AE19" i="7"/>
  <c r="AE27" i="7" s="1"/>
  <c r="AG35" i="7"/>
  <c r="AH35" i="7"/>
  <c r="AE35" i="7"/>
  <c r="AF19" i="7"/>
  <c r="AE82" i="7"/>
  <c r="AG66" i="7"/>
  <c r="AG74" i="7" s="1"/>
  <c r="AF82" i="7"/>
  <c r="AF90" i="7" s="1"/>
  <c r="AG82" i="7"/>
  <c r="AG90" i="7" s="1"/>
  <c r="AH66" i="7"/>
  <c r="AH74" i="7" s="1"/>
  <c r="AE66" i="7"/>
  <c r="AF66" i="7"/>
  <c r="AF74" i="7" s="1"/>
  <c r="AH82" i="7"/>
  <c r="AH90" i="7" s="1"/>
  <c r="AH76" i="7"/>
  <c r="AH84" i="7" s="1"/>
  <c r="AG60" i="7"/>
  <c r="AG68" i="7" s="1"/>
  <c r="AG76" i="7"/>
  <c r="AG84" i="7" s="1"/>
  <c r="AF60" i="7"/>
  <c r="AF68" i="7" s="1"/>
  <c r="AF76" i="7"/>
  <c r="AF84" i="7" s="1"/>
  <c r="AE60" i="7"/>
  <c r="AE76" i="7"/>
  <c r="AH60" i="7"/>
  <c r="AH68" i="7" s="1"/>
  <c r="AG120" i="7"/>
  <c r="AG128" i="7" s="1"/>
  <c r="AF120" i="7"/>
  <c r="AF128" i="7" s="1"/>
  <c r="AE120" i="7"/>
  <c r="AH104" i="7"/>
  <c r="AH112" i="7" s="1"/>
  <c r="AG104" i="7"/>
  <c r="AG112" i="7" s="1"/>
  <c r="AF104" i="7"/>
  <c r="AF112" i="7" s="1"/>
  <c r="AH120" i="7"/>
  <c r="AH128" i="7" s="1"/>
  <c r="AE104" i="7"/>
  <c r="AF164" i="7"/>
  <c r="AF172" i="7" s="1"/>
  <c r="AH148" i="7"/>
  <c r="AH156" i="7" s="1"/>
  <c r="AG148" i="7"/>
  <c r="AF148" i="7"/>
  <c r="AF156" i="7" s="1"/>
  <c r="AG164" i="7"/>
  <c r="AG172" i="7" s="1"/>
  <c r="AH164" i="7"/>
  <c r="AH172" i="7" s="1"/>
  <c r="AE148" i="7"/>
  <c r="AE156" i="7" s="1"/>
  <c r="AE164" i="7"/>
  <c r="AG159" i="7"/>
  <c r="AG167" i="7" s="1"/>
  <c r="AG143" i="7"/>
  <c r="AG151" i="7" s="1"/>
  <c r="AF159" i="7"/>
  <c r="AF167" i="7" s="1"/>
  <c r="AF143" i="7"/>
  <c r="AF151" i="7" s="1"/>
  <c r="AE159" i="7"/>
  <c r="AE167" i="7" s="1"/>
  <c r="AE143" i="7"/>
  <c r="AE151" i="7" s="1"/>
  <c r="AH159" i="7"/>
  <c r="AH167" i="7" s="1"/>
  <c r="AH143" i="7"/>
  <c r="AH151" i="7" s="1"/>
  <c r="AG203" i="7"/>
  <c r="AF203" i="7"/>
  <c r="AE203" i="7"/>
  <c r="AH187" i="7"/>
  <c r="AF187" i="7"/>
  <c r="AE187" i="7"/>
  <c r="AH203" i="7"/>
  <c r="AG187" i="7"/>
  <c r="AI252" i="7"/>
  <c r="AI236" i="7"/>
  <c r="AI338" i="7"/>
  <c r="AI322" i="7"/>
  <c r="AI1260" i="7"/>
  <c r="AI1244" i="7"/>
  <c r="AI1136" i="7"/>
  <c r="AI1120" i="7"/>
  <c r="AI1092" i="7"/>
  <c r="AI1076" i="7"/>
  <c r="AI965" i="7"/>
  <c r="AI949" i="7"/>
  <c r="AI881" i="7"/>
  <c r="AI865" i="7"/>
  <c r="AH119" i="7"/>
  <c r="AH127" i="7" s="1"/>
  <c r="AG119" i="7"/>
  <c r="AG127" i="7" s="1"/>
  <c r="AF119" i="7"/>
  <c r="AF127" i="7" s="1"/>
  <c r="AE119" i="7"/>
  <c r="AH103" i="7"/>
  <c r="AH111" i="7" s="1"/>
  <c r="AG103" i="7"/>
  <c r="AG111" i="7" s="1"/>
  <c r="AF103" i="7"/>
  <c r="AF111" i="7" s="1"/>
  <c r="AE103" i="7"/>
  <c r="AG163" i="7"/>
  <c r="AG171" i="7" s="1"/>
  <c r="AH147" i="7"/>
  <c r="AH155" i="7" s="1"/>
  <c r="AG147" i="7"/>
  <c r="AG155" i="7" s="1"/>
  <c r="AH163" i="7"/>
  <c r="AH171" i="7" s="1"/>
  <c r="AE147" i="7"/>
  <c r="AF147" i="7"/>
  <c r="AF155" i="7" s="1"/>
  <c r="AE163" i="7"/>
  <c r="AF163" i="7"/>
  <c r="AF171" i="7" s="1"/>
  <c r="AE192" i="7"/>
  <c r="AH208" i="7"/>
  <c r="AF208" i="7"/>
  <c r="AG208" i="7"/>
  <c r="AH192" i="7"/>
  <c r="AF192" i="7"/>
  <c r="AE208" i="7"/>
  <c r="AG192" i="7"/>
  <c r="AI210" i="7"/>
  <c r="AI194" i="7"/>
  <c r="AI337" i="7"/>
  <c r="AI321" i="7"/>
  <c r="AI377" i="7"/>
  <c r="AI361" i="7"/>
  <c r="AI1217" i="7"/>
  <c r="AI1201" i="7"/>
  <c r="AI1135" i="7"/>
  <c r="AI1119" i="7"/>
  <c r="AI1049" i="7"/>
  <c r="AI1033" i="7"/>
  <c r="AI992" i="7"/>
  <c r="AI1008" i="7"/>
  <c r="AI884" i="7"/>
  <c r="AI868" i="7"/>
  <c r="AJ47" i="7"/>
  <c r="AJ48" i="7"/>
  <c r="O142" i="7"/>
  <c r="O265" i="7"/>
  <c r="V265" i="7" s="1"/>
  <c r="O346" i="7"/>
  <c r="V346" i="7" s="1"/>
  <c r="O261" i="7"/>
  <c r="V261" i="7" s="1"/>
  <c r="O135" i="7"/>
  <c r="O181" i="7"/>
  <c r="V181" i="7" s="1"/>
  <c r="O97" i="7"/>
  <c r="O139" i="7"/>
  <c r="O14" i="7"/>
  <c r="J220" i="7"/>
  <c r="J1102" i="7"/>
  <c r="J136" i="7"/>
  <c r="J94" i="7"/>
  <c r="J262" i="7"/>
  <c r="J1060" i="7"/>
  <c r="J892" i="7"/>
  <c r="J304" i="7"/>
  <c r="J1018" i="7"/>
  <c r="J178" i="7"/>
  <c r="J346" i="7"/>
  <c r="J52" i="7"/>
  <c r="J388" i="7"/>
  <c r="J850" i="7"/>
  <c r="J1144" i="7"/>
  <c r="J10" i="7"/>
  <c r="AR10" i="7"/>
  <c r="J1228" i="7"/>
  <c r="J976" i="7"/>
  <c r="J1186" i="7"/>
  <c r="J934" i="7"/>
  <c r="M13" i="4" a="1"/>
  <c r="M13" i="4" s="1"/>
  <c r="D64" i="8"/>
  <c r="B63" i="8"/>
  <c r="D73" i="8"/>
  <c r="B72" i="8"/>
  <c r="D82" i="8"/>
  <c r="B81" i="8"/>
  <c r="D2" i="8"/>
  <c r="M191" i="4" s="1"/>
  <c r="G25" i="7"/>
  <c r="F17" i="7"/>
  <c r="F942" i="7"/>
  <c r="F861" i="7"/>
  <c r="F21" i="7"/>
  <c r="F395" i="7"/>
  <c r="G403" i="7"/>
  <c r="F1235" i="7"/>
  <c r="G1243" i="7"/>
  <c r="F1158" i="7"/>
  <c r="F397" i="7"/>
  <c r="F1241" i="7"/>
  <c r="F1197" i="7"/>
  <c r="F1029" i="7"/>
  <c r="F1026" i="7"/>
  <c r="F903" i="7"/>
  <c r="F859" i="7"/>
  <c r="F191" i="7"/>
  <c r="F399" i="7"/>
  <c r="F1199" i="7"/>
  <c r="F1155" i="7"/>
  <c r="F105" i="7"/>
  <c r="F317" i="7"/>
  <c r="F103" i="7"/>
  <c r="F185" i="7"/>
  <c r="G193" i="7"/>
  <c r="F353" i="7"/>
  <c r="G361" i="7"/>
  <c r="F1200" i="7"/>
  <c r="F1156" i="7"/>
  <c r="F1109" i="7"/>
  <c r="G1117" i="7"/>
  <c r="F1032" i="7"/>
  <c r="F946" i="7"/>
  <c r="F902" i="7"/>
  <c r="F22" i="7"/>
  <c r="F189" i="7"/>
  <c r="F187" i="7"/>
  <c r="F228" i="7"/>
  <c r="F275" i="7"/>
  <c r="F355" i="7"/>
  <c r="F396" i="7"/>
  <c r="F1239" i="7"/>
  <c r="F1195" i="7"/>
  <c r="F1068" i="7"/>
  <c r="F901" i="7"/>
  <c r="F271" i="7"/>
  <c r="F227" i="7"/>
  <c r="G235" i="7"/>
  <c r="F1067" i="7"/>
  <c r="G1075" i="7"/>
  <c r="F66" i="7"/>
  <c r="F145" i="7"/>
  <c r="F311" i="7"/>
  <c r="G319" i="7"/>
  <c r="F1198" i="7"/>
  <c r="F1151" i="7"/>
  <c r="G1159" i="7"/>
  <c r="F1074" i="7"/>
  <c r="F1030" i="7"/>
  <c r="F987" i="7"/>
  <c r="F231" i="7"/>
  <c r="F312" i="7"/>
  <c r="F905" i="7"/>
  <c r="F1114" i="7"/>
  <c r="F101" i="7"/>
  <c r="G109" i="7"/>
  <c r="F186" i="7"/>
  <c r="F354" i="7"/>
  <c r="F401" i="7"/>
  <c r="F1110" i="7"/>
  <c r="F1069" i="7"/>
  <c r="F986" i="7"/>
  <c r="F943" i="7"/>
  <c r="F1031" i="7"/>
  <c r="F229" i="7"/>
  <c r="F24" i="7"/>
  <c r="F23" i="7"/>
  <c r="F63" i="7"/>
  <c r="F1196" i="7"/>
  <c r="F1193" i="7"/>
  <c r="G1201" i="7"/>
  <c r="F1072" i="7"/>
  <c r="F1028" i="7"/>
  <c r="F1025" i="7"/>
  <c r="G1033" i="7"/>
  <c r="F906" i="7"/>
  <c r="F862" i="7"/>
  <c r="I179" i="7"/>
  <c r="AR179" i="7" s="1"/>
  <c r="I935" i="7"/>
  <c r="AR935" i="7" s="1"/>
  <c r="I389" i="7"/>
  <c r="AR389" i="7" s="1"/>
  <c r="I221" i="7"/>
  <c r="AR221" i="7" s="1"/>
  <c r="I893" i="7"/>
  <c r="AR893" i="7" s="1"/>
  <c r="I95" i="7"/>
  <c r="AR95" i="7" s="1"/>
  <c r="I1061" i="7"/>
  <c r="AR1061" i="7" s="1"/>
  <c r="O1023" i="7"/>
  <c r="V1023" i="7" s="1"/>
  <c r="O1190" i="7"/>
  <c r="V1190" i="7" s="1"/>
  <c r="O1024" i="7"/>
  <c r="V1024" i="7" s="1"/>
  <c r="O1186" i="7"/>
  <c r="V1186" i="7" s="1"/>
  <c r="F1238" i="7"/>
  <c r="O1106" i="7"/>
  <c r="V1106" i="7" s="1"/>
  <c r="F1237" i="7"/>
  <c r="F985" i="7"/>
  <c r="O937" i="7"/>
  <c r="V937" i="7" s="1"/>
  <c r="O892" i="7"/>
  <c r="V892" i="7" s="1"/>
  <c r="F1071" i="7"/>
  <c r="F1242" i="7"/>
  <c r="O1229" i="7"/>
  <c r="V1229" i="7" s="1"/>
  <c r="O1101" i="7"/>
  <c r="V1101" i="7" s="1"/>
  <c r="O1020" i="7"/>
  <c r="V1020" i="7" s="1"/>
  <c r="O1230" i="7"/>
  <c r="V1230" i="7" s="1"/>
  <c r="O933" i="7"/>
  <c r="V933" i="7" s="1"/>
  <c r="O895" i="7"/>
  <c r="V895" i="7" s="1"/>
  <c r="O893" i="7"/>
  <c r="V893" i="7" s="1"/>
  <c r="O896" i="7"/>
  <c r="V896" i="7" s="1"/>
  <c r="O853" i="7"/>
  <c r="V853" i="7" s="1"/>
  <c r="I1103" i="7"/>
  <c r="AR1103" i="7" s="1"/>
  <c r="I977" i="7"/>
  <c r="AR977" i="7" s="1"/>
  <c r="I1145" i="7"/>
  <c r="AR1145" i="7" s="1"/>
  <c r="I1019" i="7"/>
  <c r="AR1019" i="7" s="1"/>
  <c r="O1234" i="7"/>
  <c r="V1234" i="7" s="1"/>
  <c r="F1154" i="7"/>
  <c r="F1116" i="7"/>
  <c r="F983" i="7"/>
  <c r="O1148" i="7"/>
  <c r="V1148" i="7" s="1"/>
  <c r="F1152" i="7"/>
  <c r="F1236" i="7"/>
  <c r="O1063" i="7"/>
  <c r="V1063" i="7" s="1"/>
  <c r="F1070" i="7"/>
  <c r="F1157" i="7"/>
  <c r="O1147" i="7"/>
  <c r="V1147" i="7" s="1"/>
  <c r="O1102" i="7"/>
  <c r="V1102" i="7" s="1"/>
  <c r="F941" i="7"/>
  <c r="F899" i="7"/>
  <c r="O1189" i="7"/>
  <c r="V1189" i="7" s="1"/>
  <c r="O1233" i="7"/>
  <c r="V1233" i="7" s="1"/>
  <c r="O1191" i="7"/>
  <c r="V1191" i="7" s="1"/>
  <c r="F1112" i="7"/>
  <c r="O1062" i="7"/>
  <c r="V1062" i="7" s="1"/>
  <c r="F863" i="7"/>
  <c r="F944" i="7"/>
  <c r="F857" i="7"/>
  <c r="F948" i="7"/>
  <c r="O936" i="7"/>
  <c r="V936" i="7" s="1"/>
  <c r="O891" i="7"/>
  <c r="V891" i="7" s="1"/>
  <c r="O855" i="7"/>
  <c r="V855" i="7" s="1"/>
  <c r="O1022" i="7"/>
  <c r="V1022" i="7" s="1"/>
  <c r="F988" i="7"/>
  <c r="F947" i="7"/>
  <c r="F984" i="7"/>
  <c r="O1019" i="7"/>
  <c r="V1019" i="7" s="1"/>
  <c r="O940" i="7"/>
  <c r="V940" i="7" s="1"/>
  <c r="O894" i="7"/>
  <c r="V894" i="7" s="1"/>
  <c r="F1194" i="7"/>
  <c r="F1240" i="7"/>
  <c r="I1187" i="7"/>
  <c r="AR1187" i="7" s="1"/>
  <c r="O1185" i="7"/>
  <c r="V1185" i="7" s="1"/>
  <c r="F1153" i="7"/>
  <c r="O1232" i="7"/>
  <c r="V1232" i="7" s="1"/>
  <c r="O1228" i="7"/>
  <c r="V1228" i="7" s="1"/>
  <c r="O1192" i="7"/>
  <c r="V1192" i="7" s="1"/>
  <c r="O1188" i="7"/>
  <c r="V1188" i="7" s="1"/>
  <c r="F1115" i="7"/>
  <c r="I1229" i="7"/>
  <c r="AR1229" i="7" s="1"/>
  <c r="O1150" i="7"/>
  <c r="V1150" i="7" s="1"/>
  <c r="O1108" i="7"/>
  <c r="V1108" i="7" s="1"/>
  <c r="F1113" i="7"/>
  <c r="O1107" i="7"/>
  <c r="V1107" i="7" s="1"/>
  <c r="O1149" i="7"/>
  <c r="V1149" i="7" s="1"/>
  <c r="F1111" i="7"/>
  <c r="O1105" i="7"/>
  <c r="V1105" i="7" s="1"/>
  <c r="O1104" i="7"/>
  <c r="V1104" i="7" s="1"/>
  <c r="O1146" i="7"/>
  <c r="V1146" i="7" s="1"/>
  <c r="O1145" i="7"/>
  <c r="V1145" i="7" s="1"/>
  <c r="O1144" i="7"/>
  <c r="V1144" i="7" s="1"/>
  <c r="O1103" i="7"/>
  <c r="V1103" i="7" s="1"/>
  <c r="O1065" i="7"/>
  <c r="V1065" i="7" s="1"/>
  <c r="F1073" i="7"/>
  <c r="O1061" i="7"/>
  <c r="V1061" i="7" s="1"/>
  <c r="O1060" i="7"/>
  <c r="V1060" i="7" s="1"/>
  <c r="F990" i="7"/>
  <c r="F1027" i="7"/>
  <c r="O1021" i="7"/>
  <c r="V1021" i="7" s="1"/>
  <c r="O979" i="7"/>
  <c r="V979" i="7" s="1"/>
  <c r="O1064" i="7"/>
  <c r="V1064" i="7" s="1"/>
  <c r="F945" i="7"/>
  <c r="O975" i="7"/>
  <c r="V975" i="7" s="1"/>
  <c r="F989" i="7"/>
  <c r="O976" i="7"/>
  <c r="V976" i="7" s="1"/>
  <c r="F904" i="7"/>
  <c r="O980" i="7"/>
  <c r="V980" i="7" s="1"/>
  <c r="O934" i="7"/>
  <c r="V934" i="7" s="1"/>
  <c r="O938" i="7"/>
  <c r="V938" i="7" s="1"/>
  <c r="O939" i="7"/>
  <c r="V939" i="7" s="1"/>
  <c r="O935" i="7"/>
  <c r="V935" i="7" s="1"/>
  <c r="O898" i="7"/>
  <c r="V898" i="7" s="1"/>
  <c r="F900" i="7"/>
  <c r="F864" i="7"/>
  <c r="F858" i="7"/>
  <c r="F860" i="7"/>
  <c r="I851" i="7"/>
  <c r="AR851" i="7" s="1"/>
  <c r="AI51" i="7"/>
  <c r="F270" i="7"/>
  <c r="O223" i="7"/>
  <c r="V223" i="7" s="1"/>
  <c r="O388" i="7"/>
  <c r="V388" i="7" s="1"/>
  <c r="O391" i="7"/>
  <c r="V391" i="7" s="1"/>
  <c r="O350" i="7"/>
  <c r="V350" i="7" s="1"/>
  <c r="O303" i="7"/>
  <c r="V303" i="7" s="1"/>
  <c r="O268" i="7"/>
  <c r="V268" i="7" s="1"/>
  <c r="O347" i="7"/>
  <c r="V347" i="7" s="1"/>
  <c r="F62" i="7"/>
  <c r="O351" i="7"/>
  <c r="V351" i="7" s="1"/>
  <c r="O348" i="7"/>
  <c r="V348" i="7" s="1"/>
  <c r="O394" i="7"/>
  <c r="V394" i="7" s="1"/>
  <c r="O393" i="7"/>
  <c r="V393" i="7" s="1"/>
  <c r="O387" i="7"/>
  <c r="V387" i="7" s="1"/>
  <c r="F273" i="7"/>
  <c r="O352" i="7"/>
  <c r="V352" i="7" s="1"/>
  <c r="O349" i="7"/>
  <c r="V349" i="7" s="1"/>
  <c r="O345" i="7"/>
  <c r="V345" i="7" s="1"/>
  <c r="O390" i="7"/>
  <c r="V390" i="7" s="1"/>
  <c r="O389" i="7"/>
  <c r="V389" i="7" s="1"/>
  <c r="F402" i="7"/>
  <c r="F400" i="7"/>
  <c r="F398" i="7"/>
  <c r="F360" i="7"/>
  <c r="F359" i="7"/>
  <c r="F358" i="7"/>
  <c r="F357" i="7"/>
  <c r="F356" i="7"/>
  <c r="I347" i="7"/>
  <c r="AR347" i="7" s="1"/>
  <c r="O100" i="7"/>
  <c r="O182" i="7"/>
  <c r="O179" i="7"/>
  <c r="V179" i="7" s="1"/>
  <c r="O226" i="7"/>
  <c r="V226" i="7" s="1"/>
  <c r="O310" i="7"/>
  <c r="V310" i="7" s="1"/>
  <c r="F107" i="7"/>
  <c r="F102" i="7"/>
  <c r="F147" i="7"/>
  <c r="O267" i="7"/>
  <c r="V267" i="7" s="1"/>
  <c r="O54" i="7"/>
  <c r="O95" i="7"/>
  <c r="O137" i="7"/>
  <c r="O180" i="7"/>
  <c r="V180" i="7" s="1"/>
  <c r="F316" i="7"/>
  <c r="F108" i="7"/>
  <c r="F274" i="7"/>
  <c r="F315" i="7"/>
  <c r="F61" i="7"/>
  <c r="O307" i="7"/>
  <c r="V307" i="7" s="1"/>
  <c r="O9" i="7"/>
  <c r="O141" i="7"/>
  <c r="O138" i="7"/>
  <c r="O306" i="7"/>
  <c r="V306" i="7" s="1"/>
  <c r="F143" i="7"/>
  <c r="O184" i="7"/>
  <c r="O183" i="7"/>
  <c r="V183" i="7" s="1"/>
  <c r="F234" i="7"/>
  <c r="F65" i="7"/>
  <c r="F149" i="7"/>
  <c r="F146" i="7"/>
  <c r="O222" i="7"/>
  <c r="V222" i="7" s="1"/>
  <c r="O219" i="7"/>
  <c r="V219" i="7" s="1"/>
  <c r="F318" i="7"/>
  <c r="F314" i="7"/>
  <c r="F144" i="7"/>
  <c r="O178" i="7"/>
  <c r="O58" i="7"/>
  <c r="O177" i="7"/>
  <c r="V177" i="7" s="1"/>
  <c r="F233" i="7"/>
  <c r="F276" i="7"/>
  <c r="F272" i="7"/>
  <c r="O99" i="7"/>
  <c r="F64" i="7"/>
  <c r="F60" i="7"/>
  <c r="F148" i="7"/>
  <c r="F313" i="7"/>
  <c r="AJ31" i="7"/>
  <c r="O96" i="7"/>
  <c r="O93" i="7"/>
  <c r="O264" i="7"/>
  <c r="V264" i="7" s="1"/>
  <c r="O309" i="7"/>
  <c r="V309" i="7" s="1"/>
  <c r="O305" i="7"/>
  <c r="V305" i="7" s="1"/>
  <c r="O308" i="7"/>
  <c r="V308" i="7" s="1"/>
  <c r="O304" i="7"/>
  <c r="V304" i="7" s="1"/>
  <c r="I305" i="7"/>
  <c r="AR305" i="7" s="1"/>
  <c r="F269" i="7"/>
  <c r="O262" i="7"/>
  <c r="V262" i="7" s="1"/>
  <c r="O266" i="7"/>
  <c r="V266" i="7" s="1"/>
  <c r="O263" i="7"/>
  <c r="V263" i="7" s="1"/>
  <c r="I263" i="7"/>
  <c r="AR263" i="7" s="1"/>
  <c r="F232" i="7"/>
  <c r="F230" i="7"/>
  <c r="O225" i="7"/>
  <c r="V225" i="7" s="1"/>
  <c r="O221" i="7"/>
  <c r="V221" i="7" s="1"/>
  <c r="O224" i="7"/>
  <c r="V224" i="7" s="1"/>
  <c r="O220" i="7"/>
  <c r="V220" i="7" s="1"/>
  <c r="F192" i="7"/>
  <c r="F190" i="7"/>
  <c r="F188" i="7"/>
  <c r="F150" i="7"/>
  <c r="O136" i="7"/>
  <c r="I137" i="7"/>
  <c r="AR137" i="7" s="1"/>
  <c r="O140" i="7"/>
  <c r="F106" i="7"/>
  <c r="F104" i="7"/>
  <c r="O98" i="7"/>
  <c r="O94" i="7"/>
  <c r="I53" i="7"/>
  <c r="AR53" i="7" s="1"/>
  <c r="F59" i="7"/>
  <c r="O57" i="7"/>
  <c r="O53" i="7"/>
  <c r="O56" i="7"/>
  <c r="O52" i="7"/>
  <c r="O55" i="7"/>
  <c r="O51" i="7"/>
  <c r="AJ32" i="7"/>
  <c r="I11" i="7"/>
  <c r="O16" i="7"/>
  <c r="O10" i="7"/>
  <c r="F42" i="7"/>
  <c r="O15" i="7"/>
  <c r="O11" i="7"/>
  <c r="O13" i="7"/>
  <c r="O12" i="7"/>
  <c r="F19" i="7"/>
  <c r="F20" i="7"/>
  <c r="L13" i="4" l="1" a="1"/>
  <c r="L13" i="4" s="1"/>
  <c r="AM55" i="7"/>
  <c r="AN55" i="7" s="1"/>
  <c r="AM58" i="7"/>
  <c r="AN58" i="7" s="1"/>
  <c r="I836" i="7"/>
  <c r="J835" i="7"/>
  <c r="AR835" i="7"/>
  <c r="I794" i="7"/>
  <c r="J793" i="7"/>
  <c r="AR793" i="7"/>
  <c r="I752" i="7"/>
  <c r="J751" i="7"/>
  <c r="AR751" i="7"/>
  <c r="I710" i="7"/>
  <c r="J709" i="7"/>
  <c r="AR709" i="7"/>
  <c r="AR666" i="7"/>
  <c r="I667" i="7"/>
  <c r="J666" i="7"/>
  <c r="J624" i="7"/>
  <c r="I625" i="7"/>
  <c r="AR624" i="7"/>
  <c r="J585" i="7"/>
  <c r="AR585" i="7"/>
  <c r="I586" i="7"/>
  <c r="I542" i="7"/>
  <c r="J541" i="7"/>
  <c r="AR541" i="7"/>
  <c r="J498" i="7"/>
  <c r="AR498" i="7"/>
  <c r="I499" i="7"/>
  <c r="J458" i="7"/>
  <c r="I459" i="7"/>
  <c r="AR458" i="7"/>
  <c r="AO220" i="7"/>
  <c r="AO252" i="7" s="1"/>
  <c r="AO306" i="7"/>
  <c r="AO338" i="7" s="1"/>
  <c r="AO1062" i="7"/>
  <c r="AO1078" i="7" s="1"/>
  <c r="AO850" i="7"/>
  <c r="AO1101" i="7"/>
  <c r="AO1117" i="7" s="1"/>
  <c r="AO54" i="7"/>
  <c r="AP54" i="7" s="1"/>
  <c r="AO933" i="7"/>
  <c r="AO949" i="7" s="1"/>
  <c r="AO219" i="7"/>
  <c r="AO251" i="7" s="1"/>
  <c r="AO221" i="7"/>
  <c r="AO253" i="7" s="1"/>
  <c r="AO891" i="7"/>
  <c r="AO923" i="7" s="1"/>
  <c r="AO388" i="7"/>
  <c r="AO420" i="7" s="1"/>
  <c r="AO1103" i="7"/>
  <c r="AO1119" i="7" s="1"/>
  <c r="AO1229" i="7"/>
  <c r="AO1261" i="7" s="1"/>
  <c r="AO348" i="7"/>
  <c r="AO364" i="7" s="1"/>
  <c r="AO851" i="7"/>
  <c r="AO100" i="7"/>
  <c r="AP100" i="7" s="1"/>
  <c r="AO56" i="7"/>
  <c r="AP56" i="7" s="1"/>
  <c r="AO55" i="7"/>
  <c r="AO96" i="7"/>
  <c r="AP96" i="7" s="1"/>
  <c r="AO1102" i="7"/>
  <c r="AO1134" i="7" s="1"/>
  <c r="AO1061" i="7"/>
  <c r="AO1093" i="7" s="1"/>
  <c r="AO387" i="7"/>
  <c r="AO419" i="7" s="1"/>
  <c r="AO1227" i="7"/>
  <c r="AO1243" i="7" s="1"/>
  <c r="AO1230" i="7"/>
  <c r="AO1262" i="7" s="1"/>
  <c r="AO978" i="7"/>
  <c r="AO1010" i="7" s="1"/>
  <c r="AO1187" i="7"/>
  <c r="AO1219" i="7" s="1"/>
  <c r="AO1145" i="7"/>
  <c r="AO1161" i="7" s="1"/>
  <c r="AO1188" i="7"/>
  <c r="AO1220" i="7" s="1"/>
  <c r="AO893" i="7"/>
  <c r="AO909" i="7" s="1"/>
  <c r="AO139" i="7"/>
  <c r="AP139" i="7" s="1"/>
  <c r="AO183" i="7"/>
  <c r="AO199" i="7" s="1"/>
  <c r="AO142" i="7"/>
  <c r="AP142" i="7" s="1"/>
  <c r="AO141" i="7"/>
  <c r="AP141" i="7" s="1"/>
  <c r="AO182" i="7"/>
  <c r="AO214" i="7" s="1"/>
  <c r="AD182" i="7" s="1"/>
  <c r="AO1017" i="7"/>
  <c r="AO1033" i="7" s="1"/>
  <c r="AO975" i="7"/>
  <c r="AO991" i="7" s="1"/>
  <c r="AO181" i="7"/>
  <c r="AO213" i="7" s="1"/>
  <c r="AD181" i="7" s="1"/>
  <c r="AO1228" i="7"/>
  <c r="AO1244" i="7" s="1"/>
  <c r="AO179" i="7"/>
  <c r="AO211" i="7" s="1"/>
  <c r="AO934" i="7"/>
  <c r="AO966" i="7" s="1"/>
  <c r="AO137" i="7"/>
  <c r="AP137" i="7" s="1"/>
  <c r="AO1185" i="7"/>
  <c r="AO305" i="7"/>
  <c r="AO1186" i="7"/>
  <c r="AO135" i="7"/>
  <c r="AP135" i="7" s="1"/>
  <c r="AO303" i="7"/>
  <c r="AO93" i="7"/>
  <c r="AP93" i="7" s="1"/>
  <c r="AO1104" i="7"/>
  <c r="AO52" i="7"/>
  <c r="AO1059" i="7"/>
  <c r="AO95" i="7"/>
  <c r="AO347" i="7"/>
  <c r="AO1019" i="7"/>
  <c r="AO390" i="7"/>
  <c r="AO892" i="7"/>
  <c r="AM97" i="7"/>
  <c r="AN97" i="7" s="1"/>
  <c r="AO97" i="7"/>
  <c r="AM57" i="7"/>
  <c r="AN57" i="7" s="1"/>
  <c r="AO57" i="7"/>
  <c r="AO53" i="7"/>
  <c r="AM140" i="7"/>
  <c r="AN140" i="7" s="1"/>
  <c r="AO140" i="7"/>
  <c r="AO852" i="7"/>
  <c r="AP852" i="7" s="1"/>
  <c r="AO138" i="7"/>
  <c r="AO180" i="7"/>
  <c r="AO936" i="7"/>
  <c r="AM98" i="7"/>
  <c r="AN98" i="7" s="1"/>
  <c r="AO98" i="7"/>
  <c r="AM99" i="7"/>
  <c r="AN99" i="7" s="1"/>
  <c r="AO99" i="7"/>
  <c r="AO849" i="7"/>
  <c r="AP849" i="7" s="1"/>
  <c r="AO894" i="7"/>
  <c r="AO58" i="7"/>
  <c r="AO977" i="7"/>
  <c r="AO346" i="7"/>
  <c r="AO1146" i="7"/>
  <c r="AO1143" i="7"/>
  <c r="AO136" i="7"/>
  <c r="AO1144" i="7"/>
  <c r="AO263" i="7"/>
  <c r="AO345" i="7"/>
  <c r="AO178" i="7"/>
  <c r="AO1060" i="7"/>
  <c r="AO304" i="7"/>
  <c r="AO222" i="7"/>
  <c r="AO264" i="7"/>
  <c r="AO389" i="7"/>
  <c r="AO976" i="7"/>
  <c r="AM139" i="7"/>
  <c r="AN139" i="7" s="1"/>
  <c r="AO261" i="7"/>
  <c r="AO1018" i="7"/>
  <c r="AO94" i="7"/>
  <c r="AO935" i="7"/>
  <c r="AO262" i="7"/>
  <c r="AO1020" i="7"/>
  <c r="AO177" i="7"/>
  <c r="AM184" i="7"/>
  <c r="AM216" i="7" s="1"/>
  <c r="AC184" i="7" s="1"/>
  <c r="AO184" i="7"/>
  <c r="AM142" i="7"/>
  <c r="AN142" i="7" s="1"/>
  <c r="AM100" i="7"/>
  <c r="AM181" i="7"/>
  <c r="AM213" i="7" s="1"/>
  <c r="AC181" i="7" s="1"/>
  <c r="AM183" i="7"/>
  <c r="AM182" i="7"/>
  <c r="AM141" i="7"/>
  <c r="AM893" i="7"/>
  <c r="AM56" i="7"/>
  <c r="AS56" i="7" s="1"/>
  <c r="AM1103" i="7"/>
  <c r="AM305" i="7"/>
  <c r="AM264" i="7"/>
  <c r="AM94" i="7"/>
  <c r="AN94" i="7" s="1"/>
  <c r="AM1229" i="7"/>
  <c r="AI59" i="7"/>
  <c r="AM52" i="7"/>
  <c r="AN52" i="7" s="1"/>
  <c r="AM1230" i="7"/>
  <c r="AM220" i="7"/>
  <c r="AM136" i="7"/>
  <c r="AN136" i="7" s="1"/>
  <c r="AI186" i="7"/>
  <c r="AM1228" i="7"/>
  <c r="AM1061" i="7"/>
  <c r="AM261" i="7"/>
  <c r="AM851" i="7"/>
  <c r="AN851" i="7" s="1"/>
  <c r="AI192" i="7"/>
  <c r="AI75" i="7"/>
  <c r="AI188" i="7"/>
  <c r="AM933" i="7"/>
  <c r="AM387" i="7"/>
  <c r="AM1227" i="7"/>
  <c r="AM1018" i="7"/>
  <c r="AM222" i="7"/>
  <c r="AM935" i="7"/>
  <c r="AM936" i="7"/>
  <c r="AM137" i="7"/>
  <c r="AN137" i="7" s="1"/>
  <c r="AM1186" i="7"/>
  <c r="AM978" i="7"/>
  <c r="AM1144" i="7"/>
  <c r="AS1144" i="7" s="1"/>
  <c r="AM263" i="7"/>
  <c r="AS263" i="7" s="1"/>
  <c r="AM852" i="7"/>
  <c r="AN852" i="7" s="1"/>
  <c r="AM93" i="7"/>
  <c r="AN93" i="7" s="1"/>
  <c r="AM1102" i="7"/>
  <c r="AM348" i="7"/>
  <c r="AM180" i="7"/>
  <c r="AM389" i="7"/>
  <c r="AI101" i="7"/>
  <c r="AI109" i="7" s="1"/>
  <c r="AM1017" i="7"/>
  <c r="AM96" i="7"/>
  <c r="AN96" i="7" s="1"/>
  <c r="AM221" i="7"/>
  <c r="AS221" i="7" s="1"/>
  <c r="AM1059" i="7"/>
  <c r="AM95" i="7"/>
  <c r="AN95" i="7" s="1"/>
  <c r="AM1062" i="7"/>
  <c r="AM138" i="7"/>
  <c r="AN138" i="7" s="1"/>
  <c r="AM850" i="7"/>
  <c r="AN850" i="7" s="1"/>
  <c r="AM1187" i="7"/>
  <c r="AM1020" i="7"/>
  <c r="AM177" i="7"/>
  <c r="AM54" i="7"/>
  <c r="AM849" i="7"/>
  <c r="AN849" i="7" s="1"/>
  <c r="AM53" i="7"/>
  <c r="AM219" i="7"/>
  <c r="AM977" i="7"/>
  <c r="AM179" i="7"/>
  <c r="AM388" i="7"/>
  <c r="AM1145" i="7"/>
  <c r="AM1188" i="7"/>
  <c r="AJ51" i="7"/>
  <c r="AL51" i="7"/>
  <c r="AK51" i="7"/>
  <c r="AI185" i="7"/>
  <c r="AM976" i="7"/>
  <c r="AS976" i="7" s="1"/>
  <c r="AM345" i="7"/>
  <c r="AS345" i="7" s="1"/>
  <c r="AM178" i="7"/>
  <c r="AS178" i="7" s="1"/>
  <c r="AM306" i="7"/>
  <c r="AM346" i="7"/>
  <c r="AM1146" i="7"/>
  <c r="AM934" i="7"/>
  <c r="AM347" i="7"/>
  <c r="AM1019" i="7"/>
  <c r="AM262" i="7"/>
  <c r="AM390" i="7"/>
  <c r="AM892" i="7"/>
  <c r="AM975" i="7"/>
  <c r="AM1185" i="7"/>
  <c r="AM1060" i="7"/>
  <c r="AM894" i="7"/>
  <c r="AM891" i="7"/>
  <c r="AM135" i="7"/>
  <c r="AN135" i="7" s="1"/>
  <c r="AM1104" i="7"/>
  <c r="AM304" i="7"/>
  <c r="AM1143" i="7"/>
  <c r="AM1101" i="7"/>
  <c r="AM303" i="7"/>
  <c r="AL1049" i="7"/>
  <c r="AL1033" i="7"/>
  <c r="AL1041" i="7"/>
  <c r="AL1025" i="7"/>
  <c r="AL330" i="7"/>
  <c r="AL314" i="7"/>
  <c r="AL322" i="7"/>
  <c r="AL338" i="7"/>
  <c r="AL966" i="7"/>
  <c r="AL950" i="7"/>
  <c r="AL942" i="7"/>
  <c r="AL958" i="7"/>
  <c r="AL160" i="7"/>
  <c r="AL152" i="7"/>
  <c r="AL144" i="7"/>
  <c r="AL168" i="7"/>
  <c r="AJ917" i="7"/>
  <c r="AJ925" i="7"/>
  <c r="AJ909" i="7"/>
  <c r="AJ901" i="7"/>
  <c r="AK336" i="7"/>
  <c r="AK320" i="7"/>
  <c r="AK328" i="7"/>
  <c r="AK312" i="7"/>
  <c r="AI165" i="7"/>
  <c r="AE173" i="7"/>
  <c r="AL105" i="7"/>
  <c r="AO105" i="7" s="1"/>
  <c r="AL121" i="7"/>
  <c r="AO121" i="7" s="1"/>
  <c r="AL18" i="7"/>
  <c r="AL34" i="7"/>
  <c r="AJ35" i="7"/>
  <c r="AJ19" i="7"/>
  <c r="AM11" i="7"/>
  <c r="AN11" i="7" s="1"/>
  <c r="AO11" i="7"/>
  <c r="AP11" i="7" s="1"/>
  <c r="AL876" i="7"/>
  <c r="AL884" i="7"/>
  <c r="AL868" i="7"/>
  <c r="AL860" i="7"/>
  <c r="AJ1041" i="7"/>
  <c r="AJ1049" i="7"/>
  <c r="AJ1025" i="7"/>
  <c r="AJ1033" i="7"/>
  <c r="AL353" i="7"/>
  <c r="AL377" i="7"/>
  <c r="AL361" i="7"/>
  <c r="AL369" i="7"/>
  <c r="AK941" i="7"/>
  <c r="AK965" i="7"/>
  <c r="AK949" i="7"/>
  <c r="AK957" i="7"/>
  <c r="AK252" i="7"/>
  <c r="AK236" i="7"/>
  <c r="AK244" i="7"/>
  <c r="AK228" i="7"/>
  <c r="AL1085" i="7"/>
  <c r="AL1093" i="7"/>
  <c r="AL1069" i="7"/>
  <c r="AL1077" i="7"/>
  <c r="AL419" i="7"/>
  <c r="AL403" i="7"/>
  <c r="AL411" i="7"/>
  <c r="AL395" i="7"/>
  <c r="AJ245" i="7"/>
  <c r="AJ229" i="7"/>
  <c r="AJ253" i="7"/>
  <c r="AJ237" i="7"/>
  <c r="AK923" i="7"/>
  <c r="AK907" i="7"/>
  <c r="AK915" i="7"/>
  <c r="AK899" i="7"/>
  <c r="AJ1094" i="7"/>
  <c r="AJ1078" i="7"/>
  <c r="AJ1070" i="7"/>
  <c r="AJ1086" i="7"/>
  <c r="AK966" i="7"/>
  <c r="AK950" i="7"/>
  <c r="AK942" i="7"/>
  <c r="AK958" i="7"/>
  <c r="AL246" i="7"/>
  <c r="AL230" i="7"/>
  <c r="AL254" i="7"/>
  <c r="AL238" i="7"/>
  <c r="AJ1010" i="7"/>
  <c r="AJ994" i="7"/>
  <c r="AJ1002" i="7"/>
  <c r="AJ986" i="7"/>
  <c r="AK1219" i="7"/>
  <c r="AK1203" i="7"/>
  <c r="AK1195" i="7"/>
  <c r="AK1211" i="7"/>
  <c r="AL294" i="7"/>
  <c r="AL270" i="7"/>
  <c r="AL286" i="7"/>
  <c r="AL278" i="7"/>
  <c r="AJ924" i="7"/>
  <c r="AJ908" i="7"/>
  <c r="AJ916" i="7"/>
  <c r="AJ900" i="7"/>
  <c r="AL1052" i="7"/>
  <c r="AL1028" i="7"/>
  <c r="AL1036" i="7"/>
  <c r="AL1044" i="7"/>
  <c r="AJ1204" i="7"/>
  <c r="AJ1212" i="7"/>
  <c r="AJ1220" i="7"/>
  <c r="AJ1196" i="7"/>
  <c r="AK335" i="7"/>
  <c r="AK319" i="7"/>
  <c r="AK327" i="7"/>
  <c r="AK311" i="7"/>
  <c r="AK201" i="7"/>
  <c r="AK209" i="7"/>
  <c r="AK193" i="7"/>
  <c r="AK185" i="7"/>
  <c r="AK917" i="7"/>
  <c r="AK925" i="7"/>
  <c r="AK909" i="7"/>
  <c r="AK901" i="7"/>
  <c r="AJ159" i="7"/>
  <c r="AJ167" i="7" s="1"/>
  <c r="AJ143" i="7"/>
  <c r="AJ151" i="7" s="1"/>
  <c r="AJ1252" i="7"/>
  <c r="AJ1260" i="7"/>
  <c r="AJ1244" i="7"/>
  <c r="AJ1236" i="7"/>
  <c r="AJ1091" i="7"/>
  <c r="AJ1067" i="7"/>
  <c r="AJ1083" i="7"/>
  <c r="AJ1075" i="7"/>
  <c r="AL336" i="7"/>
  <c r="AL320" i="7"/>
  <c r="AL328" i="7"/>
  <c r="AL312" i="7"/>
  <c r="AL162" i="7"/>
  <c r="AL170" i="7" s="1"/>
  <c r="AL146" i="7"/>
  <c r="AL154" i="7" s="1"/>
  <c r="AK117" i="7"/>
  <c r="AK125" i="7" s="1"/>
  <c r="AK101" i="7"/>
  <c r="AK109" i="7"/>
  <c r="AJ61" i="7"/>
  <c r="AJ77" i="7"/>
  <c r="AE112" i="7"/>
  <c r="AI104" i="7"/>
  <c r="AL82" i="7"/>
  <c r="AO82" i="7" s="1"/>
  <c r="AL66" i="7"/>
  <c r="AO66" i="7" s="1"/>
  <c r="AK60" i="7"/>
  <c r="AK68" i="7" s="1"/>
  <c r="AK76" i="7"/>
  <c r="AK84" i="7" s="1"/>
  <c r="AL37" i="7"/>
  <c r="AL21" i="7"/>
  <c r="AM13" i="7"/>
  <c r="AN13" i="7" s="1"/>
  <c r="AO13" i="7"/>
  <c r="AP13" i="7" s="1"/>
  <c r="AI123" i="7"/>
  <c r="AE131" i="7"/>
  <c r="AM12" i="7"/>
  <c r="AN12" i="7" s="1"/>
  <c r="AK20" i="7"/>
  <c r="AK36" i="7"/>
  <c r="AK18" i="7"/>
  <c r="AK34" i="7"/>
  <c r="AE126" i="7"/>
  <c r="AI118" i="7"/>
  <c r="AJ103" i="7"/>
  <c r="AJ119" i="7"/>
  <c r="AL277" i="7"/>
  <c r="AL293" i="7"/>
  <c r="AL285" i="7"/>
  <c r="AL269" i="7"/>
  <c r="AJ193" i="7"/>
  <c r="AJ201" i="7"/>
  <c r="AJ185" i="7"/>
  <c r="AJ209" i="7"/>
  <c r="AE70" i="7"/>
  <c r="AI62" i="7"/>
  <c r="AL22" i="7"/>
  <c r="AL38" i="7"/>
  <c r="AM14" i="7"/>
  <c r="AN14" i="7" s="1"/>
  <c r="AO14" i="7"/>
  <c r="AP14" i="7" s="1"/>
  <c r="AJ876" i="7"/>
  <c r="AJ884" i="7" s="1"/>
  <c r="AJ860" i="7"/>
  <c r="AJ868" i="7" s="1"/>
  <c r="AK1127" i="7"/>
  <c r="AK1135" i="7"/>
  <c r="AK1111" i="7"/>
  <c r="AK1119" i="7"/>
  <c r="AK353" i="7"/>
  <c r="AK377" i="7"/>
  <c r="AK361" i="7"/>
  <c r="AK369" i="7"/>
  <c r="AL941" i="7"/>
  <c r="AL965" i="7"/>
  <c r="AL949" i="7"/>
  <c r="AL957" i="7"/>
  <c r="AL252" i="7"/>
  <c r="AL236" i="7"/>
  <c r="AL244" i="7"/>
  <c r="AL228" i="7"/>
  <c r="AJ1202" i="7"/>
  <c r="AJ1210" i="7"/>
  <c r="AJ1218" i="7"/>
  <c r="AJ1194" i="7"/>
  <c r="AJ419" i="7"/>
  <c r="AJ411" i="7"/>
  <c r="AJ403" i="7"/>
  <c r="AJ395" i="7"/>
  <c r="AK245" i="7"/>
  <c r="AK229" i="7"/>
  <c r="AK253" i="7"/>
  <c r="AK237" i="7"/>
  <c r="AL923" i="7"/>
  <c r="AL907" i="7"/>
  <c r="AL915" i="7"/>
  <c r="AL899" i="7"/>
  <c r="AK1175" i="7"/>
  <c r="AK1167" i="7"/>
  <c r="AK1151" i="7"/>
  <c r="AK1159" i="7"/>
  <c r="AJ1262" i="7"/>
  <c r="AJ1246" i="7"/>
  <c r="AJ1254" i="7"/>
  <c r="AJ1238" i="7"/>
  <c r="AJ246" i="7"/>
  <c r="AJ230" i="7"/>
  <c r="AJ254" i="7"/>
  <c r="AJ238" i="7"/>
  <c r="AK994" i="7"/>
  <c r="AK1002" i="7"/>
  <c r="AK986" i="7"/>
  <c r="AK1010" i="7"/>
  <c r="AJ404" i="7"/>
  <c r="AJ396" i="7"/>
  <c r="AJ412" i="7"/>
  <c r="AJ420" i="7"/>
  <c r="AJ286" i="7"/>
  <c r="AJ278" i="7"/>
  <c r="AJ294" i="7"/>
  <c r="AJ270" i="7"/>
  <c r="AK916" i="7"/>
  <c r="AK900" i="7"/>
  <c r="AK908" i="7"/>
  <c r="AK924" i="7"/>
  <c r="AJ1133" i="7"/>
  <c r="AJ1117" i="7"/>
  <c r="AJ1125" i="7"/>
  <c r="AJ1109" i="7"/>
  <c r="AL1204" i="7"/>
  <c r="AL1212" i="7"/>
  <c r="AL1196" i="7"/>
  <c r="AL1220" i="7"/>
  <c r="AJ335" i="7"/>
  <c r="AJ311" i="7"/>
  <c r="AJ319" i="7"/>
  <c r="AJ327" i="7"/>
  <c r="AJ1007" i="7"/>
  <c r="AJ991" i="7"/>
  <c r="AJ983" i="7"/>
  <c r="AJ999" i="7"/>
  <c r="AK167" i="7"/>
  <c r="AK159" i="7"/>
  <c r="AK143" i="7"/>
  <c r="AK151" i="7"/>
  <c r="AK1236" i="7"/>
  <c r="AK1260" i="7"/>
  <c r="AK1244" i="7"/>
  <c r="AK1252" i="7"/>
  <c r="AK1091" i="7"/>
  <c r="AK1083" i="7"/>
  <c r="AK1075" i="7"/>
  <c r="AK1067" i="7"/>
  <c r="AJ243" i="7"/>
  <c r="AJ251" i="7"/>
  <c r="AJ227" i="7"/>
  <c r="AJ235" i="7"/>
  <c r="AJ1136" i="7"/>
  <c r="AJ1120" i="7"/>
  <c r="AJ1128" i="7"/>
  <c r="AJ1112" i="7"/>
  <c r="AL125" i="7"/>
  <c r="AL101" i="7"/>
  <c r="AL109" i="7"/>
  <c r="AL117" i="7"/>
  <c r="AL200" i="7"/>
  <c r="AL208" i="7"/>
  <c r="AO208" i="7" s="1"/>
  <c r="AL216" i="7"/>
  <c r="AL192" i="7"/>
  <c r="AO192" i="7" s="1"/>
  <c r="AK61" i="7"/>
  <c r="AK69" i="7" s="1"/>
  <c r="AK77" i="7"/>
  <c r="AK85" i="7" s="1"/>
  <c r="AI187" i="7"/>
  <c r="AI143" i="7"/>
  <c r="AI151" i="7" s="1"/>
  <c r="AE84" i="7"/>
  <c r="AI76" i="7"/>
  <c r="AJ104" i="7"/>
  <c r="AJ120" i="7"/>
  <c r="AL68" i="7"/>
  <c r="AL84" i="7"/>
  <c r="AL60" i="7"/>
  <c r="AL76" i="7"/>
  <c r="AE152" i="7"/>
  <c r="AI144" i="7"/>
  <c r="AI107" i="7"/>
  <c r="AE115" i="7"/>
  <c r="AL20" i="7"/>
  <c r="AL36" i="7"/>
  <c r="AJ18" i="7"/>
  <c r="AJ34" i="7"/>
  <c r="AM10" i="7"/>
  <c r="AO10" i="7"/>
  <c r="AP10" i="7" s="1"/>
  <c r="AL35" i="7"/>
  <c r="AL19" i="7"/>
  <c r="AK103" i="7"/>
  <c r="AK111" i="7" s="1"/>
  <c r="AK119" i="7"/>
  <c r="AK127" i="7" s="1"/>
  <c r="AK876" i="7"/>
  <c r="AK860" i="7"/>
  <c r="AK868" i="7"/>
  <c r="AK884" i="7"/>
  <c r="AJ1135" i="7"/>
  <c r="AJ1111" i="7"/>
  <c r="AJ1127" i="7"/>
  <c r="AJ1119" i="7"/>
  <c r="AK337" i="7"/>
  <c r="AK321" i="7"/>
  <c r="AK313" i="7"/>
  <c r="AK329" i="7"/>
  <c r="AJ1068" i="7"/>
  <c r="AJ1084" i="7"/>
  <c r="AJ1076" i="7"/>
  <c r="AJ1092" i="7"/>
  <c r="AJ252" i="7"/>
  <c r="AJ236" i="7"/>
  <c r="AJ244" i="7"/>
  <c r="AJ228" i="7"/>
  <c r="AK1202" i="7"/>
  <c r="AK1210" i="7"/>
  <c r="AK1194" i="7"/>
  <c r="AK1218" i="7"/>
  <c r="AJ378" i="7"/>
  <c r="AJ362" i="7"/>
  <c r="AJ370" i="7"/>
  <c r="AJ354" i="7"/>
  <c r="AL245" i="7"/>
  <c r="AL229" i="7"/>
  <c r="AL253" i="7"/>
  <c r="AL237" i="7"/>
  <c r="AJ923" i="7"/>
  <c r="AJ907" i="7"/>
  <c r="AJ915" i="7"/>
  <c r="AJ899" i="7"/>
  <c r="AL1175" i="7"/>
  <c r="AL1159" i="7"/>
  <c r="AL1151" i="7"/>
  <c r="AL1167" i="7"/>
  <c r="AK1246" i="7"/>
  <c r="AK1254" i="7"/>
  <c r="AK1262" i="7"/>
  <c r="AK1238" i="7"/>
  <c r="AL866" i="7"/>
  <c r="AL858" i="7"/>
  <c r="AL882" i="7"/>
  <c r="AL874" i="7"/>
  <c r="AL1002" i="7"/>
  <c r="AL986" i="7"/>
  <c r="AL994" i="7"/>
  <c r="AL1010" i="7"/>
  <c r="AK412" i="7"/>
  <c r="AK396" i="7"/>
  <c r="AK420" i="7"/>
  <c r="AK404" i="7"/>
  <c r="AL212" i="7"/>
  <c r="AL204" i="7"/>
  <c r="AL196" i="7"/>
  <c r="AL188" i="7"/>
  <c r="AL916" i="7"/>
  <c r="AL924" i="7"/>
  <c r="AL908" i="7"/>
  <c r="AL900" i="7"/>
  <c r="AK1125" i="7"/>
  <c r="AK1117" i="7"/>
  <c r="AK1109" i="7"/>
  <c r="AK1133" i="7"/>
  <c r="AJ145" i="7"/>
  <c r="AJ161" i="7"/>
  <c r="AL327" i="7"/>
  <c r="AL335" i="7"/>
  <c r="AL311" i="7"/>
  <c r="AL319" i="7"/>
  <c r="AK1007" i="7"/>
  <c r="AK991" i="7"/>
  <c r="AK983" i="7"/>
  <c r="AK999" i="7"/>
  <c r="AK414" i="7"/>
  <c r="AK422" i="7"/>
  <c r="AK398" i="7"/>
  <c r="AK406" i="7"/>
  <c r="AL1134" i="7"/>
  <c r="AL1126" i="7"/>
  <c r="AL1118" i="7"/>
  <c r="AL1110" i="7"/>
  <c r="AL1260" i="7"/>
  <c r="AL1244" i="7"/>
  <c r="AL1252" i="7"/>
  <c r="AL1236" i="7"/>
  <c r="AL1091" i="7"/>
  <c r="AL1083" i="7"/>
  <c r="AL1075" i="7"/>
  <c r="AL1067" i="7"/>
  <c r="AK251" i="7"/>
  <c r="AK235" i="7"/>
  <c r="AK243" i="7"/>
  <c r="AK227" i="7"/>
  <c r="AK1136" i="7"/>
  <c r="AK1120" i="7"/>
  <c r="AK1128" i="7"/>
  <c r="AK1112" i="7"/>
  <c r="AI208" i="7"/>
  <c r="AL163" i="7"/>
  <c r="AO163" i="7" s="1"/>
  <c r="AL147" i="7"/>
  <c r="AO147" i="7" s="1"/>
  <c r="AL61" i="7"/>
  <c r="AL69" i="7"/>
  <c r="AL77" i="7"/>
  <c r="AL85" i="7"/>
  <c r="AI159" i="7"/>
  <c r="AI167" i="7" s="1"/>
  <c r="V135" i="7" s="1"/>
  <c r="AE68" i="7"/>
  <c r="AI60" i="7"/>
  <c r="AE74" i="7"/>
  <c r="AI66" i="7"/>
  <c r="AK104" i="7"/>
  <c r="AK112" i="7" s="1"/>
  <c r="AK120" i="7"/>
  <c r="AK128" i="7" s="1"/>
  <c r="AL122" i="7"/>
  <c r="AO122" i="7" s="1"/>
  <c r="AL106" i="7"/>
  <c r="AE85" i="7"/>
  <c r="AI77" i="7"/>
  <c r="AJ36" i="7"/>
  <c r="AJ20" i="7"/>
  <c r="AO12" i="7"/>
  <c r="AP12" i="7" s="1"/>
  <c r="AE153" i="7"/>
  <c r="AI145" i="7"/>
  <c r="AL215" i="7"/>
  <c r="AL191" i="7"/>
  <c r="AO191" i="7" s="1"/>
  <c r="AL207" i="7"/>
  <c r="AO207" i="7" s="1"/>
  <c r="AL199" i="7"/>
  <c r="AE71" i="7"/>
  <c r="AI63" i="7"/>
  <c r="AL24" i="7"/>
  <c r="AL40" i="7"/>
  <c r="AM16" i="7"/>
  <c r="AN16" i="7" s="1"/>
  <c r="AO16" i="7"/>
  <c r="AP16" i="7" s="1"/>
  <c r="AL127" i="7"/>
  <c r="AL111" i="7"/>
  <c r="AL103" i="7"/>
  <c r="AL119" i="7"/>
  <c r="AJ941" i="7"/>
  <c r="AJ965" i="7"/>
  <c r="AJ949" i="7"/>
  <c r="AJ957" i="7"/>
  <c r="AK411" i="7"/>
  <c r="AK403" i="7"/>
  <c r="AK395" i="7"/>
  <c r="AK419" i="7"/>
  <c r="AL1086" i="7"/>
  <c r="AL1070" i="7"/>
  <c r="AL1078" i="7"/>
  <c r="AL1094" i="7"/>
  <c r="AL943" i="7"/>
  <c r="AL959" i="7"/>
  <c r="AL967" i="7"/>
  <c r="AL951" i="7"/>
  <c r="AK294" i="7"/>
  <c r="AK270" i="7"/>
  <c r="AK286" i="7"/>
  <c r="AK278" i="7"/>
  <c r="AK1204" i="7"/>
  <c r="AK1196" i="7"/>
  <c r="AK1220" i="7"/>
  <c r="AK1212" i="7"/>
  <c r="AK288" i="7"/>
  <c r="AK280" i="7"/>
  <c r="AK296" i="7"/>
  <c r="AK272" i="7"/>
  <c r="AL926" i="7"/>
  <c r="AL910" i="7"/>
  <c r="AL918" i="7"/>
  <c r="AL902" i="7"/>
  <c r="AE127" i="7"/>
  <c r="AI119" i="7"/>
  <c r="AL164" i="7"/>
  <c r="AO164" i="7" s="1"/>
  <c r="AL148" i="7"/>
  <c r="AO148" i="7" s="1"/>
  <c r="AE90" i="7"/>
  <c r="AI82" i="7"/>
  <c r="AI67" i="7"/>
  <c r="AI83" i="7"/>
  <c r="V51" i="7" s="1"/>
  <c r="AJ1000" i="7"/>
  <c r="AJ984" i="7"/>
  <c r="AJ992" i="7"/>
  <c r="AJ1008" i="7"/>
  <c r="AL1135" i="7"/>
  <c r="AL1119" i="7"/>
  <c r="AL1111" i="7"/>
  <c r="AL1127" i="7"/>
  <c r="AL337" i="7"/>
  <c r="AL321" i="7"/>
  <c r="AL313" i="7"/>
  <c r="AL329" i="7"/>
  <c r="AL1084" i="7"/>
  <c r="AL1068" i="7"/>
  <c r="AL1092" i="7"/>
  <c r="AL1076" i="7"/>
  <c r="AJ1001" i="7"/>
  <c r="AJ985" i="7"/>
  <c r="AJ1009" i="7"/>
  <c r="AJ993" i="7"/>
  <c r="AL1218" i="7"/>
  <c r="AL1210" i="7"/>
  <c r="AL1194" i="7"/>
  <c r="AL1202" i="7"/>
  <c r="AK370" i="7"/>
  <c r="AK354" i="7"/>
  <c r="AK362" i="7"/>
  <c r="AK378" i="7"/>
  <c r="AJ195" i="7"/>
  <c r="AJ187" i="7"/>
  <c r="AJ211" i="7"/>
  <c r="AJ203" i="7"/>
  <c r="AJ1042" i="7"/>
  <c r="AJ1050" i="7"/>
  <c r="AJ1026" i="7"/>
  <c r="AJ1034" i="7"/>
  <c r="AJ1159" i="7"/>
  <c r="AJ1175" i="7"/>
  <c r="AJ1167" i="7"/>
  <c r="AJ1151" i="7"/>
  <c r="AL1254" i="7"/>
  <c r="AL1238" i="7"/>
  <c r="AL1246" i="7"/>
  <c r="AL1262" i="7"/>
  <c r="AJ874" i="7"/>
  <c r="AJ858" i="7"/>
  <c r="AJ866" i="7" s="1"/>
  <c r="AJ882" i="7"/>
  <c r="AJ1043" i="7"/>
  <c r="AJ1051" i="7"/>
  <c r="AJ1035" i="7"/>
  <c r="AJ1027" i="7"/>
  <c r="AL396" i="7"/>
  <c r="AL412" i="7"/>
  <c r="AL420" i="7"/>
  <c r="AL404" i="7"/>
  <c r="AJ212" i="7"/>
  <c r="AJ204" i="7"/>
  <c r="AJ196" i="7"/>
  <c r="AJ188" i="7"/>
  <c r="AL960" i="7"/>
  <c r="AL944" i="7"/>
  <c r="AL968" i="7"/>
  <c r="AL952" i="7"/>
  <c r="AL1133" i="7"/>
  <c r="AL1117" i="7"/>
  <c r="AL1109" i="7"/>
  <c r="AL1125" i="7"/>
  <c r="AK169" i="7"/>
  <c r="AK161" i="7"/>
  <c r="AK145" i="7"/>
  <c r="AK153" i="7"/>
  <c r="AJ295" i="7"/>
  <c r="AJ287" i="7"/>
  <c r="AJ271" i="7"/>
  <c r="AJ279" i="7"/>
  <c r="AK875" i="7"/>
  <c r="AK867" i="7"/>
  <c r="AK883" i="7"/>
  <c r="AK859" i="7"/>
  <c r="AL999" i="7"/>
  <c r="AL991" i="7"/>
  <c r="AL1007" i="7"/>
  <c r="AL983" i="7"/>
  <c r="AJ414" i="7"/>
  <c r="AJ422" i="7"/>
  <c r="AJ398" i="7"/>
  <c r="AJ406" i="7"/>
  <c r="AJ1110" i="7"/>
  <c r="AJ1134" i="7"/>
  <c r="AJ1126" i="7"/>
  <c r="AJ1118" i="7"/>
  <c r="AK1251" i="7"/>
  <c r="AK1235" i="7"/>
  <c r="AK1259" i="7"/>
  <c r="AK1243" i="7"/>
  <c r="AL251" i="7"/>
  <c r="AL235" i="7"/>
  <c r="AL243" i="7"/>
  <c r="AL227" i="7"/>
  <c r="AL1136" i="7"/>
  <c r="AL1112" i="7"/>
  <c r="AL1128" i="7"/>
  <c r="AL1120" i="7"/>
  <c r="AE171" i="7"/>
  <c r="AI163" i="7"/>
  <c r="AE111" i="7"/>
  <c r="AI103" i="7"/>
  <c r="AL104" i="7"/>
  <c r="AL112" i="7" s="1"/>
  <c r="AL120" i="7"/>
  <c r="AL128" i="7" s="1"/>
  <c r="AE114" i="7"/>
  <c r="AI106" i="7"/>
  <c r="AJ62" i="7"/>
  <c r="AJ70" i="7" s="1"/>
  <c r="AJ78" i="7"/>
  <c r="AJ102" i="7"/>
  <c r="AJ118" i="7"/>
  <c r="AJ126" i="7" s="1"/>
  <c r="AE168" i="7"/>
  <c r="AI160" i="7"/>
  <c r="AI205" i="7"/>
  <c r="AI201" i="7"/>
  <c r="AI207" i="7"/>
  <c r="AL190" i="7"/>
  <c r="AO190" i="7" s="1"/>
  <c r="AL214" i="7"/>
  <c r="AL206" i="7"/>
  <c r="AO206" i="7" s="1"/>
  <c r="AL198" i="7"/>
  <c r="AI146" i="7"/>
  <c r="AG154" i="7"/>
  <c r="AE132" i="7"/>
  <c r="AI124" i="7"/>
  <c r="AE88" i="7"/>
  <c r="AI80" i="7"/>
  <c r="AJ353" i="7"/>
  <c r="AJ377" i="7"/>
  <c r="AJ361" i="7"/>
  <c r="AJ369" i="7"/>
  <c r="AL210" i="7"/>
  <c r="AL186" i="7"/>
  <c r="AL194" i="7"/>
  <c r="AL202" i="7"/>
  <c r="AK1085" i="7"/>
  <c r="AK1093" i="7"/>
  <c r="AK1077" i="7"/>
  <c r="AK1069" i="7"/>
  <c r="AK246" i="7"/>
  <c r="AK230" i="7"/>
  <c r="AK254" i="7"/>
  <c r="AK238" i="7"/>
  <c r="AJ1219" i="7"/>
  <c r="AJ1211" i="7"/>
  <c r="AJ1203" i="7"/>
  <c r="AJ1195" i="7"/>
  <c r="AJ1052" i="7"/>
  <c r="AJ1036" i="7"/>
  <c r="AJ1044" i="7"/>
  <c r="AJ1028" i="7"/>
  <c r="AK413" i="7"/>
  <c r="AK397" i="7"/>
  <c r="AK421" i="7"/>
  <c r="AK405" i="7"/>
  <c r="AL167" i="7"/>
  <c r="AL151" i="7"/>
  <c r="AL159" i="7"/>
  <c r="AL143" i="7"/>
  <c r="AL1178" i="7"/>
  <c r="AL1170" i="7"/>
  <c r="AL1162" i="7"/>
  <c r="AL1154" i="7"/>
  <c r="AJ162" i="7"/>
  <c r="AJ146" i="7"/>
  <c r="AJ117" i="7"/>
  <c r="AJ101" i="7"/>
  <c r="AJ109" i="7"/>
  <c r="AJ60" i="7"/>
  <c r="AJ76" i="7"/>
  <c r="AK1008" i="7"/>
  <c r="AK1000" i="7"/>
  <c r="AK984" i="7"/>
  <c r="AK992" i="7"/>
  <c r="AK1201" i="7"/>
  <c r="AK1217" i="7"/>
  <c r="AK1193" i="7"/>
  <c r="AK1209" i="7"/>
  <c r="AJ329" i="7"/>
  <c r="AJ313" i="7"/>
  <c r="AJ337" i="7"/>
  <c r="AJ321" i="7"/>
  <c r="AJ857" i="7"/>
  <c r="AJ865" i="7" s="1"/>
  <c r="AJ873" i="7"/>
  <c r="AJ881" i="7" s="1"/>
  <c r="AK1084" i="7"/>
  <c r="AK1092" i="7"/>
  <c r="AK1068" i="7"/>
  <c r="AK1076" i="7"/>
  <c r="AL1009" i="7"/>
  <c r="AL993" i="7"/>
  <c r="AL1001" i="7"/>
  <c r="AL985" i="7"/>
  <c r="AJ1261" i="7"/>
  <c r="AJ1245" i="7"/>
  <c r="AJ1253" i="7"/>
  <c r="AJ1237" i="7"/>
  <c r="AL370" i="7"/>
  <c r="AL354" i="7"/>
  <c r="AL362" i="7"/>
  <c r="AL378" i="7"/>
  <c r="AK195" i="7"/>
  <c r="AK187" i="7"/>
  <c r="AK203" i="7"/>
  <c r="AK211" i="7"/>
  <c r="AK1042" i="7"/>
  <c r="AK1050" i="7"/>
  <c r="AK1026" i="7"/>
  <c r="AK1034" i="7"/>
  <c r="AL371" i="7"/>
  <c r="AL355" i="7"/>
  <c r="AL379" i="7"/>
  <c r="AL363" i="7"/>
  <c r="AK882" i="7"/>
  <c r="AK866" i="7"/>
  <c r="AK858" i="7"/>
  <c r="AK874" i="7"/>
  <c r="AK1043" i="7"/>
  <c r="AK1051" i="7"/>
  <c r="AK1035" i="7"/>
  <c r="AK1027" i="7"/>
  <c r="AJ372" i="7"/>
  <c r="AJ356" i="7"/>
  <c r="AJ380" i="7"/>
  <c r="AJ364" i="7"/>
  <c r="AK212" i="7"/>
  <c r="AK204" i="7"/>
  <c r="AK196" i="7"/>
  <c r="AK188" i="7"/>
  <c r="AJ960" i="7"/>
  <c r="AJ944" i="7"/>
  <c r="AJ968" i="7"/>
  <c r="AJ952" i="7"/>
  <c r="AJ1176" i="7"/>
  <c r="AJ1168" i="7"/>
  <c r="AJ1160" i="7"/>
  <c r="AJ1152" i="7"/>
  <c r="AL161" i="7"/>
  <c r="AL169" i="7"/>
  <c r="AL153" i="7"/>
  <c r="AL145" i="7"/>
  <c r="AK295" i="7"/>
  <c r="AK287" i="7"/>
  <c r="AK279" i="7"/>
  <c r="AK271" i="7"/>
  <c r="AJ875" i="7"/>
  <c r="AJ883" i="7" s="1"/>
  <c r="AJ859" i="7"/>
  <c r="AJ867" i="7" s="1"/>
  <c r="AK1169" i="7"/>
  <c r="AK1153" i="7"/>
  <c r="AK1177" i="7"/>
  <c r="AK1161" i="7"/>
  <c r="AL414" i="7"/>
  <c r="AL398" i="7"/>
  <c r="AL422" i="7"/>
  <c r="AL406" i="7"/>
  <c r="AK1126" i="7"/>
  <c r="AK1110" i="7"/>
  <c r="AK1134" i="7"/>
  <c r="AK1118" i="7"/>
  <c r="AL1251" i="7"/>
  <c r="AL1259" i="7"/>
  <c r="AL1235" i="7"/>
  <c r="AL1243" i="7"/>
  <c r="AI203" i="7"/>
  <c r="AI148" i="7"/>
  <c r="AG156" i="7"/>
  <c r="AE130" i="7"/>
  <c r="AI122" i="7"/>
  <c r="AJ17" i="7"/>
  <c r="AJ25" i="7" s="1"/>
  <c r="AJ33" i="7"/>
  <c r="AJ41" i="7" s="1"/>
  <c r="AM9" i="7"/>
  <c r="AK62" i="7"/>
  <c r="AK70" i="7" s="1"/>
  <c r="AK78" i="7"/>
  <c r="AK86" i="7" s="1"/>
  <c r="AK102" i="7"/>
  <c r="AK110" i="7" s="1"/>
  <c r="AK118" i="7"/>
  <c r="AK126" i="7" s="1"/>
  <c r="AE174" i="7"/>
  <c r="AI166" i="7"/>
  <c r="AE113" i="7"/>
  <c r="AI105" i="7"/>
  <c r="AI61" i="7"/>
  <c r="AE69" i="7"/>
  <c r="AI206" i="7"/>
  <c r="AE116" i="7"/>
  <c r="AI108" i="7"/>
  <c r="AL108" i="7"/>
  <c r="AO108" i="7" s="1"/>
  <c r="AL124" i="7"/>
  <c r="AO124" i="7" s="1"/>
  <c r="AE87" i="7"/>
  <c r="AI79" i="7"/>
  <c r="AE72" i="7"/>
  <c r="AI64" i="7"/>
  <c r="AI65" i="7"/>
  <c r="AE73" i="7"/>
  <c r="AE172" i="7"/>
  <c r="AI164" i="7"/>
  <c r="AL1008" i="7"/>
  <c r="AL992" i="7"/>
  <c r="AL1000" i="7"/>
  <c r="AL984" i="7"/>
  <c r="AL1201" i="7"/>
  <c r="AL1209" i="7"/>
  <c r="AL1193" i="7"/>
  <c r="AL1217" i="7"/>
  <c r="AK210" i="7"/>
  <c r="AK186" i="7"/>
  <c r="AK202" i="7"/>
  <c r="AK194" i="7"/>
  <c r="AK873" i="7"/>
  <c r="AK857" i="7"/>
  <c r="AK865" i="7"/>
  <c r="AK881" i="7"/>
  <c r="AJ338" i="7"/>
  <c r="AJ322" i="7"/>
  <c r="AJ330" i="7"/>
  <c r="AJ314" i="7"/>
  <c r="AK1009" i="7"/>
  <c r="AK993" i="7"/>
  <c r="AK1001" i="7"/>
  <c r="AK985" i="7"/>
  <c r="AK1261" i="7"/>
  <c r="AK1245" i="7"/>
  <c r="AK1237" i="7"/>
  <c r="AK1253" i="7"/>
  <c r="AJ285" i="7"/>
  <c r="AJ277" i="7"/>
  <c r="AJ269" i="7"/>
  <c r="AJ293" i="7"/>
  <c r="AL195" i="7"/>
  <c r="AL187" i="7"/>
  <c r="AL203" i="7"/>
  <c r="AL211" i="7"/>
  <c r="AL1026" i="7"/>
  <c r="AL1042" i="7"/>
  <c r="AL1034" i="7"/>
  <c r="AL1050" i="7"/>
  <c r="AJ371" i="7"/>
  <c r="AJ355" i="7"/>
  <c r="AJ379" i="7"/>
  <c r="AJ363" i="7"/>
  <c r="AJ951" i="7"/>
  <c r="AJ943" i="7"/>
  <c r="AJ959" i="7"/>
  <c r="AJ967" i="7"/>
  <c r="AL1051" i="7"/>
  <c r="AL1027" i="7"/>
  <c r="AL1035" i="7"/>
  <c r="AL1043" i="7"/>
  <c r="AK380" i="7"/>
  <c r="AK364" i="7"/>
  <c r="AK372" i="7"/>
  <c r="AK356" i="7"/>
  <c r="AK160" i="7"/>
  <c r="AK152" i="7"/>
  <c r="AK144" i="7"/>
  <c r="AK168" i="7"/>
  <c r="AK960" i="7"/>
  <c r="AK944" i="7"/>
  <c r="AK968" i="7"/>
  <c r="AK952" i="7"/>
  <c r="AK1176" i="7"/>
  <c r="AK1168" i="7"/>
  <c r="AK1152" i="7"/>
  <c r="AK1160" i="7"/>
  <c r="AL405" i="7"/>
  <c r="AL397" i="7"/>
  <c r="AL421" i="7"/>
  <c r="AL413" i="7"/>
  <c r="AL287" i="7"/>
  <c r="AL279" i="7"/>
  <c r="AL271" i="7"/>
  <c r="AL295" i="7"/>
  <c r="AL883" i="7"/>
  <c r="AL867" i="7"/>
  <c r="AL875" i="7"/>
  <c r="AL859" i="7"/>
  <c r="AL1169" i="7"/>
  <c r="AL1161" i="7"/>
  <c r="AL1153" i="7"/>
  <c r="AL1177" i="7"/>
  <c r="AL288" i="7"/>
  <c r="AL280" i="7"/>
  <c r="AL296" i="7"/>
  <c r="AL272" i="7"/>
  <c r="AJ1170" i="7"/>
  <c r="AJ1178" i="7"/>
  <c r="AJ1162" i="7"/>
  <c r="AJ1154" i="7"/>
  <c r="AK926" i="7"/>
  <c r="AK910" i="7"/>
  <c r="AK918" i="7"/>
  <c r="AK902" i="7"/>
  <c r="AJ1259" i="7"/>
  <c r="AJ1243" i="7"/>
  <c r="AJ1251" i="7"/>
  <c r="AJ1235" i="7"/>
  <c r="AE155" i="7"/>
  <c r="AI147" i="7"/>
  <c r="AE128" i="7"/>
  <c r="AI120" i="7"/>
  <c r="AL165" i="7"/>
  <c r="AO165" i="7" s="1"/>
  <c r="AL149" i="7"/>
  <c r="AO149" i="7" s="1"/>
  <c r="AI117" i="7"/>
  <c r="AI125" i="7" s="1"/>
  <c r="V93" i="7" s="1"/>
  <c r="AE86" i="7"/>
  <c r="AI78" i="7"/>
  <c r="AK17" i="7"/>
  <c r="AK25" i="7" s="1"/>
  <c r="AK33" i="7"/>
  <c r="AK41" i="7" s="1"/>
  <c r="AL62" i="7"/>
  <c r="AL70" i="7" s="1"/>
  <c r="AL78" i="7"/>
  <c r="AL86" i="7" s="1"/>
  <c r="AI202" i="7"/>
  <c r="AL102" i="7"/>
  <c r="AL126" i="7"/>
  <c r="AL118" i="7"/>
  <c r="AL110" i="7"/>
  <c r="AI204" i="7"/>
  <c r="AE158" i="7"/>
  <c r="AI150" i="7"/>
  <c r="AI189" i="7"/>
  <c r="AL205" i="7"/>
  <c r="AO205" i="7" s="1"/>
  <c r="AL197" i="7"/>
  <c r="AL213" i="7"/>
  <c r="AL189" i="7"/>
  <c r="AO189" i="7" s="1"/>
  <c r="AE169" i="7"/>
  <c r="AI161" i="7"/>
  <c r="AI190" i="7"/>
  <c r="AE170" i="7"/>
  <c r="AI162" i="7"/>
  <c r="AE110" i="7"/>
  <c r="AI102" i="7"/>
  <c r="AL63" i="7"/>
  <c r="AO63" i="7" s="1"/>
  <c r="AL79" i="7"/>
  <c r="AO79" i="7" s="1"/>
  <c r="AL64" i="7"/>
  <c r="AL80" i="7"/>
  <c r="AO80" i="7" s="1"/>
  <c r="AI81" i="7"/>
  <c r="AE89" i="7"/>
  <c r="AK1049" i="7"/>
  <c r="AK1033" i="7"/>
  <c r="AK1025" i="7"/>
  <c r="AK1041" i="7"/>
  <c r="AJ1217" i="7"/>
  <c r="AJ1201" i="7"/>
  <c r="AJ1209" i="7"/>
  <c r="AJ1193" i="7"/>
  <c r="AJ210" i="7"/>
  <c r="AJ186" i="7"/>
  <c r="AJ202" i="7"/>
  <c r="AJ194" i="7"/>
  <c r="AL857" i="7"/>
  <c r="AL865" i="7"/>
  <c r="AL881" i="7"/>
  <c r="AL873" i="7"/>
  <c r="AK330" i="7"/>
  <c r="AK314" i="7"/>
  <c r="AK322" i="7"/>
  <c r="AK338" i="7"/>
  <c r="AJ1069" i="7"/>
  <c r="AJ1093" i="7"/>
  <c r="AJ1077" i="7"/>
  <c r="AJ1085" i="7"/>
  <c r="AL1261" i="7"/>
  <c r="AL1245" i="7"/>
  <c r="AL1253" i="7"/>
  <c r="AL1237" i="7"/>
  <c r="AK277" i="7"/>
  <c r="AK285" i="7"/>
  <c r="AK293" i="7"/>
  <c r="AK269" i="7"/>
  <c r="AK1094" i="7"/>
  <c r="AK1086" i="7"/>
  <c r="AK1078" i="7"/>
  <c r="AK1070" i="7"/>
  <c r="AJ966" i="7"/>
  <c r="AJ950" i="7"/>
  <c r="AJ942" i="7"/>
  <c r="AJ958" i="7"/>
  <c r="AK371" i="7"/>
  <c r="AK355" i="7"/>
  <c r="AK379" i="7"/>
  <c r="AK363" i="7"/>
  <c r="AK943" i="7"/>
  <c r="AK959" i="7"/>
  <c r="AK967" i="7"/>
  <c r="AK951" i="7"/>
  <c r="AL1219" i="7"/>
  <c r="AL1211" i="7"/>
  <c r="AL1195" i="7"/>
  <c r="AL1203" i="7"/>
  <c r="AL380" i="7"/>
  <c r="AL364" i="7"/>
  <c r="AL372" i="7"/>
  <c r="AL356" i="7"/>
  <c r="AJ160" i="7"/>
  <c r="AJ144" i="7"/>
  <c r="AK1052" i="7"/>
  <c r="AK1036" i="7"/>
  <c r="AK1044" i="7"/>
  <c r="AK1028" i="7"/>
  <c r="AL1168" i="7"/>
  <c r="AL1160" i="7"/>
  <c r="AL1176" i="7"/>
  <c r="AL1152" i="7"/>
  <c r="AJ421" i="7"/>
  <c r="AJ397" i="7"/>
  <c r="AJ405" i="7"/>
  <c r="AJ413" i="7"/>
  <c r="AL209" i="7"/>
  <c r="AL185" i="7"/>
  <c r="AL201" i="7"/>
  <c r="AL193" i="7"/>
  <c r="AL917" i="7"/>
  <c r="AL925" i="7"/>
  <c r="AL909" i="7"/>
  <c r="AL901" i="7"/>
  <c r="AJ1169" i="7"/>
  <c r="AJ1177" i="7"/>
  <c r="AJ1161" i="7"/>
  <c r="AJ1153" i="7"/>
  <c r="AJ280" i="7"/>
  <c r="AJ296" i="7"/>
  <c r="AJ288" i="7"/>
  <c r="AJ272" i="7"/>
  <c r="AK1170" i="7"/>
  <c r="AK1178" i="7"/>
  <c r="AK1162" i="7"/>
  <c r="AK1154" i="7"/>
  <c r="AJ918" i="7"/>
  <c r="AJ926" i="7"/>
  <c r="AJ910" i="7"/>
  <c r="AJ902" i="7"/>
  <c r="AJ328" i="7"/>
  <c r="AJ312" i="7"/>
  <c r="AJ336" i="7"/>
  <c r="AJ320" i="7"/>
  <c r="AK162" i="7"/>
  <c r="AK170" i="7" s="1"/>
  <c r="AK146" i="7"/>
  <c r="AK154" i="7" s="1"/>
  <c r="AI149" i="7"/>
  <c r="AE157" i="7"/>
  <c r="AL17" i="7"/>
  <c r="AL25" i="7" s="1"/>
  <c r="AL33" i="7"/>
  <c r="AL41" i="7" s="1"/>
  <c r="AL23" i="7"/>
  <c r="AL39" i="7"/>
  <c r="AM15" i="7"/>
  <c r="AN15" i="7" s="1"/>
  <c r="AO15" i="7"/>
  <c r="AP15" i="7" s="1"/>
  <c r="AL150" i="7"/>
  <c r="AO150" i="7" s="1"/>
  <c r="AL166" i="7"/>
  <c r="AO166" i="7" s="1"/>
  <c r="AE129" i="7"/>
  <c r="AI121" i="7"/>
  <c r="AL123" i="7"/>
  <c r="AL107" i="7"/>
  <c r="AI191" i="7"/>
  <c r="AK35" i="7"/>
  <c r="AK19" i="7"/>
  <c r="AL65" i="7"/>
  <c r="AO65" i="7" s="1"/>
  <c r="AL81" i="7"/>
  <c r="AO81" i="7" s="1"/>
  <c r="AO9" i="7"/>
  <c r="AP9" i="7" s="1"/>
  <c r="F425" i="7"/>
  <c r="F417" i="7" s="1"/>
  <c r="G311" i="7"/>
  <c r="G395" i="7"/>
  <c r="G941" i="7"/>
  <c r="G1025" i="7"/>
  <c r="G983" i="7"/>
  <c r="F210" i="7"/>
  <c r="F202" i="7" s="1"/>
  <c r="F90" i="7"/>
  <c r="F82" i="7" s="1"/>
  <c r="G143" i="7"/>
  <c r="F336" i="7"/>
  <c r="F328" i="7" s="1"/>
  <c r="G101" i="7"/>
  <c r="G1067" i="7"/>
  <c r="F215" i="7"/>
  <c r="F207" i="7" s="1"/>
  <c r="G1109" i="7"/>
  <c r="G353" i="7"/>
  <c r="F423" i="7"/>
  <c r="F415" i="7" s="1"/>
  <c r="G269" i="7"/>
  <c r="G185" i="7"/>
  <c r="G59" i="7"/>
  <c r="F1222" i="7"/>
  <c r="F1214" i="7" s="1"/>
  <c r="G227" i="7"/>
  <c r="G1235" i="7"/>
  <c r="G17" i="7"/>
  <c r="J263" i="7"/>
  <c r="J137" i="7"/>
  <c r="J851" i="7"/>
  <c r="J1187" i="7"/>
  <c r="J1145" i="7"/>
  <c r="J53" i="7"/>
  <c r="J977" i="7"/>
  <c r="J95" i="7"/>
  <c r="J347" i="7"/>
  <c r="J221" i="7"/>
  <c r="J1229" i="7"/>
  <c r="J1103" i="7"/>
  <c r="J893" i="7"/>
  <c r="J11" i="7"/>
  <c r="AR11" i="7"/>
  <c r="J305" i="7"/>
  <c r="J1019" i="7"/>
  <c r="F209" i="7"/>
  <c r="G209" i="7" s="1"/>
  <c r="D83" i="8"/>
  <c r="B82" i="8"/>
  <c r="D74" i="8"/>
  <c r="B73" i="8"/>
  <c r="D65" i="8"/>
  <c r="B64" i="8"/>
  <c r="F251" i="7"/>
  <c r="G251" i="7" s="1"/>
  <c r="F1259" i="7"/>
  <c r="G1259" i="7" s="1"/>
  <c r="F420" i="7"/>
  <c r="F412" i="7" s="1"/>
  <c r="F970" i="7"/>
  <c r="F962" i="7" s="1"/>
  <c r="F1224" i="7"/>
  <c r="F1216" i="7" s="1"/>
  <c r="F211" i="7"/>
  <c r="F203" i="7" s="1"/>
  <c r="F255" i="7"/>
  <c r="F247" i="7" s="1"/>
  <c r="F1220" i="7"/>
  <c r="F1221" i="7"/>
  <c r="F1213" i="7" s="1"/>
  <c r="F1219" i="7"/>
  <c r="F1093" i="7"/>
  <c r="F1085" i="7" s="1"/>
  <c r="F1049" i="7"/>
  <c r="G1049" i="7" s="1"/>
  <c r="F1054" i="7"/>
  <c r="F929" i="7"/>
  <c r="F921" i="7" s="1"/>
  <c r="F335" i="7"/>
  <c r="G335" i="7" s="1"/>
  <c r="F48" i="7"/>
  <c r="F40" i="7" s="1"/>
  <c r="F421" i="7"/>
  <c r="F886" i="7"/>
  <c r="F377" i="7"/>
  <c r="G377" i="7" s="1"/>
  <c r="F885" i="7"/>
  <c r="F1053" i="7"/>
  <c r="F1056" i="7"/>
  <c r="F1048" i="7" s="1"/>
  <c r="F213" i="7"/>
  <c r="F930" i="7"/>
  <c r="F922" i="7" s="1"/>
  <c r="F1133" i="7"/>
  <c r="G1133" i="7" s="1"/>
  <c r="F1138" i="7"/>
  <c r="F1011" i="7"/>
  <c r="F1003" i="7" s="1"/>
  <c r="F966" i="7"/>
  <c r="F883" i="7"/>
  <c r="F875" i="7" s="1"/>
  <c r="F129" i="7"/>
  <c r="F121" i="7" s="1"/>
  <c r="F45" i="7"/>
  <c r="F47" i="7"/>
  <c r="F39" i="7" s="1"/>
  <c r="F419" i="7"/>
  <c r="G419" i="7" s="1"/>
  <c r="F1010" i="7"/>
  <c r="F1092" i="7"/>
  <c r="F1091" i="7"/>
  <c r="G1091" i="7" s="1"/>
  <c r="F379" i="7"/>
  <c r="F378" i="7"/>
  <c r="F1055" i="7"/>
  <c r="F85" i="7"/>
  <c r="F1136" i="7"/>
  <c r="F1178" i="7"/>
  <c r="F1261" i="7"/>
  <c r="I1062" i="7"/>
  <c r="AR1062" i="7" s="1"/>
  <c r="J1061" i="7"/>
  <c r="I180" i="7"/>
  <c r="AR180" i="7" s="1"/>
  <c r="J179" i="7"/>
  <c r="F339" i="7"/>
  <c r="F331" i="7" s="1"/>
  <c r="F86" i="7"/>
  <c r="I390" i="7"/>
  <c r="AR390" i="7" s="1"/>
  <c r="J389" i="7"/>
  <c r="F1052" i="7"/>
  <c r="F1180" i="7"/>
  <c r="F127" i="7"/>
  <c r="F125" i="7"/>
  <c r="G125" i="7" s="1"/>
  <c r="F1181" i="7"/>
  <c r="F1266" i="7"/>
  <c r="F1096" i="7"/>
  <c r="F967" i="7"/>
  <c r="F1175" i="7"/>
  <c r="G1151" i="7"/>
  <c r="F925" i="7"/>
  <c r="F341" i="7"/>
  <c r="F1050" i="7"/>
  <c r="F296" i="7"/>
  <c r="F89" i="7"/>
  <c r="F340" i="7"/>
  <c r="F297" i="7"/>
  <c r="F1134" i="7"/>
  <c r="F1008" i="7"/>
  <c r="F968" i="7"/>
  <c r="F923" i="7"/>
  <c r="G899" i="7"/>
  <c r="F1140" i="7"/>
  <c r="F1132" i="7" s="1"/>
  <c r="F1095" i="7"/>
  <c r="F1262" i="7"/>
  <c r="I936" i="7"/>
  <c r="AR936" i="7" s="1"/>
  <c r="J935" i="7"/>
  <c r="F84" i="7"/>
  <c r="F300" i="7"/>
  <c r="F1217" i="7"/>
  <c r="G1193" i="7"/>
  <c r="F1182" i="7"/>
  <c r="F1260" i="7"/>
  <c r="F87" i="7"/>
  <c r="F1098" i="7"/>
  <c r="F1263" i="7"/>
  <c r="F252" i="7"/>
  <c r="F926" i="7"/>
  <c r="F1265" i="7"/>
  <c r="F257" i="7"/>
  <c r="F881" i="7"/>
  <c r="G857" i="7"/>
  <c r="F258" i="7"/>
  <c r="F927" i="7"/>
  <c r="F169" i="7"/>
  <c r="F342" i="7"/>
  <c r="F295" i="7"/>
  <c r="F287" i="7" s="1"/>
  <c r="F126" i="7"/>
  <c r="F131" i="7"/>
  <c r="F294" i="7"/>
  <c r="F1223" i="7"/>
  <c r="F253" i="7"/>
  <c r="F299" i="7"/>
  <c r="F46" i="7"/>
  <c r="F1179" i="7"/>
  <c r="F965" i="7"/>
  <c r="G965" i="7" s="1"/>
  <c r="F1009" i="7"/>
  <c r="I96" i="7"/>
  <c r="AR96" i="7" s="1"/>
  <c r="I1146" i="7"/>
  <c r="AR1146" i="7" s="1"/>
  <c r="I12" i="7"/>
  <c r="I222" i="7"/>
  <c r="AR222" i="7" s="1"/>
  <c r="F1007" i="7"/>
  <c r="I894" i="7"/>
  <c r="AR894" i="7" s="1"/>
  <c r="I1020" i="7"/>
  <c r="AR1020" i="7" s="1"/>
  <c r="F1176" i="7"/>
  <c r="F972" i="7"/>
  <c r="I1104" i="7"/>
  <c r="AR1104" i="7" s="1"/>
  <c r="F971" i="7"/>
  <c r="F887" i="7"/>
  <c r="I978" i="7"/>
  <c r="AR978" i="7" s="1"/>
  <c r="F1094" i="7"/>
  <c r="F1012" i="7"/>
  <c r="F884" i="7"/>
  <c r="F888" i="7"/>
  <c r="I1230" i="7"/>
  <c r="AR1230" i="7" s="1"/>
  <c r="F1177" i="7"/>
  <c r="F1014" i="7"/>
  <c r="I1188" i="7"/>
  <c r="AR1188" i="7" s="1"/>
  <c r="F924" i="7"/>
  <c r="F928" i="7"/>
  <c r="F1097" i="7"/>
  <c r="F1264" i="7"/>
  <c r="I852" i="7"/>
  <c r="AR852" i="7" s="1"/>
  <c r="F1013" i="7"/>
  <c r="F969" i="7"/>
  <c r="F882" i="7"/>
  <c r="F1139" i="7"/>
  <c r="F1218" i="7"/>
  <c r="F1051" i="7"/>
  <c r="F1135" i="7"/>
  <c r="F1137" i="7"/>
  <c r="F298" i="7"/>
  <c r="F170" i="7"/>
  <c r="F132" i="7"/>
  <c r="F422" i="7"/>
  <c r="F424" i="7"/>
  <c r="F426" i="7"/>
  <c r="F381" i="7"/>
  <c r="F380" i="7"/>
  <c r="F382" i="7"/>
  <c r="I348" i="7"/>
  <c r="AR348" i="7" s="1"/>
  <c r="F384" i="7"/>
  <c r="F383" i="7"/>
  <c r="F338" i="7"/>
  <c r="V182" i="7"/>
  <c r="F172" i="7"/>
  <c r="F171" i="7"/>
  <c r="F88" i="7"/>
  <c r="F167" i="7"/>
  <c r="G167" i="7" s="1"/>
  <c r="F337" i="7"/>
  <c r="AL26" i="7"/>
  <c r="AL42" i="7"/>
  <c r="V178" i="7"/>
  <c r="V184" i="7"/>
  <c r="AJ30" i="7"/>
  <c r="AJ46" i="7"/>
  <c r="AL27" i="7"/>
  <c r="AL43" i="7"/>
  <c r="F168" i="7"/>
  <c r="F173" i="7"/>
  <c r="I306" i="7"/>
  <c r="AR306" i="7" s="1"/>
  <c r="F293" i="7"/>
  <c r="G293" i="7" s="1"/>
  <c r="I264" i="7"/>
  <c r="AR264" i="7" s="1"/>
  <c r="F256" i="7"/>
  <c r="F254" i="7"/>
  <c r="F214" i="7"/>
  <c r="F212" i="7"/>
  <c r="F216" i="7"/>
  <c r="I138" i="7"/>
  <c r="AR138" i="7" s="1"/>
  <c r="F174" i="7"/>
  <c r="F128" i="7"/>
  <c r="F130" i="7"/>
  <c r="I54" i="7"/>
  <c r="AR54" i="7" s="1"/>
  <c r="F83" i="7"/>
  <c r="G83" i="7" s="1"/>
  <c r="F34" i="7"/>
  <c r="F43" i="7"/>
  <c r="F41" i="7"/>
  <c r="G41" i="7" s="1"/>
  <c r="F44" i="7"/>
  <c r="AS978" i="7" l="1"/>
  <c r="AS219" i="7"/>
  <c r="AS305" i="7"/>
  <c r="AS388" i="7"/>
  <c r="AS1062" i="7"/>
  <c r="AS180" i="7"/>
  <c r="AS1145" i="7"/>
  <c r="AS1017" i="7"/>
  <c r="AS306" i="7"/>
  <c r="AS1059" i="7"/>
  <c r="AS220" i="7"/>
  <c r="AS177" i="7"/>
  <c r="AS1101" i="7"/>
  <c r="AS1185" i="7"/>
  <c r="AS53" i="7"/>
  <c r="AS1186" i="7"/>
  <c r="AS264" i="7"/>
  <c r="AS135" i="7"/>
  <c r="AS54" i="7"/>
  <c r="AS936" i="7"/>
  <c r="AS262" i="7"/>
  <c r="AS222" i="7"/>
  <c r="AS894" i="7"/>
  <c r="AS1229" i="7"/>
  <c r="AS182" i="7"/>
  <c r="AS1143" i="7"/>
  <c r="AS975" i="7"/>
  <c r="AS346" i="7"/>
  <c r="AS348" i="7"/>
  <c r="AS100" i="7"/>
  <c r="AS1020" i="7"/>
  <c r="AS891" i="7"/>
  <c r="AS1019" i="7"/>
  <c r="AS1187" i="7"/>
  <c r="AS261" i="7"/>
  <c r="AS141" i="7"/>
  <c r="AS10" i="7"/>
  <c r="AS303" i="7"/>
  <c r="AS304" i="7"/>
  <c r="AS892" i="7"/>
  <c r="AS1188" i="7"/>
  <c r="AS1102" i="7"/>
  <c r="AS1103" i="7"/>
  <c r="AS1104" i="7"/>
  <c r="AS390" i="7"/>
  <c r="AS93" i="7"/>
  <c r="AS935" i="7"/>
  <c r="AS1230" i="7"/>
  <c r="AS977" i="7"/>
  <c r="AS179" i="7"/>
  <c r="AS1018" i="7"/>
  <c r="AS347" i="7"/>
  <c r="AS1227" i="7"/>
  <c r="AS1060" i="7"/>
  <c r="AS934" i="7"/>
  <c r="AS389" i="7"/>
  <c r="AS387" i="7"/>
  <c r="AS1228" i="7"/>
  <c r="AS183" i="7"/>
  <c r="AS58" i="7"/>
  <c r="AS1146" i="7"/>
  <c r="AS933" i="7"/>
  <c r="AS99" i="7"/>
  <c r="AS95" i="7"/>
  <c r="AS96" i="7"/>
  <c r="AS184" i="7"/>
  <c r="AS138" i="7"/>
  <c r="AS98" i="7"/>
  <c r="AS52" i="7"/>
  <c r="AS893" i="7"/>
  <c r="AS849" i="7"/>
  <c r="AS55" i="7"/>
  <c r="AS142" i="7"/>
  <c r="AS14" i="7"/>
  <c r="AS16" i="7"/>
  <c r="AS852" i="7"/>
  <c r="AS12" i="7"/>
  <c r="AS1061" i="7"/>
  <c r="AS140" i="7"/>
  <c r="AS15" i="7"/>
  <c r="AS94" i="7"/>
  <c r="AS851" i="7"/>
  <c r="AS136" i="7"/>
  <c r="AS139" i="7"/>
  <c r="AS11" i="7"/>
  <c r="AS181" i="7"/>
  <c r="AS57" i="7"/>
  <c r="AS97" i="7"/>
  <c r="AS137" i="7"/>
  <c r="AS850" i="7"/>
  <c r="AS13" i="7"/>
  <c r="AS9" i="7"/>
  <c r="AN9" i="7"/>
  <c r="AO883" i="7"/>
  <c r="AD851" i="7" s="1"/>
  <c r="AP851" i="7"/>
  <c r="AO882" i="7"/>
  <c r="AD850" i="7" s="1"/>
  <c r="AP850" i="7"/>
  <c r="AO1133" i="7"/>
  <c r="AD1101" i="7" s="1"/>
  <c r="AO1135" i="7"/>
  <c r="AD1103" i="7" s="1"/>
  <c r="J836" i="7"/>
  <c r="AR836" i="7"/>
  <c r="I837" i="7"/>
  <c r="AR794" i="7"/>
  <c r="I795" i="7"/>
  <c r="J794" i="7"/>
  <c r="J752" i="7"/>
  <c r="AR752" i="7"/>
  <c r="I753" i="7"/>
  <c r="AR710" i="7"/>
  <c r="I711" i="7"/>
  <c r="J710" i="7"/>
  <c r="J667" i="7"/>
  <c r="I668" i="7"/>
  <c r="AR667" i="7"/>
  <c r="I626" i="7"/>
  <c r="AR625" i="7"/>
  <c r="J625" i="7"/>
  <c r="AR586" i="7"/>
  <c r="I587" i="7"/>
  <c r="J586" i="7"/>
  <c r="AR542" i="7"/>
  <c r="I543" i="7"/>
  <c r="J542" i="7"/>
  <c r="I500" i="7"/>
  <c r="J499" i="7"/>
  <c r="AR499" i="7"/>
  <c r="J459" i="7"/>
  <c r="AR459" i="7"/>
  <c r="I460" i="7"/>
  <c r="AP55" i="7"/>
  <c r="AO1077" i="7"/>
  <c r="AO197" i="7"/>
  <c r="AO1007" i="7"/>
  <c r="AD975" i="7" s="1"/>
  <c r="AO322" i="7"/>
  <c r="AO158" i="7"/>
  <c r="AO132" i="7"/>
  <c r="AD100" i="7" s="1"/>
  <c r="AO380" i="7"/>
  <c r="AD348" i="7" s="1"/>
  <c r="AO237" i="7"/>
  <c r="AO71" i="7"/>
  <c r="AO236" i="7"/>
  <c r="AO925" i="7"/>
  <c r="AD893" i="7" s="1"/>
  <c r="AO965" i="7"/>
  <c r="AD933" i="7" s="1"/>
  <c r="AO1259" i="7"/>
  <c r="AD1227" i="7" s="1"/>
  <c r="AO1094" i="7"/>
  <c r="AD1062" i="7" s="1"/>
  <c r="AO353" i="7"/>
  <c r="AO101" i="7"/>
  <c r="AM200" i="7"/>
  <c r="AO215" i="7"/>
  <c r="AD183" i="7" s="1"/>
  <c r="AO902" i="7"/>
  <c r="AO950" i="7"/>
  <c r="AO1203" i="7"/>
  <c r="AO866" i="7"/>
  <c r="AO957" i="7"/>
  <c r="AO1235" i="7"/>
  <c r="AO403" i="7"/>
  <c r="AO235" i="7"/>
  <c r="AO1193" i="7"/>
  <c r="AO867" i="7"/>
  <c r="AO907" i="7"/>
  <c r="AO1260" i="7"/>
  <c r="AD1228" i="7" s="1"/>
  <c r="AP166" i="7"/>
  <c r="AO413" i="7"/>
  <c r="AO1085" i="7"/>
  <c r="AO1251" i="7"/>
  <c r="AO1245" i="7"/>
  <c r="AO1204" i="7"/>
  <c r="AO1049" i="7"/>
  <c r="AD1017" i="7" s="1"/>
  <c r="AO1177" i="7"/>
  <c r="AD1145" i="7" s="1"/>
  <c r="AO1069" i="7"/>
  <c r="AO1246" i="7"/>
  <c r="AO404" i="7"/>
  <c r="AP79" i="7"/>
  <c r="AO60" i="7"/>
  <c r="AO68" i="7" s="1"/>
  <c r="AO171" i="7"/>
  <c r="AD139" i="7" s="1"/>
  <c r="AO1168" i="7"/>
  <c r="AO62" i="7"/>
  <c r="AP62" i="7" s="1"/>
  <c r="AP122" i="7"/>
  <c r="AO328" i="7"/>
  <c r="AO942" i="7"/>
  <c r="AO329" i="7"/>
  <c r="AO369" i="7"/>
  <c r="AO1125" i="7"/>
  <c r="AO1254" i="7"/>
  <c r="AO198" i="7"/>
  <c r="AO1118" i="7"/>
  <c r="AO994" i="7"/>
  <c r="AO272" i="7"/>
  <c r="AP80" i="7"/>
  <c r="AP165" i="7"/>
  <c r="AO1170" i="7"/>
  <c r="AO371" i="7"/>
  <c r="AO859" i="7"/>
  <c r="AP859" i="7" s="1"/>
  <c r="AO873" i="7"/>
  <c r="AP873" i="7" s="1"/>
  <c r="AO1151" i="7"/>
  <c r="AO203" i="7"/>
  <c r="AO915" i="7"/>
  <c r="AO370" i="7"/>
  <c r="AO244" i="7"/>
  <c r="AO411" i="7"/>
  <c r="AO876" i="7"/>
  <c r="AP876" i="7" s="1"/>
  <c r="AN54" i="7"/>
  <c r="AN53" i="7"/>
  <c r="AO288" i="7"/>
  <c r="AO1211" i="7"/>
  <c r="AO398" i="7"/>
  <c r="AP108" i="7"/>
  <c r="AO143" i="7"/>
  <c r="AO195" i="7"/>
  <c r="AO1154" i="7"/>
  <c r="AO314" i="7"/>
  <c r="AO146" i="7"/>
  <c r="AP146" i="7" s="1"/>
  <c r="AO1126" i="7"/>
  <c r="AO271" i="7"/>
  <c r="AO1026" i="7"/>
  <c r="AP164" i="7"/>
  <c r="AO161" i="7"/>
  <c r="AO169" i="7" s="1"/>
  <c r="AD137" i="7" s="1"/>
  <c r="AO1084" i="7"/>
  <c r="AO1111" i="7"/>
  <c r="AO120" i="7"/>
  <c r="AP120" i="7" s="1"/>
  <c r="AO1236" i="7"/>
  <c r="AP121" i="7"/>
  <c r="AO312" i="7"/>
  <c r="AO958" i="7"/>
  <c r="AO330" i="7"/>
  <c r="AO313" i="7"/>
  <c r="AJ170" i="7"/>
  <c r="AO162" i="7"/>
  <c r="AP162" i="7" s="1"/>
  <c r="AP201" i="7"/>
  <c r="AN201" i="7"/>
  <c r="AO287" i="7"/>
  <c r="AO204" i="7"/>
  <c r="AO985" i="7"/>
  <c r="AO984" i="7"/>
  <c r="AO145" i="7"/>
  <c r="AO153" i="7" s="1"/>
  <c r="AO1068" i="7"/>
  <c r="AO104" i="7"/>
  <c r="AO1128" i="7"/>
  <c r="AO246" i="7"/>
  <c r="AJ85" i="7"/>
  <c r="AO77" i="7"/>
  <c r="AO85" i="7" s="1"/>
  <c r="AD53" i="7" s="1"/>
  <c r="AO159" i="7"/>
  <c r="AO1212" i="7"/>
  <c r="AO229" i="7"/>
  <c r="AN100" i="7"/>
  <c r="AO87" i="7"/>
  <c r="AD55" i="7" s="1"/>
  <c r="AO254" i="7"/>
  <c r="AD222" i="7" s="1"/>
  <c r="AO238" i="7"/>
  <c r="AO378" i="7"/>
  <c r="AD346" i="7" s="1"/>
  <c r="AO362" i="7"/>
  <c r="AO90" i="7"/>
  <c r="AD58" i="7" s="1"/>
  <c r="AP58" i="7"/>
  <c r="AO74" i="7"/>
  <c r="AO130" i="7"/>
  <c r="AD98" i="7" s="1"/>
  <c r="AP98" i="7"/>
  <c r="AO172" i="7"/>
  <c r="AD140" i="7" s="1"/>
  <c r="AO156" i="7"/>
  <c r="AP140" i="7"/>
  <c r="AO379" i="7"/>
  <c r="AD347" i="7" s="1"/>
  <c r="AO363" i="7"/>
  <c r="AO335" i="7"/>
  <c r="AD303" i="7" s="1"/>
  <c r="AO319" i="7"/>
  <c r="AO1202" i="7"/>
  <c r="AO1218" i="7"/>
  <c r="AD1186" i="7" s="1"/>
  <c r="AO1169" i="7"/>
  <c r="AO1209" i="7"/>
  <c r="AP81" i="7"/>
  <c r="AN189" i="7"/>
  <c r="AP189" i="7"/>
  <c r="AN202" i="7"/>
  <c r="AP202" i="7"/>
  <c r="AP149" i="7"/>
  <c r="AO355" i="7"/>
  <c r="AP203" i="7"/>
  <c r="AN203" i="7"/>
  <c r="AO1195" i="7"/>
  <c r="AP205" i="7"/>
  <c r="AN205" i="7"/>
  <c r="AO1110" i="7"/>
  <c r="AO1043" i="7"/>
  <c r="AO1042" i="7"/>
  <c r="AO1001" i="7"/>
  <c r="AO1000" i="7"/>
  <c r="AO941" i="7"/>
  <c r="AO899" i="7"/>
  <c r="AO354" i="7"/>
  <c r="AO228" i="7"/>
  <c r="AO327" i="7"/>
  <c r="AO1109" i="7"/>
  <c r="AO270" i="7"/>
  <c r="AO1238" i="7"/>
  <c r="AO395" i="7"/>
  <c r="AO860" i="7"/>
  <c r="AP860" i="7" s="1"/>
  <c r="AJ69" i="7"/>
  <c r="AO61" i="7"/>
  <c r="AP61" i="7" s="1"/>
  <c r="AO245" i="7"/>
  <c r="AO1025" i="7"/>
  <c r="AO917" i="7"/>
  <c r="AN192" i="7"/>
  <c r="AP192" i="7"/>
  <c r="AN141" i="7"/>
  <c r="AO209" i="7"/>
  <c r="AD177" i="7" s="1"/>
  <c r="AO193" i="7"/>
  <c r="AO1008" i="7"/>
  <c r="AD976" i="7" s="1"/>
  <c r="AO992" i="7"/>
  <c r="AO336" i="7"/>
  <c r="AD304" i="7" s="1"/>
  <c r="AO320" i="7"/>
  <c r="AO993" i="7"/>
  <c r="AO1009" i="7"/>
  <c r="AD977" i="7" s="1"/>
  <c r="AO129" i="7"/>
  <c r="AD97" i="7" s="1"/>
  <c r="AP97" i="7"/>
  <c r="AO113" i="7"/>
  <c r="AP95" i="7"/>
  <c r="AO157" i="7"/>
  <c r="AO986" i="7"/>
  <c r="AO926" i="7"/>
  <c r="AD894" i="7" s="1"/>
  <c r="AO910" i="7"/>
  <c r="AO1075" i="7"/>
  <c r="AO1091" i="7"/>
  <c r="AD1059" i="7" s="1"/>
  <c r="AO173" i="7"/>
  <c r="AD141" i="7" s="1"/>
  <c r="AL72" i="7"/>
  <c r="AO64" i="7"/>
  <c r="AP124" i="7"/>
  <c r="AO857" i="7"/>
  <c r="AP857" i="7" s="1"/>
  <c r="AO858" i="7"/>
  <c r="AP858" i="7" s="1"/>
  <c r="AO1167" i="7"/>
  <c r="AP143" i="7"/>
  <c r="AO311" i="7"/>
  <c r="AJ127" i="7"/>
  <c r="AO119" i="7"/>
  <c r="AP119" i="7" s="1"/>
  <c r="AO1252" i="7"/>
  <c r="AO1002" i="7"/>
  <c r="AO1041" i="7"/>
  <c r="AO278" i="7"/>
  <c r="AO294" i="7"/>
  <c r="AD262" i="7" s="1"/>
  <c r="AO295" i="7"/>
  <c r="AD263" i="7" s="1"/>
  <c r="AO279" i="7"/>
  <c r="AO881" i="7"/>
  <c r="AD849" i="7" s="1"/>
  <c r="AO865" i="7"/>
  <c r="AP52" i="7"/>
  <c r="AO337" i="7"/>
  <c r="AD305" i="7" s="1"/>
  <c r="AO321" i="7"/>
  <c r="AP150" i="7"/>
  <c r="AP63" i="7"/>
  <c r="AP185" i="7"/>
  <c r="AN185" i="7"/>
  <c r="AO1036" i="7"/>
  <c r="AO1052" i="7"/>
  <c r="AD1020" i="7" s="1"/>
  <c r="AO397" i="7"/>
  <c r="AP204" i="7"/>
  <c r="AN204" i="7"/>
  <c r="AO959" i="7"/>
  <c r="AO269" i="7"/>
  <c r="AO944" i="7"/>
  <c r="AO356" i="7"/>
  <c r="AO118" i="7"/>
  <c r="AP118" i="7" s="1"/>
  <c r="AO187" i="7"/>
  <c r="AP147" i="7"/>
  <c r="AP187" i="7"/>
  <c r="AN187" i="7"/>
  <c r="AO227" i="7"/>
  <c r="AO999" i="7"/>
  <c r="AO286" i="7"/>
  <c r="AO185" i="7"/>
  <c r="AJ111" i="7"/>
  <c r="AO103" i="7"/>
  <c r="AP103" i="7" s="1"/>
  <c r="AP66" i="7"/>
  <c r="AM198" i="7"/>
  <c r="AP101" i="7"/>
  <c r="AO216" i="7"/>
  <c r="AD184" i="7" s="1"/>
  <c r="AO200" i="7"/>
  <c r="AO967" i="7"/>
  <c r="AD935" i="7" s="1"/>
  <c r="AO951" i="7"/>
  <c r="AO421" i="7"/>
  <c r="AD389" i="7" s="1"/>
  <c r="AO405" i="7"/>
  <c r="AO1092" i="7"/>
  <c r="AD1060" i="7" s="1"/>
  <c r="AO1076" i="7"/>
  <c r="AO1176" i="7"/>
  <c r="AD1144" i="7" s="1"/>
  <c r="AO1160" i="7"/>
  <c r="AO968" i="7"/>
  <c r="AD936" i="7" s="1"/>
  <c r="AO952" i="7"/>
  <c r="AP53" i="7"/>
  <c r="AO1136" i="7"/>
  <c r="AD1104" i="7" s="1"/>
  <c r="AO1120" i="7"/>
  <c r="AO1201" i="7"/>
  <c r="AO1217" i="7"/>
  <c r="AD1185" i="7" s="1"/>
  <c r="AP190" i="7"/>
  <c r="AN190" i="7"/>
  <c r="AP191" i="7"/>
  <c r="AN191" i="7"/>
  <c r="AO918" i="7"/>
  <c r="AO202" i="7"/>
  <c r="AO943" i="7"/>
  <c r="AO875" i="7"/>
  <c r="AP875" i="7" s="1"/>
  <c r="AO960" i="7"/>
  <c r="AO372" i="7"/>
  <c r="AO1028" i="7"/>
  <c r="AO414" i="7"/>
  <c r="AO874" i="7"/>
  <c r="AP874" i="7" s="1"/>
  <c r="AP163" i="7"/>
  <c r="AO983" i="7"/>
  <c r="AO1194" i="7"/>
  <c r="AO201" i="7"/>
  <c r="AP82" i="7"/>
  <c r="AO1083" i="7"/>
  <c r="AM214" i="7"/>
  <c r="AC182" i="7" s="1"/>
  <c r="AO51" i="7"/>
  <c r="AP51" i="7" s="1"/>
  <c r="AP94" i="7"/>
  <c r="AO296" i="7"/>
  <c r="AD264" i="7" s="1"/>
  <c r="AO280" i="7"/>
  <c r="AO210" i="7"/>
  <c r="AD178" i="7" s="1"/>
  <c r="AO194" i="7"/>
  <c r="AP136" i="7"/>
  <c r="AO155" i="7"/>
  <c r="AO212" i="7"/>
  <c r="AD180" i="7" s="1"/>
  <c r="AO196" i="7"/>
  <c r="AO884" i="7"/>
  <c r="AD852" i="7" s="1"/>
  <c r="AO868" i="7"/>
  <c r="AO89" i="7"/>
  <c r="AD57" i="7" s="1"/>
  <c r="AP57" i="7"/>
  <c r="AO73" i="7"/>
  <c r="AO924" i="7"/>
  <c r="AD892" i="7" s="1"/>
  <c r="AO908" i="7"/>
  <c r="AO109" i="7"/>
  <c r="AO174" i="7"/>
  <c r="AD142" i="7" s="1"/>
  <c r="AO151" i="7"/>
  <c r="AO167" i="7"/>
  <c r="AD135" i="7" s="1"/>
  <c r="AP105" i="7"/>
  <c r="AJ84" i="7"/>
  <c r="AO76" i="7"/>
  <c r="AP76" i="7" s="1"/>
  <c r="AL115" i="7"/>
  <c r="AO107" i="7"/>
  <c r="AP107" i="7" s="1"/>
  <c r="AO1153" i="7"/>
  <c r="AO144" i="7"/>
  <c r="AP144" i="7" s="1"/>
  <c r="AO186" i="7"/>
  <c r="AO285" i="7"/>
  <c r="AP65" i="7"/>
  <c r="AO1152" i="7"/>
  <c r="AO1237" i="7"/>
  <c r="AO117" i="7"/>
  <c r="AP117" i="7" s="1"/>
  <c r="AO1044" i="7"/>
  <c r="AJ110" i="7"/>
  <c r="AO102" i="7"/>
  <c r="AP102" i="7" s="1"/>
  <c r="AO188" i="7"/>
  <c r="AO1027" i="7"/>
  <c r="AP148" i="7"/>
  <c r="AP208" i="7"/>
  <c r="AN208" i="7"/>
  <c r="AO1127" i="7"/>
  <c r="AO243" i="7"/>
  <c r="AO412" i="7"/>
  <c r="AO1067" i="7"/>
  <c r="AO1196" i="7"/>
  <c r="AO900" i="7"/>
  <c r="AO1086" i="7"/>
  <c r="AO901" i="7"/>
  <c r="AP186" i="7"/>
  <c r="AN186" i="7"/>
  <c r="AN56" i="7"/>
  <c r="AO1050" i="7"/>
  <c r="AD1018" i="7" s="1"/>
  <c r="AO1034" i="7"/>
  <c r="AO88" i="7"/>
  <c r="AD56" i="7" s="1"/>
  <c r="AO377" i="7"/>
  <c r="AD345" i="7" s="1"/>
  <c r="AO361" i="7"/>
  <c r="AO1159" i="7"/>
  <c r="AO1175" i="7"/>
  <c r="AD1143" i="7" s="1"/>
  <c r="AP99" i="7"/>
  <c r="AP138" i="7"/>
  <c r="AO422" i="7"/>
  <c r="AD390" i="7" s="1"/>
  <c r="AO406" i="7"/>
  <c r="AL131" i="7"/>
  <c r="AO123" i="7"/>
  <c r="AP123" i="7" s="1"/>
  <c r="AJ168" i="7"/>
  <c r="AO160" i="7"/>
  <c r="AP160" i="7" s="1"/>
  <c r="AP206" i="7"/>
  <c r="AN206" i="7"/>
  <c r="AO1253" i="7"/>
  <c r="AN207" i="7"/>
  <c r="AP207" i="7"/>
  <c r="AJ86" i="7"/>
  <c r="AO78" i="7"/>
  <c r="AL114" i="7"/>
  <c r="AO106" i="7"/>
  <c r="AP106" i="7" s="1"/>
  <c r="AN159" i="7"/>
  <c r="AP159" i="7"/>
  <c r="AO1112" i="7"/>
  <c r="AO396" i="7"/>
  <c r="AO230" i="7"/>
  <c r="AO1210" i="7"/>
  <c r="AO916" i="7"/>
  <c r="AO1070" i="7"/>
  <c r="AP188" i="7"/>
  <c r="AN188" i="7"/>
  <c r="AO277" i="7"/>
  <c r="AO293" i="7"/>
  <c r="AD261" i="7" s="1"/>
  <c r="AO116" i="7"/>
  <c r="AO1178" i="7"/>
  <c r="AD1146" i="7" s="1"/>
  <c r="AO1162" i="7"/>
  <c r="AO1051" i="7"/>
  <c r="AD1019" i="7" s="1"/>
  <c r="AO1035" i="7"/>
  <c r="AM197" i="7"/>
  <c r="AN10" i="7"/>
  <c r="F201" i="7"/>
  <c r="G201" i="7" s="1"/>
  <c r="F1251" i="7"/>
  <c r="G1251" i="7" s="1"/>
  <c r="AM411" i="7"/>
  <c r="AM20" i="7"/>
  <c r="AM36" i="7"/>
  <c r="AM51" i="7"/>
  <c r="AN51" i="7" s="1"/>
  <c r="AM17" i="7"/>
  <c r="AM1085" i="7"/>
  <c r="AM960" i="7"/>
  <c r="AM899" i="7"/>
  <c r="AM857" i="7"/>
  <c r="AN857" i="7" s="1"/>
  <c r="AM395" i="7"/>
  <c r="AM413" i="7"/>
  <c r="AM145" i="7"/>
  <c r="AM153" i="7" s="1"/>
  <c r="AM159" i="7"/>
  <c r="AM117" i="7"/>
  <c r="AN117" i="7" s="1"/>
  <c r="AJ68" i="7"/>
  <c r="AM101" i="7"/>
  <c r="AN101" i="7" s="1"/>
  <c r="AJ125" i="7"/>
  <c r="AM1259" i="7"/>
  <c r="AC1227" i="7" s="1"/>
  <c r="AM1243" i="7"/>
  <c r="AM1260" i="7"/>
  <c r="AC1228" i="7" s="1"/>
  <c r="AM1244" i="7"/>
  <c r="AM1052" i="7"/>
  <c r="AC1020" i="7" s="1"/>
  <c r="AM1036" i="7"/>
  <c r="AM1050" i="7"/>
  <c r="AC1018" i="7" s="1"/>
  <c r="AM1034" i="7"/>
  <c r="AM923" i="7"/>
  <c r="AC891" i="7" s="1"/>
  <c r="AM907" i="7"/>
  <c r="AM254" i="7"/>
  <c r="AC222" i="7" s="1"/>
  <c r="AM238" i="7"/>
  <c r="AD1061" i="7"/>
  <c r="AM279" i="7"/>
  <c r="AM295" i="7"/>
  <c r="AC263" i="7" s="1"/>
  <c r="AM406" i="7"/>
  <c r="AM422" i="7"/>
  <c r="AC390" i="7" s="1"/>
  <c r="AD934" i="7"/>
  <c r="AM1133" i="7"/>
  <c r="AC1101" i="7" s="1"/>
  <c r="AM1117" i="7"/>
  <c r="AD179" i="7"/>
  <c r="AI129" i="7"/>
  <c r="V97" i="7" s="1"/>
  <c r="AM39" i="7"/>
  <c r="AO39" i="7"/>
  <c r="AM918" i="7"/>
  <c r="AL71" i="7"/>
  <c r="AM63" i="7"/>
  <c r="AM71" i="7" s="1"/>
  <c r="AM189" i="7"/>
  <c r="AI128" i="7"/>
  <c r="V96" i="7" s="1"/>
  <c r="AM1170" i="7"/>
  <c r="AM160" i="7"/>
  <c r="AM168" i="7" s="1"/>
  <c r="AC136" i="7" s="1"/>
  <c r="AM371" i="7"/>
  <c r="AI130" i="7"/>
  <c r="V98" i="7" s="1"/>
  <c r="AI154" i="7"/>
  <c r="AI168" i="7"/>
  <c r="V136" i="7" s="1"/>
  <c r="AM1110" i="7"/>
  <c r="AM1043" i="7"/>
  <c r="AM1042" i="7"/>
  <c r="AM1001" i="7"/>
  <c r="AM984" i="7"/>
  <c r="AI90" i="7"/>
  <c r="V58" i="7" s="1"/>
  <c r="AM24" i="7"/>
  <c r="AO24" i="7"/>
  <c r="AM106" i="7"/>
  <c r="AM114" i="7" s="1"/>
  <c r="AI68" i="7"/>
  <c r="AL171" i="7"/>
  <c r="AM163" i="7"/>
  <c r="AM171" i="7" s="1"/>
  <c r="AC139" i="7" s="1"/>
  <c r="AO34" i="7"/>
  <c r="AM34" i="7"/>
  <c r="AM42" i="7" s="1"/>
  <c r="AJ128" i="7"/>
  <c r="AM120" i="7"/>
  <c r="AM128" i="7" s="1"/>
  <c r="AC96" i="7" s="1"/>
  <c r="AM243" i="7"/>
  <c r="AM286" i="7"/>
  <c r="AM22" i="7"/>
  <c r="AO22" i="7"/>
  <c r="AL90" i="7"/>
  <c r="AM82" i="7"/>
  <c r="AM90" i="7" s="1"/>
  <c r="AC58" i="7" s="1"/>
  <c r="AM1196" i="7"/>
  <c r="AM900" i="7"/>
  <c r="AM1211" i="7"/>
  <c r="AM1086" i="7"/>
  <c r="AM378" i="7"/>
  <c r="AC346" i="7" s="1"/>
  <c r="AM362" i="7"/>
  <c r="AD891" i="7"/>
  <c r="AM1176" i="7"/>
  <c r="AC1144" i="7" s="1"/>
  <c r="AM1160" i="7"/>
  <c r="AM1245" i="7"/>
  <c r="AM1261" i="7"/>
  <c r="AC1229" i="7" s="1"/>
  <c r="AM211" i="7"/>
  <c r="AC179" i="7" s="1"/>
  <c r="AM195" i="7"/>
  <c r="AM23" i="7"/>
  <c r="AO23" i="7"/>
  <c r="AM1153" i="7"/>
  <c r="AI110" i="7"/>
  <c r="AI172" i="7"/>
  <c r="V140" i="7" s="1"/>
  <c r="AM944" i="7"/>
  <c r="AM356" i="7"/>
  <c r="AM76" i="7"/>
  <c r="AM84" i="7" s="1"/>
  <c r="AC52" i="7" s="1"/>
  <c r="AM397" i="7"/>
  <c r="AM1151" i="7"/>
  <c r="AM203" i="7"/>
  <c r="AM1000" i="7"/>
  <c r="AI71" i="7"/>
  <c r="AM18" i="7"/>
  <c r="AO18" i="7"/>
  <c r="AM192" i="7"/>
  <c r="AM1112" i="7"/>
  <c r="AM1067" i="7"/>
  <c r="AM1194" i="7"/>
  <c r="AM876" i="7"/>
  <c r="AN876" i="7" s="1"/>
  <c r="AI70" i="7"/>
  <c r="AI112" i="7"/>
  <c r="AM916" i="7"/>
  <c r="AM1070" i="7"/>
  <c r="AM167" i="7"/>
  <c r="AC135" i="7" s="1"/>
  <c r="AM294" i="7"/>
  <c r="AC262" i="7" s="1"/>
  <c r="AM278" i="7"/>
  <c r="AD387" i="7"/>
  <c r="AM253" i="7"/>
  <c r="AC221" i="7" s="1"/>
  <c r="AM237" i="7"/>
  <c r="AM296" i="7"/>
  <c r="AC264" i="7" s="1"/>
  <c r="AM280" i="7"/>
  <c r="AD1230" i="7"/>
  <c r="AM194" i="7"/>
  <c r="AM210" i="7"/>
  <c r="AC178" i="7" s="1"/>
  <c r="AM968" i="7"/>
  <c r="AC936" i="7" s="1"/>
  <c r="AM952" i="7"/>
  <c r="AM1007" i="7"/>
  <c r="AC975" i="7" s="1"/>
  <c r="AM991" i="7"/>
  <c r="AD1229" i="7"/>
  <c r="AM1009" i="7"/>
  <c r="AC977" i="7" s="1"/>
  <c r="AM993" i="7"/>
  <c r="AL89" i="7"/>
  <c r="AM81" i="7"/>
  <c r="AM89" i="7" s="1"/>
  <c r="AC57" i="7" s="1"/>
  <c r="AL174" i="7"/>
  <c r="AM166" i="7"/>
  <c r="AM174" i="7" s="1"/>
  <c r="AC142" i="7" s="1"/>
  <c r="AM202" i="7"/>
  <c r="AL88" i="7"/>
  <c r="AM80" i="7"/>
  <c r="AM88" i="7" s="1"/>
  <c r="AC56" i="7" s="1"/>
  <c r="AI155" i="7"/>
  <c r="AM959" i="7"/>
  <c r="AI69" i="7"/>
  <c r="AM875" i="7"/>
  <c r="AN875" i="7" s="1"/>
  <c r="AM372" i="7"/>
  <c r="AM206" i="7"/>
  <c r="AM78" i="7"/>
  <c r="AM86" i="7" s="1"/>
  <c r="AC54" i="7" s="1"/>
  <c r="AM398" i="7"/>
  <c r="AM858" i="7"/>
  <c r="AN858" i="7" s="1"/>
  <c r="AM1167" i="7"/>
  <c r="AM148" i="7"/>
  <c r="AM156" i="7" s="1"/>
  <c r="AL130" i="7"/>
  <c r="AM122" i="7"/>
  <c r="AM130" i="7" s="1"/>
  <c r="AC98" i="7" s="1"/>
  <c r="AM104" i="7"/>
  <c r="AM112" i="7" s="1"/>
  <c r="AM1128" i="7"/>
  <c r="AM412" i="7"/>
  <c r="AM353" i="7"/>
  <c r="AI126" i="7"/>
  <c r="V94" i="7" s="1"/>
  <c r="AI131" i="7"/>
  <c r="V99" i="7" s="1"/>
  <c r="AM1236" i="7"/>
  <c r="AM1212" i="7"/>
  <c r="AM229" i="7"/>
  <c r="AD306" i="7"/>
  <c r="AM403" i="7"/>
  <c r="AM419" i="7"/>
  <c r="AC387" i="7" s="1"/>
  <c r="AD221" i="7"/>
  <c r="AM1177" i="7"/>
  <c r="AC1145" i="7" s="1"/>
  <c r="AM1161" i="7"/>
  <c r="AM1262" i="7"/>
  <c r="AC1230" i="7" s="1"/>
  <c r="AM1246" i="7"/>
  <c r="AM1119" i="7"/>
  <c r="AM1135" i="7"/>
  <c r="AC1103" i="7" s="1"/>
  <c r="AM965" i="7"/>
  <c r="AC933" i="7" s="1"/>
  <c r="AM949" i="7"/>
  <c r="AM910" i="7"/>
  <c r="AM926" i="7"/>
  <c r="AC894" i="7" s="1"/>
  <c r="AM212" i="7"/>
  <c r="AC180" i="7" s="1"/>
  <c r="AM196" i="7"/>
  <c r="AL73" i="7"/>
  <c r="AM65" i="7"/>
  <c r="AM73" i="7" s="1"/>
  <c r="AM150" i="7"/>
  <c r="AM158" i="7" s="1"/>
  <c r="AM312" i="7"/>
  <c r="AM186" i="7"/>
  <c r="AM64" i="7"/>
  <c r="AM72" i="7" s="1"/>
  <c r="AI170" i="7"/>
  <c r="V138" i="7" s="1"/>
  <c r="AM205" i="7"/>
  <c r="AI86" i="7"/>
  <c r="V54" i="7" s="1"/>
  <c r="AM943" i="7"/>
  <c r="AI113" i="7"/>
  <c r="AI156" i="7"/>
  <c r="AM271" i="7"/>
  <c r="AM1152" i="7"/>
  <c r="AM1237" i="7"/>
  <c r="AM146" i="7"/>
  <c r="AM154" i="7" s="1"/>
  <c r="AM1028" i="7"/>
  <c r="AI88" i="7"/>
  <c r="V56" i="7" s="1"/>
  <c r="AM62" i="7"/>
  <c r="AM70" i="7" s="1"/>
  <c r="AM187" i="7"/>
  <c r="AJ67" i="7"/>
  <c r="AJ83" i="7"/>
  <c r="AJ59" i="7"/>
  <c r="AJ75" i="7"/>
  <c r="AM164" i="7"/>
  <c r="AM172" i="7" s="1"/>
  <c r="AC140" i="7" s="1"/>
  <c r="AM983" i="7"/>
  <c r="AM1127" i="7"/>
  <c r="AI84" i="7"/>
  <c r="V52" i="7" s="1"/>
  <c r="AM208" i="7"/>
  <c r="AM1083" i="7"/>
  <c r="AM396" i="7"/>
  <c r="AM230" i="7"/>
  <c r="AM1210" i="7"/>
  <c r="AM60" i="7"/>
  <c r="AM68" i="7" s="1"/>
  <c r="AM245" i="7"/>
  <c r="AM941" i="7"/>
  <c r="AM1025" i="7"/>
  <c r="AL129" i="7"/>
  <c r="AM121" i="7"/>
  <c r="AM129" i="7" s="1"/>
  <c r="AC97" i="7" s="1"/>
  <c r="AM901" i="7"/>
  <c r="AM338" i="7"/>
  <c r="AC306" i="7" s="1"/>
  <c r="AM322" i="7"/>
  <c r="AM209" i="7"/>
  <c r="AC177" i="7" s="1"/>
  <c r="AM193" i="7"/>
  <c r="AD388" i="7"/>
  <c r="AM1136" i="7"/>
  <c r="AC1104" i="7" s="1"/>
  <c r="AM1120" i="7"/>
  <c r="AM1008" i="7"/>
  <c r="AC976" i="7" s="1"/>
  <c r="AM992" i="7"/>
  <c r="AM1093" i="7"/>
  <c r="AC1061" i="7" s="1"/>
  <c r="AM1077" i="7"/>
  <c r="AM1178" i="7"/>
  <c r="AC1146" i="7" s="1"/>
  <c r="AM1162" i="7"/>
  <c r="AD1102" i="7"/>
  <c r="AM1201" i="7"/>
  <c r="AM1217" i="7"/>
  <c r="AC1185" i="7" s="1"/>
  <c r="AM107" i="7"/>
  <c r="AM115" i="7" s="1"/>
  <c r="AL158" i="7"/>
  <c r="AM328" i="7"/>
  <c r="AM1169" i="7"/>
  <c r="AJ152" i="7"/>
  <c r="AM285" i="7"/>
  <c r="AI73" i="7"/>
  <c r="AL132" i="7"/>
  <c r="AM124" i="7"/>
  <c r="AM132" i="7" s="1"/>
  <c r="AC100" i="7" s="1"/>
  <c r="AM33" i="7"/>
  <c r="AM1253" i="7"/>
  <c r="AM1044" i="7"/>
  <c r="AM190" i="7"/>
  <c r="AM118" i="7"/>
  <c r="AM126" i="7" s="1"/>
  <c r="AC94" i="7" s="1"/>
  <c r="AI111" i="7"/>
  <c r="AM414" i="7"/>
  <c r="AM874" i="7"/>
  <c r="AN874" i="7" s="1"/>
  <c r="AK59" i="7"/>
  <c r="AK67" i="7" s="1"/>
  <c r="AK75" i="7"/>
  <c r="AK83" i="7" s="1"/>
  <c r="AL156" i="7"/>
  <c r="AM957" i="7"/>
  <c r="AM207" i="7"/>
  <c r="AI85" i="7"/>
  <c r="V53" i="7" s="1"/>
  <c r="AJ169" i="7"/>
  <c r="AM161" i="7"/>
  <c r="AM169" i="7" s="1"/>
  <c r="AC137" i="7" s="1"/>
  <c r="AM1084" i="7"/>
  <c r="AM1111" i="7"/>
  <c r="AM143" i="7"/>
  <c r="AN143" i="7" s="1"/>
  <c r="AM246" i="7"/>
  <c r="AM185" i="7"/>
  <c r="AM986" i="7"/>
  <c r="AM19" i="7"/>
  <c r="AO19" i="7"/>
  <c r="AL113" i="7"/>
  <c r="AM105" i="7"/>
  <c r="AM113" i="7" s="1"/>
  <c r="AM1204" i="7"/>
  <c r="AM1220" i="7"/>
  <c r="AC1188" i="7" s="1"/>
  <c r="AM420" i="7"/>
  <c r="AC388" i="7" s="1"/>
  <c r="AM404" i="7"/>
  <c r="AM1218" i="7"/>
  <c r="AC1186" i="7" s="1"/>
  <c r="AM1202" i="7"/>
  <c r="AM925" i="7"/>
  <c r="AC893" i="7" s="1"/>
  <c r="AM909" i="7"/>
  <c r="AM252" i="7"/>
  <c r="AC220" i="7" s="1"/>
  <c r="AM236" i="7"/>
  <c r="AM364" i="7"/>
  <c r="AM380" i="7"/>
  <c r="AC348" i="7" s="1"/>
  <c r="AM884" i="7"/>
  <c r="AC852" i="7" s="1"/>
  <c r="AM337" i="7"/>
  <c r="AC305" i="7" s="1"/>
  <c r="AM321" i="7"/>
  <c r="AM1134" i="7"/>
  <c r="AC1102" i="7" s="1"/>
  <c r="AM1118" i="7"/>
  <c r="AM902" i="7"/>
  <c r="AM272" i="7"/>
  <c r="AM958" i="7"/>
  <c r="AM269" i="7"/>
  <c r="AM1193" i="7"/>
  <c r="AI158" i="7"/>
  <c r="AM1235" i="7"/>
  <c r="AM1154" i="7"/>
  <c r="AM314" i="7"/>
  <c r="AI72" i="7"/>
  <c r="AL116" i="7"/>
  <c r="AM108" i="7"/>
  <c r="AM116" i="7" s="1"/>
  <c r="AI174" i="7"/>
  <c r="V142" i="7" s="1"/>
  <c r="AM215" i="7"/>
  <c r="AC183" i="7" s="1"/>
  <c r="AM199" i="7"/>
  <c r="AM1168" i="7"/>
  <c r="AM313" i="7"/>
  <c r="AJ154" i="7"/>
  <c r="AI132" i="7"/>
  <c r="V100" i="7" s="1"/>
  <c r="AM188" i="7"/>
  <c r="AM1027" i="7"/>
  <c r="AL83" i="7"/>
  <c r="AL59" i="7"/>
  <c r="AL67" i="7" s="1"/>
  <c r="AL75" i="7"/>
  <c r="AL172" i="7"/>
  <c r="AM191" i="7"/>
  <c r="AJ153" i="7"/>
  <c r="AM1068" i="7"/>
  <c r="AM327" i="7"/>
  <c r="AM1109" i="7"/>
  <c r="AM270" i="7"/>
  <c r="AM1238" i="7"/>
  <c r="AM201" i="7"/>
  <c r="AM119" i="7"/>
  <c r="AM127" i="7" s="1"/>
  <c r="AC95" i="7" s="1"/>
  <c r="AM21" i="7"/>
  <c r="AO21" i="7"/>
  <c r="AM77" i="7"/>
  <c r="AM85" i="7" s="1"/>
  <c r="AC53" i="7" s="1"/>
  <c r="AM1252" i="7"/>
  <c r="AM1041" i="7"/>
  <c r="AM35" i="7"/>
  <c r="AO35" i="7"/>
  <c r="AM251" i="7"/>
  <c r="AC219" i="7" s="1"/>
  <c r="AM235" i="7"/>
  <c r="AM421" i="7"/>
  <c r="AC389" i="7" s="1"/>
  <c r="AM405" i="7"/>
  <c r="AM1175" i="7"/>
  <c r="AC1143" i="7" s="1"/>
  <c r="AM1159" i="7"/>
  <c r="AD978" i="7"/>
  <c r="AM1203" i="7"/>
  <c r="AM1219" i="7"/>
  <c r="AC1187" i="7" s="1"/>
  <c r="AD220" i="7"/>
  <c r="AM336" i="7"/>
  <c r="AC304" i="7" s="1"/>
  <c r="AM320" i="7"/>
  <c r="AM967" i="7"/>
  <c r="AC935" i="7" s="1"/>
  <c r="AM951" i="7"/>
  <c r="AM277" i="7"/>
  <c r="AM293" i="7"/>
  <c r="AC261" i="7" s="1"/>
  <c r="AM1051" i="7"/>
  <c r="AC1019" i="7" s="1"/>
  <c r="AM1035" i="7"/>
  <c r="AM319" i="7"/>
  <c r="AM335" i="7"/>
  <c r="AC303" i="7" s="1"/>
  <c r="AM866" i="7"/>
  <c r="AM882" i="7"/>
  <c r="AC850" i="7" s="1"/>
  <c r="AI157" i="7"/>
  <c r="AM288" i="7"/>
  <c r="AM942" i="7"/>
  <c r="AI89" i="7"/>
  <c r="V57" i="7" s="1"/>
  <c r="AI169" i="7"/>
  <c r="V137" i="7" s="1"/>
  <c r="AL157" i="7"/>
  <c r="AM149" i="7"/>
  <c r="AM157" i="7" s="1"/>
  <c r="AM1251" i="7"/>
  <c r="AM144" i="7"/>
  <c r="AM152" i="7" s="1"/>
  <c r="AM330" i="7"/>
  <c r="AI116" i="7"/>
  <c r="AM329" i="7"/>
  <c r="AM125" i="7"/>
  <c r="AC93" i="7" s="1"/>
  <c r="AM109" i="7"/>
  <c r="AM162" i="7"/>
  <c r="AM170" i="7" s="1"/>
  <c r="AC138" i="7" s="1"/>
  <c r="AI114" i="7"/>
  <c r="AI171" i="7"/>
  <c r="V139" i="7" s="1"/>
  <c r="AM1126" i="7"/>
  <c r="AM1026" i="7"/>
  <c r="AI127" i="7"/>
  <c r="V95" i="7" s="1"/>
  <c r="AI74" i="7"/>
  <c r="AM354" i="7"/>
  <c r="AM228" i="7"/>
  <c r="AI115" i="7"/>
  <c r="AM227" i="7"/>
  <c r="AM1125" i="7"/>
  <c r="AM1254" i="7"/>
  <c r="AM103" i="7"/>
  <c r="AM111" i="7" s="1"/>
  <c r="AO36" i="7"/>
  <c r="AM61" i="7"/>
  <c r="AM69" i="7" s="1"/>
  <c r="AI173" i="7"/>
  <c r="V141" i="7" s="1"/>
  <c r="AM917" i="7"/>
  <c r="AM924" i="7"/>
  <c r="AC892" i="7" s="1"/>
  <c r="AM908" i="7"/>
  <c r="AD219" i="7"/>
  <c r="AD1188" i="7"/>
  <c r="AM377" i="7"/>
  <c r="AC345" i="7" s="1"/>
  <c r="AM361" i="7"/>
  <c r="AM994" i="7"/>
  <c r="AM1010" i="7"/>
  <c r="AC978" i="7" s="1"/>
  <c r="AD1187" i="7"/>
  <c r="AM1076" i="7"/>
  <c r="AM1092" i="7"/>
  <c r="AC1060" i="7" s="1"/>
  <c r="AM1091" i="7"/>
  <c r="AC1059" i="7" s="1"/>
  <c r="AM1075" i="7"/>
  <c r="AM1078" i="7"/>
  <c r="AM1094" i="7"/>
  <c r="AC1062" i="7" s="1"/>
  <c r="AM1049" i="7"/>
  <c r="AC1017" i="7" s="1"/>
  <c r="AM1033" i="7"/>
  <c r="AM950" i="7"/>
  <c r="AM966" i="7"/>
  <c r="AC934" i="7" s="1"/>
  <c r="AM379" i="7"/>
  <c r="AC347" i="7" s="1"/>
  <c r="AM363" i="7"/>
  <c r="AM123" i="7"/>
  <c r="AM131" i="7" s="1"/>
  <c r="AC99" i="7" s="1"/>
  <c r="AL87" i="7"/>
  <c r="AM79" i="7"/>
  <c r="AM87" i="7" s="1"/>
  <c r="AC55" i="7" s="1"/>
  <c r="AL173" i="7"/>
  <c r="AM165" i="7"/>
  <c r="AM173" i="7" s="1"/>
  <c r="AC141" i="7" s="1"/>
  <c r="AM355" i="7"/>
  <c r="AI87" i="7"/>
  <c r="V55" i="7" s="1"/>
  <c r="AM859" i="7"/>
  <c r="AN859" i="7" s="1"/>
  <c r="AM873" i="7"/>
  <c r="AN873" i="7" s="1"/>
  <c r="AM1209" i="7"/>
  <c r="AM1195" i="7"/>
  <c r="AM1069" i="7"/>
  <c r="AM369" i="7"/>
  <c r="AM102" i="7"/>
  <c r="AM110" i="7" s="1"/>
  <c r="AM287" i="7"/>
  <c r="AM204" i="7"/>
  <c r="AM985" i="7"/>
  <c r="AM40" i="7"/>
  <c r="AO40" i="7"/>
  <c r="AI153" i="7"/>
  <c r="AL155" i="7"/>
  <c r="AM147" i="7"/>
  <c r="AM155" i="7" s="1"/>
  <c r="AM915" i="7"/>
  <c r="AM370" i="7"/>
  <c r="AM244" i="7"/>
  <c r="AI152" i="7"/>
  <c r="AJ112" i="7"/>
  <c r="AM999" i="7"/>
  <c r="AM311" i="7"/>
  <c r="AM1002" i="7"/>
  <c r="AM860" i="7"/>
  <c r="AN860" i="7" s="1"/>
  <c r="AM38" i="7"/>
  <c r="AO38" i="7"/>
  <c r="AO20" i="7"/>
  <c r="AM37" i="7"/>
  <c r="AO37" i="7"/>
  <c r="AL74" i="7"/>
  <c r="AM66" i="7"/>
  <c r="AM74" i="7" s="1"/>
  <c r="F243" i="7"/>
  <c r="G243" i="7" s="1"/>
  <c r="J12" i="7"/>
  <c r="AR12" i="7"/>
  <c r="J1188" i="7"/>
  <c r="J1104" i="7"/>
  <c r="J348" i="7"/>
  <c r="J180" i="7"/>
  <c r="J978" i="7"/>
  <c r="J1062" i="7"/>
  <c r="J936" i="7"/>
  <c r="J264" i="7"/>
  <c r="J1230" i="7"/>
  <c r="J894" i="7"/>
  <c r="J306" i="7"/>
  <c r="J1020" i="7"/>
  <c r="J390" i="7"/>
  <c r="J54" i="7"/>
  <c r="J1146" i="7"/>
  <c r="J852" i="7"/>
  <c r="J138" i="7"/>
  <c r="J222" i="7"/>
  <c r="F369" i="7"/>
  <c r="G369" i="7" s="1"/>
  <c r="D66" i="8"/>
  <c r="B65" i="8"/>
  <c r="D75" i="8"/>
  <c r="B74" i="8"/>
  <c r="D84" i="8"/>
  <c r="B83" i="8"/>
  <c r="F327" i="7"/>
  <c r="G327" i="7" s="1"/>
  <c r="F878" i="7"/>
  <c r="F413" i="7"/>
  <c r="F205" i="7"/>
  <c r="F1211" i="7"/>
  <c r="F1212" i="7"/>
  <c r="F1125" i="7"/>
  <c r="G1125" i="7" s="1"/>
  <c r="F1084" i="7"/>
  <c r="F1046" i="7"/>
  <c r="F1041" i="7"/>
  <c r="G1041" i="7" s="1"/>
  <c r="F334" i="7"/>
  <c r="F958" i="7"/>
  <c r="F877" i="7"/>
  <c r="F1254" i="7"/>
  <c r="F78" i="7"/>
  <c r="I937" i="7"/>
  <c r="AR937" i="7" s="1"/>
  <c r="F77" i="7"/>
  <c r="F119" i="7"/>
  <c r="F1130" i="7"/>
  <c r="F1045" i="7"/>
  <c r="F1002" i="7"/>
  <c r="F332" i="7"/>
  <c r="F411" i="7"/>
  <c r="G411" i="7" s="1"/>
  <c r="F1253" i="7"/>
  <c r="F37" i="7"/>
  <c r="F371" i="7"/>
  <c r="F1215" i="7"/>
  <c r="F1047" i="7"/>
  <c r="F370" i="7"/>
  <c r="F250" i="7"/>
  <c r="F118" i="7"/>
  <c r="F76" i="7"/>
  <c r="F117" i="7"/>
  <c r="G117" i="7" s="1"/>
  <c r="I391" i="7"/>
  <c r="AR391" i="7" s="1"/>
  <c r="F289" i="7"/>
  <c r="F1083" i="7"/>
  <c r="G1083" i="7" s="1"/>
  <c r="I1063" i="7"/>
  <c r="AR1063" i="7" s="1"/>
  <c r="F161" i="7"/>
  <c r="F292" i="7"/>
  <c r="F1087" i="7"/>
  <c r="F1044" i="7"/>
  <c r="F1252" i="7"/>
  <c r="F1168" i="7"/>
  <c r="F873" i="7"/>
  <c r="G873" i="7" s="1"/>
  <c r="G881" i="7"/>
  <c r="F81" i="7"/>
  <c r="F917" i="7"/>
  <c r="F1170" i="7"/>
  <c r="F1171" i="7"/>
  <c r="F1258" i="7"/>
  <c r="F288" i="7"/>
  <c r="F163" i="7"/>
  <c r="F290" i="7"/>
  <c r="F1000" i="7"/>
  <c r="F1001" i="7"/>
  <c r="F38" i="7"/>
  <c r="F249" i="7"/>
  <c r="F1255" i="7"/>
  <c r="F1174" i="7"/>
  <c r="F1173" i="7"/>
  <c r="G1175" i="7"/>
  <c r="F1167" i="7"/>
  <c r="G1167" i="7" s="1"/>
  <c r="F123" i="7"/>
  <c r="F919" i="7"/>
  <c r="F1042" i="7"/>
  <c r="F959" i="7"/>
  <c r="F1128" i="7"/>
  <c r="F244" i="7"/>
  <c r="F80" i="7"/>
  <c r="F286" i="7"/>
  <c r="F1126" i="7"/>
  <c r="F291" i="7"/>
  <c r="F1257" i="7"/>
  <c r="F1090" i="7"/>
  <c r="G1217" i="7"/>
  <c r="F1209" i="7"/>
  <c r="G1209" i="7" s="1"/>
  <c r="F915" i="7"/>
  <c r="G915" i="7" s="1"/>
  <c r="G923" i="7"/>
  <c r="F999" i="7"/>
  <c r="G999" i="7" s="1"/>
  <c r="G1007" i="7"/>
  <c r="I97" i="7"/>
  <c r="AR97" i="7" s="1"/>
  <c r="J96" i="7"/>
  <c r="I181" i="7"/>
  <c r="AR181" i="7" s="1"/>
  <c r="F124" i="7"/>
  <c r="F162" i="7"/>
  <c r="F333" i="7"/>
  <c r="F1088" i="7"/>
  <c r="F245" i="7"/>
  <c r="F918" i="7"/>
  <c r="F79" i="7"/>
  <c r="F960" i="7"/>
  <c r="F1172" i="7"/>
  <c r="F957" i="7"/>
  <c r="G957" i="7" s="1"/>
  <c r="F879" i="7"/>
  <c r="I1147" i="7"/>
  <c r="AR1147" i="7" s="1"/>
  <c r="F964" i="7"/>
  <c r="F963" i="7"/>
  <c r="I223" i="7"/>
  <c r="AR223" i="7" s="1"/>
  <c r="I13" i="7"/>
  <c r="AR13" i="7" s="1"/>
  <c r="I1021" i="7"/>
  <c r="AR1021" i="7" s="1"/>
  <c r="I895" i="7"/>
  <c r="AR895" i="7" s="1"/>
  <c r="I1105" i="7"/>
  <c r="AR1105" i="7" s="1"/>
  <c r="I979" i="7"/>
  <c r="AR979" i="7" s="1"/>
  <c r="F1004" i="7"/>
  <c r="F1086" i="7"/>
  <c r="F961" i="7"/>
  <c r="F916" i="7"/>
  <c r="F1169" i="7"/>
  <c r="F876" i="7"/>
  <c r="F1005" i="7"/>
  <c r="F1131" i="7"/>
  <c r="I853" i="7"/>
  <c r="AR853" i="7" s="1"/>
  <c r="F1256" i="7"/>
  <c r="F920" i="7"/>
  <c r="F880" i="7"/>
  <c r="F874" i="7"/>
  <c r="F1006" i="7"/>
  <c r="F1210" i="7"/>
  <c r="F1089" i="7"/>
  <c r="I1189" i="7"/>
  <c r="AR1189" i="7" s="1"/>
  <c r="F1129" i="7"/>
  <c r="F1127" i="7"/>
  <c r="F1043" i="7"/>
  <c r="I1231" i="7"/>
  <c r="AR1231" i="7" s="1"/>
  <c r="F329" i="7"/>
  <c r="F159" i="7"/>
  <c r="G159" i="7" s="1"/>
  <c r="F164" i="7"/>
  <c r="F418" i="7"/>
  <c r="F416" i="7"/>
  <c r="F414" i="7"/>
  <c r="F372" i="7"/>
  <c r="F373" i="7"/>
  <c r="F376" i="7"/>
  <c r="I349" i="7"/>
  <c r="AR349" i="7" s="1"/>
  <c r="F374" i="7"/>
  <c r="F375" i="7"/>
  <c r="F330" i="7"/>
  <c r="F160" i="7"/>
  <c r="F165" i="7"/>
  <c r="I307" i="7"/>
  <c r="AR307" i="7" s="1"/>
  <c r="I265" i="7"/>
  <c r="AR265" i="7" s="1"/>
  <c r="F285" i="7"/>
  <c r="G285" i="7" s="1"/>
  <c r="F246" i="7"/>
  <c r="F248" i="7"/>
  <c r="F204" i="7"/>
  <c r="F208" i="7"/>
  <c r="F206" i="7"/>
  <c r="I139" i="7"/>
  <c r="AR139" i="7" s="1"/>
  <c r="F166" i="7"/>
  <c r="F120" i="7"/>
  <c r="F122" i="7"/>
  <c r="I55" i="7"/>
  <c r="AR55" i="7" s="1"/>
  <c r="F75" i="7"/>
  <c r="G75" i="7" s="1"/>
  <c r="F35" i="7"/>
  <c r="F33" i="7"/>
  <c r="G33" i="7" s="1"/>
  <c r="F36" i="7"/>
  <c r="AM151" i="7" l="1"/>
  <c r="AO125" i="7"/>
  <c r="AD93" i="7" s="1"/>
  <c r="AS51" i="7"/>
  <c r="AM883" i="7"/>
  <c r="AC851" i="7" s="1"/>
  <c r="AM867" i="7"/>
  <c r="AM881" i="7"/>
  <c r="AC849" i="7" s="1"/>
  <c r="AM865" i="7"/>
  <c r="AM868" i="7"/>
  <c r="J837" i="7"/>
  <c r="I838" i="7"/>
  <c r="AR837" i="7"/>
  <c r="J795" i="7"/>
  <c r="AR795" i="7"/>
  <c r="I796" i="7"/>
  <c r="J753" i="7"/>
  <c r="AR753" i="7"/>
  <c r="I754" i="7"/>
  <c r="J711" i="7"/>
  <c r="AR711" i="7"/>
  <c r="I712" i="7"/>
  <c r="J668" i="7"/>
  <c r="I669" i="7"/>
  <c r="AR668" i="7"/>
  <c r="J626" i="7"/>
  <c r="AR626" i="7"/>
  <c r="I627" i="7"/>
  <c r="I588" i="7"/>
  <c r="J587" i="7"/>
  <c r="AR587" i="7"/>
  <c r="J543" i="7"/>
  <c r="I544" i="7"/>
  <c r="AR543" i="7"/>
  <c r="J500" i="7"/>
  <c r="AR500" i="7"/>
  <c r="I501" i="7"/>
  <c r="AR460" i="7"/>
  <c r="J460" i="7"/>
  <c r="I461" i="7"/>
  <c r="AS370" i="7"/>
  <c r="AO69" i="7"/>
  <c r="AP60" i="7"/>
  <c r="AS1193" i="7"/>
  <c r="AO154" i="7"/>
  <c r="AS270" i="7"/>
  <c r="AO70" i="7"/>
  <c r="AS1085" i="7"/>
  <c r="AO170" i="7"/>
  <c r="AD138" i="7" s="1"/>
  <c r="AO111" i="7"/>
  <c r="AN61" i="7"/>
  <c r="AO59" i="7"/>
  <c r="AP59" i="7" s="1"/>
  <c r="AN76" i="7"/>
  <c r="AN78" i="7"/>
  <c r="AP161" i="7"/>
  <c r="AO128" i="7"/>
  <c r="AD96" i="7" s="1"/>
  <c r="AN149" i="7"/>
  <c r="AN102" i="7"/>
  <c r="AO83" i="7"/>
  <c r="AD51" i="7" s="1"/>
  <c r="AO67" i="7"/>
  <c r="AN80" i="7"/>
  <c r="AN147" i="7"/>
  <c r="AN62" i="7"/>
  <c r="AN144" i="7"/>
  <c r="AN81" i="7"/>
  <c r="AN145" i="7"/>
  <c r="AN163" i="7"/>
  <c r="AO131" i="7"/>
  <c r="AD99" i="7" s="1"/>
  <c r="AN105" i="7"/>
  <c r="AN166" i="7"/>
  <c r="AN164" i="7"/>
  <c r="AO127" i="7"/>
  <c r="AD95" i="7" s="1"/>
  <c r="AN79" i="7"/>
  <c r="AP145" i="7"/>
  <c r="AP78" i="7"/>
  <c r="AO86" i="7"/>
  <c r="AD54" i="7" s="1"/>
  <c r="AO115" i="7"/>
  <c r="AN120" i="7"/>
  <c r="AN119" i="7"/>
  <c r="AN162" i="7"/>
  <c r="AS999" i="7"/>
  <c r="AO75" i="7"/>
  <c r="AP75" i="7" s="1"/>
  <c r="AN64" i="7"/>
  <c r="AN104" i="7"/>
  <c r="AO126" i="7"/>
  <c r="AD94" i="7" s="1"/>
  <c r="AN60" i="7"/>
  <c r="AO84" i="7"/>
  <c r="AD52" i="7" s="1"/>
  <c r="AN161" i="7"/>
  <c r="AN165" i="7"/>
  <c r="AP104" i="7"/>
  <c r="AO112" i="7"/>
  <c r="AN103" i="7"/>
  <c r="AN65" i="7"/>
  <c r="AO168" i="7"/>
  <c r="AD136" i="7" s="1"/>
  <c r="AO110" i="7"/>
  <c r="AN123" i="7"/>
  <c r="AN77" i="7"/>
  <c r="AN82" i="7"/>
  <c r="AN63" i="7"/>
  <c r="AN66" i="7"/>
  <c r="AN107" i="7"/>
  <c r="AO152" i="7"/>
  <c r="AP77" i="7"/>
  <c r="AN122" i="7"/>
  <c r="AN106" i="7"/>
  <c r="AN160" i="7"/>
  <c r="AP64" i="7"/>
  <c r="AO72" i="7"/>
  <c r="AN121" i="7"/>
  <c r="AN124" i="7"/>
  <c r="AN146" i="7"/>
  <c r="AN118" i="7"/>
  <c r="AN108" i="7"/>
  <c r="AN150" i="7"/>
  <c r="AO114" i="7"/>
  <c r="AN148" i="7"/>
  <c r="AS1126" i="7"/>
  <c r="AS1211" i="7"/>
  <c r="AS1084" i="7"/>
  <c r="AS159" i="7"/>
  <c r="AS1083" i="7"/>
  <c r="AS1167" i="7"/>
  <c r="AS899" i="7"/>
  <c r="AS329" i="7"/>
  <c r="AS1027" i="7"/>
  <c r="AS243" i="7"/>
  <c r="AS1069" i="7"/>
  <c r="AS959" i="7"/>
  <c r="AS916" i="7"/>
  <c r="AS1002" i="7"/>
  <c r="AS286" i="7"/>
  <c r="AS915" i="7"/>
  <c r="AS873" i="7"/>
  <c r="AS1068" i="7"/>
  <c r="AS117" i="7"/>
  <c r="AS1169" i="7"/>
  <c r="AS1195" i="7"/>
  <c r="AS1025" i="7"/>
  <c r="AS960" i="7"/>
  <c r="AS396" i="7"/>
  <c r="AS1041" i="7"/>
  <c r="AS192" i="7"/>
  <c r="AS203" i="7"/>
  <c r="AS957" i="7"/>
  <c r="AS944" i="7"/>
  <c r="AS1001" i="7"/>
  <c r="AS985" i="7"/>
  <c r="AS143" i="7"/>
  <c r="AS874" i="7"/>
  <c r="AS395" i="7"/>
  <c r="AS313" i="7"/>
  <c r="AS101" i="7"/>
  <c r="AS411" i="7"/>
  <c r="AS1086" i="7"/>
  <c r="AS311" i="7"/>
  <c r="AS76" i="7"/>
  <c r="AS161" i="7"/>
  <c r="AS187" i="7"/>
  <c r="AS206" i="7"/>
  <c r="AS369" i="7"/>
  <c r="AS355" i="7"/>
  <c r="AS271" i="7"/>
  <c r="AS986" i="7"/>
  <c r="AS285" i="7"/>
  <c r="AS312" i="7"/>
  <c r="AS229" i="7"/>
  <c r="AS1170" i="7"/>
  <c r="AS148" i="7"/>
  <c r="AS245" i="7"/>
  <c r="AS287" i="7"/>
  <c r="AS1111" i="7"/>
  <c r="AS1112" i="7"/>
  <c r="AS1000" i="7"/>
  <c r="AS269" i="7"/>
  <c r="AS1044" i="7"/>
  <c r="AS1210" i="7"/>
  <c r="AS943" i="7"/>
  <c r="AS1026" i="7"/>
  <c r="AS1154" i="7"/>
  <c r="AS958" i="7"/>
  <c r="AS414" i="7"/>
  <c r="AS372" i="7"/>
  <c r="AS1196" i="7"/>
  <c r="AS204" i="7"/>
  <c r="AS79" i="7"/>
  <c r="AS124" i="7"/>
  <c r="AS190" i="7"/>
  <c r="AS1110" i="7"/>
  <c r="AS1127" i="7"/>
  <c r="AS901" i="7"/>
  <c r="AS1251" i="7"/>
  <c r="AS1067" i="7"/>
  <c r="AS60" i="7"/>
  <c r="AS1254" i="7"/>
  <c r="AS942" i="7"/>
  <c r="AS413" i="7"/>
  <c r="AS1253" i="7"/>
  <c r="AS397" i="7"/>
  <c r="AS860" i="7"/>
  <c r="AS227" i="7"/>
  <c r="AS272" i="7"/>
  <c r="AS1125" i="7"/>
  <c r="AS327" i="7"/>
  <c r="AS191" i="7"/>
  <c r="AS188" i="7"/>
  <c r="AS64" i="7"/>
  <c r="AS207" i="7"/>
  <c r="AS205" i="7"/>
  <c r="AS189" i="7"/>
  <c r="AS1028" i="7"/>
  <c r="AS876" i="7"/>
  <c r="AS1235" i="7"/>
  <c r="AS1237" i="7"/>
  <c r="AS1236" i="7"/>
  <c r="AS1209" i="7"/>
  <c r="AS1194" i="7"/>
  <c r="AS1153" i="7"/>
  <c r="AS1168" i="7"/>
  <c r="AS1151" i="7"/>
  <c r="AS1109" i="7"/>
  <c r="AS1070" i="7"/>
  <c r="AS1043" i="7"/>
  <c r="AS1042" i="7"/>
  <c r="AS941" i="7"/>
  <c r="AS917" i="7"/>
  <c r="AS918" i="7"/>
  <c r="AS857" i="7"/>
  <c r="AS875" i="7"/>
  <c r="AS859" i="7"/>
  <c r="AS858" i="7"/>
  <c r="AS353" i="7"/>
  <c r="AS356" i="7"/>
  <c r="AS371" i="7"/>
  <c r="AS288" i="7"/>
  <c r="AS201" i="7"/>
  <c r="AS246" i="7"/>
  <c r="AS185" i="7"/>
  <c r="AS186" i="7"/>
  <c r="AS150" i="7"/>
  <c r="AS163" i="7"/>
  <c r="AS166" i="7"/>
  <c r="AS165" i="7"/>
  <c r="AS106" i="7"/>
  <c r="AS103" i="7"/>
  <c r="AS123" i="7"/>
  <c r="AS119" i="7"/>
  <c r="AS121" i="7"/>
  <c r="AS63" i="7"/>
  <c r="AS145" i="7"/>
  <c r="AS354" i="7"/>
  <c r="AS149" i="7"/>
  <c r="AM75" i="7"/>
  <c r="AS118" i="7"/>
  <c r="AS62" i="7"/>
  <c r="AS81" i="7"/>
  <c r="AM59" i="7"/>
  <c r="AN59" i="7" s="1"/>
  <c r="AS105" i="7"/>
  <c r="AS122" i="7"/>
  <c r="AS120" i="7"/>
  <c r="AS144" i="7"/>
  <c r="AS1238" i="7"/>
  <c r="AS902" i="7"/>
  <c r="AS80" i="7"/>
  <c r="AS162" i="7"/>
  <c r="AS1212" i="7"/>
  <c r="AS147" i="7"/>
  <c r="AS164" i="7"/>
  <c r="AS66" i="7"/>
  <c r="AS108" i="7"/>
  <c r="AS328" i="7"/>
  <c r="AS1152" i="7"/>
  <c r="AS412" i="7"/>
  <c r="AS61" i="7"/>
  <c r="AS983" i="7"/>
  <c r="AS160" i="7"/>
  <c r="AS107" i="7"/>
  <c r="AS82" i="7"/>
  <c r="AS244" i="7"/>
  <c r="AS330" i="7"/>
  <c r="AS1252" i="7"/>
  <c r="AS314" i="7"/>
  <c r="AS77" i="7"/>
  <c r="AS65" i="7"/>
  <c r="AS208" i="7"/>
  <c r="AS1128" i="7"/>
  <c r="AS398" i="7"/>
  <c r="AS102" i="7"/>
  <c r="AS900" i="7"/>
  <c r="AS228" i="7"/>
  <c r="AS230" i="7"/>
  <c r="AM67" i="7"/>
  <c r="AS78" i="7"/>
  <c r="AS202" i="7"/>
  <c r="AS104" i="7"/>
  <c r="AS984" i="7"/>
  <c r="AS146" i="7"/>
  <c r="J307" i="7"/>
  <c r="J349" i="7"/>
  <c r="J979" i="7"/>
  <c r="J1021" i="7"/>
  <c r="J265" i="7"/>
  <c r="J1189" i="7"/>
  <c r="J853" i="7"/>
  <c r="J1105" i="7"/>
  <c r="J391" i="7"/>
  <c r="J97" i="7"/>
  <c r="J1147" i="7"/>
  <c r="J139" i="7"/>
  <c r="J1231" i="7"/>
  <c r="J181" i="7"/>
  <c r="J55" i="7"/>
  <c r="J895" i="7"/>
  <c r="J1063" i="7"/>
  <c r="J937" i="7"/>
  <c r="M14" i="4" a="1"/>
  <c r="M14" i="4" s="1"/>
  <c r="D85" i="8"/>
  <c r="B84" i="8"/>
  <c r="D76" i="8"/>
  <c r="B75" i="8"/>
  <c r="D67" i="8"/>
  <c r="B66" i="8"/>
  <c r="I938" i="7"/>
  <c r="AR938" i="7" s="1"/>
  <c r="I392" i="7"/>
  <c r="AR392" i="7" s="1"/>
  <c r="I1064" i="7"/>
  <c r="AR1064" i="7" s="1"/>
  <c r="I182" i="7"/>
  <c r="AR182" i="7" s="1"/>
  <c r="I14" i="7"/>
  <c r="J13" i="7"/>
  <c r="I98" i="7"/>
  <c r="AR98" i="7" s="1"/>
  <c r="I224" i="7"/>
  <c r="AR224" i="7" s="1"/>
  <c r="J223" i="7"/>
  <c r="I1148" i="7"/>
  <c r="AR1148" i="7" s="1"/>
  <c r="I1022" i="7"/>
  <c r="AR1022" i="7" s="1"/>
  <c r="I1106" i="7"/>
  <c r="AR1106" i="7" s="1"/>
  <c r="I896" i="7"/>
  <c r="AR896" i="7" s="1"/>
  <c r="I980" i="7"/>
  <c r="AR980" i="7" s="1"/>
  <c r="I854" i="7"/>
  <c r="AR854" i="7" s="1"/>
  <c r="I1232" i="7"/>
  <c r="AR1232" i="7" s="1"/>
  <c r="I1190" i="7"/>
  <c r="AR1190" i="7" s="1"/>
  <c r="I350" i="7"/>
  <c r="AR350" i="7" s="1"/>
  <c r="I308" i="7"/>
  <c r="AR308" i="7" s="1"/>
  <c r="I266" i="7"/>
  <c r="AR266" i="7" s="1"/>
  <c r="I140" i="7"/>
  <c r="AR140" i="7" s="1"/>
  <c r="I56" i="7"/>
  <c r="AR56" i="7" s="1"/>
  <c r="AM83" i="7" l="1"/>
  <c r="AC51" i="7" s="1"/>
  <c r="AN75" i="7"/>
  <c r="L14" i="4" a="1"/>
  <c r="L14" i="4" s="1"/>
  <c r="AR838" i="7"/>
  <c r="I839" i="7"/>
  <c r="J838" i="7"/>
  <c r="I797" i="7"/>
  <c r="J796" i="7"/>
  <c r="AR796" i="7"/>
  <c r="AR754" i="7"/>
  <c r="I755" i="7"/>
  <c r="J754" i="7"/>
  <c r="I713" i="7"/>
  <c r="J712" i="7"/>
  <c r="AR712" i="7"/>
  <c r="J669" i="7"/>
  <c r="AR669" i="7"/>
  <c r="I670" i="7"/>
  <c r="J627" i="7"/>
  <c r="I628" i="7"/>
  <c r="AR627" i="7"/>
  <c r="J588" i="7"/>
  <c r="AR588" i="7"/>
  <c r="I589" i="7"/>
  <c r="I545" i="7"/>
  <c r="J544" i="7"/>
  <c r="AR544" i="7"/>
  <c r="J501" i="7"/>
  <c r="AR501" i="7"/>
  <c r="I502" i="7"/>
  <c r="AR461" i="7"/>
  <c r="J461" i="7"/>
  <c r="I462" i="7"/>
  <c r="AS59" i="7"/>
  <c r="AS75" i="7"/>
  <c r="J1232" i="7"/>
  <c r="J938" i="7"/>
  <c r="J854" i="7"/>
  <c r="J224" i="7"/>
  <c r="J392" i="7"/>
  <c r="J56" i="7"/>
  <c r="J980" i="7"/>
  <c r="J98" i="7"/>
  <c r="J1190" i="7"/>
  <c r="J266" i="7"/>
  <c r="J1106" i="7"/>
  <c r="J14" i="7"/>
  <c r="AR14" i="7"/>
  <c r="J140" i="7"/>
  <c r="J896" i="7"/>
  <c r="J308" i="7"/>
  <c r="J182" i="7"/>
  <c r="J1022" i="7"/>
  <c r="J350" i="7"/>
  <c r="J1148" i="7"/>
  <c r="J1064" i="7"/>
  <c r="D68" i="8"/>
  <c r="B67" i="8"/>
  <c r="D77" i="8"/>
  <c r="B76" i="8"/>
  <c r="D86" i="8"/>
  <c r="B85" i="8"/>
  <c r="I183" i="7"/>
  <c r="AR183" i="7" s="1"/>
  <c r="I393" i="7"/>
  <c r="AR393" i="7" s="1"/>
  <c r="I15" i="7"/>
  <c r="I225" i="7"/>
  <c r="AR225" i="7" s="1"/>
  <c r="I939" i="7"/>
  <c r="AR939" i="7" s="1"/>
  <c r="I1065" i="7"/>
  <c r="AR1065" i="7" s="1"/>
  <c r="I99" i="7"/>
  <c r="AR99" i="7" s="1"/>
  <c r="I1023" i="7"/>
  <c r="AR1023" i="7" s="1"/>
  <c r="I1149" i="7"/>
  <c r="AR1149" i="7" s="1"/>
  <c r="I1107" i="7"/>
  <c r="AR1107" i="7" s="1"/>
  <c r="I897" i="7"/>
  <c r="AR897" i="7" s="1"/>
  <c r="I981" i="7"/>
  <c r="AR981" i="7" s="1"/>
  <c r="I1233" i="7"/>
  <c r="AR1233" i="7" s="1"/>
  <c r="I1191" i="7"/>
  <c r="AR1191" i="7" s="1"/>
  <c r="I855" i="7"/>
  <c r="AR855" i="7" s="1"/>
  <c r="I351" i="7"/>
  <c r="AR351" i="7" s="1"/>
  <c r="I309" i="7"/>
  <c r="AR309" i="7" s="1"/>
  <c r="I267" i="7"/>
  <c r="AR267" i="7" s="1"/>
  <c r="I141" i="7"/>
  <c r="AR141" i="7" s="1"/>
  <c r="I57" i="7"/>
  <c r="AR57" i="7" s="1"/>
  <c r="I840" i="7" l="1"/>
  <c r="J839" i="7"/>
  <c r="AR839" i="7"/>
  <c r="I798" i="7"/>
  <c r="J797" i="7"/>
  <c r="AR797" i="7"/>
  <c r="I756" i="7"/>
  <c r="J755" i="7"/>
  <c r="AR755" i="7"/>
  <c r="I714" i="7"/>
  <c r="J713" i="7"/>
  <c r="AR713" i="7"/>
  <c r="AR670" i="7"/>
  <c r="J670" i="7"/>
  <c r="I671" i="7"/>
  <c r="AR628" i="7"/>
  <c r="I629" i="7"/>
  <c r="J628" i="7"/>
  <c r="AR589" i="7"/>
  <c r="I590" i="7"/>
  <c r="J589" i="7"/>
  <c r="I546" i="7"/>
  <c r="J545" i="7"/>
  <c r="AR545" i="7"/>
  <c r="AR502" i="7"/>
  <c r="I503" i="7"/>
  <c r="J502" i="7"/>
  <c r="J462" i="7"/>
  <c r="AR462" i="7"/>
  <c r="I463" i="7"/>
  <c r="B77" i="8"/>
  <c r="B68" i="8"/>
  <c r="J309" i="7"/>
  <c r="J1149" i="7"/>
  <c r="J183" i="7"/>
  <c r="J855" i="7"/>
  <c r="J99" i="7"/>
  <c r="J267" i="7"/>
  <c r="J1107" i="7"/>
  <c r="J393" i="7"/>
  <c r="J1233" i="7"/>
  <c r="J351" i="7"/>
  <c r="J1023" i="7"/>
  <c r="J1191" i="7"/>
  <c r="I1066" i="7"/>
  <c r="AR1066" i="7" s="1"/>
  <c r="J57" i="7"/>
  <c r="J981" i="7"/>
  <c r="J225" i="7"/>
  <c r="J141" i="7"/>
  <c r="J897" i="7"/>
  <c r="J15" i="7"/>
  <c r="AR15" i="7"/>
  <c r="B86" i="8"/>
  <c r="I226" i="7"/>
  <c r="AR226" i="7" s="1"/>
  <c r="I394" i="7"/>
  <c r="AR394" i="7" s="1"/>
  <c r="I16" i="7"/>
  <c r="I184" i="7"/>
  <c r="AR184" i="7" s="1"/>
  <c r="J1065" i="7"/>
  <c r="I940" i="7"/>
  <c r="AR940" i="7" s="1"/>
  <c r="J939" i="7"/>
  <c r="I100" i="7"/>
  <c r="AR100" i="7" s="1"/>
  <c r="I1024" i="7"/>
  <c r="AR1024" i="7" s="1"/>
  <c r="I1150" i="7"/>
  <c r="AR1150" i="7" s="1"/>
  <c r="I1108" i="7"/>
  <c r="AR1108" i="7" s="1"/>
  <c r="I898" i="7"/>
  <c r="AR898" i="7" s="1"/>
  <c r="I982" i="7"/>
  <c r="AR982" i="7" s="1"/>
  <c r="I1234" i="7"/>
  <c r="AR1234" i="7" s="1"/>
  <c r="I856" i="7"/>
  <c r="AR856" i="7" s="1"/>
  <c r="I1192" i="7"/>
  <c r="AR1192" i="7" s="1"/>
  <c r="I352" i="7"/>
  <c r="AR352" i="7" s="1"/>
  <c r="I310" i="7"/>
  <c r="AR310" i="7" s="1"/>
  <c r="I268" i="7"/>
  <c r="AR268" i="7" s="1"/>
  <c r="I142" i="7"/>
  <c r="AR142" i="7" s="1"/>
  <c r="I58" i="7"/>
  <c r="AR58" i="7" s="1"/>
  <c r="J840" i="7" l="1"/>
  <c r="I841" i="7"/>
  <c r="AR840" i="7"/>
  <c r="J798" i="7"/>
  <c r="AR798" i="7"/>
  <c r="I799" i="7"/>
  <c r="J756" i="7"/>
  <c r="I757" i="7"/>
  <c r="AR756" i="7"/>
  <c r="J714" i="7"/>
  <c r="AR714" i="7"/>
  <c r="I715" i="7"/>
  <c r="AR671" i="7"/>
  <c r="J671" i="7"/>
  <c r="I672" i="7"/>
  <c r="I630" i="7"/>
  <c r="J629" i="7"/>
  <c r="AR629" i="7"/>
  <c r="AR590" i="7"/>
  <c r="I591" i="7"/>
  <c r="J590" i="7"/>
  <c r="I547" i="7"/>
  <c r="AR546" i="7"/>
  <c r="J546" i="7"/>
  <c r="I504" i="7"/>
  <c r="J503" i="7"/>
  <c r="AR503" i="7"/>
  <c r="I464" i="7"/>
  <c r="J463" i="7"/>
  <c r="AR463" i="7"/>
  <c r="J1066" i="7"/>
  <c r="I1067" i="7"/>
  <c r="J1234" i="7"/>
  <c r="J856" i="7"/>
  <c r="J142" i="7"/>
  <c r="J898" i="7"/>
  <c r="J226" i="7"/>
  <c r="J268" i="7"/>
  <c r="J1108" i="7"/>
  <c r="J310" i="7"/>
  <c r="J184" i="7"/>
  <c r="J352" i="7"/>
  <c r="J1024" i="7"/>
  <c r="J16" i="7"/>
  <c r="AR16" i="7"/>
  <c r="J58" i="7"/>
  <c r="J982" i="7"/>
  <c r="J1192" i="7"/>
  <c r="J100" i="7"/>
  <c r="J394" i="7"/>
  <c r="I17" i="7"/>
  <c r="I18" i="7" s="1"/>
  <c r="I227" i="7"/>
  <c r="AR227" i="7" s="1"/>
  <c r="I101" i="7"/>
  <c r="AR101" i="7" s="1"/>
  <c r="I395" i="7"/>
  <c r="AR395" i="7" s="1"/>
  <c r="I1109" i="7"/>
  <c r="AR1109" i="7" s="1"/>
  <c r="I185" i="7"/>
  <c r="AR185" i="7" s="1"/>
  <c r="I1025" i="7"/>
  <c r="AR1025" i="7" s="1"/>
  <c r="J940" i="7"/>
  <c r="I941" i="7"/>
  <c r="AR941" i="7" s="1"/>
  <c r="I1151" i="7"/>
  <c r="AR1151" i="7" s="1"/>
  <c r="J1150" i="7"/>
  <c r="I899" i="7"/>
  <c r="AR899" i="7" s="1"/>
  <c r="I983" i="7"/>
  <c r="AR983" i="7" s="1"/>
  <c r="I1235" i="7"/>
  <c r="AR1235" i="7" s="1"/>
  <c r="I1193" i="7"/>
  <c r="AR1193" i="7" s="1"/>
  <c r="I857" i="7"/>
  <c r="AR857" i="7" s="1"/>
  <c r="I353" i="7"/>
  <c r="AR353" i="7" s="1"/>
  <c r="I311" i="7"/>
  <c r="AR311" i="7" s="1"/>
  <c r="I269" i="7"/>
  <c r="AR269" i="7" s="1"/>
  <c r="I143" i="7"/>
  <c r="AR143" i="7" s="1"/>
  <c r="I59" i="7"/>
  <c r="AR59" i="7" s="1"/>
  <c r="AR841" i="7" l="1"/>
  <c r="I842" i="7"/>
  <c r="J841" i="7"/>
  <c r="AR799" i="7"/>
  <c r="I800" i="7"/>
  <c r="J799" i="7"/>
  <c r="AR757" i="7"/>
  <c r="I758" i="7"/>
  <c r="J757" i="7"/>
  <c r="AR715" i="7"/>
  <c r="I716" i="7"/>
  <c r="J715" i="7"/>
  <c r="J672" i="7"/>
  <c r="AR672" i="7"/>
  <c r="I673" i="7"/>
  <c r="J630" i="7"/>
  <c r="I631" i="7"/>
  <c r="AR630" i="7"/>
  <c r="I592" i="7"/>
  <c r="J591" i="7"/>
  <c r="AR591" i="7"/>
  <c r="AR547" i="7"/>
  <c r="J547" i="7"/>
  <c r="I548" i="7"/>
  <c r="J504" i="7"/>
  <c r="AR504" i="7"/>
  <c r="I505" i="7"/>
  <c r="AR464" i="7"/>
  <c r="I465" i="7"/>
  <c r="J464" i="7"/>
  <c r="I1068" i="7"/>
  <c r="AR1068" i="7" s="1"/>
  <c r="AR1067" i="7"/>
  <c r="J1067" i="7"/>
  <c r="J269" i="7"/>
  <c r="J1151" i="7"/>
  <c r="J311" i="7"/>
  <c r="J227" i="7"/>
  <c r="J101" i="7"/>
  <c r="J353" i="7"/>
  <c r="J857" i="7"/>
  <c r="J17" i="7"/>
  <c r="AR17" i="7"/>
  <c r="J1235" i="7"/>
  <c r="J143" i="7"/>
  <c r="J395" i="7"/>
  <c r="J1193" i="7"/>
  <c r="J1025" i="7"/>
  <c r="J18" i="7"/>
  <c r="AR18" i="7"/>
  <c r="J983" i="7"/>
  <c r="J185" i="7"/>
  <c r="J59" i="7"/>
  <c r="J899" i="7"/>
  <c r="J1109" i="7"/>
  <c r="I186" i="7"/>
  <c r="I396" i="7"/>
  <c r="AR396" i="7" s="1"/>
  <c r="I102" i="7"/>
  <c r="I228" i="7"/>
  <c r="AR228" i="7" s="1"/>
  <c r="I1110" i="7"/>
  <c r="AR1110" i="7" s="1"/>
  <c r="I1026" i="7"/>
  <c r="AR1026" i="7" s="1"/>
  <c r="J941" i="7"/>
  <c r="I942" i="7"/>
  <c r="AR942" i="7" s="1"/>
  <c r="I1152" i="7"/>
  <c r="AR1152" i="7" s="1"/>
  <c r="I900" i="7"/>
  <c r="AR900" i="7" s="1"/>
  <c r="I984" i="7"/>
  <c r="AR984" i="7" s="1"/>
  <c r="I1236" i="7"/>
  <c r="AR1236" i="7" s="1"/>
  <c r="I858" i="7"/>
  <c r="AR858" i="7" s="1"/>
  <c r="I1194" i="7"/>
  <c r="AR1194" i="7" s="1"/>
  <c r="I354" i="7"/>
  <c r="AR354" i="7" s="1"/>
  <c r="I312" i="7"/>
  <c r="AR312" i="7" s="1"/>
  <c r="I270" i="7"/>
  <c r="AR270" i="7" s="1"/>
  <c r="I144" i="7"/>
  <c r="AR144" i="7" s="1"/>
  <c r="I60" i="7"/>
  <c r="AR60" i="7" s="1"/>
  <c r="I19" i="7"/>
  <c r="AR842" i="7" l="1"/>
  <c r="I843" i="7"/>
  <c r="J842" i="7"/>
  <c r="I801" i="7"/>
  <c r="J800" i="7"/>
  <c r="AR800" i="7"/>
  <c r="AR758" i="7"/>
  <c r="I759" i="7"/>
  <c r="J758" i="7"/>
  <c r="I717" i="7"/>
  <c r="J716" i="7"/>
  <c r="AR716" i="7"/>
  <c r="I674" i="7"/>
  <c r="J673" i="7"/>
  <c r="AR673" i="7"/>
  <c r="AR631" i="7"/>
  <c r="J631" i="7"/>
  <c r="I632" i="7"/>
  <c r="J592" i="7"/>
  <c r="AR592" i="7"/>
  <c r="I593" i="7"/>
  <c r="I549" i="7"/>
  <c r="J548" i="7"/>
  <c r="AR548" i="7"/>
  <c r="AR505" i="7"/>
  <c r="I506" i="7"/>
  <c r="J505" i="7"/>
  <c r="AR465" i="7"/>
  <c r="I466" i="7"/>
  <c r="J465" i="7"/>
  <c r="I1069" i="7"/>
  <c r="AR1069" i="7" s="1"/>
  <c r="J1068" i="7"/>
  <c r="I103" i="7"/>
  <c r="AR103" i="7" s="1"/>
  <c r="AR102" i="7"/>
  <c r="I187" i="7"/>
  <c r="AR187" i="7" s="1"/>
  <c r="AR186" i="7"/>
  <c r="AG25" i="7"/>
  <c r="J144" i="7"/>
  <c r="J312" i="7"/>
  <c r="J354" i="7"/>
  <c r="J1194" i="7"/>
  <c r="J1236" i="7"/>
  <c r="J1110" i="7"/>
  <c r="J984" i="7"/>
  <c r="J228" i="7"/>
  <c r="J60" i="7"/>
  <c r="J270" i="7"/>
  <c r="J1026" i="7"/>
  <c r="AH25" i="7"/>
  <c r="J858" i="7"/>
  <c r="J19" i="7"/>
  <c r="AR19" i="7"/>
  <c r="J900" i="7"/>
  <c r="J102" i="7"/>
  <c r="J1152" i="7"/>
  <c r="J396" i="7"/>
  <c r="J186" i="7"/>
  <c r="I397" i="7"/>
  <c r="I229" i="7"/>
  <c r="I1111" i="7"/>
  <c r="I1027" i="7"/>
  <c r="J942" i="7"/>
  <c r="I943" i="7"/>
  <c r="AR943" i="7" s="1"/>
  <c r="I1153" i="7"/>
  <c r="AR1153" i="7" s="1"/>
  <c r="I901" i="7"/>
  <c r="AR901" i="7" s="1"/>
  <c r="I985" i="7"/>
  <c r="AR985" i="7" s="1"/>
  <c r="I1237" i="7"/>
  <c r="AR1237" i="7" s="1"/>
  <c r="I1195" i="7"/>
  <c r="AR1195" i="7" s="1"/>
  <c r="I859" i="7"/>
  <c r="AR859" i="7" s="1"/>
  <c r="I355" i="7"/>
  <c r="AR355" i="7" s="1"/>
  <c r="AK26" i="7"/>
  <c r="I313" i="7"/>
  <c r="AR313" i="7" s="1"/>
  <c r="I271" i="7"/>
  <c r="AR271" i="7" s="1"/>
  <c r="I145" i="7"/>
  <c r="AR145" i="7" s="1"/>
  <c r="I61" i="7"/>
  <c r="AR61" i="7" s="1"/>
  <c r="I20" i="7"/>
  <c r="I188" i="7" l="1"/>
  <c r="AR188" i="7" s="1"/>
  <c r="I104" i="7"/>
  <c r="AR104" i="7" s="1"/>
  <c r="I844" i="7"/>
  <c r="J843" i="7"/>
  <c r="AR843" i="7"/>
  <c r="I802" i="7"/>
  <c r="J801" i="7"/>
  <c r="AR801" i="7"/>
  <c r="I760" i="7"/>
  <c r="J759" i="7"/>
  <c r="AR759" i="7"/>
  <c r="I718" i="7"/>
  <c r="J717" i="7"/>
  <c r="AR717" i="7"/>
  <c r="AR674" i="7"/>
  <c r="I675" i="7"/>
  <c r="J674" i="7"/>
  <c r="AR632" i="7"/>
  <c r="I633" i="7"/>
  <c r="J632" i="7"/>
  <c r="AR593" i="7"/>
  <c r="I594" i="7"/>
  <c r="J593" i="7"/>
  <c r="I550" i="7"/>
  <c r="J549" i="7"/>
  <c r="AR549" i="7"/>
  <c r="AR506" i="7"/>
  <c r="I507" i="7"/>
  <c r="J506" i="7"/>
  <c r="J466" i="7"/>
  <c r="AR466" i="7"/>
  <c r="I467" i="7"/>
  <c r="J1069" i="7"/>
  <c r="J103" i="7"/>
  <c r="I1070" i="7"/>
  <c r="AR1070" i="7" s="1"/>
  <c r="J187" i="7"/>
  <c r="I230" i="7"/>
  <c r="AR230" i="7" s="1"/>
  <c r="AR229" i="7"/>
  <c r="I1112" i="7"/>
  <c r="AR1112" i="7" s="1"/>
  <c r="AR1111" i="7"/>
  <c r="I398" i="7"/>
  <c r="AR398" i="7" s="1"/>
  <c r="AR397" i="7"/>
  <c r="I1028" i="7"/>
  <c r="AR1028" i="7" s="1"/>
  <c r="AR1027" i="7"/>
  <c r="AM26" i="7"/>
  <c r="AO26" i="7"/>
  <c r="AO17" i="7"/>
  <c r="AO25" i="7" s="1"/>
  <c r="AM25" i="7"/>
  <c r="AI17" i="7"/>
  <c r="J901" i="7"/>
  <c r="J1153" i="7"/>
  <c r="J1237" i="7"/>
  <c r="J1027" i="7"/>
  <c r="J20" i="7"/>
  <c r="AR20" i="7"/>
  <c r="J188" i="7"/>
  <c r="J859" i="7"/>
  <c r="J1111" i="7"/>
  <c r="J61" i="7"/>
  <c r="J229" i="7"/>
  <c r="J145" i="7"/>
  <c r="J1195" i="7"/>
  <c r="J271" i="7"/>
  <c r="J313" i="7"/>
  <c r="J355" i="7"/>
  <c r="J985" i="7"/>
  <c r="J397" i="7"/>
  <c r="I1154" i="7"/>
  <c r="AR1154" i="7" s="1"/>
  <c r="J943" i="7"/>
  <c r="I944" i="7"/>
  <c r="AR944" i="7" s="1"/>
  <c r="I902" i="7"/>
  <c r="AR902" i="7" s="1"/>
  <c r="I986" i="7"/>
  <c r="AR986" i="7" s="1"/>
  <c r="I860" i="7"/>
  <c r="AR860" i="7" s="1"/>
  <c r="I1196" i="7"/>
  <c r="AR1196" i="7" s="1"/>
  <c r="I1238" i="7"/>
  <c r="AR1238" i="7" s="1"/>
  <c r="I356" i="7"/>
  <c r="AR356" i="7" s="1"/>
  <c r="AK27" i="7"/>
  <c r="I314" i="7"/>
  <c r="AR314" i="7" s="1"/>
  <c r="I272" i="7"/>
  <c r="AR272" i="7" s="1"/>
  <c r="I189" i="7"/>
  <c r="AR189" i="7" s="1"/>
  <c r="I146" i="7"/>
  <c r="AR146" i="7" s="1"/>
  <c r="I62" i="7"/>
  <c r="AR62" i="7" s="1"/>
  <c r="AJ26" i="7"/>
  <c r="I21" i="7"/>
  <c r="I105" i="7" l="1"/>
  <c r="AR105" i="7" s="1"/>
  <c r="J104" i="7"/>
  <c r="J844" i="7"/>
  <c r="AR844" i="7"/>
  <c r="I845" i="7"/>
  <c r="I803" i="7"/>
  <c r="J802" i="7"/>
  <c r="AR802" i="7"/>
  <c r="J760" i="7"/>
  <c r="AR760" i="7"/>
  <c r="I761" i="7"/>
  <c r="I719" i="7"/>
  <c r="J718" i="7"/>
  <c r="AR718" i="7"/>
  <c r="AR675" i="7"/>
  <c r="I676" i="7"/>
  <c r="J675" i="7"/>
  <c r="I634" i="7"/>
  <c r="J633" i="7"/>
  <c r="AR633" i="7"/>
  <c r="AR594" i="7"/>
  <c r="J594" i="7"/>
  <c r="I551" i="7"/>
  <c r="AR550" i="7"/>
  <c r="J550" i="7"/>
  <c r="I508" i="7"/>
  <c r="J507" i="7"/>
  <c r="AR507" i="7"/>
  <c r="I468" i="7"/>
  <c r="J467" i="7"/>
  <c r="AR467" i="7"/>
  <c r="I1113" i="7"/>
  <c r="AR1113" i="7" s="1"/>
  <c r="I231" i="7"/>
  <c r="AR231" i="7" s="1"/>
  <c r="J230" i="7"/>
  <c r="AN17" i="7"/>
  <c r="AP17" i="7"/>
  <c r="I1071" i="7"/>
  <c r="AR1071" i="7" s="1"/>
  <c r="J1070" i="7"/>
  <c r="AS17" i="7"/>
  <c r="J1112" i="7"/>
  <c r="I1029" i="7"/>
  <c r="AR1029" i="7" s="1"/>
  <c r="J398" i="7"/>
  <c r="I399" i="7"/>
  <c r="AR399" i="7" s="1"/>
  <c r="J1028" i="7"/>
  <c r="AM27" i="7"/>
  <c r="J62" i="7"/>
  <c r="J105" i="7"/>
  <c r="J272" i="7"/>
  <c r="J1238" i="7"/>
  <c r="J146" i="7"/>
  <c r="J189" i="7"/>
  <c r="J1196" i="7"/>
  <c r="J860" i="7"/>
  <c r="J314" i="7"/>
  <c r="J902" i="7"/>
  <c r="J21" i="7"/>
  <c r="AR21" i="7"/>
  <c r="J356" i="7"/>
  <c r="J986" i="7"/>
  <c r="J1154" i="7"/>
  <c r="I1155" i="7"/>
  <c r="AR1155" i="7" s="1"/>
  <c r="J944" i="7"/>
  <c r="I945" i="7"/>
  <c r="AR945" i="7" s="1"/>
  <c r="I903" i="7"/>
  <c r="AR903" i="7" s="1"/>
  <c r="I987" i="7"/>
  <c r="AR987" i="7" s="1"/>
  <c r="I1239" i="7"/>
  <c r="AR1239" i="7" s="1"/>
  <c r="I861" i="7"/>
  <c r="AR861" i="7" s="1"/>
  <c r="I1197" i="7"/>
  <c r="AR1197" i="7" s="1"/>
  <c r="I357" i="7"/>
  <c r="AR357" i="7" s="1"/>
  <c r="AL28" i="7"/>
  <c r="AK28" i="7"/>
  <c r="I315" i="7"/>
  <c r="AR315" i="7" s="1"/>
  <c r="I273" i="7"/>
  <c r="AR273" i="7" s="1"/>
  <c r="I190" i="7"/>
  <c r="AR190" i="7" s="1"/>
  <c r="I147" i="7"/>
  <c r="AR147" i="7" s="1"/>
  <c r="I106" i="7"/>
  <c r="AR106" i="7" s="1"/>
  <c r="I63" i="7"/>
  <c r="AR63" i="7" s="1"/>
  <c r="AJ27" i="7"/>
  <c r="I22" i="7"/>
  <c r="AR845" i="7" l="1"/>
  <c r="I846" i="7"/>
  <c r="J845" i="7"/>
  <c r="AR803" i="7"/>
  <c r="I804" i="7"/>
  <c r="J803" i="7"/>
  <c r="AR761" i="7"/>
  <c r="I762" i="7"/>
  <c r="J761" i="7"/>
  <c r="AR719" i="7"/>
  <c r="I720" i="7"/>
  <c r="J719" i="7"/>
  <c r="J676" i="7"/>
  <c r="AR676" i="7"/>
  <c r="I677" i="7"/>
  <c r="J634" i="7"/>
  <c r="I635" i="7"/>
  <c r="AR634" i="7"/>
  <c r="AR551" i="7"/>
  <c r="J551" i="7"/>
  <c r="I552" i="7"/>
  <c r="J508" i="7"/>
  <c r="AR508" i="7"/>
  <c r="I509" i="7"/>
  <c r="AR468" i="7"/>
  <c r="J468" i="7"/>
  <c r="J1113" i="7"/>
  <c r="I232" i="7"/>
  <c r="AR232" i="7" s="1"/>
  <c r="I1114" i="7"/>
  <c r="AR1114" i="7" s="1"/>
  <c r="I400" i="7"/>
  <c r="AR400" i="7" s="1"/>
  <c r="I1030" i="7"/>
  <c r="AR1030" i="7" s="1"/>
  <c r="J231" i="7"/>
  <c r="J399" i="7"/>
  <c r="J1029" i="7"/>
  <c r="I1072" i="7"/>
  <c r="I1073" i="7" s="1"/>
  <c r="J1071" i="7"/>
  <c r="J1197" i="7"/>
  <c r="J273" i="7"/>
  <c r="J1030" i="7"/>
  <c r="J861" i="7"/>
  <c r="J63" i="7"/>
  <c r="J147" i="7"/>
  <c r="J190" i="7"/>
  <c r="J1155" i="7"/>
  <c r="J987" i="7"/>
  <c r="J22" i="7"/>
  <c r="AR22" i="7"/>
  <c r="J106" i="7"/>
  <c r="J357" i="7"/>
  <c r="J1239" i="7"/>
  <c r="J315" i="7"/>
  <c r="J903" i="7"/>
  <c r="I1156" i="7"/>
  <c r="J945" i="7"/>
  <c r="I946" i="7"/>
  <c r="AR946" i="7" s="1"/>
  <c r="I904" i="7"/>
  <c r="AR904" i="7" s="1"/>
  <c r="I988" i="7"/>
  <c r="AR988" i="7" s="1"/>
  <c r="I1198" i="7"/>
  <c r="AR1198" i="7" s="1"/>
  <c r="I1240" i="7"/>
  <c r="AR1240" i="7" s="1"/>
  <c r="I862" i="7"/>
  <c r="AR862" i="7" s="1"/>
  <c r="I1115" i="7"/>
  <c r="AR1115" i="7" s="1"/>
  <c r="I401" i="7"/>
  <c r="AR401" i="7" s="1"/>
  <c r="I358" i="7"/>
  <c r="AR358" i="7" s="1"/>
  <c r="AK29" i="7"/>
  <c r="AL29" i="7"/>
  <c r="I316" i="7"/>
  <c r="AR316" i="7" s="1"/>
  <c r="I274" i="7"/>
  <c r="AR274" i="7" s="1"/>
  <c r="I233" i="7"/>
  <c r="AR233" i="7" s="1"/>
  <c r="I191" i="7"/>
  <c r="AR191" i="7" s="1"/>
  <c r="I148" i="7"/>
  <c r="AR148" i="7" s="1"/>
  <c r="I107" i="7"/>
  <c r="AR107" i="7" s="1"/>
  <c r="I64" i="7"/>
  <c r="AR64" i="7" s="1"/>
  <c r="AO27" i="7"/>
  <c r="AO28" i="7"/>
  <c r="AJ28" i="7"/>
  <c r="I23" i="7"/>
  <c r="AR846" i="7" l="1"/>
  <c r="J846" i="7"/>
  <c r="AR804" i="7"/>
  <c r="J804" i="7"/>
  <c r="AR762" i="7"/>
  <c r="J762" i="7"/>
  <c r="AR720" i="7"/>
  <c r="J720" i="7"/>
  <c r="I678" i="7"/>
  <c r="J677" i="7"/>
  <c r="AR677" i="7"/>
  <c r="AR635" i="7"/>
  <c r="J635" i="7"/>
  <c r="I636" i="7"/>
  <c r="AR552" i="7"/>
  <c r="J552" i="7"/>
  <c r="AR509" i="7"/>
  <c r="I510" i="7"/>
  <c r="J509" i="7"/>
  <c r="J400" i="7"/>
  <c r="J1114" i="7"/>
  <c r="J232" i="7"/>
  <c r="I1031" i="7"/>
  <c r="AR1031" i="7" s="1"/>
  <c r="J1072" i="7"/>
  <c r="AR1073" i="7"/>
  <c r="I1074" i="7"/>
  <c r="AR1074" i="7" s="1"/>
  <c r="J1073" i="7"/>
  <c r="AR1072" i="7"/>
  <c r="I1157" i="7"/>
  <c r="AR1157" i="7" s="1"/>
  <c r="AR1156" i="7"/>
  <c r="AM29" i="7"/>
  <c r="AO29" i="7"/>
  <c r="J401" i="7"/>
  <c r="J1115" i="7"/>
  <c r="J1156" i="7"/>
  <c r="J233" i="7"/>
  <c r="J988" i="7"/>
  <c r="J904" i="7"/>
  <c r="J191" i="7"/>
  <c r="J358" i="7"/>
  <c r="J862" i="7"/>
  <c r="J64" i="7"/>
  <c r="J274" i="7"/>
  <c r="J23" i="7"/>
  <c r="AR23" i="7"/>
  <c r="J1198" i="7"/>
  <c r="J1240" i="7"/>
  <c r="J107" i="7"/>
  <c r="J316" i="7"/>
  <c r="J148" i="7"/>
  <c r="J946" i="7"/>
  <c r="I947" i="7"/>
  <c r="AR947" i="7" s="1"/>
  <c r="I905" i="7"/>
  <c r="AR905" i="7" s="1"/>
  <c r="I989" i="7"/>
  <c r="AR989" i="7" s="1"/>
  <c r="I863" i="7"/>
  <c r="AR863" i="7" s="1"/>
  <c r="I1116" i="7"/>
  <c r="AR1116" i="7" s="1"/>
  <c r="I1241" i="7"/>
  <c r="AR1241" i="7" s="1"/>
  <c r="I1199" i="7"/>
  <c r="AR1199" i="7" s="1"/>
  <c r="I402" i="7"/>
  <c r="AR402" i="7" s="1"/>
  <c r="I359" i="7"/>
  <c r="AR359" i="7" s="1"/>
  <c r="AK30" i="7"/>
  <c r="AL30" i="7"/>
  <c r="I317" i="7"/>
  <c r="AR317" i="7" s="1"/>
  <c r="I275" i="7"/>
  <c r="AR275" i="7" s="1"/>
  <c r="I234" i="7"/>
  <c r="AR234" i="7" s="1"/>
  <c r="I192" i="7"/>
  <c r="AR192" i="7" s="1"/>
  <c r="I149" i="7"/>
  <c r="AR149" i="7" s="1"/>
  <c r="I108" i="7"/>
  <c r="AR108" i="7" s="1"/>
  <c r="I65" i="7"/>
  <c r="AR65" i="7" s="1"/>
  <c r="AJ29" i="7"/>
  <c r="AM28" i="7"/>
  <c r="I24" i="7"/>
  <c r="AR678" i="7" l="1"/>
  <c r="J678" i="7"/>
  <c r="AR636" i="7"/>
  <c r="J636" i="7"/>
  <c r="AR510" i="7"/>
  <c r="J510" i="7"/>
  <c r="I1032" i="7"/>
  <c r="AR1032" i="7" s="1"/>
  <c r="J1031" i="7"/>
  <c r="J1074" i="7"/>
  <c r="I1075" i="7"/>
  <c r="AR1075" i="7" s="1"/>
  <c r="I1158" i="7"/>
  <c r="AR1158" i="7" s="1"/>
  <c r="J1157" i="7"/>
  <c r="AM30" i="7"/>
  <c r="AO30" i="7"/>
  <c r="J905" i="7"/>
  <c r="J1241" i="7"/>
  <c r="J402" i="7"/>
  <c r="J863" i="7"/>
  <c r="J317" i="7"/>
  <c r="J65" i="7"/>
  <c r="J1199" i="7"/>
  <c r="J989" i="7"/>
  <c r="J1116" i="7"/>
  <c r="J149" i="7"/>
  <c r="J24" i="7"/>
  <c r="AR24" i="7"/>
  <c r="J234" i="7"/>
  <c r="J108" i="7"/>
  <c r="J192" i="7"/>
  <c r="J275" i="7"/>
  <c r="J359" i="7"/>
  <c r="J947" i="7"/>
  <c r="I948" i="7"/>
  <c r="AR948" i="7" s="1"/>
  <c r="I906" i="7"/>
  <c r="AR906" i="7" s="1"/>
  <c r="I990" i="7"/>
  <c r="AR990" i="7" s="1"/>
  <c r="I1200" i="7"/>
  <c r="AR1200" i="7" s="1"/>
  <c r="I1117" i="7"/>
  <c r="AR1117" i="7" s="1"/>
  <c r="I864" i="7"/>
  <c r="AR864" i="7" s="1"/>
  <c r="I1242" i="7"/>
  <c r="AR1242" i="7" s="1"/>
  <c r="I403" i="7"/>
  <c r="AR403" i="7" s="1"/>
  <c r="I360" i="7"/>
  <c r="AR360" i="7" s="1"/>
  <c r="AK31" i="7"/>
  <c r="AL31" i="7"/>
  <c r="I318" i="7"/>
  <c r="AR318" i="7" s="1"/>
  <c r="I276" i="7"/>
  <c r="AR276" i="7" s="1"/>
  <c r="I235" i="7"/>
  <c r="AR235" i="7" s="1"/>
  <c r="I193" i="7"/>
  <c r="AR193" i="7" s="1"/>
  <c r="I150" i="7"/>
  <c r="AR150" i="7" s="1"/>
  <c r="I109" i="7"/>
  <c r="AR109" i="7" s="1"/>
  <c r="I66" i="7"/>
  <c r="AR66" i="7" s="1"/>
  <c r="I25" i="7"/>
  <c r="J1032" i="7" l="1"/>
  <c r="I1076" i="7"/>
  <c r="AR1076" i="7" s="1"/>
  <c r="I1033" i="7"/>
  <c r="AR1033" i="7" s="1"/>
  <c r="J1075" i="7"/>
  <c r="J1158" i="7"/>
  <c r="I1159" i="7"/>
  <c r="AR1159" i="7" s="1"/>
  <c r="AM31" i="7"/>
  <c r="J864" i="7"/>
  <c r="J109" i="7"/>
  <c r="J1076" i="7"/>
  <c r="J318" i="7"/>
  <c r="J360" i="7"/>
  <c r="J25" i="7"/>
  <c r="AR25" i="7"/>
  <c r="J66" i="7"/>
  <c r="J276" i="7"/>
  <c r="J193" i="7"/>
  <c r="J403" i="7"/>
  <c r="J235" i="7"/>
  <c r="J1117" i="7"/>
  <c r="J1200" i="7"/>
  <c r="J990" i="7"/>
  <c r="J150" i="7"/>
  <c r="J1242" i="7"/>
  <c r="J906" i="7"/>
  <c r="J948" i="7"/>
  <c r="I949" i="7"/>
  <c r="AR949" i="7" s="1"/>
  <c r="I907" i="7"/>
  <c r="AR907" i="7" s="1"/>
  <c r="I991" i="7"/>
  <c r="AR991" i="7" s="1"/>
  <c r="I1118" i="7"/>
  <c r="AR1118" i="7" s="1"/>
  <c r="I1243" i="7"/>
  <c r="AR1243" i="7" s="1"/>
  <c r="I865" i="7"/>
  <c r="AR865" i="7" s="1"/>
  <c r="I1077" i="7"/>
  <c r="AR1077" i="7" s="1"/>
  <c r="I1201" i="7"/>
  <c r="AR1201" i="7" s="1"/>
  <c r="I404" i="7"/>
  <c r="AR404" i="7" s="1"/>
  <c r="I361" i="7"/>
  <c r="AR361" i="7" s="1"/>
  <c r="AK32" i="7"/>
  <c r="AL32" i="7"/>
  <c r="I319" i="7"/>
  <c r="AR319" i="7" s="1"/>
  <c r="I277" i="7"/>
  <c r="AR277" i="7" s="1"/>
  <c r="I236" i="7"/>
  <c r="AR236" i="7" s="1"/>
  <c r="I194" i="7"/>
  <c r="AR194" i="7" s="1"/>
  <c r="I151" i="7"/>
  <c r="AR151" i="7" s="1"/>
  <c r="I110" i="7"/>
  <c r="AR110" i="7" s="1"/>
  <c r="I67" i="7"/>
  <c r="AR67" i="7" s="1"/>
  <c r="AO31" i="7"/>
  <c r="I26" i="7"/>
  <c r="J1033" i="7" l="1"/>
  <c r="I1034" i="7"/>
  <c r="AR1034" i="7" s="1"/>
  <c r="J1159" i="7"/>
  <c r="I1160" i="7"/>
  <c r="AR1160" i="7" s="1"/>
  <c r="AM32" i="7"/>
  <c r="AO32" i="7"/>
  <c r="AI24" i="7"/>
  <c r="J991" i="7"/>
  <c r="J110" i="7"/>
  <c r="J319" i="7"/>
  <c r="J404" i="7"/>
  <c r="J1118" i="7"/>
  <c r="J1077" i="7"/>
  <c r="J194" i="7"/>
  <c r="J277" i="7"/>
  <c r="J1201" i="7"/>
  <c r="J907" i="7"/>
  <c r="J67" i="7"/>
  <c r="J236" i="7"/>
  <c r="J865" i="7"/>
  <c r="J151" i="7"/>
  <c r="J361" i="7"/>
  <c r="J26" i="7"/>
  <c r="AR26" i="7"/>
  <c r="J1243" i="7"/>
  <c r="J949" i="7"/>
  <c r="I950" i="7"/>
  <c r="AR950" i="7" s="1"/>
  <c r="I908" i="7"/>
  <c r="AR908" i="7" s="1"/>
  <c r="I992" i="7"/>
  <c r="AR992" i="7" s="1"/>
  <c r="I1078" i="7"/>
  <c r="AR1078" i="7" s="1"/>
  <c r="I1119" i="7"/>
  <c r="AR1119" i="7" s="1"/>
  <c r="I1244" i="7"/>
  <c r="AR1244" i="7" s="1"/>
  <c r="I866" i="7"/>
  <c r="AR866" i="7" s="1"/>
  <c r="I1202" i="7"/>
  <c r="AR1202" i="7" s="1"/>
  <c r="I405" i="7"/>
  <c r="AR405" i="7" s="1"/>
  <c r="I362" i="7"/>
  <c r="AR362" i="7" s="1"/>
  <c r="I320" i="7"/>
  <c r="AR320" i="7" s="1"/>
  <c r="I278" i="7"/>
  <c r="AR278" i="7" s="1"/>
  <c r="I237" i="7"/>
  <c r="AR237" i="7" s="1"/>
  <c r="I195" i="7"/>
  <c r="AR195" i="7" s="1"/>
  <c r="I152" i="7"/>
  <c r="AR152" i="7" s="1"/>
  <c r="I111" i="7"/>
  <c r="AR111" i="7" s="1"/>
  <c r="I68" i="7"/>
  <c r="AR68" i="7" s="1"/>
  <c r="I27" i="7"/>
  <c r="I1035" i="7" l="1"/>
  <c r="AR1035" i="7" s="1"/>
  <c r="J1034" i="7"/>
  <c r="I1161" i="7"/>
  <c r="AR1161" i="7" s="1"/>
  <c r="J1160" i="7"/>
  <c r="AS24" i="7"/>
  <c r="AN24" i="7"/>
  <c r="AP24" i="7"/>
  <c r="J992" i="7"/>
  <c r="J68" i="7"/>
  <c r="J111" i="7"/>
  <c r="J237" i="7"/>
  <c r="J1244" i="7"/>
  <c r="J1078" i="7"/>
  <c r="J320" i="7"/>
  <c r="J152" i="7"/>
  <c r="J1119" i="7"/>
  <c r="J362" i="7"/>
  <c r="J278" i="7"/>
  <c r="J27" i="7"/>
  <c r="AR27" i="7"/>
  <c r="J195" i="7"/>
  <c r="J1202" i="7"/>
  <c r="J405" i="7"/>
  <c r="J866" i="7"/>
  <c r="J908" i="7"/>
  <c r="J950" i="7"/>
  <c r="I951" i="7"/>
  <c r="AR951" i="7" s="1"/>
  <c r="I909" i="7"/>
  <c r="AR909" i="7" s="1"/>
  <c r="I993" i="7"/>
  <c r="AR993" i="7" s="1"/>
  <c r="I1203" i="7"/>
  <c r="AR1203" i="7" s="1"/>
  <c r="I867" i="7"/>
  <c r="AR867" i="7" s="1"/>
  <c r="I1079" i="7"/>
  <c r="AR1079" i="7" s="1"/>
  <c r="I1245" i="7"/>
  <c r="AR1245" i="7" s="1"/>
  <c r="I1120" i="7"/>
  <c r="AR1120" i="7" s="1"/>
  <c r="I406" i="7"/>
  <c r="AR406" i="7" s="1"/>
  <c r="I363" i="7"/>
  <c r="AR363" i="7" s="1"/>
  <c r="I321" i="7"/>
  <c r="AR321" i="7" s="1"/>
  <c r="I279" i="7"/>
  <c r="AR279" i="7" s="1"/>
  <c r="I238" i="7"/>
  <c r="AR238" i="7" s="1"/>
  <c r="I196" i="7"/>
  <c r="AR196" i="7" s="1"/>
  <c r="I153" i="7"/>
  <c r="AR153" i="7" s="1"/>
  <c r="I112" i="7"/>
  <c r="AR112" i="7" s="1"/>
  <c r="I69" i="7"/>
  <c r="AR69" i="7" s="1"/>
  <c r="I28" i="7"/>
  <c r="I1036" i="7" l="1"/>
  <c r="AR1036" i="7" s="1"/>
  <c r="J1035" i="7"/>
  <c r="I1162" i="7"/>
  <c r="AR1162" i="7" s="1"/>
  <c r="J1161" i="7"/>
  <c r="J406" i="7"/>
  <c r="J196" i="7"/>
  <c r="J363" i="7"/>
  <c r="J69" i="7"/>
  <c r="J153" i="7"/>
  <c r="J238" i="7"/>
  <c r="J279" i="7"/>
  <c r="J1120" i="7"/>
  <c r="J1245" i="7"/>
  <c r="J993" i="7"/>
  <c r="J1079" i="7"/>
  <c r="J28" i="7"/>
  <c r="AR28" i="7"/>
  <c r="J112" i="7"/>
  <c r="J321" i="7"/>
  <c r="J867" i="7"/>
  <c r="J1203" i="7"/>
  <c r="J909" i="7"/>
  <c r="J951" i="7"/>
  <c r="I952" i="7"/>
  <c r="AR952" i="7" s="1"/>
  <c r="I910" i="7"/>
  <c r="AR910" i="7" s="1"/>
  <c r="I994" i="7"/>
  <c r="AR994" i="7" s="1"/>
  <c r="I1037" i="7"/>
  <c r="AR1037" i="7" s="1"/>
  <c r="I1080" i="7"/>
  <c r="AR1080" i="7" s="1"/>
  <c r="I868" i="7"/>
  <c r="AR868" i="7" s="1"/>
  <c r="I1204" i="7"/>
  <c r="AR1204" i="7" s="1"/>
  <c r="I1121" i="7"/>
  <c r="AR1121" i="7" s="1"/>
  <c r="I1246" i="7"/>
  <c r="AR1246" i="7" s="1"/>
  <c r="I407" i="7"/>
  <c r="AR407" i="7" s="1"/>
  <c r="I364" i="7"/>
  <c r="AR364" i="7" s="1"/>
  <c r="I322" i="7"/>
  <c r="AR322" i="7" s="1"/>
  <c r="I280" i="7"/>
  <c r="AR280" i="7" s="1"/>
  <c r="I239" i="7"/>
  <c r="AR239" i="7" s="1"/>
  <c r="I197" i="7"/>
  <c r="AR197" i="7" s="1"/>
  <c r="I154" i="7"/>
  <c r="AR154" i="7" s="1"/>
  <c r="I113" i="7"/>
  <c r="AR113" i="7" s="1"/>
  <c r="I70" i="7"/>
  <c r="AR70" i="7" s="1"/>
  <c r="I29" i="7"/>
  <c r="AH26" i="7"/>
  <c r="AF26" i="7"/>
  <c r="AG26" i="7"/>
  <c r="J1036" i="7" l="1"/>
  <c r="I1163" i="7"/>
  <c r="AR1163" i="7" s="1"/>
  <c r="J1162" i="7"/>
  <c r="J154" i="7"/>
  <c r="J364" i="7"/>
  <c r="J1037" i="7"/>
  <c r="J29" i="7"/>
  <c r="AR29" i="7"/>
  <c r="J197" i="7"/>
  <c r="J407" i="7"/>
  <c r="J868" i="7"/>
  <c r="J239" i="7"/>
  <c r="J280" i="7"/>
  <c r="J1246" i="7"/>
  <c r="J994" i="7"/>
  <c r="J1080" i="7"/>
  <c r="J70" i="7"/>
  <c r="J1121" i="7"/>
  <c r="J910" i="7"/>
  <c r="J113" i="7"/>
  <c r="J322" i="7"/>
  <c r="J1204" i="7"/>
  <c r="J952" i="7"/>
  <c r="I953" i="7"/>
  <c r="AR953" i="7" s="1"/>
  <c r="AI25" i="7"/>
  <c r="I911" i="7"/>
  <c r="AR911" i="7" s="1"/>
  <c r="I995" i="7"/>
  <c r="AR995" i="7" s="1"/>
  <c r="I1247" i="7"/>
  <c r="AR1247" i="7" s="1"/>
  <c r="I1081" i="7"/>
  <c r="AR1081" i="7" s="1"/>
  <c r="I869" i="7"/>
  <c r="AR869" i="7" s="1"/>
  <c r="I1122" i="7"/>
  <c r="AR1122" i="7" s="1"/>
  <c r="I1038" i="7"/>
  <c r="AR1038" i="7" s="1"/>
  <c r="I1205" i="7"/>
  <c r="AR1205" i="7" s="1"/>
  <c r="I408" i="7"/>
  <c r="AR408" i="7" s="1"/>
  <c r="I365" i="7"/>
  <c r="AR365" i="7" s="1"/>
  <c r="I323" i="7"/>
  <c r="AR323" i="7" s="1"/>
  <c r="I281" i="7"/>
  <c r="AR281" i="7" s="1"/>
  <c r="I240" i="7"/>
  <c r="AR240" i="7" s="1"/>
  <c r="I198" i="7"/>
  <c r="AR198" i="7" s="1"/>
  <c r="I155" i="7"/>
  <c r="AR155" i="7" s="1"/>
  <c r="I114" i="7"/>
  <c r="AR114" i="7" s="1"/>
  <c r="I71" i="7"/>
  <c r="AR71" i="7" s="1"/>
  <c r="I30" i="7"/>
  <c r="AF27" i="7"/>
  <c r="AH27" i="7"/>
  <c r="AG27" i="7"/>
  <c r="AI18" i="7"/>
  <c r="J1163" i="7" l="1"/>
  <c r="I1164" i="7"/>
  <c r="AR1164" i="7" s="1"/>
  <c r="AS18" i="7"/>
  <c r="AP18" i="7"/>
  <c r="AN18" i="7"/>
  <c r="J240" i="7"/>
  <c r="J869" i="7"/>
  <c r="J281" i="7"/>
  <c r="J1081" i="7"/>
  <c r="J30" i="7"/>
  <c r="AR30" i="7"/>
  <c r="J365" i="7"/>
  <c r="J155" i="7"/>
  <c r="J1038" i="7"/>
  <c r="J323" i="7"/>
  <c r="J1247" i="7"/>
  <c r="J71" i="7"/>
  <c r="J408" i="7"/>
  <c r="J995" i="7"/>
  <c r="J114" i="7"/>
  <c r="J1205" i="7"/>
  <c r="J911" i="7"/>
  <c r="J198" i="7"/>
  <c r="J1122" i="7"/>
  <c r="J953" i="7"/>
  <c r="I954" i="7"/>
  <c r="AR954" i="7" s="1"/>
  <c r="I912" i="7"/>
  <c r="AR912" i="7" s="1"/>
  <c r="I996" i="7"/>
  <c r="AR996" i="7" s="1"/>
  <c r="I1206" i="7"/>
  <c r="AR1206" i="7" s="1"/>
  <c r="I1039" i="7"/>
  <c r="AR1039" i="7" s="1"/>
  <c r="I1082" i="7"/>
  <c r="AR1082" i="7" s="1"/>
  <c r="I1248" i="7"/>
  <c r="AR1248" i="7" s="1"/>
  <c r="I1123" i="7"/>
  <c r="AR1123" i="7" s="1"/>
  <c r="I870" i="7"/>
  <c r="AR870" i="7" s="1"/>
  <c r="I409" i="7"/>
  <c r="AR409" i="7" s="1"/>
  <c r="I366" i="7"/>
  <c r="AR366" i="7" s="1"/>
  <c r="I324" i="7"/>
  <c r="AR324" i="7" s="1"/>
  <c r="I282" i="7"/>
  <c r="AR282" i="7" s="1"/>
  <c r="I241" i="7"/>
  <c r="AR241" i="7" s="1"/>
  <c r="I199" i="7"/>
  <c r="AR199" i="7" s="1"/>
  <c r="I156" i="7"/>
  <c r="AR156" i="7" s="1"/>
  <c r="I115" i="7"/>
  <c r="AR115" i="7" s="1"/>
  <c r="I72" i="7"/>
  <c r="AR72" i="7" s="1"/>
  <c r="AI26" i="7"/>
  <c r="I31" i="7"/>
  <c r="AF28" i="7"/>
  <c r="AG28" i="7"/>
  <c r="AH28" i="7"/>
  <c r="AI19" i="7"/>
  <c r="I1165" i="7" l="1"/>
  <c r="AR1165" i="7" s="1"/>
  <c r="J1164" i="7"/>
  <c r="AS19" i="7"/>
  <c r="AP19" i="7"/>
  <c r="AN19" i="7"/>
  <c r="J324" i="7"/>
  <c r="J1206" i="7"/>
  <c r="J115" i="7"/>
  <c r="J156" i="7"/>
  <c r="J1123" i="7"/>
  <c r="J199" i="7"/>
  <c r="J1248" i="7"/>
  <c r="J31" i="7"/>
  <c r="AR31" i="7"/>
  <c r="J282" i="7"/>
  <c r="J1039" i="7"/>
  <c r="J366" i="7"/>
  <c r="J241" i="7"/>
  <c r="J1082" i="7"/>
  <c r="J72" i="7"/>
  <c r="J409" i="7"/>
  <c r="J996" i="7"/>
  <c r="J870" i="7"/>
  <c r="J912" i="7"/>
  <c r="J954" i="7"/>
  <c r="I955" i="7"/>
  <c r="AR955" i="7" s="1"/>
  <c r="I913" i="7"/>
  <c r="AR913" i="7" s="1"/>
  <c r="I997" i="7"/>
  <c r="AR997" i="7" s="1"/>
  <c r="I1083" i="7"/>
  <c r="AR1083" i="7" s="1"/>
  <c r="I1124" i="7"/>
  <c r="AR1124" i="7" s="1"/>
  <c r="I1040" i="7"/>
  <c r="AR1040" i="7" s="1"/>
  <c r="I1249" i="7"/>
  <c r="AR1249" i="7" s="1"/>
  <c r="I871" i="7"/>
  <c r="AR871" i="7" s="1"/>
  <c r="I1207" i="7"/>
  <c r="AR1207" i="7" s="1"/>
  <c r="I410" i="7"/>
  <c r="AR410" i="7" s="1"/>
  <c r="I367" i="7"/>
  <c r="AR367" i="7" s="1"/>
  <c r="I325" i="7"/>
  <c r="AR325" i="7" s="1"/>
  <c r="I283" i="7"/>
  <c r="AR283" i="7" s="1"/>
  <c r="I242" i="7"/>
  <c r="AR242" i="7" s="1"/>
  <c r="I200" i="7"/>
  <c r="AR200" i="7" s="1"/>
  <c r="I157" i="7"/>
  <c r="AR157" i="7" s="1"/>
  <c r="I116" i="7"/>
  <c r="AR116" i="7" s="1"/>
  <c r="I73" i="7"/>
  <c r="AR73" i="7" s="1"/>
  <c r="AI27" i="7"/>
  <c r="I32" i="7"/>
  <c r="AF29" i="7"/>
  <c r="AH29" i="7"/>
  <c r="AG29" i="7"/>
  <c r="AI20" i="7"/>
  <c r="I1166" i="7" l="1"/>
  <c r="AR1166" i="7" s="1"/>
  <c r="J1165" i="7"/>
  <c r="AS20" i="7"/>
  <c r="AP20" i="7"/>
  <c r="AN20" i="7"/>
  <c r="J325" i="7"/>
  <c r="J157" i="7"/>
  <c r="J871" i="7"/>
  <c r="J200" i="7"/>
  <c r="J1249" i="7"/>
  <c r="J242" i="7"/>
  <c r="J1040" i="7"/>
  <c r="J32" i="7"/>
  <c r="AR32" i="7"/>
  <c r="J283" i="7"/>
  <c r="J1124" i="7"/>
  <c r="J367" i="7"/>
  <c r="J1083" i="7"/>
  <c r="J73" i="7"/>
  <c r="J410" i="7"/>
  <c r="J997" i="7"/>
  <c r="J116" i="7"/>
  <c r="J1207" i="7"/>
  <c r="J913" i="7"/>
  <c r="J955" i="7"/>
  <c r="I956" i="7"/>
  <c r="AR956" i="7" s="1"/>
  <c r="I914" i="7"/>
  <c r="AR914" i="7" s="1"/>
  <c r="I998" i="7"/>
  <c r="AR998" i="7" s="1"/>
  <c r="I1041" i="7"/>
  <c r="AR1041" i="7" s="1"/>
  <c r="I872" i="7"/>
  <c r="AR872" i="7" s="1"/>
  <c r="I1125" i="7"/>
  <c r="AR1125" i="7" s="1"/>
  <c r="I1084" i="7"/>
  <c r="AR1084" i="7" s="1"/>
  <c r="I1208" i="7"/>
  <c r="AR1208" i="7" s="1"/>
  <c r="I1250" i="7"/>
  <c r="AR1250" i="7" s="1"/>
  <c r="I411" i="7"/>
  <c r="AR411" i="7" s="1"/>
  <c r="I368" i="7"/>
  <c r="AR368" i="7" s="1"/>
  <c r="I326" i="7"/>
  <c r="AR326" i="7" s="1"/>
  <c r="I284" i="7"/>
  <c r="AR284" i="7" s="1"/>
  <c r="I243" i="7"/>
  <c r="AR243" i="7" s="1"/>
  <c r="I201" i="7"/>
  <c r="AR201" i="7" s="1"/>
  <c r="I158" i="7"/>
  <c r="AR158" i="7" s="1"/>
  <c r="I117" i="7"/>
  <c r="AR117" i="7" s="1"/>
  <c r="I74" i="7"/>
  <c r="AR74" i="7" s="1"/>
  <c r="AI28" i="7"/>
  <c r="I33" i="7"/>
  <c r="AH30" i="7"/>
  <c r="AF30" i="7"/>
  <c r="AG30" i="7"/>
  <c r="AE29" i="7"/>
  <c r="AI21" i="7"/>
  <c r="I1167" i="7" l="1"/>
  <c r="AR1167" i="7" s="1"/>
  <c r="J1166" i="7"/>
  <c r="AS21" i="7"/>
  <c r="AP21" i="7"/>
  <c r="AN21" i="7"/>
  <c r="J201" i="7"/>
  <c r="J1084" i="7"/>
  <c r="J158" i="7"/>
  <c r="J1208" i="7"/>
  <c r="J33" i="7"/>
  <c r="AR33" i="7"/>
  <c r="J284" i="7"/>
  <c r="J872" i="7"/>
  <c r="J243" i="7"/>
  <c r="J1125" i="7"/>
  <c r="J326" i="7"/>
  <c r="J1041" i="7"/>
  <c r="J368" i="7"/>
  <c r="J74" i="7"/>
  <c r="J411" i="7"/>
  <c r="J998" i="7"/>
  <c r="J117" i="7"/>
  <c r="J1250" i="7"/>
  <c r="J914" i="7"/>
  <c r="J956" i="7"/>
  <c r="I957" i="7"/>
  <c r="AR957" i="7" s="1"/>
  <c r="I915" i="7"/>
  <c r="AR915" i="7" s="1"/>
  <c r="I999" i="7"/>
  <c r="AR999" i="7" s="1"/>
  <c r="I1042" i="7"/>
  <c r="AR1042" i="7" s="1"/>
  <c r="I1126" i="7"/>
  <c r="AR1126" i="7" s="1"/>
  <c r="I873" i="7"/>
  <c r="AR873" i="7" s="1"/>
  <c r="I1209" i="7"/>
  <c r="AR1209" i="7" s="1"/>
  <c r="I1085" i="7"/>
  <c r="AR1085" i="7" s="1"/>
  <c r="I1251" i="7"/>
  <c r="AR1251" i="7" s="1"/>
  <c r="I412" i="7"/>
  <c r="AR412" i="7" s="1"/>
  <c r="I369" i="7"/>
  <c r="AR369" i="7" s="1"/>
  <c r="I327" i="7"/>
  <c r="AR327" i="7" s="1"/>
  <c r="I285" i="7"/>
  <c r="AR285" i="7" s="1"/>
  <c r="I244" i="7"/>
  <c r="AR244" i="7" s="1"/>
  <c r="I202" i="7"/>
  <c r="AR202" i="7" s="1"/>
  <c r="I159" i="7"/>
  <c r="AR159" i="7" s="1"/>
  <c r="I118" i="7"/>
  <c r="AR118" i="7" s="1"/>
  <c r="I75" i="7"/>
  <c r="AR75" i="7" s="1"/>
  <c r="AI29" i="7"/>
  <c r="I34" i="7"/>
  <c r="AH31" i="7"/>
  <c r="AG31" i="7"/>
  <c r="AF31" i="7"/>
  <c r="AE30" i="7"/>
  <c r="AI22" i="7"/>
  <c r="I1168" i="7" l="1"/>
  <c r="AR1168" i="7" s="1"/>
  <c r="J1167" i="7"/>
  <c r="AS22" i="7"/>
  <c r="AN22" i="7"/>
  <c r="AP22" i="7"/>
  <c r="J244" i="7"/>
  <c r="J873" i="7"/>
  <c r="J202" i="7"/>
  <c r="J1209" i="7"/>
  <c r="J34" i="7"/>
  <c r="AR34" i="7"/>
  <c r="J285" i="7"/>
  <c r="J1126" i="7"/>
  <c r="J159" i="7"/>
  <c r="J1085" i="7"/>
  <c r="J327" i="7"/>
  <c r="J1042" i="7"/>
  <c r="J369" i="7"/>
  <c r="J75" i="7"/>
  <c r="J412" i="7"/>
  <c r="J999" i="7"/>
  <c r="J118" i="7"/>
  <c r="J1251" i="7"/>
  <c r="J915" i="7"/>
  <c r="J957" i="7"/>
  <c r="I958" i="7"/>
  <c r="AR958" i="7" s="1"/>
  <c r="I916" i="7"/>
  <c r="AR916" i="7" s="1"/>
  <c r="I1000" i="7"/>
  <c r="AR1000" i="7" s="1"/>
  <c r="I1252" i="7"/>
  <c r="AR1252" i="7" s="1"/>
  <c r="I1086" i="7"/>
  <c r="AR1086" i="7" s="1"/>
  <c r="I874" i="7"/>
  <c r="AR874" i="7" s="1"/>
  <c r="I1127" i="7"/>
  <c r="AR1127" i="7" s="1"/>
  <c r="I1210" i="7"/>
  <c r="AR1210" i="7" s="1"/>
  <c r="I1043" i="7"/>
  <c r="AR1043" i="7" s="1"/>
  <c r="I413" i="7"/>
  <c r="AR413" i="7" s="1"/>
  <c r="I370" i="7"/>
  <c r="AR370" i="7" s="1"/>
  <c r="I328" i="7"/>
  <c r="AR328" i="7" s="1"/>
  <c r="I286" i="7"/>
  <c r="AR286" i="7" s="1"/>
  <c r="I245" i="7"/>
  <c r="AR245" i="7" s="1"/>
  <c r="I203" i="7"/>
  <c r="AR203" i="7" s="1"/>
  <c r="I160" i="7"/>
  <c r="AR160" i="7" s="1"/>
  <c r="I119" i="7"/>
  <c r="AR119" i="7" s="1"/>
  <c r="I76" i="7"/>
  <c r="AR76" i="7" s="1"/>
  <c r="AI30" i="7"/>
  <c r="I35" i="7"/>
  <c r="AG32" i="7"/>
  <c r="AF32" i="7"/>
  <c r="AH32" i="7"/>
  <c r="AE31" i="7"/>
  <c r="AI23" i="7"/>
  <c r="J1168" i="7" l="1"/>
  <c r="I1169" i="7"/>
  <c r="AR1169" i="7" s="1"/>
  <c r="AS23" i="7"/>
  <c r="AN23" i="7"/>
  <c r="AP23" i="7"/>
  <c r="J203" i="7"/>
  <c r="J1127" i="7"/>
  <c r="J76" i="7"/>
  <c r="J413" i="7"/>
  <c r="J1000" i="7"/>
  <c r="J160" i="7"/>
  <c r="J1210" i="7"/>
  <c r="J35" i="7"/>
  <c r="AR35" i="7"/>
  <c r="J286" i="7"/>
  <c r="J1086" i="7"/>
  <c r="J328" i="7"/>
  <c r="J1252" i="7"/>
  <c r="J245" i="7"/>
  <c r="J874" i="7"/>
  <c r="J370" i="7"/>
  <c r="J119" i="7"/>
  <c r="J1043" i="7"/>
  <c r="J916" i="7"/>
  <c r="J958" i="7"/>
  <c r="I959" i="7"/>
  <c r="AR959" i="7" s="1"/>
  <c r="I917" i="7"/>
  <c r="AR917" i="7" s="1"/>
  <c r="I1001" i="7"/>
  <c r="AR1001" i="7" s="1"/>
  <c r="I1044" i="7"/>
  <c r="AR1044" i="7" s="1"/>
  <c r="I1211" i="7"/>
  <c r="AR1211" i="7" s="1"/>
  <c r="I1087" i="7"/>
  <c r="AR1087" i="7" s="1"/>
  <c r="I1128" i="7"/>
  <c r="AR1128" i="7" s="1"/>
  <c r="I875" i="7"/>
  <c r="AR875" i="7" s="1"/>
  <c r="I1253" i="7"/>
  <c r="AR1253" i="7" s="1"/>
  <c r="I414" i="7"/>
  <c r="AR414" i="7" s="1"/>
  <c r="I371" i="7"/>
  <c r="AR371" i="7" s="1"/>
  <c r="I329" i="7"/>
  <c r="AR329" i="7" s="1"/>
  <c r="I287" i="7"/>
  <c r="AR287" i="7" s="1"/>
  <c r="I246" i="7"/>
  <c r="AR246" i="7" s="1"/>
  <c r="I204" i="7"/>
  <c r="AR204" i="7" s="1"/>
  <c r="I161" i="7"/>
  <c r="AR161" i="7" s="1"/>
  <c r="I120" i="7"/>
  <c r="AR120" i="7" s="1"/>
  <c r="I77" i="7"/>
  <c r="AR77" i="7" s="1"/>
  <c r="AI31" i="7"/>
  <c r="I36" i="7"/>
  <c r="AE32" i="7"/>
  <c r="I1170" i="7" l="1"/>
  <c r="AR1170" i="7" s="1"/>
  <c r="J1169" i="7"/>
  <c r="J329" i="7"/>
  <c r="J1044" i="7"/>
  <c r="J77" i="7"/>
  <c r="J414" i="7"/>
  <c r="J1001" i="7"/>
  <c r="J161" i="7"/>
  <c r="J875" i="7"/>
  <c r="J204" i="7"/>
  <c r="J1128" i="7"/>
  <c r="J246" i="7"/>
  <c r="J1087" i="7"/>
  <c r="J36" i="7"/>
  <c r="AR36" i="7"/>
  <c r="J287" i="7"/>
  <c r="J1211" i="7"/>
  <c r="J371" i="7"/>
  <c r="J120" i="7"/>
  <c r="J1253" i="7"/>
  <c r="J917" i="7"/>
  <c r="J959" i="7"/>
  <c r="I960" i="7"/>
  <c r="AR960" i="7" s="1"/>
  <c r="I918" i="7"/>
  <c r="AR918" i="7" s="1"/>
  <c r="I1002" i="7"/>
  <c r="AR1002" i="7" s="1"/>
  <c r="I1129" i="7"/>
  <c r="AR1129" i="7" s="1"/>
  <c r="I1045" i="7"/>
  <c r="AR1045" i="7" s="1"/>
  <c r="I876" i="7"/>
  <c r="AR876" i="7" s="1"/>
  <c r="I1088" i="7"/>
  <c r="AR1088" i="7" s="1"/>
  <c r="I1212" i="7"/>
  <c r="AR1212" i="7" s="1"/>
  <c r="I1254" i="7"/>
  <c r="AR1254" i="7" s="1"/>
  <c r="I415" i="7"/>
  <c r="AR415" i="7" s="1"/>
  <c r="I372" i="7"/>
  <c r="AR372" i="7" s="1"/>
  <c r="I330" i="7"/>
  <c r="AR330" i="7" s="1"/>
  <c r="I288" i="7"/>
  <c r="AR288" i="7" s="1"/>
  <c r="I247" i="7"/>
  <c r="AR247" i="7" s="1"/>
  <c r="I205" i="7"/>
  <c r="AR205" i="7" s="1"/>
  <c r="I162" i="7"/>
  <c r="AR162" i="7" s="1"/>
  <c r="I121" i="7"/>
  <c r="AR121" i="7" s="1"/>
  <c r="I78" i="7"/>
  <c r="AR78" i="7" s="1"/>
  <c r="AI32" i="7"/>
  <c r="I37" i="7"/>
  <c r="I1171" i="7" l="1"/>
  <c r="AR1171" i="7" s="1"/>
  <c r="J1170" i="7"/>
  <c r="J121" i="7"/>
  <c r="J1212" i="7"/>
  <c r="J288" i="7"/>
  <c r="J1088" i="7"/>
  <c r="J162" i="7"/>
  <c r="J372" i="7"/>
  <c r="J1045" i="7"/>
  <c r="J247" i="7"/>
  <c r="J330" i="7"/>
  <c r="J876" i="7"/>
  <c r="J37" i="7"/>
  <c r="AR37" i="7"/>
  <c r="J205" i="7"/>
  <c r="J415" i="7"/>
  <c r="J1129" i="7"/>
  <c r="J1002" i="7"/>
  <c r="J78" i="7"/>
  <c r="J1254" i="7"/>
  <c r="J918" i="7"/>
  <c r="J960" i="7"/>
  <c r="I961" i="7"/>
  <c r="AR961" i="7" s="1"/>
  <c r="I919" i="7"/>
  <c r="AR919" i="7" s="1"/>
  <c r="I1003" i="7"/>
  <c r="AR1003" i="7" s="1"/>
  <c r="I1046" i="7"/>
  <c r="AR1046" i="7" s="1"/>
  <c r="I1255" i="7"/>
  <c r="AR1255" i="7" s="1"/>
  <c r="I877" i="7"/>
  <c r="AR877" i="7" s="1"/>
  <c r="I1130" i="7"/>
  <c r="AR1130" i="7" s="1"/>
  <c r="I1089" i="7"/>
  <c r="AR1089" i="7" s="1"/>
  <c r="I1213" i="7"/>
  <c r="AR1213" i="7" s="1"/>
  <c r="I416" i="7"/>
  <c r="AR416" i="7" s="1"/>
  <c r="I373" i="7"/>
  <c r="AR373" i="7" s="1"/>
  <c r="I331" i="7"/>
  <c r="AR331" i="7" s="1"/>
  <c r="I289" i="7"/>
  <c r="AR289" i="7" s="1"/>
  <c r="I248" i="7"/>
  <c r="AR248" i="7" s="1"/>
  <c r="I206" i="7"/>
  <c r="AR206" i="7" s="1"/>
  <c r="I163" i="7"/>
  <c r="AR163" i="7" s="1"/>
  <c r="I122" i="7"/>
  <c r="AR122" i="7" s="1"/>
  <c r="I79" i="7"/>
  <c r="AR79" i="7" s="1"/>
  <c r="I38" i="7"/>
  <c r="J1171" i="7" l="1"/>
  <c r="I1172" i="7"/>
  <c r="AR1172" i="7" s="1"/>
  <c r="J163" i="7"/>
  <c r="J373" i="7"/>
  <c r="J1130" i="7"/>
  <c r="J877" i="7"/>
  <c r="J289" i="7"/>
  <c r="J1255" i="7"/>
  <c r="J38" i="7"/>
  <c r="AR38" i="7"/>
  <c r="J206" i="7"/>
  <c r="J1046" i="7"/>
  <c r="J331" i="7"/>
  <c r="J122" i="7"/>
  <c r="J1089" i="7"/>
  <c r="J79" i="7"/>
  <c r="J416" i="7"/>
  <c r="J1003" i="7"/>
  <c r="J248" i="7"/>
  <c r="J1213" i="7"/>
  <c r="J919" i="7"/>
  <c r="J961" i="7"/>
  <c r="I962" i="7"/>
  <c r="AR962" i="7" s="1"/>
  <c r="I920" i="7"/>
  <c r="AR920" i="7" s="1"/>
  <c r="I1004" i="7"/>
  <c r="AR1004" i="7" s="1"/>
  <c r="I1214" i="7"/>
  <c r="AR1214" i="7" s="1"/>
  <c r="I1131" i="7"/>
  <c r="AR1131" i="7" s="1"/>
  <c r="I1090" i="7"/>
  <c r="AR1090" i="7" s="1"/>
  <c r="I878" i="7"/>
  <c r="AR878" i="7" s="1"/>
  <c r="I1256" i="7"/>
  <c r="AR1256" i="7" s="1"/>
  <c r="I1047" i="7"/>
  <c r="AR1047" i="7" s="1"/>
  <c r="I417" i="7"/>
  <c r="AR417" i="7" s="1"/>
  <c r="I374" i="7"/>
  <c r="AR374" i="7" s="1"/>
  <c r="I332" i="7"/>
  <c r="AR332" i="7" s="1"/>
  <c r="I290" i="7"/>
  <c r="AR290" i="7" s="1"/>
  <c r="I249" i="7"/>
  <c r="AR249" i="7" s="1"/>
  <c r="I207" i="7"/>
  <c r="AR207" i="7" s="1"/>
  <c r="I164" i="7"/>
  <c r="AR164" i="7" s="1"/>
  <c r="I123" i="7"/>
  <c r="AR123" i="7" s="1"/>
  <c r="I80" i="7"/>
  <c r="AR80" i="7" s="1"/>
  <c r="I39" i="7"/>
  <c r="P742" i="1"/>
  <c r="J1172" i="7" l="1"/>
  <c r="I1173" i="7"/>
  <c r="AR1173" i="7" s="1"/>
  <c r="J80" i="7"/>
  <c r="J123" i="7"/>
  <c r="J332" i="7"/>
  <c r="J1004" i="7"/>
  <c r="J207" i="7"/>
  <c r="J290" i="7"/>
  <c r="J374" i="7"/>
  <c r="J1256" i="7"/>
  <c r="J878" i="7"/>
  <c r="J1090" i="7"/>
  <c r="J1214" i="7"/>
  <c r="J39" i="7"/>
  <c r="AR39" i="7"/>
  <c r="J249" i="7"/>
  <c r="J417" i="7"/>
  <c r="J1131" i="7"/>
  <c r="J164" i="7"/>
  <c r="J1047" i="7"/>
  <c r="J920" i="7"/>
  <c r="J962" i="7"/>
  <c r="I963" i="7"/>
  <c r="AR963" i="7" s="1"/>
  <c r="I921" i="7"/>
  <c r="AR921" i="7" s="1"/>
  <c r="I1005" i="7"/>
  <c r="AR1005" i="7" s="1"/>
  <c r="I1257" i="7"/>
  <c r="AR1257" i="7" s="1"/>
  <c r="I1091" i="7"/>
  <c r="AR1091" i="7" s="1"/>
  <c r="I879" i="7"/>
  <c r="AR879" i="7" s="1"/>
  <c r="I1132" i="7"/>
  <c r="AR1132" i="7" s="1"/>
  <c r="I1048" i="7"/>
  <c r="AR1048" i="7" s="1"/>
  <c r="I1215" i="7"/>
  <c r="AR1215" i="7" s="1"/>
  <c r="I418" i="7"/>
  <c r="AR418" i="7" s="1"/>
  <c r="I375" i="7"/>
  <c r="AR375" i="7" s="1"/>
  <c r="I333" i="7"/>
  <c r="AR333" i="7" s="1"/>
  <c r="I291" i="7"/>
  <c r="AR291" i="7" s="1"/>
  <c r="I250" i="7"/>
  <c r="AR250" i="7" s="1"/>
  <c r="I208" i="7"/>
  <c r="AR208" i="7" s="1"/>
  <c r="I165" i="7"/>
  <c r="AR165" i="7" s="1"/>
  <c r="I124" i="7"/>
  <c r="AR124" i="7" s="1"/>
  <c r="I81" i="7"/>
  <c r="AR81" i="7" s="1"/>
  <c r="I40" i="7"/>
  <c r="B47" i="6"/>
  <c r="F4" i="6"/>
  <c r="J1173" i="7" l="1"/>
  <c r="I1174" i="7"/>
  <c r="AR1174" i="7" s="1"/>
  <c r="J375" i="7"/>
  <c r="J1132" i="7"/>
  <c r="J250" i="7"/>
  <c r="J1091" i="7"/>
  <c r="J208" i="7"/>
  <c r="J291" i="7"/>
  <c r="J879" i="7"/>
  <c r="J40" i="7"/>
  <c r="AR40" i="7"/>
  <c r="J1257" i="7"/>
  <c r="J333" i="7"/>
  <c r="J165" i="7"/>
  <c r="J1048" i="7"/>
  <c r="J81" i="7"/>
  <c r="J418" i="7"/>
  <c r="J1005" i="7"/>
  <c r="J124" i="7"/>
  <c r="J1215" i="7"/>
  <c r="J921" i="7"/>
  <c r="J963" i="7"/>
  <c r="I964" i="7"/>
  <c r="AR964" i="7" s="1"/>
  <c r="I922" i="7"/>
  <c r="AR922" i="7" s="1"/>
  <c r="I1006" i="7"/>
  <c r="AR1006" i="7" s="1"/>
  <c r="I1175" i="7"/>
  <c r="AR1175" i="7" s="1"/>
  <c r="I880" i="7"/>
  <c r="AR880" i="7" s="1"/>
  <c r="I1216" i="7"/>
  <c r="AR1216" i="7" s="1"/>
  <c r="I1049" i="7"/>
  <c r="AR1049" i="7" s="1"/>
  <c r="I1258" i="7"/>
  <c r="AR1258" i="7" s="1"/>
  <c r="I1133" i="7"/>
  <c r="AR1133" i="7" s="1"/>
  <c r="I1092" i="7"/>
  <c r="AR1092" i="7" s="1"/>
  <c r="I419" i="7"/>
  <c r="AR419" i="7" s="1"/>
  <c r="I376" i="7"/>
  <c r="AR376" i="7" s="1"/>
  <c r="I334" i="7"/>
  <c r="AR334" i="7" s="1"/>
  <c r="I292" i="7"/>
  <c r="AR292" i="7" s="1"/>
  <c r="I251" i="7"/>
  <c r="AR251" i="7" s="1"/>
  <c r="I209" i="7"/>
  <c r="AR209" i="7" s="1"/>
  <c r="I166" i="7"/>
  <c r="AR166" i="7" s="1"/>
  <c r="I125" i="7"/>
  <c r="AR125" i="7" s="1"/>
  <c r="I82" i="7"/>
  <c r="AR82" i="7" s="1"/>
  <c r="I41" i="7"/>
  <c r="J1174" i="7" l="1"/>
  <c r="J125" i="7"/>
  <c r="J1258" i="7"/>
  <c r="J292" i="7"/>
  <c r="J1133" i="7"/>
  <c r="J166" i="7"/>
  <c r="J376" i="7"/>
  <c r="J1049" i="7"/>
  <c r="J209" i="7"/>
  <c r="J1216" i="7"/>
  <c r="J880" i="7"/>
  <c r="J334" i="7"/>
  <c r="J1175" i="7"/>
  <c r="J41" i="7"/>
  <c r="AR41" i="7"/>
  <c r="J419" i="7"/>
  <c r="J1006" i="7"/>
  <c r="J82" i="7"/>
  <c r="J251" i="7"/>
  <c r="J1092" i="7"/>
  <c r="J922" i="7"/>
  <c r="J964" i="7"/>
  <c r="I965" i="7"/>
  <c r="AR965" i="7" s="1"/>
  <c r="I923" i="7"/>
  <c r="AR923" i="7" s="1"/>
  <c r="I1007" i="7"/>
  <c r="AR1007" i="7" s="1"/>
  <c r="I1176" i="7"/>
  <c r="AR1176" i="7" s="1"/>
  <c r="I1050" i="7"/>
  <c r="AR1050" i="7" s="1"/>
  <c r="I1134" i="7"/>
  <c r="AR1134" i="7" s="1"/>
  <c r="I1259" i="7"/>
  <c r="AR1259" i="7" s="1"/>
  <c r="I1093" i="7"/>
  <c r="AR1093" i="7" s="1"/>
  <c r="I881" i="7"/>
  <c r="AR881" i="7" s="1"/>
  <c r="I1217" i="7"/>
  <c r="AR1217" i="7" s="1"/>
  <c r="I420" i="7"/>
  <c r="AR420" i="7" s="1"/>
  <c r="I377" i="7"/>
  <c r="AR377" i="7" s="1"/>
  <c r="I335" i="7"/>
  <c r="AR335" i="7" s="1"/>
  <c r="I293" i="7"/>
  <c r="AR293" i="7" s="1"/>
  <c r="I252" i="7"/>
  <c r="AR252" i="7" s="1"/>
  <c r="I210" i="7"/>
  <c r="AR210" i="7" s="1"/>
  <c r="I167" i="7"/>
  <c r="AR167" i="7" s="1"/>
  <c r="I126" i="7"/>
  <c r="AR126" i="7" s="1"/>
  <c r="I83" i="7"/>
  <c r="AR83" i="7" s="1"/>
  <c r="I42" i="7"/>
  <c r="J42" i="7" l="1"/>
  <c r="AR42" i="7"/>
  <c r="J252" i="7"/>
  <c r="J1093" i="7"/>
  <c r="J126" i="7"/>
  <c r="J1134" i="7"/>
  <c r="J83" i="7"/>
  <c r="J377" i="7"/>
  <c r="J1259" i="7"/>
  <c r="J167" i="7"/>
  <c r="J420" i="7"/>
  <c r="J1050" i="7"/>
  <c r="J210" i="7"/>
  <c r="J293" i="7"/>
  <c r="J1176" i="7"/>
  <c r="J335" i="7"/>
  <c r="J881" i="7"/>
  <c r="J1007" i="7"/>
  <c r="J1217" i="7"/>
  <c r="J923" i="7"/>
  <c r="J965" i="7"/>
  <c r="I966" i="7"/>
  <c r="AR966" i="7" s="1"/>
  <c r="I924" i="7"/>
  <c r="AR924" i="7" s="1"/>
  <c r="I1008" i="7"/>
  <c r="AR1008" i="7" s="1"/>
  <c r="I1177" i="7"/>
  <c r="AR1177" i="7" s="1"/>
  <c r="I1260" i="7"/>
  <c r="AR1260" i="7" s="1"/>
  <c r="I882" i="7"/>
  <c r="AR882" i="7" s="1"/>
  <c r="I1135" i="7"/>
  <c r="AR1135" i="7" s="1"/>
  <c r="I1218" i="7"/>
  <c r="AR1218" i="7" s="1"/>
  <c r="I1051" i="7"/>
  <c r="AR1051" i="7" s="1"/>
  <c r="I1094" i="7"/>
  <c r="AR1094" i="7" s="1"/>
  <c r="I421" i="7"/>
  <c r="AR421" i="7" s="1"/>
  <c r="I378" i="7"/>
  <c r="AR378" i="7" s="1"/>
  <c r="I336" i="7"/>
  <c r="AR336" i="7" s="1"/>
  <c r="I294" i="7"/>
  <c r="AR294" i="7" s="1"/>
  <c r="I253" i="7"/>
  <c r="AR253" i="7" s="1"/>
  <c r="I211" i="7"/>
  <c r="AR211" i="7" s="1"/>
  <c r="I168" i="7"/>
  <c r="AR168" i="7" s="1"/>
  <c r="I127" i="7"/>
  <c r="AR127" i="7" s="1"/>
  <c r="I84" i="7"/>
  <c r="AR84" i="7" s="1"/>
  <c r="I43" i="7"/>
  <c r="J43" i="7" l="1"/>
  <c r="AR43" i="7"/>
  <c r="J1218" i="7"/>
  <c r="J84" i="7"/>
  <c r="J378" i="7"/>
  <c r="J1135" i="7"/>
  <c r="J127" i="7"/>
  <c r="J294" i="7"/>
  <c r="J882" i="7"/>
  <c r="J253" i="7"/>
  <c r="J1051" i="7"/>
  <c r="J1177" i="7"/>
  <c r="J168" i="7"/>
  <c r="J1260" i="7"/>
  <c r="J336" i="7"/>
  <c r="J421" i="7"/>
  <c r="J1008" i="7"/>
  <c r="J211" i="7"/>
  <c r="J1094" i="7"/>
  <c r="J924" i="7"/>
  <c r="J966" i="7"/>
  <c r="I967" i="7"/>
  <c r="AR967" i="7" s="1"/>
  <c r="I925" i="7"/>
  <c r="AR925" i="7" s="1"/>
  <c r="I1009" i="7"/>
  <c r="AR1009" i="7" s="1"/>
  <c r="I1178" i="7"/>
  <c r="AR1178" i="7" s="1"/>
  <c r="I1052" i="7"/>
  <c r="AR1052" i="7" s="1"/>
  <c r="I1095" i="7"/>
  <c r="AR1095" i="7" s="1"/>
  <c r="I1136" i="7"/>
  <c r="AR1136" i="7" s="1"/>
  <c r="I1261" i="7"/>
  <c r="AR1261" i="7" s="1"/>
  <c r="I1219" i="7"/>
  <c r="AR1219" i="7" s="1"/>
  <c r="I883" i="7"/>
  <c r="AR883" i="7" s="1"/>
  <c r="I422" i="7"/>
  <c r="AR422" i="7" s="1"/>
  <c r="I379" i="7"/>
  <c r="AR379" i="7" s="1"/>
  <c r="I337" i="7"/>
  <c r="AR337" i="7" s="1"/>
  <c r="I295" i="7"/>
  <c r="AR295" i="7" s="1"/>
  <c r="I254" i="7"/>
  <c r="AR254" i="7" s="1"/>
  <c r="I212" i="7"/>
  <c r="AR212" i="7" s="1"/>
  <c r="I169" i="7"/>
  <c r="AR169" i="7" s="1"/>
  <c r="I128" i="7"/>
  <c r="AR128" i="7" s="1"/>
  <c r="I85" i="7"/>
  <c r="AR85" i="7" s="1"/>
  <c r="I44" i="7"/>
  <c r="J136" i="5"/>
  <c r="I136" i="5"/>
  <c r="H136" i="5"/>
  <c r="G136" i="5"/>
  <c r="F136" i="5"/>
  <c r="E136" i="5"/>
  <c r="C136" i="5"/>
  <c r="J106" i="5"/>
  <c r="I106" i="5"/>
  <c r="H106" i="5"/>
  <c r="G106" i="5"/>
  <c r="F106" i="5"/>
  <c r="E106" i="5"/>
  <c r="D106" i="5"/>
  <c r="C106" i="5"/>
  <c r="J91" i="5"/>
  <c r="I91" i="5"/>
  <c r="H91" i="5"/>
  <c r="G91" i="5"/>
  <c r="F91" i="5"/>
  <c r="E91" i="5"/>
  <c r="D91" i="5"/>
  <c r="C91" i="5"/>
  <c r="J48" i="5"/>
  <c r="I48" i="5"/>
  <c r="H48" i="5"/>
  <c r="G48" i="5"/>
  <c r="F48" i="5"/>
  <c r="E48" i="5"/>
  <c r="D48" i="5"/>
  <c r="C48" i="5"/>
  <c r="C107" i="5"/>
  <c r="E83" i="3"/>
  <c r="B83" i="3" s="1"/>
  <c r="E49" i="3"/>
  <c r="E1" i="3"/>
  <c r="X824" i="1"/>
  <c r="W824" i="1"/>
  <c r="V824" i="1"/>
  <c r="U824" i="1"/>
  <c r="T824" i="1"/>
  <c r="S824" i="1"/>
  <c r="W820" i="1"/>
  <c r="V820" i="1"/>
  <c r="U820" i="1"/>
  <c r="T820" i="1"/>
  <c r="H820" i="1"/>
  <c r="S814" i="1"/>
  <c r="S825" i="1" s="1"/>
  <c r="S805" i="1"/>
  <c r="S769" i="1" s="1"/>
  <c r="X759" i="1"/>
  <c r="W759" i="1"/>
  <c r="V759" i="1"/>
  <c r="U759" i="1"/>
  <c r="T759" i="1"/>
  <c r="S759" i="1"/>
  <c r="X758" i="1"/>
  <c r="W758" i="1"/>
  <c r="V758" i="1"/>
  <c r="U758" i="1"/>
  <c r="T758" i="1"/>
  <c r="S758" i="1"/>
  <c r="X757" i="1"/>
  <c r="W757" i="1"/>
  <c r="V757" i="1"/>
  <c r="U757" i="1"/>
  <c r="T757" i="1"/>
  <c r="S757" i="1"/>
  <c r="X756" i="1"/>
  <c r="W756" i="1"/>
  <c r="V756" i="1"/>
  <c r="U756" i="1"/>
  <c r="T756" i="1"/>
  <c r="S756" i="1"/>
  <c r="X755" i="1"/>
  <c r="W755" i="1"/>
  <c r="V755" i="1"/>
  <c r="U755" i="1"/>
  <c r="T755" i="1"/>
  <c r="S755" i="1"/>
  <c r="O742" i="1"/>
  <c r="P733" i="1"/>
  <c r="O733" i="1"/>
  <c r="X727" i="1"/>
  <c r="W727" i="1"/>
  <c r="V727" i="1"/>
  <c r="U727" i="1"/>
  <c r="T727" i="1"/>
  <c r="S727" i="1"/>
  <c r="R727" i="1"/>
  <c r="Q727" i="1"/>
  <c r="O727" i="1"/>
  <c r="P703" i="1"/>
  <c r="O703" i="1"/>
  <c r="P699" i="1"/>
  <c r="O699" i="1"/>
  <c r="P695" i="1"/>
  <c r="O695" i="1"/>
  <c r="N591" i="1"/>
  <c r="N685" i="1" s="1"/>
  <c r="M591" i="1"/>
  <c r="M685" i="1" s="1"/>
  <c r="L591" i="1"/>
  <c r="K591" i="1"/>
  <c r="K685" i="1" s="1"/>
  <c r="I591" i="1"/>
  <c r="I685" i="1" s="1"/>
  <c r="N590" i="1"/>
  <c r="N684" i="1" s="1"/>
  <c r="M590" i="1"/>
  <c r="M684" i="1" s="1"/>
  <c r="L590" i="1"/>
  <c r="L684" i="1" s="1"/>
  <c r="K590" i="1"/>
  <c r="K684" i="1" s="1"/>
  <c r="I590" i="1"/>
  <c r="I684" i="1" s="1"/>
  <c r="N589" i="1"/>
  <c r="N683" i="1" s="1"/>
  <c r="M589" i="1"/>
  <c r="M683" i="1" s="1"/>
  <c r="L589" i="1"/>
  <c r="L683" i="1" s="1"/>
  <c r="K589" i="1"/>
  <c r="K683" i="1" s="1"/>
  <c r="I589" i="1"/>
  <c r="I683" i="1" s="1"/>
  <c r="N588" i="1"/>
  <c r="N682" i="1" s="1"/>
  <c r="M588" i="1"/>
  <c r="M682" i="1" s="1"/>
  <c r="L588" i="1"/>
  <c r="K588" i="1"/>
  <c r="K682" i="1" s="1"/>
  <c r="I588" i="1"/>
  <c r="I682" i="1" s="1"/>
  <c r="N587" i="1"/>
  <c r="N681" i="1" s="1"/>
  <c r="M587" i="1"/>
  <c r="M681" i="1" s="1"/>
  <c r="L587" i="1"/>
  <c r="K587" i="1"/>
  <c r="K681" i="1" s="1"/>
  <c r="I587" i="1"/>
  <c r="I681" i="1" s="1"/>
  <c r="N584" i="1"/>
  <c r="N678" i="1" s="1"/>
  <c r="M584" i="1"/>
  <c r="M678" i="1" s="1"/>
  <c r="L584" i="1"/>
  <c r="K584" i="1"/>
  <c r="K678" i="1" s="1"/>
  <c r="I584" i="1"/>
  <c r="I678" i="1" s="1"/>
  <c r="N583" i="1"/>
  <c r="N677" i="1" s="1"/>
  <c r="M583" i="1"/>
  <c r="M677" i="1" s="1"/>
  <c r="L583" i="1"/>
  <c r="L677" i="1" s="1"/>
  <c r="K583" i="1"/>
  <c r="K677" i="1" s="1"/>
  <c r="I583" i="1"/>
  <c r="I677" i="1" s="1"/>
  <c r="N582" i="1"/>
  <c r="N676" i="1" s="1"/>
  <c r="M582" i="1"/>
  <c r="M676" i="1" s="1"/>
  <c r="L582" i="1"/>
  <c r="L676" i="1" s="1"/>
  <c r="K582" i="1"/>
  <c r="K676" i="1" s="1"/>
  <c r="I582" i="1"/>
  <c r="I676" i="1" s="1"/>
  <c r="N581" i="1"/>
  <c r="N675" i="1" s="1"/>
  <c r="M581" i="1"/>
  <c r="M675" i="1" s="1"/>
  <c r="L581" i="1"/>
  <c r="K581" i="1"/>
  <c r="K675" i="1" s="1"/>
  <c r="I581" i="1"/>
  <c r="I675" i="1" s="1"/>
  <c r="N580" i="1"/>
  <c r="M580" i="1"/>
  <c r="M674" i="1" s="1"/>
  <c r="L580" i="1"/>
  <c r="K580" i="1"/>
  <c r="K674" i="1" s="1"/>
  <c r="I580" i="1"/>
  <c r="I674" i="1" s="1"/>
  <c r="N575" i="1"/>
  <c r="N669" i="1" s="1"/>
  <c r="M575" i="1"/>
  <c r="M669" i="1" s="1"/>
  <c r="L575" i="1"/>
  <c r="K575" i="1"/>
  <c r="K669" i="1" s="1"/>
  <c r="I575" i="1"/>
  <c r="I669" i="1" s="1"/>
  <c r="N574" i="1"/>
  <c r="N668" i="1" s="1"/>
  <c r="M574" i="1"/>
  <c r="M668" i="1" s="1"/>
  <c r="L574" i="1"/>
  <c r="K574" i="1"/>
  <c r="K668" i="1" s="1"/>
  <c r="I574" i="1"/>
  <c r="I668" i="1" s="1"/>
  <c r="N573" i="1"/>
  <c r="N667" i="1" s="1"/>
  <c r="M573" i="1"/>
  <c r="M667" i="1" s="1"/>
  <c r="L573" i="1"/>
  <c r="L667" i="1" s="1"/>
  <c r="K573" i="1"/>
  <c r="K667" i="1" s="1"/>
  <c r="I573" i="1"/>
  <c r="I667" i="1" s="1"/>
  <c r="N572" i="1"/>
  <c r="N666" i="1" s="1"/>
  <c r="M572" i="1"/>
  <c r="M666" i="1" s="1"/>
  <c r="L572" i="1"/>
  <c r="L666" i="1" s="1"/>
  <c r="K572" i="1"/>
  <c r="K666" i="1" s="1"/>
  <c r="I572" i="1"/>
  <c r="I666" i="1" s="1"/>
  <c r="N571" i="1"/>
  <c r="N665" i="1" s="1"/>
  <c r="M571" i="1"/>
  <c r="M665" i="1" s="1"/>
  <c r="L571" i="1"/>
  <c r="K571" i="1"/>
  <c r="K665" i="1" s="1"/>
  <c r="I571" i="1"/>
  <c r="I665" i="1" s="1"/>
  <c r="N570" i="1"/>
  <c r="N664" i="1" s="1"/>
  <c r="M570" i="1"/>
  <c r="M664" i="1" s="1"/>
  <c r="L570" i="1"/>
  <c r="K570" i="1"/>
  <c r="K664" i="1" s="1"/>
  <c r="I570" i="1"/>
  <c r="I664" i="1" s="1"/>
  <c r="N569" i="1"/>
  <c r="N663" i="1" s="1"/>
  <c r="M569" i="1"/>
  <c r="M663" i="1" s="1"/>
  <c r="L569" i="1"/>
  <c r="K569" i="1"/>
  <c r="I569" i="1"/>
  <c r="I663" i="1" s="1"/>
  <c r="N568" i="1"/>
  <c r="N662" i="1" s="1"/>
  <c r="M568" i="1"/>
  <c r="M662" i="1" s="1"/>
  <c r="L568" i="1"/>
  <c r="L662" i="1" s="1"/>
  <c r="K568" i="1"/>
  <c r="I568" i="1"/>
  <c r="I662" i="1" s="1"/>
  <c r="N567" i="1"/>
  <c r="N661" i="1" s="1"/>
  <c r="M567" i="1"/>
  <c r="M661" i="1" s="1"/>
  <c r="L567" i="1"/>
  <c r="K567" i="1"/>
  <c r="I567" i="1"/>
  <c r="I661" i="1" s="1"/>
  <c r="M566" i="1"/>
  <c r="M660" i="1" s="1"/>
  <c r="L566" i="1"/>
  <c r="K566" i="1"/>
  <c r="I566" i="1"/>
  <c r="I660" i="1" s="1"/>
  <c r="N565" i="1"/>
  <c r="N659" i="1" s="1"/>
  <c r="M565" i="1"/>
  <c r="M659" i="1" s="1"/>
  <c r="L565" i="1"/>
  <c r="L659" i="1" s="1"/>
  <c r="K565" i="1"/>
  <c r="I565" i="1"/>
  <c r="I659" i="1" s="1"/>
  <c r="N564" i="1"/>
  <c r="N658" i="1" s="1"/>
  <c r="M564" i="1"/>
  <c r="M658" i="1" s="1"/>
  <c r="L564" i="1"/>
  <c r="L658" i="1" s="1"/>
  <c r="K564" i="1"/>
  <c r="I564" i="1"/>
  <c r="I658" i="1" s="1"/>
  <c r="N563" i="1"/>
  <c r="N657" i="1" s="1"/>
  <c r="M563" i="1"/>
  <c r="M657" i="1" s="1"/>
  <c r="L563" i="1"/>
  <c r="K563" i="1"/>
  <c r="K657" i="1" s="1"/>
  <c r="I563" i="1"/>
  <c r="I657" i="1" s="1"/>
  <c r="N562" i="1"/>
  <c r="N656" i="1" s="1"/>
  <c r="M562" i="1"/>
  <c r="M656" i="1" s="1"/>
  <c r="L562" i="1"/>
  <c r="K562" i="1"/>
  <c r="K656" i="1" s="1"/>
  <c r="I562" i="1"/>
  <c r="I656" i="1" s="1"/>
  <c r="N561" i="1"/>
  <c r="N655" i="1" s="1"/>
  <c r="M561" i="1"/>
  <c r="M655" i="1" s="1"/>
  <c r="L561" i="1"/>
  <c r="L655" i="1" s="1"/>
  <c r="K561" i="1"/>
  <c r="K655" i="1" s="1"/>
  <c r="I561" i="1"/>
  <c r="I655" i="1" s="1"/>
  <c r="N560" i="1"/>
  <c r="N654" i="1" s="1"/>
  <c r="M560" i="1"/>
  <c r="M654" i="1" s="1"/>
  <c r="L560" i="1"/>
  <c r="L654" i="1" s="1"/>
  <c r="K560" i="1"/>
  <c r="K654" i="1" s="1"/>
  <c r="I560" i="1"/>
  <c r="I654" i="1" s="1"/>
  <c r="N559" i="1"/>
  <c r="N653" i="1" s="1"/>
  <c r="M559" i="1"/>
  <c r="M653" i="1" s="1"/>
  <c r="L559" i="1"/>
  <c r="K559" i="1"/>
  <c r="K653" i="1" s="1"/>
  <c r="I559" i="1"/>
  <c r="I653" i="1" s="1"/>
  <c r="N558" i="1"/>
  <c r="N652" i="1" s="1"/>
  <c r="M558" i="1"/>
  <c r="M652" i="1" s="1"/>
  <c r="L558" i="1"/>
  <c r="L652" i="1" s="1"/>
  <c r="K558" i="1"/>
  <c r="K652" i="1" s="1"/>
  <c r="I558" i="1"/>
  <c r="I652" i="1" s="1"/>
  <c r="N557" i="1"/>
  <c r="N651" i="1" s="1"/>
  <c r="M557" i="1"/>
  <c r="M651" i="1" s="1"/>
  <c r="L557" i="1"/>
  <c r="L651" i="1" s="1"/>
  <c r="K557" i="1"/>
  <c r="K651" i="1" s="1"/>
  <c r="I557" i="1"/>
  <c r="I651" i="1" s="1"/>
  <c r="N556" i="1"/>
  <c r="M556" i="1"/>
  <c r="M650" i="1" s="1"/>
  <c r="L556" i="1"/>
  <c r="L650" i="1" s="1"/>
  <c r="K556" i="1"/>
  <c r="K650" i="1" s="1"/>
  <c r="I556" i="1"/>
  <c r="I650" i="1" s="1"/>
  <c r="N553" i="1"/>
  <c r="N647" i="1" s="1"/>
  <c r="M553" i="1"/>
  <c r="M647" i="1" s="1"/>
  <c r="L553" i="1"/>
  <c r="L647" i="1" s="1"/>
  <c r="K553" i="1"/>
  <c r="K647" i="1" s="1"/>
  <c r="I553" i="1"/>
  <c r="I647" i="1" s="1"/>
  <c r="N552" i="1"/>
  <c r="N646" i="1" s="1"/>
  <c r="M552" i="1"/>
  <c r="M646" i="1" s="1"/>
  <c r="L552" i="1"/>
  <c r="K552" i="1"/>
  <c r="K646" i="1" s="1"/>
  <c r="I552" i="1"/>
  <c r="I646" i="1" s="1"/>
  <c r="N551" i="1"/>
  <c r="N645" i="1" s="1"/>
  <c r="M551" i="1"/>
  <c r="M645" i="1" s="1"/>
  <c r="L551" i="1"/>
  <c r="K551" i="1"/>
  <c r="K645" i="1" s="1"/>
  <c r="I551" i="1"/>
  <c r="I645" i="1" s="1"/>
  <c r="N550" i="1"/>
  <c r="N644" i="1" s="1"/>
  <c r="M550" i="1"/>
  <c r="M644" i="1" s="1"/>
  <c r="L550" i="1"/>
  <c r="L644" i="1" s="1"/>
  <c r="K550" i="1"/>
  <c r="K644" i="1" s="1"/>
  <c r="I550" i="1"/>
  <c r="I644" i="1" s="1"/>
  <c r="N549" i="1"/>
  <c r="N643" i="1" s="1"/>
  <c r="M549" i="1"/>
  <c r="M643" i="1" s="1"/>
  <c r="L549" i="1"/>
  <c r="L643" i="1" s="1"/>
  <c r="K549" i="1"/>
  <c r="K643" i="1" s="1"/>
  <c r="I549" i="1"/>
  <c r="I643" i="1" s="1"/>
  <c r="N548" i="1"/>
  <c r="N642" i="1" s="1"/>
  <c r="M548" i="1"/>
  <c r="M642" i="1" s="1"/>
  <c r="L548" i="1"/>
  <c r="K548" i="1"/>
  <c r="K642" i="1" s="1"/>
  <c r="I548" i="1"/>
  <c r="I642" i="1" s="1"/>
  <c r="N547" i="1"/>
  <c r="N641" i="1" s="1"/>
  <c r="M547" i="1"/>
  <c r="M641" i="1" s="1"/>
  <c r="L547" i="1"/>
  <c r="K547" i="1"/>
  <c r="K641" i="1" s="1"/>
  <c r="I547" i="1"/>
  <c r="I641" i="1" s="1"/>
  <c r="N546" i="1"/>
  <c r="N640" i="1" s="1"/>
  <c r="M546" i="1"/>
  <c r="M640" i="1" s="1"/>
  <c r="L546" i="1"/>
  <c r="K546" i="1"/>
  <c r="K640" i="1" s="1"/>
  <c r="I546" i="1"/>
  <c r="I640" i="1" s="1"/>
  <c r="N545" i="1"/>
  <c r="N639" i="1" s="1"/>
  <c r="M545" i="1"/>
  <c r="M639" i="1" s="1"/>
  <c r="L545" i="1"/>
  <c r="L639" i="1" s="1"/>
  <c r="K545" i="1"/>
  <c r="K639" i="1" s="1"/>
  <c r="I545" i="1"/>
  <c r="I639" i="1" s="1"/>
  <c r="N544" i="1"/>
  <c r="M544" i="1"/>
  <c r="M638" i="1" s="1"/>
  <c r="L544" i="1"/>
  <c r="K544" i="1"/>
  <c r="K638" i="1" s="1"/>
  <c r="I544" i="1"/>
  <c r="I638" i="1" s="1"/>
  <c r="N541" i="1"/>
  <c r="N635" i="1" s="1"/>
  <c r="M541" i="1"/>
  <c r="M635" i="1" s="1"/>
  <c r="L541" i="1"/>
  <c r="K541" i="1"/>
  <c r="K635" i="1" s="1"/>
  <c r="I541" i="1"/>
  <c r="I635" i="1" s="1"/>
  <c r="N540" i="1"/>
  <c r="N634" i="1" s="1"/>
  <c r="M540" i="1"/>
  <c r="M634" i="1" s="1"/>
  <c r="L540" i="1"/>
  <c r="K540" i="1"/>
  <c r="K634" i="1" s="1"/>
  <c r="I540" i="1"/>
  <c r="I634" i="1" s="1"/>
  <c r="N539" i="1"/>
  <c r="N633" i="1" s="1"/>
  <c r="M539" i="1"/>
  <c r="M633" i="1" s="1"/>
  <c r="L539" i="1"/>
  <c r="K539" i="1"/>
  <c r="K633" i="1" s="1"/>
  <c r="I539" i="1"/>
  <c r="I633" i="1" s="1"/>
  <c r="N538" i="1"/>
  <c r="N632" i="1" s="1"/>
  <c r="M538" i="1"/>
  <c r="M632" i="1" s="1"/>
  <c r="L538" i="1"/>
  <c r="L632" i="1" s="1"/>
  <c r="K538" i="1"/>
  <c r="K632" i="1" s="1"/>
  <c r="I538" i="1"/>
  <c r="I632" i="1" s="1"/>
  <c r="N537" i="1"/>
  <c r="N631" i="1" s="1"/>
  <c r="M537" i="1"/>
  <c r="M631" i="1" s="1"/>
  <c r="L537" i="1"/>
  <c r="L631" i="1" s="1"/>
  <c r="K537" i="1"/>
  <c r="K631" i="1" s="1"/>
  <c r="I537" i="1"/>
  <c r="I631" i="1" s="1"/>
  <c r="N536" i="1"/>
  <c r="N630" i="1" s="1"/>
  <c r="M536" i="1"/>
  <c r="M630" i="1" s="1"/>
  <c r="L536" i="1"/>
  <c r="K536" i="1"/>
  <c r="K630" i="1" s="1"/>
  <c r="I536" i="1"/>
  <c r="I630" i="1" s="1"/>
  <c r="N535" i="1"/>
  <c r="N629" i="1" s="1"/>
  <c r="M535" i="1"/>
  <c r="M629" i="1" s="1"/>
  <c r="L535" i="1"/>
  <c r="L629" i="1" s="1"/>
  <c r="K535" i="1"/>
  <c r="K629" i="1" s="1"/>
  <c r="I535" i="1"/>
  <c r="I629" i="1" s="1"/>
  <c r="N534" i="1"/>
  <c r="N628" i="1" s="1"/>
  <c r="M534" i="1"/>
  <c r="M628" i="1" s="1"/>
  <c r="L534" i="1"/>
  <c r="L628" i="1" s="1"/>
  <c r="K534" i="1"/>
  <c r="K628" i="1" s="1"/>
  <c r="I534" i="1"/>
  <c r="I628" i="1" s="1"/>
  <c r="N533" i="1"/>
  <c r="N627" i="1" s="1"/>
  <c r="M533" i="1"/>
  <c r="M627" i="1" s="1"/>
  <c r="L533" i="1"/>
  <c r="K533" i="1"/>
  <c r="K627" i="1" s="1"/>
  <c r="I533" i="1"/>
  <c r="I627" i="1" s="1"/>
  <c r="N532" i="1"/>
  <c r="N626" i="1" s="1"/>
  <c r="M532" i="1"/>
  <c r="M626" i="1" s="1"/>
  <c r="L532" i="1"/>
  <c r="K532" i="1"/>
  <c r="K626" i="1" s="1"/>
  <c r="I532" i="1"/>
  <c r="I626" i="1" s="1"/>
  <c r="N531" i="1"/>
  <c r="N625" i="1" s="1"/>
  <c r="M531" i="1"/>
  <c r="M625" i="1" s="1"/>
  <c r="L531" i="1"/>
  <c r="K531" i="1"/>
  <c r="K625" i="1" s="1"/>
  <c r="I531" i="1"/>
  <c r="I625" i="1" s="1"/>
  <c r="N530" i="1"/>
  <c r="N624" i="1" s="1"/>
  <c r="M530" i="1"/>
  <c r="M624" i="1" s="1"/>
  <c r="L530" i="1"/>
  <c r="L624" i="1" s="1"/>
  <c r="K530" i="1"/>
  <c r="K624" i="1" s="1"/>
  <c r="I530" i="1"/>
  <c r="I624" i="1" s="1"/>
  <c r="N529" i="1"/>
  <c r="N623" i="1" s="1"/>
  <c r="M529" i="1"/>
  <c r="M623" i="1" s="1"/>
  <c r="L529" i="1"/>
  <c r="L623" i="1" s="1"/>
  <c r="K529" i="1"/>
  <c r="K623" i="1" s="1"/>
  <c r="I529" i="1"/>
  <c r="I623" i="1" s="1"/>
  <c r="N528" i="1"/>
  <c r="N622" i="1" s="1"/>
  <c r="M528" i="1"/>
  <c r="M622" i="1" s="1"/>
  <c r="L528" i="1"/>
  <c r="K528" i="1"/>
  <c r="K622" i="1" s="1"/>
  <c r="I528" i="1"/>
  <c r="I622" i="1" s="1"/>
  <c r="N527" i="1"/>
  <c r="N621" i="1" s="1"/>
  <c r="M527" i="1"/>
  <c r="M621" i="1" s="1"/>
  <c r="L527" i="1"/>
  <c r="K527" i="1"/>
  <c r="K621" i="1" s="1"/>
  <c r="I527" i="1"/>
  <c r="I621" i="1" s="1"/>
  <c r="N526" i="1"/>
  <c r="N620" i="1" s="1"/>
  <c r="M526" i="1"/>
  <c r="M620" i="1" s="1"/>
  <c r="L526" i="1"/>
  <c r="L620" i="1" s="1"/>
  <c r="K526" i="1"/>
  <c r="K620" i="1" s="1"/>
  <c r="I526" i="1"/>
  <c r="I620" i="1" s="1"/>
  <c r="N525" i="1"/>
  <c r="N619" i="1" s="1"/>
  <c r="M525" i="1"/>
  <c r="M619" i="1" s="1"/>
  <c r="L525" i="1"/>
  <c r="K525" i="1"/>
  <c r="K619" i="1" s="1"/>
  <c r="I525" i="1"/>
  <c r="I619" i="1" s="1"/>
  <c r="N524" i="1"/>
  <c r="N618" i="1" s="1"/>
  <c r="M524" i="1"/>
  <c r="M618" i="1" s="1"/>
  <c r="L524" i="1"/>
  <c r="L618" i="1" s="1"/>
  <c r="K524" i="1"/>
  <c r="I524" i="1"/>
  <c r="I618" i="1" s="1"/>
  <c r="N523" i="1"/>
  <c r="N617" i="1" s="1"/>
  <c r="M523" i="1"/>
  <c r="M617" i="1" s="1"/>
  <c r="L523" i="1"/>
  <c r="L617" i="1" s="1"/>
  <c r="K523" i="1"/>
  <c r="I523" i="1"/>
  <c r="I617" i="1" s="1"/>
  <c r="N522" i="1"/>
  <c r="N616" i="1" s="1"/>
  <c r="M522" i="1"/>
  <c r="M616" i="1" s="1"/>
  <c r="L522" i="1"/>
  <c r="L616" i="1" s="1"/>
  <c r="K522" i="1"/>
  <c r="I522" i="1"/>
  <c r="I616" i="1" s="1"/>
  <c r="M521" i="1"/>
  <c r="M615" i="1" s="1"/>
  <c r="L521" i="1"/>
  <c r="L615" i="1" s="1"/>
  <c r="K521" i="1"/>
  <c r="I521" i="1"/>
  <c r="I615" i="1" s="1"/>
  <c r="N520" i="1"/>
  <c r="N614" i="1" s="1"/>
  <c r="M520" i="1"/>
  <c r="M614" i="1" s="1"/>
  <c r="L520" i="1"/>
  <c r="K520" i="1"/>
  <c r="I520" i="1"/>
  <c r="I614" i="1" s="1"/>
  <c r="N519" i="1"/>
  <c r="N613" i="1" s="1"/>
  <c r="M519" i="1"/>
  <c r="M613" i="1" s="1"/>
  <c r="L519" i="1"/>
  <c r="L613" i="1" s="1"/>
  <c r="K519" i="1"/>
  <c r="I519" i="1"/>
  <c r="I613" i="1" s="1"/>
  <c r="N518" i="1"/>
  <c r="N612" i="1" s="1"/>
  <c r="M518" i="1"/>
  <c r="M612" i="1" s="1"/>
  <c r="L518" i="1"/>
  <c r="L612" i="1" s="1"/>
  <c r="K518" i="1"/>
  <c r="I518" i="1"/>
  <c r="I612" i="1" s="1"/>
  <c r="N517" i="1"/>
  <c r="N611" i="1" s="1"/>
  <c r="M517" i="1"/>
  <c r="M611" i="1" s="1"/>
  <c r="L517" i="1"/>
  <c r="L611" i="1" s="1"/>
  <c r="K517" i="1"/>
  <c r="I517" i="1"/>
  <c r="I611" i="1" s="1"/>
  <c r="N516" i="1"/>
  <c r="N610" i="1" s="1"/>
  <c r="M516" i="1"/>
  <c r="M610" i="1" s="1"/>
  <c r="L516" i="1"/>
  <c r="K516" i="1"/>
  <c r="I516" i="1"/>
  <c r="I610" i="1" s="1"/>
  <c r="N515" i="1"/>
  <c r="N609" i="1" s="1"/>
  <c r="M515" i="1"/>
  <c r="M609" i="1" s="1"/>
  <c r="L515" i="1"/>
  <c r="L609" i="1" s="1"/>
  <c r="K515" i="1"/>
  <c r="I515" i="1"/>
  <c r="I609" i="1" s="1"/>
  <c r="N514" i="1"/>
  <c r="N608" i="1" s="1"/>
  <c r="M514" i="1"/>
  <c r="M608" i="1" s="1"/>
  <c r="L514" i="1"/>
  <c r="L608" i="1" s="1"/>
  <c r="K514" i="1"/>
  <c r="I514" i="1"/>
  <c r="I608" i="1" s="1"/>
  <c r="N513" i="1"/>
  <c r="N607" i="1" s="1"/>
  <c r="M513" i="1"/>
  <c r="M607" i="1" s="1"/>
  <c r="L513" i="1"/>
  <c r="L607" i="1" s="1"/>
  <c r="K513" i="1"/>
  <c r="I513" i="1"/>
  <c r="I607" i="1" s="1"/>
  <c r="N512" i="1"/>
  <c r="N606" i="1" s="1"/>
  <c r="M512" i="1"/>
  <c r="M606" i="1" s="1"/>
  <c r="L512" i="1"/>
  <c r="K512" i="1"/>
  <c r="I512" i="1"/>
  <c r="I606" i="1" s="1"/>
  <c r="N605" i="1"/>
  <c r="M511" i="1"/>
  <c r="M605" i="1" s="1"/>
  <c r="L511" i="1"/>
  <c r="L605" i="1" s="1"/>
  <c r="K511" i="1"/>
  <c r="I511" i="1"/>
  <c r="I605" i="1" s="1"/>
  <c r="N510" i="1"/>
  <c r="N604" i="1" s="1"/>
  <c r="M510" i="1"/>
  <c r="M604" i="1" s="1"/>
  <c r="L510" i="1"/>
  <c r="L604" i="1" s="1"/>
  <c r="K510" i="1"/>
  <c r="I510" i="1"/>
  <c r="I604" i="1" s="1"/>
  <c r="N509" i="1"/>
  <c r="N603" i="1" s="1"/>
  <c r="M509" i="1"/>
  <c r="M603" i="1" s="1"/>
  <c r="L509" i="1"/>
  <c r="L603" i="1" s="1"/>
  <c r="K509" i="1"/>
  <c r="K603" i="1" s="1"/>
  <c r="I509" i="1"/>
  <c r="I603" i="1" s="1"/>
  <c r="N508" i="1"/>
  <c r="N602" i="1" s="1"/>
  <c r="M508" i="1"/>
  <c r="M602" i="1" s="1"/>
  <c r="L508" i="1"/>
  <c r="L602" i="1" s="1"/>
  <c r="K508" i="1"/>
  <c r="I508" i="1"/>
  <c r="I602" i="1" s="1"/>
  <c r="N507" i="1"/>
  <c r="N601" i="1" s="1"/>
  <c r="M507" i="1"/>
  <c r="M601" i="1" s="1"/>
  <c r="L507" i="1"/>
  <c r="L601" i="1" s="1"/>
  <c r="K507" i="1"/>
  <c r="I507" i="1"/>
  <c r="I601" i="1" s="1"/>
  <c r="N506" i="1"/>
  <c r="N600" i="1" s="1"/>
  <c r="M506" i="1"/>
  <c r="M600" i="1" s="1"/>
  <c r="L506" i="1"/>
  <c r="L600" i="1" s="1"/>
  <c r="K506" i="1"/>
  <c r="I506" i="1"/>
  <c r="I600" i="1" s="1"/>
  <c r="N505" i="1"/>
  <c r="N599" i="1" s="1"/>
  <c r="M505" i="1"/>
  <c r="M599" i="1" s="1"/>
  <c r="L505" i="1"/>
  <c r="L599" i="1" s="1"/>
  <c r="K505" i="1"/>
  <c r="I505" i="1"/>
  <c r="I599" i="1" s="1"/>
  <c r="N504" i="1"/>
  <c r="N598" i="1" s="1"/>
  <c r="M504" i="1"/>
  <c r="M598" i="1" s="1"/>
  <c r="L504" i="1"/>
  <c r="K504" i="1"/>
  <c r="I504" i="1"/>
  <c r="I598" i="1" s="1"/>
  <c r="N503" i="1"/>
  <c r="N597" i="1" s="1"/>
  <c r="M503" i="1"/>
  <c r="M597" i="1" s="1"/>
  <c r="L503" i="1"/>
  <c r="L597" i="1" s="1"/>
  <c r="K503" i="1"/>
  <c r="I503" i="1"/>
  <c r="I597" i="1" s="1"/>
  <c r="N502" i="1"/>
  <c r="M502" i="1"/>
  <c r="M596" i="1" s="1"/>
  <c r="L502" i="1"/>
  <c r="K502" i="1"/>
  <c r="I502" i="1"/>
  <c r="I596" i="1" s="1"/>
  <c r="N498" i="1"/>
  <c r="L498" i="1"/>
  <c r="N491" i="1"/>
  <c r="L491" i="1"/>
  <c r="L482" i="1"/>
  <c r="N566" i="1"/>
  <c r="N660" i="1" s="1"/>
  <c r="N460" i="1"/>
  <c r="L460" i="1"/>
  <c r="L448" i="1"/>
  <c r="N521" i="1"/>
  <c r="N615" i="1" s="1"/>
  <c r="X401" i="1"/>
  <c r="W401" i="1"/>
  <c r="V401" i="1"/>
  <c r="U401" i="1"/>
  <c r="T401" i="1"/>
  <c r="R401" i="1"/>
  <c r="Q401" i="1"/>
  <c r="P401" i="1"/>
  <c r="O401" i="1"/>
  <c r="H401" i="1"/>
  <c r="X400" i="1"/>
  <c r="W400" i="1"/>
  <c r="V400" i="1"/>
  <c r="U400" i="1"/>
  <c r="T400" i="1"/>
  <c r="R400" i="1"/>
  <c r="Q400" i="1"/>
  <c r="P400" i="1"/>
  <c r="O400" i="1"/>
  <c r="H400" i="1"/>
  <c r="Z400" i="1" s="1"/>
  <c r="X399" i="1"/>
  <c r="W399" i="1"/>
  <c r="V399" i="1"/>
  <c r="U399" i="1"/>
  <c r="T399" i="1"/>
  <c r="R399" i="1"/>
  <c r="Q399" i="1"/>
  <c r="P399" i="1"/>
  <c r="O399" i="1"/>
  <c r="H399" i="1"/>
  <c r="Z399" i="1" s="1"/>
  <c r="X398" i="1"/>
  <c r="W398" i="1"/>
  <c r="V398" i="1"/>
  <c r="U398" i="1"/>
  <c r="T398" i="1"/>
  <c r="R398" i="1"/>
  <c r="Q398" i="1"/>
  <c r="P398" i="1"/>
  <c r="O398" i="1"/>
  <c r="H398" i="1"/>
  <c r="Z398" i="1" s="1"/>
  <c r="X397" i="1"/>
  <c r="W397" i="1"/>
  <c r="V397" i="1"/>
  <c r="U397" i="1"/>
  <c r="T397" i="1"/>
  <c r="R397" i="1"/>
  <c r="Q397" i="1"/>
  <c r="P397" i="1"/>
  <c r="O397" i="1"/>
  <c r="H397" i="1"/>
  <c r="Z397" i="1" s="1"/>
  <c r="X396" i="1"/>
  <c r="W396" i="1"/>
  <c r="V396" i="1"/>
  <c r="U396" i="1"/>
  <c r="T396" i="1"/>
  <c r="R396" i="1"/>
  <c r="Q396" i="1"/>
  <c r="P396" i="1"/>
  <c r="O396" i="1"/>
  <c r="H396" i="1"/>
  <c r="Z396" i="1" s="1"/>
  <c r="X395" i="1"/>
  <c r="W395" i="1"/>
  <c r="V395" i="1"/>
  <c r="U395" i="1"/>
  <c r="T395" i="1"/>
  <c r="R395" i="1"/>
  <c r="Q395" i="1"/>
  <c r="P395" i="1"/>
  <c r="O395" i="1"/>
  <c r="H395" i="1"/>
  <c r="Z395" i="1" s="1"/>
  <c r="X394" i="1"/>
  <c r="W394" i="1"/>
  <c r="V394" i="1"/>
  <c r="U394" i="1"/>
  <c r="T394" i="1"/>
  <c r="R394" i="1"/>
  <c r="Q394" i="1"/>
  <c r="P394" i="1"/>
  <c r="O394" i="1"/>
  <c r="H394" i="1"/>
  <c r="Z394" i="1" s="1"/>
  <c r="X393" i="1"/>
  <c r="W393" i="1"/>
  <c r="V393" i="1"/>
  <c r="U393" i="1"/>
  <c r="T393" i="1"/>
  <c r="R393" i="1"/>
  <c r="Q393" i="1"/>
  <c r="P393" i="1"/>
  <c r="O393" i="1"/>
  <c r="H393" i="1"/>
  <c r="Z393" i="1" s="1"/>
  <c r="X392" i="1"/>
  <c r="W392" i="1"/>
  <c r="V392" i="1"/>
  <c r="U392" i="1"/>
  <c r="T392" i="1"/>
  <c r="R392" i="1"/>
  <c r="Q392" i="1"/>
  <c r="P392" i="1"/>
  <c r="P358" i="1"/>
  <c r="P368" i="1" s="1"/>
  <c r="O358" i="1"/>
  <c r="O368" i="1" s="1"/>
  <c r="S357" i="1"/>
  <c r="AB357" i="1" s="1"/>
  <c r="S356" i="1"/>
  <c r="AB356" i="1" s="1"/>
  <c r="S355" i="1"/>
  <c r="AB355" i="1" s="1"/>
  <c r="S354" i="1"/>
  <c r="AB354" i="1" s="1"/>
  <c r="S353" i="1"/>
  <c r="AB353" i="1" s="1"/>
  <c r="S352" i="1"/>
  <c r="AB352" i="1" s="1"/>
  <c r="S351" i="1"/>
  <c r="AB351" i="1" s="1"/>
  <c r="S350" i="1"/>
  <c r="AB350" i="1" s="1"/>
  <c r="S348" i="1"/>
  <c r="AB348" i="1" s="1"/>
  <c r="S347" i="1"/>
  <c r="AB347" i="1" s="1"/>
  <c r="S346" i="1"/>
  <c r="AB346" i="1" s="1"/>
  <c r="S345" i="1"/>
  <c r="AB345" i="1" s="1"/>
  <c r="X343" i="1"/>
  <c r="X367" i="1" s="1"/>
  <c r="W343" i="1"/>
  <c r="W367" i="1" s="1"/>
  <c r="V343" i="1"/>
  <c r="V367" i="1" s="1"/>
  <c r="U343" i="1"/>
  <c r="U367" i="1" s="1"/>
  <c r="T343" i="1"/>
  <c r="T367" i="1" s="1"/>
  <c r="R343" i="1"/>
  <c r="R367" i="1" s="1"/>
  <c r="Q343" i="1"/>
  <c r="Q367" i="1" s="1"/>
  <c r="P343" i="1"/>
  <c r="P367" i="1" s="1"/>
  <c r="O343" i="1"/>
  <c r="O367" i="1" s="1"/>
  <c r="S342" i="1"/>
  <c r="AB342" i="1" s="1"/>
  <c r="S341" i="1"/>
  <c r="AB341" i="1" s="1"/>
  <c r="S337" i="1"/>
  <c r="AB337" i="1" s="1"/>
  <c r="S336" i="1"/>
  <c r="AB336" i="1" s="1"/>
  <c r="S335" i="1"/>
  <c r="AB335" i="1" s="1"/>
  <c r="R333" i="1"/>
  <c r="R366" i="1" s="1"/>
  <c r="Q333" i="1"/>
  <c r="Q366" i="1" s="1"/>
  <c r="P333" i="1"/>
  <c r="P366" i="1" s="1"/>
  <c r="O333" i="1"/>
  <c r="O366" i="1" s="1"/>
  <c r="S332" i="1"/>
  <c r="AB332" i="1" s="1"/>
  <c r="S331" i="1"/>
  <c r="AB331" i="1" s="1"/>
  <c r="S328" i="1"/>
  <c r="S327" i="1"/>
  <c r="S326" i="1"/>
  <c r="X324" i="1"/>
  <c r="X365" i="1" s="1"/>
  <c r="W324" i="1"/>
  <c r="W365" i="1" s="1"/>
  <c r="V324" i="1"/>
  <c r="V365" i="1" s="1"/>
  <c r="U324" i="1"/>
  <c r="U365" i="1" s="1"/>
  <c r="T324" i="1"/>
  <c r="T365" i="1" s="1"/>
  <c r="R324" i="1"/>
  <c r="R365" i="1" s="1"/>
  <c r="Q324" i="1"/>
  <c r="Q365" i="1" s="1"/>
  <c r="P324" i="1"/>
  <c r="P365" i="1" s="1"/>
  <c r="O324" i="1"/>
  <c r="O365" i="1" s="1"/>
  <c r="S322" i="1"/>
  <c r="AB322" i="1" s="1"/>
  <c r="X320" i="1"/>
  <c r="X364" i="1" s="1"/>
  <c r="W320" i="1"/>
  <c r="W364" i="1" s="1"/>
  <c r="V320" i="1"/>
  <c r="V364" i="1" s="1"/>
  <c r="U320" i="1"/>
  <c r="U364" i="1" s="1"/>
  <c r="T320" i="1"/>
  <c r="T364" i="1" s="1"/>
  <c r="R320" i="1"/>
  <c r="R364" i="1" s="1"/>
  <c r="Q320" i="1"/>
  <c r="Q364" i="1" s="1"/>
  <c r="P320" i="1"/>
  <c r="P364" i="1" s="1"/>
  <c r="O320" i="1"/>
  <c r="O364" i="1" s="1"/>
  <c r="S319" i="1"/>
  <c r="AB319" i="1" s="1"/>
  <c r="S318" i="1"/>
  <c r="AB318" i="1" s="1"/>
  <c r="S315" i="1"/>
  <c r="AB315" i="1" s="1"/>
  <c r="S314" i="1"/>
  <c r="AB314" i="1" s="1"/>
  <c r="S313" i="1"/>
  <c r="AB313" i="1" s="1"/>
  <c r="S312" i="1"/>
  <c r="AB312" i="1" s="1"/>
  <c r="S311" i="1"/>
  <c r="AB311" i="1" s="1"/>
  <c r="X309" i="1"/>
  <c r="X363" i="1" s="1"/>
  <c r="W309" i="1"/>
  <c r="W363" i="1" s="1"/>
  <c r="V309" i="1"/>
  <c r="V363" i="1" s="1"/>
  <c r="U309" i="1"/>
  <c r="U363" i="1" s="1"/>
  <c r="T309" i="1"/>
  <c r="T363" i="1" s="1"/>
  <c r="R309" i="1"/>
  <c r="R363" i="1" s="1"/>
  <c r="Q309" i="1"/>
  <c r="Q363" i="1" s="1"/>
  <c r="P309" i="1"/>
  <c r="P363" i="1" s="1"/>
  <c r="O309" i="1"/>
  <c r="O363" i="1" s="1"/>
  <c r="S308" i="1"/>
  <c r="AB308" i="1" s="1"/>
  <c r="S307" i="1"/>
  <c r="AB307" i="1" s="1"/>
  <c r="S306" i="1"/>
  <c r="AB306" i="1" s="1"/>
  <c r="S305" i="1"/>
  <c r="AB305" i="1" s="1"/>
  <c r="S304" i="1"/>
  <c r="AB304" i="1" s="1"/>
  <c r="S303" i="1"/>
  <c r="AB303" i="1" s="1"/>
  <c r="S302" i="1"/>
  <c r="AB302" i="1" s="1"/>
  <c r="S301" i="1"/>
  <c r="AB301" i="1" s="1"/>
  <c r="S300" i="1"/>
  <c r="AB300" i="1" s="1"/>
  <c r="S299" i="1"/>
  <c r="AB299" i="1" s="1"/>
  <c r="S298" i="1"/>
  <c r="AB298" i="1" s="1"/>
  <c r="S297" i="1"/>
  <c r="AB297" i="1" s="1"/>
  <c r="S296" i="1"/>
  <c r="AB296" i="1" s="1"/>
  <c r="S295" i="1"/>
  <c r="AB295" i="1" s="1"/>
  <c r="S294" i="1"/>
  <c r="AB294" i="1" s="1"/>
  <c r="X292" i="1"/>
  <c r="X362" i="1" s="1"/>
  <c r="W292" i="1"/>
  <c r="W362" i="1" s="1"/>
  <c r="V292" i="1"/>
  <c r="V362" i="1" s="1"/>
  <c r="U292" i="1"/>
  <c r="U362" i="1" s="1"/>
  <c r="T292" i="1"/>
  <c r="T362" i="1" s="1"/>
  <c r="R292" i="1"/>
  <c r="R362" i="1" s="1"/>
  <c r="Q292" i="1"/>
  <c r="Q362" i="1" s="1"/>
  <c r="P292" i="1"/>
  <c r="P362" i="1" s="1"/>
  <c r="S291" i="1"/>
  <c r="AB291" i="1" s="1"/>
  <c r="S290" i="1"/>
  <c r="AB290" i="1" s="1"/>
  <c r="S286" i="1"/>
  <c r="AB286" i="1" s="1"/>
  <c r="S285" i="1"/>
  <c r="AB285" i="1" s="1"/>
  <c r="S284" i="1"/>
  <c r="AB284" i="1" s="1"/>
  <c r="S283" i="1"/>
  <c r="AB283" i="1" s="1"/>
  <c r="X280" i="1"/>
  <c r="X281" i="1" s="1"/>
  <c r="W280" i="1"/>
  <c r="W281" i="1" s="1"/>
  <c r="V280" i="1"/>
  <c r="V281" i="1" s="1"/>
  <c r="U280" i="1"/>
  <c r="U281" i="1" s="1"/>
  <c r="T280" i="1"/>
  <c r="T281" i="1" s="1"/>
  <c r="R280" i="1"/>
  <c r="R281" i="1" s="1"/>
  <c r="Q280" i="1"/>
  <c r="P280" i="1"/>
  <c r="P281" i="1" s="1"/>
  <c r="O280" i="1"/>
  <c r="S276" i="1"/>
  <c r="AB276" i="1" s="1"/>
  <c r="X273" i="1"/>
  <c r="X274" i="1" s="1"/>
  <c r="W273" i="1"/>
  <c r="W274" i="1" s="1"/>
  <c r="V273" i="1"/>
  <c r="V274" i="1" s="1"/>
  <c r="U273" i="1"/>
  <c r="U274" i="1" s="1"/>
  <c r="T273" i="1"/>
  <c r="T274" i="1" s="1"/>
  <c r="R273" i="1"/>
  <c r="R274" i="1" s="1"/>
  <c r="Q273" i="1"/>
  <c r="Q274" i="1" s="1"/>
  <c r="P273" i="1"/>
  <c r="P274" i="1" s="1"/>
  <c r="O273" i="1"/>
  <c r="S269" i="1"/>
  <c r="AB269" i="1" s="1"/>
  <c r="X266" i="1"/>
  <c r="X267" i="1" s="1"/>
  <c r="W266" i="1"/>
  <c r="W267" i="1" s="1"/>
  <c r="V266" i="1"/>
  <c r="V267" i="1" s="1"/>
  <c r="U266" i="1"/>
  <c r="U267" i="1" s="1"/>
  <c r="T266" i="1"/>
  <c r="T267" i="1" s="1"/>
  <c r="R266" i="1"/>
  <c r="R267" i="1" s="1"/>
  <c r="Q266" i="1"/>
  <c r="Q267" i="1" s="1"/>
  <c r="P266" i="1"/>
  <c r="P267" i="1" s="1"/>
  <c r="O266" i="1"/>
  <c r="S262" i="1"/>
  <c r="AB262" i="1" s="1"/>
  <c r="X259" i="1"/>
  <c r="X260" i="1" s="1"/>
  <c r="W259" i="1"/>
  <c r="W260" i="1" s="1"/>
  <c r="V259" i="1"/>
  <c r="V260" i="1" s="1"/>
  <c r="U259" i="1"/>
  <c r="U260" i="1" s="1"/>
  <c r="T259" i="1"/>
  <c r="T260" i="1" s="1"/>
  <c r="R259" i="1"/>
  <c r="R260" i="1" s="1"/>
  <c r="Q259" i="1"/>
  <c r="Q260" i="1" s="1"/>
  <c r="P259" i="1"/>
  <c r="P260" i="1" s="1"/>
  <c r="O259" i="1"/>
  <c r="S255" i="1"/>
  <c r="X252" i="1"/>
  <c r="X253" i="1" s="1"/>
  <c r="W252" i="1"/>
  <c r="W253" i="1" s="1"/>
  <c r="V252" i="1"/>
  <c r="V253" i="1" s="1"/>
  <c r="U252" i="1"/>
  <c r="U253" i="1" s="1"/>
  <c r="T252" i="1"/>
  <c r="T253" i="1" s="1"/>
  <c r="R252" i="1"/>
  <c r="R253" i="1" s="1"/>
  <c r="Q252" i="1"/>
  <c r="Q253" i="1" s="1"/>
  <c r="P252" i="1"/>
  <c r="P253" i="1" s="1"/>
  <c r="O252" i="1"/>
  <c r="S248" i="1"/>
  <c r="X245" i="1"/>
  <c r="X246" i="1" s="1"/>
  <c r="W245" i="1"/>
  <c r="W246" i="1" s="1"/>
  <c r="V245" i="1"/>
  <c r="V246" i="1" s="1"/>
  <c r="U245" i="1"/>
  <c r="U246" i="1" s="1"/>
  <c r="T245" i="1"/>
  <c r="T246" i="1" s="1"/>
  <c r="R245" i="1"/>
  <c r="R246" i="1" s="1"/>
  <c r="Q245" i="1"/>
  <c r="Q246" i="1" s="1"/>
  <c r="P245" i="1"/>
  <c r="P246" i="1" s="1"/>
  <c r="O245" i="1"/>
  <c r="S241" i="1"/>
  <c r="X238" i="1"/>
  <c r="X239" i="1" s="1"/>
  <c r="W238" i="1"/>
  <c r="W239" i="1" s="1"/>
  <c r="V238" i="1"/>
  <c r="V239" i="1" s="1"/>
  <c r="U238" i="1"/>
  <c r="U239" i="1" s="1"/>
  <c r="T238" i="1"/>
  <c r="T239" i="1" s="1"/>
  <c r="R238" i="1"/>
  <c r="R239" i="1" s="1"/>
  <c r="Q238" i="1"/>
  <c r="Q239" i="1" s="1"/>
  <c r="P238" i="1"/>
  <c r="P239" i="1" s="1"/>
  <c r="O238" i="1"/>
  <c r="S234" i="1"/>
  <c r="AB234" i="1" s="1"/>
  <c r="I235" i="1"/>
  <c r="I236" i="1" s="1"/>
  <c r="I237" i="1" s="1"/>
  <c r="I238" i="1" s="1"/>
  <c r="I239" i="1" s="1"/>
  <c r="X231" i="1"/>
  <c r="X232" i="1" s="1"/>
  <c r="W231" i="1"/>
  <c r="W232" i="1" s="1"/>
  <c r="V231" i="1"/>
  <c r="V232" i="1" s="1"/>
  <c r="U231" i="1"/>
  <c r="U232" i="1" s="1"/>
  <c r="T231" i="1"/>
  <c r="T232" i="1" s="1"/>
  <c r="R231" i="1"/>
  <c r="R232" i="1" s="1"/>
  <c r="Q231" i="1"/>
  <c r="Q232" i="1" s="1"/>
  <c r="P231" i="1"/>
  <c r="O231" i="1"/>
  <c r="S227" i="1"/>
  <c r="X224" i="1"/>
  <c r="X225" i="1" s="1"/>
  <c r="W224" i="1"/>
  <c r="W225" i="1" s="1"/>
  <c r="V224" i="1"/>
  <c r="V225" i="1" s="1"/>
  <c r="U224" i="1"/>
  <c r="U225" i="1" s="1"/>
  <c r="T224" i="1"/>
  <c r="T225" i="1" s="1"/>
  <c r="R224" i="1"/>
  <c r="R225" i="1" s="1"/>
  <c r="Q224" i="1"/>
  <c r="P224" i="1"/>
  <c r="P225" i="1" s="1"/>
  <c r="O224" i="1"/>
  <c r="S220" i="1"/>
  <c r="AB220" i="1" s="1"/>
  <c r="X217" i="1"/>
  <c r="X218" i="1" s="1"/>
  <c r="W217" i="1"/>
  <c r="W218" i="1" s="1"/>
  <c r="V217" i="1"/>
  <c r="V218" i="1" s="1"/>
  <c r="U217" i="1"/>
  <c r="U218" i="1" s="1"/>
  <c r="T217" i="1"/>
  <c r="T218" i="1" s="1"/>
  <c r="R217" i="1"/>
  <c r="R218" i="1" s="1"/>
  <c r="Q217" i="1"/>
  <c r="P217" i="1"/>
  <c r="P218" i="1" s="1"/>
  <c r="O217" i="1"/>
  <c r="O218" i="1" s="1"/>
  <c r="S213" i="1"/>
  <c r="S392" i="1" s="1"/>
  <c r="X211" i="1"/>
  <c r="X360" i="1" s="1"/>
  <c r="W211" i="1"/>
  <c r="W360" i="1" s="1"/>
  <c r="V211" i="1"/>
  <c r="V360" i="1" s="1"/>
  <c r="U211" i="1"/>
  <c r="U360" i="1" s="1"/>
  <c r="T211" i="1"/>
  <c r="T360" i="1" s="1"/>
  <c r="R211" i="1"/>
  <c r="R360" i="1" s="1"/>
  <c r="Q211" i="1"/>
  <c r="Q360" i="1" s="1"/>
  <c r="P211" i="1"/>
  <c r="P360" i="1" s="1"/>
  <c r="O211" i="1"/>
  <c r="O360" i="1" s="1"/>
  <c r="S210" i="1"/>
  <c r="AB210" i="1" s="1"/>
  <c r="S209" i="1"/>
  <c r="AB209" i="1" s="1"/>
  <c r="S208" i="1"/>
  <c r="AB208" i="1" s="1"/>
  <c r="S207" i="1"/>
  <c r="AB207" i="1" s="1"/>
  <c r="S206" i="1"/>
  <c r="AB206" i="1" s="1"/>
  <c r="S205" i="1"/>
  <c r="AB205" i="1" s="1"/>
  <c r="S204" i="1"/>
  <c r="AB204" i="1" s="1"/>
  <c r="S203" i="1"/>
  <c r="AB203" i="1" s="1"/>
  <c r="S202" i="1"/>
  <c r="AB202" i="1" s="1"/>
  <c r="S201" i="1"/>
  <c r="AB201" i="1" s="1"/>
  <c r="X190" i="1"/>
  <c r="W190" i="1"/>
  <c r="V190" i="1"/>
  <c r="U190" i="1"/>
  <c r="T190" i="1"/>
  <c r="R190" i="1"/>
  <c r="Q190" i="1"/>
  <c r="P190" i="1"/>
  <c r="O190" i="1"/>
  <c r="S189" i="1"/>
  <c r="S188" i="1"/>
  <c r="J25" i="2"/>
  <c r="J47" i="6"/>
  <c r="F160" i="9" l="1"/>
  <c r="F110" i="9"/>
  <c r="F12" i="9"/>
  <c r="F60" i="9"/>
  <c r="H51" i="3"/>
  <c r="H12" i="3"/>
  <c r="H7" i="3"/>
  <c r="H85" i="3"/>
  <c r="D94" i="6"/>
  <c r="D51" i="6"/>
  <c r="D10" i="6"/>
  <c r="D7" i="5"/>
  <c r="D23" i="5" s="1"/>
  <c r="P5" i="1"/>
  <c r="O568" i="1"/>
  <c r="K611" i="1"/>
  <c r="O517" i="1"/>
  <c r="K616" i="1"/>
  <c r="O522" i="1"/>
  <c r="K660" i="1"/>
  <c r="O566" i="1"/>
  <c r="AE392" i="1"/>
  <c r="K600" i="1"/>
  <c r="O506" i="1"/>
  <c r="K608" i="1"/>
  <c r="O514" i="1"/>
  <c r="K597" i="1"/>
  <c r="O503" i="1"/>
  <c r="O511" i="1"/>
  <c r="K613" i="1"/>
  <c r="O519" i="1"/>
  <c r="K618" i="1"/>
  <c r="O524" i="1"/>
  <c r="K602" i="1"/>
  <c r="O508" i="1"/>
  <c r="K610" i="1"/>
  <c r="O516" i="1"/>
  <c r="K659" i="1"/>
  <c r="O565" i="1"/>
  <c r="K599" i="1"/>
  <c r="O505" i="1"/>
  <c r="K607" i="1"/>
  <c r="O513" i="1"/>
  <c r="K615" i="1"/>
  <c r="O521" i="1"/>
  <c r="K661" i="1"/>
  <c r="O567" i="1"/>
  <c r="K596" i="1"/>
  <c r="O502" i="1"/>
  <c r="K604" i="1"/>
  <c r="O510" i="1"/>
  <c r="K612" i="1"/>
  <c r="O518" i="1"/>
  <c r="K617" i="1"/>
  <c r="O523" i="1"/>
  <c r="K601" i="1"/>
  <c r="O507" i="1"/>
  <c r="K609" i="1"/>
  <c r="O515" i="1"/>
  <c r="K658" i="1"/>
  <c r="O564" i="1"/>
  <c r="K663" i="1"/>
  <c r="O569" i="1"/>
  <c r="K598" i="1"/>
  <c r="O504" i="1"/>
  <c r="K606" i="1"/>
  <c r="O512" i="1"/>
  <c r="K614" i="1"/>
  <c r="O520" i="1"/>
  <c r="X761" i="1"/>
  <c r="S761" i="1"/>
  <c r="W761" i="1"/>
  <c r="T761" i="1"/>
  <c r="U761" i="1"/>
  <c r="V761" i="1"/>
  <c r="K662" i="1"/>
  <c r="K605" i="1"/>
  <c r="J820" i="1"/>
  <c r="J824" i="1"/>
  <c r="G766" i="7"/>
  <c r="G640" i="7"/>
  <c r="G472" i="7"/>
  <c r="G724" i="7"/>
  <c r="G682" i="7"/>
  <c r="G430" i="7"/>
  <c r="G514" i="7"/>
  <c r="G488" i="7"/>
  <c r="G808" i="7"/>
  <c r="G598" i="7"/>
  <c r="G556" i="7"/>
  <c r="G816" i="7"/>
  <c r="G438" i="7"/>
  <c r="G656" i="7"/>
  <c r="G648" i="7"/>
  <c r="G782" i="7"/>
  <c r="G614" i="7"/>
  <c r="G698" i="7"/>
  <c r="G690" i="7"/>
  <c r="G740" i="7"/>
  <c r="G480" i="7"/>
  <c r="G446" i="7"/>
  <c r="G774" i="7"/>
  <c r="G572" i="7"/>
  <c r="G824" i="7"/>
  <c r="G504" i="7"/>
  <c r="G530" i="7"/>
  <c r="G714" i="7"/>
  <c r="G606" i="7"/>
  <c r="G462" i="7"/>
  <c r="G798" i="7"/>
  <c r="G840" i="7"/>
  <c r="G672" i="7"/>
  <c r="G496" i="7"/>
  <c r="G522" i="7"/>
  <c r="G732" i="7"/>
  <c r="G564" i="7"/>
  <c r="G756" i="7"/>
  <c r="G664" i="7"/>
  <c r="G706" i="7"/>
  <c r="G790" i="7"/>
  <c r="G832" i="7"/>
  <c r="G630" i="7"/>
  <c r="G454" i="7"/>
  <c r="G546" i="7"/>
  <c r="G588" i="7"/>
  <c r="G580" i="7"/>
  <c r="G748" i="7"/>
  <c r="G538" i="7"/>
  <c r="G622" i="7"/>
  <c r="J1136" i="7"/>
  <c r="J254" i="7"/>
  <c r="J1095" i="7"/>
  <c r="J1261" i="7"/>
  <c r="J44" i="7"/>
  <c r="AR44" i="7"/>
  <c r="J379" i="7"/>
  <c r="J1052" i="7"/>
  <c r="J85" i="7"/>
  <c r="J1178" i="7"/>
  <c r="J212" i="7"/>
  <c r="J1219" i="7"/>
  <c r="J128" i="7"/>
  <c r="J295" i="7"/>
  <c r="J422" i="7"/>
  <c r="J1009" i="7"/>
  <c r="J169" i="7"/>
  <c r="J337" i="7"/>
  <c r="J883" i="7"/>
  <c r="J925" i="7"/>
  <c r="W361" i="1"/>
  <c r="W390" i="1" s="1"/>
  <c r="X361" i="1"/>
  <c r="X390" i="1" s="1"/>
  <c r="R361" i="1"/>
  <c r="T361" i="1"/>
  <c r="T390" i="1" s="1"/>
  <c r="U361" i="1"/>
  <c r="U390" i="1" s="1"/>
  <c r="V361" i="1"/>
  <c r="V390" i="1" s="1"/>
  <c r="H821" i="1"/>
  <c r="Z820" i="1"/>
  <c r="H402" i="1"/>
  <c r="Z402" i="1" s="1"/>
  <c r="Z401" i="1"/>
  <c r="S229" i="1"/>
  <c r="AB229" i="1" s="1"/>
  <c r="AB227" i="1"/>
  <c r="O281" i="1"/>
  <c r="S258" i="1"/>
  <c r="AB258" i="1" s="1"/>
  <c r="AB255" i="1"/>
  <c r="O239" i="1"/>
  <c r="O267" i="1"/>
  <c r="S243" i="1"/>
  <c r="AB243" i="1" s="1"/>
  <c r="AB241" i="1"/>
  <c r="O232" i="1"/>
  <c r="O246" i="1"/>
  <c r="O274" i="1"/>
  <c r="O225" i="1"/>
  <c r="S397" i="1"/>
  <c r="AE397" i="1" s="1"/>
  <c r="AB248" i="1"/>
  <c r="J967" i="7"/>
  <c r="I968" i="7"/>
  <c r="AR968" i="7" s="1"/>
  <c r="G1228" i="7"/>
  <c r="G1186" i="7"/>
  <c r="G1144" i="7"/>
  <c r="G1102" i="7"/>
  <c r="G1060" i="7"/>
  <c r="G1018" i="7"/>
  <c r="G976" i="7"/>
  <c r="G934" i="7"/>
  <c r="G892" i="7"/>
  <c r="G850" i="7"/>
  <c r="G388" i="7"/>
  <c r="G346" i="7"/>
  <c r="G304" i="7"/>
  <c r="G262" i="7"/>
  <c r="G220" i="7"/>
  <c r="G178" i="7"/>
  <c r="G136" i="7"/>
  <c r="G94" i="7"/>
  <c r="G52" i="7"/>
  <c r="G10" i="7"/>
  <c r="G1244" i="7"/>
  <c r="G950" i="7"/>
  <c r="G194" i="7"/>
  <c r="G1160" i="7"/>
  <c r="G1202" i="7"/>
  <c r="G278" i="7"/>
  <c r="G110" i="7"/>
  <c r="G1076" i="7"/>
  <c r="G362" i="7"/>
  <c r="G152" i="7"/>
  <c r="G18" i="7"/>
  <c r="G866" i="7"/>
  <c r="G908" i="7"/>
  <c r="G1034" i="7"/>
  <c r="G404" i="7"/>
  <c r="G26" i="7"/>
  <c r="G320" i="7"/>
  <c r="G992" i="7"/>
  <c r="G68" i="7"/>
  <c r="G236" i="7"/>
  <c r="G1118" i="7"/>
  <c r="G1152" i="7"/>
  <c r="G858" i="7"/>
  <c r="G42" i="7"/>
  <c r="G354" i="7"/>
  <c r="G102" i="7"/>
  <c r="G1026" i="7"/>
  <c r="G942" i="7"/>
  <c r="G900" i="7"/>
  <c r="G396" i="7"/>
  <c r="G336" i="7"/>
  <c r="G186" i="7"/>
  <c r="G1110" i="7"/>
  <c r="G144" i="7"/>
  <c r="G1068" i="7"/>
  <c r="G1194" i="7"/>
  <c r="G60" i="7"/>
  <c r="G228" i="7"/>
  <c r="G312" i="7"/>
  <c r="G270" i="7"/>
  <c r="G984" i="7"/>
  <c r="G1236" i="7"/>
  <c r="G210" i="7"/>
  <c r="G378" i="7"/>
  <c r="G420" i="7"/>
  <c r="G1008" i="7"/>
  <c r="G328" i="7"/>
  <c r="G202" i="7"/>
  <c r="G252" i="7"/>
  <c r="G168" i="7"/>
  <c r="G294" i="7"/>
  <c r="G1218" i="7"/>
  <c r="G412" i="7"/>
  <c r="G1134" i="7"/>
  <c r="G1092" i="7"/>
  <c r="G882" i="7"/>
  <c r="G1260" i="7"/>
  <c r="G84" i="7"/>
  <c r="G34" i="7"/>
  <c r="G1050" i="7"/>
  <c r="G924" i="7"/>
  <c r="G966" i="7"/>
  <c r="G126" i="7"/>
  <c r="G1176" i="7"/>
  <c r="G1084" i="7"/>
  <c r="G244" i="7"/>
  <c r="G118" i="7"/>
  <c r="G1168" i="7"/>
  <c r="G1126" i="7"/>
  <c r="G916" i="7"/>
  <c r="G160" i="7"/>
  <c r="G1210" i="7"/>
  <c r="G286" i="7"/>
  <c r="G1042" i="7"/>
  <c r="G1252" i="7"/>
  <c r="G76" i="7"/>
  <c r="G874" i="7"/>
  <c r="G958" i="7"/>
  <c r="G1000" i="7"/>
  <c r="G370" i="7"/>
  <c r="O37" i="1"/>
  <c r="O81" i="1"/>
  <c r="R5" i="8"/>
  <c r="BA5" i="8"/>
  <c r="BH5" i="8"/>
  <c r="BX5" i="8"/>
  <c r="J5" i="8"/>
  <c r="I926" i="7"/>
  <c r="AR926" i="7" s="1"/>
  <c r="I1010" i="7"/>
  <c r="AR1010" i="7" s="1"/>
  <c r="I1179" i="7"/>
  <c r="AR1179" i="7" s="1"/>
  <c r="I1262" i="7"/>
  <c r="AR1262" i="7" s="1"/>
  <c r="I884" i="7"/>
  <c r="AR884" i="7" s="1"/>
  <c r="I1220" i="7"/>
  <c r="AR1220" i="7" s="1"/>
  <c r="I1053" i="7"/>
  <c r="AR1053" i="7" s="1"/>
  <c r="I1137" i="7"/>
  <c r="AR1137" i="7" s="1"/>
  <c r="I1096" i="7"/>
  <c r="AR1096" i="7" s="1"/>
  <c r="J26" i="2"/>
  <c r="I423" i="7"/>
  <c r="AR423" i="7" s="1"/>
  <c r="I380" i="7"/>
  <c r="AR380" i="7" s="1"/>
  <c r="I338" i="7"/>
  <c r="AR338" i="7" s="1"/>
  <c r="I296" i="7"/>
  <c r="AR296" i="7" s="1"/>
  <c r="I255" i="7"/>
  <c r="AR255" i="7" s="1"/>
  <c r="I213" i="7"/>
  <c r="AR213" i="7" s="1"/>
  <c r="I170" i="7"/>
  <c r="AR170" i="7" s="1"/>
  <c r="I129" i="7"/>
  <c r="AR129" i="7" s="1"/>
  <c r="I86" i="7"/>
  <c r="AR86" i="7" s="1"/>
  <c r="I45" i="7"/>
  <c r="J90" i="6"/>
  <c r="J6" i="6"/>
  <c r="L3" i="5"/>
  <c r="N82" i="3"/>
  <c r="N48" i="3"/>
  <c r="N9" i="3"/>
  <c r="E1" i="1"/>
  <c r="S263" i="1"/>
  <c r="AB263" i="1" s="1"/>
  <c r="O705" i="1"/>
  <c r="O780" i="1" s="1"/>
  <c r="O783" i="1" s="1"/>
  <c r="S190" i="1"/>
  <c r="S214" i="1"/>
  <c r="S264" i="1"/>
  <c r="AB264" i="1" s="1"/>
  <c r="V402" i="1"/>
  <c r="S216" i="1"/>
  <c r="I242" i="1"/>
  <c r="I243" i="1" s="1"/>
  <c r="I244" i="1" s="1"/>
  <c r="I245" i="1" s="1"/>
  <c r="I246" i="1" s="1"/>
  <c r="S265" i="1"/>
  <c r="AB265" i="1" s="1"/>
  <c r="S215" i="1"/>
  <c r="I228" i="1"/>
  <c r="I229" i="1" s="1"/>
  <c r="I230" i="1" s="1"/>
  <c r="I231" i="1" s="1"/>
  <c r="I232" i="1" s="1"/>
  <c r="S333" i="1"/>
  <c r="S366" i="1" s="1"/>
  <c r="AB326" i="1"/>
  <c r="X402" i="1"/>
  <c r="I256" i="1"/>
  <c r="I257" i="1" s="1"/>
  <c r="I258" i="1" s="1"/>
  <c r="I259" i="1" s="1"/>
  <c r="I260" i="1" s="1"/>
  <c r="S272" i="1"/>
  <c r="AB272" i="1" s="1"/>
  <c r="S400" i="1"/>
  <c r="AE400" i="1" s="1"/>
  <c r="S271" i="1"/>
  <c r="AB271" i="1" s="1"/>
  <c r="S270" i="1"/>
  <c r="AB270" i="1" s="1"/>
  <c r="S223" i="1"/>
  <c r="AB223" i="1" s="1"/>
  <c r="S221" i="1"/>
  <c r="AB221" i="1" s="1"/>
  <c r="S395" i="1"/>
  <c r="AE395" i="1" s="1"/>
  <c r="S237" i="1"/>
  <c r="AB237" i="1" s="1"/>
  <c r="S235" i="1"/>
  <c r="AB235" i="1" s="1"/>
  <c r="W402" i="1"/>
  <c r="O402" i="1"/>
  <c r="S770" i="1"/>
  <c r="I270" i="1"/>
  <c r="I271" i="1" s="1"/>
  <c r="I272" i="1" s="1"/>
  <c r="I273" i="1" s="1"/>
  <c r="I274" i="1" s="1"/>
  <c r="S399" i="1"/>
  <c r="AE399" i="1" s="1"/>
  <c r="S249" i="1"/>
  <c r="AB249" i="1" s="1"/>
  <c r="S323" i="1"/>
  <c r="AB323" i="1" s="1"/>
  <c r="AB213" i="1"/>
  <c r="C49" i="5"/>
  <c r="P705" i="1"/>
  <c r="C137" i="5"/>
  <c r="G56" i="6"/>
  <c r="H56" i="6"/>
  <c r="J56" i="6"/>
  <c r="I56" i="6"/>
  <c r="E56" i="6"/>
  <c r="F56" i="6"/>
  <c r="G20" i="3"/>
  <c r="K71" i="3"/>
  <c r="N58" i="3"/>
  <c r="I88" i="3"/>
  <c r="I16" i="3"/>
  <c r="I32" i="3"/>
  <c r="N20" i="3"/>
  <c r="N53" i="3"/>
  <c r="N98" i="3" s="1"/>
  <c r="G16" i="3"/>
  <c r="G32" i="3"/>
  <c r="L58" i="3"/>
  <c r="N74" i="3"/>
  <c r="M88" i="3"/>
  <c r="M16" i="3"/>
  <c r="M32" i="3"/>
  <c r="K53" i="3"/>
  <c r="K98" i="3" s="1"/>
  <c r="N88" i="3"/>
  <c r="N16" i="3"/>
  <c r="N32" i="3"/>
  <c r="L53" i="3"/>
  <c r="L98" i="3" s="1"/>
  <c r="I20" i="3"/>
  <c r="L71" i="3"/>
  <c r="K74" i="3"/>
  <c r="M20" i="3"/>
  <c r="K58" i="3"/>
  <c r="N71" i="3"/>
  <c r="L74" i="3"/>
  <c r="H88" i="3"/>
  <c r="H16" i="3"/>
  <c r="H20" i="3"/>
  <c r="H32" i="3"/>
  <c r="M53" i="3"/>
  <c r="M98" i="3" s="1"/>
  <c r="M58" i="3"/>
  <c r="M71" i="3"/>
  <c r="J16" i="3"/>
  <c r="J88" i="3"/>
  <c r="J20" i="3"/>
  <c r="J32" i="3"/>
  <c r="G53" i="3"/>
  <c r="G58" i="3"/>
  <c r="G65" i="3"/>
  <c r="G71" i="3"/>
  <c r="G74" i="3"/>
  <c r="K16" i="3"/>
  <c r="K88" i="3"/>
  <c r="K20" i="3"/>
  <c r="K32" i="3"/>
  <c r="H53" i="3"/>
  <c r="H98" i="3" s="1"/>
  <c r="H58" i="3"/>
  <c r="H71" i="3"/>
  <c r="H74" i="3"/>
  <c r="L16" i="3"/>
  <c r="L88" i="3"/>
  <c r="L20" i="3"/>
  <c r="L32" i="3"/>
  <c r="I53" i="3"/>
  <c r="I98" i="3" s="1"/>
  <c r="I58" i="3"/>
  <c r="I71" i="3"/>
  <c r="I74" i="3"/>
  <c r="J53" i="3"/>
  <c r="J98" i="3" s="1"/>
  <c r="J58" i="3"/>
  <c r="J71" i="3"/>
  <c r="J74" i="3"/>
  <c r="I277" i="1"/>
  <c r="I278" i="1" s="1"/>
  <c r="I279" i="1" s="1"/>
  <c r="I280" i="1" s="1"/>
  <c r="I281" i="1" s="1"/>
  <c r="S278" i="1"/>
  <c r="AB278" i="1" s="1"/>
  <c r="S401" i="1"/>
  <c r="AE401" i="1" s="1"/>
  <c r="S279" i="1"/>
  <c r="AB279" i="1" s="1"/>
  <c r="S277" i="1"/>
  <c r="AB277" i="1" s="1"/>
  <c r="Q218" i="1"/>
  <c r="P232" i="1"/>
  <c r="P361" i="1" s="1"/>
  <c r="O600" i="1"/>
  <c r="O590" i="1"/>
  <c r="O684" i="1" s="1"/>
  <c r="O583" i="1"/>
  <c r="O677" i="1" s="1"/>
  <c r="O573" i="1"/>
  <c r="O561" i="1"/>
  <c r="O655" i="1" s="1"/>
  <c r="O557" i="1"/>
  <c r="O651" i="1" s="1"/>
  <c r="O550" i="1"/>
  <c r="O644" i="1" s="1"/>
  <c r="O546" i="1"/>
  <c r="O539" i="1"/>
  <c r="O535" i="1"/>
  <c r="O629" i="1" s="1"/>
  <c r="O531" i="1"/>
  <c r="O527" i="1"/>
  <c r="O654" i="1"/>
  <c r="O601" i="1"/>
  <c r="O591" i="1"/>
  <c r="O587" i="1"/>
  <c r="O584" i="1"/>
  <c r="O580" i="1"/>
  <c r="O574" i="1"/>
  <c r="O570" i="1"/>
  <c r="O562" i="1"/>
  <c r="O558" i="1"/>
  <c r="O652" i="1" s="1"/>
  <c r="O551" i="1"/>
  <c r="O547" i="1"/>
  <c r="O540" i="1"/>
  <c r="O536" i="1"/>
  <c r="O532" i="1"/>
  <c r="O528" i="1"/>
  <c r="O602" i="1"/>
  <c r="O588" i="1"/>
  <c r="O581" i="1"/>
  <c r="O575" i="1"/>
  <c r="O571" i="1"/>
  <c r="O563" i="1"/>
  <c r="O559" i="1"/>
  <c r="O552" i="1"/>
  <c r="O548" i="1"/>
  <c r="O544" i="1"/>
  <c r="O541" i="1"/>
  <c r="O537" i="1"/>
  <c r="O631" i="1" s="1"/>
  <c r="O533" i="1"/>
  <c r="O589" i="1"/>
  <c r="O683" i="1" s="1"/>
  <c r="O530" i="1"/>
  <c r="O624" i="1" s="1"/>
  <c r="O495" i="1"/>
  <c r="O487" i="1"/>
  <c r="O479" i="1"/>
  <c r="O464" i="1"/>
  <c r="O456" i="1"/>
  <c r="O494" i="1"/>
  <c r="O486" i="1"/>
  <c r="O478" i="1"/>
  <c r="O656" i="1"/>
  <c r="O525" i="1"/>
  <c r="O493" i="1"/>
  <c r="O477" i="1"/>
  <c r="O470" i="1"/>
  <c r="O462" i="1"/>
  <c r="O572" i="1"/>
  <c r="O666" i="1" s="1"/>
  <c r="O545" i="1"/>
  <c r="O476" i="1"/>
  <c r="O469" i="1"/>
  <c r="O453" i="1"/>
  <c r="O445" i="1"/>
  <c r="O437" i="1"/>
  <c r="O582" i="1"/>
  <c r="O676" i="1" s="1"/>
  <c r="O553" i="1"/>
  <c r="O647" i="1" s="1"/>
  <c r="O538" i="1"/>
  <c r="O632" i="1" s="1"/>
  <c r="O529" i="1"/>
  <c r="O475" i="1"/>
  <c r="O468" i="1"/>
  <c r="O452" i="1"/>
  <c r="O496" i="1"/>
  <c r="O429" i="1"/>
  <c r="O422" i="1"/>
  <c r="O414" i="1"/>
  <c r="O509" i="1"/>
  <c r="O603" i="1" s="1"/>
  <c r="O471" i="1"/>
  <c r="O458" i="1"/>
  <c r="O455" i="1"/>
  <c r="O428" i="1"/>
  <c r="O421" i="1"/>
  <c r="O413" i="1"/>
  <c r="O560" i="1"/>
  <c r="O490" i="1"/>
  <c r="O488" i="1"/>
  <c r="O474" i="1"/>
  <c r="O467" i="1"/>
  <c r="O446" i="1"/>
  <c r="O427" i="1"/>
  <c r="O420" i="1"/>
  <c r="O412" i="1"/>
  <c r="O534" i="1"/>
  <c r="O628" i="1" s="1"/>
  <c r="O481" i="1"/>
  <c r="O472" i="1"/>
  <c r="O447" i="1"/>
  <c r="O419" i="1"/>
  <c r="O411" i="1"/>
  <c r="O497" i="1"/>
  <c r="O465" i="1"/>
  <c r="O459" i="1"/>
  <c r="O426" i="1"/>
  <c r="O418" i="1"/>
  <c r="O410" i="1"/>
  <c r="O549" i="1"/>
  <c r="O643" i="1" s="1"/>
  <c r="O463" i="1"/>
  <c r="O450" i="1"/>
  <c r="O489" i="1"/>
  <c r="O473" i="1"/>
  <c r="O457" i="1"/>
  <c r="O556" i="1"/>
  <c r="O650" i="1" s="1"/>
  <c r="O526" i="1"/>
  <c r="O620" i="1" s="1"/>
  <c r="O480" i="1"/>
  <c r="O466" i="1"/>
  <c r="O454" i="1"/>
  <c r="O451" i="1"/>
  <c r="O444" i="1"/>
  <c r="O443" i="1"/>
  <c r="O442" i="1"/>
  <c r="O441" i="1"/>
  <c r="O440" i="1"/>
  <c r="O439" i="1"/>
  <c r="O438" i="1"/>
  <c r="O430" i="1"/>
  <c r="O435" i="1"/>
  <c r="O417" i="1"/>
  <c r="O415" i="1"/>
  <c r="O434" i="1"/>
  <c r="O424" i="1"/>
  <c r="O433" i="1"/>
  <c r="O432" i="1"/>
  <c r="O409" i="1"/>
  <c r="O431" i="1"/>
  <c r="O416" i="1"/>
  <c r="O423" i="1"/>
  <c r="O436" i="1"/>
  <c r="O408" i="1"/>
  <c r="O425" i="1"/>
  <c r="N5" i="1"/>
  <c r="O260" i="1"/>
  <c r="I221" i="1"/>
  <c r="I222" i="1" s="1"/>
  <c r="I223" i="1" s="1"/>
  <c r="I224" i="1" s="1"/>
  <c r="I225" i="1" s="1"/>
  <c r="S222" i="1"/>
  <c r="AB222" i="1" s="1"/>
  <c r="S393" i="1"/>
  <c r="AE393" i="1" s="1"/>
  <c r="S211" i="1"/>
  <c r="S360" i="1" s="1"/>
  <c r="S228" i="1"/>
  <c r="AB228" i="1" s="1"/>
  <c r="S230" i="1"/>
  <c r="AB230" i="1" s="1"/>
  <c r="S394" i="1"/>
  <c r="AE394" i="1" s="1"/>
  <c r="O253" i="1"/>
  <c r="S257" i="1"/>
  <c r="AB257" i="1" s="1"/>
  <c r="S398" i="1"/>
  <c r="AE398" i="1" s="1"/>
  <c r="S256" i="1"/>
  <c r="AB256" i="1" s="1"/>
  <c r="I263" i="1"/>
  <c r="I264" i="1" s="1"/>
  <c r="I265" i="1" s="1"/>
  <c r="I266" i="1" s="1"/>
  <c r="I267" i="1" s="1"/>
  <c r="S242" i="1"/>
  <c r="AB242" i="1" s="1"/>
  <c r="S244" i="1"/>
  <c r="AB244" i="1" s="1"/>
  <c r="S396" i="1"/>
  <c r="AE396" i="1" s="1"/>
  <c r="I249" i="1"/>
  <c r="I250" i="1" s="1"/>
  <c r="I251" i="1" s="1"/>
  <c r="I252" i="1" s="1"/>
  <c r="I253" i="1" s="1"/>
  <c r="Q402" i="1"/>
  <c r="P402" i="1"/>
  <c r="U402" i="1"/>
  <c r="Q225" i="1"/>
  <c r="S250" i="1"/>
  <c r="AB250" i="1" s="1"/>
  <c r="Q281" i="1"/>
  <c r="S236" i="1"/>
  <c r="AB236" i="1" s="1"/>
  <c r="S292" i="1"/>
  <c r="S362" i="1" s="1"/>
  <c r="S309" i="1"/>
  <c r="S363" i="1" s="1"/>
  <c r="S320" i="1"/>
  <c r="S364" i="1" s="1"/>
  <c r="S343" i="1"/>
  <c r="S367" i="1" s="1"/>
  <c r="R402" i="1"/>
  <c r="S251" i="1"/>
  <c r="AB251" i="1" s="1"/>
  <c r="T402" i="1"/>
  <c r="L646" i="1"/>
  <c r="L675" i="1"/>
  <c r="L596" i="1"/>
  <c r="L542" i="1"/>
  <c r="L598" i="1"/>
  <c r="L614" i="1"/>
  <c r="L664" i="1"/>
  <c r="L484" i="1"/>
  <c r="L500" i="1" s="1"/>
  <c r="N596" i="1"/>
  <c r="N636" i="1" s="1"/>
  <c r="N542" i="1"/>
  <c r="L625" i="1"/>
  <c r="L645" i="1"/>
  <c r="L661" i="1"/>
  <c r="L669" i="1"/>
  <c r="L674" i="1"/>
  <c r="L585" i="1"/>
  <c r="N448" i="1"/>
  <c r="L621" i="1"/>
  <c r="L606" i="1"/>
  <c r="L619" i="1"/>
  <c r="N585" i="1"/>
  <c r="N638" i="1"/>
  <c r="N648" i="1" s="1"/>
  <c r="N554" i="1"/>
  <c r="L660" i="1"/>
  <c r="L668" i="1"/>
  <c r="L610" i="1"/>
  <c r="L665" i="1"/>
  <c r="L678" i="1"/>
  <c r="N482" i="1"/>
  <c r="L626" i="1"/>
  <c r="L633" i="1"/>
  <c r="L641" i="1"/>
  <c r="L681" i="1"/>
  <c r="L592" i="1"/>
  <c r="L682" i="1"/>
  <c r="L622" i="1"/>
  <c r="L627" i="1"/>
  <c r="L634" i="1"/>
  <c r="L642" i="1"/>
  <c r="L685" i="1"/>
  <c r="L653" i="1"/>
  <c r="L630" i="1"/>
  <c r="L635" i="1"/>
  <c r="L638" i="1"/>
  <c r="L554" i="1"/>
  <c r="N650" i="1"/>
  <c r="N670" i="1" s="1"/>
  <c r="N576" i="1"/>
  <c r="L656" i="1"/>
  <c r="L657" i="1"/>
  <c r="L576" i="1"/>
  <c r="N686" i="1"/>
  <c r="L640" i="1"/>
  <c r="L663" i="1"/>
  <c r="N674" i="1"/>
  <c r="N679" i="1" s="1"/>
  <c r="N592" i="1"/>
  <c r="B135" i="5"/>
  <c r="B58" i="5"/>
  <c r="C92" i="5"/>
  <c r="P60" i="1"/>
  <c r="P103" i="1"/>
  <c r="P25" i="1"/>
  <c r="P53" i="1"/>
  <c r="P56" i="1"/>
  <c r="P19" i="1"/>
  <c r="P8" i="1"/>
  <c r="P58" i="1"/>
  <c r="P18" i="1"/>
  <c r="P167" i="1"/>
  <c r="P101" i="1"/>
  <c r="P15" i="1"/>
  <c r="P109" i="1"/>
  <c r="P24" i="1"/>
  <c r="P108" i="1"/>
  <c r="P152" i="1"/>
  <c r="P113" i="1"/>
  <c r="P112" i="1"/>
  <c r="P67" i="1"/>
  <c r="P59" i="1"/>
  <c r="P111" i="1"/>
  <c r="P22" i="1"/>
  <c r="P23" i="1"/>
  <c r="P104" i="1"/>
  <c r="P68" i="1"/>
  <c r="P63" i="1"/>
  <c r="P100" i="1"/>
  <c r="P161" i="1"/>
  <c r="P71" i="1"/>
  <c r="P65" i="1"/>
  <c r="P106" i="1"/>
  <c r="P17" i="1"/>
  <c r="P64" i="1"/>
  <c r="P26" i="1"/>
  <c r="O608" i="1" l="1"/>
  <c r="G160" i="9"/>
  <c r="G60" i="9"/>
  <c r="G12" i="9"/>
  <c r="G110" i="9"/>
  <c r="S388" i="1"/>
  <c r="S389" i="1"/>
  <c r="I51" i="3"/>
  <c r="I12" i="3"/>
  <c r="I7" i="3"/>
  <c r="I85" i="3"/>
  <c r="O599" i="1"/>
  <c r="S387" i="1"/>
  <c r="C139" i="5"/>
  <c r="C146" i="5"/>
  <c r="S5" i="1"/>
  <c r="E7" i="5"/>
  <c r="E23" i="5" s="1"/>
  <c r="E94" i="6"/>
  <c r="E51" i="6"/>
  <c r="E10" i="6"/>
  <c r="O609" i="1"/>
  <c r="O604" i="1"/>
  <c r="O607" i="1"/>
  <c r="O616" i="1"/>
  <c r="O618" i="1"/>
  <c r="O611" i="1"/>
  <c r="O597" i="1"/>
  <c r="O598" i="1"/>
  <c r="O606" i="1"/>
  <c r="O658" i="1"/>
  <c r="O612" i="1"/>
  <c r="O615" i="1"/>
  <c r="O610" i="1"/>
  <c r="O614" i="1"/>
  <c r="O662" i="1"/>
  <c r="O617" i="1"/>
  <c r="O659" i="1"/>
  <c r="O613" i="1"/>
  <c r="O661" i="1"/>
  <c r="P2" i="1"/>
  <c r="P508" i="1"/>
  <c r="P503" i="1"/>
  <c r="P524" i="1"/>
  <c r="P519" i="1"/>
  <c r="P613" i="1" s="1"/>
  <c r="P507" i="1"/>
  <c r="P502" i="1"/>
  <c r="P506" i="1"/>
  <c r="P600" i="1" s="1"/>
  <c r="P566" i="1"/>
  <c r="P660" i="1" s="1"/>
  <c r="P516" i="1"/>
  <c r="P610" i="1" s="1"/>
  <c r="P511" i="1"/>
  <c r="P605" i="1" s="1"/>
  <c r="P523" i="1"/>
  <c r="P617" i="1" s="1"/>
  <c r="P512" i="1"/>
  <c r="P606" i="1" s="1"/>
  <c r="P520" i="1"/>
  <c r="P614" i="1" s="1"/>
  <c r="P515" i="1"/>
  <c r="P609" i="1" s="1"/>
  <c r="P569" i="1"/>
  <c r="P663" i="1" s="1"/>
  <c r="P505" i="1"/>
  <c r="P599" i="1" s="1"/>
  <c r="P568" i="1"/>
  <c r="P564" i="1"/>
  <c r="P658" i="1" s="1"/>
  <c r="P518" i="1"/>
  <c r="P612" i="1" s="1"/>
  <c r="P567" i="1"/>
  <c r="P661" i="1" s="1"/>
  <c r="P565" i="1"/>
  <c r="P659" i="1" s="1"/>
  <c r="P514" i="1"/>
  <c r="P608" i="1" s="1"/>
  <c r="P504" i="1"/>
  <c r="P510" i="1"/>
  <c r="P604" i="1" s="1"/>
  <c r="P521" i="1"/>
  <c r="P522" i="1"/>
  <c r="P616" i="1" s="1"/>
  <c r="P513" i="1"/>
  <c r="P607" i="1" s="1"/>
  <c r="P517" i="1"/>
  <c r="P611" i="1" s="1"/>
  <c r="O657" i="1"/>
  <c r="O653" i="1"/>
  <c r="J105" i="3"/>
  <c r="J106" i="3"/>
  <c r="J104" i="3"/>
  <c r="K105" i="3"/>
  <c r="K106" i="3"/>
  <c r="K104" i="3"/>
  <c r="I11" i="6"/>
  <c r="I13" i="6" s="1"/>
  <c r="M111" i="3"/>
  <c r="D11" i="6"/>
  <c r="D13" i="6" s="1"/>
  <c r="H111" i="3"/>
  <c r="E11" i="6"/>
  <c r="E13" i="6" s="1"/>
  <c r="I111" i="3"/>
  <c r="H11" i="6"/>
  <c r="H13" i="6" s="1"/>
  <c r="L111" i="3"/>
  <c r="G11" i="6"/>
  <c r="G13" i="6" s="1"/>
  <c r="K111" i="3"/>
  <c r="N105" i="3"/>
  <c r="N104" i="3"/>
  <c r="N106" i="3"/>
  <c r="I104" i="3"/>
  <c r="I105" i="3"/>
  <c r="I106" i="3"/>
  <c r="H105" i="3"/>
  <c r="H106" i="3"/>
  <c r="H104" i="3"/>
  <c r="F11" i="6"/>
  <c r="F13" i="6" s="1"/>
  <c r="J111" i="3"/>
  <c r="L104" i="3"/>
  <c r="L105" i="3"/>
  <c r="L106" i="3"/>
  <c r="J11" i="6"/>
  <c r="J13" i="6" s="1"/>
  <c r="N111" i="3"/>
  <c r="P751" i="1"/>
  <c r="P780" i="1"/>
  <c r="P369" i="1"/>
  <c r="P716" i="1" s="1"/>
  <c r="P390" i="1"/>
  <c r="R390" i="1"/>
  <c r="AB216" i="1"/>
  <c r="AB215" i="1"/>
  <c r="AB214" i="1"/>
  <c r="P134" i="1"/>
  <c r="P131" i="1"/>
  <c r="P133" i="1"/>
  <c r="P130" i="1"/>
  <c r="P90" i="1"/>
  <c r="P89" i="1"/>
  <c r="P91" i="1"/>
  <c r="P88" i="1"/>
  <c r="P84" i="1"/>
  <c r="P92" i="1"/>
  <c r="P85" i="1"/>
  <c r="P46" i="1"/>
  <c r="P45" i="1"/>
  <c r="P47" i="1"/>
  <c r="P44" i="1"/>
  <c r="P40" i="1"/>
  <c r="P48" i="1"/>
  <c r="P41" i="1"/>
  <c r="G515" i="7"/>
  <c r="G725" i="7"/>
  <c r="G683" i="7"/>
  <c r="G473" i="7"/>
  <c r="G809" i="7"/>
  <c r="G599" i="7"/>
  <c r="G557" i="7"/>
  <c r="G431" i="7"/>
  <c r="G767" i="7"/>
  <c r="G641" i="7"/>
  <c r="G615" i="7"/>
  <c r="G775" i="7"/>
  <c r="G699" i="7"/>
  <c r="G783" i="7"/>
  <c r="G657" i="7"/>
  <c r="G531" i="7"/>
  <c r="G715" i="7"/>
  <c r="G691" i="7"/>
  <c r="G489" i="7"/>
  <c r="G741" i="7"/>
  <c r="G523" i="7"/>
  <c r="G447" i="7"/>
  <c r="G825" i="7"/>
  <c r="G799" i="7"/>
  <c r="G733" i="7"/>
  <c r="G817" i="7"/>
  <c r="G573" i="7"/>
  <c r="G547" i="7"/>
  <c r="G439" i="7"/>
  <c r="G589" i="7"/>
  <c r="G707" i="7"/>
  <c r="G649" i="7"/>
  <c r="G757" i="7"/>
  <c r="G631" i="7"/>
  <c r="G607" i="7"/>
  <c r="G841" i="7"/>
  <c r="G791" i="7"/>
  <c r="G565" i="7"/>
  <c r="G673" i="7"/>
  <c r="G463" i="7"/>
  <c r="G505" i="7"/>
  <c r="G481" i="7"/>
  <c r="G539" i="7"/>
  <c r="G581" i="7"/>
  <c r="G497" i="7"/>
  <c r="G623" i="7"/>
  <c r="G833" i="7"/>
  <c r="G665" i="7"/>
  <c r="G749" i="7"/>
  <c r="G455" i="7"/>
  <c r="J86" i="7"/>
  <c r="J338" i="7"/>
  <c r="J1220" i="7"/>
  <c r="J129" i="7"/>
  <c r="J380" i="7"/>
  <c r="J884" i="7"/>
  <c r="J1137" i="7"/>
  <c r="J45" i="7"/>
  <c r="AR45" i="7"/>
  <c r="J1053" i="7"/>
  <c r="J213" i="7"/>
  <c r="J423" i="7"/>
  <c r="J1179" i="7"/>
  <c r="J170" i="7"/>
  <c r="J1262" i="7"/>
  <c r="J255" i="7"/>
  <c r="J1010" i="7"/>
  <c r="J296" i="7"/>
  <c r="J1096" i="7"/>
  <c r="J926" i="7"/>
  <c r="B65" i="5"/>
  <c r="D12" i="5"/>
  <c r="O361" i="1"/>
  <c r="Q361" i="1"/>
  <c r="L135" i="5"/>
  <c r="L9" i="5"/>
  <c r="H822" i="1"/>
  <c r="Z822" i="1" s="1"/>
  <c r="Z821" i="1"/>
  <c r="C11" i="6"/>
  <c r="C13" i="6" s="1"/>
  <c r="J27" i="2"/>
  <c r="L58" i="5"/>
  <c r="L105" i="5"/>
  <c r="O36" i="1"/>
  <c r="O80" i="1"/>
  <c r="J968" i="7"/>
  <c r="I969" i="7"/>
  <c r="AR969" i="7" s="1"/>
  <c r="G1229" i="7"/>
  <c r="G1187" i="7"/>
  <c r="G1145" i="7"/>
  <c r="G1103" i="7"/>
  <c r="G1061" i="7"/>
  <c r="G1019" i="7"/>
  <c r="G977" i="7"/>
  <c r="G935" i="7"/>
  <c r="G893" i="7"/>
  <c r="G851" i="7"/>
  <c r="G389" i="7"/>
  <c r="G347" i="7"/>
  <c r="G305" i="7"/>
  <c r="G263" i="7"/>
  <c r="G221" i="7"/>
  <c r="G179" i="7"/>
  <c r="G137" i="7"/>
  <c r="G95" i="7"/>
  <c r="G53" i="7"/>
  <c r="G11" i="7"/>
  <c r="G321" i="7"/>
  <c r="G867" i="7"/>
  <c r="G1203" i="7"/>
  <c r="G1077" i="7"/>
  <c r="G237" i="7"/>
  <c r="G1245" i="7"/>
  <c r="G1119" i="7"/>
  <c r="G1161" i="7"/>
  <c r="G363" i="7"/>
  <c r="G993" i="7"/>
  <c r="G1035" i="7"/>
  <c r="G279" i="7"/>
  <c r="G27" i="7"/>
  <c r="G405" i="7"/>
  <c r="G195" i="7"/>
  <c r="G909" i="7"/>
  <c r="G951" i="7"/>
  <c r="G111" i="7"/>
  <c r="G153" i="7"/>
  <c r="G69" i="7"/>
  <c r="G859" i="7"/>
  <c r="G1027" i="7"/>
  <c r="G103" i="7"/>
  <c r="G229" i="7"/>
  <c r="G1111" i="7"/>
  <c r="G1237" i="7"/>
  <c r="G943" i="7"/>
  <c r="G985" i="7"/>
  <c r="G313" i="7"/>
  <c r="G61" i="7"/>
  <c r="G187" i="7"/>
  <c r="G355" i="7"/>
  <c r="G1069" i="7"/>
  <c r="G1153" i="7"/>
  <c r="G145" i="7"/>
  <c r="G19" i="7"/>
  <c r="G1195" i="7"/>
  <c r="G271" i="7"/>
  <c r="G397" i="7"/>
  <c r="G901" i="7"/>
  <c r="G43" i="7"/>
  <c r="G421" i="7"/>
  <c r="G883" i="7"/>
  <c r="G85" i="7"/>
  <c r="G967" i="7"/>
  <c r="G253" i="7"/>
  <c r="G379" i="7"/>
  <c r="G203" i="7"/>
  <c r="G211" i="7"/>
  <c r="G1135" i="7"/>
  <c r="G287" i="7"/>
  <c r="G1051" i="7"/>
  <c r="G1177" i="7"/>
  <c r="G1261" i="7"/>
  <c r="G169" i="7"/>
  <c r="G337" i="7"/>
  <c r="G1219" i="7"/>
  <c r="G925" i="7"/>
  <c r="G1009" i="7"/>
  <c r="G295" i="7"/>
  <c r="G1085" i="7"/>
  <c r="G875" i="7"/>
  <c r="G1093" i="7"/>
  <c r="G127" i="7"/>
  <c r="G1211" i="7"/>
  <c r="G371" i="7"/>
  <c r="G119" i="7"/>
  <c r="G1169" i="7"/>
  <c r="G1127" i="7"/>
  <c r="G1253" i="7"/>
  <c r="G1043" i="7"/>
  <c r="G959" i="7"/>
  <c r="G245" i="7"/>
  <c r="G77" i="7"/>
  <c r="G329" i="7"/>
  <c r="G161" i="7"/>
  <c r="G413" i="7"/>
  <c r="G1001" i="7"/>
  <c r="G35" i="7"/>
  <c r="G917" i="7"/>
  <c r="P403" i="1"/>
  <c r="O83" i="1"/>
  <c r="O39" i="1"/>
  <c r="O76" i="1"/>
  <c r="O32" i="1"/>
  <c r="O33" i="1"/>
  <c r="O77" i="1"/>
  <c r="O82" i="1"/>
  <c r="O38" i="1"/>
  <c r="O31" i="1"/>
  <c r="O75" i="1"/>
  <c r="O168" i="1"/>
  <c r="O170" i="1"/>
  <c r="O156" i="1"/>
  <c r="O171" i="1"/>
  <c r="O176" i="1"/>
  <c r="O172" i="1"/>
  <c r="O174" i="1"/>
  <c r="O175" i="1"/>
  <c r="O177" i="1"/>
  <c r="O178" i="1"/>
  <c r="O34" i="1"/>
  <c r="O78" i="1"/>
  <c r="O179" i="1"/>
  <c r="O30" i="1"/>
  <c r="O173" i="1"/>
  <c r="O79" i="1"/>
  <c r="O35" i="1"/>
  <c r="X403" i="1"/>
  <c r="G21" i="3"/>
  <c r="O122" i="1"/>
  <c r="O123" i="1"/>
  <c r="I63" i="3"/>
  <c r="I927" i="7"/>
  <c r="AR927" i="7" s="1"/>
  <c r="H63" i="3"/>
  <c r="I1011" i="7"/>
  <c r="AR1011" i="7" s="1"/>
  <c r="I1180" i="7"/>
  <c r="AR1180" i="7" s="1"/>
  <c r="I885" i="7"/>
  <c r="AR885" i="7" s="1"/>
  <c r="I1138" i="7"/>
  <c r="AR1138" i="7" s="1"/>
  <c r="I1097" i="7"/>
  <c r="AR1097" i="7" s="1"/>
  <c r="I1054" i="7"/>
  <c r="AR1054" i="7" s="1"/>
  <c r="I1221" i="7"/>
  <c r="AR1221" i="7" s="1"/>
  <c r="I1263" i="7"/>
  <c r="AR1263" i="7" s="1"/>
  <c r="V403" i="1"/>
  <c r="I424" i="7"/>
  <c r="AR424" i="7" s="1"/>
  <c r="I381" i="7"/>
  <c r="AR381" i="7" s="1"/>
  <c r="I339" i="7"/>
  <c r="AR339" i="7" s="1"/>
  <c r="I297" i="7"/>
  <c r="AR297" i="7" s="1"/>
  <c r="I256" i="7"/>
  <c r="AR256" i="7" s="1"/>
  <c r="I214" i="7"/>
  <c r="AR214" i="7" s="1"/>
  <c r="I171" i="7"/>
  <c r="AR171" i="7" s="1"/>
  <c r="I130" i="7"/>
  <c r="AR130" i="7" s="1"/>
  <c r="I87" i="7"/>
  <c r="AR87" i="7" s="1"/>
  <c r="I46" i="7"/>
  <c r="O619" i="1"/>
  <c r="O682" i="1"/>
  <c r="O664" i="1"/>
  <c r="O642" i="1"/>
  <c r="W403" i="1"/>
  <c r="O630" i="1"/>
  <c r="S266" i="1"/>
  <c r="AB266" i="1" s="1"/>
  <c r="O674" i="1"/>
  <c r="O681" i="1"/>
  <c r="O641" i="1"/>
  <c r="O669" i="1"/>
  <c r="O645" i="1"/>
  <c r="S217" i="1"/>
  <c r="S218" i="1" s="1"/>
  <c r="N672" i="1"/>
  <c r="N688" i="1" s="1"/>
  <c r="O622" i="1"/>
  <c r="O592" i="1"/>
  <c r="S273" i="1"/>
  <c r="O621" i="1"/>
  <c r="O675" i="1"/>
  <c r="S402" i="1"/>
  <c r="T403" i="1" s="1"/>
  <c r="N578" i="1"/>
  <c r="N594" i="1" s="1"/>
  <c r="N484" i="1"/>
  <c r="N500" i="1" s="1"/>
  <c r="O685" i="1"/>
  <c r="S324" i="1"/>
  <c r="S365" i="1" s="1"/>
  <c r="O634" i="1"/>
  <c r="O626" i="1"/>
  <c r="O585" i="1"/>
  <c r="G63" i="3"/>
  <c r="H65" i="3"/>
  <c r="L578" i="1"/>
  <c r="L594" i="1" s="1"/>
  <c r="O498" i="1"/>
  <c r="O639" i="1"/>
  <c r="O667" i="1"/>
  <c r="L21" i="3"/>
  <c r="N70" i="3"/>
  <c r="L63" i="3"/>
  <c r="I21" i="3"/>
  <c r="S224" i="1"/>
  <c r="AB224" i="1" s="1"/>
  <c r="O448" i="1"/>
  <c r="I70" i="3"/>
  <c r="K21" i="3"/>
  <c r="M96" i="3"/>
  <c r="L96" i="3"/>
  <c r="L636" i="1"/>
  <c r="D107" i="5"/>
  <c r="D92" i="5"/>
  <c r="D49" i="5"/>
  <c r="D137" i="5"/>
  <c r="H70" i="3"/>
  <c r="M63" i="3"/>
  <c r="K96" i="3"/>
  <c r="N21" i="3"/>
  <c r="N96" i="3"/>
  <c r="L648" i="1"/>
  <c r="L670" i="1"/>
  <c r="U403" i="1"/>
  <c r="S245" i="1"/>
  <c r="AB245" i="1" s="1"/>
  <c r="S259" i="1"/>
  <c r="AB259" i="1" s="1"/>
  <c r="S231" i="1"/>
  <c r="AB231" i="1" s="1"/>
  <c r="O460" i="1"/>
  <c r="O554" i="1"/>
  <c r="O668" i="1"/>
  <c r="I96" i="3"/>
  <c r="G70" i="3"/>
  <c r="G80" i="3" s="1"/>
  <c r="K70" i="3"/>
  <c r="O576" i="1"/>
  <c r="O542" i="1"/>
  <c r="O596" i="1"/>
  <c r="S238" i="1"/>
  <c r="AB238" i="1" s="1"/>
  <c r="J70" i="3"/>
  <c r="H96" i="3"/>
  <c r="K63" i="3"/>
  <c r="N63" i="3"/>
  <c r="L679" i="1"/>
  <c r="O482" i="1"/>
  <c r="O625" i="1"/>
  <c r="O605" i="1"/>
  <c r="O665" i="1"/>
  <c r="O646" i="1"/>
  <c r="S252" i="1"/>
  <c r="AB252" i="1" s="1"/>
  <c r="J21" i="3"/>
  <c r="J87" i="3" s="1"/>
  <c r="J110" i="3" s="1"/>
  <c r="H21" i="3"/>
  <c r="L70" i="3"/>
  <c r="O491" i="1"/>
  <c r="O638" i="1"/>
  <c r="O678" i="1"/>
  <c r="O623" i="1"/>
  <c r="O633" i="1"/>
  <c r="J96" i="3"/>
  <c r="M21" i="3"/>
  <c r="L686" i="1"/>
  <c r="P656" i="1"/>
  <c r="P601" i="1"/>
  <c r="P591" i="1"/>
  <c r="P587" i="1"/>
  <c r="P584" i="1"/>
  <c r="P678" i="1" s="1"/>
  <c r="P580" i="1"/>
  <c r="P574" i="1"/>
  <c r="P570" i="1"/>
  <c r="P562" i="1"/>
  <c r="P558" i="1"/>
  <c r="P652" i="1" s="1"/>
  <c r="P551" i="1"/>
  <c r="P645" i="1" s="1"/>
  <c r="P602" i="1"/>
  <c r="P588" i="1"/>
  <c r="P581" i="1"/>
  <c r="P675" i="1" s="1"/>
  <c r="P575" i="1"/>
  <c r="P669" i="1" s="1"/>
  <c r="P571" i="1"/>
  <c r="P563" i="1"/>
  <c r="P657" i="1" s="1"/>
  <c r="P559" i="1"/>
  <c r="P653" i="1" s="1"/>
  <c r="P552" i="1"/>
  <c r="P548" i="1"/>
  <c r="P547" i="1"/>
  <c r="P641" i="1" s="1"/>
  <c r="P536" i="1"/>
  <c r="P494" i="1"/>
  <c r="P486" i="1"/>
  <c r="P478" i="1"/>
  <c r="P471" i="1"/>
  <c r="P463" i="1"/>
  <c r="P455" i="1"/>
  <c r="P546" i="1"/>
  <c r="P640" i="1" s="1"/>
  <c r="P539" i="1"/>
  <c r="P532" i="1"/>
  <c r="P525" i="1"/>
  <c r="P493" i="1"/>
  <c r="P477" i="1"/>
  <c r="P573" i="1"/>
  <c r="P572" i="1"/>
  <c r="P545" i="1"/>
  <c r="P639" i="1" s="1"/>
  <c r="P535" i="1"/>
  <c r="P527" i="1"/>
  <c r="P476" i="1"/>
  <c r="P469" i="1"/>
  <c r="P583" i="1"/>
  <c r="P582" i="1"/>
  <c r="P553" i="1"/>
  <c r="P538" i="1"/>
  <c r="P632" i="1" s="1"/>
  <c r="P529" i="1"/>
  <c r="P623" i="1" s="1"/>
  <c r="P475" i="1"/>
  <c r="P468" i="1"/>
  <c r="P452" i="1"/>
  <c r="P444" i="1"/>
  <c r="P436" i="1"/>
  <c r="P550" i="1"/>
  <c r="P534" i="1"/>
  <c r="P531" i="1"/>
  <c r="P509" i="1"/>
  <c r="P603" i="1" s="1"/>
  <c r="P490" i="1"/>
  <c r="P474" i="1"/>
  <c r="P467" i="1"/>
  <c r="P459" i="1"/>
  <c r="P451" i="1"/>
  <c r="P590" i="1"/>
  <c r="P589" i="1"/>
  <c r="P683" i="1" s="1"/>
  <c r="P544" i="1"/>
  <c r="P638" i="1" s="1"/>
  <c r="P528" i="1"/>
  <c r="P464" i="1"/>
  <c r="P458" i="1"/>
  <c r="P445" i="1"/>
  <c r="P428" i="1"/>
  <c r="P421" i="1"/>
  <c r="P413" i="1"/>
  <c r="P560" i="1"/>
  <c r="P654" i="1" s="1"/>
  <c r="P541" i="1"/>
  <c r="P540" i="1"/>
  <c r="P530" i="1"/>
  <c r="P624" i="1" s="1"/>
  <c r="P488" i="1"/>
  <c r="P462" i="1"/>
  <c r="P446" i="1"/>
  <c r="P427" i="1"/>
  <c r="P420" i="1"/>
  <c r="P412" i="1"/>
  <c r="P481" i="1"/>
  <c r="P479" i="1"/>
  <c r="P472" i="1"/>
  <c r="P447" i="1"/>
  <c r="P419" i="1"/>
  <c r="P411" i="1"/>
  <c r="P561" i="1"/>
  <c r="P533" i="1"/>
  <c r="P497" i="1"/>
  <c r="P495" i="1"/>
  <c r="P465" i="1"/>
  <c r="P456" i="1"/>
  <c r="P426" i="1"/>
  <c r="P418" i="1"/>
  <c r="P410" i="1"/>
  <c r="P549" i="1"/>
  <c r="P643" i="1" s="1"/>
  <c r="P453" i="1"/>
  <c r="P450" i="1"/>
  <c r="P425" i="1"/>
  <c r="P417" i="1"/>
  <c r="P409" i="1"/>
  <c r="P489" i="1"/>
  <c r="P487" i="1"/>
  <c r="P473" i="1"/>
  <c r="P470" i="1"/>
  <c r="P457" i="1"/>
  <c r="P435" i="1"/>
  <c r="P434" i="1"/>
  <c r="P433" i="1"/>
  <c r="P432" i="1"/>
  <c r="P431" i="1"/>
  <c r="P556" i="1"/>
  <c r="P537" i="1"/>
  <c r="P631" i="1" s="1"/>
  <c r="P526" i="1"/>
  <c r="P480" i="1"/>
  <c r="P466" i="1"/>
  <c r="P557" i="1"/>
  <c r="P651" i="1" s="1"/>
  <c r="P496" i="1"/>
  <c r="P429" i="1"/>
  <c r="P443" i="1"/>
  <c r="P424" i="1"/>
  <c r="P422" i="1"/>
  <c r="P442" i="1"/>
  <c r="P441" i="1"/>
  <c r="P440" i="1"/>
  <c r="P416" i="1"/>
  <c r="P414" i="1"/>
  <c r="P439" i="1"/>
  <c r="P423" i="1"/>
  <c r="P438" i="1"/>
  <c r="P430" i="1"/>
  <c r="P454" i="1"/>
  <c r="P415" i="1"/>
  <c r="P437" i="1"/>
  <c r="P408" i="1"/>
  <c r="O660" i="1"/>
  <c r="O635" i="1"/>
  <c r="O627" i="1"/>
  <c r="O640" i="1"/>
  <c r="O663" i="1"/>
  <c r="S280" i="1"/>
  <c r="AB280" i="1" s="1"/>
  <c r="J63" i="3"/>
  <c r="M70" i="3"/>
  <c r="P146" i="1"/>
  <c r="P155" i="1"/>
  <c r="P20" i="1"/>
  <c r="P13" i="1"/>
  <c r="P27" i="1"/>
  <c r="P14" i="1"/>
  <c r="P62" i="1"/>
  <c r="P9" i="1"/>
  <c r="P70" i="1"/>
  <c r="P102" i="1"/>
  <c r="P61" i="1"/>
  <c r="P149" i="1"/>
  <c r="P54" i="1"/>
  <c r="P69" i="1"/>
  <c r="P52" i="1"/>
  <c r="P105" i="1"/>
  <c r="P154" i="1"/>
  <c r="P147" i="1"/>
  <c r="P165" i="1"/>
  <c r="P16" i="1"/>
  <c r="P10" i="1"/>
  <c r="P166" i="1"/>
  <c r="P159" i="1"/>
  <c r="P151" i="1"/>
  <c r="P66" i="1"/>
  <c r="P97" i="1"/>
  <c r="P162" i="1"/>
  <c r="P163" i="1"/>
  <c r="P55" i="1"/>
  <c r="P114" i="1"/>
  <c r="P148" i="1"/>
  <c r="P99" i="1"/>
  <c r="P12" i="1"/>
  <c r="P11" i="1"/>
  <c r="P107" i="1"/>
  <c r="P160" i="1"/>
  <c r="P96" i="1"/>
  <c r="P158" i="1"/>
  <c r="P57" i="1"/>
  <c r="P21" i="1"/>
  <c r="P115" i="1"/>
  <c r="P98" i="1"/>
  <c r="P164" i="1"/>
  <c r="P153" i="1"/>
  <c r="P110" i="1"/>
  <c r="P150" i="1"/>
  <c r="D139" i="5" l="1"/>
  <c r="D146" i="5"/>
  <c r="Q5" i="1"/>
  <c r="Q2" i="1" s="1"/>
  <c r="H117" i="3"/>
  <c r="H99" i="3"/>
  <c r="G2" i="3"/>
  <c r="S583" i="1"/>
  <c r="S677" i="1" s="1"/>
  <c r="S550" i="1"/>
  <c r="S644" i="1" s="1"/>
  <c r="S503" i="1"/>
  <c r="S597" i="1" s="1"/>
  <c r="S512" i="1"/>
  <c r="S606" i="1" s="1"/>
  <c r="S515" i="1"/>
  <c r="S609" i="1" s="1"/>
  <c r="S523" i="1"/>
  <c r="S617" i="1" s="1"/>
  <c r="S525" i="1"/>
  <c r="S619" i="1" s="1"/>
  <c r="S534" i="1"/>
  <c r="S628" i="1" s="1"/>
  <c r="S539" i="1"/>
  <c r="S633" i="1" s="1"/>
  <c r="S564" i="1"/>
  <c r="S658" i="1" s="1"/>
  <c r="S572" i="1"/>
  <c r="S582" i="1"/>
  <c r="S676" i="1" s="1"/>
  <c r="S549" i="1"/>
  <c r="S643" i="1" s="1"/>
  <c r="S508" i="1"/>
  <c r="S510" i="1"/>
  <c r="S604" i="1" s="1"/>
  <c r="S530" i="1"/>
  <c r="S624" i="1" s="1"/>
  <c r="S535" i="1"/>
  <c r="S629" i="1" s="1"/>
  <c r="S557" i="1"/>
  <c r="S651" i="1" s="1"/>
  <c r="S565" i="1"/>
  <c r="S659" i="1" s="1"/>
  <c r="S573" i="1"/>
  <c r="S667" i="1" s="1"/>
  <c r="S591" i="1"/>
  <c r="S685" i="1" s="1"/>
  <c r="S548" i="1"/>
  <c r="S531" i="1"/>
  <c r="S625" i="1" s="1"/>
  <c r="S540" i="1"/>
  <c r="S558" i="1"/>
  <c r="S652" i="1" s="1"/>
  <c r="S574" i="1"/>
  <c r="S668" i="1" s="1"/>
  <c r="S590" i="1"/>
  <c r="S684" i="1" s="1"/>
  <c r="S567" i="1"/>
  <c r="S661" i="1" s="1"/>
  <c r="S580" i="1"/>
  <c r="S674" i="1" s="1"/>
  <c r="S589" i="1"/>
  <c r="S553" i="1"/>
  <c r="S647" i="1" s="1"/>
  <c r="S547" i="1"/>
  <c r="S641" i="1" s="1"/>
  <c r="S505" i="1"/>
  <c r="S599" i="1" s="1"/>
  <c r="S514" i="1"/>
  <c r="S608" i="1" s="1"/>
  <c r="S519" i="1"/>
  <c r="S613" i="1" s="1"/>
  <c r="S522" i="1"/>
  <c r="S616" i="1" s="1"/>
  <c r="S532" i="1"/>
  <c r="S626" i="1" s="1"/>
  <c r="S541" i="1"/>
  <c r="S635" i="1" s="1"/>
  <c r="S560" i="1"/>
  <c r="S654" i="1" s="1"/>
  <c r="S568" i="1"/>
  <c r="S556" i="1"/>
  <c r="S588" i="1"/>
  <c r="S552" i="1"/>
  <c r="S646" i="1" s="1"/>
  <c r="S546" i="1"/>
  <c r="S509" i="1"/>
  <c r="S603" i="1" s="1"/>
  <c r="S528" i="1"/>
  <c r="S622" i="1" s="1"/>
  <c r="S537" i="1"/>
  <c r="S631" i="1" s="1"/>
  <c r="S561" i="1"/>
  <c r="S655" i="1" s="1"/>
  <c r="S569" i="1"/>
  <c r="S571" i="1"/>
  <c r="S665" i="1" s="1"/>
  <c r="S581" i="1"/>
  <c r="S504" i="1"/>
  <c r="S513" i="1"/>
  <c r="S607" i="1" s="1"/>
  <c r="S521" i="1"/>
  <c r="S615" i="1" s="1"/>
  <c r="S526" i="1"/>
  <c r="S566" i="1"/>
  <c r="S660" i="1" s="1"/>
  <c r="S516" i="1"/>
  <c r="S610" i="1" s="1"/>
  <c r="S527" i="1"/>
  <c r="S621" i="1" s="1"/>
  <c r="S536" i="1"/>
  <c r="S630" i="1" s="1"/>
  <c r="S575" i="1"/>
  <c r="S669" i="1" s="1"/>
  <c r="S587" i="1"/>
  <c r="S681" i="1" s="1"/>
  <c r="S545" i="1"/>
  <c r="S639" i="1" s="1"/>
  <c r="S506" i="1"/>
  <c r="S600" i="1" s="1"/>
  <c r="S511" i="1"/>
  <c r="S520" i="1"/>
  <c r="S614" i="1" s="1"/>
  <c r="S524" i="1"/>
  <c r="S618" i="1" s="1"/>
  <c r="S533" i="1"/>
  <c r="S627" i="1" s="1"/>
  <c r="S562" i="1"/>
  <c r="S570" i="1"/>
  <c r="S664" i="1" s="1"/>
  <c r="S584" i="1"/>
  <c r="S678" i="1" s="1"/>
  <c r="S551" i="1"/>
  <c r="S645" i="1" s="1"/>
  <c r="S544" i="1"/>
  <c r="S638" i="1" s="1"/>
  <c r="S507" i="1"/>
  <c r="S601" i="1" s="1"/>
  <c r="S517" i="1"/>
  <c r="S611" i="1" s="1"/>
  <c r="S529" i="1"/>
  <c r="S538" i="1"/>
  <c r="S632" i="1" s="1"/>
  <c r="S502" i="1"/>
  <c r="S596" i="1" s="1"/>
  <c r="S563" i="1"/>
  <c r="S657" i="1" s="1"/>
  <c r="S518" i="1"/>
  <c r="S559" i="1"/>
  <c r="S653" i="1" s="1"/>
  <c r="O369" i="1"/>
  <c r="O370" i="1" s="1"/>
  <c r="O390" i="1"/>
  <c r="Q390" i="1"/>
  <c r="S2" i="1"/>
  <c r="P129" i="1"/>
  <c r="P132" i="1"/>
  <c r="P136" i="1"/>
  <c r="P128" i="1"/>
  <c r="P86" i="1"/>
  <c r="P42" i="1"/>
  <c r="P135" i="1"/>
  <c r="P49" i="1"/>
  <c r="P93" i="1"/>
  <c r="P87" i="1"/>
  <c r="P43" i="1"/>
  <c r="P79" i="1"/>
  <c r="P35" i="1"/>
  <c r="P137" i="1"/>
  <c r="P116" i="1"/>
  <c r="P72" i="1"/>
  <c r="O50" i="1"/>
  <c r="P28" i="1"/>
  <c r="P38" i="1"/>
  <c r="P82" i="1"/>
  <c r="J339" i="7"/>
  <c r="J46" i="7"/>
  <c r="AR46" i="7"/>
  <c r="J1138" i="7"/>
  <c r="J381" i="7"/>
  <c r="J87" i="7"/>
  <c r="J424" i="7"/>
  <c r="J885" i="7"/>
  <c r="J297" i="7"/>
  <c r="J1054" i="7"/>
  <c r="J130" i="7"/>
  <c r="J171" i="7"/>
  <c r="J1011" i="7"/>
  <c r="J1180" i="7"/>
  <c r="J214" i="7"/>
  <c r="J1263" i="7"/>
  <c r="J1097" i="7"/>
  <c r="J256" i="7"/>
  <c r="J1221" i="7"/>
  <c r="J927" i="7"/>
  <c r="O182" i="1"/>
  <c r="O184" i="1"/>
  <c r="E107" i="5"/>
  <c r="B66" i="5"/>
  <c r="E12" i="5"/>
  <c r="P123" i="1"/>
  <c r="P83" i="1"/>
  <c r="P39" i="1"/>
  <c r="P81" i="1"/>
  <c r="P37" i="1"/>
  <c r="S274" i="1"/>
  <c r="AB273" i="1"/>
  <c r="O578" i="1"/>
  <c r="O594" i="1" s="1"/>
  <c r="O720" i="1" s="1"/>
  <c r="J28" i="2"/>
  <c r="E92" i="5"/>
  <c r="E49" i="5"/>
  <c r="E137" i="5"/>
  <c r="G33" i="3"/>
  <c r="C52" i="6"/>
  <c r="H33" i="3"/>
  <c r="H89" i="3" s="1"/>
  <c r="D52" i="6"/>
  <c r="S445" i="1"/>
  <c r="S439" i="1"/>
  <c r="S457" i="1"/>
  <c r="S453" i="1"/>
  <c r="S469" i="1"/>
  <c r="S455" i="1"/>
  <c r="S497" i="1"/>
  <c r="S438" i="1"/>
  <c r="S409" i="1"/>
  <c r="S412" i="1"/>
  <c r="S413" i="1"/>
  <c r="S442" i="1"/>
  <c r="S415" i="1"/>
  <c r="S456" i="1"/>
  <c r="S475" i="1"/>
  <c r="S421" i="1"/>
  <c r="S411" i="1"/>
  <c r="S466" i="1"/>
  <c r="S428" i="1"/>
  <c r="S431" i="1"/>
  <c r="S419" i="1"/>
  <c r="S489" i="1"/>
  <c r="S454" i="1"/>
  <c r="S463" i="1"/>
  <c r="S459" i="1"/>
  <c r="S464" i="1"/>
  <c r="S408" i="1"/>
  <c r="S410" i="1"/>
  <c r="S420" i="1"/>
  <c r="S435" i="1"/>
  <c r="S476" i="1"/>
  <c r="S429" i="1"/>
  <c r="S437" i="1"/>
  <c r="S434" i="1"/>
  <c r="S488" i="1"/>
  <c r="S490" i="1"/>
  <c r="S477" i="1"/>
  <c r="S493" i="1"/>
  <c r="S444" i="1"/>
  <c r="S496" i="1"/>
  <c r="S441" i="1"/>
  <c r="S424" i="1"/>
  <c r="S426" i="1"/>
  <c r="S452" i="1"/>
  <c r="S446" i="1"/>
  <c r="S458" i="1"/>
  <c r="S451" i="1"/>
  <c r="S602" i="1"/>
  <c r="S423" i="1"/>
  <c r="S430" i="1"/>
  <c r="S478" i="1"/>
  <c r="S432" i="1"/>
  <c r="S417" i="1"/>
  <c r="S465" i="1"/>
  <c r="S472" i="1"/>
  <c r="S471" i="1"/>
  <c r="S473" i="1"/>
  <c r="S467" i="1"/>
  <c r="S462" i="1"/>
  <c r="S414" i="1"/>
  <c r="S436" i="1"/>
  <c r="S480" i="1"/>
  <c r="S433" i="1"/>
  <c r="S425" i="1"/>
  <c r="S495" i="1"/>
  <c r="S479" i="1"/>
  <c r="S486" i="1"/>
  <c r="S481" i="1"/>
  <c r="S474" i="1"/>
  <c r="S468" i="1"/>
  <c r="S470" i="1"/>
  <c r="S422" i="1"/>
  <c r="S494" i="1"/>
  <c r="S440" i="1"/>
  <c r="S416" i="1"/>
  <c r="S487" i="1"/>
  <c r="S418" i="1"/>
  <c r="S447" i="1"/>
  <c r="S427" i="1"/>
  <c r="S450" i="1"/>
  <c r="S443" i="1"/>
  <c r="J969" i="7"/>
  <c r="I970" i="7"/>
  <c r="AR970" i="7" s="1"/>
  <c r="P80" i="1"/>
  <c r="P36" i="1"/>
  <c r="P122" i="1"/>
  <c r="P30" i="1"/>
  <c r="P34" i="1"/>
  <c r="P78" i="1"/>
  <c r="P33" i="1"/>
  <c r="P176" i="1"/>
  <c r="P168" i="1"/>
  <c r="P184" i="1" s="1"/>
  <c r="P175" i="1"/>
  <c r="P173" i="1"/>
  <c r="P171" i="1"/>
  <c r="P178" i="1"/>
  <c r="P172" i="1"/>
  <c r="P177" i="1"/>
  <c r="P170" i="1"/>
  <c r="P156" i="1"/>
  <c r="P182" i="1" s="1"/>
  <c r="P174" i="1"/>
  <c r="P179" i="1"/>
  <c r="O180" i="1"/>
  <c r="O74" i="1"/>
  <c r="O94" i="1" s="1"/>
  <c r="O118" i="1"/>
  <c r="P118" i="1"/>
  <c r="P74" i="1"/>
  <c r="P31" i="1"/>
  <c r="O127" i="1"/>
  <c r="P127" i="1"/>
  <c r="S403" i="1"/>
  <c r="I928" i="7"/>
  <c r="AR928" i="7" s="1"/>
  <c r="I1012" i="7"/>
  <c r="AR1012" i="7" s="1"/>
  <c r="I1181" i="7"/>
  <c r="AR1181" i="7" s="1"/>
  <c r="I1139" i="7"/>
  <c r="AR1139" i="7" s="1"/>
  <c r="I1055" i="7"/>
  <c r="AR1055" i="7" s="1"/>
  <c r="I886" i="7"/>
  <c r="AR886" i="7" s="1"/>
  <c r="I1264" i="7"/>
  <c r="AR1264" i="7" s="1"/>
  <c r="I1098" i="7"/>
  <c r="AR1098" i="7" s="1"/>
  <c r="I1222" i="7"/>
  <c r="AR1222" i="7" s="1"/>
  <c r="I425" i="7"/>
  <c r="AR425" i="7" s="1"/>
  <c r="I382" i="7"/>
  <c r="AR382" i="7" s="1"/>
  <c r="I340" i="7"/>
  <c r="AR340" i="7" s="1"/>
  <c r="I298" i="7"/>
  <c r="AR298" i="7" s="1"/>
  <c r="I257" i="7"/>
  <c r="AR257" i="7" s="1"/>
  <c r="I215" i="7"/>
  <c r="AR215" i="7" s="1"/>
  <c r="I172" i="7"/>
  <c r="AR172" i="7" s="1"/>
  <c r="I131" i="7"/>
  <c r="AR131" i="7" s="1"/>
  <c r="I88" i="7"/>
  <c r="AR88" i="7" s="1"/>
  <c r="I47" i="7"/>
  <c r="H87" i="3"/>
  <c r="H110" i="3" s="1"/>
  <c r="O686" i="1"/>
  <c r="S267" i="1"/>
  <c r="AB217" i="1"/>
  <c r="O670" i="1"/>
  <c r="P644" i="1"/>
  <c r="L672" i="1"/>
  <c r="L688" i="1" s="1"/>
  <c r="P621" i="1"/>
  <c r="P627" i="1"/>
  <c r="F12" i="6"/>
  <c r="K33" i="3"/>
  <c r="G52" i="6"/>
  <c r="I33" i="3"/>
  <c r="I89" i="3" s="1"/>
  <c r="E52" i="6"/>
  <c r="L33" i="3"/>
  <c r="L89" i="3" s="1"/>
  <c r="H52" i="6"/>
  <c r="J33" i="3"/>
  <c r="J89" i="3" s="1"/>
  <c r="F52" i="6"/>
  <c r="M33" i="3"/>
  <c r="M89" i="3" s="1"/>
  <c r="I52" i="6"/>
  <c r="N33" i="3"/>
  <c r="J52" i="6"/>
  <c r="K87" i="3"/>
  <c r="K110" i="3" s="1"/>
  <c r="I65" i="3"/>
  <c r="P460" i="1"/>
  <c r="P598" i="1"/>
  <c r="P677" i="1"/>
  <c r="P647" i="1"/>
  <c r="N87" i="3"/>
  <c r="N110" i="3" s="1"/>
  <c r="O679" i="1"/>
  <c r="P491" i="1"/>
  <c r="P620" i="1"/>
  <c r="P585" i="1"/>
  <c r="P625" i="1"/>
  <c r="P650" i="1"/>
  <c r="P668" i="1"/>
  <c r="P667" i="1"/>
  <c r="P615" i="1"/>
  <c r="P630" i="1"/>
  <c r="P674" i="1"/>
  <c r="P629" i="1"/>
  <c r="P646" i="1"/>
  <c r="P676" i="1"/>
  <c r="S246" i="1"/>
  <c r="P482" i="1"/>
  <c r="P592" i="1"/>
  <c r="P666" i="1"/>
  <c r="O648" i="1"/>
  <c r="S253" i="1"/>
  <c r="S239" i="1"/>
  <c r="S225" i="1"/>
  <c r="P372" i="1"/>
  <c r="P370" i="1"/>
  <c r="P542" i="1"/>
  <c r="P596" i="1"/>
  <c r="P633" i="1"/>
  <c r="P618" i="1"/>
  <c r="P622" i="1"/>
  <c r="P681" i="1"/>
  <c r="P684" i="1"/>
  <c r="P685" i="1"/>
  <c r="P682" i="1"/>
  <c r="O636" i="1"/>
  <c r="S232" i="1"/>
  <c r="I87" i="3"/>
  <c r="I110" i="3" s="1"/>
  <c r="H80" i="3"/>
  <c r="H97" i="3"/>
  <c r="P554" i="1"/>
  <c r="S281" i="1"/>
  <c r="P448" i="1"/>
  <c r="P576" i="1"/>
  <c r="P628" i="1"/>
  <c r="P619" i="1"/>
  <c r="P597" i="1"/>
  <c r="P634" i="1"/>
  <c r="M87" i="3"/>
  <c r="M110" i="3" s="1"/>
  <c r="S260" i="1"/>
  <c r="P626" i="1"/>
  <c r="P498" i="1"/>
  <c r="P664" i="1"/>
  <c r="P642" i="1"/>
  <c r="P665" i="1"/>
  <c r="P662" i="1"/>
  <c r="P635" i="1"/>
  <c r="P655" i="1"/>
  <c r="O484" i="1"/>
  <c r="O500" i="1" s="1"/>
  <c r="L87" i="3"/>
  <c r="L110" i="3" s="1"/>
  <c r="Q110" i="1"/>
  <c r="Q20" i="1"/>
  <c r="Q114" i="1"/>
  <c r="Q164" i="1"/>
  <c r="Q108" i="1"/>
  <c r="Q109" i="1"/>
  <c r="Q103" i="1"/>
  <c r="Q148" i="1"/>
  <c r="Q166" i="1"/>
  <c r="Q11" i="1"/>
  <c r="Q100" i="1"/>
  <c r="Q107" i="1"/>
  <c r="Q54" i="1"/>
  <c r="Q162" i="1"/>
  <c r="Q161" i="1"/>
  <c r="Q115" i="1"/>
  <c r="Q16" i="1"/>
  <c r="Q27" i="1"/>
  <c r="Q10" i="1"/>
  <c r="Q163" i="1"/>
  <c r="Q52" i="1"/>
  <c r="Q70" i="1"/>
  <c r="Q111" i="1"/>
  <c r="Q153" i="1"/>
  <c r="Q158" i="1"/>
  <c r="Q53" i="1"/>
  <c r="Q105" i="1"/>
  <c r="Q151" i="1"/>
  <c r="Q19" i="1"/>
  <c r="Q155" i="1"/>
  <c r="Q64" i="1"/>
  <c r="Q59" i="1"/>
  <c r="Q23" i="1"/>
  <c r="Q17" i="1"/>
  <c r="Q56" i="1"/>
  <c r="Q22" i="1"/>
  <c r="Q69" i="1"/>
  <c r="Q71" i="1"/>
  <c r="Q160" i="1"/>
  <c r="Q62" i="1"/>
  <c r="Q63" i="1"/>
  <c r="Q159" i="1"/>
  <c r="Q167" i="1"/>
  <c r="Q57" i="1"/>
  <c r="Q25" i="1"/>
  <c r="Q9" i="1"/>
  <c r="Q113" i="1"/>
  <c r="Q146" i="1"/>
  <c r="Q66" i="1"/>
  <c r="Q12" i="1"/>
  <c r="Q97" i="1"/>
  <c r="Q24" i="1"/>
  <c r="Q101" i="1"/>
  <c r="Q68" i="1"/>
  <c r="Q21" i="1"/>
  <c r="Q165" i="1"/>
  <c r="Q104" i="1"/>
  <c r="Q14" i="1"/>
  <c r="Q26" i="1"/>
  <c r="Q18" i="1"/>
  <c r="Q13" i="1"/>
  <c r="Q150" i="1"/>
  <c r="Q112" i="1"/>
  <c r="Q149" i="1"/>
  <c r="Q8" i="1"/>
  <c r="Q154" i="1"/>
  <c r="Q96" i="1"/>
  <c r="Q106" i="1"/>
  <c r="Q65" i="1"/>
  <c r="Q55" i="1"/>
  <c r="Q147" i="1"/>
  <c r="Q61" i="1"/>
  <c r="Q58" i="1"/>
  <c r="Q98" i="1"/>
  <c r="Q60" i="1"/>
  <c r="Q15" i="1"/>
  <c r="Q99" i="1"/>
  <c r="Q67" i="1"/>
  <c r="Q152" i="1"/>
  <c r="Q102" i="1"/>
  <c r="E139" i="5" l="1"/>
  <c r="E146" i="5"/>
  <c r="Q134" i="1"/>
  <c r="Q135" i="1"/>
  <c r="Q84" i="1"/>
  <c r="Q40" i="1"/>
  <c r="Q45" i="1"/>
  <c r="Q89" i="1"/>
  <c r="Q129" i="1"/>
  <c r="Q132" i="1"/>
  <c r="Q133" i="1"/>
  <c r="Q86" i="1"/>
  <c r="Q42" i="1"/>
  <c r="Q92" i="1"/>
  <c r="Q48" i="1"/>
  <c r="Q44" i="1"/>
  <c r="Q88" i="1"/>
  <c r="Q87" i="1"/>
  <c r="Q43" i="1"/>
  <c r="Q130" i="1"/>
  <c r="Q137" i="1"/>
  <c r="Q128" i="1"/>
  <c r="Q131" i="1"/>
  <c r="Q136" i="1"/>
  <c r="Q91" i="1"/>
  <c r="Q47" i="1"/>
  <c r="Q90" i="1"/>
  <c r="Q46" i="1"/>
  <c r="Q49" i="1"/>
  <c r="Q93" i="1"/>
  <c r="Q85" i="1"/>
  <c r="Q41" i="1"/>
  <c r="R5" i="1"/>
  <c r="R2" i="1" s="1"/>
  <c r="I99" i="3"/>
  <c r="I117" i="3"/>
  <c r="H2" i="3"/>
  <c r="H116" i="3"/>
  <c r="H101" i="3"/>
  <c r="S634" i="1"/>
  <c r="S620" i="1"/>
  <c r="S612" i="1"/>
  <c r="O372" i="1"/>
  <c r="P373" i="1" s="1"/>
  <c r="O716" i="1"/>
  <c r="Q116" i="1"/>
  <c r="Q72" i="1"/>
  <c r="Q140" i="1" s="1"/>
  <c r="Q28" i="1"/>
  <c r="J131" i="7"/>
  <c r="J1222" i="7"/>
  <c r="J928" i="7"/>
  <c r="J1139" i="7"/>
  <c r="J425" i="7"/>
  <c r="J340" i="7"/>
  <c r="J88" i="7"/>
  <c r="J1012" i="7"/>
  <c r="J172" i="7"/>
  <c r="J215" i="7"/>
  <c r="J1264" i="7"/>
  <c r="J257" i="7"/>
  <c r="J886" i="7"/>
  <c r="J1098" i="7"/>
  <c r="J298" i="7"/>
  <c r="J1055" i="7"/>
  <c r="J47" i="7"/>
  <c r="AR47" i="7"/>
  <c r="J382" i="7"/>
  <c r="J1181" i="7"/>
  <c r="O185" i="1"/>
  <c r="O186" i="1" s="1"/>
  <c r="Q80" i="1"/>
  <c r="Q36" i="1"/>
  <c r="S361" i="1"/>
  <c r="Q32" i="1"/>
  <c r="Q122" i="1"/>
  <c r="Q82" i="1"/>
  <c r="Q38" i="1"/>
  <c r="Q33" i="1"/>
  <c r="Q83" i="1"/>
  <c r="Q39" i="1"/>
  <c r="Q37" i="1"/>
  <c r="Q81" i="1"/>
  <c r="Q74" i="1"/>
  <c r="Q30" i="1"/>
  <c r="Q123" i="1"/>
  <c r="Q79" i="1"/>
  <c r="Q35" i="1"/>
  <c r="Q127" i="1"/>
  <c r="Q118" i="1"/>
  <c r="Q78" i="1"/>
  <c r="Q34" i="1"/>
  <c r="P185" i="1"/>
  <c r="J29" i="2"/>
  <c r="H36" i="3"/>
  <c r="D53" i="6"/>
  <c r="D12" i="6"/>
  <c r="G36" i="3"/>
  <c r="C53" i="6"/>
  <c r="S460" i="1"/>
  <c r="S498" i="1"/>
  <c r="S491" i="1"/>
  <c r="S482" i="1"/>
  <c r="S448" i="1"/>
  <c r="P183" i="1"/>
  <c r="J970" i="7"/>
  <c r="I971" i="7"/>
  <c r="AR971" i="7" s="1"/>
  <c r="Q31" i="1"/>
  <c r="P140" i="1"/>
  <c r="P32" i="1"/>
  <c r="P50" i="1" s="1"/>
  <c r="P180" i="1"/>
  <c r="Q156" i="1"/>
  <c r="Q182" i="1" s="1"/>
  <c r="Q170" i="1"/>
  <c r="Q173" i="1"/>
  <c r="Q178" i="1"/>
  <c r="Q168" i="1"/>
  <c r="Q184" i="1" s="1"/>
  <c r="Q179" i="1"/>
  <c r="Q172" i="1"/>
  <c r="Q177" i="1"/>
  <c r="Q174" i="1"/>
  <c r="Q176" i="1"/>
  <c r="Q175" i="1"/>
  <c r="Q171" i="1"/>
  <c r="O121" i="1"/>
  <c r="P121" i="1"/>
  <c r="P77" i="1"/>
  <c r="Q121" i="1"/>
  <c r="Q77" i="1"/>
  <c r="I929" i="7"/>
  <c r="AR929" i="7" s="1"/>
  <c r="I1013" i="7"/>
  <c r="AR1013" i="7" s="1"/>
  <c r="I1182" i="7"/>
  <c r="AR1182" i="7" s="1"/>
  <c r="I1223" i="7"/>
  <c r="AR1223" i="7" s="1"/>
  <c r="I1056" i="7"/>
  <c r="AR1056" i="7" s="1"/>
  <c r="I1140" i="7"/>
  <c r="AR1140" i="7" s="1"/>
  <c r="I887" i="7"/>
  <c r="AR887" i="7" s="1"/>
  <c r="I1265" i="7"/>
  <c r="AR1265" i="7" s="1"/>
  <c r="I426" i="7"/>
  <c r="AR426" i="7" s="1"/>
  <c r="I383" i="7"/>
  <c r="AR383" i="7" s="1"/>
  <c r="I341" i="7"/>
  <c r="AR341" i="7" s="1"/>
  <c r="I299" i="7"/>
  <c r="AR299" i="7" s="1"/>
  <c r="I258" i="7"/>
  <c r="AR258" i="7" s="1"/>
  <c r="I216" i="7"/>
  <c r="AR216" i="7" s="1"/>
  <c r="I173" i="7"/>
  <c r="AR173" i="7" s="1"/>
  <c r="I132" i="7"/>
  <c r="AR132" i="7" s="1"/>
  <c r="I89" i="7"/>
  <c r="AR89" i="7" s="1"/>
  <c r="I48" i="7"/>
  <c r="P648" i="1"/>
  <c r="S542" i="1"/>
  <c r="O672" i="1"/>
  <c r="O688" i="1" s="1"/>
  <c r="P484" i="1"/>
  <c r="P500" i="1" s="1"/>
  <c r="P752" i="1" s="1"/>
  <c r="P781" i="1" s="1"/>
  <c r="N36" i="3"/>
  <c r="J53" i="6"/>
  <c r="N89" i="3"/>
  <c r="I36" i="3"/>
  <c r="E53" i="6"/>
  <c r="L36" i="3"/>
  <c r="H53" i="6"/>
  <c r="J12" i="6"/>
  <c r="M36" i="3"/>
  <c r="I53" i="6"/>
  <c r="K36" i="3"/>
  <c r="G53" i="6"/>
  <c r="K89" i="3"/>
  <c r="G12" i="6"/>
  <c r="I12" i="6"/>
  <c r="E12" i="6"/>
  <c r="H12" i="6"/>
  <c r="J36" i="3"/>
  <c r="F53" i="6"/>
  <c r="J65" i="3"/>
  <c r="S640" i="1"/>
  <c r="S623" i="1"/>
  <c r="S598" i="1"/>
  <c r="S656" i="1"/>
  <c r="S662" i="1"/>
  <c r="S576" i="1"/>
  <c r="S642" i="1"/>
  <c r="P679" i="1"/>
  <c r="S682" i="1"/>
  <c r="P670" i="1"/>
  <c r="S666" i="1"/>
  <c r="S605" i="1"/>
  <c r="S675" i="1"/>
  <c r="S679" i="1" s="1"/>
  <c r="S683" i="1"/>
  <c r="S585" i="1"/>
  <c r="S650" i="1"/>
  <c r="S554" i="1"/>
  <c r="P686" i="1"/>
  <c r="P578" i="1"/>
  <c r="P594" i="1" s="1"/>
  <c r="P720" i="1" s="1"/>
  <c r="S663" i="1"/>
  <c r="S592" i="1"/>
  <c r="I80" i="3"/>
  <c r="I97" i="3"/>
  <c r="P636" i="1"/>
  <c r="R100" i="1"/>
  <c r="R68" i="1"/>
  <c r="R56" i="1"/>
  <c r="R152" i="1"/>
  <c r="R148" i="1"/>
  <c r="R13" i="1"/>
  <c r="R53" i="1"/>
  <c r="R16" i="1"/>
  <c r="R161" i="1"/>
  <c r="R24" i="1"/>
  <c r="R27" i="1"/>
  <c r="R26" i="1"/>
  <c r="R18" i="1"/>
  <c r="R147" i="1"/>
  <c r="R114" i="1"/>
  <c r="R164" i="1"/>
  <c r="R104" i="1"/>
  <c r="R55" i="1"/>
  <c r="R97" i="1"/>
  <c r="R17" i="1"/>
  <c r="R165" i="1"/>
  <c r="R154" i="1"/>
  <c r="R111" i="1"/>
  <c r="R101" i="1"/>
  <c r="R115" i="1"/>
  <c r="R146" i="1"/>
  <c r="R10" i="1"/>
  <c r="R160" i="1"/>
  <c r="R159" i="1"/>
  <c r="R70" i="1"/>
  <c r="R98" i="1"/>
  <c r="R8" i="1"/>
  <c r="R162" i="1"/>
  <c r="R21" i="1"/>
  <c r="R65" i="1"/>
  <c r="R61" i="1"/>
  <c r="R12" i="1"/>
  <c r="R66" i="1"/>
  <c r="R22" i="1"/>
  <c r="R151" i="1"/>
  <c r="R163" i="1"/>
  <c r="R99" i="1"/>
  <c r="R103" i="1"/>
  <c r="R23" i="1"/>
  <c r="R59" i="1"/>
  <c r="R57" i="1"/>
  <c r="R150" i="1"/>
  <c r="R110" i="1"/>
  <c r="R106" i="1"/>
  <c r="R14" i="1"/>
  <c r="R58" i="1"/>
  <c r="R153" i="1"/>
  <c r="R166" i="1"/>
  <c r="R155" i="1"/>
  <c r="R71" i="1"/>
  <c r="R108" i="1"/>
  <c r="R9" i="1"/>
  <c r="R19" i="1"/>
  <c r="R67" i="1"/>
  <c r="R96" i="1"/>
  <c r="R20" i="1"/>
  <c r="R149" i="1"/>
  <c r="R63" i="1"/>
  <c r="R11" i="1"/>
  <c r="R167" i="1"/>
  <c r="R105" i="1"/>
  <c r="R25" i="1"/>
  <c r="R15" i="1"/>
  <c r="R62" i="1"/>
  <c r="R158" i="1"/>
  <c r="R102" i="1"/>
  <c r="R60" i="1"/>
  <c r="R107" i="1"/>
  <c r="R54" i="1"/>
  <c r="R64" i="1"/>
  <c r="R52" i="1"/>
  <c r="R109" i="1"/>
  <c r="R69" i="1"/>
  <c r="R112" i="1"/>
  <c r="R113" i="1"/>
  <c r="H160" i="9" l="1"/>
  <c r="H110" i="9"/>
  <c r="H60" i="9"/>
  <c r="H12" i="9"/>
  <c r="J51" i="3"/>
  <c r="J12" i="3"/>
  <c r="J7" i="3"/>
  <c r="J85" i="3"/>
  <c r="S68" i="1"/>
  <c r="S110" i="1"/>
  <c r="R132" i="1"/>
  <c r="S66" i="1"/>
  <c r="R46" i="1"/>
  <c r="R90" i="1"/>
  <c r="S24" i="1"/>
  <c r="S46" i="1" s="1"/>
  <c r="R92" i="1"/>
  <c r="S26" i="1"/>
  <c r="S48" i="1" s="1"/>
  <c r="R48" i="1"/>
  <c r="R41" i="1"/>
  <c r="R85" i="1"/>
  <c r="S19" i="1"/>
  <c r="S41" i="1" s="1"/>
  <c r="R43" i="1"/>
  <c r="R87" i="1"/>
  <c r="S21" i="1"/>
  <c r="S43" i="1" s="1"/>
  <c r="R84" i="1"/>
  <c r="S18" i="1"/>
  <c r="S84" i="1" s="1"/>
  <c r="R40" i="1"/>
  <c r="S113" i="1"/>
  <c r="S106" i="1"/>
  <c r="S107" i="1"/>
  <c r="R45" i="1"/>
  <c r="R89" i="1"/>
  <c r="S23" i="1"/>
  <c r="S89" i="1" s="1"/>
  <c r="R44" i="1"/>
  <c r="R88" i="1"/>
  <c r="S22" i="1"/>
  <c r="S88" i="1" s="1"/>
  <c r="S98" i="1"/>
  <c r="S109" i="1"/>
  <c r="R47" i="1"/>
  <c r="R91" i="1"/>
  <c r="S25" i="1"/>
  <c r="S47" i="1" s="1"/>
  <c r="R129" i="1"/>
  <c r="S63" i="1"/>
  <c r="R49" i="1"/>
  <c r="R93" i="1"/>
  <c r="S27" i="1"/>
  <c r="S49" i="1" s="1"/>
  <c r="R131" i="1"/>
  <c r="S65" i="1"/>
  <c r="T5" i="1"/>
  <c r="F7" i="5"/>
  <c r="F23" i="5" s="1"/>
  <c r="F94" i="6"/>
  <c r="F51" i="6"/>
  <c r="F10" i="6"/>
  <c r="I101" i="3"/>
  <c r="I116" i="3"/>
  <c r="J99" i="3"/>
  <c r="I2" i="3"/>
  <c r="R136" i="1"/>
  <c r="S70" i="1"/>
  <c r="R128" i="1"/>
  <c r="S62" i="1"/>
  <c r="R137" i="1"/>
  <c r="S71" i="1"/>
  <c r="S111" i="1"/>
  <c r="R133" i="1"/>
  <c r="S67" i="1"/>
  <c r="S115" i="1"/>
  <c r="S108" i="1"/>
  <c r="R135" i="1"/>
  <c r="S69" i="1"/>
  <c r="R86" i="1"/>
  <c r="S20" i="1"/>
  <c r="S86" i="1" s="1"/>
  <c r="R42" i="1"/>
  <c r="S114" i="1"/>
  <c r="R134" i="1"/>
  <c r="S112" i="1"/>
  <c r="R130" i="1"/>
  <c r="S64" i="1"/>
  <c r="Q358" i="1"/>
  <c r="Q368" i="1" s="1"/>
  <c r="S390" i="1"/>
  <c r="AA390" i="1" s="1"/>
  <c r="R116" i="1"/>
  <c r="R72" i="1"/>
  <c r="R140" i="1" s="1"/>
  <c r="Q50" i="1"/>
  <c r="R28" i="1"/>
  <c r="R358" i="1" s="1"/>
  <c r="R368" i="1" s="1"/>
  <c r="G474" i="7"/>
  <c r="G826" i="7"/>
  <c r="G616" i="7"/>
  <c r="G726" i="7"/>
  <c r="G684" i="7"/>
  <c r="G768" i="7"/>
  <c r="G642" i="7"/>
  <c r="G558" i="7"/>
  <c r="G516" i="7"/>
  <c r="G810" i="7"/>
  <c r="G600" i="7"/>
  <c r="G432" i="7"/>
  <c r="G758" i="7"/>
  <c r="G632" i="7"/>
  <c r="G590" i="7"/>
  <c r="G818" i="7"/>
  <c r="G776" i="7"/>
  <c r="G650" i="7"/>
  <c r="G674" i="7"/>
  <c r="G658" i="7"/>
  <c r="G574" i="7"/>
  <c r="G532" i="7"/>
  <c r="G742" i="7"/>
  <c r="G734" i="7"/>
  <c r="G608" i="7"/>
  <c r="G448" i="7"/>
  <c r="G490" i="7"/>
  <c r="G784" i="7"/>
  <c r="G700" i="7"/>
  <c r="G624" i="7"/>
  <c r="G692" i="7"/>
  <c r="G842" i="7"/>
  <c r="G666" i="7"/>
  <c r="G750" i="7"/>
  <c r="G566" i="7"/>
  <c r="G548" i="7"/>
  <c r="G482" i="7"/>
  <c r="G800" i="7"/>
  <c r="G582" i="7"/>
  <c r="G440" i="7"/>
  <c r="G524" i="7"/>
  <c r="G716" i="7"/>
  <c r="G540" i="7"/>
  <c r="G792" i="7"/>
  <c r="G834" i="7"/>
  <c r="G506" i="7"/>
  <c r="G464" i="7"/>
  <c r="G498" i="7"/>
  <c r="G708" i="7"/>
  <c r="G456" i="7"/>
  <c r="S151" i="1"/>
  <c r="S152" i="1"/>
  <c r="S104" i="1"/>
  <c r="S13" i="1"/>
  <c r="S35" i="1" s="1"/>
  <c r="S162" i="1"/>
  <c r="S153" i="1"/>
  <c r="S100" i="1"/>
  <c r="S15" i="1"/>
  <c r="S37" i="1" s="1"/>
  <c r="S159" i="1"/>
  <c r="S160" i="1"/>
  <c r="S55" i="1"/>
  <c r="S161" i="1"/>
  <c r="S61" i="1"/>
  <c r="S17" i="1"/>
  <c r="S39" i="1" s="1"/>
  <c r="S9" i="1"/>
  <c r="S166" i="1"/>
  <c r="S150" i="1"/>
  <c r="S14" i="1"/>
  <c r="S80" i="1" s="1"/>
  <c r="S54" i="1"/>
  <c r="S149" i="1"/>
  <c r="S155" i="1"/>
  <c r="S164" i="1"/>
  <c r="S16" i="1"/>
  <c r="S82" i="1" s="1"/>
  <c r="S167" i="1"/>
  <c r="S154" i="1"/>
  <c r="S163" i="1"/>
  <c r="S97" i="1"/>
  <c r="S105" i="1"/>
  <c r="S99" i="1"/>
  <c r="S11" i="1"/>
  <c r="S53" i="1"/>
  <c r="S148" i="1"/>
  <c r="S57" i="1"/>
  <c r="S60" i="1"/>
  <c r="S102" i="1"/>
  <c r="S10" i="1"/>
  <c r="S101" i="1"/>
  <c r="S56" i="1"/>
  <c r="S147" i="1"/>
  <c r="S146" i="1"/>
  <c r="S165" i="1"/>
  <c r="S103" i="1"/>
  <c r="S58" i="1"/>
  <c r="S59" i="1"/>
  <c r="S12" i="1"/>
  <c r="S78" i="1" s="1"/>
  <c r="G78" i="7"/>
  <c r="J48" i="7"/>
  <c r="AR48" i="7"/>
  <c r="J383" i="7"/>
  <c r="J1013" i="7"/>
  <c r="J89" i="7"/>
  <c r="J426" i="7"/>
  <c r="J929" i="7"/>
  <c r="J173" i="7"/>
  <c r="J887" i="7"/>
  <c r="J132" i="7"/>
  <c r="J1265" i="7"/>
  <c r="J216" i="7"/>
  <c r="J1140" i="7"/>
  <c r="J258" i="7"/>
  <c r="J1056" i="7"/>
  <c r="J299" i="7"/>
  <c r="J1223" i="7"/>
  <c r="J341" i="7"/>
  <c r="J1182" i="7"/>
  <c r="G70" i="7"/>
  <c r="O192" i="1"/>
  <c r="G422" i="7"/>
  <c r="G1112" i="7"/>
  <c r="G1070" i="7"/>
  <c r="G246" i="7"/>
  <c r="G952" i="7"/>
  <c r="G120" i="7"/>
  <c r="G112" i="7"/>
  <c r="G212" i="7"/>
  <c r="G1146" i="7"/>
  <c r="J30" i="2"/>
  <c r="G1010" i="7"/>
  <c r="S158" i="1"/>
  <c r="S8" i="1"/>
  <c r="R37" i="1"/>
  <c r="R81" i="1"/>
  <c r="Q185" i="1"/>
  <c r="G44" i="7"/>
  <c r="G280" i="7"/>
  <c r="G330" i="7"/>
  <c r="G380" i="7"/>
  <c r="G288" i="7"/>
  <c r="G1154" i="7"/>
  <c r="G222" i="7"/>
  <c r="G398" i="7"/>
  <c r="G876" i="7"/>
  <c r="G146" i="7"/>
  <c r="G348" i="7"/>
  <c r="G918" i="7"/>
  <c r="G170" i="7"/>
  <c r="G944" i="7"/>
  <c r="G894" i="7"/>
  <c r="G188" i="7"/>
  <c r="G1036" i="7"/>
  <c r="G372" i="7"/>
  <c r="G884" i="7"/>
  <c r="G1196" i="7"/>
  <c r="G364" i="7"/>
  <c r="G1230" i="7"/>
  <c r="G968" i="7"/>
  <c r="G1238" i="7"/>
  <c r="G1162" i="7"/>
  <c r="G204" i="7"/>
  <c r="G960" i="7"/>
  <c r="G86" i="7"/>
  <c r="G230" i="7"/>
  <c r="G196" i="7"/>
  <c r="G54" i="7"/>
  <c r="G1254" i="7"/>
  <c r="G296" i="7"/>
  <c r="G1094" i="7"/>
  <c r="G986" i="7"/>
  <c r="G1078" i="7"/>
  <c r="G96" i="7"/>
  <c r="G1020" i="7"/>
  <c r="G1128" i="7"/>
  <c r="G1212" i="7"/>
  <c r="G926" i="7"/>
  <c r="G1028" i="7"/>
  <c r="G902" i="7"/>
  <c r="G1120" i="7"/>
  <c r="G180" i="7"/>
  <c r="G28" i="7"/>
  <c r="G390" i="7"/>
  <c r="S96" i="1"/>
  <c r="G154" i="7"/>
  <c r="G12" i="7"/>
  <c r="G978" i="7"/>
  <c r="G1044" i="7"/>
  <c r="G1170" i="7"/>
  <c r="G414" i="7"/>
  <c r="G338" i="7"/>
  <c r="G254" i="7"/>
  <c r="G272" i="7"/>
  <c r="G62" i="7"/>
  <c r="G314" i="7"/>
  <c r="G406" i="7"/>
  <c r="G1204" i="7"/>
  <c r="G138" i="7"/>
  <c r="G936" i="7"/>
  <c r="G1002" i="7"/>
  <c r="G1086" i="7"/>
  <c r="G1262" i="7"/>
  <c r="G1136" i="7"/>
  <c r="G1178" i="7"/>
  <c r="G20" i="7"/>
  <c r="G104" i="7"/>
  <c r="G322" i="7"/>
  <c r="G910" i="7"/>
  <c r="G868" i="7"/>
  <c r="G264" i="7"/>
  <c r="G1062" i="7"/>
  <c r="G162" i="7"/>
  <c r="G36" i="7"/>
  <c r="G1220" i="7"/>
  <c r="G1052" i="7"/>
  <c r="G128" i="7"/>
  <c r="G860" i="7"/>
  <c r="G356" i="7"/>
  <c r="G1246" i="7"/>
  <c r="G994" i="7"/>
  <c r="G238" i="7"/>
  <c r="G306" i="7"/>
  <c r="G1104" i="7"/>
  <c r="R127" i="1"/>
  <c r="G852" i="7"/>
  <c r="G1188" i="7"/>
  <c r="G43" i="3"/>
  <c r="G46" i="3" s="1"/>
  <c r="C55" i="6" s="1"/>
  <c r="C54" i="6"/>
  <c r="H43" i="3"/>
  <c r="D54" i="6"/>
  <c r="H90" i="3"/>
  <c r="S484" i="1"/>
  <c r="S500" i="1" s="1"/>
  <c r="S752" i="1" s="1"/>
  <c r="S781" i="1" s="1"/>
  <c r="P186" i="1"/>
  <c r="R123" i="1"/>
  <c r="J971" i="7"/>
  <c r="I972" i="7"/>
  <c r="AR972" i="7" s="1"/>
  <c r="R83" i="1"/>
  <c r="R39" i="1"/>
  <c r="R32" i="1"/>
  <c r="R78" i="1"/>
  <c r="R34" i="1"/>
  <c r="R175" i="1"/>
  <c r="R122" i="1"/>
  <c r="R79" i="1"/>
  <c r="R35" i="1"/>
  <c r="R168" i="1"/>
  <c r="R184" i="1" s="1"/>
  <c r="R177" i="1"/>
  <c r="R176" i="1"/>
  <c r="R36" i="1"/>
  <c r="R80" i="1"/>
  <c r="R179" i="1"/>
  <c r="R172" i="1"/>
  <c r="R121" i="1"/>
  <c r="R82" i="1"/>
  <c r="R38" i="1"/>
  <c r="R178" i="1"/>
  <c r="R171" i="1"/>
  <c r="R74" i="1"/>
  <c r="R30" i="1"/>
  <c r="R118" i="1"/>
  <c r="S52" i="1"/>
  <c r="R174" i="1"/>
  <c r="R31" i="1"/>
  <c r="R173" i="1"/>
  <c r="R156" i="1"/>
  <c r="R182" i="1" s="1"/>
  <c r="R170" i="1"/>
  <c r="R33" i="1"/>
  <c r="R77" i="1"/>
  <c r="Q180" i="1"/>
  <c r="Q124" i="1"/>
  <c r="Q125" i="1"/>
  <c r="O126" i="1"/>
  <c r="P126" i="1"/>
  <c r="R119" i="1"/>
  <c r="R75" i="1"/>
  <c r="Q76" i="1"/>
  <c r="Q120" i="1"/>
  <c r="I930" i="7"/>
  <c r="AR930" i="7" s="1"/>
  <c r="I1014" i="7"/>
  <c r="AR1014" i="7" s="1"/>
  <c r="I1266" i="7"/>
  <c r="AR1266" i="7" s="1"/>
  <c r="I888" i="7"/>
  <c r="AR888" i="7" s="1"/>
  <c r="I1224" i="7"/>
  <c r="AR1224" i="7" s="1"/>
  <c r="I384" i="7"/>
  <c r="AR384" i="7" s="1"/>
  <c r="I342" i="7"/>
  <c r="AR342" i="7" s="1"/>
  <c r="I300" i="7"/>
  <c r="AR300" i="7" s="1"/>
  <c r="I174" i="7"/>
  <c r="AR174" i="7" s="1"/>
  <c r="I90" i="7"/>
  <c r="AR90" i="7" s="1"/>
  <c r="S686" i="1"/>
  <c r="S636" i="1"/>
  <c r="S648" i="1"/>
  <c r="S578" i="1"/>
  <c r="S594" i="1" s="1"/>
  <c r="S720" i="1" s="1"/>
  <c r="L43" i="3"/>
  <c r="H54" i="6"/>
  <c r="L90" i="3"/>
  <c r="J43" i="3"/>
  <c r="F54" i="6"/>
  <c r="J90" i="3"/>
  <c r="K43" i="3"/>
  <c r="G54" i="6"/>
  <c r="K90" i="3"/>
  <c r="I43" i="3"/>
  <c r="E54" i="6"/>
  <c r="I90" i="3"/>
  <c r="M43" i="3"/>
  <c r="I54" i="6"/>
  <c r="M90" i="3"/>
  <c r="N43" i="3"/>
  <c r="J54" i="6"/>
  <c r="N90" i="3"/>
  <c r="K65" i="3"/>
  <c r="S670" i="1"/>
  <c r="P672" i="1"/>
  <c r="P688" i="1" s="1"/>
  <c r="J80" i="3"/>
  <c r="J97" i="3"/>
  <c r="T109" i="1"/>
  <c r="T27" i="1"/>
  <c r="T56" i="1"/>
  <c r="T26" i="1"/>
  <c r="T24" i="1"/>
  <c r="T20" i="1"/>
  <c r="T18" i="1"/>
  <c r="T25" i="1"/>
  <c r="T71" i="1"/>
  <c r="T112" i="1"/>
  <c r="T66" i="1"/>
  <c r="T22" i="1"/>
  <c r="T114" i="1"/>
  <c r="T65" i="1"/>
  <c r="T67" i="1"/>
  <c r="T110" i="1"/>
  <c r="T105" i="1"/>
  <c r="T108" i="1"/>
  <c r="T68" i="1"/>
  <c r="T107" i="1"/>
  <c r="T21" i="1"/>
  <c r="T23" i="1"/>
  <c r="T19" i="1"/>
  <c r="T159" i="1"/>
  <c r="T111" i="1"/>
  <c r="I160" i="9" l="1"/>
  <c r="I110" i="9"/>
  <c r="I60" i="9"/>
  <c r="I12" i="9"/>
  <c r="K51" i="3"/>
  <c r="K12" i="3"/>
  <c r="K7" i="3"/>
  <c r="K85" i="3"/>
  <c r="S44" i="1"/>
  <c r="S90" i="1"/>
  <c r="S128" i="1"/>
  <c r="S85" i="1"/>
  <c r="S45" i="1"/>
  <c r="S131" i="1"/>
  <c r="S129" i="1"/>
  <c r="S132" i="1"/>
  <c r="S40" i="1"/>
  <c r="S135" i="1"/>
  <c r="S93" i="1"/>
  <c r="S92" i="1"/>
  <c r="S134" i="1"/>
  <c r="S91" i="1"/>
  <c r="S87" i="1"/>
  <c r="U5" i="1"/>
  <c r="G7" i="5"/>
  <c r="G23" i="5" s="1"/>
  <c r="G94" i="6"/>
  <c r="G51" i="6"/>
  <c r="G10" i="6"/>
  <c r="J101" i="3"/>
  <c r="J116" i="3"/>
  <c r="K99" i="3"/>
  <c r="O383" i="1"/>
  <c r="O379" i="1"/>
  <c r="O375" i="1"/>
  <c r="O380" i="1"/>
  <c r="O382" i="1"/>
  <c r="O378" i="1"/>
  <c r="O381" i="1"/>
  <c r="O377" i="1"/>
  <c r="O384" i="1"/>
  <c r="O376" i="1"/>
  <c r="J2" i="3"/>
  <c r="S137" i="1"/>
  <c r="S133" i="1"/>
  <c r="S130" i="1"/>
  <c r="S42" i="1"/>
  <c r="S136" i="1"/>
  <c r="T2" i="1"/>
  <c r="T507" i="1"/>
  <c r="T601" i="1" s="1"/>
  <c r="T517" i="1"/>
  <c r="T611" i="1" s="1"/>
  <c r="T529" i="1"/>
  <c r="T623" i="1" s="1"/>
  <c r="T575" i="1"/>
  <c r="T669" i="1" s="1"/>
  <c r="T564" i="1"/>
  <c r="T658" i="1" s="1"/>
  <c r="T560" i="1"/>
  <c r="T654" i="1" s="1"/>
  <c r="T556" i="1"/>
  <c r="T650" i="1" s="1"/>
  <c r="T503" i="1"/>
  <c r="T597" i="1" s="1"/>
  <c r="T512" i="1"/>
  <c r="T606" i="1" s="1"/>
  <c r="T515" i="1"/>
  <c r="T609" i="1" s="1"/>
  <c r="T523" i="1"/>
  <c r="T617" i="1" s="1"/>
  <c r="T525" i="1"/>
  <c r="T619" i="1" s="1"/>
  <c r="T539" i="1"/>
  <c r="T633" i="1" s="1"/>
  <c r="T566" i="1"/>
  <c r="T660" i="1" s="1"/>
  <c r="T563" i="1"/>
  <c r="T657" i="1" s="1"/>
  <c r="T508" i="1"/>
  <c r="T602" i="1" s="1"/>
  <c r="T510" i="1"/>
  <c r="T604" i="1" s="1"/>
  <c r="T569" i="1"/>
  <c r="T663" i="1" s="1"/>
  <c r="T562" i="1"/>
  <c r="T656" i="1" s="1"/>
  <c r="T504" i="1"/>
  <c r="T598" i="1" s="1"/>
  <c r="T513" i="1"/>
  <c r="T607" i="1" s="1"/>
  <c r="T531" i="1"/>
  <c r="T625" i="1" s="1"/>
  <c r="T521" i="1"/>
  <c r="T615" i="1" s="1"/>
  <c r="T540" i="1"/>
  <c r="T634" i="1" s="1"/>
  <c r="T516" i="1"/>
  <c r="T610" i="1" s="1"/>
  <c r="T527" i="1"/>
  <c r="T536" i="1"/>
  <c r="T630" i="1" s="1"/>
  <c r="T573" i="1"/>
  <c r="T565" i="1"/>
  <c r="T659" i="1" s="1"/>
  <c r="T505" i="1"/>
  <c r="T599" i="1" s="1"/>
  <c r="T514" i="1"/>
  <c r="T608" i="1" s="1"/>
  <c r="T519" i="1"/>
  <c r="T613" i="1" s="1"/>
  <c r="T522" i="1"/>
  <c r="T616" i="1" s="1"/>
  <c r="T532" i="1"/>
  <c r="T626" i="1" s="1"/>
  <c r="T541" i="1"/>
  <c r="T635" i="1" s="1"/>
  <c r="T572" i="1"/>
  <c r="T666" i="1" s="1"/>
  <c r="T568" i="1"/>
  <c r="T662" i="1" s="1"/>
  <c r="T561" i="1"/>
  <c r="T655" i="1" s="1"/>
  <c r="T558" i="1"/>
  <c r="T652" i="1" s="1"/>
  <c r="T535" i="1"/>
  <c r="T629" i="1" s="1"/>
  <c r="T574" i="1"/>
  <c r="T668" i="1" s="1"/>
  <c r="T547" i="1"/>
  <c r="T641" i="1" s="1"/>
  <c r="T559" i="1"/>
  <c r="T653" i="1" s="1"/>
  <c r="T551" i="1"/>
  <c r="T645" i="1" s="1"/>
  <c r="T509" i="1"/>
  <c r="T603" i="1" s="1"/>
  <c r="T528" i="1"/>
  <c r="T622" i="1" s="1"/>
  <c r="T537" i="1"/>
  <c r="T631" i="1" s="1"/>
  <c r="T502" i="1"/>
  <c r="T596" i="1" s="1"/>
  <c r="T571" i="1"/>
  <c r="T665" i="1" s="1"/>
  <c r="T511" i="1"/>
  <c r="T605" i="1" s="1"/>
  <c r="T520" i="1"/>
  <c r="T614" i="1" s="1"/>
  <c r="T524" i="1"/>
  <c r="T618" i="1" s="1"/>
  <c r="T533" i="1"/>
  <c r="T627" i="1" s="1"/>
  <c r="T570" i="1"/>
  <c r="T664" i="1" s="1"/>
  <c r="T567" i="1"/>
  <c r="T661" i="1" s="1"/>
  <c r="T557" i="1"/>
  <c r="T651" i="1" s="1"/>
  <c r="T590" i="1"/>
  <c r="T684" i="1" s="1"/>
  <c r="T587" i="1"/>
  <c r="T545" i="1"/>
  <c r="T639" i="1" s="1"/>
  <c r="T553" i="1"/>
  <c r="T647" i="1" s="1"/>
  <c r="T581" i="1"/>
  <c r="T675" i="1" s="1"/>
  <c r="T544" i="1"/>
  <c r="T638" i="1" s="1"/>
  <c r="T549" i="1"/>
  <c r="T643" i="1" s="1"/>
  <c r="T583" i="1"/>
  <c r="T677" i="1" s="1"/>
  <c r="T588" i="1"/>
  <c r="T682" i="1" s="1"/>
  <c r="T580" i="1"/>
  <c r="T548" i="1"/>
  <c r="T642" i="1" s="1"/>
  <c r="T584" i="1"/>
  <c r="T546" i="1"/>
  <c r="T640" i="1" s="1"/>
  <c r="T552" i="1"/>
  <c r="T646" i="1" s="1"/>
  <c r="T550" i="1"/>
  <c r="T644" i="1" s="1"/>
  <c r="T591" i="1"/>
  <c r="T685" i="1" s="1"/>
  <c r="T534" i="1"/>
  <c r="T628" i="1" s="1"/>
  <c r="T518" i="1"/>
  <c r="T612" i="1" s="1"/>
  <c r="T526" i="1"/>
  <c r="T620" i="1" s="1"/>
  <c r="T582" i="1"/>
  <c r="T676" i="1" s="1"/>
  <c r="T589" i="1"/>
  <c r="T683" i="1" s="1"/>
  <c r="T530" i="1"/>
  <c r="T624" i="1" s="1"/>
  <c r="T506" i="1"/>
  <c r="T600" i="1" s="1"/>
  <c r="T538" i="1"/>
  <c r="T632" i="1" s="1"/>
  <c r="R369" i="1"/>
  <c r="R372" i="1" s="1"/>
  <c r="S349" i="1"/>
  <c r="Q369" i="1"/>
  <c r="Q372" i="1" s="1"/>
  <c r="T131" i="1"/>
  <c r="T132" i="1"/>
  <c r="T133" i="1"/>
  <c r="T134" i="1"/>
  <c r="S116" i="1"/>
  <c r="S72" i="1"/>
  <c r="T88" i="1"/>
  <c r="T91" i="1"/>
  <c r="T85" i="1"/>
  <c r="T93" i="1"/>
  <c r="T89" i="1"/>
  <c r="T86" i="1"/>
  <c r="T90" i="1"/>
  <c r="T84" i="1"/>
  <c r="T92" i="1"/>
  <c r="T87" i="1"/>
  <c r="T44" i="1"/>
  <c r="T47" i="1"/>
  <c r="T41" i="1"/>
  <c r="T49" i="1"/>
  <c r="T45" i="1"/>
  <c r="T42" i="1"/>
  <c r="T46" i="1"/>
  <c r="T40" i="1"/>
  <c r="T48" i="1"/>
  <c r="T43" i="1"/>
  <c r="R50" i="1"/>
  <c r="S28" i="1"/>
  <c r="G769" i="7"/>
  <c r="G727" i="7"/>
  <c r="G685" i="7"/>
  <c r="G475" i="7"/>
  <c r="G811" i="7"/>
  <c r="G601" i="7"/>
  <c r="G559" i="7"/>
  <c r="G517" i="7"/>
  <c r="G433" i="7"/>
  <c r="G643" i="7"/>
  <c r="G533" i="7"/>
  <c r="G651" i="7"/>
  <c r="G617" i="7"/>
  <c r="G483" i="7"/>
  <c r="G827" i="7"/>
  <c r="G785" i="7"/>
  <c r="G567" i="7"/>
  <c r="G819" i="7"/>
  <c r="G449" i="7"/>
  <c r="G525" i="7"/>
  <c r="G491" i="7"/>
  <c r="G441" i="7"/>
  <c r="G701" i="7"/>
  <c r="G743" i="7"/>
  <c r="G659" i="7"/>
  <c r="G735" i="7"/>
  <c r="G575" i="7"/>
  <c r="G675" i="7"/>
  <c r="G777" i="7"/>
  <c r="G609" i="7"/>
  <c r="G591" i="7"/>
  <c r="G693" i="7"/>
  <c r="G759" i="7"/>
  <c r="G465" i="7"/>
  <c r="G507" i="7"/>
  <c r="G549" i="7"/>
  <c r="G843" i="7"/>
  <c r="G633" i="7"/>
  <c r="G751" i="7"/>
  <c r="G499" i="7"/>
  <c r="G583" i="7"/>
  <c r="G835" i="7"/>
  <c r="G667" i="7"/>
  <c r="G801" i="7"/>
  <c r="G457" i="7"/>
  <c r="G717" i="7"/>
  <c r="G541" i="7"/>
  <c r="G625" i="7"/>
  <c r="G709" i="7"/>
  <c r="G793" i="7"/>
  <c r="G961" i="7"/>
  <c r="J31" i="2"/>
  <c r="G297" i="7"/>
  <c r="G255" i="7"/>
  <c r="G281" i="7"/>
  <c r="G927" i="7"/>
  <c r="G63" i="7"/>
  <c r="G415" i="7"/>
  <c r="G37" i="7"/>
  <c r="G1147" i="7"/>
  <c r="G79" i="7"/>
  <c r="G391" i="7"/>
  <c r="G1087" i="7"/>
  <c r="G247" i="7"/>
  <c r="G29" i="7"/>
  <c r="G919" i="7"/>
  <c r="G1011" i="7"/>
  <c r="G113" i="7"/>
  <c r="G331" i="7"/>
  <c r="G1113" i="7"/>
  <c r="G45" i="7"/>
  <c r="G945" i="7"/>
  <c r="G1255" i="7"/>
  <c r="G339" i="7"/>
  <c r="G1239" i="7"/>
  <c r="G937" i="7"/>
  <c r="G1129" i="7"/>
  <c r="G1003" i="7"/>
  <c r="G1247" i="7"/>
  <c r="G1045" i="7"/>
  <c r="G1095" i="7"/>
  <c r="G1071" i="7"/>
  <c r="G239" i="7"/>
  <c r="G1231" i="7"/>
  <c r="G877" i="7"/>
  <c r="G129" i="7"/>
  <c r="G121" i="7"/>
  <c r="G423" i="7"/>
  <c r="G1121" i="7"/>
  <c r="G987" i="7"/>
  <c r="G181" i="7"/>
  <c r="G205" i="7"/>
  <c r="G1137" i="7"/>
  <c r="G1179" i="7"/>
  <c r="G1197" i="7"/>
  <c r="G1037" i="7"/>
  <c r="G373" i="7"/>
  <c r="G87" i="7"/>
  <c r="G1053" i="7"/>
  <c r="G399" i="7"/>
  <c r="G231" i="7"/>
  <c r="G869" i="7"/>
  <c r="G55" i="7"/>
  <c r="J174" i="7"/>
  <c r="J930" i="7"/>
  <c r="J972" i="7"/>
  <c r="J300" i="7"/>
  <c r="J342" i="7"/>
  <c r="J90" i="7"/>
  <c r="J384" i="7"/>
  <c r="J1014" i="7"/>
  <c r="J1224" i="7"/>
  <c r="J888" i="7"/>
  <c r="J1266" i="7"/>
  <c r="G163" i="7"/>
  <c r="G171" i="7"/>
  <c r="G1213" i="7"/>
  <c r="G213" i="7"/>
  <c r="G357" i="7"/>
  <c r="G903" i="7"/>
  <c r="G407" i="7"/>
  <c r="G139" i="7"/>
  <c r="G289" i="7"/>
  <c r="G1171" i="7"/>
  <c r="G885" i="7"/>
  <c r="G1263" i="7"/>
  <c r="G1221" i="7"/>
  <c r="G189" i="7"/>
  <c r="G21" i="7"/>
  <c r="G197" i="7"/>
  <c r="G895" i="7"/>
  <c r="T410" i="1"/>
  <c r="T431" i="1"/>
  <c r="T452" i="1"/>
  <c r="F137" i="5"/>
  <c r="B67" i="5"/>
  <c r="F12" i="5"/>
  <c r="T464" i="1"/>
  <c r="S30" i="1"/>
  <c r="G969" i="7"/>
  <c r="G105" i="7"/>
  <c r="G273" i="7"/>
  <c r="G323" i="7"/>
  <c r="G365" i="7"/>
  <c r="G1079" i="7"/>
  <c r="G223" i="7"/>
  <c r="G979" i="7"/>
  <c r="G381" i="7"/>
  <c r="G1029" i="7"/>
  <c r="G861" i="7"/>
  <c r="G155" i="7"/>
  <c r="G71" i="7"/>
  <c r="G1163" i="7"/>
  <c r="G265" i="7"/>
  <c r="G1021" i="7"/>
  <c r="G315" i="7"/>
  <c r="G1155" i="7"/>
  <c r="G147" i="7"/>
  <c r="G953" i="7"/>
  <c r="G911" i="7"/>
  <c r="G1205" i="7"/>
  <c r="G307" i="7"/>
  <c r="G1063" i="7"/>
  <c r="G995" i="7"/>
  <c r="G13" i="7"/>
  <c r="G349" i="7"/>
  <c r="G1105" i="7"/>
  <c r="G97" i="7"/>
  <c r="G853" i="7"/>
  <c r="G1189" i="7"/>
  <c r="T434" i="1"/>
  <c r="T440" i="1"/>
  <c r="T412" i="1"/>
  <c r="T459" i="1"/>
  <c r="S81" i="1"/>
  <c r="S123" i="1"/>
  <c r="S74" i="1"/>
  <c r="R185" i="1"/>
  <c r="T432" i="1"/>
  <c r="T462" i="1"/>
  <c r="T451" i="1"/>
  <c r="T415" i="1"/>
  <c r="T470" i="1"/>
  <c r="T463" i="1"/>
  <c r="T456" i="1"/>
  <c r="T473" i="1"/>
  <c r="T474" i="1"/>
  <c r="T475" i="1"/>
  <c r="T414" i="1"/>
  <c r="T467" i="1"/>
  <c r="T423" i="1"/>
  <c r="T493" i="1"/>
  <c r="T420" i="1"/>
  <c r="T455" i="1"/>
  <c r="T444" i="1"/>
  <c r="T430" i="1"/>
  <c r="T495" i="1"/>
  <c r="T489" i="1"/>
  <c r="T453" i="1"/>
  <c r="T427" i="1"/>
  <c r="T481" i="1"/>
  <c r="T422" i="1"/>
  <c r="T471" i="1"/>
  <c r="T454" i="1"/>
  <c r="T435" i="1"/>
  <c r="T409" i="1"/>
  <c r="T457" i="1"/>
  <c r="T497" i="1"/>
  <c r="T441" i="1"/>
  <c r="T487" i="1"/>
  <c r="T428" i="1"/>
  <c r="T437" i="1"/>
  <c r="T417" i="1"/>
  <c r="T465" i="1"/>
  <c r="T426" i="1"/>
  <c r="T458" i="1"/>
  <c r="T429" i="1"/>
  <c r="T478" i="1"/>
  <c r="T468" i="1"/>
  <c r="T416" i="1"/>
  <c r="T419" i="1"/>
  <c r="T413" i="1"/>
  <c r="T494" i="1"/>
  <c r="T438" i="1"/>
  <c r="T424" i="1"/>
  <c r="T425" i="1"/>
  <c r="T447" i="1"/>
  <c r="T488" i="1"/>
  <c r="T479" i="1"/>
  <c r="T480" i="1"/>
  <c r="T450" i="1"/>
  <c r="T421" i="1"/>
  <c r="T486" i="1"/>
  <c r="T443" i="1"/>
  <c r="T439" i="1"/>
  <c r="T408" i="1"/>
  <c r="T418" i="1"/>
  <c r="T411" i="1"/>
  <c r="T496" i="1"/>
  <c r="T466" i="1"/>
  <c r="T469" i="1"/>
  <c r="T476" i="1"/>
  <c r="T445" i="1"/>
  <c r="T446" i="1"/>
  <c r="T436" i="1"/>
  <c r="T433" i="1"/>
  <c r="T477" i="1"/>
  <c r="T472" i="1"/>
  <c r="T442" i="1"/>
  <c r="T490" i="1"/>
  <c r="F49" i="5"/>
  <c r="S127" i="1"/>
  <c r="S32" i="1"/>
  <c r="F92" i="5"/>
  <c r="F107" i="5"/>
  <c r="B108" i="5" s="1"/>
  <c r="H46" i="3"/>
  <c r="H91" i="3"/>
  <c r="Q186" i="1"/>
  <c r="S77" i="1"/>
  <c r="S31" i="1"/>
  <c r="S34" i="1"/>
  <c r="S83" i="1"/>
  <c r="S122" i="1"/>
  <c r="O124" i="1"/>
  <c r="P124" i="1"/>
  <c r="P120" i="1"/>
  <c r="P76" i="1"/>
  <c r="S79" i="1"/>
  <c r="S38" i="1"/>
  <c r="S171" i="1"/>
  <c r="S178" i="1"/>
  <c r="R125" i="1"/>
  <c r="S125" i="1"/>
  <c r="S172" i="1"/>
  <c r="S176" i="1"/>
  <c r="S175" i="1"/>
  <c r="S118" i="1"/>
  <c r="S33" i="1"/>
  <c r="S173" i="1"/>
  <c r="S75" i="1"/>
  <c r="Q142" i="1"/>
  <c r="Q143" i="1" s="1"/>
  <c r="Q75" i="1"/>
  <c r="Q94" i="1" s="1"/>
  <c r="Q119" i="1"/>
  <c r="O120" i="1"/>
  <c r="O125" i="1"/>
  <c r="S124" i="1"/>
  <c r="R124" i="1"/>
  <c r="Q126" i="1"/>
  <c r="S126" i="1"/>
  <c r="S76" i="1"/>
  <c r="R142" i="1"/>
  <c r="R143" i="1" s="1"/>
  <c r="R120" i="1"/>
  <c r="R76" i="1"/>
  <c r="R94" i="1" s="1"/>
  <c r="P75" i="1"/>
  <c r="P142" i="1"/>
  <c r="P143" i="1" s="1"/>
  <c r="P119" i="1"/>
  <c r="R126" i="1"/>
  <c r="P125" i="1"/>
  <c r="O119" i="1"/>
  <c r="S36" i="1"/>
  <c r="S170" i="1"/>
  <c r="S156" i="1"/>
  <c r="R180" i="1"/>
  <c r="S121" i="1"/>
  <c r="S179" i="1"/>
  <c r="S168" i="1"/>
  <c r="S174" i="1"/>
  <c r="S177" i="1"/>
  <c r="S672" i="1"/>
  <c r="S688" i="1" s="1"/>
  <c r="N46" i="3"/>
  <c r="N91" i="3"/>
  <c r="M46" i="3"/>
  <c r="M91" i="3"/>
  <c r="J46" i="3"/>
  <c r="J117" i="3" s="1"/>
  <c r="J91" i="3"/>
  <c r="I46" i="3"/>
  <c r="I91" i="3"/>
  <c r="K46" i="3"/>
  <c r="K117" i="3" s="1"/>
  <c r="K91" i="3"/>
  <c r="L46" i="3"/>
  <c r="L91" i="3"/>
  <c r="L65" i="3"/>
  <c r="K97" i="3"/>
  <c r="K80" i="3"/>
  <c r="T158" i="1"/>
  <c r="U149" i="1"/>
  <c r="T104" i="1"/>
  <c r="T161" i="1"/>
  <c r="T99" i="1"/>
  <c r="T62" i="1"/>
  <c r="T167" i="1"/>
  <c r="T13" i="1"/>
  <c r="T14" i="1"/>
  <c r="T154" i="1"/>
  <c r="T11" i="1"/>
  <c r="T98" i="1"/>
  <c r="T106" i="1"/>
  <c r="T163" i="1"/>
  <c r="T153" i="1"/>
  <c r="T57" i="1"/>
  <c r="T101" i="1"/>
  <c r="T8" i="1"/>
  <c r="T96" i="1"/>
  <c r="T97" i="1"/>
  <c r="T164" i="1"/>
  <c r="T148" i="1"/>
  <c r="T58" i="1"/>
  <c r="T59" i="1"/>
  <c r="T151" i="1"/>
  <c r="T15" i="1"/>
  <c r="T100" i="1"/>
  <c r="T10" i="1"/>
  <c r="T9" i="1"/>
  <c r="T60" i="1"/>
  <c r="T147" i="1"/>
  <c r="T166" i="1"/>
  <c r="T162" i="1"/>
  <c r="T63" i="1"/>
  <c r="T69" i="1"/>
  <c r="T17" i="1"/>
  <c r="T146" i="1"/>
  <c r="T149" i="1"/>
  <c r="T102" i="1"/>
  <c r="T155" i="1"/>
  <c r="T70" i="1"/>
  <c r="T54" i="1"/>
  <c r="T165" i="1"/>
  <c r="T16" i="1"/>
  <c r="T53" i="1"/>
  <c r="T113" i="1"/>
  <c r="T55" i="1"/>
  <c r="T64" i="1"/>
  <c r="T160" i="1"/>
  <c r="T12" i="1"/>
  <c r="T61" i="1"/>
  <c r="T150" i="1"/>
  <c r="T115" i="1"/>
  <c r="T103" i="1"/>
  <c r="T52" i="1"/>
  <c r="T152" i="1"/>
  <c r="J160" i="9" l="1"/>
  <c r="J110" i="9"/>
  <c r="J60" i="9"/>
  <c r="J12" i="9"/>
  <c r="L51" i="3"/>
  <c r="L12" i="3"/>
  <c r="L7" i="3"/>
  <c r="L85" i="3"/>
  <c r="F139" i="5"/>
  <c r="F146" i="5"/>
  <c r="G49" i="5"/>
  <c r="H94" i="6"/>
  <c r="H51" i="6"/>
  <c r="H10" i="6"/>
  <c r="V5" i="1"/>
  <c r="H7" i="5"/>
  <c r="H23" i="5" s="1"/>
  <c r="T130" i="1"/>
  <c r="T137" i="1"/>
  <c r="T129" i="1"/>
  <c r="T136" i="1"/>
  <c r="T135" i="1"/>
  <c r="T128" i="1"/>
  <c r="K116" i="3"/>
  <c r="K101" i="3"/>
  <c r="L117" i="3"/>
  <c r="L99" i="3"/>
  <c r="K2" i="3"/>
  <c r="U587" i="1"/>
  <c r="U681" i="1" s="1"/>
  <c r="U527" i="1"/>
  <c r="U621" i="1" s="1"/>
  <c r="U519" i="1"/>
  <c r="U613" i="1" s="1"/>
  <c r="U528" i="1"/>
  <c r="U622" i="1" s="1"/>
  <c r="U2" i="1"/>
  <c r="U520" i="1"/>
  <c r="U614" i="1" s="1"/>
  <c r="U566" i="1"/>
  <c r="U660" i="1" s="1"/>
  <c r="U517" i="1"/>
  <c r="U611" i="1" s="1"/>
  <c r="U574" i="1"/>
  <c r="U668" i="1" s="1"/>
  <c r="U569" i="1"/>
  <c r="U663" i="1" s="1"/>
  <c r="U515" i="1"/>
  <c r="U609" i="1" s="1"/>
  <c r="U523" i="1"/>
  <c r="U617" i="1" s="1"/>
  <c r="U510" i="1"/>
  <c r="U604" i="1" s="1"/>
  <c r="U573" i="1"/>
  <c r="U667" i="1" s="1"/>
  <c r="U565" i="1"/>
  <c r="U659" i="1" s="1"/>
  <c r="U568" i="1"/>
  <c r="U662" i="1" s="1"/>
  <c r="U561" i="1"/>
  <c r="U655" i="1" s="1"/>
  <c r="U558" i="1"/>
  <c r="U652" i="1" s="1"/>
  <c r="U516" i="1"/>
  <c r="U610" i="1" s="1"/>
  <c r="U559" i="1"/>
  <c r="U653" i="1" s="1"/>
  <c r="U508" i="1"/>
  <c r="U602" i="1" s="1"/>
  <c r="U514" i="1"/>
  <c r="U608" i="1" s="1"/>
  <c r="U522" i="1"/>
  <c r="U616" i="1" s="1"/>
  <c r="U567" i="1"/>
  <c r="U661" i="1" s="1"/>
  <c r="U557" i="1"/>
  <c r="U651" i="1" s="1"/>
  <c r="U509" i="1"/>
  <c r="U603" i="1" s="1"/>
  <c r="U564" i="1"/>
  <c r="U658" i="1" s="1"/>
  <c r="U560" i="1"/>
  <c r="U654" i="1" s="1"/>
  <c r="U583" i="1"/>
  <c r="U677" i="1" s="1"/>
  <c r="U537" i="1"/>
  <c r="U631" i="1" s="1"/>
  <c r="U505" i="1"/>
  <c r="U599" i="1" s="1"/>
  <c r="U580" i="1"/>
  <c r="U674" i="1" s="1"/>
  <c r="U521" i="1"/>
  <c r="U615" i="1" s="1"/>
  <c r="U591" i="1"/>
  <c r="U685" i="1" s="1"/>
  <c r="U530" i="1"/>
  <c r="U624" i="1" s="1"/>
  <c r="U541" i="1"/>
  <c r="U635" i="1" s="1"/>
  <c r="U563" i="1"/>
  <c r="U657" i="1" s="1"/>
  <c r="U582" i="1"/>
  <c r="U676" i="1" s="1"/>
  <c r="U544" i="1"/>
  <c r="U638" i="1" s="1"/>
  <c r="U533" i="1"/>
  <c r="U627" i="1" s="1"/>
  <c r="U571" i="1"/>
  <c r="U665" i="1" s="1"/>
  <c r="U556" i="1"/>
  <c r="U650" i="1" s="1"/>
  <c r="U589" i="1"/>
  <c r="U683" i="1" s="1"/>
  <c r="U547" i="1"/>
  <c r="U641" i="1" s="1"/>
  <c r="U506" i="1"/>
  <c r="U600" i="1" s="1"/>
  <c r="U513" i="1"/>
  <c r="U607" i="1" s="1"/>
  <c r="U551" i="1"/>
  <c r="U645" i="1" s="1"/>
  <c r="U518" i="1"/>
  <c r="U612" i="1" s="1"/>
  <c r="U529" i="1"/>
  <c r="U623" i="1" s="1"/>
  <c r="U572" i="1"/>
  <c r="U666" i="1" s="1"/>
  <c r="U538" i="1"/>
  <c r="U632" i="1" s="1"/>
  <c r="U570" i="1"/>
  <c r="U664" i="1" s="1"/>
  <c r="U525" i="1"/>
  <c r="U619" i="1" s="1"/>
  <c r="U562" i="1"/>
  <c r="U656" i="1" s="1"/>
  <c r="U584" i="1"/>
  <c r="U678" i="1" s="1"/>
  <c r="U550" i="1"/>
  <c r="U534" i="1"/>
  <c r="U628" i="1" s="1"/>
  <c r="U526" i="1"/>
  <c r="U620" i="1" s="1"/>
  <c r="U575" i="1"/>
  <c r="U669" i="1" s="1"/>
  <c r="U590" i="1"/>
  <c r="U684" i="1" s="1"/>
  <c r="U553" i="1"/>
  <c r="U647" i="1" s="1"/>
  <c r="U549" i="1"/>
  <c r="U643" i="1" s="1"/>
  <c r="U552" i="1"/>
  <c r="U646" i="1" s="1"/>
  <c r="U548" i="1"/>
  <c r="U642" i="1" s="1"/>
  <c r="U588" i="1"/>
  <c r="U682" i="1" s="1"/>
  <c r="U545" i="1"/>
  <c r="U639" i="1" s="1"/>
  <c r="U502" i="1"/>
  <c r="U596" i="1" s="1"/>
  <c r="U532" i="1"/>
  <c r="U626" i="1" s="1"/>
  <c r="U524" i="1"/>
  <c r="U618" i="1" s="1"/>
  <c r="U536" i="1"/>
  <c r="U630" i="1" s="1"/>
  <c r="U539" i="1"/>
  <c r="U633" i="1" s="1"/>
  <c r="U531" i="1"/>
  <c r="U625" i="1" s="1"/>
  <c r="U503" i="1"/>
  <c r="U597" i="1" s="1"/>
  <c r="U507" i="1"/>
  <c r="U601" i="1" s="1"/>
  <c r="U540" i="1"/>
  <c r="U634" i="1" s="1"/>
  <c r="U511" i="1"/>
  <c r="U605" i="1" s="1"/>
  <c r="U535" i="1"/>
  <c r="U629" i="1" s="1"/>
  <c r="U546" i="1"/>
  <c r="U640" i="1" s="1"/>
  <c r="U581" i="1"/>
  <c r="U675" i="1" s="1"/>
  <c r="U504" i="1"/>
  <c r="U598" i="1" s="1"/>
  <c r="T621" i="1"/>
  <c r="T636" i="1" s="1"/>
  <c r="T681" i="1"/>
  <c r="T686" i="1" s="1"/>
  <c r="U512" i="1"/>
  <c r="U606" i="1" s="1"/>
  <c r="Q370" i="1"/>
  <c r="R370" i="1"/>
  <c r="S358" i="1"/>
  <c r="S368" i="1" s="1"/>
  <c r="G1156" i="7"/>
  <c r="G920" i="7"/>
  <c r="G14" i="7"/>
  <c r="G954" i="7"/>
  <c r="G122" i="7"/>
  <c r="G392" i="7"/>
  <c r="G80" i="7"/>
  <c r="G1148" i="7"/>
  <c r="G1138" i="7"/>
  <c r="J32" i="2"/>
  <c r="G57" i="7" s="1"/>
  <c r="G970" i="7"/>
  <c r="G946" i="7"/>
  <c r="G290" i="7"/>
  <c r="G424" i="7"/>
  <c r="G1080" i="7"/>
  <c r="G1106" i="7"/>
  <c r="G1256" i="7"/>
  <c r="G1114" i="7"/>
  <c r="G1122" i="7"/>
  <c r="G1172" i="7"/>
  <c r="G1030" i="7"/>
  <c r="G1206" i="7"/>
  <c r="G1198" i="7"/>
  <c r="G56" i="7"/>
  <c r="G1096" i="7"/>
  <c r="G232" i="7"/>
  <c r="G350" i="7"/>
  <c r="G1130" i="7"/>
  <c r="G164" i="7"/>
  <c r="G88" i="7"/>
  <c r="G1264" i="7"/>
  <c r="G1180" i="7"/>
  <c r="G1240" i="7"/>
  <c r="G148" i="7"/>
  <c r="G274" i="7"/>
  <c r="G72" i="7"/>
  <c r="G408" i="7"/>
  <c r="G98" i="7"/>
  <c r="G854" i="7"/>
  <c r="G1190" i="7"/>
  <c r="G206" i="7"/>
  <c r="G38" i="7"/>
  <c r="G1012" i="7"/>
  <c r="G214" i="7"/>
  <c r="G340" i="7"/>
  <c r="G862" i="7"/>
  <c r="G400" i="7"/>
  <c r="G64" i="7"/>
  <c r="G282" i="7"/>
  <c r="G324" i="7"/>
  <c r="G140" i="7"/>
  <c r="G896" i="7"/>
  <c r="G1232" i="7"/>
  <c r="G1088" i="7"/>
  <c r="G248" i="7"/>
  <c r="G46" i="7"/>
  <c r="G382" i="7"/>
  <c r="G1214" i="7"/>
  <c r="G988" i="7"/>
  <c r="G190" i="7"/>
  <c r="G240" i="7"/>
  <c r="G996" i="7"/>
  <c r="G1038" i="7"/>
  <c r="G182" i="7"/>
  <c r="G938" i="7"/>
  <c r="G374" i="7"/>
  <c r="G332" i="7"/>
  <c r="G928" i="7"/>
  <c r="G172" i="7"/>
  <c r="G256" i="7"/>
  <c r="G1222" i="7"/>
  <c r="G316" i="7"/>
  <c r="G912" i="7"/>
  <c r="G1164" i="7"/>
  <c r="G30" i="7"/>
  <c r="G224" i="7"/>
  <c r="G980" i="7"/>
  <c r="G1004" i="7"/>
  <c r="G416" i="7"/>
  <c r="G962" i="7"/>
  <c r="G130" i="7"/>
  <c r="G298" i="7"/>
  <c r="G22" i="7"/>
  <c r="G1072" i="7"/>
  <c r="G114" i="7"/>
  <c r="G1248" i="7"/>
  <c r="G156" i="7"/>
  <c r="G266" i="7"/>
  <c r="G1022" i="7"/>
  <c r="G1046" i="7"/>
  <c r="G878" i="7"/>
  <c r="G1054" i="7"/>
  <c r="G886" i="7"/>
  <c r="G106" i="7"/>
  <c r="G904" i="7"/>
  <c r="G358" i="7"/>
  <c r="G870" i="7"/>
  <c r="G198" i="7"/>
  <c r="G366" i="7"/>
  <c r="G308" i="7"/>
  <c r="G1064" i="7"/>
  <c r="R138" i="1"/>
  <c r="O138" i="1"/>
  <c r="Q138" i="1"/>
  <c r="P94" i="1"/>
  <c r="P138" i="1"/>
  <c r="T116" i="1"/>
  <c r="T142" i="1" s="1"/>
  <c r="S94" i="1"/>
  <c r="T72" i="1"/>
  <c r="S50" i="1"/>
  <c r="T28" i="1"/>
  <c r="G812" i="7"/>
  <c r="G644" i="7"/>
  <c r="G602" i="7"/>
  <c r="G476" i="7"/>
  <c r="G770" i="7"/>
  <c r="G560" i="7"/>
  <c r="G518" i="7"/>
  <c r="G434" i="7"/>
  <c r="G728" i="7"/>
  <c r="G686" i="7"/>
  <c r="G786" i="7"/>
  <c r="G652" i="7"/>
  <c r="G466" i="7"/>
  <c r="G568" i="7"/>
  <c r="G828" i="7"/>
  <c r="G744" i="7"/>
  <c r="G694" i="7"/>
  <c r="G492" i="7"/>
  <c r="G576" i="7"/>
  <c r="G592" i="7"/>
  <c r="G450" i="7"/>
  <c r="G660" i="7"/>
  <c r="G778" i="7"/>
  <c r="G534" i="7"/>
  <c r="G442" i="7"/>
  <c r="G676" i="7"/>
  <c r="G702" i="7"/>
  <c r="G618" i="7"/>
  <c r="G668" i="7"/>
  <c r="G760" i="7"/>
  <c r="G584" i="7"/>
  <c r="G794" i="7"/>
  <c r="G802" i="7"/>
  <c r="G718" i="7"/>
  <c r="G458" i="7"/>
  <c r="G820" i="7"/>
  <c r="G610" i="7"/>
  <c r="G550" i="7"/>
  <c r="G484" i="7"/>
  <c r="G736" i="7"/>
  <c r="G526" i="7"/>
  <c r="G542" i="7"/>
  <c r="G752" i="7"/>
  <c r="G844" i="7"/>
  <c r="G508" i="7"/>
  <c r="G710" i="7"/>
  <c r="G634" i="7"/>
  <c r="G626" i="7"/>
  <c r="G500" i="7"/>
  <c r="G836" i="7"/>
  <c r="U456" i="1"/>
  <c r="U479" i="1"/>
  <c r="U451" i="1"/>
  <c r="U466" i="1"/>
  <c r="U414" i="1"/>
  <c r="U444" i="1"/>
  <c r="U470" i="1"/>
  <c r="U418" i="1"/>
  <c r="U454" i="1"/>
  <c r="G92" i="5"/>
  <c r="G107" i="5"/>
  <c r="G137" i="5"/>
  <c r="U420" i="1"/>
  <c r="U476" i="1"/>
  <c r="U446" i="1"/>
  <c r="U474" i="1"/>
  <c r="U413" i="1"/>
  <c r="U424" i="1"/>
  <c r="S182" i="1"/>
  <c r="S184" i="1"/>
  <c r="O143" i="1"/>
  <c r="O144" i="1" s="1"/>
  <c r="S140" i="1"/>
  <c r="U462" i="1"/>
  <c r="U435" i="1"/>
  <c r="U453" i="1"/>
  <c r="U457" i="1"/>
  <c r="U475" i="1"/>
  <c r="U431" i="1"/>
  <c r="U455" i="1"/>
  <c r="U467" i="1"/>
  <c r="U472" i="1"/>
  <c r="U447" i="1"/>
  <c r="U441" i="1"/>
  <c r="U436" i="1"/>
  <c r="U445" i="1"/>
  <c r="U438" i="1"/>
  <c r="U411" i="1"/>
  <c r="U477" i="1"/>
  <c r="U494" i="1"/>
  <c r="U437" i="1"/>
  <c r="U478" i="1"/>
  <c r="U432" i="1"/>
  <c r="U410" i="1"/>
  <c r="U464" i="1"/>
  <c r="U465" i="1"/>
  <c r="U458" i="1"/>
  <c r="U490" i="1"/>
  <c r="U419" i="1"/>
  <c r="U439" i="1"/>
  <c r="U426" i="1"/>
  <c r="U480" i="1"/>
  <c r="U471" i="1"/>
  <c r="U422" i="1"/>
  <c r="U415" i="1"/>
  <c r="U463" i="1"/>
  <c r="U487" i="1"/>
  <c r="U473" i="1"/>
  <c r="U421" i="1"/>
  <c r="U486" i="1"/>
  <c r="U429" i="1"/>
  <c r="U423" i="1"/>
  <c r="U440" i="1"/>
  <c r="U409" i="1"/>
  <c r="U469" i="1"/>
  <c r="U495" i="1"/>
  <c r="U488" i="1"/>
  <c r="U481" i="1"/>
  <c r="U430" i="1"/>
  <c r="U408" i="1"/>
  <c r="U493" i="1"/>
  <c r="U496" i="1"/>
  <c r="U452" i="1"/>
  <c r="U412" i="1"/>
  <c r="U442" i="1"/>
  <c r="U450" i="1"/>
  <c r="U417" i="1"/>
  <c r="U489" i="1"/>
  <c r="U427" i="1"/>
  <c r="U428" i="1"/>
  <c r="U443" i="1"/>
  <c r="U434" i="1"/>
  <c r="U459" i="1"/>
  <c r="U416" i="1"/>
  <c r="U425" i="1"/>
  <c r="U433" i="1"/>
  <c r="U497" i="1"/>
  <c r="U468" i="1"/>
  <c r="T678" i="1"/>
  <c r="B68" i="5"/>
  <c r="G12" i="5"/>
  <c r="T498" i="1"/>
  <c r="T585" i="1"/>
  <c r="T448" i="1"/>
  <c r="T460" i="1"/>
  <c r="T667" i="1"/>
  <c r="T670" i="1" s="1"/>
  <c r="T674" i="1"/>
  <c r="T554" i="1"/>
  <c r="T592" i="1"/>
  <c r="T491" i="1"/>
  <c r="T171" i="1"/>
  <c r="T83" i="1"/>
  <c r="T39" i="1"/>
  <c r="T168" i="1"/>
  <c r="T35" i="1"/>
  <c r="T79" i="1"/>
  <c r="T172" i="1"/>
  <c r="T38" i="1"/>
  <c r="T82" i="1"/>
  <c r="T177" i="1"/>
  <c r="T125" i="1"/>
  <c r="T173" i="1"/>
  <c r="T174" i="1"/>
  <c r="T124" i="1"/>
  <c r="T33" i="1"/>
  <c r="T77" i="1"/>
  <c r="T80" i="1"/>
  <c r="T36" i="1"/>
  <c r="T118" i="1"/>
  <c r="T30" i="1"/>
  <c r="T74" i="1"/>
  <c r="T123" i="1"/>
  <c r="T32" i="1"/>
  <c r="T76" i="1"/>
  <c r="T176" i="1"/>
  <c r="T119" i="1"/>
  <c r="T122" i="1"/>
  <c r="T121" i="1"/>
  <c r="T170" i="1"/>
  <c r="T156" i="1"/>
  <c r="T178" i="1"/>
  <c r="T126" i="1"/>
  <c r="T81" i="1"/>
  <c r="T37" i="1"/>
  <c r="T120" i="1"/>
  <c r="T78" i="1"/>
  <c r="T34" i="1"/>
  <c r="T31" i="1"/>
  <c r="T75" i="1"/>
  <c r="T127" i="1"/>
  <c r="T179" i="1"/>
  <c r="T175" i="1"/>
  <c r="T542" i="1"/>
  <c r="T482" i="1"/>
  <c r="T576" i="1"/>
  <c r="D55" i="6"/>
  <c r="H92" i="3"/>
  <c r="H114" i="3" s="1"/>
  <c r="R186" i="1"/>
  <c r="S119" i="1"/>
  <c r="S120" i="1"/>
  <c r="S180" i="1"/>
  <c r="T648" i="1"/>
  <c r="F55" i="6"/>
  <c r="J92" i="3"/>
  <c r="J114" i="3" s="1"/>
  <c r="E55" i="6"/>
  <c r="I92" i="3"/>
  <c r="I114" i="3" s="1"/>
  <c r="I55" i="6"/>
  <c r="M92" i="3"/>
  <c r="M114" i="3" s="1"/>
  <c r="H55" i="6"/>
  <c r="L92" i="3"/>
  <c r="L114" i="3" s="1"/>
  <c r="G55" i="6"/>
  <c r="K92" i="3"/>
  <c r="K114" i="3" s="1"/>
  <c r="J55" i="6"/>
  <c r="N92" i="3"/>
  <c r="N114" i="3" s="1"/>
  <c r="M65" i="3"/>
  <c r="L97" i="3"/>
  <c r="L80" i="3"/>
  <c r="U159" i="1"/>
  <c r="U105" i="1"/>
  <c r="V152" i="1"/>
  <c r="U96" i="1"/>
  <c r="V59" i="1"/>
  <c r="U111" i="1"/>
  <c r="U110" i="1"/>
  <c r="U64" i="1"/>
  <c r="U65" i="1"/>
  <c r="U61" i="1"/>
  <c r="U167" i="1"/>
  <c r="U153" i="1"/>
  <c r="V12" i="1"/>
  <c r="U106" i="1"/>
  <c r="U24" i="1"/>
  <c r="U57" i="1"/>
  <c r="U17" i="1"/>
  <c r="U60" i="1"/>
  <c r="U23" i="1"/>
  <c r="U97" i="1"/>
  <c r="U148" i="1"/>
  <c r="U68" i="1"/>
  <c r="U66" i="1"/>
  <c r="U9" i="1"/>
  <c r="U166" i="1"/>
  <c r="U67" i="1"/>
  <c r="V153" i="1"/>
  <c r="U21" i="1"/>
  <c r="U71" i="1"/>
  <c r="U25" i="1"/>
  <c r="U55" i="1"/>
  <c r="U59" i="1"/>
  <c r="U100" i="1"/>
  <c r="V151" i="1"/>
  <c r="U22" i="1"/>
  <c r="V103" i="1"/>
  <c r="U15" i="1"/>
  <c r="U11" i="1"/>
  <c r="U147" i="1"/>
  <c r="V158" i="1"/>
  <c r="U161" i="1"/>
  <c r="U160" i="1"/>
  <c r="V163" i="1"/>
  <c r="V53" i="1"/>
  <c r="U162" i="1"/>
  <c r="V148" i="1"/>
  <c r="U158" i="1"/>
  <c r="U58" i="1"/>
  <c r="U108" i="1"/>
  <c r="U20" i="1"/>
  <c r="V149" i="1"/>
  <c r="U115" i="1"/>
  <c r="V16" i="1"/>
  <c r="V167" i="1"/>
  <c r="U101" i="1"/>
  <c r="U98" i="1"/>
  <c r="U19" i="1"/>
  <c r="U16" i="1"/>
  <c r="U53" i="1"/>
  <c r="U152" i="1"/>
  <c r="U112" i="1"/>
  <c r="U12" i="1"/>
  <c r="U146" i="1"/>
  <c r="U14" i="1"/>
  <c r="U13" i="1"/>
  <c r="U113" i="1"/>
  <c r="U10" i="1"/>
  <c r="U52" i="1"/>
  <c r="U54" i="1"/>
  <c r="V61" i="1"/>
  <c r="U18" i="1"/>
  <c r="V56" i="1"/>
  <c r="U69" i="1"/>
  <c r="U104" i="1"/>
  <c r="U151" i="1"/>
  <c r="U155" i="1"/>
  <c r="U154" i="1"/>
  <c r="U165" i="1"/>
  <c r="V155" i="1"/>
  <c r="U62" i="1"/>
  <c r="U150" i="1"/>
  <c r="U107" i="1"/>
  <c r="U27" i="1"/>
  <c r="U103" i="1"/>
  <c r="V99" i="1"/>
  <c r="U102" i="1"/>
  <c r="U26" i="1"/>
  <c r="U70" i="1"/>
  <c r="U163" i="1"/>
  <c r="U56" i="1"/>
  <c r="U114" i="1"/>
  <c r="U109" i="1"/>
  <c r="U164" i="1"/>
  <c r="U8" i="1"/>
  <c r="U63" i="1"/>
  <c r="U99" i="1"/>
  <c r="V165" i="1"/>
  <c r="K110" i="9" l="1"/>
  <c r="K60" i="9"/>
  <c r="K12" i="9"/>
  <c r="K160" i="9"/>
  <c r="M85" i="3"/>
  <c r="M51" i="3"/>
  <c r="M12" i="3"/>
  <c r="M7" i="3"/>
  <c r="G139" i="5"/>
  <c r="G146" i="5"/>
  <c r="H92" i="5"/>
  <c r="G645" i="7"/>
  <c r="I94" i="6"/>
  <c r="I51" i="6"/>
  <c r="I10" i="6"/>
  <c r="W5" i="1"/>
  <c r="W2" i="1" s="1"/>
  <c r="I7" i="5"/>
  <c r="I23" i="5" s="1"/>
  <c r="G1039" i="7"/>
  <c r="L116" i="3"/>
  <c r="L101" i="3"/>
  <c r="M99" i="3"/>
  <c r="M117" i="3"/>
  <c r="L2" i="3"/>
  <c r="G81" i="7"/>
  <c r="G23" i="7"/>
  <c r="G207" i="7"/>
  <c r="G333" i="7"/>
  <c r="G47" i="7"/>
  <c r="G173" i="7"/>
  <c r="G123" i="7"/>
  <c r="G359" i="7"/>
  <c r="G1257" i="7"/>
  <c r="G317" i="7"/>
  <c r="G1265" i="7"/>
  <c r="G1181" i="7"/>
  <c r="G107" i="7"/>
  <c r="G165" i="7"/>
  <c r="G1139" i="7"/>
  <c r="G997" i="7"/>
  <c r="G913" i="7"/>
  <c r="U173" i="1"/>
  <c r="V409" i="1"/>
  <c r="V475" i="1"/>
  <c r="V457" i="1"/>
  <c r="V412" i="1"/>
  <c r="V436" i="1"/>
  <c r="G1215" i="7"/>
  <c r="G1005" i="7"/>
  <c r="G1013" i="7"/>
  <c r="G1055" i="7"/>
  <c r="G1223" i="7"/>
  <c r="G1115" i="7"/>
  <c r="G1199" i="7"/>
  <c r="G1249" i="7"/>
  <c r="G99" i="7"/>
  <c r="G1047" i="7"/>
  <c r="G341" i="7"/>
  <c r="G417" i="7"/>
  <c r="G65" i="7"/>
  <c r="G905" i="7"/>
  <c r="G947" i="7"/>
  <c r="G241" i="7"/>
  <c r="G309" i="7"/>
  <c r="J33" i="2"/>
  <c r="G384" i="7" s="1"/>
  <c r="G375" i="7"/>
  <c r="G401" i="7"/>
  <c r="G233" i="7"/>
  <c r="G989" i="7"/>
  <c r="G955" i="7"/>
  <c r="G351" i="7"/>
  <c r="G249" i="7"/>
  <c r="G971" i="7"/>
  <c r="G1173" i="7"/>
  <c r="G89" i="7"/>
  <c r="G215" i="7"/>
  <c r="G1157" i="7"/>
  <c r="G1207" i="7"/>
  <c r="G199" i="7"/>
  <c r="G855" i="7"/>
  <c r="G131" i="7"/>
  <c r="G291" i="7"/>
  <c r="G921" i="7"/>
  <c r="G1089" i="7"/>
  <c r="G963" i="7"/>
  <c r="G887" i="7"/>
  <c r="G39" i="7"/>
  <c r="G191" i="7"/>
  <c r="G1031" i="7"/>
  <c r="G871" i="7"/>
  <c r="G1123" i="7"/>
  <c r="G897" i="7"/>
  <c r="G543" i="7"/>
  <c r="G939" i="7"/>
  <c r="G879" i="7"/>
  <c r="G1131" i="7"/>
  <c r="G383" i="7"/>
  <c r="G929" i="7"/>
  <c r="G299" i="7"/>
  <c r="G863" i="7"/>
  <c r="G425" i="7"/>
  <c r="G31" i="7"/>
  <c r="G15" i="7"/>
  <c r="G1233" i="7"/>
  <c r="V474" i="1"/>
  <c r="V429" i="1"/>
  <c r="V548" i="1"/>
  <c r="V642" i="1" s="1"/>
  <c r="V533" i="1"/>
  <c r="V427" i="1"/>
  <c r="V472" i="1"/>
  <c r="V552" i="1"/>
  <c r="V646" i="1" s="1"/>
  <c r="V447" i="1"/>
  <c r="V420" i="1"/>
  <c r="V443" i="1"/>
  <c r="V439" i="1"/>
  <c r="V471" i="1"/>
  <c r="V419" i="1"/>
  <c r="V466" i="1"/>
  <c r="V444" i="1"/>
  <c r="V470" i="1"/>
  <c r="V478" i="1"/>
  <c r="V488" i="1"/>
  <c r="U644" i="1"/>
  <c r="U648" i="1" s="1"/>
  <c r="V536" i="1"/>
  <c r="V630" i="1" s="1"/>
  <c r="V562" i="1"/>
  <c r="V582" i="1"/>
  <c r="V537" i="1"/>
  <c r="V509" i="1"/>
  <c r="V603" i="1" s="1"/>
  <c r="V569" i="1"/>
  <c r="V520" i="1"/>
  <c r="V614" i="1" s="1"/>
  <c r="V559" i="1"/>
  <c r="V653" i="1" s="1"/>
  <c r="V523" i="1"/>
  <c r="V617" i="1" s="1"/>
  <c r="V561" i="1"/>
  <c r="V508" i="1"/>
  <c r="V602" i="1" s="1"/>
  <c r="V510" i="1"/>
  <c r="V604" i="1" s="1"/>
  <c r="V517" i="1"/>
  <c r="V611" i="1" s="1"/>
  <c r="V565" i="1"/>
  <c r="V659" i="1" s="1"/>
  <c r="V568" i="1"/>
  <c r="V662" i="1" s="1"/>
  <c r="V516" i="1"/>
  <c r="V610" i="1" s="1"/>
  <c r="V564" i="1"/>
  <c r="V658" i="1" s="1"/>
  <c r="V560" i="1"/>
  <c r="V654" i="1" s="1"/>
  <c r="V514" i="1"/>
  <c r="V608" i="1" s="1"/>
  <c r="V522" i="1"/>
  <c r="V616" i="1" s="1"/>
  <c r="V550" i="1"/>
  <c r="V530" i="1"/>
  <c r="V515" i="1"/>
  <c r="V566" i="1"/>
  <c r="V660" i="1" s="1"/>
  <c r="V573" i="1"/>
  <c r="V526" i="1"/>
  <c r="V513" i="1"/>
  <c r="V571" i="1"/>
  <c r="V534" i="1"/>
  <c r="V519" i="1"/>
  <c r="V572" i="1"/>
  <c r="V539" i="1"/>
  <c r="V633" i="1" s="1"/>
  <c r="V511" i="1"/>
  <c r="V563" i="1"/>
  <c r="V574" i="1"/>
  <c r="V567" i="1"/>
  <c r="V557" i="1"/>
  <c r="V506" i="1"/>
  <c r="V535" i="1"/>
  <c r="V589" i="1"/>
  <c r="V518" i="1"/>
  <c r="V612" i="1" s="1"/>
  <c r="V525" i="1"/>
  <c r="V531" i="1"/>
  <c r="V507" i="1"/>
  <c r="V601" i="1" s="1"/>
  <c r="V502" i="1"/>
  <c r="V575" i="1"/>
  <c r="V505" i="1"/>
  <c r="V503" i="1"/>
  <c r="V556" i="1"/>
  <c r="V558" i="1"/>
  <c r="V521" i="1"/>
  <c r="V587" i="1"/>
  <c r="V583" i="1"/>
  <c r="V570" i="1"/>
  <c r="V584" i="1"/>
  <c r="V529" i="1"/>
  <c r="V553" i="1"/>
  <c r="V544" i="1"/>
  <c r="V581" i="1"/>
  <c r="V541" i="1"/>
  <c r="V588" i="1"/>
  <c r="V551" i="1"/>
  <c r="V547" i="1"/>
  <c r="V546" i="1"/>
  <c r="V640" i="1" s="1"/>
  <c r="V545" i="1"/>
  <c r="V639" i="1" s="1"/>
  <c r="V549" i="1"/>
  <c r="V590" i="1"/>
  <c r="V527" i="1"/>
  <c r="V441" i="1"/>
  <c r="V465" i="1"/>
  <c r="V413" i="1"/>
  <c r="V486" i="1"/>
  <c r="V524" i="1"/>
  <c r="V618" i="1" s="1"/>
  <c r="V580" i="1"/>
  <c r="V532" i="1"/>
  <c r="V626" i="1" s="1"/>
  <c r="V477" i="1"/>
  <c r="V423" i="1"/>
  <c r="V469" i="1"/>
  <c r="V468" i="1"/>
  <c r="V433" i="1"/>
  <c r="V424" i="1"/>
  <c r="V464" i="1"/>
  <c r="V459" i="1"/>
  <c r="V504" i="1"/>
  <c r="V598" i="1" s="1"/>
  <c r="V540" i="1"/>
  <c r="V538" i="1"/>
  <c r="V512" i="1"/>
  <c r="V418" i="1"/>
  <c r="V437" i="1"/>
  <c r="V426" i="1"/>
  <c r="V408" i="1"/>
  <c r="V489" i="1"/>
  <c r="V452" i="1"/>
  <c r="V421" i="1"/>
  <c r="V430" i="1"/>
  <c r="V416" i="1"/>
  <c r="V432" i="1"/>
  <c r="V497" i="1"/>
  <c r="V422" i="1"/>
  <c r="V435" i="1"/>
  <c r="V453" i="1"/>
  <c r="V487" i="1"/>
  <c r="V467" i="1"/>
  <c r="V591" i="1"/>
  <c r="V528" i="1"/>
  <c r="T358" i="1"/>
  <c r="T368" i="1" s="1"/>
  <c r="S369" i="1"/>
  <c r="V493" i="1"/>
  <c r="V445" i="1"/>
  <c r="V454" i="1"/>
  <c r="V450" i="1"/>
  <c r="V425" i="1"/>
  <c r="V440" i="1"/>
  <c r="V496" i="1"/>
  <c r="V455" i="1"/>
  <c r="V479" i="1"/>
  <c r="V481" i="1"/>
  <c r="G1097" i="7"/>
  <c r="G257" i="7"/>
  <c r="G149" i="7"/>
  <c r="G1073" i="7"/>
  <c r="G1241" i="7"/>
  <c r="G325" i="7"/>
  <c r="G115" i="7"/>
  <c r="G183" i="7"/>
  <c r="G1107" i="7"/>
  <c r="G157" i="7"/>
  <c r="G1081" i="7"/>
  <c r="G367" i="7"/>
  <c r="G393" i="7"/>
  <c r="G275" i="7"/>
  <c r="G409" i="7"/>
  <c r="G1165" i="7"/>
  <c r="G141" i="7"/>
  <c r="G981" i="7"/>
  <c r="G1149" i="7"/>
  <c r="U40" i="1"/>
  <c r="U84" i="1"/>
  <c r="V2" i="1"/>
  <c r="U43" i="1"/>
  <c r="U87" i="1"/>
  <c r="U48" i="1"/>
  <c r="U92" i="1"/>
  <c r="H107" i="5"/>
  <c r="G451" i="7"/>
  <c r="G73" i="7"/>
  <c r="G225" i="7"/>
  <c r="G1065" i="7"/>
  <c r="G509" i="7"/>
  <c r="G821" i="7"/>
  <c r="G443" i="7"/>
  <c r="G283" i="7"/>
  <c r="G267" i="7"/>
  <c r="G1023" i="7"/>
  <c r="G635" i="7"/>
  <c r="G467" i="7"/>
  <c r="G737" i="7"/>
  <c r="G677" i="7"/>
  <c r="G477" i="7"/>
  <c r="V410" i="1"/>
  <c r="V458" i="1"/>
  <c r="V446" i="1"/>
  <c r="V414" i="1"/>
  <c r="V415" i="1"/>
  <c r="V438" i="1"/>
  <c r="V431" i="1"/>
  <c r="V463" i="1"/>
  <c r="V456" i="1"/>
  <c r="V480" i="1"/>
  <c r="V451" i="1"/>
  <c r="V411" i="1"/>
  <c r="V462" i="1"/>
  <c r="V428" i="1"/>
  <c r="V442" i="1"/>
  <c r="V434" i="1"/>
  <c r="V476" i="1"/>
  <c r="V417" i="1"/>
  <c r="V494" i="1"/>
  <c r="V495" i="1"/>
  <c r="V473" i="1"/>
  <c r="V490" i="1"/>
  <c r="G459" i="7"/>
  <c r="G719" i="7"/>
  <c r="G627" i="7"/>
  <c r="G435" i="7"/>
  <c r="G669" i="7"/>
  <c r="G779" i="7"/>
  <c r="G551" i="7"/>
  <c r="G845" i="7"/>
  <c r="G619" i="7"/>
  <c r="G711" i="7"/>
  <c r="G661" i="7"/>
  <c r="G603" i="7"/>
  <c r="U34" i="1"/>
  <c r="U78" i="1"/>
  <c r="U47" i="1"/>
  <c r="U91" i="1"/>
  <c r="U49" i="1"/>
  <c r="U93" i="1"/>
  <c r="G519" i="7"/>
  <c r="G761" i="7"/>
  <c r="U137" i="1"/>
  <c r="U128" i="1"/>
  <c r="U178" i="1"/>
  <c r="U85" i="1"/>
  <c r="U41" i="1"/>
  <c r="U129" i="1"/>
  <c r="U77" i="1"/>
  <c r="U86" i="1"/>
  <c r="U42" i="1"/>
  <c r="U74" i="1"/>
  <c r="G837" i="7"/>
  <c r="G753" i="7"/>
  <c r="G569" i="7"/>
  <c r="G745" i="7"/>
  <c r="G1191" i="7"/>
  <c r="G527" i="7"/>
  <c r="G695" i="7"/>
  <c r="G787" i="7"/>
  <c r="G813" i="7"/>
  <c r="G585" i="7"/>
  <c r="G593" i="7"/>
  <c r="G653" i="7"/>
  <c r="G493" i="7"/>
  <c r="G729" i="7"/>
  <c r="G561" i="7"/>
  <c r="G501" i="7"/>
  <c r="G795" i="7"/>
  <c r="G577" i="7"/>
  <c r="G829" i="7"/>
  <c r="G771" i="7"/>
  <c r="G611" i="7"/>
  <c r="G535" i="7"/>
  <c r="G687" i="7"/>
  <c r="G485" i="7"/>
  <c r="G703" i="7"/>
  <c r="G803" i="7"/>
  <c r="H12" i="5"/>
  <c r="B69" i="5"/>
  <c r="H137" i="5"/>
  <c r="H49" i="5"/>
  <c r="U124" i="1"/>
  <c r="U32" i="1"/>
  <c r="U31" i="1"/>
  <c r="U44" i="1"/>
  <c r="U88" i="1"/>
  <c r="U135" i="1"/>
  <c r="U134" i="1"/>
  <c r="U131" i="1"/>
  <c r="U133" i="1"/>
  <c r="U45" i="1"/>
  <c r="U89" i="1"/>
  <c r="U132" i="1"/>
  <c r="U130" i="1"/>
  <c r="U136" i="1"/>
  <c r="U90" i="1"/>
  <c r="U46" i="1"/>
  <c r="S138" i="1"/>
  <c r="T138" i="1"/>
  <c r="U116" i="1"/>
  <c r="T94" i="1"/>
  <c r="U72" i="1"/>
  <c r="U140" i="1" s="1"/>
  <c r="T50" i="1"/>
  <c r="U28" i="1"/>
  <c r="S183" i="1"/>
  <c r="U37" i="1"/>
  <c r="U81" i="1"/>
  <c r="U171" i="1"/>
  <c r="U156" i="1"/>
  <c r="U182" i="1" s="1"/>
  <c r="U170" i="1"/>
  <c r="U168" i="1"/>
  <c r="U184" i="1" s="1"/>
  <c r="U174" i="1"/>
  <c r="U125" i="1"/>
  <c r="U38" i="1"/>
  <c r="U82" i="1"/>
  <c r="U175" i="1"/>
  <c r="U123" i="1"/>
  <c r="U126" i="1"/>
  <c r="U80" i="1"/>
  <c r="U36" i="1"/>
  <c r="U172" i="1"/>
  <c r="U33" i="1"/>
  <c r="U121" i="1"/>
  <c r="U39" i="1"/>
  <c r="U83" i="1"/>
  <c r="U118" i="1"/>
  <c r="U30" i="1"/>
  <c r="U179" i="1"/>
  <c r="U79" i="1"/>
  <c r="U35" i="1"/>
  <c r="U176" i="1"/>
  <c r="U76" i="1"/>
  <c r="U120" i="1"/>
  <c r="U177" i="1"/>
  <c r="U122" i="1"/>
  <c r="S185" i="1"/>
  <c r="S186" i="1" s="1"/>
  <c r="T184" i="1"/>
  <c r="T140" i="1"/>
  <c r="T182" i="1"/>
  <c r="T183" i="1" s="1"/>
  <c r="S142" i="1"/>
  <c r="S143" i="1" s="1"/>
  <c r="U498" i="1"/>
  <c r="U460" i="1"/>
  <c r="U448" i="1"/>
  <c r="U491" i="1"/>
  <c r="T679" i="1"/>
  <c r="U482" i="1"/>
  <c r="U75" i="1"/>
  <c r="U119" i="1"/>
  <c r="U127" i="1"/>
  <c r="U686" i="1"/>
  <c r="T578" i="1"/>
  <c r="T594" i="1" s="1"/>
  <c r="T720" i="1" s="1"/>
  <c r="U679" i="1"/>
  <c r="T484" i="1"/>
  <c r="T500" i="1" s="1"/>
  <c r="T752" i="1" s="1"/>
  <c r="T781" i="1" s="1"/>
  <c r="U592" i="1"/>
  <c r="T180" i="1"/>
  <c r="U670" i="1"/>
  <c r="U636" i="1"/>
  <c r="U542" i="1"/>
  <c r="U576" i="1"/>
  <c r="U554" i="1"/>
  <c r="U585" i="1"/>
  <c r="V34" i="1"/>
  <c r="V78" i="1"/>
  <c r="V38" i="1"/>
  <c r="V82" i="1"/>
  <c r="V125" i="1"/>
  <c r="V175" i="1"/>
  <c r="V177" i="1"/>
  <c r="V179" i="1"/>
  <c r="T672" i="1"/>
  <c r="N65" i="3"/>
  <c r="R194" i="1"/>
  <c r="Q194" i="1"/>
  <c r="P194" i="1"/>
  <c r="P712" i="1" s="1"/>
  <c r="O194" i="1"/>
  <c r="R192" i="1"/>
  <c r="P192" i="1"/>
  <c r="S141" i="1"/>
  <c r="P141" i="1"/>
  <c r="Q192" i="1"/>
  <c r="S192" i="1"/>
  <c r="M97" i="3"/>
  <c r="M80" i="3"/>
  <c r="V98" i="1"/>
  <c r="V63" i="1"/>
  <c r="V13" i="1"/>
  <c r="V162" i="1"/>
  <c r="V146" i="1"/>
  <c r="V102" i="1"/>
  <c r="V150" i="1"/>
  <c r="V58" i="1"/>
  <c r="V65" i="1"/>
  <c r="V66" i="1"/>
  <c r="V62" i="1"/>
  <c r="V64" i="1"/>
  <c r="V112" i="1"/>
  <c r="V70" i="1"/>
  <c r="V154" i="1"/>
  <c r="V14" i="1"/>
  <c r="V52" i="1"/>
  <c r="V55" i="1"/>
  <c r="V15" i="1"/>
  <c r="V8" i="1"/>
  <c r="V20" i="1"/>
  <c r="V17" i="1"/>
  <c r="V113" i="1"/>
  <c r="V27" i="1"/>
  <c r="V10" i="1"/>
  <c r="V11" i="1"/>
  <c r="V22" i="1"/>
  <c r="V166" i="1"/>
  <c r="V104" i="1"/>
  <c r="V106" i="1"/>
  <c r="V57" i="1"/>
  <c r="V110" i="1"/>
  <c r="V97" i="1"/>
  <c r="V108" i="1"/>
  <c r="V96" i="1"/>
  <c r="V71" i="1"/>
  <c r="V60" i="1"/>
  <c r="V100" i="1"/>
  <c r="V115" i="1"/>
  <c r="V114" i="1"/>
  <c r="V23" i="1"/>
  <c r="V21" i="1"/>
  <c r="V164" i="1"/>
  <c r="V105" i="1"/>
  <c r="V107" i="1"/>
  <c r="V68" i="1"/>
  <c r="V18" i="1"/>
  <c r="V9" i="1"/>
  <c r="W105" i="1"/>
  <c r="V54" i="1"/>
  <c r="V109" i="1"/>
  <c r="V25" i="1"/>
  <c r="V159" i="1"/>
  <c r="V147" i="1"/>
  <c r="V160" i="1"/>
  <c r="W103" i="1"/>
  <c r="V69" i="1"/>
  <c r="W8" i="1"/>
  <c r="W115" i="1"/>
  <c r="V111" i="1"/>
  <c r="W66" i="1"/>
  <c r="W16" i="1"/>
  <c r="V26" i="1"/>
  <c r="V67" i="1"/>
  <c r="V101" i="1"/>
  <c r="V24" i="1"/>
  <c r="V161" i="1"/>
  <c r="V19" i="1"/>
  <c r="V172" i="1" l="1"/>
  <c r="V120" i="1"/>
  <c r="V176" i="1"/>
  <c r="V39" i="1"/>
  <c r="V83" i="1"/>
  <c r="G250" i="7"/>
  <c r="G1224" i="7"/>
  <c r="G208" i="7"/>
  <c r="G292" i="7"/>
  <c r="G200" i="7"/>
  <c r="G40" i="7"/>
  <c r="G216" i="7"/>
  <c r="G1074" i="7"/>
  <c r="G418" i="7"/>
  <c r="G888" i="7"/>
  <c r="L110" i="9"/>
  <c r="L60" i="9"/>
  <c r="L12" i="9"/>
  <c r="L160" i="9"/>
  <c r="N85" i="3"/>
  <c r="N51" i="3"/>
  <c r="N12" i="3"/>
  <c r="N7" i="3"/>
  <c r="H139" i="5"/>
  <c r="H146" i="5"/>
  <c r="B70" i="5"/>
  <c r="G520" i="7"/>
  <c r="J94" i="6"/>
  <c r="J51" i="6"/>
  <c r="J10" i="6"/>
  <c r="X5" i="1"/>
  <c r="J7" i="5"/>
  <c r="J23" i="5" s="1"/>
  <c r="G1006" i="7"/>
  <c r="G1024" i="7"/>
  <c r="W474" i="1"/>
  <c r="W442" i="1"/>
  <c r="W494" i="1"/>
  <c r="W425" i="1"/>
  <c r="W412" i="1"/>
  <c r="W490" i="1"/>
  <c r="W486" i="1"/>
  <c r="W469" i="1"/>
  <c r="W465" i="1"/>
  <c r="G1174" i="7"/>
  <c r="G48" i="7"/>
  <c r="W443" i="1"/>
  <c r="G334" i="7"/>
  <c r="G1032" i="7"/>
  <c r="V123" i="1"/>
  <c r="G1132" i="7"/>
  <c r="G66" i="7"/>
  <c r="W537" i="1"/>
  <c r="W631" i="1" s="1"/>
  <c r="G116" i="7"/>
  <c r="G368" i="7"/>
  <c r="G166" i="7"/>
  <c r="G342" i="7"/>
  <c r="G276" i="7"/>
  <c r="G1066" i="7"/>
  <c r="W590" i="1"/>
  <c r="W684" i="1" s="1"/>
  <c r="W581" i="1"/>
  <c r="W675" i="1" s="1"/>
  <c r="W521" i="1"/>
  <c r="W615" i="1" s="1"/>
  <c r="W531" i="1"/>
  <c r="W625" i="1" s="1"/>
  <c r="W574" i="1"/>
  <c r="W668" i="1" s="1"/>
  <c r="W513" i="1"/>
  <c r="W607" i="1" s="1"/>
  <c r="I107" i="5"/>
  <c r="M101" i="3"/>
  <c r="M116" i="3"/>
  <c r="N117" i="3"/>
  <c r="N99" i="3"/>
  <c r="P383" i="1"/>
  <c r="P379" i="1"/>
  <c r="P375" i="1"/>
  <c r="P382" i="1"/>
  <c r="P378" i="1"/>
  <c r="P384" i="1"/>
  <c r="P380" i="1"/>
  <c r="P381" i="1"/>
  <c r="P377" i="1"/>
  <c r="P376" i="1"/>
  <c r="S698" i="1"/>
  <c r="S699" i="1" s="1"/>
  <c r="S381" i="1"/>
  <c r="S377" i="1"/>
  <c r="S378" i="1"/>
  <c r="S384" i="1"/>
  <c r="S380" i="1"/>
  <c r="S376" i="1"/>
  <c r="S383" i="1"/>
  <c r="S379" i="1"/>
  <c r="S375" i="1"/>
  <c r="S382" i="1"/>
  <c r="R382" i="1"/>
  <c r="R378" i="1"/>
  <c r="R381" i="1"/>
  <c r="R377" i="1"/>
  <c r="R375" i="1"/>
  <c r="R384" i="1"/>
  <c r="R380" i="1"/>
  <c r="R376" i="1"/>
  <c r="R383" i="1"/>
  <c r="R379" i="1"/>
  <c r="Q382" i="1"/>
  <c r="Q378" i="1"/>
  <c r="Q383" i="1"/>
  <c r="Q375" i="1"/>
  <c r="Q381" i="1"/>
  <c r="Q377" i="1"/>
  <c r="Q384" i="1"/>
  <c r="Q380" i="1"/>
  <c r="Q376" i="1"/>
  <c r="Q379" i="1"/>
  <c r="W475" i="1"/>
  <c r="W476" i="1"/>
  <c r="W440" i="1"/>
  <c r="W431" i="1"/>
  <c r="W441" i="1"/>
  <c r="W447" i="1"/>
  <c r="W410" i="1"/>
  <c r="W456" i="1"/>
  <c r="W428" i="1"/>
  <c r="W496" i="1"/>
  <c r="W421" i="1"/>
  <c r="W430" i="1"/>
  <c r="W479" i="1"/>
  <c r="W417" i="1"/>
  <c r="W432" i="1"/>
  <c r="W467" i="1"/>
  <c r="W419" i="1"/>
  <c r="W445" i="1"/>
  <c r="W433" i="1"/>
  <c r="W446" i="1"/>
  <c r="W450" i="1"/>
  <c r="W418" i="1"/>
  <c r="W457" i="1"/>
  <c r="W434" i="1"/>
  <c r="W493" i="1"/>
  <c r="W466" i="1"/>
  <c r="W472" i="1"/>
  <c r="W439" i="1"/>
  <c r="W464" i="1"/>
  <c r="W458" i="1"/>
  <c r="W426" i="1"/>
  <c r="W420" i="1"/>
  <c r="W468" i="1"/>
  <c r="W444" i="1"/>
  <c r="W435" i="1"/>
  <c r="W408" i="1"/>
  <c r="W454" i="1"/>
  <c r="W455" i="1"/>
  <c r="W487" i="1"/>
  <c r="W473" i="1"/>
  <c r="W409" i="1"/>
  <c r="W427" i="1"/>
  <c r="W414" i="1"/>
  <c r="W459" i="1"/>
  <c r="W436" i="1"/>
  <c r="W416" i="1"/>
  <c r="W462" i="1"/>
  <c r="W463" i="1"/>
  <c r="W495" i="1"/>
  <c r="W481" i="1"/>
  <c r="W451" i="1"/>
  <c r="W437" i="1"/>
  <c r="W480" i="1"/>
  <c r="W411" i="1"/>
  <c r="W422" i="1"/>
  <c r="W415" i="1"/>
  <c r="W424" i="1"/>
  <c r="W470" i="1"/>
  <c r="W471" i="1"/>
  <c r="W489" i="1"/>
  <c r="W452" i="1"/>
  <c r="W413" i="1"/>
  <c r="W429" i="1"/>
  <c r="W423" i="1"/>
  <c r="W438" i="1"/>
  <c r="W453" i="1"/>
  <c r="W477" i="1"/>
  <c r="W478" i="1"/>
  <c r="W488" i="1"/>
  <c r="W497" i="1"/>
  <c r="M2" i="3"/>
  <c r="G1048" i="7"/>
  <c r="G402" i="7"/>
  <c r="G268" i="7"/>
  <c r="G1082" i="7"/>
  <c r="G872" i="7"/>
  <c r="V31" i="1"/>
  <c r="V173" i="1"/>
  <c r="V80" i="1"/>
  <c r="V36" i="1"/>
  <c r="V168" i="1"/>
  <c r="V184" i="1" s="1"/>
  <c r="V35" i="1"/>
  <c r="V79" i="1"/>
  <c r="V174" i="1"/>
  <c r="V178" i="1"/>
  <c r="V122" i="1"/>
  <c r="G1090" i="7"/>
  <c r="G1056" i="7"/>
  <c r="G132" i="7"/>
  <c r="G192" i="7"/>
  <c r="G58" i="7"/>
  <c r="G124" i="7"/>
  <c r="G1266" i="7"/>
  <c r="G948" i="7"/>
  <c r="G1208" i="7"/>
  <c r="G376" i="7"/>
  <c r="G964" i="7"/>
  <c r="G1182" i="7"/>
  <c r="G360" i="7"/>
  <c r="G956" i="7"/>
  <c r="G394" i="7"/>
  <c r="G822" i="7"/>
  <c r="G460" i="7"/>
  <c r="G1098" i="7"/>
  <c r="G922" i="7"/>
  <c r="G1242" i="7"/>
  <c r="G90" i="7"/>
  <c r="G32" i="7"/>
  <c r="G1234" i="7"/>
  <c r="G578" i="7"/>
  <c r="G880" i="7"/>
  <c r="G426" i="7"/>
  <c r="G1216" i="7"/>
  <c r="G318" i="7"/>
  <c r="G410" i="7"/>
  <c r="G16" i="7"/>
  <c r="G930" i="7"/>
  <c r="G972" i="7"/>
  <c r="G300" i="7"/>
  <c r="G108" i="7"/>
  <c r="G24" i="7"/>
  <c r="G998" i="7"/>
  <c r="G184" i="7"/>
  <c r="G804" i="7"/>
  <c r="G990" i="7"/>
  <c r="G1116" i="7"/>
  <c r="G326" i="7"/>
  <c r="G914" i="7"/>
  <c r="G898" i="7"/>
  <c r="W547" i="1"/>
  <c r="W584" i="1"/>
  <c r="W678" i="1" s="1"/>
  <c r="W505" i="1"/>
  <c r="W535" i="1"/>
  <c r="W629" i="1" s="1"/>
  <c r="W572" i="1"/>
  <c r="W666" i="1" s="1"/>
  <c r="W515" i="1"/>
  <c r="W609" i="1" s="1"/>
  <c r="G688" i="7"/>
  <c r="G486" i="7"/>
  <c r="G814" i="7"/>
  <c r="W580" i="1"/>
  <c r="W549" i="1"/>
  <c r="W643" i="1" s="1"/>
  <c r="W544" i="1"/>
  <c r="W558" i="1"/>
  <c r="W652" i="1" s="1"/>
  <c r="W525" i="1"/>
  <c r="W619" i="1" s="1"/>
  <c r="W563" i="1"/>
  <c r="W657" i="1" s="1"/>
  <c r="W526" i="1"/>
  <c r="W560" i="1"/>
  <c r="W551" i="1"/>
  <c r="W570" i="1"/>
  <c r="W575" i="1"/>
  <c r="W506" i="1"/>
  <c r="W600" i="1" s="1"/>
  <c r="W519" i="1"/>
  <c r="W530" i="1"/>
  <c r="W624" i="1" s="1"/>
  <c r="G142" i="7"/>
  <c r="G1108" i="7"/>
  <c r="G536" i="7"/>
  <c r="G856" i="7"/>
  <c r="G594" i="7"/>
  <c r="G234" i="7"/>
  <c r="G158" i="7"/>
  <c r="G242" i="7"/>
  <c r="G100" i="7"/>
  <c r="G940" i="7"/>
  <c r="G796" i="7"/>
  <c r="G830" i="7"/>
  <c r="G720" i="7"/>
  <c r="G620" i="7"/>
  <c r="G562" i="7"/>
  <c r="G1258" i="7"/>
  <c r="G1140" i="7"/>
  <c r="G1014" i="7"/>
  <c r="G82" i="7"/>
  <c r="G150" i="7"/>
  <c r="G1158" i="7"/>
  <c r="G906" i="7"/>
  <c r="G74" i="7"/>
  <c r="G1040" i="7"/>
  <c r="G310" i="7"/>
  <c r="G1192" i="7"/>
  <c r="G636" i="7"/>
  <c r="G528" i="7"/>
  <c r="G678" i="7"/>
  <c r="G704" i="7"/>
  <c r="W528" i="1"/>
  <c r="G838" i="7"/>
  <c r="G746" i="7"/>
  <c r="G604" i="7"/>
  <c r="W591" i="1"/>
  <c r="G284" i="7"/>
  <c r="G352" i="7"/>
  <c r="G1150" i="7"/>
  <c r="G712" i="7"/>
  <c r="G696" i="7"/>
  <c r="G494" i="7"/>
  <c r="W538" i="1"/>
  <c r="G174" i="7"/>
  <c r="G258" i="7"/>
  <c r="G1200" i="7"/>
  <c r="G864" i="7"/>
  <c r="G1250" i="7"/>
  <c r="G1124" i="7"/>
  <c r="G1166" i="7"/>
  <c r="G226" i="7"/>
  <c r="G982" i="7"/>
  <c r="G586" i="7"/>
  <c r="G544" i="7"/>
  <c r="G654" i="7"/>
  <c r="G730" i="7"/>
  <c r="W561" i="1"/>
  <c r="W582" i="1"/>
  <c r="W540" i="1"/>
  <c r="W510" i="1"/>
  <c r="W604" i="1" s="1"/>
  <c r="W529" i="1"/>
  <c r="W623" i="1" s="1"/>
  <c r="W503" i="1"/>
  <c r="W597" i="1" s="1"/>
  <c r="W589" i="1"/>
  <c r="W566" i="1"/>
  <c r="W660" i="1" s="1"/>
  <c r="W516" i="1"/>
  <c r="W610" i="1" s="1"/>
  <c r="W559" i="1"/>
  <c r="W653" i="1" s="1"/>
  <c r="W520" i="1"/>
  <c r="W614" i="1" s="1"/>
  <c r="W533" i="1"/>
  <c r="W627" i="1" s="1"/>
  <c r="W565" i="1"/>
  <c r="W659" i="1" s="1"/>
  <c r="W569" i="1"/>
  <c r="W663" i="1" s="1"/>
  <c r="W588" i="1"/>
  <c r="W682" i="1" s="1"/>
  <c r="W583" i="1"/>
  <c r="W677" i="1" s="1"/>
  <c r="W502" i="1"/>
  <c r="W557" i="1"/>
  <c r="W651" i="1" s="1"/>
  <c r="W534" i="1"/>
  <c r="W550" i="1"/>
  <c r="W517" i="1"/>
  <c r="W611" i="1" s="1"/>
  <c r="W509" i="1"/>
  <c r="W603" i="1" s="1"/>
  <c r="W512" i="1"/>
  <c r="W527" i="1"/>
  <c r="W621" i="1" s="1"/>
  <c r="W541" i="1"/>
  <c r="W587" i="1"/>
  <c r="W567" i="1"/>
  <c r="W661" i="1" s="1"/>
  <c r="W571" i="1"/>
  <c r="W665" i="1" s="1"/>
  <c r="W523" i="1"/>
  <c r="W617" i="1" s="1"/>
  <c r="W553" i="1"/>
  <c r="W556" i="1"/>
  <c r="W650" i="1" s="1"/>
  <c r="W511" i="1"/>
  <c r="W605" i="1" s="1"/>
  <c r="W573" i="1"/>
  <c r="W667" i="1" s="1"/>
  <c r="W564" i="1"/>
  <c r="W658" i="1" s="1"/>
  <c r="W562" i="1"/>
  <c r="W656" i="1" s="1"/>
  <c r="V645" i="1"/>
  <c r="V613" i="1"/>
  <c r="V664" i="1"/>
  <c r="V118" i="1"/>
  <c r="V119" i="1"/>
  <c r="V75" i="1"/>
  <c r="V33" i="1"/>
  <c r="V77" i="1"/>
  <c r="V126" i="1"/>
  <c r="V74" i="1"/>
  <c r="V30" i="1"/>
  <c r="V127" i="1"/>
  <c r="V124" i="1"/>
  <c r="V121" i="1"/>
  <c r="G502" i="7"/>
  <c r="G444" i="7"/>
  <c r="G552" i="7"/>
  <c r="G570" i="7"/>
  <c r="G436" i="7"/>
  <c r="G468" i="7"/>
  <c r="G612" i="7"/>
  <c r="G788" i="7"/>
  <c r="G772" i="7"/>
  <c r="V624" i="1"/>
  <c r="I12" i="5"/>
  <c r="I49" i="5"/>
  <c r="I137" i="5"/>
  <c r="I92" i="5"/>
  <c r="V628" i="1"/>
  <c r="V656" i="1"/>
  <c r="V606" i="1"/>
  <c r="V627" i="1"/>
  <c r="V685" i="1"/>
  <c r="V644" i="1"/>
  <c r="V651" i="1"/>
  <c r="V682" i="1"/>
  <c r="V667" i="1"/>
  <c r="V647" i="1"/>
  <c r="V643" i="1"/>
  <c r="V655" i="1"/>
  <c r="V652" i="1"/>
  <c r="V596" i="1"/>
  <c r="V677" i="1"/>
  <c r="W548" i="1"/>
  <c r="W532" i="1"/>
  <c r="V638" i="1"/>
  <c r="V657" i="1"/>
  <c r="V675" i="1"/>
  <c r="V631" i="1"/>
  <c r="V607" i="1"/>
  <c r="V668" i="1"/>
  <c r="V620" i="1"/>
  <c r="V676" i="1"/>
  <c r="V621" i="1"/>
  <c r="V684" i="1"/>
  <c r="V600" i="1"/>
  <c r="W508" i="1"/>
  <c r="V666" i="1"/>
  <c r="G628" i="7"/>
  <c r="G510" i="7"/>
  <c r="G754" i="7"/>
  <c r="G762" i="7"/>
  <c r="G452" i="7"/>
  <c r="G478" i="7"/>
  <c r="G646" i="7"/>
  <c r="W507" i="1"/>
  <c r="W601" i="1" s="1"/>
  <c r="V665" i="1"/>
  <c r="V674" i="1"/>
  <c r="V625" i="1"/>
  <c r="G670" i="7"/>
  <c r="G846" i="7"/>
  <c r="G780" i="7"/>
  <c r="G738" i="7"/>
  <c r="G662" i="7"/>
  <c r="W522" i="1"/>
  <c r="V619" i="1"/>
  <c r="V629" i="1"/>
  <c r="V650" i="1"/>
  <c r="V634" i="1"/>
  <c r="V622" i="1"/>
  <c r="W546" i="1"/>
  <c r="W539" i="1"/>
  <c r="V597" i="1"/>
  <c r="W545" i="1"/>
  <c r="W536" i="1"/>
  <c r="V615" i="1"/>
  <c r="W568" i="1"/>
  <c r="W524" i="1"/>
  <c r="V669" i="1"/>
  <c r="V632" i="1"/>
  <c r="V663" i="1"/>
  <c r="V678" i="1"/>
  <c r="W552" i="1"/>
  <c r="W504" i="1"/>
  <c r="V605" i="1"/>
  <c r="V683" i="1"/>
  <c r="V623" i="1"/>
  <c r="V641" i="1"/>
  <c r="V609" i="1"/>
  <c r="W514" i="1"/>
  <c r="V599" i="1"/>
  <c r="V635" i="1"/>
  <c r="V661" i="1"/>
  <c r="V491" i="1"/>
  <c r="W518" i="1"/>
  <c r="W612" i="1" s="1"/>
  <c r="S716" i="1"/>
  <c r="S372" i="1"/>
  <c r="S373" i="1" s="1"/>
  <c r="S370" i="1"/>
  <c r="U358" i="1"/>
  <c r="U368" i="1" s="1"/>
  <c r="S729" i="1"/>
  <c r="V498" i="1"/>
  <c r="V448" i="1"/>
  <c r="V460" i="1"/>
  <c r="V482" i="1"/>
  <c r="V170" i="1"/>
  <c r="V156" i="1"/>
  <c r="V182" i="1" s="1"/>
  <c r="V183" i="1" s="1"/>
  <c r="V42" i="1"/>
  <c r="V86" i="1"/>
  <c r="V137" i="1"/>
  <c r="V76" i="1"/>
  <c r="V28" i="1"/>
  <c r="V32" i="1"/>
  <c r="V130" i="1"/>
  <c r="V41" i="1"/>
  <c r="V85" i="1"/>
  <c r="V131" i="1"/>
  <c r="V133" i="1"/>
  <c r="V171" i="1"/>
  <c r="V93" i="1"/>
  <c r="V49" i="1"/>
  <c r="V47" i="1"/>
  <c r="V91" i="1"/>
  <c r="V45" i="1"/>
  <c r="V89" i="1"/>
  <c r="V129" i="1"/>
  <c r="V44" i="1"/>
  <c r="V88" i="1"/>
  <c r="V81" i="1"/>
  <c r="V37" i="1"/>
  <c r="V132" i="1"/>
  <c r="V134" i="1"/>
  <c r="V135" i="1"/>
  <c r="V48" i="1"/>
  <c r="V92" i="1"/>
  <c r="V43" i="1"/>
  <c r="V87" i="1"/>
  <c r="V128" i="1"/>
  <c r="V72" i="1"/>
  <c r="V140" i="1" s="1"/>
  <c r="V141" i="1" s="1"/>
  <c r="V90" i="1"/>
  <c r="V46" i="1"/>
  <c r="V116" i="1"/>
  <c r="V142" i="1" s="1"/>
  <c r="V694" i="1" s="1"/>
  <c r="V695" i="1" s="1"/>
  <c r="V136" i="1"/>
  <c r="V40" i="1"/>
  <c r="V84" i="1"/>
  <c r="U94" i="1"/>
  <c r="U138" i="1"/>
  <c r="U50" i="1"/>
  <c r="AL46" i="7"/>
  <c r="AL45" i="7"/>
  <c r="AK43" i="7"/>
  <c r="AK44" i="7"/>
  <c r="AK47" i="7"/>
  <c r="AK48" i="7"/>
  <c r="AL48" i="7"/>
  <c r="AL47" i="7"/>
  <c r="AK45" i="7"/>
  <c r="AJ44" i="7"/>
  <c r="AF43" i="7"/>
  <c r="AG47" i="7"/>
  <c r="AH43" i="7"/>
  <c r="AH44" i="7"/>
  <c r="AF45" i="7"/>
  <c r="AE44" i="7"/>
  <c r="AH42" i="7"/>
  <c r="AG44" i="7"/>
  <c r="AL44" i="7"/>
  <c r="AH41" i="7"/>
  <c r="AG45" i="7"/>
  <c r="AF42" i="7"/>
  <c r="AH46" i="7"/>
  <c r="AF47" i="7"/>
  <c r="AG46" i="7"/>
  <c r="AG42" i="7"/>
  <c r="AE46" i="7"/>
  <c r="AG48" i="7"/>
  <c r="AF48" i="7"/>
  <c r="AH48" i="7"/>
  <c r="AG43" i="7"/>
  <c r="AH45" i="7"/>
  <c r="AH47" i="7"/>
  <c r="AE42" i="7"/>
  <c r="AF46" i="7"/>
  <c r="V681" i="1"/>
  <c r="U185" i="1"/>
  <c r="U186" i="1" s="1"/>
  <c r="U180" i="1"/>
  <c r="T185" i="1"/>
  <c r="T186" i="1" s="1"/>
  <c r="T192" i="1"/>
  <c r="U142" i="1"/>
  <c r="U143" i="1" s="1"/>
  <c r="U183" i="1"/>
  <c r="T143" i="1"/>
  <c r="T141" i="1"/>
  <c r="T688" i="1"/>
  <c r="U484" i="1"/>
  <c r="U500" i="1" s="1"/>
  <c r="U752" i="1" s="1"/>
  <c r="U781" i="1" s="1"/>
  <c r="U578" i="1"/>
  <c r="U594" i="1" s="1"/>
  <c r="U720" i="1" s="1"/>
  <c r="V576" i="1"/>
  <c r="V585" i="1"/>
  <c r="V592" i="1"/>
  <c r="V542" i="1"/>
  <c r="U672" i="1"/>
  <c r="U688" i="1" s="1"/>
  <c r="V554" i="1"/>
  <c r="O712" i="1"/>
  <c r="U192" i="1"/>
  <c r="U141" i="1"/>
  <c r="AG41" i="7"/>
  <c r="AK46" i="7"/>
  <c r="W74" i="1"/>
  <c r="W38" i="1"/>
  <c r="W82" i="1"/>
  <c r="W30" i="1"/>
  <c r="O195" i="1"/>
  <c r="O196" i="1" s="1"/>
  <c r="P195" i="1"/>
  <c r="P196" i="1" s="1"/>
  <c r="S694" i="1"/>
  <c r="S695" i="1" s="1"/>
  <c r="S194" i="1"/>
  <c r="S702" i="1" s="1"/>
  <c r="O710" i="1"/>
  <c r="P193" i="1"/>
  <c r="T694" i="1"/>
  <c r="T695" i="1" s="1"/>
  <c r="T194" i="1"/>
  <c r="S710" i="1"/>
  <c r="S737" i="1" s="1"/>
  <c r="P710" i="1"/>
  <c r="S193" i="1"/>
  <c r="N97" i="3"/>
  <c r="N80" i="3"/>
  <c r="W21" i="1"/>
  <c r="W68" i="1"/>
  <c r="W19" i="1"/>
  <c r="W56" i="1"/>
  <c r="W24" i="1"/>
  <c r="W162" i="1"/>
  <c r="W63" i="1"/>
  <c r="W111" i="1"/>
  <c r="W10" i="1"/>
  <c r="W18" i="1"/>
  <c r="W62" i="1"/>
  <c r="W149" i="1"/>
  <c r="X148" i="1"/>
  <c r="W58" i="1"/>
  <c r="W20" i="1"/>
  <c r="W152" i="1"/>
  <c r="W9" i="1"/>
  <c r="X100" i="1"/>
  <c r="W69" i="1"/>
  <c r="W17" i="1"/>
  <c r="W55" i="1"/>
  <c r="W96" i="1"/>
  <c r="W22" i="1"/>
  <c r="W150" i="1"/>
  <c r="W54" i="1"/>
  <c r="W97" i="1"/>
  <c r="W151" i="1"/>
  <c r="W52" i="1"/>
  <c r="W104" i="1"/>
  <c r="W64" i="1"/>
  <c r="W14" i="1"/>
  <c r="W53" i="1"/>
  <c r="W102" i="1"/>
  <c r="X150" i="1"/>
  <c r="W109" i="1"/>
  <c r="W61" i="1"/>
  <c r="W110" i="1"/>
  <c r="W60" i="1"/>
  <c r="W101" i="1"/>
  <c r="W112" i="1"/>
  <c r="W67" i="1"/>
  <c r="W160" i="1"/>
  <c r="W100" i="1"/>
  <c r="W161" i="1"/>
  <c r="W27" i="1"/>
  <c r="W155" i="1"/>
  <c r="W154" i="1"/>
  <c r="W147" i="1"/>
  <c r="W11" i="1"/>
  <c r="W164" i="1"/>
  <c r="W114" i="1"/>
  <c r="W13" i="1"/>
  <c r="W70" i="1"/>
  <c r="W25" i="1"/>
  <c r="W108" i="1"/>
  <c r="W153" i="1"/>
  <c r="W158" i="1"/>
  <c r="X155" i="1"/>
  <c r="W23" i="1"/>
  <c r="W106" i="1"/>
  <c r="W98" i="1"/>
  <c r="W57" i="1"/>
  <c r="W26" i="1"/>
  <c r="W148" i="1"/>
  <c r="W107" i="1"/>
  <c r="W59" i="1"/>
  <c r="W159" i="1"/>
  <c r="W163" i="1"/>
  <c r="W146" i="1"/>
  <c r="W12" i="1"/>
  <c r="X63" i="1"/>
  <c r="W167" i="1"/>
  <c r="X60" i="1"/>
  <c r="W166" i="1"/>
  <c r="W99" i="1"/>
  <c r="W15" i="1"/>
  <c r="W165" i="1"/>
  <c r="W65" i="1"/>
  <c r="W71" i="1"/>
  <c r="W113" i="1"/>
  <c r="W137" i="1" l="1"/>
  <c r="W131" i="1"/>
  <c r="W37" i="1"/>
  <c r="W81" i="1"/>
  <c r="W125" i="1"/>
  <c r="W172" i="1"/>
  <c r="W92" i="1"/>
  <c r="W48" i="1"/>
  <c r="W123" i="1"/>
  <c r="W177" i="1"/>
  <c r="W47" i="1"/>
  <c r="W91" i="1"/>
  <c r="W136" i="1"/>
  <c r="W79" i="1"/>
  <c r="W35" i="1"/>
  <c r="W49" i="1"/>
  <c r="W93" i="1"/>
  <c r="W126" i="1"/>
  <c r="W132" i="1"/>
  <c r="W127" i="1"/>
  <c r="W80" i="1"/>
  <c r="W36" i="1"/>
  <c r="W130" i="1"/>
  <c r="W118" i="1"/>
  <c r="W174" i="1"/>
  <c r="W44" i="1"/>
  <c r="W88" i="1"/>
  <c r="W121" i="1"/>
  <c r="W39" i="1"/>
  <c r="W83" i="1"/>
  <c r="W129" i="1"/>
  <c r="W90" i="1"/>
  <c r="W46" i="1"/>
  <c r="W122" i="1"/>
  <c r="W85" i="1"/>
  <c r="W41" i="1"/>
  <c r="W134" i="1"/>
  <c r="W43" i="1"/>
  <c r="W87" i="1"/>
  <c r="W89" i="1"/>
  <c r="W45" i="1"/>
  <c r="W133" i="1"/>
  <c r="W31" i="1"/>
  <c r="W28" i="1"/>
  <c r="W94" i="1" s="1"/>
  <c r="W75" i="1"/>
  <c r="W179" i="1"/>
  <c r="W168" i="1"/>
  <c r="W184" i="1" s="1"/>
  <c r="W40" i="1"/>
  <c r="W84" i="1"/>
  <c r="W33" i="1"/>
  <c r="W77" i="1"/>
  <c r="W128" i="1"/>
  <c r="W76" i="1"/>
  <c r="W32" i="1"/>
  <c r="W178" i="1"/>
  <c r="W116" i="1"/>
  <c r="W142" i="1" s="1"/>
  <c r="W694" i="1" s="1"/>
  <c r="W695" i="1" s="1"/>
  <c r="W119" i="1"/>
  <c r="W135" i="1"/>
  <c r="W173" i="1"/>
  <c r="W175" i="1"/>
  <c r="W170" i="1"/>
  <c r="W156" i="1"/>
  <c r="W176" i="1"/>
  <c r="W120" i="1"/>
  <c r="W86" i="1"/>
  <c r="W42" i="1"/>
  <c r="W124" i="1"/>
  <c r="W72" i="1"/>
  <c r="W171" i="1"/>
  <c r="W78" i="1"/>
  <c r="W34" i="1"/>
  <c r="I139" i="5"/>
  <c r="I146" i="5"/>
  <c r="J107" i="5"/>
  <c r="I818" i="1"/>
  <c r="I817" i="1"/>
  <c r="I816" i="1"/>
  <c r="I809" i="1"/>
  <c r="I808" i="1"/>
  <c r="I807" i="1"/>
  <c r="I791" i="1"/>
  <c r="I800" i="1"/>
  <c r="I798" i="1"/>
  <c r="I799" i="1"/>
  <c r="N116" i="3"/>
  <c r="N101" i="3"/>
  <c r="U698" i="1"/>
  <c r="U699" i="1" s="1"/>
  <c r="U384" i="1"/>
  <c r="U380" i="1"/>
  <c r="U376" i="1"/>
  <c r="U381" i="1"/>
  <c r="U383" i="1"/>
  <c r="U379" i="1"/>
  <c r="U375" i="1"/>
  <c r="U382" i="1"/>
  <c r="U378" i="1"/>
  <c r="U377" i="1"/>
  <c r="T381" i="1"/>
  <c r="T377" i="1"/>
  <c r="T384" i="1"/>
  <c r="T380" i="1"/>
  <c r="T376" i="1"/>
  <c r="T378" i="1"/>
  <c r="T383" i="1"/>
  <c r="T379" i="1"/>
  <c r="T375" i="1"/>
  <c r="T382" i="1"/>
  <c r="W498" i="1"/>
  <c r="W491" i="1"/>
  <c r="W448" i="1"/>
  <c r="W482" i="1"/>
  <c r="W460" i="1"/>
  <c r="N2" i="3"/>
  <c r="D2" i="3" s="1"/>
  <c r="M201" i="4" s="1"/>
  <c r="X575" i="1"/>
  <c r="AB575" i="1" s="1"/>
  <c r="X512" i="1"/>
  <c r="AB512" i="1" s="1"/>
  <c r="X589" i="1"/>
  <c r="AB589" i="1" s="1"/>
  <c r="X544" i="1"/>
  <c r="AB544" i="1" s="1"/>
  <c r="T333" i="1"/>
  <c r="T366" i="1" s="1"/>
  <c r="T698" i="1"/>
  <c r="T699" i="1" s="1"/>
  <c r="X418" i="1"/>
  <c r="AB418" i="1" s="1"/>
  <c r="X412" i="1"/>
  <c r="AB412" i="1" s="1"/>
  <c r="X497" i="1"/>
  <c r="AB497" i="1" s="1"/>
  <c r="X443" i="1"/>
  <c r="AB443" i="1" s="1"/>
  <c r="X431" i="1"/>
  <c r="AB431" i="1" s="1"/>
  <c r="X490" i="1"/>
  <c r="AB490" i="1" s="1"/>
  <c r="X462" i="1"/>
  <c r="AB462" i="1" s="1"/>
  <c r="X494" i="1"/>
  <c r="AB494" i="1" s="1"/>
  <c r="X455" i="1"/>
  <c r="AB455" i="1" s="1"/>
  <c r="X488" i="1"/>
  <c r="AB488" i="1" s="1"/>
  <c r="X421" i="1"/>
  <c r="AB421" i="1" s="1"/>
  <c r="X447" i="1"/>
  <c r="AB447" i="1" s="1"/>
  <c r="X458" i="1"/>
  <c r="AB458" i="1" s="1"/>
  <c r="X475" i="1"/>
  <c r="AB475" i="1" s="1"/>
  <c r="X428" i="1"/>
  <c r="AB428" i="1" s="1"/>
  <c r="X441" i="1"/>
  <c r="AB441" i="1" s="1"/>
  <c r="X423" i="1"/>
  <c r="AB423" i="1" s="1"/>
  <c r="X437" i="1"/>
  <c r="AB437" i="1" s="1"/>
  <c r="X446" i="1"/>
  <c r="AB446" i="1" s="1"/>
  <c r="X478" i="1"/>
  <c r="AB478" i="1" s="1"/>
  <c r="X472" i="1"/>
  <c r="AB472" i="1" s="1"/>
  <c r="X2" i="1"/>
  <c r="X416" i="1"/>
  <c r="AB416" i="1" s="1"/>
  <c r="X452" i="1"/>
  <c r="AB452" i="1" s="1"/>
  <c r="X489" i="1"/>
  <c r="AB489" i="1" s="1"/>
  <c r="X468" i="1"/>
  <c r="AB468" i="1" s="1"/>
  <c r="X442" i="1"/>
  <c r="AB442" i="1" s="1"/>
  <c r="X430" i="1"/>
  <c r="AB430" i="1" s="1"/>
  <c r="X474" i="1"/>
  <c r="AB474" i="1" s="1"/>
  <c r="X454" i="1"/>
  <c r="AB454" i="1" s="1"/>
  <c r="X486" i="1"/>
  <c r="AB486" i="1" s="1"/>
  <c r="X480" i="1"/>
  <c r="AB480" i="1" s="1"/>
  <c r="I814" i="1"/>
  <c r="X426" i="1"/>
  <c r="AB426" i="1" s="1"/>
  <c r="X414" i="1"/>
  <c r="AB414" i="1" s="1"/>
  <c r="X470" i="1"/>
  <c r="AB470" i="1" s="1"/>
  <c r="X417" i="1"/>
  <c r="AB417" i="1" s="1"/>
  <c r="X409" i="1"/>
  <c r="AB409" i="1" s="1"/>
  <c r="X411" i="1"/>
  <c r="AB411" i="1" s="1"/>
  <c r="X427" i="1"/>
  <c r="AB427" i="1" s="1"/>
  <c r="X422" i="1"/>
  <c r="AB422" i="1" s="1"/>
  <c r="X450" i="1"/>
  <c r="AB450" i="1" s="1"/>
  <c r="X433" i="1"/>
  <c r="AB433" i="1" s="1"/>
  <c r="X453" i="1"/>
  <c r="AB453" i="1" s="1"/>
  <c r="X477" i="1"/>
  <c r="AB477" i="1" s="1"/>
  <c r="X487" i="1"/>
  <c r="AB487" i="1" s="1"/>
  <c r="X590" i="1"/>
  <c r="AB590" i="1" s="1"/>
  <c r="X408" i="1"/>
  <c r="AB408" i="1" s="1"/>
  <c r="X424" i="1"/>
  <c r="AB424" i="1" s="1"/>
  <c r="X419" i="1"/>
  <c r="AB419" i="1" s="1"/>
  <c r="X451" i="1"/>
  <c r="AB451" i="1" s="1"/>
  <c r="X429" i="1"/>
  <c r="AB429" i="1" s="1"/>
  <c r="X459" i="1"/>
  <c r="AB459" i="1" s="1"/>
  <c r="X434" i="1"/>
  <c r="AB434" i="1" s="1"/>
  <c r="X469" i="1"/>
  <c r="AB469" i="1" s="1"/>
  <c r="X493" i="1"/>
  <c r="AB493" i="1" s="1"/>
  <c r="X495" i="1"/>
  <c r="AB495" i="1" s="1"/>
  <c r="X521" i="1"/>
  <c r="AB521" i="1" s="1"/>
  <c r="X464" i="1"/>
  <c r="AB464" i="1" s="1"/>
  <c r="X444" i="1"/>
  <c r="AB444" i="1" s="1"/>
  <c r="X432" i="1"/>
  <c r="AB432" i="1" s="1"/>
  <c r="X445" i="1"/>
  <c r="AB445" i="1" s="1"/>
  <c r="X479" i="1"/>
  <c r="AB479" i="1" s="1"/>
  <c r="X496" i="1"/>
  <c r="AB496" i="1" s="1"/>
  <c r="X410" i="1"/>
  <c r="AB410" i="1" s="1"/>
  <c r="X456" i="1"/>
  <c r="AB456" i="1" s="1"/>
  <c r="X466" i="1"/>
  <c r="AB466" i="1" s="1"/>
  <c r="X413" i="1"/>
  <c r="AB413" i="1" s="1"/>
  <c r="X439" i="1"/>
  <c r="AB439" i="1" s="1"/>
  <c r="X481" i="1"/>
  <c r="AB481" i="1" s="1"/>
  <c r="X435" i="1"/>
  <c r="AB435" i="1" s="1"/>
  <c r="X476" i="1"/>
  <c r="AB476" i="1" s="1"/>
  <c r="X463" i="1"/>
  <c r="AB463" i="1" s="1"/>
  <c r="X457" i="1"/>
  <c r="AB457" i="1" s="1"/>
  <c r="X537" i="1"/>
  <c r="AB537" i="1" s="1"/>
  <c r="X552" i="1"/>
  <c r="AB552" i="1" s="1"/>
  <c r="X420" i="1"/>
  <c r="AB420" i="1" s="1"/>
  <c r="X425" i="1"/>
  <c r="AB425" i="1" s="1"/>
  <c r="X467" i="1"/>
  <c r="AB467" i="1" s="1"/>
  <c r="X473" i="1"/>
  <c r="AB473" i="1" s="1"/>
  <c r="X440" i="1"/>
  <c r="AB440" i="1" s="1"/>
  <c r="X415" i="1"/>
  <c r="AB415" i="1" s="1"/>
  <c r="X436" i="1"/>
  <c r="AB436" i="1" s="1"/>
  <c r="X438" i="1"/>
  <c r="AB438" i="1" s="1"/>
  <c r="X471" i="1"/>
  <c r="AB471" i="1" s="1"/>
  <c r="X465" i="1"/>
  <c r="AB465" i="1" s="1"/>
  <c r="I787" i="1"/>
  <c r="I813" i="1"/>
  <c r="I788" i="1"/>
  <c r="I786" i="1"/>
  <c r="X581" i="1"/>
  <c r="AB581" i="1" s="1"/>
  <c r="X568" i="1"/>
  <c r="AB568" i="1" s="1"/>
  <c r="X550" i="1"/>
  <c r="AB550" i="1" s="1"/>
  <c r="X510" i="1"/>
  <c r="AB510" i="1" s="1"/>
  <c r="I805" i="1"/>
  <c r="X545" i="1"/>
  <c r="AB545" i="1" s="1"/>
  <c r="I785" i="1"/>
  <c r="I795" i="1"/>
  <c r="I789" i="1"/>
  <c r="I803" i="1"/>
  <c r="X524" i="1"/>
  <c r="AB524" i="1" s="1"/>
  <c r="X546" i="1"/>
  <c r="AB546" i="1" s="1"/>
  <c r="X560" i="1"/>
  <c r="AB560" i="1" s="1"/>
  <c r="X547" i="1"/>
  <c r="AB547" i="1" s="1"/>
  <c r="X513" i="1"/>
  <c r="AB513" i="1" s="1"/>
  <c r="X514" i="1"/>
  <c r="AB514" i="1" s="1"/>
  <c r="X536" i="1"/>
  <c r="AB536" i="1" s="1"/>
  <c r="X522" i="1"/>
  <c r="AB522" i="1" s="1"/>
  <c r="X534" i="1"/>
  <c r="AB534" i="1" s="1"/>
  <c r="X540" i="1"/>
  <c r="AB540" i="1" s="1"/>
  <c r="X526" i="1"/>
  <c r="AB526" i="1" s="1"/>
  <c r="X532" i="1"/>
  <c r="AB532" i="1" s="1"/>
  <c r="X587" i="1"/>
  <c r="AB587" i="1" s="1"/>
  <c r="X582" i="1"/>
  <c r="AB582" i="1" s="1"/>
  <c r="X506" i="1"/>
  <c r="AB506" i="1" s="1"/>
  <c r="W669" i="1"/>
  <c r="X548" i="1"/>
  <c r="AB548" i="1" s="1"/>
  <c r="X541" i="1"/>
  <c r="AB541" i="1" s="1"/>
  <c r="X502" i="1"/>
  <c r="AB502" i="1" s="1"/>
  <c r="X561" i="1"/>
  <c r="AB561" i="1" s="1"/>
  <c r="X538" i="1"/>
  <c r="AB538" i="1" s="1"/>
  <c r="X591" i="1"/>
  <c r="AB591" i="1" s="1"/>
  <c r="X519" i="1"/>
  <c r="AB519" i="1" s="1"/>
  <c r="X525" i="1"/>
  <c r="AB525" i="1" s="1"/>
  <c r="X515" i="1"/>
  <c r="AB515" i="1" s="1"/>
  <c r="I794" i="1"/>
  <c r="I804" i="1"/>
  <c r="X574" i="1"/>
  <c r="AB574" i="1" s="1"/>
  <c r="X504" i="1"/>
  <c r="AB504" i="1" s="1"/>
  <c r="X572" i="1"/>
  <c r="AB572" i="1" s="1"/>
  <c r="X539" i="1"/>
  <c r="AB539" i="1" s="1"/>
  <c r="X527" i="1"/>
  <c r="AB527" i="1" s="1"/>
  <c r="X558" i="1"/>
  <c r="AB558" i="1" s="1"/>
  <c r="W620" i="1"/>
  <c r="W681" i="1"/>
  <c r="X531" i="1"/>
  <c r="AB531" i="1" s="1"/>
  <c r="X508" i="1"/>
  <c r="AB508" i="1" s="1"/>
  <c r="X553" i="1"/>
  <c r="AB553" i="1" s="1"/>
  <c r="X570" i="1"/>
  <c r="AB570" i="1" s="1"/>
  <c r="X549" i="1"/>
  <c r="AB549" i="1" s="1"/>
  <c r="X505" i="1"/>
  <c r="AB505" i="1" s="1"/>
  <c r="W628" i="1"/>
  <c r="J92" i="5"/>
  <c r="I796" i="1"/>
  <c r="I812" i="1"/>
  <c r="X523" i="1"/>
  <c r="AB523" i="1" s="1"/>
  <c r="X528" i="1"/>
  <c r="AB528" i="1" s="1"/>
  <c r="X551" i="1"/>
  <c r="AB551" i="1" s="1"/>
  <c r="X580" i="1"/>
  <c r="X674" i="1" s="1"/>
  <c r="W613" i="1"/>
  <c r="X563" i="1"/>
  <c r="AB563" i="1" s="1"/>
  <c r="W632" i="1"/>
  <c r="W664" i="1"/>
  <c r="W606" i="1"/>
  <c r="W685" i="1"/>
  <c r="X535" i="1"/>
  <c r="AB535" i="1" s="1"/>
  <c r="J137" i="5"/>
  <c r="W599" i="1"/>
  <c r="J12" i="5"/>
  <c r="W622" i="1"/>
  <c r="W641" i="1"/>
  <c r="W645" i="1"/>
  <c r="B71" i="5"/>
  <c r="X584" i="1"/>
  <c r="AB584" i="1" s="1"/>
  <c r="W654" i="1"/>
  <c r="J49" i="5"/>
  <c r="X583" i="1"/>
  <c r="AB583" i="1" s="1"/>
  <c r="X566" i="1"/>
  <c r="AB566" i="1" s="1"/>
  <c r="X530" i="1"/>
  <c r="AB530" i="1" s="1"/>
  <c r="W647" i="1"/>
  <c r="X573" i="1"/>
  <c r="AB573" i="1" s="1"/>
  <c r="X565" i="1"/>
  <c r="AB565" i="1" s="1"/>
  <c r="X564" i="1"/>
  <c r="AB564" i="1" s="1"/>
  <c r="X567" i="1"/>
  <c r="AB567" i="1" s="1"/>
  <c r="X517" i="1"/>
  <c r="AB517" i="1" s="1"/>
  <c r="W676" i="1"/>
  <c r="X529" i="1"/>
  <c r="AB529" i="1" s="1"/>
  <c r="X533" i="1"/>
  <c r="AB533" i="1" s="1"/>
  <c r="W635" i="1"/>
  <c r="X562" i="1"/>
  <c r="AB562" i="1" s="1"/>
  <c r="X516" i="1"/>
  <c r="AB516" i="1" s="1"/>
  <c r="W683" i="1"/>
  <c r="W655" i="1"/>
  <c r="W644" i="1"/>
  <c r="X569" i="1"/>
  <c r="AB569" i="1" s="1"/>
  <c r="X557" i="1"/>
  <c r="AB557" i="1" s="1"/>
  <c r="X509" i="1"/>
  <c r="AB509" i="1" s="1"/>
  <c r="X503" i="1"/>
  <c r="AB503" i="1" s="1"/>
  <c r="W634" i="1"/>
  <c r="X588" i="1"/>
  <c r="AB588" i="1" s="1"/>
  <c r="X559" i="1"/>
  <c r="AB559" i="1" s="1"/>
  <c r="X556" i="1"/>
  <c r="AB556" i="1" s="1"/>
  <c r="X571" i="1"/>
  <c r="AB571" i="1" s="1"/>
  <c r="X511" i="1"/>
  <c r="AB511" i="1" s="1"/>
  <c r="X520" i="1"/>
  <c r="AB520" i="1" s="1"/>
  <c r="X507" i="1"/>
  <c r="AB507" i="1" s="1"/>
  <c r="W626" i="1"/>
  <c r="W662" i="1"/>
  <c r="W642" i="1"/>
  <c r="W640" i="1"/>
  <c r="V679" i="1"/>
  <c r="W602" i="1"/>
  <c r="V648" i="1"/>
  <c r="W646" i="1"/>
  <c r="W608" i="1"/>
  <c r="W639" i="1"/>
  <c r="W633" i="1"/>
  <c r="W598" i="1"/>
  <c r="W616" i="1"/>
  <c r="X518" i="1"/>
  <c r="AB518" i="1" s="1"/>
  <c r="V636" i="1"/>
  <c r="V686" i="1"/>
  <c r="W618" i="1"/>
  <c r="W630" i="1"/>
  <c r="V670" i="1"/>
  <c r="V358" i="1"/>
  <c r="V368" i="1" s="1"/>
  <c r="U729" i="1"/>
  <c r="T729" i="1"/>
  <c r="S742" i="1"/>
  <c r="V484" i="1"/>
  <c r="V500" i="1" s="1"/>
  <c r="V752" i="1" s="1"/>
  <c r="V781" i="1" s="1"/>
  <c r="AB63" i="1"/>
  <c r="V138" i="1"/>
  <c r="V50" i="1"/>
  <c r="V180" i="1"/>
  <c r="V94" i="1"/>
  <c r="AO42" i="7"/>
  <c r="AD10" i="7" s="1"/>
  <c r="AK42" i="7"/>
  <c r="AM44" i="7"/>
  <c r="AC12" i="7" s="1"/>
  <c r="AO44" i="7"/>
  <c r="AD12" i="7" s="1"/>
  <c r="AJ45" i="7"/>
  <c r="AM45" i="7"/>
  <c r="AC13" i="7" s="1"/>
  <c r="AO45" i="7"/>
  <c r="AD13" i="7" s="1"/>
  <c r="AO33" i="7"/>
  <c r="AO41" i="7" s="1"/>
  <c r="AD9" i="7" s="1"/>
  <c r="AM41" i="7"/>
  <c r="AC9" i="7" s="1"/>
  <c r="AO43" i="7"/>
  <c r="AD11" i="7" s="1"/>
  <c r="AM47" i="7"/>
  <c r="AC15" i="7" s="1"/>
  <c r="AO47" i="7"/>
  <c r="AD15" i="7" s="1"/>
  <c r="AI33" i="7"/>
  <c r="AI40" i="7"/>
  <c r="AI38" i="7"/>
  <c r="AI39" i="7"/>
  <c r="AI36" i="7"/>
  <c r="AI37" i="7"/>
  <c r="AF44" i="7"/>
  <c r="AI34" i="7"/>
  <c r="AI35" i="7"/>
  <c r="W638" i="1"/>
  <c r="W596" i="1"/>
  <c r="T193" i="1"/>
  <c r="T710" i="1"/>
  <c r="U194" i="1"/>
  <c r="U694" i="1"/>
  <c r="U695" i="1" s="1"/>
  <c r="V185" i="1"/>
  <c r="V186" i="1" s="1"/>
  <c r="W182" i="1"/>
  <c r="W183" i="1" s="1"/>
  <c r="W140" i="1"/>
  <c r="W141" i="1" s="1"/>
  <c r="V143" i="1"/>
  <c r="V144" i="1" s="1"/>
  <c r="W674" i="1"/>
  <c r="W554" i="1"/>
  <c r="V578" i="1"/>
  <c r="V594" i="1" s="1"/>
  <c r="V720" i="1" s="1"/>
  <c r="W542" i="1"/>
  <c r="W592" i="1"/>
  <c r="W576" i="1"/>
  <c r="W585" i="1"/>
  <c r="S703" i="1"/>
  <c r="S705" i="1" s="1"/>
  <c r="S751" i="1" s="1"/>
  <c r="S712" i="1"/>
  <c r="T712" i="1"/>
  <c r="O718" i="1"/>
  <c r="O722" i="1" s="1"/>
  <c r="O735" i="1" s="1"/>
  <c r="O744" i="1" s="1"/>
  <c r="U193" i="1"/>
  <c r="U710" i="1"/>
  <c r="V194" i="1"/>
  <c r="V192" i="1"/>
  <c r="AB148" i="1"/>
  <c r="AB60" i="1"/>
  <c r="AB100" i="1"/>
  <c r="AB155" i="1"/>
  <c r="AB150" i="1"/>
  <c r="P144" i="1"/>
  <c r="AJ42" i="7"/>
  <c r="AE48" i="7"/>
  <c r="AO46" i="7"/>
  <c r="AD14" i="7" s="1"/>
  <c r="AM46" i="7"/>
  <c r="AC14" i="7" s="1"/>
  <c r="AE47" i="7"/>
  <c r="AE43" i="7"/>
  <c r="AE45" i="7"/>
  <c r="AM48" i="7"/>
  <c r="AC16" i="7" s="1"/>
  <c r="AO48" i="7"/>
  <c r="AD16" i="7" s="1"/>
  <c r="AM43" i="7"/>
  <c r="AC11" i="7" s="1"/>
  <c r="AJ43" i="7"/>
  <c r="AC10" i="7"/>
  <c r="O385" i="1"/>
  <c r="P714" i="1"/>
  <c r="P718" i="1"/>
  <c r="P722" i="1" s="1"/>
  <c r="T195" i="1"/>
  <c r="T144" i="1"/>
  <c r="S195" i="1"/>
  <c r="S144" i="1"/>
  <c r="U195" i="1"/>
  <c r="U144" i="1"/>
  <c r="Q385" i="1"/>
  <c r="Q195" i="1"/>
  <c r="Q196" i="1" s="1"/>
  <c r="Q144" i="1"/>
  <c r="R195" i="1"/>
  <c r="R196" i="1" s="1"/>
  <c r="R144" i="1"/>
  <c r="P385" i="1"/>
  <c r="R385" i="1"/>
  <c r="S385" i="1"/>
  <c r="O714" i="1"/>
  <c r="X167" i="1"/>
  <c r="X108" i="1"/>
  <c r="X154" i="1"/>
  <c r="X151" i="1"/>
  <c r="X158" i="1"/>
  <c r="X107" i="1"/>
  <c r="X16" i="1"/>
  <c r="X104" i="1"/>
  <c r="X13" i="1"/>
  <c r="X53" i="1"/>
  <c r="X110" i="1"/>
  <c r="X114" i="1"/>
  <c r="X64" i="1"/>
  <c r="X62" i="1"/>
  <c r="X69" i="1"/>
  <c r="X112" i="1"/>
  <c r="X97" i="1"/>
  <c r="X15" i="1"/>
  <c r="X9" i="1"/>
  <c r="X101" i="1"/>
  <c r="X57" i="1"/>
  <c r="X66" i="1"/>
  <c r="X25" i="1"/>
  <c r="X20" i="1"/>
  <c r="X58" i="1"/>
  <c r="X65" i="1"/>
  <c r="X153" i="1"/>
  <c r="X147" i="1"/>
  <c r="X14" i="1"/>
  <c r="X12" i="1"/>
  <c r="X105" i="1"/>
  <c r="X106" i="1"/>
  <c r="X11" i="1"/>
  <c r="X98" i="1"/>
  <c r="X55" i="1"/>
  <c r="X67" i="1"/>
  <c r="X71" i="1"/>
  <c r="X54" i="1"/>
  <c r="X8" i="1"/>
  <c r="X115" i="1"/>
  <c r="X52" i="1"/>
  <c r="X19" i="1"/>
  <c r="X18" i="1"/>
  <c r="X111" i="1"/>
  <c r="X146" i="1"/>
  <c r="X56" i="1"/>
  <c r="X22" i="1"/>
  <c r="X159" i="1"/>
  <c r="X161" i="1"/>
  <c r="X17" i="1"/>
  <c r="X109" i="1"/>
  <c r="X113" i="1"/>
  <c r="X163" i="1"/>
  <c r="X61" i="1"/>
  <c r="X70" i="1"/>
  <c r="X166" i="1"/>
  <c r="X96" i="1"/>
  <c r="X27" i="1"/>
  <c r="X102" i="1"/>
  <c r="X24" i="1"/>
  <c r="X59" i="1"/>
  <c r="X10" i="1"/>
  <c r="X103" i="1"/>
  <c r="X162" i="1"/>
  <c r="X164" i="1"/>
  <c r="X165" i="1"/>
  <c r="X68" i="1"/>
  <c r="X21" i="1"/>
  <c r="X23" i="1"/>
  <c r="X99" i="1"/>
  <c r="X26" i="1"/>
  <c r="X160" i="1"/>
  <c r="X149" i="1"/>
  <c r="X152" i="1"/>
  <c r="W180" i="1" l="1"/>
  <c r="W50" i="1"/>
  <c r="W138" i="1"/>
  <c r="X89" i="1"/>
  <c r="AB89" i="1" s="1"/>
  <c r="X45" i="1"/>
  <c r="AB45" i="1" s="1"/>
  <c r="AB23" i="1"/>
  <c r="AB65" i="1"/>
  <c r="X48" i="1"/>
  <c r="AB48" i="1" s="1"/>
  <c r="AB26" i="1"/>
  <c r="X92" i="1"/>
  <c r="AB92" i="1" s="1"/>
  <c r="X174" i="1"/>
  <c r="AB174" i="1" s="1"/>
  <c r="AB162" i="1"/>
  <c r="X129" i="1"/>
  <c r="AB129" i="1" s="1"/>
  <c r="AB107" i="1"/>
  <c r="AB110" i="1"/>
  <c r="AB69" i="1"/>
  <c r="AB98" i="1"/>
  <c r="AB20" i="1"/>
  <c r="X86" i="1"/>
  <c r="AB86" i="1" s="1"/>
  <c r="X42" i="1"/>
  <c r="AB42" i="1" s="1"/>
  <c r="J139" i="5"/>
  <c r="J146" i="5"/>
  <c r="AB62" i="1"/>
  <c r="X177" i="1"/>
  <c r="AB177" i="1" s="1"/>
  <c r="AB153" i="1"/>
  <c r="AB70" i="1"/>
  <c r="AB165" i="1"/>
  <c r="AB152" i="1"/>
  <c r="AB104" i="1"/>
  <c r="X126" i="1"/>
  <c r="AB126" i="1" s="1"/>
  <c r="AB97" i="1"/>
  <c r="AB160" i="1"/>
  <c r="X172" i="1"/>
  <c r="AB172" i="1" s="1"/>
  <c r="V698" i="1"/>
  <c r="V699" i="1" s="1"/>
  <c r="V384" i="1"/>
  <c r="V380" i="1"/>
  <c r="V376" i="1"/>
  <c r="V383" i="1"/>
  <c r="V379" i="1"/>
  <c r="V375" i="1"/>
  <c r="V381" i="1"/>
  <c r="V382" i="1"/>
  <c r="V378" i="1"/>
  <c r="V377" i="1"/>
  <c r="W484" i="1"/>
  <c r="W500" i="1" s="1"/>
  <c r="W752" i="1" s="1"/>
  <c r="W781" i="1" s="1"/>
  <c r="X125" i="1"/>
  <c r="AB125" i="1" s="1"/>
  <c r="AB59" i="1"/>
  <c r="X38" i="1"/>
  <c r="AB38" i="1" s="1"/>
  <c r="X82" i="1"/>
  <c r="AB82" i="1" s="1"/>
  <c r="AB16" i="1"/>
  <c r="AB111" i="1"/>
  <c r="X127" i="1"/>
  <c r="AB127" i="1" s="1"/>
  <c r="AB61" i="1"/>
  <c r="AB13" i="1"/>
  <c r="X79" i="1"/>
  <c r="AB79" i="1" s="1"/>
  <c r="X35" i="1"/>
  <c r="AB35" i="1" s="1"/>
  <c r="AB24" i="1"/>
  <c r="X90" i="1"/>
  <c r="AB90" i="1" s="1"/>
  <c r="X46" i="1"/>
  <c r="AB46" i="1" s="1"/>
  <c r="X119" i="1"/>
  <c r="AB119" i="1" s="1"/>
  <c r="AB53" i="1"/>
  <c r="X33" i="1"/>
  <c r="AB33" i="1" s="1"/>
  <c r="X77" i="1"/>
  <c r="AB77" i="1" s="1"/>
  <c r="AB11" i="1"/>
  <c r="X122" i="1"/>
  <c r="AB122" i="1" s="1"/>
  <c r="AB56" i="1"/>
  <c r="X124" i="1"/>
  <c r="AB124" i="1" s="1"/>
  <c r="AB58" i="1"/>
  <c r="AB166" i="1"/>
  <c r="AB9" i="1"/>
  <c r="X75" i="1"/>
  <c r="AB75" i="1" s="1"/>
  <c r="X31" i="1"/>
  <c r="AB31" i="1" s="1"/>
  <c r="AB105" i="1"/>
  <c r="AB99" i="1"/>
  <c r="AB164" i="1"/>
  <c r="X176" i="1"/>
  <c r="AB176" i="1" s="1"/>
  <c r="X178" i="1"/>
  <c r="AB178" i="1" s="1"/>
  <c r="AB154" i="1"/>
  <c r="AB64" i="1"/>
  <c r="X130" i="1"/>
  <c r="AB130" i="1" s="1"/>
  <c r="AB55" i="1"/>
  <c r="X121" i="1"/>
  <c r="AB121" i="1" s="1"/>
  <c r="X137" i="1"/>
  <c r="AB137" i="1" s="1"/>
  <c r="AB71" i="1"/>
  <c r="AB108" i="1"/>
  <c r="X131" i="1"/>
  <c r="AB131" i="1" s="1"/>
  <c r="AB109" i="1"/>
  <c r="AB18" i="1"/>
  <c r="X84" i="1"/>
  <c r="AB84" i="1" s="1"/>
  <c r="X40" i="1"/>
  <c r="AB40" i="1" s="1"/>
  <c r="X81" i="1"/>
  <c r="AB81" i="1" s="1"/>
  <c r="AB15" i="1"/>
  <c r="X37" i="1"/>
  <c r="AB37" i="1" s="1"/>
  <c r="X171" i="1"/>
  <c r="AB171" i="1" s="1"/>
  <c r="AB147" i="1"/>
  <c r="AB25" i="1"/>
  <c r="X47" i="1"/>
  <c r="AB47" i="1" s="1"/>
  <c r="X91" i="1"/>
  <c r="AB91" i="1" s="1"/>
  <c r="X128" i="1"/>
  <c r="AB128" i="1" s="1"/>
  <c r="AB106" i="1"/>
  <c r="X156" i="1"/>
  <c r="X170" i="1"/>
  <c r="AB170" i="1" s="1"/>
  <c r="AB146" i="1"/>
  <c r="X173" i="1"/>
  <c r="AB173" i="1" s="1"/>
  <c r="AB149" i="1"/>
  <c r="AB103" i="1"/>
  <c r="AB102" i="1"/>
  <c r="X87" i="1"/>
  <c r="AB87" i="1" s="1"/>
  <c r="AB21" i="1"/>
  <c r="X43" i="1"/>
  <c r="AB43" i="1" s="1"/>
  <c r="X49" i="1"/>
  <c r="AB49" i="1" s="1"/>
  <c r="X93" i="1"/>
  <c r="AB93" i="1" s="1"/>
  <c r="AB27" i="1"/>
  <c r="AB101" i="1"/>
  <c r="X34" i="1"/>
  <c r="AB34" i="1" s="1"/>
  <c r="X78" i="1"/>
  <c r="AB78" i="1" s="1"/>
  <c r="AB12" i="1"/>
  <c r="X123" i="1"/>
  <c r="AB123" i="1" s="1"/>
  <c r="AB57" i="1"/>
  <c r="X175" i="1"/>
  <c r="AB175" i="1" s="1"/>
  <c r="AB151" i="1"/>
  <c r="AB159" i="1"/>
  <c r="X179" i="1"/>
  <c r="AB179" i="1" s="1"/>
  <c r="AB167" i="1"/>
  <c r="AB52" i="1"/>
  <c r="AB161" i="1"/>
  <c r="X133" i="1"/>
  <c r="AB133" i="1" s="1"/>
  <c r="AB67" i="1"/>
  <c r="AB163" i="1"/>
  <c r="AB115" i="1"/>
  <c r="AB68" i="1"/>
  <c r="X134" i="1"/>
  <c r="AB134" i="1" s="1"/>
  <c r="AB114" i="1"/>
  <c r="X136" i="1"/>
  <c r="AB136" i="1" s="1"/>
  <c r="X135" i="1"/>
  <c r="AB135" i="1" s="1"/>
  <c r="AB113" i="1"/>
  <c r="AB112" i="1"/>
  <c r="X30" i="1"/>
  <c r="AB30" i="1" s="1"/>
  <c r="AB8" i="1"/>
  <c r="X28" i="1"/>
  <c r="X39" i="1"/>
  <c r="AB39" i="1" s="1"/>
  <c r="AB17" i="1"/>
  <c r="X83" i="1"/>
  <c r="AB83" i="1" s="1"/>
  <c r="X168" i="1"/>
  <c r="X184" i="1" s="1"/>
  <c r="AB158" i="1"/>
  <c r="X80" i="1"/>
  <c r="AB80" i="1" s="1"/>
  <c r="X36" i="1"/>
  <c r="AB36" i="1" s="1"/>
  <c r="AB14" i="1"/>
  <c r="AB10" i="1"/>
  <c r="X76" i="1"/>
  <c r="AB76" i="1" s="1"/>
  <c r="X32" i="1"/>
  <c r="AB32" i="1" s="1"/>
  <c r="X120" i="1"/>
  <c r="AB120" i="1" s="1"/>
  <c r="AB54" i="1"/>
  <c r="X88" i="1"/>
  <c r="AB88" i="1" s="1"/>
  <c r="AB22" i="1"/>
  <c r="X44" i="1"/>
  <c r="AB44" i="1" s="1"/>
  <c r="X85" i="1"/>
  <c r="AB85" i="1" s="1"/>
  <c r="X41" i="1"/>
  <c r="AB41" i="1" s="1"/>
  <c r="AB19" i="1"/>
  <c r="X638" i="1"/>
  <c r="AB638" i="1" s="1"/>
  <c r="U712" i="1"/>
  <c r="X498" i="1"/>
  <c r="X491" i="1"/>
  <c r="X482" i="1"/>
  <c r="X460" i="1"/>
  <c r="X448" i="1"/>
  <c r="X604" i="1"/>
  <c r="AB604" i="1" s="1"/>
  <c r="X654" i="1"/>
  <c r="AB654" i="1" s="1"/>
  <c r="X681" i="1"/>
  <c r="AB681" i="1" s="1"/>
  <c r="X617" i="1"/>
  <c r="AB617" i="1" s="1"/>
  <c r="X596" i="1"/>
  <c r="AB596" i="1" s="1"/>
  <c r="AB580" i="1"/>
  <c r="X74" i="1"/>
  <c r="AB74" i="1" s="1"/>
  <c r="X118" i="1"/>
  <c r="AB118" i="1" s="1"/>
  <c r="X116" i="1"/>
  <c r="X142" i="1" s="1"/>
  <c r="AB96" i="1"/>
  <c r="AB66" i="1"/>
  <c r="X132" i="1"/>
  <c r="AB132" i="1" s="1"/>
  <c r="X72" i="1"/>
  <c r="X140" i="1" s="1"/>
  <c r="X653" i="1"/>
  <c r="AB653" i="1" s="1"/>
  <c r="W686" i="1"/>
  <c r="X611" i="1"/>
  <c r="AB611" i="1" s="1"/>
  <c r="X610" i="1"/>
  <c r="AB610" i="1" s="1"/>
  <c r="W679" i="1"/>
  <c r="X659" i="1"/>
  <c r="AB659" i="1" s="1"/>
  <c r="W670" i="1"/>
  <c r="X658" i="1"/>
  <c r="AB658" i="1" s="1"/>
  <c r="X603" i="1"/>
  <c r="AB603" i="1" s="1"/>
  <c r="X614" i="1"/>
  <c r="AB614" i="1" s="1"/>
  <c r="U333" i="1"/>
  <c r="U366" i="1" s="1"/>
  <c r="V672" i="1"/>
  <c r="V688" i="1" s="1"/>
  <c r="W648" i="1"/>
  <c r="W636" i="1"/>
  <c r="W358" i="1"/>
  <c r="W368" i="1" s="1"/>
  <c r="V729" i="1"/>
  <c r="T369" i="1"/>
  <c r="T702" i="1" s="1"/>
  <c r="X609" i="1"/>
  <c r="AB609" i="1" s="1"/>
  <c r="X602" i="1"/>
  <c r="AB602" i="1" s="1"/>
  <c r="X661" i="1"/>
  <c r="AB661" i="1" s="1"/>
  <c r="X618" i="1"/>
  <c r="AB618" i="1" s="1"/>
  <c r="AP40" i="7"/>
  <c r="AN40" i="7"/>
  <c r="AN33" i="7"/>
  <c r="AP33" i="7"/>
  <c r="AP36" i="7"/>
  <c r="AN36" i="7"/>
  <c r="AP37" i="7"/>
  <c r="AN37" i="7"/>
  <c r="AP39" i="7"/>
  <c r="AN39" i="7"/>
  <c r="AP35" i="7"/>
  <c r="AN35" i="7"/>
  <c r="AN34" i="7"/>
  <c r="AP34" i="7"/>
  <c r="AS38" i="7"/>
  <c r="AN38" i="7"/>
  <c r="AP38" i="7"/>
  <c r="X650" i="1"/>
  <c r="AB650" i="1" s="1"/>
  <c r="X663" i="1"/>
  <c r="AB663" i="1" s="1"/>
  <c r="X600" i="1"/>
  <c r="AB600" i="1" s="1"/>
  <c r="AS33" i="7"/>
  <c r="AS40" i="7"/>
  <c r="X597" i="1"/>
  <c r="AB597" i="1" s="1"/>
  <c r="AS35" i="7"/>
  <c r="AS39" i="7"/>
  <c r="AS37" i="7"/>
  <c r="AI42" i="7"/>
  <c r="V10" i="7" s="1"/>
  <c r="AS34" i="7"/>
  <c r="AI44" i="7"/>
  <c r="V12" i="7" s="1"/>
  <c r="AS36" i="7"/>
  <c r="AI41" i="7"/>
  <c r="V9" i="7" s="1"/>
  <c r="X598" i="1"/>
  <c r="AB598" i="1" s="1"/>
  <c r="X644" i="1"/>
  <c r="AB644" i="1" s="1"/>
  <c r="X664" i="1"/>
  <c r="AB664" i="1" s="1"/>
  <c r="X623" i="1"/>
  <c r="AB623" i="1" s="1"/>
  <c r="X666" i="1"/>
  <c r="AB666" i="1" s="1"/>
  <c r="X612" i="1"/>
  <c r="AB612" i="1" s="1"/>
  <c r="X608" i="1"/>
  <c r="AB608" i="1" s="1"/>
  <c r="X676" i="1"/>
  <c r="AB676" i="1" s="1"/>
  <c r="X684" i="1"/>
  <c r="AB684" i="1" s="1"/>
  <c r="X640" i="1"/>
  <c r="AB640" i="1" s="1"/>
  <c r="X642" i="1"/>
  <c r="AB642" i="1" s="1"/>
  <c r="X652" i="1"/>
  <c r="AB652" i="1" s="1"/>
  <c r="X675" i="1"/>
  <c r="AB675" i="1" s="1"/>
  <c r="X607" i="1"/>
  <c r="AB607" i="1" s="1"/>
  <c r="X656" i="1"/>
  <c r="AB656" i="1" s="1"/>
  <c r="X606" i="1"/>
  <c r="AB606" i="1" s="1"/>
  <c r="X639" i="1"/>
  <c r="AB639" i="1" s="1"/>
  <c r="X605" i="1"/>
  <c r="AB605" i="1" s="1"/>
  <c r="X625" i="1"/>
  <c r="AB625" i="1" s="1"/>
  <c r="X629" i="1"/>
  <c r="AB629" i="1" s="1"/>
  <c r="X657" i="1"/>
  <c r="AB657" i="1" s="1"/>
  <c r="X620" i="1"/>
  <c r="AB620" i="1" s="1"/>
  <c r="X641" i="1"/>
  <c r="AB641" i="1" s="1"/>
  <c r="X635" i="1"/>
  <c r="AB635" i="1" s="1"/>
  <c r="X682" i="1"/>
  <c r="AB682" i="1" s="1"/>
  <c r="X599" i="1"/>
  <c r="AB599" i="1" s="1"/>
  <c r="X660" i="1"/>
  <c r="AB660" i="1" s="1"/>
  <c r="X678" i="1"/>
  <c r="AB678" i="1" s="1"/>
  <c r="X667" i="1"/>
  <c r="AB667" i="1" s="1"/>
  <c r="X647" i="1"/>
  <c r="AB647" i="1" s="1"/>
  <c r="X633" i="1"/>
  <c r="AB633" i="1" s="1"/>
  <c r="AB674" i="1"/>
  <c r="X685" i="1"/>
  <c r="AB685" i="1" s="1"/>
  <c r="X601" i="1"/>
  <c r="AB601" i="1" s="1"/>
  <c r="X613" i="1"/>
  <c r="AB613" i="1" s="1"/>
  <c r="X665" i="1"/>
  <c r="AB665" i="1" s="1"/>
  <c r="X622" i="1"/>
  <c r="AB622" i="1" s="1"/>
  <c r="X627" i="1"/>
  <c r="AB627" i="1" s="1"/>
  <c r="X646" i="1"/>
  <c r="AB646" i="1" s="1"/>
  <c r="U196" i="1"/>
  <c r="W143" i="1"/>
  <c r="W144" i="1" s="1"/>
  <c r="W185" i="1"/>
  <c r="W186" i="1" s="1"/>
  <c r="X624" i="1"/>
  <c r="AB624" i="1" s="1"/>
  <c r="X634" i="1"/>
  <c r="AB634" i="1" s="1"/>
  <c r="X632" i="1"/>
  <c r="AB632" i="1" s="1"/>
  <c r="X592" i="1"/>
  <c r="X615" i="1"/>
  <c r="AB615" i="1" s="1"/>
  <c r="X631" i="1"/>
  <c r="AB631" i="1" s="1"/>
  <c r="X645" i="1"/>
  <c r="AB645" i="1" s="1"/>
  <c r="X554" i="1"/>
  <c r="X651" i="1"/>
  <c r="AB651" i="1" s="1"/>
  <c r="X621" i="1"/>
  <c r="AB621" i="1" s="1"/>
  <c r="X643" i="1"/>
  <c r="AB643" i="1" s="1"/>
  <c r="X628" i="1"/>
  <c r="AB628" i="1" s="1"/>
  <c r="X616" i="1"/>
  <c r="AB616" i="1" s="1"/>
  <c r="X669" i="1"/>
  <c r="AB669" i="1" s="1"/>
  <c r="X542" i="1"/>
  <c r="X576" i="1"/>
  <c r="W578" i="1"/>
  <c r="W594" i="1" s="1"/>
  <c r="W720" i="1" s="1"/>
  <c r="X655" i="1"/>
  <c r="AB655" i="1" s="1"/>
  <c r="X677" i="1"/>
  <c r="AB677" i="1" s="1"/>
  <c r="X668" i="1"/>
  <c r="AB668" i="1" s="1"/>
  <c r="X619" i="1"/>
  <c r="AB619" i="1" s="1"/>
  <c r="X585" i="1"/>
  <c r="X630" i="1"/>
  <c r="AB630" i="1" s="1"/>
  <c r="X626" i="1"/>
  <c r="AB626" i="1" s="1"/>
  <c r="X662" i="1"/>
  <c r="AB662" i="1" s="1"/>
  <c r="X683" i="1"/>
  <c r="AB683" i="1" s="1"/>
  <c r="V710" i="1"/>
  <c r="V712" i="1"/>
  <c r="V193" i="1"/>
  <c r="V195" i="1"/>
  <c r="V196" i="1" s="1"/>
  <c r="W192" i="1"/>
  <c r="W194" i="1"/>
  <c r="AI46" i="7"/>
  <c r="V14" i="7" s="1"/>
  <c r="AI47" i="7"/>
  <c r="V15" i="7" s="1"/>
  <c r="AI48" i="7"/>
  <c r="V16" i="7" s="1"/>
  <c r="AI45" i="7"/>
  <c r="V13" i="7" s="1"/>
  <c r="AI43" i="7"/>
  <c r="V11" i="7" s="1"/>
  <c r="S780" i="1"/>
  <c r="S718" i="1"/>
  <c r="S722" i="1" s="1"/>
  <c r="S714" i="1"/>
  <c r="S196" i="1"/>
  <c r="P727" i="1"/>
  <c r="P735" i="1" s="1"/>
  <c r="G1" i="3"/>
  <c r="U714" i="1"/>
  <c r="T714" i="1"/>
  <c r="T196" i="1"/>
  <c r="AA28" i="1"/>
  <c r="AA156" i="1"/>
  <c r="W698" i="1" l="1"/>
  <c r="W699" i="1" s="1"/>
  <c r="W383" i="1"/>
  <c r="W379" i="1"/>
  <c r="W375" i="1"/>
  <c r="W384" i="1"/>
  <c r="W376" i="1"/>
  <c r="W382" i="1"/>
  <c r="W378" i="1"/>
  <c r="W381" i="1"/>
  <c r="W377" i="1"/>
  <c r="W380" i="1"/>
  <c r="X50" i="1"/>
  <c r="X180" i="1"/>
  <c r="X182" i="1"/>
  <c r="X183" i="1" s="1"/>
  <c r="X484" i="1"/>
  <c r="X500" i="1" s="1"/>
  <c r="X752" i="1" s="1"/>
  <c r="X781" i="1" s="1"/>
  <c r="W672" i="1"/>
  <c r="W688" i="1" s="1"/>
  <c r="X138" i="1"/>
  <c r="X94" i="1"/>
  <c r="U369" i="1"/>
  <c r="P744" i="1"/>
  <c r="H1" i="3" s="1"/>
  <c r="P750" i="1"/>
  <c r="X358" i="1"/>
  <c r="X368" i="1" s="1"/>
  <c r="AB349" i="1"/>
  <c r="T716" i="1"/>
  <c r="T372" i="1"/>
  <c r="T703" i="1"/>
  <c r="T705" i="1" s="1"/>
  <c r="T385" i="1"/>
  <c r="T370" i="1"/>
  <c r="V333" i="1"/>
  <c r="V366" i="1" s="1"/>
  <c r="W729" i="1"/>
  <c r="W333" i="1"/>
  <c r="W366" i="1" s="1"/>
  <c r="AS1" i="7"/>
  <c r="J1" i="7" s="1"/>
  <c r="X648" i="1"/>
  <c r="X143" i="1"/>
  <c r="X144" i="1" s="1"/>
  <c r="AA144" i="1" s="1"/>
  <c r="M194" i="4" s="1"/>
  <c r="X141" i="1"/>
  <c r="X578" i="1"/>
  <c r="X594" i="1" s="1"/>
  <c r="X720" i="1" s="1"/>
  <c r="X679" i="1"/>
  <c r="X686" i="1"/>
  <c r="X670" i="1"/>
  <c r="X636" i="1"/>
  <c r="W712" i="1"/>
  <c r="V714" i="1"/>
  <c r="X194" i="1"/>
  <c r="W195" i="1"/>
  <c r="W196" i="1" s="1"/>
  <c r="W193" i="1"/>
  <c r="W710" i="1"/>
  <c r="X694" i="1"/>
  <c r="X695" i="1" s="1"/>
  <c r="AB328" i="1" s="1"/>
  <c r="AA168" i="1"/>
  <c r="AA138" i="1"/>
  <c r="AA72" i="1"/>
  <c r="AA116" i="1"/>
  <c r="AA180" i="1"/>
  <c r="X192" i="1" l="1"/>
  <c r="X185" i="1"/>
  <c r="X186" i="1" s="1"/>
  <c r="AA186" i="1" s="1"/>
  <c r="M195" i="4" s="1"/>
  <c r="U370" i="1"/>
  <c r="U702" i="1"/>
  <c r="U703" i="1" s="1"/>
  <c r="U705" i="1" s="1"/>
  <c r="U780" i="1" s="1"/>
  <c r="U716" i="1"/>
  <c r="U385" i="1"/>
  <c r="U372" i="1"/>
  <c r="U373" i="1" s="1"/>
  <c r="P779" i="1"/>
  <c r="P783" i="1" s="1"/>
  <c r="P753" i="1"/>
  <c r="T780" i="1"/>
  <c r="T751" i="1"/>
  <c r="T373" i="1"/>
  <c r="T718" i="1"/>
  <c r="T722" i="1" s="1"/>
  <c r="W369" i="1"/>
  <c r="V369" i="1"/>
  <c r="X672" i="1"/>
  <c r="X688" i="1" s="1"/>
  <c r="X712" i="1"/>
  <c r="W714" i="1"/>
  <c r="X698" i="1" l="1"/>
  <c r="X699" i="1" s="1"/>
  <c r="X383" i="1"/>
  <c r="X379" i="1"/>
  <c r="X375" i="1"/>
  <c r="X382" i="1"/>
  <c r="X378" i="1"/>
  <c r="X376" i="1"/>
  <c r="X381" i="1"/>
  <c r="X377" i="1"/>
  <c r="X384" i="1"/>
  <c r="X380" i="1"/>
  <c r="X195" i="1"/>
  <c r="X714" i="1" s="1"/>
  <c r="X729" i="1"/>
  <c r="X193" i="1"/>
  <c r="X710" i="1"/>
  <c r="X333" i="1"/>
  <c r="X366" i="1" s="1"/>
  <c r="V370" i="1"/>
  <c r="V702" i="1"/>
  <c r="V703" i="1" s="1"/>
  <c r="V705" i="1" s="1"/>
  <c r="W370" i="1"/>
  <c r="W702" i="1"/>
  <c r="W703" i="1" s="1"/>
  <c r="W705" i="1" s="1"/>
  <c r="U718" i="1"/>
  <c r="U722" i="1" s="1"/>
  <c r="U751" i="1"/>
  <c r="W716" i="1"/>
  <c r="W372" i="1"/>
  <c r="W385" i="1"/>
  <c r="V716" i="1"/>
  <c r="V372" i="1"/>
  <c r="V385" i="1"/>
  <c r="AA710" i="1" l="1"/>
  <c r="X196" i="1"/>
  <c r="AA196" i="1" s="1"/>
  <c r="M196" i="4" s="1"/>
  <c r="AB327" i="1"/>
  <c r="X369" i="1"/>
  <c r="X702" i="1" s="1"/>
  <c r="X703" i="1" s="1"/>
  <c r="X705" i="1" s="1"/>
  <c r="X751" i="1" s="1"/>
  <c r="W751" i="1"/>
  <c r="W373" i="1"/>
  <c r="V718" i="1"/>
  <c r="V722" i="1" s="1"/>
  <c r="V373" i="1"/>
  <c r="W780" i="1"/>
  <c r="W718" i="1"/>
  <c r="W722" i="1" s="1"/>
  <c r="V780" i="1"/>
  <c r="V751" i="1"/>
  <c r="X716" i="1" l="1"/>
  <c r="X385" i="1"/>
  <c r="AA385" i="1" s="1"/>
  <c r="M198" i="4" s="1"/>
  <c r="X370" i="1"/>
  <c r="AA370" i="1" s="1"/>
  <c r="M197" i="4" s="1"/>
  <c r="X372" i="1"/>
  <c r="X718" i="1" s="1"/>
  <c r="X722" i="1" s="1"/>
  <c r="X780" i="1"/>
  <c r="X373" i="1" l="1"/>
  <c r="AA714" i="1"/>
  <c r="AA1" i="1" s="1"/>
  <c r="M193" i="4" s="1"/>
  <c r="F2" i="1" l="1"/>
  <c r="M188" i="4" l="1"/>
  <c r="S800" i="1"/>
  <c r="S763" i="1" s="1"/>
  <c r="S730" i="1" l="1"/>
  <c r="S796" i="1" l="1"/>
  <c r="S821" i="1" s="1"/>
  <c r="S768" i="1" l="1"/>
  <c r="S771" i="1" s="1"/>
  <c r="T800" i="1"/>
  <c r="T796" i="1" l="1"/>
  <c r="S782" i="1"/>
  <c r="T763" i="1"/>
  <c r="U796" i="1" l="1"/>
  <c r="U800" i="1"/>
  <c r="T768" i="1"/>
  <c r="T730" i="1"/>
  <c r="U763" i="1" l="1"/>
  <c r="U730" i="1" s="1"/>
  <c r="V796" i="1"/>
  <c r="V800" i="1"/>
  <c r="U768" i="1"/>
  <c r="V763" i="1" l="1"/>
  <c r="V730" i="1" s="1"/>
  <c r="W796" i="1"/>
  <c r="W800" i="1"/>
  <c r="V768" i="1"/>
  <c r="J794" i="1" l="1"/>
  <c r="W763" i="1"/>
  <c r="X800" i="1"/>
  <c r="J800" i="1" s="1"/>
  <c r="W768" i="1"/>
  <c r="J795" i="1"/>
  <c r="X796" i="1" l="1"/>
  <c r="J796" i="1" s="1"/>
  <c r="X763" i="1"/>
  <c r="W730" i="1"/>
  <c r="Y796" i="1" l="1"/>
  <c r="X768" i="1"/>
  <c r="X730" i="1"/>
  <c r="T805" i="1"/>
  <c r="T769" i="1" s="1"/>
  <c r="J804" i="1"/>
  <c r="W805" i="1"/>
  <c r="W821" i="1" s="1"/>
  <c r="V829" i="1" s="1"/>
  <c r="J803" i="1"/>
  <c r="V805" i="1"/>
  <c r="V821" i="1" s="1"/>
  <c r="U829" i="1" s="1"/>
  <c r="U805" i="1"/>
  <c r="U821" i="1" s="1"/>
  <c r="X805" i="1"/>
  <c r="X821" i="1" s="1"/>
  <c r="W829" i="1" s="1"/>
  <c r="T821" i="1" l="1"/>
  <c r="T828" i="1" s="1"/>
  <c r="J805" i="1"/>
  <c r="X769" i="1"/>
  <c r="W769" i="1"/>
  <c r="Y805" i="1"/>
  <c r="Y821" i="1" s="1"/>
  <c r="X829" i="1" s="1"/>
  <c r="X828" i="1" s="1"/>
  <c r="U769" i="1"/>
  <c r="T829" i="1"/>
  <c r="V769" i="1"/>
  <c r="S809" i="1"/>
  <c r="S822" i="1" s="1"/>
  <c r="X809" i="1"/>
  <c r="X764" i="1" s="1"/>
  <c r="T809" i="1"/>
  <c r="T764" i="1" s="1"/>
  <c r="J808" i="1"/>
  <c r="V809" i="1"/>
  <c r="V764" i="1" s="1"/>
  <c r="W809" i="1"/>
  <c r="W764" i="1" s="1"/>
  <c r="J807" i="1"/>
  <c r="U809" i="1"/>
  <c r="U822" i="1" s="1"/>
  <c r="J821" i="1" l="1"/>
  <c r="V828" i="1"/>
  <c r="S829" i="1"/>
  <c r="W828" i="1"/>
  <c r="S828" i="1"/>
  <c r="U828" i="1"/>
  <c r="U764" i="1"/>
  <c r="S764" i="1"/>
  <c r="S731" i="1" s="1"/>
  <c r="T731" i="1"/>
  <c r="X731" i="1"/>
  <c r="W731" i="1"/>
  <c r="V731" i="1"/>
  <c r="X822" i="1"/>
  <c r="V822" i="1"/>
  <c r="U731" i="1"/>
  <c r="W822" i="1"/>
  <c r="J809" i="1"/>
  <c r="T822" i="1"/>
  <c r="J822" i="1" l="1"/>
  <c r="V814" i="1"/>
  <c r="V770" i="1" s="1"/>
  <c r="V771" i="1" s="1"/>
  <c r="V782" i="1" s="1"/>
  <c r="T814" i="1"/>
  <c r="T770" i="1" s="1"/>
  <c r="T771" i="1" s="1"/>
  <c r="T782" i="1" s="1"/>
  <c r="X814" i="1"/>
  <c r="X770" i="1" s="1"/>
  <c r="X771" i="1" s="1"/>
  <c r="X782" i="1" s="1"/>
  <c r="W814" i="1"/>
  <c r="W770" i="1" s="1"/>
  <c r="W771" i="1" s="1"/>
  <c r="W782" i="1" s="1"/>
  <c r="U814" i="1"/>
  <c r="U770" i="1" s="1"/>
  <c r="U771" i="1" s="1"/>
  <c r="U782" i="1" s="1"/>
  <c r="J812" i="1"/>
  <c r="J813" i="1"/>
  <c r="Y814" i="1" l="1"/>
  <c r="Y825" i="1" s="1"/>
  <c r="X831" i="1" s="1"/>
  <c r="X830" i="1" s="1"/>
  <c r="U825" i="1"/>
  <c r="T831" i="1" s="1"/>
  <c r="V825" i="1"/>
  <c r="U831" i="1" s="1"/>
  <c r="W825" i="1"/>
  <c r="V831" i="1" s="1"/>
  <c r="X825" i="1"/>
  <c r="W831" i="1" s="1"/>
  <c r="J814" i="1"/>
  <c r="T825" i="1"/>
  <c r="J825" i="1" l="1"/>
  <c r="V830" i="1"/>
  <c r="S831" i="1"/>
  <c r="T830" i="1"/>
  <c r="W830" i="1"/>
  <c r="U830" i="1"/>
  <c r="S830" i="1"/>
  <c r="J817" i="1"/>
  <c r="V818" i="1"/>
  <c r="V765" i="1" s="1"/>
  <c r="W818" i="1"/>
  <c r="W826" i="1" s="1"/>
  <c r="U818" i="1"/>
  <c r="U765" i="1" s="1"/>
  <c r="T818" i="1"/>
  <c r="S818" i="1"/>
  <c r="S826" i="1" s="1"/>
  <c r="J816" i="1"/>
  <c r="X818" i="1"/>
  <c r="X765" i="1" s="1"/>
  <c r="S765" i="1" l="1"/>
  <c r="S732" i="1" s="1"/>
  <c r="S733" i="1" s="1"/>
  <c r="S735" i="1" s="1"/>
  <c r="S750" i="1" s="1"/>
  <c r="J818" i="1"/>
  <c r="T765" i="1"/>
  <c r="T732" i="1" s="1"/>
  <c r="T733" i="1" s="1"/>
  <c r="T735" i="1" s="1"/>
  <c r="T738" i="1" s="1"/>
  <c r="T742" i="1" s="1"/>
  <c r="T744" i="1" s="1"/>
  <c r="J1" i="3" s="1"/>
  <c r="U766" i="1"/>
  <c r="U732" i="1"/>
  <c r="U733" i="1" s="1"/>
  <c r="U735" i="1" s="1"/>
  <c r="X732" i="1"/>
  <c r="X733" i="1" s="1"/>
  <c r="X735" i="1" s="1"/>
  <c r="X766" i="1"/>
  <c r="V732" i="1"/>
  <c r="V733" i="1" s="1"/>
  <c r="V735" i="1" s="1"/>
  <c r="V766" i="1"/>
  <c r="X826" i="1"/>
  <c r="U826" i="1"/>
  <c r="V826" i="1"/>
  <c r="T826" i="1"/>
  <c r="W765" i="1"/>
  <c r="T766" i="1" l="1"/>
  <c r="S766" i="1"/>
  <c r="S744" i="1"/>
  <c r="I1" i="3" s="1"/>
  <c r="T750" i="1"/>
  <c r="T779" i="1" s="1"/>
  <c r="J826" i="1"/>
  <c r="X738" i="1"/>
  <c r="X742" i="1" s="1"/>
  <c r="X744" i="1" s="1"/>
  <c r="N1" i="3" s="1"/>
  <c r="U750" i="1"/>
  <c r="U779" i="1" s="1"/>
  <c r="U738" i="1"/>
  <c r="U742" i="1" s="1"/>
  <c r="V750" i="1" s="1"/>
  <c r="V779" i="1" s="1"/>
  <c r="V738" i="1"/>
  <c r="V742" i="1" s="1"/>
  <c r="V744" i="1" s="1"/>
  <c r="L1" i="3" s="1"/>
  <c r="W732" i="1"/>
  <c r="W733" i="1" s="1"/>
  <c r="W735" i="1" s="1"/>
  <c r="W766" i="1"/>
  <c r="S779" i="1"/>
  <c r="S783" i="1" s="1"/>
  <c r="S753" i="1"/>
  <c r="S773" i="1" s="1"/>
  <c r="T749" i="1" s="1"/>
  <c r="U744" i="1" l="1"/>
  <c r="K1" i="3" s="1"/>
  <c r="T753" i="1"/>
  <c r="T773" i="1" s="1"/>
  <c r="U749" i="1" s="1"/>
  <c r="T778" i="1"/>
  <c r="T783" i="1" s="1"/>
  <c r="W750" i="1"/>
  <c r="W779" i="1" s="1"/>
  <c r="W738" i="1"/>
  <c r="W742" i="1" s="1"/>
  <c r="X750" i="1" s="1"/>
  <c r="X779" i="1" s="1"/>
  <c r="W744" i="1" l="1"/>
  <c r="M1" i="3" s="1"/>
  <c r="D1" i="3" s="1"/>
  <c r="M200" i="4" s="1"/>
  <c r="M2" i="4" s="1"/>
  <c r="U753" i="1"/>
  <c r="U773" i="1" s="1"/>
  <c r="V749" i="1" s="1"/>
  <c r="U778" i="1"/>
  <c r="U783" i="1" s="1"/>
  <c r="V753" i="1" l="1"/>
  <c r="V773" i="1" s="1"/>
  <c r="W749" i="1" s="1"/>
  <c r="V778" i="1"/>
  <c r="V783" i="1" s="1"/>
  <c r="W753" i="1" l="1"/>
  <c r="W773" i="1" s="1"/>
  <c r="X749" i="1" s="1"/>
  <c r="W778" i="1"/>
  <c r="W783" i="1" s="1"/>
  <c r="X753" i="1" l="1"/>
  <c r="X773" i="1" s="1"/>
  <c r="X778" i="1"/>
  <c r="X783"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<sst xmlns="http://schemas.openxmlformats.org/spreadsheetml/2006/main" count="8516" uniqueCount="2091">
  <si>
    <t>ITEM</t>
  </si>
  <si>
    <t>SUB-ITEM1</t>
  </si>
  <si>
    <t>SUB-ITEM2</t>
  </si>
  <si>
    <t>SUB-ITEM3</t>
  </si>
  <si>
    <t>ANNEE-2</t>
  </si>
  <si>
    <t>ANNEE-1</t>
  </si>
  <si>
    <t>ANNEE EN COURS</t>
  </si>
  <si>
    <t>ANNEE2</t>
  </si>
  <si>
    <t>ANNEE3</t>
  </si>
  <si>
    <t>ANNEE4</t>
  </si>
  <si>
    <t>ANNEE5</t>
  </si>
  <si>
    <t>ANNEE6</t>
  </si>
  <si>
    <t>VALEUR</t>
  </si>
  <si>
    <t>ANNEE</t>
  </si>
  <si>
    <t>MONNAIE LOCALE</t>
  </si>
  <si>
    <t>TAUX DE CHANGE MONNAIE LOCALE / EURO</t>
  </si>
  <si>
    <t>DATE DE CONVERSION</t>
  </si>
  <si>
    <t>SEMESTRE 1</t>
  </si>
  <si>
    <t>SEMESTRE 2</t>
  </si>
  <si>
    <t>TVA APPLICABLE DANS LE PAYS</t>
  </si>
  <si>
    <t>INFLATION ANNUELLE DANS LE PAYS</t>
  </si>
  <si>
    <t>VALUE</t>
  </si>
  <si>
    <t>CFA</t>
  </si>
  <si>
    <t>ANNEE EN COURS H1</t>
  </si>
  <si>
    <t>ANNEE EN COURS H2</t>
  </si>
  <si>
    <t>http://www.xe.com/currencyconverter/</t>
  </si>
  <si>
    <t>ENTREPRISE</t>
  </si>
  <si>
    <t>PAYS</t>
  </si>
  <si>
    <t>PRODUIT 10</t>
  </si>
  <si>
    <t>TOTAL</t>
  </si>
  <si>
    <t>DESCRIPTION1</t>
  </si>
  <si>
    <t>DESCRIPTION2</t>
  </si>
  <si>
    <t>DEPENSES OPERATIONNELLES</t>
  </si>
  <si>
    <t>COUT DE MARKETING</t>
  </si>
  <si>
    <t>RECHERCHE</t>
  </si>
  <si>
    <t>ACHATS D'ÉTUDES ET PRESTATIONS DE SERVICES</t>
  </si>
  <si>
    <t>RECEPTIONS</t>
  </si>
  <si>
    <t>DOCUMENTATION GENERALE</t>
  </si>
  <si>
    <t>PUBLICITE</t>
  </si>
  <si>
    <t>SALAIRES DE PERSONNEL</t>
  </si>
  <si>
    <t>NOMBRE D'EMPLOYÉ(E)S</t>
  </si>
  <si>
    <t>SALAIRE BRUT PAR PERSONNE ET PAR PERIODE</t>
  </si>
  <si>
    <t>AUTRES INDEMNITÉS ET AVANTAGES DIVERS VERSES AU PERSONNEL</t>
  </si>
  <si>
    <t>COTISATIONS PATRONALES DE SECURITE SOCIALE</t>
  </si>
  <si>
    <t>COUT PAR PERSONNE ET PAR PERIODE</t>
  </si>
  <si>
    <t>EFFECTIF</t>
  </si>
  <si>
    <t>MARKETING</t>
  </si>
  <si>
    <t>TRAVAILLEURS SAISONNIERS</t>
  </si>
  <si>
    <t>VENTE &amp; MARKETING</t>
  </si>
  <si>
    <t>ADMINISTRATION</t>
  </si>
  <si>
    <t>OPERATIONS</t>
  </si>
  <si>
    <t>CADRE - DIRECTEURS</t>
  </si>
  <si>
    <t>CADRE - DIRECTEUR GENERAL</t>
  </si>
  <si>
    <t>IMPOTS ET TAXES SUR PERSONNEL</t>
  </si>
  <si>
    <t>PRODUIT</t>
  </si>
  <si>
    <t>TAXES SUR APPOINTEMENTS ET SALAIRES</t>
  </si>
  <si>
    <t>TAXES D'APPRENTISSAGE</t>
  </si>
  <si>
    <t>FORMATION PROFESSIONNELLE CONTINUE</t>
  </si>
  <si>
    <t>AUTRES IMPOTS ET TAXES</t>
  </si>
  <si>
    <t>COUTS DE L'OFFICE</t>
  </si>
  <si>
    <t>LOYER (OFFICE + MAGASINS)</t>
  </si>
  <si>
    <t>FOURNITURES DE BUREAU</t>
  </si>
  <si>
    <t>EMBALLAGES PERDUS</t>
  </si>
  <si>
    <t>FOURNITURES NON STOCKABLES - EAU</t>
  </si>
  <si>
    <t>MATIERES COMBUSTIBLES</t>
  </si>
  <si>
    <t>FOURNITURES NON STOCKABLES - ELECTRICITE</t>
  </si>
  <si>
    <t>NETTOYAGE (OFFICES + MAGASINS)</t>
  </si>
  <si>
    <t>INTERNET (OFFICE + MAGASINS)</t>
  </si>
  <si>
    <t>TELECOMMUNICATIONS (FIXE + MOBILE)</t>
  </si>
  <si>
    <t>PETIT MATERIEL ET OUTILLAGE</t>
  </si>
  <si>
    <t>OFFICE</t>
  </si>
  <si>
    <t>AUTRES CHARGES</t>
  </si>
  <si>
    <t>ASSURANCES</t>
  </si>
  <si>
    <t>ENTRETIEN</t>
  </si>
  <si>
    <t>VOYAGE &amp; DEPLACEMENT</t>
  </si>
  <si>
    <t>DONS</t>
  </si>
  <si>
    <t/>
  </si>
  <si>
    <t>NOMBRE DE PERSONNES VOYAGEANT</t>
  </si>
  <si>
    <t>ASSURANCE DE L'ENTREPRISE</t>
  </si>
  <si>
    <t>TRANSPORT DE MARCHANDISES (CARBURANT)</t>
  </si>
  <si>
    <t>COMMISSIONS ET COURTAGES SUR VENTES</t>
  </si>
  <si>
    <t>COMPTABILITÉ &amp; FISCALITÉ</t>
  </si>
  <si>
    <t>MEDECINE DU TRAVAIL ET PHARMACIE</t>
  </si>
  <si>
    <t>INDEMNITES DE FONCTION ET REMUNERATIONS D'ADMINISTRATEURS</t>
  </si>
  <si>
    <t>MECENAT</t>
  </si>
  <si>
    <t>COUT MOYEN DU VOYAGE PAR PERSONNE</t>
  </si>
  <si>
    <t>ASSURANCE DU BATIMENT</t>
  </si>
  <si>
    <t>ENTRETIEN ET REPARATION DES BIENS MOBILIERS</t>
  </si>
  <si>
    <t>CHARGES DE DEMENTELLEMENT ET REMISE EN ETAT</t>
  </si>
  <si>
    <t>AUTRE ENTRETIENS ET REPARATION</t>
  </si>
  <si>
    <t>FRAIS DE DEMARRAGE LEGAUX (NOTAIRE, OBLIGATIONS GOUVERNEMENTALES ...)</t>
  </si>
  <si>
    <t>FRAIS DE SUIVI PRET FACTURE D'AVANCE</t>
  </si>
  <si>
    <t>AUTRES FRAIS DE DÉMARRAGE (SI NON ACTIVE)</t>
  </si>
  <si>
    <t>CONSEILLER JURIDIQUE</t>
  </si>
  <si>
    <t>TIERCES PARTIES</t>
  </si>
  <si>
    <t>NOTE</t>
  </si>
  <si>
    <t>X</t>
  </si>
  <si>
    <t>Y</t>
  </si>
  <si>
    <t>Z</t>
  </si>
  <si>
    <t>A</t>
  </si>
  <si>
    <t>B</t>
  </si>
  <si>
    <t>EFF_CAT10</t>
  </si>
  <si>
    <t>EFF_CAT01</t>
  </si>
  <si>
    <t>EFF_CAT02</t>
  </si>
  <si>
    <t>EFF_CAT03</t>
  </si>
  <si>
    <t>EFF_CAT04</t>
  </si>
  <si>
    <t>EFF_CAT05</t>
  </si>
  <si>
    <t>EFF_CAT06</t>
  </si>
  <si>
    <t>EFF_CAT07</t>
  </si>
  <si>
    <t>EFF_CAT08</t>
  </si>
  <si>
    <t>EFF_CAT09</t>
  </si>
  <si>
    <t>CHECK</t>
  </si>
  <si>
    <t>%</t>
  </si>
  <si>
    <t>VOIR NOTE</t>
  </si>
  <si>
    <t>(All)</t>
  </si>
  <si>
    <t>SERVICE 10</t>
  </si>
  <si>
    <t>EFF8</t>
  </si>
  <si>
    <t>EFF9</t>
  </si>
  <si>
    <t>EFF10</t>
  </si>
  <si>
    <t>INTERIMAIRES</t>
  </si>
  <si>
    <t>EMPLOYE(E)S</t>
  </si>
  <si>
    <t>SERVICE</t>
  </si>
  <si>
    <t>SECTION</t>
  </si>
  <si>
    <t>INVESTISSEMENTS</t>
  </si>
  <si>
    <t>ACTIFS IMMOBILISES</t>
  </si>
  <si>
    <t>MATERIEL DE PRODUCTION</t>
  </si>
  <si>
    <t>MATERIEL DE BUREAU</t>
  </si>
  <si>
    <t>AUTRES ACTIFS</t>
  </si>
  <si>
    <t>ACTIFS MATERIEL IMMOBILISES</t>
  </si>
  <si>
    <t>ACTIFS IMMATERIELS</t>
  </si>
  <si>
    <t>FRAIS DE DEMARRAGE</t>
  </si>
  <si>
    <t>AMORTISSEMENTS</t>
  </si>
  <si>
    <t>VALEUR BILAN FIN D'ANNEE</t>
  </si>
  <si>
    <t>FONDS DE ROULEMENT</t>
  </si>
  <si>
    <t>STOCK</t>
  </si>
  <si>
    <t>VALEUR DU STOCK SUR LA PERIODE</t>
  </si>
  <si>
    <t>PERIODE DE STOCK EXPRIME EN NOMBRE DE JOURS</t>
  </si>
  <si>
    <t>COMPTES A RECEVOIR</t>
  </si>
  <si>
    <t>COMPTES A PAYER</t>
  </si>
  <si>
    <t>VALEUR DES COMPTES A RECEVOIR SUR LA PERIODE</t>
  </si>
  <si>
    <t>PERIODE DE PAIEMENT DES FOURNISSEURS EXPRIME EN NOMBRE DE JOURS</t>
  </si>
  <si>
    <t>PERIODE DE PAIEMENT DES CLIENTS EXPRIME EN NOMBRE DE JOURS</t>
  </si>
  <si>
    <t>COUT DES PRODUITS PAR JOUR</t>
  </si>
  <si>
    <t>VALEUR DES COMPTES A PAYER SUR LA PERIODE</t>
  </si>
  <si>
    <t>(blank)</t>
  </si>
  <si>
    <t>COMPTE DE PERTES ET PROFITS</t>
  </si>
  <si>
    <t>MARGE BRUTE</t>
  </si>
  <si>
    <t>- VARIATION DES DETTES D'EXPLOITATION</t>
  </si>
  <si>
    <t>FRAIS BANCAIRES</t>
  </si>
  <si>
    <t>INTERETS</t>
  </si>
  <si>
    <t>BENEFICE NET</t>
  </si>
  <si>
    <t>+ VARIATION DES CREANCES</t>
  </si>
  <si>
    <t>PLAN FINANCIER</t>
  </si>
  <si>
    <t>Instructions</t>
  </si>
  <si>
    <t>DATE</t>
  </si>
  <si>
    <t>Nom de l'entreprise</t>
  </si>
  <si>
    <t>Pays</t>
  </si>
  <si>
    <t>Par souci de simplification, nous ne prenons en compte que le coût d'achat (dans le cas d'un produit) ou le coût matériel de l'utilisation des matières premières pour les transformer en un produit semi-fini ou fini (incluant éventuellement le coût de l'emballage non consigné).  Les autres coûts générés comme le travail et l'énergie utilisée, nous les calculerons dans l'étape suivante de la liste des dépenses opérationnelles.</t>
  </si>
  <si>
    <t>Dans le cas d'un service, nous ne calculons ni un coût de vente ni un coût de production, de sorte que la marge brute d'un service sera égale au revenu. Tous les coûts réalisés dans l'entreprise seront calculés dans la liste des dépenses opérationnelles.  Néanmoins, dans le cas où des commissions ou redevances extérieures sont payées, il y a lieu de les indiquer dans le cout des services.</t>
  </si>
  <si>
    <t>Pour finir, comparez si possible votre prix de vente calculé avec les prix actuels du marché</t>
  </si>
  <si>
    <t>PRIX UNITAIRE DE VENTE DES PRODUITS</t>
  </si>
  <si>
    <t>ETAT DES FLUX DE TRESORERIE</t>
  </si>
  <si>
    <t>POSITION DE TRESORERIE DEBUT DE LA PERIODE</t>
  </si>
  <si>
    <t>DIFFERENCE DU FONDS DE ROULEMENT PAR RAPPORT A L'ANNEE DERNIERE</t>
  </si>
  <si>
    <t>DEPENSES D'INVESTISSEMENTS</t>
  </si>
  <si>
    <t>PRET OVO</t>
  </si>
  <si>
    <t>PRET DE LA FAMILLE ET DES AMIS</t>
  </si>
  <si>
    <t>PRET BANCAIRE LOCAL</t>
  </si>
  <si>
    <t>POSITION DE TRESORERIE FIN DE PERIODE</t>
  </si>
  <si>
    <t>EBITDA</t>
  </si>
  <si>
    <t>EBIT</t>
  </si>
  <si>
    <t>BENEFICE BRUT AVANT IMPOT</t>
  </si>
  <si>
    <t>IMPOTS</t>
  </si>
  <si>
    <t>FRAIS BANCAIRES + INTERETS</t>
  </si>
  <si>
    <t>BENEFICE BRUT + AMORTISSEMENTS - IMPOT ANNEE PRECEDENTE</t>
  </si>
  <si>
    <t>SOURCE DE FINANCEMENT</t>
  </si>
  <si>
    <t>VARIATION</t>
  </si>
  <si>
    <t>+ VARIATIONS DES STOCKS SUR LES ACHATS</t>
  </si>
  <si>
    <t>BESOINS DE FINANCEMENT</t>
  </si>
  <si>
    <t>APPORT DE CAPITAL PAR ACTIONNAIRES EXISTANTS</t>
  </si>
  <si>
    <t>APPORT DE CAPITAL PAR ACTIONNAIRES NOUVEAUX</t>
  </si>
  <si>
    <t>EMPTY ____</t>
  </si>
  <si>
    <t>BILAN</t>
  </si>
  <si>
    <t>ACTIF TOTAL</t>
  </si>
  <si>
    <t>FONDS PROPRES</t>
  </si>
  <si>
    <t>COURT TERME</t>
  </si>
  <si>
    <t xml:space="preserve">PASSIF TOTAL </t>
  </si>
  <si>
    <t>PRET BANCAIRE (MOINS 1 AN A PAYER)</t>
  </si>
  <si>
    <t>PRETS EXTERIEURS (MOINS 1 AN A PAYER)</t>
  </si>
  <si>
    <t>PRET BANCAIRE (PLUS 1 AN A PAYER)</t>
  </si>
  <si>
    <t>PRETS EXTERIEURS (PLUS 1 AN A PAYER)</t>
  </si>
  <si>
    <t>ACTIF = PASSIF</t>
  </si>
  <si>
    <t>DETTES FISCALES</t>
  </si>
  <si>
    <t>RATIOS DE SOLVABILITE</t>
  </si>
  <si>
    <t>RATIOS DE LIQUIDITE</t>
  </si>
  <si>
    <t>RETURN FIGURES</t>
  </si>
  <si>
    <t>FONDS DE ROULEMENT NET</t>
  </si>
  <si>
    <t>RETURN ON INVESTMENTS</t>
  </si>
  <si>
    <t>RETURN ON TOTAL SOURCES</t>
  </si>
  <si>
    <t>RETURN ON EQUITY</t>
  </si>
  <si>
    <t>FINANCEMENT GENERAL</t>
  </si>
  <si>
    <t>DEBTRATIO GENERAL</t>
  </si>
  <si>
    <t>DEBTRATIO A LONG TERME</t>
  </si>
  <si>
    <t>DEGRE D'INDEPENDANCE</t>
  </si>
  <si>
    <t>RATIOS</t>
  </si>
  <si>
    <t>ACTIF A COURT TERME - PASSIF A COURT TERME</t>
  </si>
  <si>
    <t>CAPITAUX PROPRES PERMANENTS - IMMOBILISATIONS</t>
  </si>
  <si>
    <t>NORMES</t>
  </si>
  <si>
    <t>&gt;= 1</t>
  </si>
  <si>
    <t>RATIOS COMPTE DE PERTES ET PROFITS</t>
  </si>
  <si>
    <t>MARGE BRUTE / REVENUS</t>
  </si>
  <si>
    <t>MARGE BRUTE PRODUITS / REVENUS PRODUITS</t>
  </si>
  <si>
    <t>EBITDA / REVENUS</t>
  </si>
  <si>
    <t>BENEFICE BRUT AVANT IMPOTS / REVENUS</t>
  </si>
  <si>
    <t>BENEFICE NET / REVENUS</t>
  </si>
  <si>
    <t>EBIT / REVENUS</t>
  </si>
  <si>
    <t>Values</t>
  </si>
  <si>
    <t>VENDEUR BOUTIQUE</t>
  </si>
  <si>
    <t>Toutes les dépenses que vous avez faites avant de créer l'entreprise, vous pouvez les activer si elles sont d'un montant assez élevé, sinon vous les prenez comme une charge dans votre compte de profits et pertes</t>
  </si>
  <si>
    <t>Ces investissements ne sont pas tangibles. Il s'agit des coûts de recherche, de seuil (écart d'acquisition ou prix d'achat de la clientèle), de connexion de franchise, de brevets, de licences, de savoir-faire, de marques et d'autres droits équivalents.</t>
  </si>
  <si>
    <t>Régles de dépréciation</t>
  </si>
  <si>
    <t>Terrain</t>
  </si>
  <si>
    <t>Bâtiments</t>
  </si>
  <si>
    <t>Meubles</t>
  </si>
  <si>
    <t>Équipement</t>
  </si>
  <si>
    <t>Machines</t>
  </si>
  <si>
    <t>Installation d'électricité</t>
  </si>
  <si>
    <t>Voitures / motos</t>
  </si>
  <si>
    <t>Camions</t>
  </si>
  <si>
    <t>Ordinateurs + imprimantes</t>
  </si>
  <si>
    <t>Téléphones portables</t>
  </si>
  <si>
    <t>Régles de dépréciation habituelles.  Si d'autres normes existent dans votre pays, vous pouvez modifier les pourcentages d'amortissement habituels</t>
  </si>
  <si>
    <t>Prêt de 4 ans (période maximale de remboursement) prévue par OVO et dépendant de l'évolution de la trésorerie.</t>
  </si>
  <si>
    <t>Régles générales :</t>
  </si>
  <si>
    <t>Montant le plus élevé que OVO suggère de soutenir est de 50,000 EUR.</t>
  </si>
  <si>
    <t>Intérêt de 7 % sur base annuelle et en EUR.  A augmenter éventuellement avec le % de la dévaluation prévue de la monnaie locale par rapport à l'EUR.</t>
  </si>
  <si>
    <t>Exception :</t>
  </si>
  <si>
    <t>Prêts à court terme pour un an maximum.</t>
  </si>
  <si>
    <t>Intérêt de 12% sur une base annuelle.  A augmenter éventuellement avec le % de la dévaluation prévue de la monnaie locale par rapport à l'EUR.</t>
  </si>
  <si>
    <t>Check</t>
  </si>
  <si>
    <t>IMPOT REGIME 1</t>
  </si>
  <si>
    <t>IMPOT REGIME 2</t>
  </si>
  <si>
    <t>IMPOT REGIME 3</t>
  </si>
  <si>
    <t>IMPOT REGIME 4</t>
  </si>
  <si>
    <t>IMPOT REGIME 5</t>
  </si>
  <si>
    <t>IMPOT DES SOCIETES APPLICABLE DANS LE PAYS</t>
  </si>
  <si>
    <t>Monnaie locale et taux de conversion EUR</t>
  </si>
  <si>
    <t>TVA applicable dans le pays</t>
  </si>
  <si>
    <t>Inflation annuelle dans le pays</t>
  </si>
  <si>
    <t>Impôt des sociétés</t>
  </si>
  <si>
    <t>SORT</t>
  </si>
  <si>
    <t>REF</t>
  </si>
  <si>
    <t>PRIX MOYEN</t>
  </si>
  <si>
    <t>MIX VOLUME LOW END %</t>
  </si>
  <si>
    <t>MIX VOLUME MEDIUM END %</t>
  </si>
  <si>
    <t>MIX VOLUME HIGH END %</t>
  </si>
  <si>
    <t>MARGE BRUTE GLOBALE %</t>
  </si>
  <si>
    <t>MIX VOLUME B2B %</t>
  </si>
  <si>
    <t>MIX VOLUME B2C %</t>
  </si>
  <si>
    <t>MARGE BRUTE B2B %</t>
  </si>
  <si>
    <t>MARGE BRUTE B2C %</t>
  </si>
  <si>
    <t>VOLUME</t>
  </si>
  <si>
    <t>DEPENSES SUR ACHATS</t>
  </si>
  <si>
    <t>TRIMESTRE 1</t>
  </si>
  <si>
    <t>TRIMESTRE 2</t>
  </si>
  <si>
    <t>TRIMESTRE 3</t>
  </si>
  <si>
    <t>TRIMESTRE 4</t>
  </si>
  <si>
    <t>B2B</t>
  </si>
  <si>
    <t>B2C</t>
  </si>
  <si>
    <t>LOW END</t>
  </si>
  <si>
    <t>MEDIUM END</t>
  </si>
  <si>
    <t>HIGH END</t>
  </si>
  <si>
    <t>Mettre le filtre à "1" si produit ou service est utilisé, sinon "0" en colonne D</t>
  </si>
  <si>
    <t xml:space="preserve">6. Check if no error. </t>
  </si>
  <si>
    <t>8. Keep cool. It's fun.</t>
  </si>
  <si>
    <t>MARGE ET COUT DES PRODUITS</t>
  </si>
  <si>
    <t>MARGE ET COUT DES SERVICES</t>
  </si>
  <si>
    <t>ReadMe</t>
  </si>
  <si>
    <t>Status</t>
  </si>
  <si>
    <t>Sheet Tab Name</t>
  </si>
  <si>
    <t>Sheet Status</t>
  </si>
  <si>
    <t>Sheet Instructions</t>
  </si>
  <si>
    <t>Sheet Description</t>
  </si>
  <si>
    <t>Sheet Comment</t>
  </si>
  <si>
    <t>Completed</t>
  </si>
  <si>
    <t>In Construction</t>
  </si>
  <si>
    <t>Info sheet</t>
  </si>
  <si>
    <t>Workbook content and file version</t>
  </si>
  <si>
    <t>In Debugging</t>
  </si>
  <si>
    <t>Setup sheet</t>
  </si>
  <si>
    <t>Input sheet</t>
  </si>
  <si>
    <t>Pivot sheet</t>
  </si>
  <si>
    <t>Revision</t>
  </si>
  <si>
    <t>Date</t>
  </si>
  <si>
    <t>Author</t>
  </si>
  <si>
    <t>Content</t>
  </si>
  <si>
    <t>Comment</t>
  </si>
  <si>
    <t>Beka Jean</t>
  </si>
  <si>
    <t>Installation Steps</t>
  </si>
  <si>
    <t>Claes Georges</t>
  </si>
  <si>
    <t>v1.01</t>
  </si>
  <si>
    <t>v2.02</t>
  </si>
  <si>
    <t>v1.02</t>
  </si>
  <si>
    <t>v2.01</t>
  </si>
  <si>
    <t>Conception du plan financier</t>
  </si>
  <si>
    <t>Mise à jour du formulaire de plan financier</t>
  </si>
  <si>
    <t>Nouvelle configuration du formulaire de plan financier</t>
  </si>
  <si>
    <t>Instructions sheet</t>
  </si>
  <si>
    <t>Chart sheet</t>
  </si>
  <si>
    <t>Summary sheet</t>
  </si>
  <si>
    <t>7. Itérer Instructions 1 -&gt; 2 -&gt; 3 -&gt; 4 -&gt; 5 -&gt; 6 jusqu'à validation du plan financier</t>
  </si>
  <si>
    <t>Selectionner les produits</t>
  </si>
  <si>
    <t>v2.03</t>
  </si>
  <si>
    <t>RevenueData</t>
  </si>
  <si>
    <t>RevenuePivot</t>
  </si>
  <si>
    <t>RevenueChart</t>
  </si>
  <si>
    <t>FinanceEUR</t>
  </si>
  <si>
    <t>FinanceData</t>
  </si>
  <si>
    <t>FinancePivot</t>
  </si>
  <si>
    <t>FinanceChart</t>
  </si>
  <si>
    <t>Revenue Table</t>
  </si>
  <si>
    <t>Revenue Pivot Tables</t>
  </si>
  <si>
    <t>Revenue Chart</t>
  </si>
  <si>
    <t>Financial Plan Table</t>
  </si>
  <si>
    <t>Financial Pivot Tables</t>
  </si>
  <si>
    <t>Financial Chart</t>
  </si>
  <si>
    <t>English Description</t>
  </si>
  <si>
    <t>English Comment</t>
  </si>
  <si>
    <t>French Description</t>
  </si>
  <si>
    <t>French Comment</t>
  </si>
  <si>
    <t>Dutch Description</t>
  </si>
  <si>
    <t>Dutch Comment</t>
  </si>
  <si>
    <t>Inhoud van het werkboek en bestandsversie</t>
  </si>
  <si>
    <t>Instructieblad</t>
  </si>
  <si>
    <t>Configuratieblad</t>
  </si>
  <si>
    <t>Omzet tabel</t>
  </si>
  <si>
    <t>Omzet draaitabellen</t>
  </si>
  <si>
    <t>Omzet grafiek</t>
  </si>
  <si>
    <t>Financieel plan tabel</t>
  </si>
  <si>
    <t>Financiële draaitabellen</t>
  </si>
  <si>
    <t>Financiële grafiek</t>
  </si>
  <si>
    <t>Contenu du classeur et version du fichier</t>
  </si>
  <si>
    <t>Feuille d'instructions</t>
  </si>
  <si>
    <t>Feuille de configuration</t>
  </si>
  <si>
    <t>Tableau des recettes</t>
  </si>
  <si>
    <t>Tableaux croisés dynamiques des recettes</t>
  </si>
  <si>
    <t>Graphique des recettes</t>
  </si>
  <si>
    <t>Tableau du plan financier</t>
  </si>
  <si>
    <t>Tableaux croisés dynamiques financiers</t>
  </si>
  <si>
    <t>Graphique financier</t>
  </si>
  <si>
    <t>Fiche d'information</t>
  </si>
  <si>
    <t>Fiche de saisie</t>
  </si>
  <si>
    <t>Fiche pivot</t>
  </si>
  <si>
    <t>Fiche graphique</t>
  </si>
  <si>
    <t>Fiche récapitulative</t>
  </si>
  <si>
    <t>Informatieblad</t>
  </si>
  <si>
    <t>Invoerblad</t>
  </si>
  <si>
    <t>Draaitabelblad</t>
  </si>
  <si>
    <t>Grafiekblad</t>
  </si>
  <si>
    <t>Overzichtsblad</t>
  </si>
  <si>
    <t>Ontwerp van het financiële plan</t>
  </si>
  <si>
    <t>Bijwerking van het financiële planformulier</t>
  </si>
  <si>
    <t>Nieuwe configuratie van het financiële planformulier</t>
  </si>
  <si>
    <t>Financial plan design</t>
  </si>
  <si>
    <t>Financial plan form update</t>
  </si>
  <si>
    <t>New financial plan form configuration</t>
  </si>
  <si>
    <t>Réorganisation du plan financier, réduction du nombre de feuilles, ajouts de tableaux dynamiques et graphes, ajouts de check, formatting et mise en page</t>
  </si>
  <si>
    <t>Reorganisation of the financial plan, reduction in the number of sheets, addition of dynamic tables and graphs, addition of checks, formatting and layout.</t>
  </si>
  <si>
    <t>Reorganisatie van het financiële plan, vermindering van het aantal bladen, toevoeging van dynamische tabellen en grafieken, toevoeging van checklists, opmaak en lay-out.</t>
  </si>
  <si>
    <t>Reference</t>
  </si>
  <si>
    <t>-</t>
  </si>
  <si>
    <t>Ajouter une section recettes</t>
  </si>
  <si>
    <t>Add a revenue section</t>
  </si>
  <si>
    <t>Een sectie omzet toevoegen</t>
  </si>
  <si>
    <t>Set your language</t>
  </si>
  <si>
    <t>InputsData</t>
  </si>
  <si>
    <t>TableRevenueData</t>
  </si>
  <si>
    <t>TableInputsData</t>
  </si>
  <si>
    <t>TableFinanceData</t>
  </si>
  <si>
    <t>PivotTableRevenueData1</t>
  </si>
  <si>
    <t>PivotTableRevenueData5</t>
  </si>
  <si>
    <t>PivotTableRevenueData3</t>
  </si>
  <si>
    <t>PivotTableRevenueData2</t>
  </si>
  <si>
    <t>ITEM_FR</t>
  </si>
  <si>
    <t>ITEM_NL</t>
  </si>
  <si>
    <t>ITEM_EN</t>
  </si>
  <si>
    <t>COMPANY</t>
  </si>
  <si>
    <t>COUNTRY</t>
  </si>
  <si>
    <t>LOCAL CURRENCY</t>
  </si>
  <si>
    <t>EXCHANGE RATE LOCAL CURRENCY / EURO</t>
  </si>
  <si>
    <t>CONVERSION DATE</t>
  </si>
  <si>
    <t>YEAR-1</t>
  </si>
  <si>
    <t>YEAR-2</t>
  </si>
  <si>
    <t>CURRENT YEAR</t>
  </si>
  <si>
    <t>CURRENT YEAR H1</t>
  </si>
  <si>
    <t>CURRENT YEAR H2</t>
  </si>
  <si>
    <t>YEAR2</t>
  </si>
  <si>
    <t>YEAR3</t>
  </si>
  <si>
    <t>YEAR4</t>
  </si>
  <si>
    <t>YEAR5</t>
  </si>
  <si>
    <t>YEAR6</t>
  </si>
  <si>
    <t>PRODUCT 10</t>
  </si>
  <si>
    <t>STAFF_CAT01</t>
  </si>
  <si>
    <t>STAFF_CAT02</t>
  </si>
  <si>
    <t>STAFF_CAT03</t>
  </si>
  <si>
    <t>STAFF_CAT04</t>
  </si>
  <si>
    <t>STAFF_CAT05</t>
  </si>
  <si>
    <t>STAFF_CAT06</t>
  </si>
  <si>
    <t>STAFF_CAT07</t>
  </si>
  <si>
    <t>STAFF_CAT08</t>
  </si>
  <si>
    <t>STAFF_CAT09</t>
  </si>
  <si>
    <t>STAFF_CAT10</t>
  </si>
  <si>
    <t>VAT APPLICABLE IN THE COUNTRY</t>
  </si>
  <si>
    <t>ANNUAL INFLATION IN THE COUNTRY</t>
  </si>
  <si>
    <t>CORPORATE TAX APPLICABLE IN THE COUNTRY</t>
  </si>
  <si>
    <t>TAX REGIME 1</t>
  </si>
  <si>
    <t>TAX REGIME 2</t>
  </si>
  <si>
    <t>TAX REGIME 3</t>
  </si>
  <si>
    <t>TAX REGIME 4</t>
  </si>
  <si>
    <t>TAX REGIME 5</t>
  </si>
  <si>
    <t>LAND</t>
  </si>
  <si>
    <t>OMREKENINGSDATUM</t>
  </si>
  <si>
    <t>JAAR-2</t>
  </si>
  <si>
    <t>JAAR-1</t>
  </si>
  <si>
    <t>HUIDIG JAAR</t>
  </si>
  <si>
    <t>HUIDIG JAAR H1</t>
  </si>
  <si>
    <t>HUIDIG JAAR H2</t>
  </si>
  <si>
    <t>JAAR2</t>
  </si>
  <si>
    <t>JAAR3</t>
  </si>
  <si>
    <t>JAAR4</t>
  </si>
  <si>
    <t>JAAR5</t>
  </si>
  <si>
    <t>JAAR6</t>
  </si>
  <si>
    <t>DIENST 10</t>
  </si>
  <si>
    <t>BTW VAN TOEPASSING IN HET LAND</t>
  </si>
  <si>
    <t>JAARLIJKSE INFLATIE IN HET LAND</t>
  </si>
  <si>
    <t>VENNOOTSCHAPSBELASTING VAN TOEPASSING IN HET LAND</t>
  </si>
  <si>
    <t>BELASTINGREGIME 1</t>
  </si>
  <si>
    <t>BELASTINGREGIME 2</t>
  </si>
  <si>
    <t>BELASTINGREGIME 3</t>
  </si>
  <si>
    <t>BELASTINGREGIME 4</t>
  </si>
  <si>
    <t>BELASTINGREGIME 5</t>
  </si>
  <si>
    <t>LOKALE MUNT</t>
  </si>
  <si>
    <t>WISSELKOERS LOKALE MUNT / EURO</t>
  </si>
  <si>
    <t>PERSONEEL_CAT01</t>
  </si>
  <si>
    <t>PERSONEEL_CAT02</t>
  </si>
  <si>
    <t>PERSONEEL_CAT03</t>
  </si>
  <si>
    <t>PERSONEEL_CAT04</t>
  </si>
  <si>
    <t>PERSONEEL_CAT05</t>
  </si>
  <si>
    <t>PERSONEEL_CAT06</t>
  </si>
  <si>
    <t>PERSONEEL_CAT07</t>
  </si>
  <si>
    <t>PERSONEEL_CAT08</t>
  </si>
  <si>
    <t>PERSONEEL_CAT09</t>
  </si>
  <si>
    <t>PERSONEEL_CAT10</t>
  </si>
  <si>
    <t>BEDRIJF</t>
  </si>
  <si>
    <t>OMZET</t>
  </si>
  <si>
    <t>PRIX MOYEN DE VENTE PAR PRODUIT/SERVICE</t>
  </si>
  <si>
    <t>AVERAGE SELLING PRICE PER UNIT</t>
  </si>
  <si>
    <t>REVENUE</t>
  </si>
  <si>
    <t>GEMIDDELDE VERKOOPPRIJS PER EENHEID</t>
  </si>
  <si>
    <t>KOSTEN VAN VERKOCHTE GOEDEREN</t>
  </si>
  <si>
    <t>GEMIDDELDE KOSTEN VAN VERKOCHTE GOEDEREN PER EENHEID</t>
  </si>
  <si>
    <t>REFERENCE YEAR</t>
  </si>
  <si>
    <t>YEAR</t>
  </si>
  <si>
    <t>REFERENCE PRODUCT / SERVICE</t>
  </si>
  <si>
    <t>PRODUCT / SERVICE</t>
  </si>
  <si>
    <t>FILTER</t>
  </si>
  <si>
    <t>LOW END PRICE</t>
  </si>
  <si>
    <t>HIGH END PRICE</t>
  </si>
  <si>
    <t>MEDIUM END PRICE</t>
  </si>
  <si>
    <t>AVERAGE PRICE</t>
  </si>
  <si>
    <t>GROSS PROFIT LOW END %</t>
  </si>
  <si>
    <t>GROSS PROFIT MEDIUM END %</t>
  </si>
  <si>
    <t>GROSS PROFIT HIGH END %</t>
  </si>
  <si>
    <t>GROSS PROFIT GLOBALE %</t>
  </si>
  <si>
    <t>GROSS PROFIT B2B %</t>
  </si>
  <si>
    <t>GROSS PROFIT B2C %</t>
  </si>
  <si>
    <t>BUSINESS TO BUSINESS</t>
  </si>
  <si>
    <t>BUSINESS TO CONSUMER</t>
  </si>
  <si>
    <t>GEMIDDELDE PRIJS</t>
  </si>
  <si>
    <t>BRUTOWINST GLOBALE %</t>
  </si>
  <si>
    <t>MIXVOLUME B2B %</t>
  </si>
  <si>
    <t>MIXVOLUME B2C %</t>
  </si>
  <si>
    <t>BRUTOWINST B2B %</t>
  </si>
  <si>
    <t>BRUTOWINST B2C %</t>
  </si>
  <si>
    <t>LAGE EINDPRIJS</t>
  </si>
  <si>
    <t>MIDDELHOGE EINDPRIJS</t>
  </si>
  <si>
    <t>HOGE EINDPRIJS</t>
  </si>
  <si>
    <t>MIX VOLUME LAGE EINDPRIJS %</t>
  </si>
  <si>
    <t>MIX VOLUME MIDDELHOGE EINDPRIJS %</t>
  </si>
  <si>
    <t>MIX VOLUME HOGE EINDPRIJS %</t>
  </si>
  <si>
    <t>BRUTOWINST LAGE EINDPRIJS %</t>
  </si>
  <si>
    <t>BRUTOWINST MIDDELHOGE EINDPRIJS %</t>
  </si>
  <si>
    <t>BRUTOWINST HOGE EINDPRIJS %</t>
  </si>
  <si>
    <t>PRIX BAS DE GAMME</t>
  </si>
  <si>
    <t>PRIX MOYEN DE GAMME</t>
  </si>
  <si>
    <t>PRIX HAUT DE GAMME</t>
  </si>
  <si>
    <t>VOLUME MIXTE BAS DE GAMME %</t>
  </si>
  <si>
    <t>VOLUME MIXTE MOYEN DE GAMME %</t>
  </si>
  <si>
    <t>VOLUME MIXTE HAUT DE GAMME %</t>
  </si>
  <si>
    <t>MARGE BRUTE BAS DE GAMME %</t>
  </si>
  <si>
    <t>MARGE BRUTE MOYEN DE GAMME %</t>
  </si>
  <si>
    <t>MARGE BRUTE HAUT DE GAMME %</t>
  </si>
  <si>
    <t>VOLUME MIX B2B %</t>
  </si>
  <si>
    <t>VOLUME MIX B2C %</t>
  </si>
  <si>
    <t>QUARTER 1</t>
  </si>
  <si>
    <t>QUARTER 2</t>
  </si>
  <si>
    <t>QUARTER 3</t>
  </si>
  <si>
    <t>QUARTER 4</t>
  </si>
  <si>
    <t>TOTAL YEAR</t>
  </si>
  <si>
    <t>H1</t>
  </si>
  <si>
    <t>H2</t>
  </si>
  <si>
    <t>KWARTAAL 1</t>
  </si>
  <si>
    <t>KWARTAAL 2</t>
  </si>
  <si>
    <t>KWARTAAL 3</t>
  </si>
  <si>
    <t>KWARTAAL 4</t>
  </si>
  <si>
    <t>FORECAST</t>
  </si>
  <si>
    <t>ACTUAL</t>
  </si>
  <si>
    <t>Sum of QUARTER 1</t>
  </si>
  <si>
    <t>Sum of QUARTER 2</t>
  </si>
  <si>
    <t>Sum of QUARTER 3</t>
  </si>
  <si>
    <t>Sum of QUARTER 4</t>
  </si>
  <si>
    <t>Sum of TOTAL YEAR</t>
  </si>
  <si>
    <t>GROSS PROFIT</t>
  </si>
  <si>
    <t>GROSS PROFIT Total</t>
  </si>
  <si>
    <t>GROSS PROFIT %</t>
  </si>
  <si>
    <t>GROSS PROFIT % Total</t>
  </si>
  <si>
    <t>REVENUE %</t>
  </si>
  <si>
    <t>REVENUE IN EUR</t>
  </si>
  <si>
    <t>REVENUE GROWTH YEAR/YEAR-1</t>
  </si>
  <si>
    <t>PRIX MOYEN D'ACHAT PAR PRODUIT/SERVICE</t>
  </si>
  <si>
    <t>JAAR</t>
  </si>
  <si>
    <t>COST OF GOODS SOLD</t>
  </si>
  <si>
    <t>AVERAGE COST OF GOODS SOLD PER UNIT</t>
  </si>
  <si>
    <t>BAS DE GAMME</t>
  </si>
  <si>
    <t>MOYEN DE GAMME</t>
  </si>
  <si>
    <t>HAUT DE GAMME</t>
  </si>
  <si>
    <t>PivotTableRevenueData6</t>
  </si>
  <si>
    <t>PRODUCT 01</t>
  </si>
  <si>
    <t>PRODUCT 02</t>
  </si>
  <si>
    <t>PRODUCT 03</t>
  </si>
  <si>
    <t>PRODUCT 04</t>
  </si>
  <si>
    <t>PRODUCT 05</t>
  </si>
  <si>
    <t>PRODUCT 06</t>
  </si>
  <si>
    <t>PRODUCT 07</t>
  </si>
  <si>
    <t>PRODUCT 08</t>
  </si>
  <si>
    <t>PRODUCT 09</t>
  </si>
  <si>
    <t>SERVICE 01</t>
  </si>
  <si>
    <t>SERVICE 02</t>
  </si>
  <si>
    <t>SERVICE 03</t>
  </si>
  <si>
    <t>SERVICE 04</t>
  </si>
  <si>
    <t>SERVICE 05</t>
  </si>
  <si>
    <t>SERVICE 06</t>
  </si>
  <si>
    <t>SERVICE 07</t>
  </si>
  <si>
    <t>SERVICE 08</t>
  </si>
  <si>
    <t>SERVICE 09</t>
  </si>
  <si>
    <t>PRODUIT 01</t>
  </si>
  <si>
    <t>PRODUIT 02</t>
  </si>
  <si>
    <t>PRODUIT 03</t>
  </si>
  <si>
    <t>PRODUIT 04</t>
  </si>
  <si>
    <t>PRODUIT 05</t>
  </si>
  <si>
    <t>PRODUIT 06</t>
  </si>
  <si>
    <t>PRODUIT 07</t>
  </si>
  <si>
    <t>PRODUIT 08</t>
  </si>
  <si>
    <t>PRODUIT 09</t>
  </si>
  <si>
    <t>DIENST 01</t>
  </si>
  <si>
    <t>DIENST 02</t>
  </si>
  <si>
    <t>DIENST 03</t>
  </si>
  <si>
    <t>DIENST 04</t>
  </si>
  <si>
    <t>DIENST 05</t>
  </si>
  <si>
    <t>DIENST 06</t>
  </si>
  <si>
    <t>DIENST 07</t>
  </si>
  <si>
    <t>DIENST 08</t>
  </si>
  <si>
    <t>DIENST 09</t>
  </si>
  <si>
    <t>CA ET MARGE BRUTE PAR PRODUIT / SERVICE</t>
  </si>
  <si>
    <t>REVENUE AND GROSS PROFIT PER PRODUCT / SERVICE</t>
  </si>
  <si>
    <t>OMZET EN BRUTO WINST PER PRODUCT / DIENST</t>
  </si>
  <si>
    <t>BRUTO WINST</t>
  </si>
  <si>
    <t>LAGE ASSORTIMENT</t>
  </si>
  <si>
    <t>MIDDELHOGE ASSORTIMENT</t>
  </si>
  <si>
    <t>HOGE ASSORTIMENT</t>
  </si>
  <si>
    <t>OMZET EN BRUTO WINST PER PRODUCT / DIENST ASSORTIMENT</t>
  </si>
  <si>
    <t>CA ET MARGE BRUTE PAR GAMME DE PRODUIT / SERVICE</t>
  </si>
  <si>
    <t>REVENUE AND GROSS PROFIT PER PRODUCT / SERVICE FAMILY</t>
  </si>
  <si>
    <t>REVENUE AND GROSS PROFIT PER BUSINESS TYPE</t>
  </si>
  <si>
    <t>CA ET MARGE BRUTE PAR TYPE DE BUSINESS</t>
  </si>
  <si>
    <t>OMZET EN BRUTO WINST PER TYPE BUSINESS</t>
  </si>
  <si>
    <t>PivotTableRevenueData7</t>
  </si>
  <si>
    <t>PivotTableRevenueData8</t>
  </si>
  <si>
    <t>PRODUCT</t>
  </si>
  <si>
    <t>PRODUCT + SERVICE</t>
  </si>
  <si>
    <t>ITEM FILTER</t>
  </si>
  <si>
    <t>TOTAL FILTER</t>
  </si>
  <si>
    <t>WC FILTER</t>
  </si>
  <si>
    <t>CHART FILTER</t>
  </si>
  <si>
    <t>PERIOD</t>
  </si>
  <si>
    <t>ACQUISITION YEAR</t>
  </si>
  <si>
    <t>ACQUISITION VALUE</t>
  </si>
  <si>
    <t>TableTranslation</t>
  </si>
  <si>
    <t>ANNEE D'ACQUISITION</t>
  </si>
  <si>
    <t>VALEUR D'ACQUISITION</t>
  </si>
  <si>
    <t>% AMORTISSEMENT ANNUEL</t>
  </si>
  <si>
    <t>ACCUMULATED AMORTISATION VALUE</t>
  </si>
  <si>
    <t>% YEARLY AMORTISATION</t>
  </si>
  <si>
    <t>VALEUR D'AMORTISSEMENT ACCUMULEE</t>
  </si>
  <si>
    <t>AANKOOPJAAR</t>
  </si>
  <si>
    <t>AANKOOPWAARDE</t>
  </si>
  <si>
    <t>% JAARLIJKSE AFSCHRIJVING</t>
  </si>
  <si>
    <t>GECUMULEERDE AFSCHRIJVINGSWAARDE</t>
  </si>
  <si>
    <t>FOR SECTION 3 COLUMNS ONLY</t>
  </si>
  <si>
    <t>POUR COLONNES SECTION 3 SEULEMENT</t>
  </si>
  <si>
    <t>ALLEEN VOOR KOLOMMEN IN SECTIE 3</t>
  </si>
  <si>
    <t>SEE NOTE</t>
  </si>
  <si>
    <t>ZIE OPMERKING</t>
  </si>
  <si>
    <t>SEE InputsData SHEET</t>
  </si>
  <si>
    <t>VOIR FEUILLE InputData</t>
  </si>
  <si>
    <t>ZIE InputsData BLAD</t>
  </si>
  <si>
    <t>REVENUE PRODUCTS</t>
  </si>
  <si>
    <t>AVERAGE</t>
  </si>
  <si>
    <t>REVENUE AND GROSS PROFIT</t>
  </si>
  <si>
    <t>COST OF GOODS SOLD PRODUCTS</t>
  </si>
  <si>
    <t>GROSS PROFIT PRODUCTS</t>
  </si>
  <si>
    <t>% YEAR TO YEAR VARIATION</t>
  </si>
  <si>
    <t>PivotTableRevenueData4A</t>
  </si>
  <si>
    <t>PivotTableRevenueData4B</t>
  </si>
  <si>
    <t>TYPE PRODUCT / SERVICE</t>
  </si>
  <si>
    <t>Grand Total</t>
  </si>
  <si>
    <t>DIENST</t>
  </si>
  <si>
    <t>REVENUE SERVICES</t>
  </si>
  <si>
    <t>COST OF GOODS SOLD SERVICES</t>
  </si>
  <si>
    <t>GROSS PROFIT SERVICES</t>
  </si>
  <si>
    <t>RAW MATERIAL</t>
  </si>
  <si>
    <t>STOCK INCREASE</t>
  </si>
  <si>
    <t>STOCK DECREASE</t>
  </si>
  <si>
    <t>QUANTITY</t>
  </si>
  <si>
    <t>DAY</t>
  </si>
  <si>
    <t>STAFF</t>
  </si>
  <si>
    <t>JOUR</t>
  </si>
  <si>
    <t>DAG</t>
  </si>
  <si>
    <t>EFFECTIEF</t>
  </si>
  <si>
    <t>QUANTITE</t>
  </si>
  <si>
    <t>HOEVEELHEID</t>
  </si>
  <si>
    <t>WAARDE</t>
  </si>
  <si>
    <t>MARKETING COST</t>
  </si>
  <si>
    <t>MARKETINGKOSTEN</t>
  </si>
  <si>
    <t>EXPLOITATIEKOSTEN</t>
  </si>
  <si>
    <t>OPERATING EXPENSES</t>
  </si>
  <si>
    <t>STAFF SALARIES</t>
  </si>
  <si>
    <t>PERSONNELSKOSTEN</t>
  </si>
  <si>
    <t>TAXES AND DUTIES ON STAFF</t>
  </si>
  <si>
    <t>BELASTINGEN EN HEFFINGEN OP PERSONEEL</t>
  </si>
  <si>
    <t>OFFICE COSTS</t>
  </si>
  <si>
    <t>KOSTEN VAN HET KANTOOR</t>
  </si>
  <si>
    <t>OVERIGE KOSTEN</t>
  </si>
  <si>
    <t>REIZEN &amp; VERVOER</t>
  </si>
  <si>
    <t>VERZEKERINGEN</t>
  </si>
  <si>
    <t>ONDERHOUD</t>
  </si>
  <si>
    <t>DERDEN</t>
  </si>
  <si>
    <t>OTHER EXPENSES</t>
  </si>
  <si>
    <t>TRAVEL &amp; TRANSPORTATION</t>
  </si>
  <si>
    <t>INSURANCE</t>
  </si>
  <si>
    <t>MAINTENANCE</t>
  </si>
  <si>
    <t>THIRD PARTIES</t>
  </si>
  <si>
    <t>OPERATING EXPENSES ____</t>
  </si>
  <si>
    <t>TRAVEL</t>
  </si>
  <si>
    <t>ALL CHARGES</t>
  </si>
  <si>
    <t>LIVRAISON DE MARCHANDISES</t>
  </si>
  <si>
    <t>PURCHASE OF STUDIES AND SERVICES</t>
  </si>
  <si>
    <t>COMPANY INSURANCE</t>
  </si>
  <si>
    <t>BUILDING INSURANCE</t>
  </si>
  <si>
    <t>OTHER MAINTENANCE AND REPAIRS</t>
  </si>
  <si>
    <t>OTHER START-UP COSTS (IF NOT ACTIVE)</t>
  </si>
  <si>
    <t>OTHER TAXES AND DUTIES</t>
  </si>
  <si>
    <t>OTHER ALLOWANCES AND MISCELLANEOUS BENEFITS PAID TO STAFF</t>
  </si>
  <si>
    <t>DEMOLITION AND RESTORATION COSTS</t>
  </si>
  <si>
    <t>COMMISSIONS AND BROKERAGE FEES ON SALES</t>
  </si>
  <si>
    <t>ACCOUNTING &amp; TAXATION</t>
  </si>
  <si>
    <t>LEGAL ADVISER</t>
  </si>
  <si>
    <t>EMPLOYER SOCIAL SECURITY CONTRIBUTIONS</t>
  </si>
  <si>
    <t>AVERAGE TRAVEL COST PER PERSON</t>
  </si>
  <si>
    <t>COST PER PERSON PER PERIOD</t>
  </si>
  <si>
    <t>GENERAL DOCUMENTATION</t>
  </si>
  <si>
    <t>DONATIONS</t>
  </si>
  <si>
    <t>LOST PACKAGING</t>
  </si>
  <si>
    <t>MAINTENANCE AND REPAIR OF MOVABLE PROPERTY</t>
  </si>
  <si>
    <t>CONTINUING PROFESSIONAL TRAINING</t>
  </si>
  <si>
    <t>OFFICE SUPPLIES</t>
  </si>
  <si>
    <t>NON-STOCKABLE SUPPLIES - WATER</t>
  </si>
  <si>
    <t>NON-STOCKABLE SUPPLIES - ELECTRICITY</t>
  </si>
  <si>
    <t>LEGAL START-UP COSTS (NOTARY, GOVERNMENT OBLIGATIONS, ETC.)</t>
  </si>
  <si>
    <t>LOAN FOLLOW-UP COSTS ADVANCE INVOICE</t>
  </si>
  <si>
    <t>FUNCTION ALLOWANCES AND DIRECTORS' REMUNERATION</t>
  </si>
  <si>
    <t>INTERNET (OFFICE + STORES)</t>
  </si>
  <si>
    <t>DELIVERY OF GOODS</t>
  </si>
  <si>
    <t>RENT (OFFICE + STORES)</t>
  </si>
  <si>
    <t>FUEL</t>
  </si>
  <si>
    <t>SPONSORSHIP</t>
  </si>
  <si>
    <t>OCCUPATIONAL HEALTH AND PHARMACY</t>
  </si>
  <si>
    <t>CLEANING (OFFICES + SHOPS)</t>
  </si>
  <si>
    <t>NUMBER OF PEOPLE TRAVELLING</t>
  </si>
  <si>
    <t>NUMBER OF EMPLOYEES</t>
  </si>
  <si>
    <t>SMALL EQUIPMENT AND TOOLS</t>
  </si>
  <si>
    <t>ADVERTISING</t>
  </si>
  <si>
    <t>RESEARCH</t>
  </si>
  <si>
    <t>GROSS SALARY PER PERSON AND PER PERIOD</t>
  </si>
  <si>
    <t>APPRENTICESHIP TAXES</t>
  </si>
  <si>
    <t>TAXES ON SALARIES AND WAGES</t>
  </si>
  <si>
    <t>TELECOMMUNICATIONS (LANDLINE + MOBILE)</t>
  </si>
  <si>
    <t>TRANSPORT OF GOODS (FUEL)</t>
  </si>
  <si>
    <t>AANKOOP VAN STUDIES EN DIENSTEN</t>
  </si>
  <si>
    <t>BEDRIJFSVERZEKERING</t>
  </si>
  <si>
    <t>GEBOUWVERZEKERING</t>
  </si>
  <si>
    <t>OVERIGE ONDERHOUD EN REPARATIES</t>
  </si>
  <si>
    <t>OVERIGE OPSTARTKOSTEN (INDIEN NIET ACTIEF)</t>
  </si>
  <si>
    <t>OVERIGE BELASTINGEN EN HEFFINGEN</t>
  </si>
  <si>
    <t>OVERIGE VERGOEDINGEN EN DIVERSE VOORDELEN VOOR HET PERSONEEL</t>
  </si>
  <si>
    <t>KOSTEN VOOR SLOOP EN HERSTEL</t>
  </si>
  <si>
    <t>PROVISIES EN MAKELAARSKOSTEN OP VERKOPEN</t>
  </si>
  <si>
    <t>BOEKHOUDING &amp; BELASTINGEN</t>
  </si>
  <si>
    <t>JURIDISCH ADVIES</t>
  </si>
  <si>
    <t>WERKGEVERSBIJDRAGEN VOOR SOCIALE ZEKERHEID</t>
  </si>
  <si>
    <t>GEMIDDELDE REISKOSTEN PER PERSOON</t>
  </si>
  <si>
    <t>KOSTEN PER PERSOON EN PER PERIODE</t>
  </si>
  <si>
    <t>ALGEMENE DOCUMENTATIE</t>
  </si>
  <si>
    <t>GIFTEN</t>
  </si>
  <si>
    <t>VERLOREN VERPAKKINGSMATERIAAL</t>
  </si>
  <si>
    <t>ONDERHOUD EN REPARATIE VAN ROERENDE GOEDEREN</t>
  </si>
  <si>
    <t>PERMANENTE BEROEPSOPLEIDING</t>
  </si>
  <si>
    <t>KANTOORBENODIGDHEDEN</t>
  </si>
  <si>
    <t>NIET-VOORRAADBARE BENODIGDHEDEN - WATER</t>
  </si>
  <si>
    <t>NIET-VOORRAADBARE BENODIGDHEDEN - ELEKTRICITEIT</t>
  </si>
  <si>
    <t>WETTELIJKE OPSTARTKOSTEN (NOTARIS, OVERHEIDSVERPLICHTINGEN ...)</t>
  </si>
  <si>
    <t>KOSTEN VOOR HET OPVOLGEN VAN VOORSCHOTTEN</t>
  </si>
  <si>
    <t>FUNCTIEVERGOEDINGEN EN VERGOEDINGEN VAN BESTUURDERS</t>
  </si>
  <si>
    <t>INTERNET (KANTOOR + WINKELS)</t>
  </si>
  <si>
    <t>LEVERING VAN GOEDEREN</t>
  </si>
  <si>
    <t>HUUR (KANTOOR + WINKELS)</t>
  </si>
  <si>
    <t>BRANDSTOFFEN</t>
  </si>
  <si>
    <t>MECENAAT</t>
  </si>
  <si>
    <t>ARBEIDSGENEESKUNDE EN APOTHEEK</t>
  </si>
  <si>
    <t>SCHOONMAAK (KANTOOR + WINKELS)</t>
  </si>
  <si>
    <t>AANTAL REIZENDE PERSONEN</t>
  </si>
  <si>
    <t>AANTAL WERKNEMERS</t>
  </si>
  <si>
    <t>KLEINE MATERIALEN EN GEREEDSCHAPPEN</t>
  </si>
  <si>
    <t>RECLAME</t>
  </si>
  <si>
    <t>RECEPTIE</t>
  </si>
  <si>
    <t>ONDERZOEK</t>
  </si>
  <si>
    <t>BRUTOSALARIS PER PERSOON EN PER PERIODE</t>
  </si>
  <si>
    <t>LEERLINGENBELASTING</t>
  </si>
  <si>
    <t>BELASTINGEN OP SALARISSEN EN VERGOEDINGEN</t>
  </si>
  <si>
    <t>TELECOMMUNICATIE (VAST + MOBIEL)</t>
  </si>
  <si>
    <t>TOTAAL</t>
  </si>
  <si>
    <t>GOEDERENVERVOER (BRANDSTOF)</t>
  </si>
  <si>
    <t>LINKED TO STAFF TRAVELLING</t>
  </si>
  <si>
    <t>STAFF_CAT</t>
  </si>
  <si>
    <t>INVESTERINGEN</t>
  </si>
  <si>
    <t>INVESTMENTS</t>
  </si>
  <si>
    <t>AMORTISATIONS</t>
  </si>
  <si>
    <t>AFSCHRIJVINGEN</t>
  </si>
  <si>
    <t>WAARDE BALANS EINDE JAAR</t>
  </si>
  <si>
    <t>YEAR-END BALANCE SHEET VALUE</t>
  </si>
  <si>
    <t>YEAR-END BALANCE SHEET VALUE LONG TERM</t>
  </si>
  <si>
    <t>YEAR-END BALANCE SHEET VALUE SHORT TERM</t>
  </si>
  <si>
    <t>FIXED ASSETS</t>
  </si>
  <si>
    <t>INTANGIBLE ASSETS</t>
  </si>
  <si>
    <t>START-UP COSTS</t>
  </si>
  <si>
    <t>MATERIËLE VASTE ACTIVA</t>
  </si>
  <si>
    <t>IMMATERIËLE ACTIVA</t>
  </si>
  <si>
    <t>OPSTARTKOSTEN</t>
  </si>
  <si>
    <t>OFFICE EQUIPMENT</t>
  </si>
  <si>
    <t>KANTOORMATERIAAL</t>
  </si>
  <si>
    <t>PRODUCTIEMATERIAAL</t>
  </si>
  <si>
    <t>PRODUCTION EQUIPMENT</t>
  </si>
  <si>
    <t>OVERIGE ACTIVA</t>
  </si>
  <si>
    <t>OTHER ASSETS</t>
  </si>
  <si>
    <t>OE_01</t>
  </si>
  <si>
    <t>OE_02</t>
  </si>
  <si>
    <t>OE_03</t>
  </si>
  <si>
    <t>OE_04</t>
  </si>
  <si>
    <t>OE_05</t>
  </si>
  <si>
    <t>OE_06</t>
  </si>
  <si>
    <t>OE_07</t>
  </si>
  <si>
    <t>OE_08</t>
  </si>
  <si>
    <t>OE_09</t>
  </si>
  <si>
    <t>OE_10</t>
  </si>
  <si>
    <t>OE_11</t>
  </si>
  <si>
    <t>OE_12</t>
  </si>
  <si>
    <t>OE_13</t>
  </si>
  <si>
    <t>OE_14</t>
  </si>
  <si>
    <t>OE_15</t>
  </si>
  <si>
    <t>OE_16</t>
  </si>
  <si>
    <t>OE_17</t>
  </si>
  <si>
    <t>OE_18</t>
  </si>
  <si>
    <t>OE_19</t>
  </si>
  <si>
    <t>OE_20</t>
  </si>
  <si>
    <t>OE_21</t>
  </si>
  <si>
    <t>OE_22</t>
  </si>
  <si>
    <t>OE_23</t>
  </si>
  <si>
    <t>OE_24</t>
  </si>
  <si>
    <t>OE_25</t>
  </si>
  <si>
    <t>OE_26</t>
  </si>
  <si>
    <t>OE_27</t>
  </si>
  <si>
    <t>OE_28</t>
  </si>
  <si>
    <t>OE_29</t>
  </si>
  <si>
    <t>OE_30</t>
  </si>
  <si>
    <t>OE_31</t>
  </si>
  <si>
    <t>OE_32</t>
  </si>
  <si>
    <t>OE_33</t>
  </si>
  <si>
    <t>OE_34</t>
  </si>
  <si>
    <t>OE_35</t>
  </si>
  <si>
    <t>OE_36</t>
  </si>
  <si>
    <t>OE_37</t>
  </si>
  <si>
    <t>OE_38</t>
  </si>
  <si>
    <t>OE_39</t>
  </si>
  <si>
    <t>OE_40</t>
  </si>
  <si>
    <t>PE_01</t>
  </si>
  <si>
    <t>PE_02</t>
  </si>
  <si>
    <t>PE_03</t>
  </si>
  <si>
    <t>PE_04</t>
  </si>
  <si>
    <t>PE_05</t>
  </si>
  <si>
    <t>PE_06</t>
  </si>
  <si>
    <t>PE_07</t>
  </si>
  <si>
    <t>PE_08</t>
  </si>
  <si>
    <t>PE_09</t>
  </si>
  <si>
    <t>PE_10</t>
  </si>
  <si>
    <t>OA_01</t>
  </si>
  <si>
    <t>OA_02</t>
  </si>
  <si>
    <t>OA_03</t>
  </si>
  <si>
    <t>OA_04</t>
  </si>
  <si>
    <t>OA_05</t>
  </si>
  <si>
    <t>OA_06</t>
  </si>
  <si>
    <t>OA_07</t>
  </si>
  <si>
    <t>OA_08</t>
  </si>
  <si>
    <t>OA_09</t>
  </si>
  <si>
    <t>OA_10</t>
  </si>
  <si>
    <t>OA_11</t>
  </si>
  <si>
    <t>OA_12</t>
  </si>
  <si>
    <t>OA_13</t>
  </si>
  <si>
    <t>OA_14</t>
  </si>
  <si>
    <t>OA_15</t>
  </si>
  <si>
    <t>OA_16</t>
  </si>
  <si>
    <t>OA_17</t>
  </si>
  <si>
    <t>OA_18</t>
  </si>
  <si>
    <t>OA_19</t>
  </si>
  <si>
    <t>OA_20</t>
  </si>
  <si>
    <t>OA</t>
  </si>
  <si>
    <t>PE</t>
  </si>
  <si>
    <t>OE</t>
  </si>
  <si>
    <t>OE+PE+OA</t>
  </si>
  <si>
    <t>IA_01</t>
  </si>
  <si>
    <t>IA_02</t>
  </si>
  <si>
    <t>IA_03</t>
  </si>
  <si>
    <t>IA_04</t>
  </si>
  <si>
    <t>IA_05</t>
  </si>
  <si>
    <t>IA</t>
  </si>
  <si>
    <t>SC_01</t>
  </si>
  <si>
    <t>SC_02</t>
  </si>
  <si>
    <t>SC_03</t>
  </si>
  <si>
    <t>SC_04</t>
  </si>
  <si>
    <t>SC_05</t>
  </si>
  <si>
    <t>SC</t>
  </si>
  <si>
    <t>OE+PE+OA+IA+SC</t>
  </si>
  <si>
    <t>STAFF_T&amp;D</t>
  </si>
  <si>
    <t>OTHER CHARGES</t>
  </si>
  <si>
    <t>WORKING CAPITAL</t>
  </si>
  <si>
    <t>ACCOUNTS RECEIVABLE</t>
  </si>
  <si>
    <t>ACCOUNTS PAYABLE</t>
  </si>
  <si>
    <t>STOCK PERIOD EXPRESSED IN NUMBER OF DAYS</t>
  </si>
  <si>
    <t>COST OF PRODUCTS PER DAY</t>
  </si>
  <si>
    <t>VALUE OF STOCK OVER THE PERIOD</t>
  </si>
  <si>
    <t>CUSTOMER PAYMENT PERIOD EXPRESSED IN NUMBER OF DAYS</t>
  </si>
  <si>
    <t>VALUE OF ACCOUNTS RECEIVABLE OVER THE PERIOD</t>
  </si>
  <si>
    <t>SUPPLIER PAYMENT PERIOD EXPRESSED IN NUMBER OF DAYS</t>
  </si>
  <si>
    <t>VALUE OF ACCOUNTS PAYABLE OVER THE PERIOD</t>
  </si>
  <si>
    <t>REVENUS (TVA INCLUSE) PAR JOUR</t>
  </si>
  <si>
    <t>COUT DES REVENUS PLUS DEPENSES OPERATIONNELLES MOINS SALAIRES DU PERSONNEL (TVA INCLUSE) PAR JOUR</t>
  </si>
  <si>
    <t>COST OF REVENUE PLUS OPERATING EXPENSES MINUS STAFF SALARIES (INCLUDING VAT) PER DAY</t>
  </si>
  <si>
    <t>REVENUE (INCLUDING VAT) PER DAY</t>
  </si>
  <si>
    <t>WERKKAPITAAL</t>
  </si>
  <si>
    <t>VOORRAAD</t>
  </si>
  <si>
    <t>TE ONTVANGEN REKENINGEN</t>
  </si>
  <si>
    <t>TE BETALEN REKENINGEN</t>
  </si>
  <si>
    <t>VOORRAADPERIODE UITGEDRUKT IN AANTAL DAGEN</t>
  </si>
  <si>
    <t>KOSTEN VAN DE PRODUCTEN PER DAG</t>
  </si>
  <si>
    <t>WAARDE VAN DE VOORRAAD OVER DE PERIODE</t>
  </si>
  <si>
    <t>BETALINGSTERMIJN VAN KLANTEN UITGEDRUKT IN AANTAL DAGEN</t>
  </si>
  <si>
    <t>WAARDE VAN DE VORDERINGEN OVER DE PERIODE</t>
  </si>
  <si>
    <t>BETALINGSTERMIJN VAN LEVERANCIERS IN AANTAL DAGEN</t>
  </si>
  <si>
    <t>WAARDE VAN DE TE BETALEN REKENINGEN OVER DE PERIODE</t>
  </si>
  <si>
    <t>INKOMSTEN (INCLUSIEF BTW) PER DAG</t>
  </si>
  <si>
    <t>KOSTEN VAN INKOMSTEN PLUS OPERATIONELE UITGAVEN MIN SALARISSEN VAN HET PERSONEEL (INCLUSIEF BTW) PER DAG</t>
  </si>
  <si>
    <t>WORKING CAPITAL ____</t>
  </si>
  <si>
    <t>REVENUE AND GROSS PROFIT ____</t>
  </si>
  <si>
    <t>NUMBER OF DAYS ADJUSTABLE</t>
  </si>
  <si>
    <t>COST OF GOODS SOLD PRODUCTS / 360 DAYS</t>
  </si>
  <si>
    <t>PROFIT AND LOSS STATEMENT</t>
  </si>
  <si>
    <t>WINST- EN VERLIESREKENING</t>
  </si>
  <si>
    <t>PROFIT AND LOSS STATEMENT ____</t>
  </si>
  <si>
    <t>STOCK VARIATION</t>
  </si>
  <si>
    <t>BRUTO WINST VOOR BELASTINGEN</t>
  </si>
  <si>
    <t>NETTO WINST</t>
  </si>
  <si>
    <t>BANKKOSTEN</t>
  </si>
  <si>
    <t>BANKKOSTEN + RENTE</t>
  </si>
  <si>
    <t>BELASTINGEN</t>
  </si>
  <si>
    <t>RENTE</t>
  </si>
  <si>
    <t>GROSS PROFIT BEFORE TAX</t>
  </si>
  <si>
    <t>NET PROFIT</t>
  </si>
  <si>
    <t>BANK CHARGES</t>
  </si>
  <si>
    <t>BANK CHARGES + INTEREST</t>
  </si>
  <si>
    <t>TAXES</t>
  </si>
  <si>
    <t>INTEREST</t>
  </si>
  <si>
    <t>EBIT - EARNINGS BEFORE INTEREST AND TAXES</t>
  </si>
  <si>
    <t>EBITDA - EARNINGS BEFORE INTEREST, TAXES, DEPRECIATION, AND AMORTISATION</t>
  </si>
  <si>
    <t>EBIT - WINST VOOR RENTE EN BELASTINGEN</t>
  </si>
  <si>
    <t>EBITDA - WINST VOOR RENTE, BELASTINGEN, AFSCHRIJVINGEN EN AMORTISATIE</t>
  </si>
  <si>
    <t>EBITDA - BENEFICE AVANT INTERETS, IMPOTS, DEPRECIATION ET AMORTISSEMENT</t>
  </si>
  <si>
    <t>EBIT - BENEFICE AVANT INTERETS ET IMPOTS</t>
  </si>
  <si>
    <t>LOAN FROM FAMILY AND FRIENDS</t>
  </si>
  <si>
    <t>+ CHANGES IN INVENTORY ON PURCHASES</t>
  </si>
  <si>
    <t>+ CHANGES IN RECEIVABLES</t>
  </si>
  <si>
    <t>- CHANGES IN OPERATING DEBTS</t>
  </si>
  <si>
    <t>LOAN FROM LOCAL BANK</t>
  </si>
  <si>
    <t>LOAN FROM OVO</t>
  </si>
  <si>
    <t>LENING VAN FAMILIE EN VRIENDEN</t>
  </si>
  <si>
    <t>+ VARIATIES IN VOORRADEN OP AANKOPEN</t>
  </si>
  <si>
    <t>+ VARIATIE IN VORDERINGEN</t>
  </si>
  <si>
    <t>- VARIATIE IN EXPLOITATIESCHULDEN</t>
  </si>
  <si>
    <t>LENING VAN OVO</t>
  </si>
  <si>
    <t>LENING VAN LOKALE BANK</t>
  </si>
  <si>
    <t>NOMBRE DE JOURS AJUSTABLE</t>
  </si>
  <si>
    <t>AANTAL DAGEN AAN TE PASEN</t>
  </si>
  <si>
    <t>CALCULATED IN SECTION 7</t>
  </si>
  <si>
    <t>KAPITAALINBRENG DOOR BESTAANDE AANDEELHOUDERS</t>
  </si>
  <si>
    <t>KAPITAALINBRENG DOOR NIEUWE AANDEELHOUDERS</t>
  </si>
  <si>
    <t>CAPITAL CONTRIBUTION BY EXISTING SHAREHOLDERS</t>
  </si>
  <si>
    <t>CAPITAL CONTRIBUTION BY NEW SHAREHOLDERS</t>
  </si>
  <si>
    <t>CASH FLOW STATEMENT</t>
  </si>
  <si>
    <t>CASH POSITION AT THE BEGINNING OF THE PERIOD</t>
  </si>
  <si>
    <t>GROSS PROFIT + DEPRECIATION - PREVIOUS YEAR'S TAX</t>
  </si>
  <si>
    <t>DIFFERENCE IN WORKING CAPITAL COMPARED TO LAST YEAR</t>
  </si>
  <si>
    <t>INVESTMENT EXPENDITURE</t>
  </si>
  <si>
    <t>KASSTROOMOVERZICHT</t>
  </si>
  <si>
    <t>KASPOSITIE AAN HET BEGIN VAN DE PERIODE</t>
  </si>
  <si>
    <t>BRUTOWINST + AFSCHRIJVINGEN - BELASTINGEN VOOR HET VOORGAANDE JAAR</t>
  </si>
  <si>
    <t>VERSCHIL IN WERKKAPITAAL TEN OPZICHTE VAN VORIG JAAR</t>
  </si>
  <si>
    <t>INVESTERINGSUITGAVEN</t>
  </si>
  <si>
    <t>CASH FLOW STATEMENT ____</t>
  </si>
  <si>
    <t>MONTANT PRINCIPAL DE PRET</t>
  </si>
  <si>
    <t>PRINCIPAL LOAN AMOUNT</t>
  </si>
  <si>
    <t>CASH POSITION AT END OF PERIOD</t>
  </si>
  <si>
    <t>HOOFDBEDRAG VAN DE LENING</t>
  </si>
  <si>
    <t>KASPOSITIE AAN HET EINDE VAN DE PERIODE</t>
  </si>
  <si>
    <t>SOURCE OF FINANCING</t>
  </si>
  <si>
    <t>FINANCIERINGSBRON</t>
  </si>
  <si>
    <t>SOURCE OF FINANCING ____</t>
  </si>
  <si>
    <t>SEMESTER 1</t>
  </si>
  <si>
    <t>SEMESTER 2</t>
  </si>
  <si>
    <t>PRINCIPAL LOAN AMOUNT FROM OVO</t>
  </si>
  <si>
    <t>INTEREST LOAN FROM OVO</t>
  </si>
  <si>
    <t>PRINCIPAL LOAN AMOUNT FROM FAMILY AND FRIENDS</t>
  </si>
  <si>
    <t>INTEREST LOAN FROM  FROM FAMILY AND FRIENDS</t>
  </si>
  <si>
    <t>PRINCIPAL LOAN AMOUNT LOCAL BANK</t>
  </si>
  <si>
    <t>INTEREST LOAN FROM  LOCAL BANK</t>
  </si>
  <si>
    <t>FINANCING NEEDS</t>
  </si>
  <si>
    <t>LOAN FROM OVO + LOAN FROM FAMILY AND FRIENDS</t>
  </si>
  <si>
    <t>EINDEJAARSBALANSWAARDE LANGE TERMIJN</t>
  </si>
  <si>
    <t>EINDEJAARSBALANSWAARDE KORTE TERMIJN</t>
  </si>
  <si>
    <t>VALEUR BILAN FIN D'ANNEE A LONG TERME</t>
  </si>
  <si>
    <t>VALEUR BILAN FIN D'ANNEE A COURT TERME</t>
  </si>
  <si>
    <t>PivotTableFinanceData1</t>
  </si>
  <si>
    <t>INTEREST Total</t>
  </si>
  <si>
    <t>SOURCE OF FINANCING Total</t>
  </si>
  <si>
    <t>PRINCIPAL LOAN AMOUNT Total</t>
  </si>
  <si>
    <t>CASH POSITION AT END OF PERIOD Total</t>
  </si>
  <si>
    <t>Sum of YEAR-2</t>
  </si>
  <si>
    <t>Sum of YEAR-1</t>
  </si>
  <si>
    <t>Sum of CURRENT YEAR</t>
  </si>
  <si>
    <t>Sum of YEAR2</t>
  </si>
  <si>
    <t>Sum of YEAR3</t>
  </si>
  <si>
    <t>Sum of YEAR4</t>
  </si>
  <si>
    <t>Sum of YEAR5</t>
  </si>
  <si>
    <t>Sum of YEAR6</t>
  </si>
  <si>
    <t>PivotTableFinanceData2</t>
  </si>
  <si>
    <t>VOLUME, AVERAGE SELLING PRICE PER UNIT AND GROSS PROFIT</t>
  </si>
  <si>
    <t>PivotTableFinanceData3</t>
  </si>
  <si>
    <t>PivotTableFinanceData4</t>
  </si>
  <si>
    <t>PivotTableFinanceData5</t>
  </si>
  <si>
    <t>VASTE ACTIVA</t>
  </si>
  <si>
    <t>TOTAL ASSETS</t>
  </si>
  <si>
    <t>PivotTableFinanceData6</t>
  </si>
  <si>
    <t>PROFIT BEFORE TAX</t>
  </si>
  <si>
    <t>BENEFICE AVANT IMPOT</t>
  </si>
  <si>
    <t>WINST VOOR BELASTINGEN</t>
  </si>
  <si>
    <t>NETTOWINST</t>
  </si>
  <si>
    <t>PivotTableFinanceData7</t>
  </si>
  <si>
    <t>PivotTableFinanceData8</t>
  </si>
  <si>
    <t>WORKING CAPITAL Total</t>
  </si>
  <si>
    <t>PivotTableFinanceData9</t>
  </si>
  <si>
    <t>TOTAL REVENUE</t>
  </si>
  <si>
    <t>TOTAL COST OF GOODS SOLD</t>
  </si>
  <si>
    <t>TOTAL OPERATING EXPENSES</t>
  </si>
  <si>
    <t>BALANCE SHEET</t>
  </si>
  <si>
    <t>NORMS</t>
  </si>
  <si>
    <t>NORMEN</t>
  </si>
  <si>
    <t>CASH</t>
  </si>
  <si>
    <t>DEFERRED PROFITS</t>
  </si>
  <si>
    <t>UITGESTELDE WINSTEN</t>
  </si>
  <si>
    <t>APPORT EN CAPITAL PAR LES ACTIONNAIRES EXISTANTS</t>
  </si>
  <si>
    <t>APPORT EN CAPITAL PAR LES NOUVEAUX ACTIONNAIRES</t>
  </si>
  <si>
    <t>BENEFICES REPORTES</t>
  </si>
  <si>
    <t>EQUITY</t>
  </si>
  <si>
    <t>EIGEN VERMOGEN</t>
  </si>
  <si>
    <t>LONG TERM</t>
  </si>
  <si>
    <t>SHORT TERM</t>
  </si>
  <si>
    <t>DETTES</t>
  </si>
  <si>
    <t>LONG TERME</t>
  </si>
  <si>
    <t>SCHULDEN</t>
  </si>
  <si>
    <t>LANGE TERMIJN</t>
  </si>
  <si>
    <t>BANKLENING (MEER DAN 1 JAAR TE BETALEN)</t>
  </si>
  <si>
    <t>EXTERNE LENINGEN (MEER DAN 1 JAAR TE BETALEN)</t>
  </si>
  <si>
    <t>KORTE TERMIJN</t>
  </si>
  <si>
    <t>BANKLENING (MINDER DAN 1 JAAR TE BETALEN)</t>
  </si>
  <si>
    <t>EXTERNE LENINGEN (MINDER DAN 1 JAAR TE BETALEN)</t>
  </si>
  <si>
    <t>DEBTS</t>
  </si>
  <si>
    <t>BANK LOANS (MORE THAN 1 YEAR TO PAY)</t>
  </si>
  <si>
    <t>EXTERNAL LOANS (MORE THAN 1 YEAR TO PAY)</t>
  </si>
  <si>
    <t>BANK LOANS (LESS THAN 1 YEAR TO PAY)</t>
  </si>
  <si>
    <t>EXTERNAL LOANS (LESS THAN 1 YEAR TO PAY)</t>
  </si>
  <si>
    <t>TAX DEBTS</t>
  </si>
  <si>
    <t>BELASTINGSCHULDEN</t>
  </si>
  <si>
    <t>GROSS PROFIT / REVENUE</t>
  </si>
  <si>
    <t>EBITDA / REVENUE</t>
  </si>
  <si>
    <t>EBIT / REVENUE</t>
  </si>
  <si>
    <t>PROFIT BEFORE TAX / REVENUE</t>
  </si>
  <si>
    <t>NET PROFIT / REVENUE</t>
  </si>
  <si>
    <t>PivotTableFinanceData12</t>
  </si>
  <si>
    <t>EFT</t>
  </si>
  <si>
    <t>RATIO'S WINST- EN VERLIESREKENING</t>
  </si>
  <si>
    <t>BRUTOMARGE / INKOMSTEN</t>
  </si>
  <si>
    <t>BRUTOMARGE PRODUCTEN / INKOMSTEN PRODUCTEN</t>
  </si>
  <si>
    <t>EBITDA / INKOMSTEN</t>
  </si>
  <si>
    <t>EBIT / INKOMSTEN</t>
  </si>
  <si>
    <t>BRUTOWINST VOOR BELASTINGEN / INKOMSTEN</t>
  </si>
  <si>
    <t>NETTOWINST / INKOMSTEN</t>
  </si>
  <si>
    <t>SOLVABILITEITSRATIO'S</t>
  </si>
  <si>
    <t>NETTO WERKKAPITAAL</t>
  </si>
  <si>
    <t>VLOTTENDE ACTIVA - VLOTTENDE VERPLICHTINGEN</t>
  </si>
  <si>
    <t>PERMANENT EIGEN VERMOGEN - VASTE ACTIVA</t>
  </si>
  <si>
    <t>ALGEMENE FINANCIERING</t>
  </si>
  <si>
    <t>ALGEMENE SCHULDENRATIO</t>
  </si>
  <si>
    <t>LANGETERMIJNSCHULDENRATIO</t>
  </si>
  <si>
    <t>ONAFHANKELIJKHEIDSGRAAD</t>
  </si>
  <si>
    <t>LIQUIDITEITSVERHOUDINGEN</t>
  </si>
  <si>
    <t>RENDEMENTSCIJFERS</t>
  </si>
  <si>
    <t>RENDEMENT OP OMZET</t>
  </si>
  <si>
    <t>RENDEMENT OP INVESTERINGEN</t>
  </si>
  <si>
    <t>RENDEMENT OP TOTALE BRONNEN</t>
  </si>
  <si>
    <t>RENDEMENT OP EIGEN VERMOGEN</t>
  </si>
  <si>
    <t>SOLVENCY RATIOS</t>
  </si>
  <si>
    <t>NET WORKING CAPITAL</t>
  </si>
  <si>
    <t>CURRENT ASSETS - CURRENT LIABILITIES</t>
  </si>
  <si>
    <t>PERMANENT EQUITY - FIXED ASSETS</t>
  </si>
  <si>
    <t>GENERAL FINANCING</t>
  </si>
  <si>
    <t>GENERAL DEBT RATIO</t>
  </si>
  <si>
    <t>LONG-TERM DEBT RATIO</t>
  </si>
  <si>
    <t>DEGREE OF INDEPENDENCE</t>
  </si>
  <si>
    <t>LIQUIDITY RATIOS</t>
  </si>
  <si>
    <t>PROFIT AND LOSS STATMENT RATIOS</t>
  </si>
  <si>
    <t>GROSS PROFIT ON PRODUCTS / PRODUCT REVENUE</t>
  </si>
  <si>
    <t>CURRENT RATIO</t>
  </si>
  <si>
    <t>QUICK RATIO</t>
  </si>
  <si>
    <t>CASH RATIO</t>
  </si>
  <si>
    <t>RATIO ACTUEL</t>
  </si>
  <si>
    <t>RATIO RAPIDE</t>
  </si>
  <si>
    <t>RATIO DE TRESORERIE</t>
  </si>
  <si>
    <t>BREAK-EVEN</t>
  </si>
  <si>
    <t>BREAK-EVEN VOLUME</t>
  </si>
  <si>
    <t>BREAK-EVEN REVENUE VALUE</t>
  </si>
  <si>
    <t>BREAK-EVEN REVENUE RATIO</t>
  </si>
  <si>
    <t>RETURN ON REVENUE</t>
  </si>
  <si>
    <t>CHIFFRES DE RENDEMENT</t>
  </si>
  <si>
    <t>RENDEMENT SUR LE CHIFFRE D'AFFAIRES</t>
  </si>
  <si>
    <t>RENDEMENT SUR LES INVESTISSEMENTS</t>
  </si>
  <si>
    <t>RENDEMENT SUR LES SOURCES TOTALES</t>
  </si>
  <si>
    <t>RENDEMENT SUR LES CAPITAUX PROPRES</t>
  </si>
  <si>
    <t>SEUIL DE RENTABILITÉ</t>
  </si>
  <si>
    <t>VOLUME DE RENTABILITÉ</t>
  </si>
  <si>
    <t>VALEUR DE RENTABILITÉ</t>
  </si>
  <si>
    <t>RATIO DE RENTABILITÉ</t>
  </si>
  <si>
    <t>BREAK-EVEN OMZETWAARDE</t>
  </si>
  <si>
    <t>BREAK-EVEN OMZETRATIO</t>
  </si>
  <si>
    <t>HUIDIGE RATIO</t>
  </si>
  <si>
    <t>SNELLE RATIO</t>
  </si>
  <si>
    <t>KASSTROOMRATIO</t>
  </si>
  <si>
    <t>&gt; 0</t>
  </si>
  <si>
    <t>MAX 2</t>
  </si>
  <si>
    <t>AT LEAST 1/3</t>
  </si>
  <si>
    <t>MAX 1</t>
  </si>
  <si>
    <t>MAX 80% OR LESS</t>
  </si>
  <si>
    <t>=1</t>
  </si>
  <si>
    <t>MARGE BRUTE %</t>
  </si>
  <si>
    <t>BRUTO WINST %</t>
  </si>
  <si>
    <t>OMZET %</t>
  </si>
  <si>
    <t>OMZET IN EUR</t>
  </si>
  <si>
    <t>OMZETGROEI JAAR/JAAR-1</t>
  </si>
  <si>
    <t>CROISSANCE DU CHIFFRE D'AFFAIRES AN/AN-1</t>
  </si>
  <si>
    <t>OMZETPRODUCTEN</t>
  </si>
  <si>
    <t>OMZETDIENSTEN</t>
  </si>
  <si>
    <t>TOTALE OMZET</t>
  </si>
  <si>
    <t>KOSTEN VAN VERKOCHTE GOEDEREN PRODUCTEN</t>
  </si>
  <si>
    <t>KOSTEN VAN VERKOCHTE GOEDEREN DIENSTEN</t>
  </si>
  <si>
    <t>VOORRAADVARIATIE</t>
  </si>
  <si>
    <t>REVENUS TOTAUX</t>
  </si>
  <si>
    <t>VARIATION DES STOCKS</t>
  </si>
  <si>
    <t>COUT DES PRODUITS VENDUS</t>
  </si>
  <si>
    <t>COUT DES SERVICES VENDUS</t>
  </si>
  <si>
    <t>REVENUS PRODUITS</t>
  </si>
  <si>
    <t>REVENUS SERVICES</t>
  </si>
  <si>
    <t>COUT TOTAL DES PRODUITS/SERVICES VENDUS</t>
  </si>
  <si>
    <t>TOTALE KOSTEN VAN VERKOCHTE GOEDEREN/DIENSTEN</t>
  </si>
  <si>
    <t>CURRENT ASSETS</t>
  </si>
  <si>
    <t>ACTIF COURANT</t>
  </si>
  <si>
    <t>TRESORERIE</t>
  </si>
  <si>
    <t>VLOTTENDE ACTIVA</t>
  </si>
  <si>
    <t>CONTANTEN</t>
  </si>
  <si>
    <t>TOTAAL ACTIVA</t>
  </si>
  <si>
    <t xml:space="preserve">TOTAAL PASSIVA </t>
  </si>
  <si>
    <t>BALANS</t>
  </si>
  <si>
    <t>CA ET MARGE BRUTE</t>
  </si>
  <si>
    <t>OMZET EN BRUTO WINST</t>
  </si>
  <si>
    <t>MARGE BRUTE PRODUITS</t>
  </si>
  <si>
    <t>MARGE BRUTE SERVICES</t>
  </si>
  <si>
    <t>BRUTO WINST PRODUCTEN</t>
  </si>
  <si>
    <t>BRUT WINST DIENSTEN</t>
  </si>
  <si>
    <t>TOTAL ACTIF</t>
  </si>
  <si>
    <t>VOLUME, GEMIDDELDE VERKOOPPRIJS PER EENHEID EN BRUTO WINST</t>
  </si>
  <si>
    <t>VARIATIE</t>
  </si>
  <si>
    <t>LENING VAN OVO + LENING VAN FAMILIE EN VRIENDEN</t>
  </si>
  <si>
    <t>HOOFDSOM LENING VAN OVO</t>
  </si>
  <si>
    <t>HOOFDSOM LENING VAN FAMILIE EN VRIENDEN</t>
  </si>
  <si>
    <t>HOOFDSOM LENING VAN LOKALE BANK</t>
  </si>
  <si>
    <t>RENTE LENING VAN OVO</t>
  </si>
  <si>
    <t>RENTE LENING VAN FAMILIE EN VRIENDEN</t>
  </si>
  <si>
    <t>RENTE LENING VAN LOKALE BANK</t>
  </si>
  <si>
    <t>TOTALE BEDRIJFSKOSTEN</t>
  </si>
  <si>
    <t>VOLUME, PRIX DE VENTE MOYEN PAR UNITE ET MARGE BRUTE</t>
  </si>
  <si>
    <t>TOTAL DES DEPENSES D'EXPLOITATION</t>
  </si>
  <si>
    <t>PRET DE OVO + PRET DE LA FAMILLE ET DES AMIS</t>
  </si>
  <si>
    <t>MONTANT DU PRINCIPAL DU PRET DE OVO</t>
  </si>
  <si>
    <t>MONTANT DU PRINCIPAL DU PRET DE LA FAMILLE ET DES AMIS</t>
  </si>
  <si>
    <t>MONTANT DU PRINCIPAL DU PRET DE LA BANQUE LOCALE</t>
  </si>
  <si>
    <t>INTERETS DU PRET D'OVO</t>
  </si>
  <si>
    <t>INTERETS DU PRET DE LA FAMILLE ET DES AMIS</t>
  </si>
  <si>
    <t>INTERETS DU PRET DE LA BANQUE LOCALE</t>
  </si>
  <si>
    <t>FONDS DE ROULEMENT Total</t>
  </si>
  <si>
    <t>WERKKAPITAAL Totaal</t>
  </si>
  <si>
    <t>FINANCIERINGSBRON Totaal</t>
  </si>
  <si>
    <t>SOURCE DE FINANCEMENT Total</t>
  </si>
  <si>
    <t>INTERETS Total</t>
  </si>
  <si>
    <t>POSITION DE TRESORERIE FIN DE PERIODE Total</t>
  </si>
  <si>
    <t>MONTANT PRINCIPAL DE PRET Total</t>
  </si>
  <si>
    <t>RENTE Totaal</t>
  </si>
  <si>
    <t>HOOFDBEDRAG VAN DE LENING Totaal</t>
  </si>
  <si>
    <t>KASPOSITIE AAN HET EINDE VAN DE PERIODE Totaal</t>
  </si>
  <si>
    <t>TOTAL START-UP COSTS</t>
  </si>
  <si>
    <t>TOTAL INTANGIBLE ASSETS</t>
  </si>
  <si>
    <t>TOTAL FIXED ASSETS</t>
  </si>
  <si>
    <t>TOTAL OTHER ASSETS</t>
  </si>
  <si>
    <t>TOTAL PRODUCTION EQUIPEMENT</t>
  </si>
  <si>
    <t>TOTAL OFFICE EQUIPEMENT</t>
  </si>
  <si>
    <t>TOTAL MATERIEL DE BUREAU</t>
  </si>
  <si>
    <t>TOTAL MATERIEL DE PRODUCTION</t>
  </si>
  <si>
    <t>TOTAAL KANTOORMATERIAAL</t>
  </si>
  <si>
    <t>TOTAAL PRODUCTIEMATERIAAL</t>
  </si>
  <si>
    <t>TOTAL AUTRES ACTIFS</t>
  </si>
  <si>
    <t>TOTAL ACTIFS IMMATERIELS</t>
  </si>
  <si>
    <t>TOTAAL OVERIGE ACTIVA</t>
  </si>
  <si>
    <t>TOTAAL IMMATERIËLE ACTIVA</t>
  </si>
  <si>
    <t>TOTAL FRAIS DE DEMARRAGE</t>
  </si>
  <si>
    <t>TOTAAL OPSTARTKOSTEN</t>
  </si>
  <si>
    <t>TOTAL ACTIFS IMMOBILISES</t>
  </si>
  <si>
    <t>TOTAAL VASTE ACTIVA</t>
  </si>
  <si>
    <t>Total général</t>
  </si>
  <si>
    <t>Totaal</t>
  </si>
  <si>
    <t>BEGINNING OF THE PERIOD</t>
  </si>
  <si>
    <t>DEBUT DE LA PERIODE</t>
  </si>
  <si>
    <t>BEGIN VAN DE PERIODE</t>
  </si>
  <si>
    <t>EINDE VAN DE PERIODE</t>
  </si>
  <si>
    <t>END OF THE PERIOD</t>
  </si>
  <si>
    <t>FIN DE LA PERIODE</t>
  </si>
  <si>
    <t>BREAK-EVEN REVENUE</t>
  </si>
  <si>
    <t>BREAK-EVEN OMZET</t>
  </si>
  <si>
    <t>BREAK-EVEN CHIFFRE D'AFFAIRES</t>
  </si>
  <si>
    <t>CHIFFRE D'AFFAIRES</t>
  </si>
  <si>
    <t>CHIFFRE D'AFFAIRES %</t>
  </si>
  <si>
    <t>CHIFFRE D'AFFAIRES EN EUR</t>
  </si>
  <si>
    <t>EFFECTIF_I&amp;T</t>
  </si>
  <si>
    <t>EFFECTIEF_B&amp;H</t>
  </si>
  <si>
    <t>KANTOOR</t>
  </si>
  <si>
    <t>REIZEN</t>
  </si>
  <si>
    <t>VOYAGE</t>
  </si>
  <si>
    <t>EFFECTIF_CAT</t>
  </si>
  <si>
    <t>EFFECTIEF_CAT</t>
  </si>
  <si>
    <t>ALLE KOSTEN</t>
  </si>
  <si>
    <t>TOUTES LES CHARGES</t>
  </si>
  <si>
    <t>TRANSLATION FILTER</t>
  </si>
  <si>
    <t>% VARIATION D'UNE ANNEE SUR L'AUTRE</t>
  </si>
  <si>
    <t>% VARIATIE VAN JAAR TOT JAAR</t>
  </si>
  <si>
    <t>% MARKETING COST / REVENUE</t>
  </si>
  <si>
    <t>% STAFF SALARIES / REVENUE</t>
  </si>
  <si>
    <t>% TAXES AND DUTIES ON STAFF / REVENUE</t>
  </si>
  <si>
    <t>% OFFICE COSTS / REVENUE</t>
  </si>
  <si>
    <t>% OTHER EXPENSES / REVENUE</t>
  </si>
  <si>
    <t>% TRAVEL &amp; TRANSPORTATION / REVENUE</t>
  </si>
  <si>
    <t>% INSURANCE / REVENUE</t>
  </si>
  <si>
    <t>% MAINTENANCE / REVENUE</t>
  </si>
  <si>
    <t>% THIRD PARTIES / REVENUE</t>
  </si>
  <si>
    <t>% OPERATING EXPENSES / REVENUE</t>
  </si>
  <si>
    <t>% MARKETINGKOSTEN / OMZET</t>
  </si>
  <si>
    <t>% SALARISSEN PERSONEEL / OMZET</t>
  </si>
  <si>
    <t>% BELASTINGEN EN HEFFINGEN OP PERSONEEL / OMZET</t>
  </si>
  <si>
    <t>% KANTOORKOSTEN / OMZET</t>
  </si>
  <si>
    <t>% OVERIGE KOSTEN / OMZET</t>
  </si>
  <si>
    <t>% REIS- EN VERVOERSKOSTEN / OMZET</t>
  </si>
  <si>
    <t>% VERZEKERINGEN / OMZET</t>
  </si>
  <si>
    <t>% ONDERHOUD / OMZET</t>
  </si>
  <si>
    <t>% DERDEN / OMZET</t>
  </si>
  <si>
    <t>% EXPLOITATIEKOSTEN / OMZET</t>
  </si>
  <si>
    <t>% COUTS DE MARKETING / CHIFFRE D'AFFAIRES</t>
  </si>
  <si>
    <t>% SALAIRES DU PERSONNEL / CHIFFRE D'AFFAIRES</t>
  </si>
  <si>
    <t>% IMPOTS ET TAXES SUR LE PERSONNEL / CHIFFRE D'AFFAIRES</t>
  </si>
  <si>
    <t>% FRAIS DE BUREAU / CHIFFRE D'AFFAIRESS</t>
  </si>
  <si>
    <t>% AUTRES DEPENSES / CHIFFRE D'AFFAIRESS</t>
  </si>
  <si>
    <t>% DEPLACEMENTS ET TRANSPORTS / CHIFFRE D'AFFAIRESS</t>
  </si>
  <si>
    <t>% ASSURANCES / CHIFFRE D'AFFAIRESS</t>
  </si>
  <si>
    <t>% ENTRETIEN / CHIFFRE D'AFFAIRESS</t>
  </si>
  <si>
    <t>% TIERS / CHIFFRE D'AFFAIRESS</t>
  </si>
  <si>
    <t>% DEPENSES D'EXPLOITATION / CHIFFRE D'AFFAIRESS</t>
  </si>
  <si>
    <t>AUGMENTATION DES STOCKS</t>
  </si>
  <si>
    <t>DIMINUTION DES STOCKS</t>
  </si>
  <si>
    <t>VOORRAADTOENAME</t>
  </si>
  <si>
    <t>VOORRAADAFNAME</t>
  </si>
  <si>
    <t>PRODUIT + SERVICE</t>
  </si>
  <si>
    <t>PRODUCT + DIENST</t>
  </si>
  <si>
    <t>TRANSLATION NOTE</t>
  </si>
  <si>
    <t>VERTALINGSNOTA</t>
  </si>
  <si>
    <t>NOTE DE TRADUCTION</t>
  </si>
  <si>
    <t>EN-FR-NL version 
Workbook protection 
Best / Worse case simultation</t>
  </si>
  <si>
    <t>Version EN-FR-NL 
Protection du classeur 
Simulation du meilleur/pire scénario</t>
  </si>
  <si>
    <t>Versie EN-FR-NL 
Werkboekbeveiliging 
Simulatie van beste/slechtste scenario</t>
  </si>
  <si>
    <t>SHEET</t>
  </si>
  <si>
    <t>COMMENT</t>
  </si>
  <si>
    <t>FINANCIEEL PLAN</t>
  </si>
  <si>
    <t>FINANCIAL PLAN</t>
  </si>
  <si>
    <t>English Item</t>
  </si>
  <si>
    <t>French Item</t>
  </si>
  <si>
    <t>Dutch Item</t>
  </si>
  <si>
    <t>REMPLIR LES CELLULES EN JAUNE</t>
  </si>
  <si>
    <t>REMPLIR LES CELLULES EN JAUNE EN MONNAIE LOCALE</t>
  </si>
  <si>
    <t>7. Herhaal instructies 1 -&gt; 2 -&gt; 3 -&gt; 4 -&gt; 5 -&gt; 6 totdat het financiële plan is gevalideerd</t>
  </si>
  <si>
    <t>8. Blijf rustig. Het is leuk.</t>
  </si>
  <si>
    <t>VUL DE GELE CELLEN IN</t>
  </si>
  <si>
    <t>Naam van het bedrijf</t>
  </si>
  <si>
    <t>Land</t>
  </si>
  <si>
    <t>Lokale munteenheid en omrekeningskoers EUR</t>
  </si>
  <si>
    <t>Jaarlijkse inflatie in het land</t>
  </si>
  <si>
    <t>Vennootschapsbelasting</t>
  </si>
  <si>
    <t xml:space="preserve">6. Controleer of er geen fouten zijn. </t>
  </si>
  <si>
    <t>1. Remplir la feuille "InputsData"</t>
  </si>
  <si>
    <t>2. Remplir la feuille "RevenueData"</t>
  </si>
  <si>
    <t>1. Vul het blad “InputsData” in</t>
  </si>
  <si>
    <t>2. Vul het blad “RevenueData” in</t>
  </si>
  <si>
    <t>4. Vul het blad “FinanceData” in</t>
  </si>
  <si>
    <t>4. Remplir la feuille "FinanceData"</t>
  </si>
  <si>
    <t xml:space="preserve">6. Check for errors. </t>
  </si>
  <si>
    <t>7. Repeat steps 1 -&gt; 2 -&gt; 3 -&gt; 4 -&gt; 5 -&gt; 6 until the financial plan is validated</t>
  </si>
  <si>
    <t>8. Keep calm. It's fun.</t>
  </si>
  <si>
    <t>1. Fill in the ‘InputsData’ sheet</t>
  </si>
  <si>
    <t>2. Fill in the ‘RevenueData’ sheet</t>
  </si>
  <si>
    <t>4. Fill in the ‘FinanceData’ sheet</t>
  </si>
  <si>
    <t>FILL IN THE YELLOW CELLS</t>
  </si>
  <si>
    <t>Company name</t>
  </si>
  <si>
    <t>Country</t>
  </si>
  <si>
    <t>Local currency and EUR conversion rate</t>
  </si>
  <si>
    <t>VAT applicable in the country</t>
  </si>
  <si>
    <t>Annual inflation in the country</t>
  </si>
  <si>
    <t>Corporation tax</t>
  </si>
  <si>
    <t>Zet het filter op “1” als het product of de dienst wordt gebruikt, anders op “0” in kolom D</t>
  </si>
  <si>
    <t>Set the filter to ‘1’ if the product or service is used, otherwise ‘0’ in column D</t>
  </si>
  <si>
    <t>BTW van toepassing in het land</t>
  </si>
  <si>
    <t>MARGIN AND PRODUCT COSTS</t>
  </si>
  <si>
    <t>MARGE EN KOSTEN VAN DE PRODUCTEN</t>
  </si>
  <si>
    <t>For the sake of simplicity, we only take into account the purchase cost (in the case of a product) or the material cost of using raw materials to transform them into a semi-finished or finished product (including, where applicable, the cost of non-returnable packaging).  Other costs incurred, such as labour and energy used, will be calculated in the next step of the list of operating expenses.</t>
  </si>
  <si>
    <t>Omwille van de eenvoud houden we alleen rekening met de aankoopkosten (in het geval van een product) of de materiaalkosten voor het gebruik van grondstoffen om deze te verwerken tot een halffabrikaat of eindproduct (eventueel inclusief de kosten van niet-statiegeldverpakkingen).  De andere kosten, zoals arbeid en energieverbruik, berekenen we in de volgende stap van de lijst met operationele uitgaven.</t>
  </si>
  <si>
    <t>MARGIN AND COST OF SERVICES</t>
  </si>
  <si>
    <t>MARGE EN KOSTEN VAN DIENSTEN</t>
  </si>
  <si>
    <t>In the case of a service, we do not calculate a cost of sale or a cost of production, so the gross margin of a service will be equal to the income. All costs incurred by the company will be calculated in the list of operating expenses.  However, if external commissions or royalties are paid, these should be included in the cost of services.</t>
  </si>
  <si>
    <t>In het geval van een dienst berekenen we geen verkoopkosten of productiekosten, zodat de brutomarge van een dienst gelijk is aan de inkomsten. Alle kosten die in het bedrijf worden gemaakt, worden berekend in de lijst van operationele uitgaven.  Als er echter externe commissies of vergoedingen worden betaald, moeten deze worden vermeld in de kosten van de diensten.</t>
  </si>
  <si>
    <t>UNIT SELLING PRICE OF PRODUCTS</t>
  </si>
  <si>
    <t>VERKOOPPRIJS PER EENHEID VAN PRODUCTEN</t>
  </si>
  <si>
    <t>Finally, if possible, compare your calculated selling price with current market prices.</t>
  </si>
  <si>
    <t>Vergelijk ten slotte, indien mogelijk, uw berekende verkoopprijs met de huidige marktprijzen.</t>
  </si>
  <si>
    <t>Once data has been entered or updated in the ‘CA Data’ sheet, it is essential to refresh the dynamic tables so that they reflect the latest information. Without this update, the tables may display outdated data.</t>
  </si>
  <si>
    <t>Une fois les données saisies ou mises à jour dans la feuille "RevenueCA", il est indispensable de rafraîchir les tableaux dynamiques afin qu’ils reflètent les dernières informations. Sans cette actualisation, les tableaux risquent d’afficher des données obsolètes.</t>
  </si>
  <si>
    <t>Zodra de gegevens zijn ingevoerd of bijgewerkt in het blad “RevenueCA”, is het essentieel om de dynamische tabellen te vernieuwen, zodat ze de meest recente informatie weergeven. Zonder deze update bestaat het risico dat de tabellen verouderde gegevens weergeven.</t>
  </si>
  <si>
    <t>The graphs in local currency are updated at the same time as the ‘RevenuePivot’ sheet.</t>
  </si>
  <si>
    <t>Les graphes en monnaie locale sont mis à jour en même temps que la feuille "RevenuePivot"</t>
  </si>
  <si>
    <t>De grafieken in lokale valuta worden tegelijkertijd met het blad “RevenuePivot” bijgewerkt.</t>
  </si>
  <si>
    <t>Select products</t>
  </si>
  <si>
    <t>Selecteer de producten</t>
  </si>
  <si>
    <t>FILL IN THE YELLOW CELLS IN LOCAL CURRENCY</t>
  </si>
  <si>
    <t>VUL DE GELE CELLEN IN MET DE LOKALE VALUTA</t>
  </si>
  <si>
    <t>Section 1 is pre-filled with the results from the ‘RevenueData’ sheet.</t>
  </si>
  <si>
    <t>Deel 1 is vooraf ingevuld met de resultaten van het blad “RevenueData”</t>
  </si>
  <si>
    <t>Standard depreciation rules.  If other standards exist in your country, you can change the standard depreciation rates.</t>
  </si>
  <si>
    <t>Gebruikelijke afschrijvingsregels.  Als er in uw land andere normen gelden, kunt u de gebruikelijke afschrijvingspercentages wijzigen.</t>
  </si>
  <si>
    <t>Depreciation rules</t>
  </si>
  <si>
    <t>Afschrijvingsregels</t>
  </si>
  <si>
    <t>Grond</t>
  </si>
  <si>
    <t>Buildings</t>
  </si>
  <si>
    <t>Gebouwen</t>
  </si>
  <si>
    <t>Furniture</t>
  </si>
  <si>
    <t>Meubilair</t>
  </si>
  <si>
    <t>Equipment</t>
  </si>
  <si>
    <t>Apparatuur</t>
  </si>
  <si>
    <t>Machinery</t>
  </si>
  <si>
    <t>Electrical installations</t>
  </si>
  <si>
    <t>Elektrische installaties</t>
  </si>
  <si>
    <t>Cars/motorbikes</t>
  </si>
  <si>
    <t>Auto's/motorfietsen</t>
  </si>
  <si>
    <t>Lorries</t>
  </si>
  <si>
    <t>Vrachtwagens</t>
  </si>
  <si>
    <t>Computers + printers</t>
  </si>
  <si>
    <t>Mobile phones</t>
  </si>
  <si>
    <t>Mobiele telefoons</t>
  </si>
  <si>
    <t>These investments are not tangible. They include research costs, threshold costs (goodwill or customer acquisition costs), franchise connection costs, patents, licences, know-how, trademarks and other equivalent rights.</t>
  </si>
  <si>
    <t>Deze investeringen zijn niet tastbaar. Het gaat om kosten voor onderzoek, drempelkosten (goodwill of aankoopprijs van klanten), franchisekosten, octrooien, licenties, knowhow, merken en andere gelijkwaardige rechten.</t>
  </si>
  <si>
    <t>All expenses incurred before setting up the business can be capitalised if they are sufficiently high; otherwise, they are treated as an expense in your profit and loss account.</t>
  </si>
  <si>
    <t>Alle uitgaven die u hebt gedaan voordat u het bedrijf oprichtte, kunt u activeren als ze hoog genoeg zijn, anders neemt u ze op als last in uw winst- en verliesrekening.</t>
  </si>
  <si>
    <t>OVO LOAN</t>
  </si>
  <si>
    <t>General rules:</t>
  </si>
  <si>
    <t>Algemene regels:</t>
  </si>
  <si>
    <t>The highest amount that OVO suggests supporting is EUR 50,000.</t>
  </si>
  <si>
    <t>Het hoogste bedrag dat OVO voorstelt om te ondersteunen is 50.000 EUR.</t>
  </si>
  <si>
    <t>Four-year loan (maximum repayment period) provided by OVO and depending on cash flow developments.</t>
  </si>
  <si>
    <t>Lening van 4 jaar (maximale terugbetalingstermijn) voorzien door OVO en afhankelijk van de evolutie van de kasmiddelen.</t>
  </si>
  <si>
    <t>Interest rate of 7% per annum in EUR.  This may be increased by the percentage of the expected devaluation of the local currency against the EUR.</t>
  </si>
  <si>
    <t>Rente van 7% op jaarbasis en in EUR.  Eventueel te verhogen met het percentage van de verwachte devaluatie van de lokale munteenheid ten opzichte van de EUR.</t>
  </si>
  <si>
    <t>Exception:</t>
  </si>
  <si>
    <t>Uitzondering:</t>
  </si>
  <si>
    <t>Short-term loans for a maximum of one year.</t>
  </si>
  <si>
    <t>Kortlopende leningen voor maximaal één jaar.</t>
  </si>
  <si>
    <t>Interest rate of 12% per annum.  This may be increased by the percentage of the expected devaluation of the local currency against the EUR.</t>
  </si>
  <si>
    <t>Rente van 12% op jaarbasis.  Eventueel te verhogen met het percentage van de verwachte devaluatie van de lokale munteenheid ten opzichte van de EUR.</t>
  </si>
  <si>
    <t>Once data has been entered or updated in the ‘FinanceData’ sheet, it is essential to refresh the dynamic tables so that they reflect the latest information. Without this update, the tables may display outdated data.</t>
  </si>
  <si>
    <t>Une fois les données saisies ou mises à jour dans la feuille "FinanceData", il est indispensable de rafraîchir les tableaux dynamiques afin qu’ils reflètent les dernières informations. Sans cette actualisation, les tableaux risquent d’afficher des données obsolètes.</t>
  </si>
  <si>
    <t>Zodra de gegevens zijn ingevoerd of bijgewerkt in het blad “FinanceData”, is het essentieel om de dynamische tabellen te vernieuwen, zodat ze de meest recente informatie weergeven. Zonder deze update bestaat het risico dat de tabellen verouderde gegevens weergeven.</t>
  </si>
  <si>
    <t>= CURRENT ASSETS - CURRENT LIABILITIES</t>
  </si>
  <si>
    <t>= PERMANENT EQUITY - FIXED ASSETS</t>
  </si>
  <si>
    <t>= PERMANENT EQUITY / FIXED ASSETS</t>
  </si>
  <si>
    <t>= DEBTS / EQUITY</t>
  </si>
  <si>
    <t>= LONG-TERM LIABILITIES / EQUITY</t>
  </si>
  <si>
    <t>= EQUITY / TOTAL SOURCES</t>
  </si>
  <si>
    <t>= ASSETS / CURRENT LIABILITIES</t>
  </si>
  <si>
    <t>= (CURRENT ASSETS - INVENTORIES) / CURRENT LIABILITIES</t>
  </si>
  <si>
    <t>= LIQUIDITY / CURRENT LIABILITIES</t>
  </si>
  <si>
    <t>= FIXED COSTS / GROSS PROFIT PER UNIT</t>
  </si>
  <si>
    <t>= FIXED COSTS / GROSS MARGIN</t>
  </si>
  <si>
    <t>-&gt; RELATED TO FORECASTED REVENUE</t>
  </si>
  <si>
    <t>RETURN = NET PROFIT</t>
  </si>
  <si>
    <t>The graphs in local currency are updated at the same time as the ‘FinancePivot’ sheet.</t>
  </si>
  <si>
    <t>Les graphes en monnaie locale sont mis à jour en même temps que la feuille "FinancePivot"</t>
  </si>
  <si>
    <t>De grafieken in lokale valuta worden tegelijk met het blad “FinancePivot” bijgewerkt.</t>
  </si>
  <si>
    <t>The tables and graphs in EUR are updated at the same time as the ‘FinancePivot’ sheet.</t>
  </si>
  <si>
    <t>Les tableaux et graphes en EUR sont mis à jour en même temps que la feuille "FinancePivot"</t>
  </si>
  <si>
    <t>De tabellen en grafieken in EUR worden tegelijk met het blad “FinancePivot” bijgewerkt.</t>
  </si>
  <si>
    <t>‘RevenueData’ sheet | Check Total</t>
  </si>
  <si>
    <t>Feuille "RevenueData" | Check Total</t>
  </si>
  <si>
    <t>Blad “RevenueData” | Controleer totaal</t>
  </si>
  <si>
    <t>‘RevenueData’ sheet | Check TURNOVER</t>
  </si>
  <si>
    <t>Feuille "RevenueData" | Check CHIFFRE D'AFFAIRE</t>
  </si>
  <si>
    <t>Blad “RevenueData” | Controleer OMZET</t>
  </si>
  <si>
    <t>‘RevenueData’ sheet | Check GROSS MARGIN</t>
  </si>
  <si>
    <t>Feuille "RevenueData" | Check MARGE BRUTE</t>
  </si>
  <si>
    <t>Blad “RevenueData” | Controleer BRUTOMARGE</t>
  </si>
  <si>
    <t>‘FinanceData’ sheet | Check Gross Margin on Products</t>
  </si>
  <si>
    <t>Feuille "FinanceData" | Check Marge Brute Produits</t>
  </si>
  <si>
    <t>Blad “FinanceData” | Controleer brutomarge producten</t>
  </si>
  <si>
    <t>‘FinanceData’ sheet | Check Gross Margin on Services</t>
  </si>
  <si>
    <t>Feuille "FinanceData" | Check Marge Brute Services</t>
  </si>
  <si>
    <t>Blad “FinanceData” | Controleer brutomarge diensten</t>
  </si>
  <si>
    <t>‘FinanceData’ sheet | Check Gross Margin</t>
  </si>
  <si>
    <t>Feuille "FinanceData" | Check Marge Brute</t>
  </si>
  <si>
    <t>Blad “FinanceData” | Controleer brutomarge</t>
  </si>
  <si>
    <t>‘FinanceData’ sheet | Check Operating Expenses</t>
  </si>
  <si>
    <t>Feuille "FinanceData" | Check Dépenses Opérationnelles</t>
  </si>
  <si>
    <t>Blad “FinanceData” | Controleer operationele uitgaven</t>
  </si>
  <si>
    <t>‘FinanceData’ sheet | Check Operating Expenses %</t>
  </si>
  <si>
    <t>Feuille "FinanceData" | Check Dépenses Opérationnelles %</t>
  </si>
  <si>
    <t>Blad “FinanceData” | Controleer operationele uitgaven %</t>
  </si>
  <si>
    <t>‘FinancePivot’ sheet | Check Net Profit</t>
  </si>
  <si>
    <t>Feuille "FinancePivot" | Check bénéfice net</t>
  </si>
  <si>
    <t>Blad “FinancePivot” | Controleer nettowinst</t>
  </si>
  <si>
    <t>‘FinancePivot’ sheet | Assets = Liabilities</t>
  </si>
  <si>
    <t>Feuille "FinancePivot" | Actif = Passif</t>
  </si>
  <si>
    <t>Blad “FinancePivot” | Activa = Passiva</t>
  </si>
  <si>
    <t>5. 🔄 Dynamische tabellen bijwerken.  Klik op knop “Refresh All Pivots”</t>
  </si>
  <si>
    <t>3. 🔄 Dynamische tabellen bijwerken.  Klik op knop “Refresh All Pivots”</t>
  </si>
  <si>
    <t>3. 🔄 Actualisation des tableaux dynamiques.  Cliquez sur le bouton "Refresh All Pivots"</t>
  </si>
  <si>
    <t>5. 🔄 Actualisation des tableaux dynamiques.  Cliquez sur le bouton "Refresh All Pivots"</t>
  </si>
  <si>
    <t>3. 🔄 Refresh the dynamic tables.  Click on button “Refresh All Pivots”</t>
  </si>
  <si>
    <t>5. 🔄 Refresh the dynamic tables.  Click on button “Refresh All Pivots”</t>
  </si>
  <si>
    <t>🔄 Actualisation des tableaux dynamiques
Cliquez sur le bouton "Refresh All Pivots" dans la feuille "RevenueData"
Cela garantit que les tableaux affichent les données les plus récentes</t>
  </si>
  <si>
    <t>🔄 Actualisation des tableaux dynamiques
Cliquez sur le bouton "Refresh All Pivots" dans la feuille "FinanceData"
Cela garantit que les tableaux affichent les données les plus récentes</t>
  </si>
  <si>
    <t>🔄 Refreshing dynamic tables 
Click on button “Refresh All Pivots” on the sheet "RevenueData"
This ensures that the tables display the most recent data.</t>
  </si>
  <si>
    <t>🔄 Refreshing dynamic tables 
Click on button “Refresh All Pivots” on the sheet "FinanceData"
This ensures that the tables display the most recent data.</t>
  </si>
  <si>
    <t>🔄 Dynamische tabellen bijwerken
Klik op knop “Refresh All Pivots” in het blad "FinanceData"
Zo bent u er zeker van dat de tabellen de meest recente gegevens weergeven.</t>
  </si>
  <si>
    <t>🔄 Dynamische tabellen bijwerken
Klik op knop “Refresh All Pivots” in het blad "RevenueData"
Zo bent u er zeker van dat de tabellen de meest recente gegevens weergeven.</t>
  </si>
  <si>
    <t>Blad “FinanceData” | Controleer globaal</t>
  </si>
  <si>
    <t>‘FinanceData’ sheet | Check Globally</t>
  </si>
  <si>
    <t>Feuille "FinanceData" | Check Global</t>
  </si>
  <si>
    <t>TYPICAL CASE</t>
  </si>
  <si>
    <t>SCENARIO DE SIMULATION</t>
  </si>
  <si>
    <t>SIMULATIESCENARIO</t>
  </si>
  <si>
    <t>SIMULATION SCENARIO</t>
  </si>
  <si>
    <t>SIMULATION PARAMETER</t>
  </si>
  <si>
    <t>Goto Simulation Scenario Selection</t>
  </si>
  <si>
    <t>Simulation scenario</t>
  </si>
  <si>
    <t>Scenario de simulation</t>
  </si>
  <si>
    <t>Simulatiescenario</t>
  </si>
  <si>
    <t>Try best/worst case scenario when typical scenario is ready</t>
  </si>
  <si>
    <t>Probeer het beste/slechtste scenario wanneer het typische scenario klaar is.</t>
  </si>
  <si>
    <t>Essayez le scénario le plus favorable/le plus défavorable lorsque le scénario nominal est prêt.</t>
  </si>
  <si>
    <t>Section 1 : REVENUE AND GROSS MARGIN</t>
  </si>
  <si>
    <t>Section 7 : SOURCE OF FINANCING</t>
  </si>
  <si>
    <t>Section 2 : OPERATING EXPENSES</t>
  </si>
  <si>
    <t>Section 3 : INVESTMENTS AND DEPRECIATION</t>
  </si>
  <si>
    <t>Section 4 : WORKING CAPITAL</t>
  </si>
  <si>
    <t>Section 5 : PROFIT AND LOSS ACCOUNT</t>
  </si>
  <si>
    <t>Section 6 : CASH FLOW STATEMENT</t>
  </si>
  <si>
    <t>Section 1 : CHIFFRE D'AFFAIRES ET MARGE BRUTE</t>
  </si>
  <si>
    <t>Section 2 : DEPENSES OPERATIONNELLES</t>
  </si>
  <si>
    <t>Section 3 : INVESTISSEMENTS ET AMORTISSEMENTS</t>
  </si>
  <si>
    <t>Section 4 : FONDS DE ROULEMENT</t>
  </si>
  <si>
    <t>Section 5 : COMPTE DE PERTES ET PROFITS</t>
  </si>
  <si>
    <t>Section 6 : ETAT FLUX DE TRESORERIE</t>
  </si>
  <si>
    <t>Section 7 : SOURCE DE FINANCEMENT</t>
  </si>
  <si>
    <t>La Section 1 est préremplie avec les résultats de la feuille "RevenueData"</t>
  </si>
  <si>
    <t>Deel 1 : OMZET EN BRUTOMARGE</t>
  </si>
  <si>
    <t>Deel 2 : BEDRIJFSKOSTEN</t>
  </si>
  <si>
    <t>Deel 3 : INVESTERINGEN EN AFSCHRIJVINGEN</t>
  </si>
  <si>
    <t>Deel 4 : WERKKAPITAAL</t>
  </si>
  <si>
    <t>Deel 5 : WINST- EN VERLIESREKENING</t>
  </si>
  <si>
    <t>Deel 6 : KASSTROOMOVERZICHT</t>
  </si>
  <si>
    <t>Deel 7 : FINANCIERINGSBRON</t>
  </si>
  <si>
    <t>The PivotTables in local currency are updated automatically after click on button “Refresh All Pivots” on the sheet "RevenueData"</t>
  </si>
  <si>
    <t>Les tableaux croisés dynamiques en devise locale sont mis à jour automatiquement après avoir cliqué sur le bouton "Refresh All Pivots" dans la feuille "RevenueData"</t>
  </si>
  <si>
    <t>De dynamische tabellen in lokale valuta worden automatisch bijgewerkt nadat u op de knop "Refresh All Pivots" op het blad "RevenueData" hebt geklikt</t>
  </si>
  <si>
    <t>The PivotTables in local currency are updated automatically after click on button “Refresh All Pivots” on the sheet "FinanceData"</t>
  </si>
  <si>
    <t>Les tableaux croisés dynamiques en devise locale sont mis à jour automatiquement après avoir cliqué sur le bouton "Refresh All Pivots" dans la feuille "FinanceData"</t>
  </si>
  <si>
    <t>De dynamische tabellen in lokale valuta worden automatisch bijgewerkt nadat u op de knop "Refresh All Pivots" op het blad "FinanceData" hebt geklikt</t>
  </si>
  <si>
    <t>Once data have been finalised based on typical scenario, you may want to simulate the best scenario and the worst case scenario</t>
  </si>
  <si>
    <t>Zodra de gegevens op basis van een typisch scenario zijn afgerond, wilt u misschien het beste scenario en het slechtste scenario simuleren.</t>
  </si>
  <si>
    <t>Une fois les données finalisées sur la base d'un scénario type, vous pouvez simuler le meilleur scénario et le pire scénario.</t>
  </si>
  <si>
    <t>Select the scenario on "FinanceData" sheet</t>
  </si>
  <si>
    <t>Sélectionnez le scénario dans la feuille « FinanceData »</t>
  </si>
  <si>
    <t>Adjust if necessary scenario parameters on "InputsData" sheet</t>
  </si>
  <si>
    <t>Ajustez si nécessaire les paramètres du scénario de la feuille « InputsData »</t>
  </si>
  <si>
    <t>Pas indien nodig de scenarioparameters aan op het blad “InputsData”.</t>
  </si>
  <si>
    <t>Selecteer het scenario op het blad “FinanceData”.</t>
  </si>
  <si>
    <t>Select and set your language (English, Dutch, French)</t>
  </si>
  <si>
    <t>Selecteer en stel uw taal in (Engels, Nederlands, Frans)</t>
  </si>
  <si>
    <t>Sélectionnez et définissez votre langue (anglais, néerlandais, français)</t>
  </si>
  <si>
    <t>BY QUARTER</t>
  </si>
  <si>
    <t>BY AGGREGATED PRODUCT / SERVICE TYPE</t>
  </si>
  <si>
    <t>BY SEMESTER</t>
  </si>
  <si>
    <t>Other parameters</t>
  </si>
  <si>
    <t>Revenue parameters</t>
  </si>
  <si>
    <t>Should be less than 100% (worst case) and greater than 100% (best case)</t>
  </si>
  <si>
    <t>Should be greater than 100% (worst case) and less than 100% (best case)</t>
  </si>
  <si>
    <t>Omzetparameters</t>
  </si>
  <si>
    <t>Overige parameters</t>
  </si>
  <si>
    <t>Autres paramètres</t>
  </si>
  <si>
    <t>Paramètres chiffre d'affaires</t>
  </si>
  <si>
    <t>Doit être inférieur à 100 % (dans le pire des cas) et supérieur à 100 % (dans le meilleur des cas)</t>
  </si>
  <si>
    <t>Doit être supérieur à 100 % (dans le pire des cas) et inférieur à 100 % (dans le meilleur des cas)</t>
  </si>
  <si>
    <t>Moet minder dan 100% zijn (in het slechtste geval) en meer dan 100% (in het beste geval)</t>
  </si>
  <si>
    <t>Moet meer dan 100% zijn (in het slechtste geval) en minder dan 100% (in het beste geval)</t>
  </si>
  <si>
    <t>v2.04</t>
  </si>
  <si>
    <t>Minor modifications</t>
  </si>
  <si>
    <t>Modifications mineures</t>
  </si>
  <si>
    <t>Kleine wijzigingen</t>
  </si>
  <si>
    <t>BY PRODUCT / SERVICE</t>
  </si>
  <si>
    <t>INVESTMENTS AND AMORTISATIONS ____</t>
  </si>
  <si>
    <t>REFERENCE</t>
  </si>
  <si>
    <t>NAME</t>
  </si>
  <si>
    <t>PROD-SERVICE FILTER</t>
  </si>
  <si>
    <t>PRODUCT / SERVICE FILTER</t>
  </si>
  <si>
    <t>COMMENTAIRE</t>
  </si>
  <si>
    <t>COMMENTAAR</t>
  </si>
  <si>
    <t>LOAN</t>
  </si>
  <si>
    <t>LENING</t>
  </si>
  <si>
    <t>PRET FAMILLE ET AMIS</t>
  </si>
  <si>
    <t>PRET BANQUE LOCALE</t>
  </si>
  <si>
    <t>PRET</t>
  </si>
  <si>
    <t>YEARLY INTEREST
INTERET ANNUEL
JAARLIIJKSE RENTE</t>
  </si>
  <si>
    <t>PAID BACK PERIOD
PERIODE DE REMBOURSEMENT
TERUGBETALINGSTERMIJN</t>
  </si>
  <si>
    <t>REFERENCE_EN</t>
  </si>
  <si>
    <t>DEPARTMENT NAME
NOM DU DEPARTEMENT
NAAM VAN DE AFDELING</t>
  </si>
  <si>
    <t>STAFF_CATEGORY #</t>
  </si>
  <si>
    <t>EFFECTIF_CATEGORIE #</t>
  </si>
  <si>
    <t>PERSONEEL_CATEGORIE #</t>
  </si>
  <si>
    <t>OCCUPATIONAL CATEGORY
CATEGORIE PROFESSIONNELLE
BEROEPSGROEP</t>
  </si>
  <si>
    <t>PRODUCT #</t>
  </si>
  <si>
    <t>PRODUIT #</t>
  </si>
  <si>
    <t>PRODUCT NAME
NOM DU PRODUIT
PRODUCTNAAM</t>
  </si>
  <si>
    <t>SERVICE #</t>
  </si>
  <si>
    <t>DIENST #</t>
  </si>
  <si>
    <t>SERVICE NAME
NOM DU SERVICE
DIENSTNAAM</t>
  </si>
  <si>
    <t>FILTER
FILTRE
FILTER</t>
  </si>
  <si>
    <t>FREE TEXT
TEXTE LIBRE
VRIJE TEKST</t>
  </si>
  <si>
    <t>YEAR #</t>
  </si>
  <si>
    <t>ANNEE #</t>
  </si>
  <si>
    <t>JAAR #</t>
  </si>
  <si>
    <t>SEMESTER
SEMESTRE
SEMESTER</t>
  </si>
  <si>
    <t>ACTUAL / FORECAST
ACTUEL / PREVISION
ACTUEEL / VOORSPELLING</t>
  </si>
  <si>
    <t>YEAR
ANNEE
JAAR</t>
  </si>
  <si>
    <t>v2.05</t>
  </si>
  <si>
    <t>AVERAGE SELLING PRICE</t>
  </si>
  <si>
    <t>MIX VOLUME PRODUCT RANGE 1 %</t>
  </si>
  <si>
    <t>MIX VOLUME PRODUCT RANGE 2 %</t>
  </si>
  <si>
    <t>MIX VOLUME PRODUCT RANGE 3 %</t>
  </si>
  <si>
    <t>PRODUCT RANGE 1 COGS</t>
  </si>
  <si>
    <t>PRODUCT RANGE 2 COGS</t>
  </si>
  <si>
    <t>PRODUCT RANGE 3 COGS</t>
  </si>
  <si>
    <t>AVERAGE COGS</t>
  </si>
  <si>
    <t>PRODUCT CHANNEL 1 COGS</t>
  </si>
  <si>
    <t>PRODUCT CHANNEL 2 COGS</t>
  </si>
  <si>
    <t>TOTAL PRODUCT RANGE 1</t>
  </si>
  <si>
    <t>TOTAL PRODUCT RANGE 2</t>
  </si>
  <si>
    <t>TOTAL PRODUCT RANGE 3</t>
  </si>
  <si>
    <t>TOTAL PRODUCT CHANNEL 1</t>
  </si>
  <si>
    <t>TOTAL PRODUCT CHANNEL 2</t>
  </si>
  <si>
    <t>PRODUCT RANGE 3 SELLING PRICE</t>
  </si>
  <si>
    <t>PRODUCT RANGE 2 SELLING PRICE</t>
  </si>
  <si>
    <t>PRODUCT RANGE 1 SELLING PRICE</t>
  </si>
  <si>
    <t>GEMIDDELDE VERKOOPPRIJS</t>
  </si>
  <si>
    <t>MIXVOLUME PRODUCTASSORTIMENT 1 %</t>
  </si>
  <si>
    <t>MIXVOLUME PRODUCTASSORTIMENT 2 %</t>
  </si>
  <si>
    <t>MIXVOLUME PRODUCTASSORTIMENT 3 %</t>
  </si>
  <si>
    <t>TOTAAL PRODUCTASSORTIMENT 1</t>
  </si>
  <si>
    <t>TOTAAL PRODUCTASSORTIMENT 2</t>
  </si>
  <si>
    <t>TOTAAL PRODUCTASSORTIMENT 3</t>
  </si>
  <si>
    <t>TOTAAL PRODUCTKANAAL 1</t>
  </si>
  <si>
    <t>TOTAAL PRODUCTKANAAL 2</t>
  </si>
  <si>
    <t>PRIX DE VENTE MOYEN</t>
  </si>
  <si>
    <t>VOLUME MIXTE GAMME DE PRODUITS 1 %</t>
  </si>
  <si>
    <t>VOLUME MIXTE GAMME DE PRODUITS 2 %</t>
  </si>
  <si>
    <t>VOLUME MIXTE GAMME DE PRODUITS 3 %</t>
  </si>
  <si>
    <t>TOTAL DE LA GAMME DE PRODUITS 1</t>
  </si>
  <si>
    <t>TOTAL DE LA GAMME DE PRODUITS 2</t>
  </si>
  <si>
    <t>TOTAL DE LA GAMME DE PRODUITS 3</t>
  </si>
  <si>
    <t>TOTAL DU CANAL DE DISTRIBUTION 1</t>
  </si>
  <si>
    <t>TOTAL DU CANAL DE DISTRIBUTION 2</t>
  </si>
  <si>
    <t>MIX VOLUME PRODUCT RANGE 1 CHANNEL 1 %</t>
  </si>
  <si>
    <t>MIX VOLUME PRODUCT RANGE 2 CHANNEL 1 %</t>
  </si>
  <si>
    <t>MIX VOLUME PRODUCT RANGE 3 CHANNEL 1 %</t>
  </si>
  <si>
    <t>MIX VOLUME PRODUCT RANGE 1 CHANNEL 2 %</t>
  </si>
  <si>
    <t>MIX VOLUME PRODUCT RANGE 2 CHANNEL 2 %</t>
  </si>
  <si>
    <t>MIX VOLUME PRODUCT RANGE 3 CHANNEL 2 %</t>
  </si>
  <si>
    <t>PRIX DE VENTE GAMME DE PRODUITS 1</t>
  </si>
  <si>
    <t>PRIX DE VENTE GAMME DE PRODUITS 2</t>
  </si>
  <si>
    <t>PRIX DE VENTE GAMME DE PRODUITS 3</t>
  </si>
  <si>
    <t>COUT DES MARCHANDISES GAMME DE PRODUITS 1</t>
  </si>
  <si>
    <t>COUT DES MARCHANDISES GAMME DE PRODUITS 2</t>
  </si>
  <si>
    <t>COUT DES MARCHANDISES GAMME DE PRODUITS 3</t>
  </si>
  <si>
    <t>COUT DES MARCHANDISES CANAL DE DISTRIBUTION 1</t>
  </si>
  <si>
    <t>COUT DES MARCHANDISES CANAL DE DISTRIBUTION 2</t>
  </si>
  <si>
    <t>AVERAGE COGS CHANNEL 1</t>
  </si>
  <si>
    <t>AVERAGE COGS CHANNEL 2</t>
  </si>
  <si>
    <t>TOTAL PRODUCT CHANNEL 1 %</t>
  </si>
  <si>
    <t>TOTAL PRODUCT CHANNEL 2 %</t>
  </si>
  <si>
    <t>GEMIDDELDE COGS</t>
  </si>
  <si>
    <t>MIXVOLUME PRODUCTASSORTIMENT 1 KANAAL 1 %</t>
  </si>
  <si>
    <t>MIXVOLUME PRODUCTASSORTIMENT 2 KANAAL 1 %</t>
  </si>
  <si>
    <t>MIXVOLUME PRODUCTASSORTIMENT 3 KANAAL 1 %</t>
  </si>
  <si>
    <t>MIXVOLUME PRODUCTASSORTIMENT 1 KANAAL 2 %</t>
  </si>
  <si>
    <t>MIXVOLUME PRODUCTASSORTIMENT 2 KANAAL 2 %</t>
  </si>
  <si>
    <t>MIXVOLUME PRODUCTASSORTIMENT 3 KANAAL 2 %</t>
  </si>
  <si>
    <t>GEMIDDELDE COGS KANAAL 1</t>
  </si>
  <si>
    <t>TOTAAL PRODUCT KANAAL 1 %</t>
  </si>
  <si>
    <t>TOTAAL PRODUCT KANAAL 2 %</t>
  </si>
  <si>
    <t>VOLUME MIXTE GAMME DE PRODUITS 1 CHANNEL 1 %</t>
  </si>
  <si>
    <t>VOLUME MIXTE GAMME DE PRODUITS 1 CHANNEL 2 %</t>
  </si>
  <si>
    <t>VOLUME MIXTE GAMME DE PRODUITS 2 CHANNEL 1 %</t>
  </si>
  <si>
    <t>VOLUME MIXTE GAMME DE PRODUITS 2 CHANNEL 2 %</t>
  </si>
  <si>
    <t>VOLUME MIXTE GAMME DE PRODUITS 3 CHANNEL 1 %</t>
  </si>
  <si>
    <t>VOLUME MIXTE GAMME DE PRODUITS 3 CHANNEL 2 %</t>
  </si>
  <si>
    <t>TOTAL DU CANAL DE DISTRIBUTION 1 %</t>
  </si>
  <si>
    <t>TOTAL DU CANAL DE DISTRIBUTION 2 %</t>
  </si>
  <si>
    <t>BY PRODUCT / SERVICE RANGE</t>
  </si>
  <si>
    <t>BY DISTRIBUTION CHANNEL</t>
  </si>
  <si>
    <t>MIX VOLUME RANGE 1 %</t>
  </si>
  <si>
    <t>MIX VOLUME RANGE 2 %</t>
  </si>
  <si>
    <t>MIX VOLUME RANGE 3 %</t>
  </si>
  <si>
    <t>MIX VOLUME RANGE 1 CHANNEL 1 %</t>
  </si>
  <si>
    <t>MIX VOLUME RANGE 2 CHANNEL 1 %</t>
  </si>
  <si>
    <t>MIX VOLUME RANGE 3 CHANNEL 1 %</t>
  </si>
  <si>
    <t>MIX VOLUME RANGE 1 CHANNEL 2 %</t>
  </si>
  <si>
    <t>MIX VOLUME RANGE 2 CHANNEL 2 %</t>
  </si>
  <si>
    <t>MIX VOLUME RANGE 3 CHANNEL 2 %</t>
  </si>
  <si>
    <t>SELLING PRICE RANGE 1</t>
  </si>
  <si>
    <t>SELLING PRICE RANGE 2</t>
  </si>
  <si>
    <t>SELLING PRICE RANGE 3</t>
  </si>
  <si>
    <t>SELLING PRICE AVERAGE</t>
  </si>
  <si>
    <t>COGS RANGE 1</t>
  </si>
  <si>
    <t>COGS RANGE 2</t>
  </si>
  <si>
    <t>COGS RANGE 3</t>
  </si>
  <si>
    <t>COGS AVERAGE</t>
  </si>
  <si>
    <t>COGS AVERAGE CHANNEL 1</t>
  </si>
  <si>
    <t>COGS AVERAGE CHANNEL 2</t>
  </si>
  <si>
    <t>COGS ASSORTIMENT 1</t>
  </si>
  <si>
    <t>COGS ASSORTIMENT 2</t>
  </si>
  <si>
    <t>COGS ASSORTIMENT 3</t>
  </si>
  <si>
    <t>COGS PRODUCTKANAAL 1</t>
  </si>
  <si>
    <t>COGS PRODUCTKANAAL 2</t>
  </si>
  <si>
    <t>COGS PRODUCTASSORTIMENT 1</t>
  </si>
  <si>
    <t>COGS PRODUCTASSORTIMENT 2</t>
  </si>
  <si>
    <t>COGS PRODUCTASSORTIMENT 3</t>
  </si>
  <si>
    <t>VOLUME MIXTE GAMME 1 %</t>
  </si>
  <si>
    <t>MIXVOLUME ASSORTIMENT 1 %</t>
  </si>
  <si>
    <t>MIXVOLUME ASSORTIMENT 2 %</t>
  </si>
  <si>
    <t>MIXVOLUME ASSORTIMENT 3 %</t>
  </si>
  <si>
    <t>VOLUME MIXTE GAMME 2 %</t>
  </si>
  <si>
    <t>VOLUME MIXTE GAMME 3 %</t>
  </si>
  <si>
    <t>VOLUME MIXTE GAMME 1 CHANNEL 2 %</t>
  </si>
  <si>
    <t>VOLUME MIXTE GAMME 1 CHANNEL 1 %</t>
  </si>
  <si>
    <t>MIXVOLUME ASSORTIMENT 1 KANAAL 1 %</t>
  </si>
  <si>
    <t>MIXVOLUME ASSORTIMENT 2 KANAAL 2 %</t>
  </si>
  <si>
    <t>MIXVOLUME ASSORTIMENT 1 KANAAL 2 %</t>
  </si>
  <si>
    <t>MIXVOLUME ASSORTIMENT 2 KANAAL 1 %</t>
  </si>
  <si>
    <t>MIXVOLUME ASSORTIMENT 3 KANAAL 1 %</t>
  </si>
  <si>
    <t>MIXVOLUME ASSORTIMENT 3 KANAAL 2 %</t>
  </si>
  <si>
    <t>VOLUME MIXTE GAMME 2 CHANNEL 1 %</t>
  </si>
  <si>
    <t>VOLUME MIXTE GAMME 2 CHANNEL 2 %</t>
  </si>
  <si>
    <t>VOLUME MIXTE GAMME 3 CHANNEL 1 %</t>
  </si>
  <si>
    <t>VOLUME MIXTE GAMME 3 CHANNEL 2 %</t>
  </si>
  <si>
    <t>PRIX DE VENTE GAMME 1</t>
  </si>
  <si>
    <t>VERKOOPPRIJS ASSORTIMENT 1</t>
  </si>
  <si>
    <t>VERKOOPPRIJS ASSORTIMENT 2</t>
  </si>
  <si>
    <t>VERKOOPPRIJS ASSORTIMENT 3</t>
  </si>
  <si>
    <t>PRIX DE VENTE GAMME 2</t>
  </si>
  <si>
    <t>PRIX DE VENTE GAMME 3</t>
  </si>
  <si>
    <t>VERKOOPPRIJS PRODUCTASSORTIMENT 1</t>
  </si>
  <si>
    <t>VERKOOPPRIJS PRODUCTASSORTIMENT 2</t>
  </si>
  <si>
    <t>VERKOOPPRIJS PRODUCTASSORTIMENT 3</t>
  </si>
  <si>
    <t>SOCIAL SECURITY (% OF GROSS SALARY)
SECURITE SOCIALE (% DU SALAIRE BRUT)
SOCIALE ZEKERHEID (% VAN BRUTO SALARIS)</t>
  </si>
  <si>
    <t>TOTAL DISTRIBUTION CHANNEL 1</t>
  </si>
  <si>
    <t>TOTAL DISTRIBUTION CHANNEL 1 %</t>
  </si>
  <si>
    <t>TOTAL DISTRIBUTION CHANNEL 2</t>
  </si>
  <si>
    <t>TOTAL DISTRIBUTION CHANNEL 2 %</t>
  </si>
  <si>
    <t>TOTAAL DISTRIBUTIEKANAAL 1</t>
  </si>
  <si>
    <t>TOTAAL DISTRIBUTIEKANAAL 2</t>
  </si>
  <si>
    <t>TOTAAL DISTRIBUTIEKANAAL 1 %</t>
  </si>
  <si>
    <t>TOTAAL DISTRIBUTIEKANAAL 2 %</t>
  </si>
  <si>
    <t>TOTAL RANGE 1</t>
  </si>
  <si>
    <t>TOTAL RANGE 2</t>
  </si>
  <si>
    <t>TOTAL RANGE 3</t>
  </si>
  <si>
    <t>TOTAL DE LA GAMME 1</t>
  </si>
  <si>
    <t>TOTAL DE LA GAMME 2</t>
  </si>
  <si>
    <t>TOTAL DE LA GAMME 3</t>
  </si>
  <si>
    <t>TOTAAL ASSORTIMENT 1</t>
  </si>
  <si>
    <t>TOTAAL ASSORTIMENT 2</t>
  </si>
  <si>
    <t>TOTAAL ASSORTIMENT 3</t>
  </si>
  <si>
    <t>RANGE #</t>
  </si>
  <si>
    <t>GAMME #</t>
  </si>
  <si>
    <t>ASSORTIMENT #</t>
  </si>
  <si>
    <t>RANGE NAME
NOM DE LA GAMME
ASSORTIMENTNAAM</t>
  </si>
  <si>
    <t>DISTRIBUTION CHANNEL #</t>
  </si>
  <si>
    <t>DISTRIBUTION CHANNEL 1</t>
  </si>
  <si>
    <t>DISTRIBUTION CHANNEL 2</t>
  </si>
  <si>
    <t>RANGE 1</t>
  </si>
  <si>
    <t>RANGE 2</t>
  </si>
  <si>
    <t>RANGE 3</t>
  </si>
  <si>
    <t>GAMME 1</t>
  </si>
  <si>
    <t>GAMME 2</t>
  </si>
  <si>
    <t>GAMME 3</t>
  </si>
  <si>
    <t>ASSORTIMENT 1</t>
  </si>
  <si>
    <t>ASSORTIMENT 2</t>
  </si>
  <si>
    <t>ASSORTIMENT 3</t>
  </si>
  <si>
    <t>COUT GAMME 1</t>
  </si>
  <si>
    <t>COUT GAMME 2</t>
  </si>
  <si>
    <t>COUT GAMME 3</t>
  </si>
  <si>
    <t>CANAL DE DISTRIBUTION 1</t>
  </si>
  <si>
    <t>CANAL DE DISTRIBUTION 2</t>
  </si>
  <si>
    <t>DISTRIBUTIEKANAAL 1</t>
  </si>
  <si>
    <t>DISTRIBUTIEKANAAL 2</t>
  </si>
  <si>
    <t>DISTRIBUTION CHANNEL NAME
NOM DU CANAL DE DISTRIBUTION
DISTRIBUTIEKANAALNAAM</t>
  </si>
  <si>
    <t>COUT MOYEN DE VENTE</t>
  </si>
  <si>
    <t>COUTS MOYENS CANAL 1</t>
  </si>
  <si>
    <t>COUT MOYEN DES VENTES</t>
  </si>
  <si>
    <t>Sum of TOTAL RANGE 1</t>
  </si>
  <si>
    <t>Sum of TOTAL RANGE 2</t>
  </si>
  <si>
    <t>Sum of TOTAL RANGE 3</t>
  </si>
  <si>
    <t>Sum of TOTAL DISTRIBUTION CHANNEL 1</t>
  </si>
  <si>
    <t>Sum of TOTAL DISTRIBUTION CHANNEL 2</t>
  </si>
  <si>
    <t>TableRangeList</t>
  </si>
  <si>
    <t>TableDistributionChannelList</t>
  </si>
  <si>
    <t>REVENUE AND GROSS PROFIT PER DISTRIBUTION CHANNEL</t>
  </si>
  <si>
    <t>CA ET MARGE BRUTE PAR CANAL DE DISTRIBUTION</t>
  </si>
  <si>
    <t>OMZET EN BRUTO WINST PER DISTRIBUTIEKANAAL</t>
  </si>
  <si>
    <t>PRODUCT 11</t>
  </si>
  <si>
    <t>PRODUIT 11</t>
  </si>
  <si>
    <t>PRODUCT 12</t>
  </si>
  <si>
    <t>PRODUIT 12</t>
  </si>
  <si>
    <t>PRODUCT 13</t>
  </si>
  <si>
    <t>PRODUIT 13</t>
  </si>
  <si>
    <t>PRODUCT 14</t>
  </si>
  <si>
    <t>PRODUIT 14</t>
  </si>
  <si>
    <t>PRODUCT 15</t>
  </si>
  <si>
    <t>PRODUIT 15</t>
  </si>
  <si>
    <t>PRODUCT 16</t>
  </si>
  <si>
    <t>PRODUIT 16</t>
  </si>
  <si>
    <t>PRODUCT 17</t>
  </si>
  <si>
    <t>PRODUIT 17</t>
  </si>
  <si>
    <t>PRODUCT 18</t>
  </si>
  <si>
    <t>PRODUIT 18</t>
  </si>
  <si>
    <t>PRODUCT 19</t>
  </si>
  <si>
    <t>PRODUIT 19</t>
  </si>
  <si>
    <t>PRODUCT 20</t>
  </si>
  <si>
    <t>PRODUIT 20</t>
  </si>
  <si>
    <t>PivotTableRevenueData9</t>
  </si>
  <si>
    <t>REVENUE AND GROSS PROFIT PER PRODUCT / SERVICE TYPE</t>
  </si>
  <si>
    <t>CA ET MARGE BRUTE PAR TYPE DE PRODUIT / SERVICE</t>
  </si>
  <si>
    <t>OMZET EN BRUTO WINST PER PRODUCT / DIENST PER TYPE</t>
  </si>
  <si>
    <t>TableProductServiceList</t>
  </si>
  <si>
    <t>TableProductServiceType</t>
  </si>
  <si>
    <t>PARAMETER</t>
  </si>
  <si>
    <t>PARAMETRE</t>
  </si>
  <si>
    <t>SHOULD BE LINKED TO INFLATION</t>
  </si>
  <si>
    <t>Update based on users meeting in Heverlee 24/09/25</t>
  </si>
  <si>
    <t>Update op basis van gebruikersbijeenkomst in Heverlee op 24/09/25</t>
  </si>
  <si>
    <t>Mise à jour basée sur la réunion des utilisateurs à Heverlee le 24/09/25</t>
  </si>
  <si>
    <t>Wijziging in omzetgegevens (COGS iso GM, 20 producten, assortiment iso lox-medium-high end, distributiekanaal iso B2B-B2C, …)
Financiële gegevens (berekening sociale zekerheid toevoegen, ...)
Overige wijzigingen</t>
  </si>
  <si>
    <t>Modification des données relatives au chiffre d'affaires (COGS iso GM, 20 produits, gamme iso lox-moyen-haut de gamme, canal de distribution iso B2B-B2C, …)
Données financières (ajouter le calcul des cotisations sociales, ...)
Autres modifications</t>
  </si>
  <si>
    <t>RevenueData change (COGS iso GM, 20 products, range iso lox-medium-high end, channel distribution iso B2B-B2C, …)
FinanceData (add social security calculation, ...)
Others changes</t>
  </si>
  <si>
    <t>Voer de hoeveelheid per kwartaal of jaar in</t>
  </si>
  <si>
    <t>Steps to follow for each product and each service defined in the ‘InputsData’ sheet</t>
  </si>
  <si>
    <t>Filter column (REF) by selecting "1" in cell E7</t>
  </si>
  <si>
    <t>Filter kolom (REF) door “1” te selecteren in cel E7</t>
  </si>
  <si>
    <t>Filtrez la colonne (REF) en sélectionnant « 1 » dans la cellule E7</t>
  </si>
  <si>
    <t>Column RevenueData'!L</t>
  </si>
  <si>
    <t>Column RevenueData'!S</t>
  </si>
  <si>
    <t>Column RevenueData'!AE:AI</t>
  </si>
  <si>
    <t>Colonne RevenueData'!L</t>
  </si>
  <si>
    <t>Colonne RevenueData'!S</t>
  </si>
  <si>
    <t>Colonne RevenueData'!AE:AI</t>
  </si>
  <si>
    <t>Kolom RevenueData'!L</t>
  </si>
  <si>
    <t>Kolom RevenueData'!S</t>
  </si>
  <si>
    <t>Kolom RevenueData'!AE:AI</t>
  </si>
  <si>
    <t>ONE PRODUCT - ONE RANGE - ONE CHANNEL DISTRIBUTION</t>
  </si>
  <si>
    <t>UN PRODUIT - UNE GAMME - UN CANAL DE DISTRIBUTION</t>
  </si>
  <si>
    <t>EEN PRODUCT - EEN ASSORTIMENT - EEN DISTRIBUTIEKANAL</t>
  </si>
  <si>
    <t>Column RevenueData'!L:N</t>
  </si>
  <si>
    <t>Column RevenueData'!P:R</t>
  </si>
  <si>
    <t>Column RevenueData'!S:U</t>
  </si>
  <si>
    <t>Column RevenueData'!W:AB</t>
  </si>
  <si>
    <t>3. Enter a RANGE 1, RANGE 2 and RANGE 3 COGS per unit and per year. The cost may change each year</t>
  </si>
  <si>
    <t>1. Enter a RANGE 1, RANGE 2 and RANGE 3 average unit price per year. The price may change each year.  Please note that prices are exclusive of VAT and in local currency</t>
  </si>
  <si>
    <t>2. Enter the volume percentage (mix) for each range (RANGE 1, RANGE 2, RANGE 3) per product and per year. The calculation is done automatically for RANGE 3</t>
  </si>
  <si>
    <t>Étapes à suivre pour chaque produit et chaque service défini dans la feuille « InputsData »</t>
  </si>
  <si>
    <t>Te volgen stappen voor elk product en elke dienst die in het blad ‘InputsData’ zijn gedefinieerd</t>
  </si>
  <si>
    <t>Voer de gemiddelde eenheidsprijs per jaar in. De prijs kan elk jaar veranderen.  Houd er rekening mee dat de prijzen exclusief btw en in lokale valuta zijn.</t>
  </si>
  <si>
    <t>Voer de gemiddelde COGS per eenheid per jaar in.  De kosten kunnen elk jaar veranderen</t>
  </si>
  <si>
    <t>1. Voer een gemiddelde eenheidsprijs per jaar in voor BEREIK 1, BEREIK 2 en BEREIK 3. De prijs kan elk jaar veranderen.  Houd er rekening mee dat de prijzen exclusief btw zijn en in lokale valuta worden weergegeven</t>
  </si>
  <si>
    <t>2. Voer het volumeprocent (mix) in voor elk bereik (BEREIK 1, BEREIK 2, BEREIK 3) per product en per jaar. De berekening wordt automatisch uitgevoerd voor BEREIK 3</t>
  </si>
  <si>
    <t>3. Voer de COGS per eenheid en per jaar in voor RANGE 1, RANGE 2 en RANGE 3. De kosten kunnen elk jaar veranderen</t>
  </si>
  <si>
    <t>Kolom RevenueData'!L:N</t>
  </si>
  <si>
    <t>Kolom RevenueData'!P:R</t>
  </si>
  <si>
    <t>Kolom RevenueData'!S:U</t>
  </si>
  <si>
    <t>Kolom RevenueData'!W:AB</t>
  </si>
  <si>
    <t>Colonne RevenueData'!L:N</t>
  </si>
  <si>
    <t>Colonne RevenueData'!P:R</t>
  </si>
  <si>
    <t>Colonne RevenueData'!S:U</t>
  </si>
  <si>
    <t>Colonne RevenueData'!W:AB</t>
  </si>
  <si>
    <t>1. Enter the average unit price per year. The price may change each year.  Please note that prices are exclusive of VAT and in local currency.</t>
  </si>
  <si>
    <t>2. Enter the average COGS per unit per year.  The cost may change each year</t>
  </si>
  <si>
    <t>3. Enter the quantity per quarter or year</t>
  </si>
  <si>
    <t>1. Saisissez le prix unitaire moyen par an. Le prix peut varier chaque année. Veuillez noter que les prix s'entendent hors TVA et en devise locale.</t>
  </si>
  <si>
    <t>2. Saisissez le coût moyen des ventes par unité et par an. Le coût peut varier chaque année.</t>
  </si>
  <si>
    <t>3. Saisissez la quantité par trimestre ou par an.</t>
  </si>
  <si>
    <t>1. Saisissez le prix unitaire moyen par an pour les GAMMES 1, 2 et 3. Le prix peut varier chaque année.  Veuillez noter que les prix s'entendent hors TVA et en monnaie locale</t>
  </si>
  <si>
    <t>2. Saisissez le pourcentage de volume (mix) pour chaque gamme (GAMME 1, GAMME 2, GAMME 3) par produit et par an. Le calcul est effectué automatiquement pour la GAMME 3</t>
  </si>
  <si>
    <t>3. Saisissez le coût des ventes (COGS) par unité et par an pour les GAMMES 1, 2 et 3. Le coût peut varier chaque année</t>
  </si>
  <si>
    <t>5. Saisissez les quantités par produit et par trimestre ou par an</t>
  </si>
  <si>
    <t>5. Enter quantities per product and per quarter or year</t>
  </si>
  <si>
    <t>5. Voer hoeveelheden per product en per kwartaal of jaar</t>
  </si>
  <si>
    <t>ONE PRODUCT - THREE RANGES - TWO CHANNELS DISTRIBUTION !!!!!!! OPTIONAL !!!!!!!</t>
  </si>
  <si>
    <t>UN PRODUIT - TROIS GAMMES - DEUX CANAUX DE DISTRIBUTION !!!!!!! FACULTATIF !!!!!!!</t>
  </si>
  <si>
    <t>EEN PRODUCT - DRIE ASSORTIMENTEN - TWEE DISTRIBUTIEKANALEN !!!!!!! OPTIONEEL !!!!!!!</t>
  </si>
  <si>
    <t>Proposed calculation of the unit selling price of a product: 
  1. Add up (1) the raw materials or parts consumed, (2) the number of hours of labour required to produce the final product multiplied by the hourly wage, and (3) where applicable, the energy costs consumed.
  2. Multiply this sum by a factor between 1.5 and 2 to obtain your selling price.</t>
  </si>
  <si>
    <t>Proposition de calcul du prix unitaire de vente d'un produit : 
  1. Faites la somme (1) des matières premières ou parties consommées, (2) le nombre d'heures de travail pour arriver à un produit final multiplié par le salaire horaire et (3) le cas échéant, les coûts d'énergie consommés.
  2. Multipliez cette somme par un facteur entre de 1,5 à 2 afin d'obtenir votre prix de vente.</t>
  </si>
  <si>
    <t>Voorstel voor de berekening van de verkoopprijs per eenheid van een product: 
  1. Tel (1) de verbruikte grondstoffen of onderdelen, (2) het aantal arbeidsuren om tot een eindproduct te komen vermenigvuldigd met het uurloon en (3) indien van toepassing, de verbruikte energiekosten bij elkaar op.
  2. Vermenigvuldig deze som met een factor tussen 1,5 en 2 om uw verkoopprijs te verkrijgen.</t>
  </si>
  <si>
    <t>4. Pour la distribution par canal, Saisissez le pourcentage en volume (mix) de la GAMME 1, la GAMME 2 et la GAMME 3 pour le CHANNEL 1.  Le calcul (la différence) est effectué automatiquement pour le CANAL 2</t>
  </si>
  <si>
    <t>4. Voer voor de kanaaldistributie het volumeprocent (mix) van RANGE 1, RANGE 2 en RANGE 3 voor CHANNEL 1.  De berekening (het verschil) wordt automatisch uitgevoerd voor CHANNEL 2</t>
  </si>
  <si>
    <t>4. For the channel distribution,enter the volume percentage (mix) of RANGE 1, RANGE 2 and RANGE 3 for CHANNEL 1.  The calculation (the difference) is done automatically for CHANNEL 2</t>
  </si>
  <si>
    <t>Steps to follow for each product and each service defined in the ‘InputsData’ sheet
You may have to unhide some columns (click on "+" on top of the column heading)</t>
  </si>
  <si>
    <t>Étapes à suivre pour chaque produit et chaque service défini dans la feuille « InputsData »
Vous devrez peut-être afficher certaines colonnes (cliquez sur « + » en haut de l'en-tête de colonne).</t>
  </si>
  <si>
    <t>Te volgen stappen voor elk product en elke dienst die in het blad ‘InputsData’ zijn gedefinieerd
Mogelijk moet u enkele kolommen weer zichtbaar maken (klik op “+” boven de kolomkop).</t>
  </si>
  <si>
    <t>BENIN</t>
  </si>
  <si>
    <t>BURKINA FASO</t>
  </si>
  <si>
    <t>BURUNDI</t>
  </si>
  <si>
    <t>CAMEROON</t>
  </si>
  <si>
    <t>DR CONGO</t>
  </si>
  <si>
    <t>ETHIOPIA</t>
  </si>
  <si>
    <t>FILIPIJNEN</t>
  </si>
  <si>
    <t>HAÏTI</t>
  </si>
  <si>
    <t>KENYA</t>
  </si>
  <si>
    <t>MADAGASCAR</t>
  </si>
  <si>
    <t>MALAWI</t>
  </si>
  <si>
    <t>RWANDA</t>
  </si>
  <si>
    <t>SENEGAL</t>
  </si>
  <si>
    <t>TANZANIA</t>
  </si>
  <si>
    <t>TOGO</t>
  </si>
  <si>
    <t>UGANDA</t>
  </si>
  <si>
    <t>ZIMBABWE</t>
  </si>
  <si>
    <t>TableReadMeStatus</t>
  </si>
  <si>
    <t>TableReadMeHistoric</t>
  </si>
  <si>
    <t>TableReadMeInstallation</t>
  </si>
  <si>
    <t>TableReadMeAdminStatus</t>
  </si>
  <si>
    <t>TableReadMeCountry</t>
  </si>
  <si>
    <t>BÉNIN</t>
  </si>
  <si>
    <t>CAMEROUN</t>
  </si>
  <si>
    <t>RÉPUBLIQUE DÉMOCRATIQUE DU CONGO</t>
  </si>
  <si>
    <t>ÉTHIOPIE</t>
  </si>
  <si>
    <t>PHILIPPINES</t>
  </si>
  <si>
    <t>CÔTE D'IVOIRE</t>
  </si>
  <si>
    <t>SÉNÉGAL</t>
  </si>
  <si>
    <t>TANZANIE</t>
  </si>
  <si>
    <t>OUGANDA</t>
  </si>
  <si>
    <t>KAMEROEN</t>
  </si>
  <si>
    <t>ETHIOPIË</t>
  </si>
  <si>
    <t>IVOORKUST</t>
  </si>
  <si>
    <t>KENIA</t>
  </si>
  <si>
    <t>OEGANDA</t>
  </si>
  <si>
    <t>IVORY COAST</t>
  </si>
  <si>
    <t>Staff : occupationam category, department name, social security (% of gross salary)</t>
  </si>
  <si>
    <t>Effectif : catégorie professionnelle, nom du département, sécurité sociale (% du salaire brut)</t>
  </si>
  <si>
    <t>Personeel : beroepsgroep, naam van de afdeling, dociale zekerheid (% van bruto salaris)</t>
  </si>
  <si>
    <t>FREE TEXT DESCRIPTION
TEXTE LIBRE DESCRIPTION
VRIJE TEKST BESCHRIJVING</t>
  </si>
  <si>
    <t>TableInstructions</t>
  </si>
  <si>
    <t>Empty 1</t>
  </si>
  <si>
    <t>Empty 2</t>
  </si>
  <si>
    <t>Empty 3</t>
  </si>
  <si>
    <t>Empty 4</t>
  </si>
  <si>
    <t>Empty 5</t>
  </si>
  <si>
    <t>v2.06</t>
  </si>
  <si>
    <t>PRODUCT #
PRODUIT #
PRODUCT #</t>
  </si>
  <si>
    <t>RANGE 1
GAMME 1
ASSORTIMENT 1</t>
  </si>
  <si>
    <t>RANGE 2
GAMME 2
ASSORTIMENT 2</t>
  </si>
  <si>
    <t>RANGE 3
GAMME 3
ASSORTIMENT 3</t>
  </si>
  <si>
    <t>DISTRIBUTION CHANNEL 1
CANAL DE DISTRIBUTION 1
DISTRIBUTIEKANAAL 1</t>
  </si>
  <si>
    <t>DISTRIBUTION CHANNEL 2
CANAL DE DISTRIBUTION 2
DISTRIBUTIEKANAAL 2</t>
  </si>
  <si>
    <t>SERVICE #
SERVICE #
DIENST #</t>
  </si>
  <si>
    <t>WORST CASE
PIRE CAS
SLECHTSTE GEVAL</t>
  </si>
  <si>
    <t>BEST CASE
MEILLEUR CAS
BESTE GEVAL</t>
  </si>
  <si>
    <t>TYPICAL CASE
CAS TYPIQUE
TYPISCH GEVAL</t>
  </si>
  <si>
    <t>Business to Business</t>
  </si>
  <si>
    <t>Business to Consumer</t>
  </si>
  <si>
    <t>Entry level</t>
  </si>
  <si>
    <t>Professional level</t>
  </si>
  <si>
    <t>Advanced level</t>
  </si>
  <si>
    <t>FREE TEXT 
TEXTE LIBRE
VRIJE TEKST</t>
  </si>
  <si>
    <t>CANAL DE DISTRIBUTION #</t>
  </si>
  <si>
    <t>DISTRIBUTIEKANAAL #</t>
  </si>
  <si>
    <t>OTHER</t>
  </si>
  <si>
    <t>RANGE # + DISTRIBUTION CHANNEL #
GAMME # + CANAL DE DISTRIBUTION #
ASSORTIMENT # + DISTRIBUTIEKANAAL #</t>
  </si>
  <si>
    <t>% OF REVENUS</t>
  </si>
  <si>
    <t>TOTAL PERIOD 2025:2030 --&gt;</t>
  </si>
  <si>
    <t>RATIO %</t>
  </si>
  <si>
    <t>CURRENCY</t>
  </si>
  <si>
    <t>MONNAIE</t>
  </si>
  <si>
    <t>MUNT</t>
  </si>
  <si>
    <t>Modifications supplémentaires et légères modifications de mise en page de certaines feuilles</t>
  </si>
  <si>
    <t>Additional requests change and some sheets small reformatting</t>
  </si>
  <si>
    <t>Aanvullende verzoeken wijzigen en sommige bladen worden enigszins opnieuw opgemaakt</t>
  </si>
  <si>
    <t>REVENUS &lt;=  200 M F CFA</t>
  </si>
  <si>
    <t>REVENUS &gt; 200 M F CFA</t>
  </si>
  <si>
    <t>Pas de travailleurs saisonniers</t>
  </si>
  <si>
    <t>Lié à l'index</t>
  </si>
  <si>
    <t>Lié au nombre de vendeurs et managers</t>
  </si>
  <si>
    <t>6 voyages x 3 jours (transport, nuite, repas)</t>
  </si>
  <si>
    <t>Lié à l'index et au nombre de boutiques</t>
  </si>
  <si>
    <t>% Sur salaire brut</t>
  </si>
  <si>
    <t>GROSS SALARY</t>
  </si>
  <si>
    <t>SOCIAL SECURITY</t>
  </si>
  <si>
    <t>OTHER ALLOWANCES</t>
  </si>
  <si>
    <t>CAPITAL CHANGE BY CANCELLATION OF ACCUMULATED DEBT/PROFIT</t>
  </si>
  <si>
    <t>MODIFICATION DU CAPITAL PAR ANNULATION DE LA DETTE/DU BENEFICE ACCUMULE</t>
  </si>
  <si>
    <t>KAPITAALVERANDERING DOOR ANNULERING VAN GECUMULEERDE SCHULD/WINST</t>
  </si>
  <si>
    <t xml:space="preserve">Distribution channel name, description free text </t>
  </si>
  <si>
    <t xml:space="preserve">Range name, description free text </t>
  </si>
  <si>
    <t xml:space="preserve">Products and services name, filter, description free text </t>
  </si>
  <si>
    <t>Products and services</t>
  </si>
  <si>
    <t>Produits et services</t>
  </si>
  <si>
    <t>Producten en diensten</t>
  </si>
  <si>
    <t>Products and services per range and per distribution channel</t>
  </si>
  <si>
    <t>Naam van producten en diensten, filter, vrije tekstbeschrijving</t>
  </si>
  <si>
    <t>Naam van assortiment, vrije tekstbeschrijving</t>
  </si>
  <si>
    <t>Naam van distributiekanaal, vrije tekstbeschrijving</t>
  </si>
  <si>
    <t>Producten en diensten per assortiment en per distributiekanaal</t>
  </si>
  <si>
    <t>Nom des produits et services, filtre, description en texte libre</t>
  </si>
  <si>
    <t>Nom de la gamme, description en texte libre</t>
  </si>
  <si>
    <t>Nom du canal de distribution, description en texte libre</t>
  </si>
  <si>
    <t>Produits et services par gamme et par canal de distribution</t>
  </si>
  <si>
    <t>Set to ‘1’ if the product or service is belonging to a range or a distribution channel</t>
  </si>
  <si>
    <t>Mettre à "1" si le produit ou le service appartient à une gamme ou à un canal de distribution</t>
  </si>
  <si>
    <t>Zet op “1” als het product of de dienst tot een assortiment of een distributiekanaal behoort.</t>
  </si>
  <si>
    <t>Loan yearly interest and paid back period</t>
  </si>
  <si>
    <t>Jaarlijkse rente op de lening en terugbetalingstermijn</t>
  </si>
  <si>
    <t>Intérêt annuel du prêt et période de remboursement</t>
  </si>
  <si>
    <t>Column FinanceData'!H
5 predefined expenses and 5 user defined expenses</t>
  </si>
  <si>
    <t>Colonne FinanceData'!H
5 dépenses prédéfinies et 5 dépenses définies par l'utilisateur</t>
  </si>
  <si>
    <t>Kolom FinanceData'!H
5 vooraf gedefinieerde uitgaven en 5 door de gebruiker gedefinieerde uitgaven</t>
  </si>
  <si>
    <t>Column FinanceData'!H
4 predefined expenses and 5 user defined expenses</t>
  </si>
  <si>
    <t>Column FinanceData'!H
10 predefined expenses and 5 user defined expenses</t>
  </si>
  <si>
    <t>Column FinanceData'!H
2 predefined expenses and 5 user defined expenses</t>
  </si>
  <si>
    <t>Column FinanceData'!H
3 predefined expenses and 5 user defined expenses</t>
  </si>
  <si>
    <t>Column FinanceData'!H
8 predefined expenses and 5 user defined expenses</t>
  </si>
  <si>
    <t>Colonne FinanceData'!H
4 dépenses prédéfinies et 5 dépenses définies par l'utilisateur</t>
  </si>
  <si>
    <t>Colonne FinanceData'!H
10 dépenses prédéfinies et 5 dépenses définies par l'utilisateur</t>
  </si>
  <si>
    <t>Colonne FinanceData'!H
3 dépenses prédéfinies et 5 dépenses définies par l'utilisateur</t>
  </si>
  <si>
    <t>Colonne FinanceData'!H
2 dépenses prédéfinies et 5 dépenses définies par l'utilisateur</t>
  </si>
  <si>
    <t>Colonne FinanceData'!H
8 dépenses prédéfinies et 5 dépenses définies par l'utilisateur</t>
  </si>
  <si>
    <t>Kolom FinanceData'!H
4 vooraf gedefinieerde uitgaven en 5 door de gebruiker gedefinieerde uitgaven</t>
  </si>
  <si>
    <t>Kolom FinanceData'!H
10 vooraf gedefinieerde uitgaven en 5 door de gebruiker gedefinieerde uitgaven</t>
  </si>
  <si>
    <t>Kolom FinanceData'!H
3 vooraf gedefinieerde uitgaven en 5 door de gebruiker gedefinieerde uitgaven</t>
  </si>
  <si>
    <t>Kolom FinanceData'!H
2 vooraf gedefinieerde uitgaven en 5 door de gebruiker gedefinieerde uitgaven</t>
  </si>
  <si>
    <t>Kolom FinanceData'!H
8 vooraf gedefinieerde uitgaven en 5 door de gebruiker gedefinieerde uitgaven</t>
  </si>
  <si>
    <t>Fill past and future investments : description, acquisition year, acquisition value (excluded VAT), % yearly amortisation, accumulated amortisation value (before YEAR-2)</t>
  </si>
  <si>
    <t>Vul vroegere en toekomstige investeringen in: beschrijving, aanschaffingsjaar, aanschaffingswaarde (exclusief btw), % jaarlijkse afschrijving, gecumuleerde afschrijvingswaarde (vóór JAAR-2)</t>
  </si>
  <si>
    <t>Remplir les investissements passés et futurs : description, année d'acquisition, valeur d'acquisition (hors TVA), % d'amortissement annuel, valeur d'amortissement cumulée (avant ANNEE-2)</t>
  </si>
  <si>
    <t>Adjust if necessary amortisations for YEAR-2 and YEAR-1</t>
  </si>
  <si>
    <t>Ajuster si nécessaire les amortissements pour l'ANNEE 2 et l'ANNEE 1</t>
  </si>
  <si>
    <t>Pas indien nodig de afschrijvingen voor JAAR-2 en JAAR-1 aan</t>
  </si>
  <si>
    <t>ELKE VRIJE TEKSTOPMERKING KAN WORDEN TOEGEVOEGD IN DE GELE CELLEN VAN KOLOM Y IN DIT BLAD</t>
  </si>
  <si>
    <t>ANY FREE TEXT COMMENT MAY BE ADDED IN YELLOW CELLS OF COLUMN Y IN THIS SHEET</t>
  </si>
  <si>
    <t>TOUT COMMENTAIRE LIBRE PEUT ÊTRE AJOUTÉ DANS LES CELLULES JAUNES DE LA COLONNE Y DE CETTE FEUILLE</t>
  </si>
  <si>
    <t>Fill YEAR-2 and YEAR-1 stock value, accounts receivable value and accounts payable value.  You may also enter the equivalent number of day (optional)</t>
  </si>
  <si>
    <t>Fill CURRENT YEAR to YEAR 6, the number of days for stock calculation, accounts receivable and accounts payable.  Value will be computed automatically</t>
  </si>
  <si>
    <t>Remplissez les champs ANNEE-2 et ANNEE-1 avec la valeur des stocks, la valeur des comptes clients et la valeur des comptes fournisseurs.  Vous pouvez également saisir le nombre de jours équivalent (facultatif).</t>
  </si>
  <si>
    <t>Remplissez les champs ANNEE EN COURS à ANNEE 6 avec le nombre de jours pour le calcul des stocks, des comptes clients et des comptes fournisseurs.  La valeur sera calculée automatiquement.</t>
  </si>
  <si>
    <t>Vul de voorraadwaarde, debiteurenwaarde en crediteurenwaarde voor JAAR-2 en JAAR-1 in.  U kunt ook het equivalente aantal dagen invoeren (optioneel)</t>
  </si>
  <si>
    <t>Vul HUIDIG JAAR tot en met JAAR 6 in, het aantal dagen voor de voorraadberekening, debiteuren en crediteuren.  De waarde wordt automatisch berekend.</t>
  </si>
  <si>
    <t>Fill any variation in inventory, receivables and operating debts</t>
  </si>
  <si>
    <t>Fill bank charges</t>
  </si>
  <si>
    <t>Fill taxes</t>
  </si>
  <si>
    <t>Vul eventuele verschillen in voorraad, vorderingen en bedrijfsschulden in</t>
  </si>
  <si>
    <t>Vul bankkosten in</t>
  </si>
  <si>
    <t>Vul belastingen in</t>
  </si>
  <si>
    <t>Fill cash postion at end of YEAR-2 and YEAR-1</t>
  </si>
  <si>
    <t>Remplir la position de trésorerie à la fin de l'ANNEE 2 et de l'ANNEE 1</t>
  </si>
  <si>
    <t>Vul de kaspositie in aan het einde van JAAR-2 en JAAR-1</t>
  </si>
  <si>
    <t>Fill source of financing : loan and capital contribution</t>
  </si>
  <si>
    <t>Vul financieringsbron in: lening en kapitaalinbreng</t>
  </si>
  <si>
    <t>Remplir les sources de financement : prêt et apport en capital</t>
  </si>
  <si>
    <t>Remplir toute variation dans les stocks, les créances et les dettes d'exploitation</t>
  </si>
  <si>
    <t>Remplir les impôts</t>
  </si>
  <si>
    <t>Remplir les frais bancaires</t>
  </si>
  <si>
    <t>Range and distribution channel new setup in InputsData sheet
Tax regime conditions
Sales and COGS per unit in FinancePivot sheet
Instructions sheet completed</t>
  </si>
  <si>
    <t>Nouvelle configuration de la gamme et du canal de distribution dans la feuille InputsData
Conditions du régime fiscal
Ventes et coût des ventes par unité dans la feuille FinancePivot
Feuille Instructions complétée</t>
  </si>
  <si>
    <t>Nieuw setup assortiment en distributiekanaal in het blad InputsData
Fiscale voorwaarden
Omzet en COGS per eenheid in het blad FinancePivot
Blad Instruction compleet</t>
  </si>
  <si>
    <t>v2.07</t>
  </si>
  <si>
    <t>COUNTRY RELATED___</t>
  </si>
  <si>
    <t>YEAR RELATED___</t>
  </si>
  <si>
    <t>PRODUCT AND SERVICE RELATED___</t>
  </si>
  <si>
    <t>RANGE AND DISTRIBUTION CHANNEL RELATED___</t>
  </si>
  <si>
    <t>STAFF RELATED___</t>
  </si>
  <si>
    <t>LOAN RELATED___</t>
  </si>
  <si>
    <t>SIMULATION RELATED___</t>
  </si>
  <si>
    <t>PRIX DE VENTE UNITAIRE MOYEN</t>
  </si>
  <si>
    <t>PRIX DE VENTE UNITAIRE GAMME 1</t>
  </si>
  <si>
    <t>PRIX DE VENTE UNITAIRE GAMME 2</t>
  </si>
  <si>
    <t>PRIX DE VENTE UNITAIRE GAMME 3</t>
  </si>
  <si>
    <t>UNIT SELLING PRICE AVERAGE</t>
  </si>
  <si>
    <t>UNIT SELLING PRICE RANGE 1</t>
  </si>
  <si>
    <t>UNIT SELLING PRICE RANGE 2</t>
  </si>
  <si>
    <t>UNIT SELLING PRICE RANGE 3</t>
  </si>
  <si>
    <t>VERKOOPPRIJS PER STUK ASSORTIMENT 1</t>
  </si>
  <si>
    <t>VERKOOPPRIJS PER STUK ASSORTIMENT 2</t>
  </si>
  <si>
    <t>VERKOOPPRIJS PER STUK ASSORTIMENT 3</t>
  </si>
  <si>
    <t>GEMIDDELDE VERKOOPPRIJS PER STUK</t>
  </si>
  <si>
    <t>UNIT COGS AVERAGE</t>
  </si>
  <si>
    <t>UNIT COGS RANGE 1</t>
  </si>
  <si>
    <t>UNIT COGS RANGE 2</t>
  </si>
  <si>
    <t>UNIT COGS RANGE 3</t>
  </si>
  <si>
    <t>COUT UNITAIRE MOYEN DES VENTES</t>
  </si>
  <si>
    <t>COUT UNITAIRE GAMME 1</t>
  </si>
  <si>
    <t>COUT UNITAIRE GAMME 2</t>
  </si>
  <si>
    <t>COUT UNITAIRE GAMME 3</t>
  </si>
  <si>
    <t>COGS PER STUK ASSORTIMENT 1</t>
  </si>
  <si>
    <t>COGS PER STUK ASSORTIMENT 2</t>
  </si>
  <si>
    <t>COGS PER STUK ASSORTIMENT 3</t>
  </si>
  <si>
    <t>GEMIDDELDE COGS PER STUK</t>
  </si>
  <si>
    <t>UNIT COGS AVERAGE CHANNEL 1</t>
  </si>
  <si>
    <t>UNIT COGS AVERAGE CHANNEL 2</t>
  </si>
  <si>
    <t>COUT UNITAIRE MOYEN CANAL 1</t>
  </si>
  <si>
    <t>COUT UNITAIRE MOYEN CANAL 2</t>
  </si>
  <si>
    <t>GEMIDDELDE COGS PER STUK KANAAL 1</t>
  </si>
  <si>
    <t>COUT MOYEN CANAL 1</t>
  </si>
  <si>
    <t>COUT MOYEN CANAL 2</t>
  </si>
  <si>
    <t>GEMIDDELDE COGS KANAAL 2</t>
  </si>
  <si>
    <t>GEMIDDELDE COGS PER STUK KANAAL 2</t>
  </si>
  <si>
    <t>POUR NAVIGUER ENTRE LES SECTIONS, VOUS DISPOSEZ DE DIFFÉRENTES OPTIONS :
     1. FAITES DÉFILER LA FEUILLE VERS LE BAS
     2. FILTREZ SUR LA SECTION DE CELLULE (C3)
     3. CLIQUEZ SUR LA COLONNE B ET UTILISEZ LES FLÈCHES VERS LE BAS OU VERS LE HAUT DU CLAVIER POUR NAVIGUER ENTRE LES SECTIONS</t>
  </si>
  <si>
    <t>OM TUSSEN DE SECTIE TE NAVIGEREN, HEBT U VERSCHILLENDE OPTIES:
     1. SCROLL NAAR BENEDEN IN HET BLAD
     2. FILTER OP CEL SECTIE (C3)
     3. KLIK OP KOLOM B EN GEBRUIK DE PIJLTOETSEN OMHOOG OF OMLAAG OM TUSSEN DE SECTIE TE NAVIGEREN</t>
  </si>
  <si>
    <t>TO NAVIGATE BETWEEN SECTION, YOU MAY HAVE DIFFERETN OPTIONS :
     1. SCROLL THE SHEET DOWN
     2. FILTER ON CELL SECTION (C3)
     3. CLICK ON COLUMN B AND USE KEYBOARD ARROW DOWN OR UP TO NAVIGATE BETWEEN SECTIONS !!!!!!!!!!!!!!!!!!!!!!!!!!!</t>
  </si>
  <si>
    <t>Colonne FinanceData'!Y</t>
  </si>
  <si>
    <t>Colonne FinanceData'!Z</t>
  </si>
  <si>
    <t>CONSULTER EGALEMENT LA COLONNE Z DANS CETTE FEUILLE QUI PEUT CONTENIR UNE NOTE DE TRADUCTION !!!!!!!!!!!!!!!!!!!!!!!!!!!</t>
  </si>
  <si>
    <t>RAADPLEEG OOK DE KOLOM Z IN DIT BLAD, DIE EEN VERTALINGSKNOP KAN BEVATTEN !!!!!!!!!!!!!!!!!!!!!!!!!!!</t>
  </si>
  <si>
    <t>Kolom FinanceData'!Y</t>
  </si>
  <si>
    <t>Kolom FinanceData'!Z</t>
  </si>
  <si>
    <t>Column FinanceData'!Y</t>
  </si>
  <si>
    <t>Column FinanceData'!Z</t>
  </si>
  <si>
    <t>ALSO CONSULT COLUMN Z IN THIS SHEET, WHICH MAY CONTAIN A TRANSLATION NOTE !!!!!!!!!!!!!!!!!!!!!!!!!!!</t>
  </si>
  <si>
    <t>COUNTRY RELATED</t>
  </si>
  <si>
    <t>SIMULATION RELATED</t>
  </si>
  <si>
    <t>LOAN RELATED</t>
  </si>
  <si>
    <t>STAFF RELATED</t>
  </si>
  <si>
    <t>PRODUCT AND SERVICE RELATED</t>
  </si>
  <si>
    <t>RANGE AND DISTRIBUTION CHANNEL RELATED</t>
  </si>
  <si>
    <t>LANDGERELATEERD</t>
  </si>
  <si>
    <t>EN LIEN AVEC LE PAYS</t>
  </si>
  <si>
    <t>EN LIEN AVEC LES PRODUITS ET LES SERVICES</t>
  </si>
  <si>
    <t>PRODUCT- EN DIENSTGERELATEERD</t>
  </si>
  <si>
    <t>PERSONEELSGERELATEERD</t>
  </si>
  <si>
    <t>EN LIEN AVEC LE PERSONNEL</t>
  </si>
  <si>
    <t>EN LIEN AVEC LES PRETS</t>
  </si>
  <si>
    <t>LENINGGERELATEERD</t>
  </si>
  <si>
    <t>EN LIEN AVEC LA SIMULATION</t>
  </si>
  <si>
    <t>SIMULATIEGERELATEERD</t>
  </si>
  <si>
    <t>EN LIEN AVEC LES GAMMES ET LES CANAUX DE DISTRIBUTION</t>
  </si>
  <si>
    <t>ASSORTIMENT- EN DISTRIBUTIEKANALENGERELATEERD</t>
  </si>
  <si>
    <t>YEAR RELATED</t>
  </si>
  <si>
    <t>EN LIEN AVEC L'ANNEE</t>
  </si>
  <si>
    <t>JAARGERELATEERD</t>
  </si>
  <si>
    <t>Set YEAR-2 and CURRENT YEAR H1</t>
  </si>
  <si>
    <t>Stel JAAR-2 en HUIDIG JAAR H1 in</t>
  </si>
  <si>
    <t>Saissir ANNEE-2 et ANNEE EN COURS S1</t>
  </si>
  <si>
    <t>ABC CORPORATION</t>
  </si>
  <si>
    <t>IMPOT SUR LE REVENU</t>
  </si>
  <si>
    <t>IMPOT SUR LE BENEFICE</t>
  </si>
  <si>
    <t>? x salaire minimun en 2026</t>
  </si>
  <si>
    <t>Financial Overview in EUR for investors</t>
  </si>
  <si>
    <t>Aperçu financier en EUR pour investisseurs</t>
  </si>
  <si>
    <t>Financieel overzicht in EUR voor beleggers</t>
  </si>
  <si>
    <t>v2.08</t>
  </si>
  <si>
    <t>PAID BACK PERIOD</t>
  </si>
  <si>
    <t>YEARLY INTEREST</t>
  </si>
  <si>
    <t>PAID BACK PERIOD AND GRACE PERIOD</t>
  </si>
  <si>
    <t>PERIODE DE REMBOURSEMENT ET PERIODE DE GRACE</t>
  </si>
  <si>
    <t>TERUGBETALINGSTERMIJN EN UITSTELTERMIJN</t>
  </si>
  <si>
    <t>Révision des calculs du prêt : correction d'une erreur, ajout d'une option de délai de grâce et ajout d'une option de modification du taux d'intérêt au cours de la période.</t>
  </si>
  <si>
    <t>Review loan calculation : error correction, add period of grace option and add interest rate change over the period option</t>
  </si>
  <si>
    <t>Herziening van de leningberekening : foutcorrectie, toevoeging van een optie voor uitstel van betaling en toevoeging van een optie voor rentewijziging gedurende de periode</t>
  </si>
  <si>
    <t>French</t>
  </si>
  <si>
    <t>v2.09</t>
  </si>
  <si>
    <t>WORST CASE</t>
  </si>
  <si>
    <t>CAS TYPIQUE</t>
  </si>
  <si>
    <t>TYPISCH GEVAL</t>
  </si>
  <si>
    <t>BEST CASE</t>
  </si>
  <si>
    <t>MEILLEUR CAS</t>
  </si>
  <si>
    <t>BESTE GEVAL</t>
  </si>
  <si>
    <t>PIRE CAS</t>
  </si>
  <si>
    <t>SLECHTSTE GEVAL</t>
  </si>
  <si>
    <t>VOLUME Total</t>
  </si>
  <si>
    <t>REVENUE Total</t>
  </si>
  <si>
    <t>COST OF GOODS SOLD Total</t>
  </si>
  <si>
    <t>Sum of SEMESTRE 1</t>
  </si>
  <si>
    <t>Sum of SEMESTRE 2</t>
  </si>
  <si>
    <t>XYZ</t>
  </si>
  <si>
    <t>ABC</t>
  </si>
  <si>
    <t>Revision du scénario le plus favorable/le plus défavorable : correction d'une erreur dans la consolidation des salaires du personnel
Colonne "Section" déplacée dans la feuille InputsData
Traduction dans la feuille FinanceChart</t>
  </si>
  <si>
    <t>Review best case / worst case : error correction in staff salaries consolidation
Section column moved in InputsData sheet
FinanceChart sheet translation</t>
  </si>
  <si>
    <t>Herziening van de beste/slechtste geval: foutcorrectie bij consolidatie van personeelssalarissen
"Section" kolom verplaatst in InputsData sheet
FinanceChart blad vertaling</t>
  </si>
  <si>
    <t>v2.10</t>
  </si>
  <si>
    <t>Two sheets small reformatting</t>
  </si>
  <si>
    <t>Modifications de formats sur deux feuilles</t>
  </si>
  <si>
    <t>Extra vellen kleine herformattering</t>
  </si>
  <si>
    <t>Percentage formatting
One pivot table filter formatting</t>
  </si>
  <si>
    <t>Formatage des pourcentages
Formatage des filtres d'un tableau croisé</t>
  </si>
  <si>
    <t>Percentageopmaak
Opmaak van een draaitabelfilter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</si>
</sst>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_ ;[Red]\-#,##0\ "/>
    <numFmt numFmtId="165" formatCode="#,##0.00_ ;[Red]\-#,##0.00\ "/>
    <numFmt numFmtId="166" formatCode="0.000%\ &quot;DES REVENUS&quot;"/>
    <numFmt numFmtId="167" formatCode="#,##0.0_ ;[Red]\-#,##0.0\ "/>
    <numFmt numFmtId="168" formatCode="&quot;Filter&quot;\ 0"/>
    <numFmt numFmtId="169" formatCode="&quot;VAT&quot;\ 0%"/>
    <numFmt numFmtId="170" formatCode="0\ &quot;YEARS&quot;"/>
    <numFmt numFmtId="171" formatCode="0.000%"/>
    <numFmt numFmtId="172" formatCode="0.0%"/>
  </numFmts>
  <fonts count="65" x14ac:knownFonts="1">
    <font>
      <sz val="12"/>
      <color theme="1"/>
      <name val="Arial"/>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Arial"/>
      <family val="2"/>
    </font>
    <font>
      <sz val="8"/>
      <name val="Arial"/>
      <family val="2"/>
    </font>
    <font>
      <u/>
      <sz val="12"/>
      <color theme="10"/>
      <name val="Arial"/>
      <family val="2"/>
    </font>
    <font>
      <sz val="10"/>
      <color theme="1"/>
      <name val="Arial"/>
      <family val="2"/>
    </font>
    <font>
      <b/>
      <i/>
      <sz val="10"/>
      <color rgb="FFFF0000"/>
      <name val="Arial"/>
      <family val="2"/>
    </font>
    <font>
      <b/>
      <sz val="10"/>
      <color theme="1"/>
      <name val="Arial"/>
      <family val="2"/>
    </font>
    <font>
      <b/>
      <sz val="10"/>
      <color rgb="FFFF0000"/>
      <name val="Arial"/>
      <family val="2"/>
    </font>
    <font>
      <sz val="10"/>
      <color rgb="FFFF0000"/>
      <name val="Arial"/>
      <family val="2"/>
    </font>
    <font>
      <b/>
      <sz val="10"/>
      <color theme="0"/>
      <name val="Arial"/>
      <family val="2"/>
    </font>
    <font>
      <b/>
      <sz val="10"/>
      <name val="Arial"/>
      <family val="2"/>
    </font>
    <font>
      <sz val="10"/>
      <name val="Arial"/>
      <family val="2"/>
    </font>
    <font>
      <sz val="10"/>
      <color theme="0"/>
      <name val="Arial"/>
      <family val="2"/>
    </font>
    <font>
      <b/>
      <i/>
      <u/>
      <sz val="10"/>
      <color rgb="FFFF0000"/>
      <name val="Arial"/>
      <family val="2"/>
    </font>
    <font>
      <u/>
      <sz val="10"/>
      <color theme="10"/>
      <name val="Arial"/>
      <family val="2"/>
    </font>
    <font>
      <b/>
      <sz val="36"/>
      <color theme="1"/>
      <name val="Arial"/>
      <family val="2"/>
    </font>
    <font>
      <b/>
      <sz val="14"/>
      <color theme="0"/>
      <name val="Arial"/>
      <family val="2"/>
    </font>
    <font>
      <sz val="11"/>
      <color theme="1"/>
      <name val="Aptos Narrow"/>
      <family val="2"/>
      <scheme val="minor"/>
    </font>
    <font>
      <u/>
      <sz val="10"/>
      <color theme="0"/>
      <name val="Arial"/>
      <family val="2"/>
    </font>
    <font>
      <b/>
      <u/>
      <sz val="10"/>
      <name val="Arial"/>
      <family val="2"/>
    </font>
    <font>
      <sz val="10"/>
      <color rgb="FF1E3249"/>
      <name val="Arial"/>
      <family val="2"/>
    </font>
    <font>
      <b/>
      <sz val="10"/>
      <color rgb="FF1E3249"/>
      <name val="Arial"/>
      <family val="2"/>
    </font>
    <font>
      <b/>
      <i/>
      <sz val="10"/>
      <color theme="1"/>
      <name val="Arial"/>
      <family val="2"/>
    </font>
    <font>
      <b/>
      <sz val="11"/>
      <color theme="0"/>
      <name val="Arial"/>
      <family val="2"/>
    </font>
    <font>
      <b/>
      <u/>
      <sz val="10"/>
      <color theme="0"/>
      <name val="Arial"/>
      <family val="2"/>
    </font>
    <font>
      <sz val="12"/>
      <color theme="0"/>
      <name val="Calibri"/>
      <family val="2"/>
    </font>
    <font>
      <u/>
      <sz val="11"/>
      <color theme="10"/>
      <name val="Aptos Narrow"/>
      <family val="2"/>
      <scheme val="minor"/>
    </font>
    <font>
      <u/>
      <sz val="12"/>
      <color rgb="FF4E81BD"/>
      <name val="Calibri"/>
      <family val="2"/>
    </font>
    <font>
      <b/>
      <i/>
      <u/>
      <sz val="12"/>
      <color rgb="FFFF0000"/>
      <name val="Calibri"/>
      <family val="2"/>
    </font>
    <font>
      <u/>
      <sz val="12"/>
      <color theme="0"/>
      <name val="Calibri"/>
      <family val="2"/>
    </font>
    <font>
      <u/>
      <sz val="11"/>
      <color theme="10"/>
      <name val="Arial"/>
      <family val="2"/>
    </font>
    <font>
      <sz val="12"/>
      <name val="Calibri"/>
      <family val="2"/>
    </font>
    <font>
      <b/>
      <sz val="12"/>
      <color theme="1"/>
      <name val="Calibri"/>
      <family val="2"/>
    </font>
    <font>
      <b/>
      <i/>
      <sz val="12"/>
      <color rgb="FFFF0000"/>
      <name val="Calibri"/>
      <family val="2"/>
    </font>
    <font>
      <sz val="12"/>
      <color rgb="FFDCE6F1"/>
      <name val="Calibri"/>
      <family val="2"/>
    </font>
    <font>
      <u/>
      <sz val="12"/>
      <color theme="10"/>
      <name val="Calibri"/>
      <family val="2"/>
    </font>
    <font>
      <sz val="10"/>
      <color rgb="FFDCE6F1"/>
      <name val="Arial"/>
      <family val="2"/>
    </font>
    <font>
      <b/>
      <sz val="10"/>
      <color rgb="FFDCE6F1"/>
      <name val="Arial"/>
      <family val="2"/>
    </font>
    <font>
      <b/>
      <sz val="7"/>
      <color theme="0"/>
      <name val="Arial"/>
      <family val="2"/>
    </font>
    <font>
      <b/>
      <sz val="8"/>
      <color rgb="FFFF0000"/>
      <name val="Arial"/>
      <family val="2"/>
    </font>
    <font>
      <b/>
      <sz val="12"/>
      <color rgb="FFFF0000"/>
      <name val="Arial"/>
      <family val="2"/>
    </font>
    <font>
      <u/>
      <sz val="12"/>
      <name val="Calibri"/>
      <family val="2"/>
    </font>
    <font>
      <b/>
      <sz val="12"/>
      <color theme="1"/>
      <name val="Arial"/>
      <family val="2"/>
    </font>
    <font>
      <sz val="9"/>
      <color rgb="FFFF0000"/>
      <name val="Arial"/>
      <family val="2"/>
    </font>
    <font>
      <b/>
      <sz val="14"/>
      <color theme="1"/>
      <name val="Arial"/>
      <family val="2"/>
    </font>
    <font>
      <b/>
      <sz val="12"/>
      <color theme="0"/>
      <name val="Arial"/>
      <family val="2"/>
    </font>
    <font>
      <b/>
      <sz val="12"/>
      <name val="Arial"/>
      <family val="2"/>
    </font>
    <font>
      <sz val="14"/>
      <color theme="0"/>
      <name val="Arial"/>
      <family val="2"/>
    </font>
    <font>
      <sz val="12"/>
      <color rgb="FFFF0000"/>
      <name val="Calibri"/>
      <family val="2"/>
    </font>
    <font>
      <b/>
      <sz val="9"/>
      <color theme="0"/>
      <name val="Arial"/>
      <family val="2"/>
    </font>
    <font>
      <b/>
      <i/>
      <sz val="10"/>
      <color rgb="FFDCE6F1"/>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1E3249"/>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92D050"/>
        <bgColor indexed="64"/>
      </patternFill>
    </fill>
    <fill>
      <patternFill patternType="solid">
        <fgColor rgb="FFDCE6F1"/>
        <bgColor indexed="64"/>
      </patternFill>
    </fill>
    <fill>
      <patternFill patternType="solid">
        <fgColor rgb="FF4E81BD"/>
        <bgColor indexed="64"/>
      </patternFill>
    </fill>
    <fill>
      <patternFill patternType="solid">
        <fgColor theme="0" tint="-0.499984740745262"/>
        <bgColor indexed="64"/>
      </patternFill>
    </fill>
    <fill>
      <patternFill patternType="solid">
        <fgColor theme="0" tint="-0.14999847407452621"/>
        <bgColor theme="0" tint="-0.14999847407452621"/>
      </patternFill>
    </fill>
    <fill>
      <patternFill patternType="solid">
        <fgColor theme="3" tint="0.749992370372631"/>
        <bgColor indexed="64"/>
      </patternFill>
    </fill>
    <fill>
      <patternFill patternType="solid">
        <fgColor rgb="FFDCE6F1"/>
        <bgColor rgb="FFDCE6F1"/>
      </patternFill>
    </fill>
    <fill>
      <patternFill patternType="solid">
        <fgColor theme="0"/>
        <bgColor indexed="64"/>
      </patternFill>
    </fill>
  </fills>
  <borders count="102">
    <border>
      <left/>
      <right/>
      <top/>
      <bottom/>
      <diagonal/>
    </border>
    <border>
      <left style="thin">
        <color auto="1"/>
      </left>
      <right style="thin">
        <color auto="1"/>
      </right>
      <top style="thin">
        <color auto="1"/>
      </top>
      <bottom style="thin">
        <color auto="1"/>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thin">
        <color auto="1"/>
      </right>
      <top style="hair">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diagonal/>
    </border>
    <border>
      <left style="thin">
        <color indexed="64"/>
      </left>
      <right style="hair">
        <color auto="1"/>
      </right>
      <top style="thin">
        <color indexed="64"/>
      </top>
      <bottom style="thin">
        <color indexed="64"/>
      </bottom>
      <diagonal/>
    </border>
    <border>
      <left style="hair">
        <color auto="1"/>
      </left>
      <right style="hair">
        <color auto="1"/>
      </right>
      <top style="thin">
        <color indexed="64"/>
      </top>
      <bottom style="thin">
        <color indexed="64"/>
      </bottom>
      <diagonal/>
    </border>
    <border>
      <left style="hair">
        <color auto="1"/>
      </left>
      <right style="thin">
        <color indexed="64"/>
      </right>
      <top style="thin">
        <color indexed="64"/>
      </top>
      <bottom style="thin">
        <color indexed="64"/>
      </bottom>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bottom/>
      <diagonal/>
    </border>
    <border>
      <left style="hair">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right style="hair">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thin">
        <color rgb="FF1E3249"/>
      </right>
      <top style="thin">
        <color rgb="FF1E3249"/>
      </top>
      <bottom/>
      <diagonal/>
    </border>
    <border>
      <left/>
      <right style="thin">
        <color rgb="FF1E3249"/>
      </right>
      <top/>
      <bottom/>
      <diagonal/>
    </border>
    <border>
      <left style="thin">
        <color rgb="FF1E3249"/>
      </left>
      <right/>
      <top/>
      <bottom/>
      <diagonal/>
    </border>
    <border>
      <left style="thin">
        <color rgb="FF1E3249"/>
      </left>
      <right/>
      <top/>
      <bottom style="thin">
        <color rgb="FF1E3249"/>
      </bottom>
      <diagonal/>
    </border>
    <border>
      <left/>
      <right/>
      <top/>
      <bottom style="thin">
        <color rgb="FF1E3249"/>
      </bottom>
      <diagonal/>
    </border>
    <border>
      <left/>
      <right style="thin">
        <color rgb="FF1E3249"/>
      </right>
      <top/>
      <bottom style="thin">
        <color rgb="FF1E3249"/>
      </bottom>
      <diagonal/>
    </border>
    <border>
      <left style="thin">
        <color rgb="FF1E3249"/>
      </left>
      <right style="hair">
        <color rgb="FF1E3249"/>
      </right>
      <top style="thin">
        <color rgb="FF1E3249"/>
      </top>
      <bottom style="hair">
        <color rgb="FF1E3249"/>
      </bottom>
      <diagonal/>
    </border>
    <border>
      <left style="hair">
        <color rgb="FF1E3249"/>
      </left>
      <right style="hair">
        <color rgb="FF1E3249"/>
      </right>
      <top style="thin">
        <color rgb="FF1E3249"/>
      </top>
      <bottom style="hair">
        <color rgb="FF1E3249"/>
      </bottom>
      <diagonal/>
    </border>
    <border>
      <left style="hair">
        <color rgb="FF1E3249"/>
      </left>
      <right style="thin">
        <color rgb="FF1E3249"/>
      </right>
      <top style="thin">
        <color rgb="FF1E3249"/>
      </top>
      <bottom style="hair">
        <color rgb="FF1E3249"/>
      </bottom>
      <diagonal/>
    </border>
    <border>
      <left style="thin">
        <color rgb="FF1E3249"/>
      </left>
      <right style="hair">
        <color rgb="FF1E3249"/>
      </right>
      <top style="hair">
        <color rgb="FF1E3249"/>
      </top>
      <bottom style="hair">
        <color rgb="FF1E3249"/>
      </bottom>
      <diagonal/>
    </border>
    <border>
      <left style="hair">
        <color rgb="FF1E3249"/>
      </left>
      <right style="hair">
        <color rgb="FF1E3249"/>
      </right>
      <top style="hair">
        <color rgb="FF1E3249"/>
      </top>
      <bottom style="hair">
        <color rgb="FF1E3249"/>
      </bottom>
      <diagonal/>
    </border>
    <border>
      <left style="hair">
        <color rgb="FF1E3249"/>
      </left>
      <right style="thin">
        <color rgb="FF1E3249"/>
      </right>
      <top style="hair">
        <color rgb="FF1E3249"/>
      </top>
      <bottom style="hair">
        <color rgb="FF1E3249"/>
      </bottom>
      <diagonal/>
    </border>
    <border>
      <left style="thin">
        <color rgb="FF1E3249"/>
      </left>
      <right style="hair">
        <color rgb="FF1E3249"/>
      </right>
      <top style="hair">
        <color rgb="FF1E3249"/>
      </top>
      <bottom style="thin">
        <color auto="1"/>
      </bottom>
      <diagonal/>
    </border>
    <border>
      <left style="hair">
        <color rgb="FF1E3249"/>
      </left>
      <right style="hair">
        <color rgb="FF1E3249"/>
      </right>
      <top style="hair">
        <color rgb="FF1E3249"/>
      </top>
      <bottom style="thin">
        <color auto="1"/>
      </bottom>
      <diagonal/>
    </border>
    <border>
      <left style="hair">
        <color rgb="FF1E3249"/>
      </left>
      <right style="thin">
        <color rgb="FF1E3249"/>
      </right>
      <top style="hair">
        <color rgb="FF1E3249"/>
      </top>
      <bottom style="thin">
        <color auto="1"/>
      </bottom>
      <diagonal/>
    </border>
    <border>
      <left style="thin">
        <color rgb="FF1E3249"/>
      </left>
      <right style="hair">
        <color rgb="FF1E3249"/>
      </right>
      <top style="hair">
        <color rgb="FF1E3249"/>
      </top>
      <bottom style="thin">
        <color rgb="FF1E3249"/>
      </bottom>
      <diagonal/>
    </border>
    <border>
      <left style="hair">
        <color rgb="FF1E3249"/>
      </left>
      <right style="hair">
        <color rgb="FF1E3249"/>
      </right>
      <top style="hair">
        <color rgb="FF1E3249"/>
      </top>
      <bottom style="thin">
        <color rgb="FF1E3249"/>
      </bottom>
      <diagonal/>
    </border>
    <border>
      <left style="hair">
        <color rgb="FF1E3249"/>
      </left>
      <right style="thin">
        <color rgb="FF1E3249"/>
      </right>
      <top style="hair">
        <color rgb="FF1E3249"/>
      </top>
      <bottom style="thin">
        <color rgb="FF1E3249"/>
      </bottom>
      <diagonal/>
    </border>
    <border>
      <left style="thin">
        <color rgb="FF1E3249"/>
      </left>
      <right style="hair">
        <color rgb="FF1E3249"/>
      </right>
      <top/>
      <bottom style="hair">
        <color rgb="FF1E3249"/>
      </bottom>
      <diagonal/>
    </border>
    <border>
      <left style="hair">
        <color rgb="FF1E3249"/>
      </left>
      <right style="hair">
        <color rgb="FF1E3249"/>
      </right>
      <top/>
      <bottom style="hair">
        <color rgb="FF1E3249"/>
      </bottom>
      <diagonal/>
    </border>
    <border>
      <left style="thin">
        <color rgb="FF1E3249"/>
      </left>
      <right/>
      <top style="thin">
        <color rgb="FF1E3249"/>
      </top>
      <bottom style="thin">
        <color rgb="FF1E3249"/>
      </bottom>
      <diagonal/>
    </border>
    <border>
      <left/>
      <right/>
      <top style="thin">
        <color rgb="FF1E3249"/>
      </top>
      <bottom style="thin">
        <color rgb="FF1E3249"/>
      </bottom>
      <diagonal/>
    </border>
    <border>
      <left/>
      <right style="thin">
        <color rgb="FF1E3249"/>
      </right>
      <top style="thin">
        <color rgb="FF1E3249"/>
      </top>
      <bottom style="thin">
        <color rgb="FF1E3249"/>
      </bottom>
      <diagonal/>
    </border>
    <border>
      <left style="thin">
        <color rgb="FF1E3249"/>
      </left>
      <right/>
      <top style="thin">
        <color rgb="FF1E3249"/>
      </top>
      <bottom/>
      <diagonal/>
    </border>
    <border>
      <left style="hair">
        <color rgb="FF1E3249"/>
      </left>
      <right/>
      <top style="hair">
        <color rgb="FF1E3249"/>
      </top>
      <bottom style="hair">
        <color rgb="FF1E3249"/>
      </bottom>
      <diagonal/>
    </border>
    <border>
      <left style="hair">
        <color rgb="FF1E3249"/>
      </left>
      <right/>
      <top style="thin">
        <color rgb="FF1E3249"/>
      </top>
      <bottom/>
      <diagonal/>
    </border>
    <border>
      <left style="hair">
        <color rgb="FF1E3249"/>
      </left>
      <right/>
      <top/>
      <bottom style="thin">
        <color rgb="FF1E3249"/>
      </bottom>
      <diagonal/>
    </border>
    <border>
      <left/>
      <right style="thin">
        <color rgb="FF1E3249"/>
      </right>
      <top/>
      <bottom style="thin">
        <color auto="1"/>
      </bottom>
      <diagonal/>
    </border>
    <border>
      <left/>
      <right style="hair">
        <color rgb="FF1E3249"/>
      </right>
      <top/>
      <bottom style="hair">
        <color rgb="FF1E3249"/>
      </bottom>
      <diagonal/>
    </border>
    <border>
      <left/>
      <right style="hair">
        <color rgb="FF1E3249"/>
      </right>
      <top style="hair">
        <color rgb="FF1E3249"/>
      </top>
      <bottom style="hair">
        <color rgb="FF1E3249"/>
      </bottom>
      <diagonal/>
    </border>
    <border>
      <left/>
      <right style="hair">
        <color rgb="FF1E3249"/>
      </right>
      <top style="hair">
        <color rgb="FF1E3249"/>
      </top>
      <bottom/>
      <diagonal/>
    </border>
    <border>
      <left style="hair">
        <color rgb="FF1E3249"/>
      </left>
      <right style="hair">
        <color rgb="FF1E3249"/>
      </right>
      <top style="hair">
        <color rgb="FF1E3249"/>
      </top>
      <bottom/>
      <diagonal/>
    </border>
    <border>
      <left style="hair">
        <color rgb="FF1E3249"/>
      </left>
      <right/>
      <top style="hair">
        <color rgb="FF1E3249"/>
      </top>
      <bottom/>
      <diagonal/>
    </border>
    <border>
      <left/>
      <right/>
      <top/>
      <bottom style="thin">
        <color theme="0" tint="-0.34998626667073579"/>
      </bottom>
      <diagonal/>
    </border>
    <border>
      <left style="thin">
        <color rgb="FF1E3249"/>
      </left>
      <right style="thin">
        <color rgb="FF1E3249"/>
      </right>
      <top style="thin">
        <color rgb="FF1E3249"/>
      </top>
      <bottom style="thin">
        <color rgb="FF1E3249"/>
      </bottom>
      <diagonal/>
    </border>
    <border>
      <left style="thin">
        <color rgb="FF1E3249"/>
      </left>
      <right style="thin">
        <color rgb="FF1E3249"/>
      </right>
      <top style="thin">
        <color rgb="FF1E3249"/>
      </top>
      <bottom/>
      <diagonal/>
    </border>
    <border>
      <left style="thin">
        <color rgb="FF1E3249"/>
      </left>
      <right style="thin">
        <color rgb="FF1E3249"/>
      </right>
      <top/>
      <bottom/>
      <diagonal/>
    </border>
    <border>
      <left style="thin">
        <color rgb="FF1E3249"/>
      </left>
      <right style="thin">
        <color rgb="FF1E3249"/>
      </right>
      <top/>
      <bottom style="thin">
        <color rgb="FF1E3249"/>
      </bottom>
      <diagonal/>
    </border>
    <border>
      <left/>
      <right/>
      <top style="thin">
        <color theme="1" tint="0.499984740745262"/>
      </top>
      <bottom style="thin">
        <color theme="1" tint="0.499984740745262"/>
      </bottom>
      <diagonal/>
    </border>
    <border>
      <left/>
      <right style="hair">
        <color rgb="FF1E3249"/>
      </right>
      <top/>
      <bottom/>
      <diagonal/>
    </border>
    <border>
      <left/>
      <right/>
      <top style="thin">
        <color rgb="FF1E3249"/>
      </top>
      <bottom/>
      <diagonal/>
    </border>
    <border>
      <left/>
      <right style="hair">
        <color rgb="FF1E3249"/>
      </right>
      <top style="thin">
        <color rgb="FF1E3249"/>
      </top>
      <bottom style="hair">
        <color rgb="FF1E3249"/>
      </bottom>
      <diagonal/>
    </border>
    <border>
      <left/>
      <right style="hair">
        <color rgb="FF1E3249"/>
      </right>
      <top style="thin">
        <color rgb="FF1E3249"/>
      </top>
      <bottom/>
      <diagonal/>
    </border>
    <border>
      <left/>
      <right style="hair">
        <color rgb="FF1E3249"/>
      </right>
      <top/>
      <bottom style="thin">
        <color rgb="FF1E3249"/>
      </bottom>
      <diagonal/>
    </border>
    <border>
      <left style="hair">
        <color rgb="FF1E3249"/>
      </left>
      <right style="thin">
        <color rgb="FF1E3249"/>
      </right>
      <top/>
      <bottom style="hair">
        <color rgb="FF1E3249"/>
      </bottom>
      <diagonal/>
    </border>
    <border>
      <left style="thin">
        <color auto="1"/>
      </left>
      <right/>
      <top style="thin">
        <color rgb="FF1E3249"/>
      </top>
      <bottom style="hair">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
      <left style="thin">
        <color indexed="64"/>
      </left>
      <right/>
      <top/>
      <bottom style="thin">
        <color rgb="FF1E3249"/>
      </bottom>
      <diagonal/>
    </border>
    <border>
      <left style="thin">
        <color indexed="64"/>
      </left>
      <right style="thin">
        <color rgb="FF1E3249"/>
      </right>
      <top style="thin">
        <color rgb="FF1E3249"/>
      </top>
      <bottom style="thin">
        <color rgb="FF1E3249"/>
      </bottom>
      <diagonal/>
    </border>
    <border>
      <left style="thin">
        <color indexed="64"/>
      </left>
      <right style="thin">
        <color rgb="FF1E3249"/>
      </right>
      <top style="thin">
        <color rgb="FF1E3249"/>
      </top>
      <bottom/>
      <diagonal/>
    </border>
    <border>
      <left style="thin">
        <color indexed="64"/>
      </left>
      <right style="thin">
        <color rgb="FF1E3249"/>
      </right>
      <top/>
      <bottom/>
      <diagonal/>
    </border>
    <border>
      <left style="thin">
        <color indexed="64"/>
      </left>
      <right style="thin">
        <color rgb="FF1E3249"/>
      </right>
      <top/>
      <bottom style="thin">
        <color rgb="FF1E3249"/>
      </bottom>
      <diagonal/>
    </border>
    <border>
      <left style="hair">
        <color auto="1"/>
      </left>
      <right/>
      <top style="thin">
        <color auto="1"/>
      </top>
      <bottom style="hair">
        <color auto="1"/>
      </bottom>
      <diagonal/>
    </border>
    <border>
      <left style="hair">
        <color auto="1"/>
      </left>
      <right/>
      <top style="hair">
        <color auto="1"/>
      </top>
      <bottom style="thin">
        <color auto="1"/>
      </bottom>
      <diagonal/>
    </border>
    <border>
      <left style="hair">
        <color auto="1"/>
      </left>
      <right/>
      <top style="thin">
        <color indexed="64"/>
      </top>
      <bottom style="thin">
        <color indexed="64"/>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style="thin">
        <color auto="1"/>
      </left>
      <right/>
      <top style="thin">
        <color auto="1"/>
      </top>
      <bottom style="hair">
        <color auto="1"/>
      </bottom>
      <diagonal/>
    </border>
  </borders>
  <cellStyleXfs count="7">
    <xf numFmtId="0" fontId="0" fillId="0" borderId="0"/>
    <xf numFmtId="9" fontId="15" fillId="0" borderId="0" applyFont="0" applyFill="0" applyBorder="0" applyAlignment="0" applyProtection="0"/>
    <xf numFmtId="0" fontId="17" fillId="0" borderId="0" applyNumberFormat="0" applyFill="0" applyBorder="0" applyAlignment="0" applyProtection="0"/>
    <xf numFmtId="0" fontId="31" fillId="0" borderId="0"/>
    <xf numFmtId="9" fontId="31" fillId="0" borderId="0" applyFont="0" applyFill="0" applyBorder="0" applyAlignment="0" applyProtection="0"/>
    <xf numFmtId="0" fontId="40" fillId="0" borderId="0" applyNumberFormat="0" applyFill="0" applyBorder="0" applyAlignment="0" applyProtection="0"/>
    <xf numFmtId="0" fontId="44" fillId="0" borderId="0" applyNumberFormat="0" applyFill="0" applyBorder="0" applyAlignment="0" applyProtection="0"/>
  </cellStyleXfs>
  <cellXfs count="984">
    <xf numFmtId="0" fontId="0" fillId="0" borderId="0" xfId="0"/>
    <xf numFmtId="0" fontId="18" fillId="0" borderId="0" xfId="0" applyFont="1" applyAlignment="1">
      <alignment vertical="top"/>
    </xf>
    <xf numFmtId="164" fontId="18" fillId="0" borderId="0" xfId="0" applyNumberFormat="1" applyFont="1" applyAlignment="1">
      <alignment vertical="top"/>
    </xf>
    <xf numFmtId="0" fontId="18" fillId="0" borderId="3" xfId="0" applyFont="1" applyBorder="1" applyAlignment="1">
      <alignment vertical="top"/>
    </xf>
    <xf numFmtId="164" fontId="18" fillId="0" borderId="3" xfId="0" applyNumberFormat="1" applyFont="1" applyBorder="1" applyAlignment="1">
      <alignment vertical="top"/>
    </xf>
    <xf numFmtId="0" fontId="18" fillId="0" borderId="3" xfId="0" applyFont="1" applyBorder="1" applyAlignment="1">
      <alignment horizontal="left" vertical="top"/>
    </xf>
    <xf numFmtId="0" fontId="18" fillId="0" borderId="4" xfId="0" applyFont="1" applyBorder="1" applyAlignment="1">
      <alignment vertical="top"/>
    </xf>
    <xf numFmtId="164" fontId="18" fillId="0" borderId="4" xfId="0" applyNumberFormat="1" applyFont="1" applyBorder="1" applyAlignment="1">
      <alignment vertical="top"/>
    </xf>
    <xf numFmtId="0" fontId="18" fillId="0" borderId="2" xfId="0" applyFont="1" applyBorder="1" applyAlignment="1">
      <alignment vertical="top"/>
    </xf>
    <xf numFmtId="0" fontId="18" fillId="0" borderId="2" xfId="0" applyFont="1" applyBorder="1" applyAlignment="1">
      <alignment horizontal="left" vertical="top"/>
    </xf>
    <xf numFmtId="164" fontId="18" fillId="0" borderId="2" xfId="0" applyNumberFormat="1" applyFont="1" applyBorder="1" applyAlignment="1">
      <alignment vertical="top"/>
    </xf>
    <xf numFmtId="0" fontId="18" fillId="0" borderId="4" xfId="0" applyFont="1" applyBorder="1" applyAlignment="1">
      <alignment horizontal="left" vertical="top"/>
    </xf>
    <xf numFmtId="165" fontId="18" fillId="0" borderId="3" xfId="0" applyNumberFormat="1" applyFont="1" applyBorder="1" applyAlignment="1">
      <alignment vertical="top"/>
    </xf>
    <xf numFmtId="0" fontId="18" fillId="0" borderId="21" xfId="0" applyFont="1" applyBorder="1" applyAlignment="1">
      <alignment vertical="top"/>
    </xf>
    <xf numFmtId="0" fontId="18" fillId="0" borderId="21" xfId="0" applyFont="1" applyBorder="1" applyAlignment="1">
      <alignment horizontal="left" vertical="top"/>
    </xf>
    <xf numFmtId="164" fontId="18" fillId="0" borderId="21" xfId="0" applyNumberFormat="1" applyFont="1" applyBorder="1" applyAlignment="1">
      <alignment vertical="top"/>
    </xf>
    <xf numFmtId="0" fontId="20" fillId="2" borderId="18" xfId="0" applyFont="1" applyFill="1" applyBorder="1" applyAlignment="1">
      <alignment vertical="top"/>
    </xf>
    <xf numFmtId="0" fontId="20" fillId="2" borderId="18" xfId="0" applyFont="1" applyFill="1" applyBorder="1" applyAlignment="1">
      <alignment horizontal="left" vertical="top"/>
    </xf>
    <xf numFmtId="164" fontId="20" fillId="2" borderId="18" xfId="0" applyNumberFormat="1" applyFont="1" applyFill="1" applyBorder="1" applyAlignment="1">
      <alignment vertical="top"/>
    </xf>
    <xf numFmtId="0" fontId="20" fillId="2" borderId="6" xfId="0" applyFont="1" applyFill="1" applyBorder="1" applyAlignment="1">
      <alignment vertical="top"/>
    </xf>
    <xf numFmtId="0" fontId="20" fillId="2" borderId="6" xfId="0" applyFont="1" applyFill="1" applyBorder="1" applyAlignment="1">
      <alignment horizontal="left" vertical="top"/>
    </xf>
    <xf numFmtId="0" fontId="20" fillId="2" borderId="3" xfId="0" applyFont="1" applyFill="1" applyBorder="1" applyAlignment="1">
      <alignment vertical="top"/>
    </xf>
    <xf numFmtId="0" fontId="20" fillId="2" borderId="3" xfId="0" applyFont="1" applyFill="1" applyBorder="1" applyAlignment="1">
      <alignment horizontal="left" vertical="top"/>
    </xf>
    <xf numFmtId="0" fontId="20" fillId="2" borderId="11" xfId="0" applyFont="1" applyFill="1" applyBorder="1" applyAlignment="1">
      <alignment vertical="top"/>
    </xf>
    <xf numFmtId="0" fontId="20" fillId="2" borderId="11" xfId="0" applyFont="1" applyFill="1" applyBorder="1" applyAlignment="1">
      <alignment horizontal="left" vertical="top"/>
    </xf>
    <xf numFmtId="0" fontId="18" fillId="0" borderId="0" xfId="0" applyFont="1" applyAlignment="1">
      <alignment horizontal="center" vertical="top"/>
    </xf>
    <xf numFmtId="0" fontId="18" fillId="0" borderId="3" xfId="0" applyFont="1" applyBorder="1" applyAlignment="1">
      <alignment horizontal="center" vertical="top"/>
    </xf>
    <xf numFmtId="0" fontId="20" fillId="2" borderId="18" xfId="0" applyFont="1" applyFill="1" applyBorder="1" applyAlignment="1">
      <alignment horizontal="center" vertical="top"/>
    </xf>
    <xf numFmtId="0" fontId="20" fillId="2" borderId="6" xfId="0" applyFont="1" applyFill="1" applyBorder="1" applyAlignment="1">
      <alignment horizontal="center" vertical="top"/>
    </xf>
    <xf numFmtId="0" fontId="20" fillId="2" borderId="3" xfId="0" applyFont="1" applyFill="1" applyBorder="1" applyAlignment="1">
      <alignment horizontal="center" vertical="top"/>
    </xf>
    <xf numFmtId="0" fontId="20" fillId="2" borderId="11" xfId="0" applyFont="1" applyFill="1" applyBorder="1" applyAlignment="1">
      <alignment horizontal="center" vertical="top"/>
    </xf>
    <xf numFmtId="164" fontId="20" fillId="2" borderId="6" xfId="0" applyNumberFormat="1" applyFont="1" applyFill="1" applyBorder="1" applyAlignment="1">
      <alignment vertical="top"/>
    </xf>
    <xf numFmtId="164" fontId="20" fillId="2" borderId="3" xfId="0" applyNumberFormat="1" applyFont="1" applyFill="1" applyBorder="1" applyAlignment="1">
      <alignment vertical="top"/>
    </xf>
    <xf numFmtId="164" fontId="20" fillId="2" borderId="11" xfId="0" applyNumberFormat="1" applyFont="1" applyFill="1" applyBorder="1" applyAlignment="1">
      <alignment vertical="top"/>
    </xf>
    <xf numFmtId="0" fontId="20" fillId="0" borderId="3" xfId="0" applyFont="1" applyBorder="1" applyAlignment="1">
      <alignment horizontal="center" vertical="top"/>
    </xf>
    <xf numFmtId="0" fontId="20" fillId="0" borderId="2" xfId="0" applyFont="1" applyBorder="1" applyAlignment="1">
      <alignment horizontal="center" vertical="top"/>
    </xf>
    <xf numFmtId="0" fontId="20" fillId="0" borderId="4" xfId="0" applyFont="1" applyBorder="1" applyAlignment="1">
      <alignment horizontal="center" vertical="top"/>
    </xf>
    <xf numFmtId="0" fontId="20" fillId="0" borderId="21" xfId="0" applyFont="1" applyBorder="1" applyAlignment="1">
      <alignment horizontal="center" vertical="top"/>
    </xf>
    <xf numFmtId="164" fontId="18" fillId="0" borderId="1" xfId="0" applyNumberFormat="1" applyFont="1" applyBorder="1" applyAlignment="1">
      <alignment vertical="top"/>
    </xf>
    <xf numFmtId="0" fontId="20" fillId="2" borderId="6" xfId="0" applyFont="1" applyFill="1" applyBorder="1" applyAlignment="1">
      <alignment horizontal="center" vertical="top" wrapText="1"/>
    </xf>
    <xf numFmtId="0" fontId="20" fillId="2" borderId="3" xfId="0" applyFont="1" applyFill="1" applyBorder="1" applyAlignment="1">
      <alignment horizontal="left" vertical="top" wrapText="1"/>
    </xf>
    <xf numFmtId="9" fontId="21" fillId="2" borderId="3" xfId="1" applyFont="1" applyFill="1" applyBorder="1" applyAlignment="1">
      <alignment horizontal="center" vertical="top"/>
    </xf>
    <xf numFmtId="0" fontId="20" fillId="2" borderId="4" xfId="0" applyFont="1" applyFill="1" applyBorder="1" applyAlignment="1">
      <alignment vertical="top"/>
    </xf>
    <xf numFmtId="0" fontId="20" fillId="2" borderId="4" xfId="0" applyFont="1" applyFill="1" applyBorder="1" applyAlignment="1">
      <alignment horizontal="left" vertical="top"/>
    </xf>
    <xf numFmtId="0" fontId="20" fillId="2" borderId="4" xfId="0" applyFont="1" applyFill="1" applyBorder="1" applyAlignment="1">
      <alignment horizontal="center" vertical="top"/>
    </xf>
    <xf numFmtId="0" fontId="20" fillId="2" borderId="11" xfId="0" applyFont="1" applyFill="1" applyBorder="1" applyAlignment="1">
      <alignment horizontal="left" vertical="top" wrapText="1"/>
    </xf>
    <xf numFmtId="9" fontId="21" fillId="2" borderId="11" xfId="1" applyFont="1" applyFill="1" applyBorder="1" applyAlignment="1">
      <alignment horizontal="center" vertical="top"/>
    </xf>
    <xf numFmtId="0" fontId="20" fillId="2" borderId="6" xfId="0" applyFont="1" applyFill="1" applyBorder="1" applyAlignment="1">
      <alignment horizontal="left" vertical="top" wrapText="1"/>
    </xf>
    <xf numFmtId="9" fontId="21" fillId="2" borderId="6" xfId="1" applyFont="1" applyFill="1" applyBorder="1" applyAlignment="1">
      <alignment horizontal="center" vertical="top"/>
    </xf>
    <xf numFmtId="0" fontId="20" fillId="2" borderId="4" xfId="0" applyFont="1" applyFill="1" applyBorder="1" applyAlignment="1">
      <alignment horizontal="left" vertical="top" wrapText="1"/>
    </xf>
    <xf numFmtId="9" fontId="21" fillId="2" borderId="4" xfId="1" applyFont="1" applyFill="1" applyBorder="1" applyAlignment="1">
      <alignment horizontal="center" vertical="top"/>
    </xf>
    <xf numFmtId="0" fontId="20" fillId="2" borderId="18" xfId="0" applyFont="1" applyFill="1" applyBorder="1" applyAlignment="1">
      <alignment horizontal="left" vertical="top" wrapText="1"/>
    </xf>
    <xf numFmtId="9" fontId="21" fillId="2" borderId="18" xfId="1" applyFont="1" applyFill="1" applyBorder="1" applyAlignment="1">
      <alignment horizontal="center" vertical="top"/>
    </xf>
    <xf numFmtId="165" fontId="20" fillId="2" borderId="3" xfId="0" applyNumberFormat="1" applyFont="1" applyFill="1" applyBorder="1" applyAlignment="1">
      <alignment vertical="top"/>
    </xf>
    <xf numFmtId="165" fontId="20" fillId="2" borderId="6" xfId="0" applyNumberFormat="1" applyFont="1" applyFill="1" applyBorder="1" applyAlignment="1">
      <alignment vertical="top"/>
    </xf>
    <xf numFmtId="0" fontId="18" fillId="4" borderId="3" xfId="0" applyFont="1" applyFill="1" applyBorder="1" applyAlignment="1">
      <alignment vertical="top"/>
    </xf>
    <xf numFmtId="0" fontId="18" fillId="4" borderId="3" xfId="0" applyFont="1" applyFill="1" applyBorder="1" applyAlignment="1">
      <alignment horizontal="left" vertical="top"/>
    </xf>
    <xf numFmtId="164" fontId="18" fillId="4" borderId="3" xfId="0" applyNumberFormat="1" applyFont="1" applyFill="1" applyBorder="1" applyAlignment="1">
      <alignment vertical="top"/>
    </xf>
    <xf numFmtId="0" fontId="20" fillId="4" borderId="3" xfId="0" applyFont="1" applyFill="1" applyBorder="1" applyAlignment="1">
      <alignment horizontal="center" vertical="top"/>
    </xf>
    <xf numFmtId="0" fontId="20" fillId="2" borderId="3" xfId="0" applyFont="1" applyFill="1" applyBorder="1" applyAlignment="1">
      <alignment horizontal="center" vertical="top" wrapText="1"/>
    </xf>
    <xf numFmtId="164" fontId="18" fillId="2" borderId="3" xfId="0" applyNumberFormat="1" applyFont="1" applyFill="1" applyBorder="1" applyAlignment="1">
      <alignment vertical="top"/>
    </xf>
    <xf numFmtId="0" fontId="23" fillId="4" borderId="18" xfId="0" applyFont="1" applyFill="1" applyBorder="1" applyAlignment="1">
      <alignment horizontal="center" vertical="top" wrapText="1"/>
    </xf>
    <xf numFmtId="164" fontId="23" fillId="4" borderId="18" xfId="0" applyNumberFormat="1" applyFont="1" applyFill="1" applyBorder="1" applyAlignment="1">
      <alignment horizontal="center" vertical="top" wrapText="1"/>
    </xf>
    <xf numFmtId="0" fontId="20" fillId="2" borderId="34" xfId="0" applyFont="1" applyFill="1" applyBorder="1" applyAlignment="1">
      <alignment vertical="top"/>
    </xf>
    <xf numFmtId="0" fontId="20" fillId="2" borderId="5" xfId="0" applyFont="1" applyFill="1" applyBorder="1" applyAlignment="1">
      <alignment horizontal="center" vertical="top"/>
    </xf>
    <xf numFmtId="0" fontId="20" fillId="2" borderId="8" xfId="0" applyFont="1" applyFill="1" applyBorder="1" applyAlignment="1">
      <alignment horizontal="center" vertical="top"/>
    </xf>
    <xf numFmtId="0" fontId="20" fillId="0" borderId="8" xfId="0" applyFont="1" applyBorder="1" applyAlignment="1">
      <alignment horizontal="center" vertical="top"/>
    </xf>
    <xf numFmtId="0" fontId="20" fillId="2" borderId="17" xfId="0" applyFont="1" applyFill="1" applyBorder="1" applyAlignment="1">
      <alignment horizontal="center" vertical="top"/>
    </xf>
    <xf numFmtId="0" fontId="20" fillId="2" borderId="10" xfId="0" applyFont="1" applyFill="1" applyBorder="1" applyAlignment="1">
      <alignment horizontal="center" vertical="top"/>
    </xf>
    <xf numFmtId="0" fontId="20" fillId="2" borderId="1" xfId="0" applyFont="1" applyFill="1" applyBorder="1" applyAlignment="1">
      <alignment horizontal="center" vertical="top"/>
    </xf>
    <xf numFmtId="0" fontId="20" fillId="0" borderId="16" xfId="0" applyFont="1" applyBorder="1" applyAlignment="1">
      <alignment horizontal="center" vertical="top"/>
    </xf>
    <xf numFmtId="0" fontId="20" fillId="0" borderId="14" xfId="0" applyFont="1" applyBorder="1" applyAlignment="1">
      <alignment horizontal="center" vertical="top"/>
    </xf>
    <xf numFmtId="0" fontId="20" fillId="0" borderId="23" xfId="0" applyFont="1" applyBorder="1" applyAlignment="1">
      <alignment horizontal="center" vertical="top"/>
    </xf>
    <xf numFmtId="0" fontId="20" fillId="4" borderId="8" xfId="0" applyFont="1" applyFill="1" applyBorder="1" applyAlignment="1">
      <alignment horizontal="center" vertical="top"/>
    </xf>
    <xf numFmtId="0" fontId="24" fillId="0" borderId="8" xfId="0" applyFont="1" applyBorder="1" applyAlignment="1">
      <alignment horizontal="center" vertical="top"/>
    </xf>
    <xf numFmtId="0" fontId="25" fillId="0" borderId="3" xfId="0" applyFont="1" applyBorder="1" applyAlignment="1">
      <alignment vertical="top"/>
    </xf>
    <xf numFmtId="0" fontId="25" fillId="0" borderId="3" xfId="0" applyFont="1" applyBorder="1" applyAlignment="1">
      <alignment horizontal="left" vertical="top"/>
    </xf>
    <xf numFmtId="0" fontId="24" fillId="0" borderId="16" xfId="0" applyFont="1" applyBorder="1" applyAlignment="1">
      <alignment horizontal="center" vertical="top"/>
    </xf>
    <xf numFmtId="0" fontId="25" fillId="0" borderId="4" xfId="0" applyFont="1" applyBorder="1" applyAlignment="1">
      <alignment vertical="top"/>
    </xf>
    <xf numFmtId="0" fontId="24" fillId="2" borderId="17" xfId="0" applyFont="1" applyFill="1" applyBorder="1" applyAlignment="1">
      <alignment horizontal="center" vertical="top"/>
    </xf>
    <xf numFmtId="0" fontId="24" fillId="2" borderId="18" xfId="0" applyFont="1" applyFill="1" applyBorder="1" applyAlignment="1">
      <alignment vertical="top"/>
    </xf>
    <xf numFmtId="0" fontId="24" fillId="2" borderId="18" xfId="0" applyFont="1" applyFill="1" applyBorder="1" applyAlignment="1">
      <alignment horizontal="left" vertical="top"/>
    </xf>
    <xf numFmtId="0" fontId="24" fillId="0" borderId="14" xfId="0" applyFont="1" applyBorder="1" applyAlignment="1">
      <alignment horizontal="center" vertical="top"/>
    </xf>
    <xf numFmtId="0" fontId="25" fillId="0" borderId="2" xfId="0" applyFont="1" applyBorder="1" applyAlignment="1">
      <alignment vertical="top"/>
    </xf>
    <xf numFmtId="0" fontId="25" fillId="0" borderId="2" xfId="0" applyFont="1" applyBorder="1" applyAlignment="1">
      <alignment horizontal="left" vertical="top"/>
    </xf>
    <xf numFmtId="0" fontId="20" fillId="2" borderId="16" xfId="0" applyFont="1" applyFill="1" applyBorder="1" applyAlignment="1">
      <alignment horizontal="center" vertical="top"/>
    </xf>
    <xf numFmtId="164" fontId="18" fillId="0" borderId="0" xfId="0" applyNumberFormat="1" applyFont="1" applyAlignment="1">
      <alignment horizontal="center" vertical="top"/>
    </xf>
    <xf numFmtId="0" fontId="18" fillId="0" borderId="2" xfId="0" applyFont="1" applyBorder="1" applyAlignment="1">
      <alignment horizontal="center" vertical="top"/>
    </xf>
    <xf numFmtId="0" fontId="18" fillId="0" borderId="21" xfId="0" applyFont="1" applyBorder="1" applyAlignment="1">
      <alignment horizontal="center" vertical="top"/>
    </xf>
    <xf numFmtId="0" fontId="24" fillId="2" borderId="18" xfId="0" applyFont="1" applyFill="1" applyBorder="1" applyAlignment="1">
      <alignment horizontal="center" vertical="top"/>
    </xf>
    <xf numFmtId="0" fontId="25" fillId="0" borderId="2" xfId="0" applyFont="1" applyBorder="1" applyAlignment="1">
      <alignment horizontal="center" vertical="top"/>
    </xf>
    <xf numFmtId="0" fontId="18" fillId="0" borderId="4" xfId="0" applyFont="1" applyBorder="1" applyAlignment="1">
      <alignment horizontal="center" vertical="top"/>
    </xf>
    <xf numFmtId="0" fontId="18" fillId="4" borderId="3" xfId="0" applyFont="1" applyFill="1" applyBorder="1" applyAlignment="1">
      <alignment horizontal="center" vertical="top"/>
    </xf>
    <xf numFmtId="164" fontId="18" fillId="0" borderId="0" xfId="0" applyNumberFormat="1" applyFont="1" applyAlignment="1">
      <alignment horizontal="right" vertical="top"/>
    </xf>
    <xf numFmtId="164" fontId="20" fillId="2" borderId="6" xfId="0" applyNumberFormat="1" applyFont="1" applyFill="1" applyBorder="1" applyAlignment="1">
      <alignment horizontal="right" vertical="top" wrapText="1"/>
    </xf>
    <xf numFmtId="164" fontId="20" fillId="2" borderId="3" xfId="0" applyNumberFormat="1" applyFont="1" applyFill="1" applyBorder="1" applyAlignment="1">
      <alignment horizontal="right" vertical="top" wrapText="1"/>
    </xf>
    <xf numFmtId="164" fontId="18" fillId="0" borderId="3" xfId="0" applyNumberFormat="1" applyFont="1" applyBorder="1" applyAlignment="1">
      <alignment horizontal="right" vertical="top"/>
    </xf>
    <xf numFmtId="164" fontId="20" fillId="2" borderId="18" xfId="0" applyNumberFormat="1" applyFont="1" applyFill="1" applyBorder="1" applyAlignment="1">
      <alignment horizontal="right" vertical="top"/>
    </xf>
    <xf numFmtId="164" fontId="18" fillId="0" borderId="2" xfId="0" applyNumberFormat="1" applyFont="1" applyBorder="1" applyAlignment="1">
      <alignment horizontal="right" vertical="top"/>
    </xf>
    <xf numFmtId="164" fontId="18" fillId="0" borderId="21" xfId="0" applyNumberFormat="1" applyFont="1" applyBorder="1" applyAlignment="1">
      <alignment horizontal="right" vertical="top"/>
    </xf>
    <xf numFmtId="164" fontId="20" fillId="2" borderId="6" xfId="0" applyNumberFormat="1" applyFont="1" applyFill="1" applyBorder="1" applyAlignment="1">
      <alignment horizontal="right" vertical="top"/>
    </xf>
    <xf numFmtId="164" fontId="20" fillId="2" borderId="3" xfId="0" applyNumberFormat="1" applyFont="1" applyFill="1" applyBorder="1" applyAlignment="1">
      <alignment horizontal="right" vertical="top"/>
    </xf>
    <xf numFmtId="164" fontId="20" fillId="2" borderId="11" xfId="0" applyNumberFormat="1" applyFont="1" applyFill="1" applyBorder="1" applyAlignment="1">
      <alignment horizontal="right" vertical="top"/>
    </xf>
    <xf numFmtId="164" fontId="24" fillId="2" borderId="18" xfId="0" applyNumberFormat="1" applyFont="1" applyFill="1" applyBorder="1" applyAlignment="1">
      <alignment horizontal="right" vertical="top"/>
    </xf>
    <xf numFmtId="164" fontId="25" fillId="0" borderId="2" xfId="0" applyNumberFormat="1" applyFont="1" applyBorder="1" applyAlignment="1">
      <alignment horizontal="right" vertical="top"/>
    </xf>
    <xf numFmtId="164" fontId="18" fillId="0" borderId="4" xfId="0" applyNumberFormat="1" applyFont="1" applyBorder="1" applyAlignment="1">
      <alignment horizontal="right" vertical="top"/>
    </xf>
    <xf numFmtId="164" fontId="18" fillId="4" borderId="3" xfId="0" applyNumberFormat="1" applyFont="1" applyFill="1" applyBorder="1" applyAlignment="1">
      <alignment horizontal="right" vertical="top"/>
    </xf>
    <xf numFmtId="164" fontId="20" fillId="2" borderId="4" xfId="0" applyNumberFormat="1" applyFont="1" applyFill="1" applyBorder="1" applyAlignment="1">
      <alignment horizontal="right" vertical="top"/>
    </xf>
    <xf numFmtId="9" fontId="18" fillId="0" borderId="0" xfId="1" applyFont="1" applyAlignment="1">
      <alignment horizontal="center" vertical="top"/>
    </xf>
    <xf numFmtId="9" fontId="20" fillId="2" borderId="6" xfId="1" applyFont="1" applyFill="1" applyBorder="1" applyAlignment="1">
      <alignment horizontal="center" vertical="top" wrapText="1"/>
    </xf>
    <xf numFmtId="9" fontId="20" fillId="2" borderId="3" xfId="1" applyFont="1" applyFill="1" applyBorder="1" applyAlignment="1">
      <alignment horizontal="center" vertical="top" wrapText="1"/>
    </xf>
    <xf numFmtId="9" fontId="18" fillId="0" borderId="3" xfId="1" applyFont="1" applyFill="1" applyBorder="1" applyAlignment="1">
      <alignment horizontal="center" vertical="top"/>
    </xf>
    <xf numFmtId="9" fontId="20" fillId="2" borderId="18" xfId="1" applyFont="1" applyFill="1" applyBorder="1" applyAlignment="1">
      <alignment horizontal="center" vertical="top"/>
    </xf>
    <xf numFmtId="9" fontId="18" fillId="0" borderId="2" xfId="1" applyFont="1" applyBorder="1" applyAlignment="1">
      <alignment horizontal="center" vertical="top"/>
    </xf>
    <xf numFmtId="9" fontId="18" fillId="0" borderId="21" xfId="1" applyFont="1" applyBorder="1" applyAlignment="1">
      <alignment horizontal="center" vertical="top"/>
    </xf>
    <xf numFmtId="9" fontId="20" fillId="2" borderId="6" xfId="1" applyFont="1" applyFill="1" applyBorder="1" applyAlignment="1">
      <alignment horizontal="center" vertical="top"/>
    </xf>
    <xf numFmtId="9" fontId="20" fillId="2" borderId="3" xfId="1" applyFont="1" applyFill="1" applyBorder="1" applyAlignment="1">
      <alignment horizontal="center" vertical="top"/>
    </xf>
    <xf numFmtId="9" fontId="20" fillId="2" borderId="11" xfId="1" applyFont="1" applyFill="1" applyBorder="1" applyAlignment="1">
      <alignment horizontal="center" vertical="top"/>
    </xf>
    <xf numFmtId="9" fontId="18" fillId="0" borderId="3" xfId="1" applyFont="1" applyBorder="1" applyAlignment="1">
      <alignment horizontal="center" vertical="top"/>
    </xf>
    <xf numFmtId="9" fontId="24" fillId="2" borderId="18" xfId="1" applyFont="1" applyFill="1" applyBorder="1" applyAlignment="1">
      <alignment horizontal="center" vertical="top"/>
    </xf>
    <xf numFmtId="9" fontId="25" fillId="0" borderId="2" xfId="1" applyFont="1" applyBorder="1" applyAlignment="1">
      <alignment horizontal="center" vertical="top"/>
    </xf>
    <xf numFmtId="9" fontId="18" fillId="0" borderId="4" xfId="1" applyFont="1" applyBorder="1" applyAlignment="1">
      <alignment horizontal="center" vertical="top"/>
    </xf>
    <xf numFmtId="9" fontId="18" fillId="4" borderId="3" xfId="1" applyFont="1" applyFill="1" applyBorder="1" applyAlignment="1">
      <alignment horizontal="center" vertical="top"/>
    </xf>
    <xf numFmtId="9" fontId="20" fillId="2" borderId="4" xfId="1" applyFont="1" applyFill="1" applyBorder="1" applyAlignment="1">
      <alignment horizontal="center" vertical="top"/>
    </xf>
    <xf numFmtId="164" fontId="18" fillId="0" borderId="3" xfId="0" applyNumberFormat="1" applyFont="1" applyBorder="1" applyAlignment="1">
      <alignment horizontal="left" vertical="top"/>
    </xf>
    <xf numFmtId="164" fontId="18" fillId="0" borderId="3" xfId="0" applyNumberFormat="1" applyFont="1" applyBorder="1" applyAlignment="1">
      <alignment horizontal="center" vertical="top"/>
    </xf>
    <xf numFmtId="164" fontId="18" fillId="0" borderId="0" xfId="1" applyNumberFormat="1" applyFont="1" applyAlignment="1">
      <alignment horizontal="center" vertical="top"/>
    </xf>
    <xf numFmtId="164" fontId="18" fillId="2" borderId="3" xfId="0" applyNumberFormat="1" applyFont="1" applyFill="1" applyBorder="1" applyAlignment="1">
      <alignment horizontal="right" vertical="top"/>
    </xf>
    <xf numFmtId="0" fontId="20" fillId="4" borderId="3" xfId="0" applyFont="1" applyFill="1" applyBorder="1" applyAlignment="1">
      <alignment horizontal="center" vertical="top" wrapText="1"/>
    </xf>
    <xf numFmtId="0" fontId="20" fillId="4" borderId="3" xfId="0" applyFont="1" applyFill="1" applyBorder="1" applyAlignment="1">
      <alignment horizontal="left" vertical="top" wrapText="1"/>
    </xf>
    <xf numFmtId="164" fontId="20" fillId="4" borderId="3" xfId="0" applyNumberFormat="1" applyFont="1" applyFill="1" applyBorder="1" applyAlignment="1">
      <alignment horizontal="right" vertical="top" wrapText="1"/>
    </xf>
    <xf numFmtId="9" fontId="20" fillId="4" borderId="3" xfId="1" applyFont="1" applyFill="1" applyBorder="1" applyAlignment="1">
      <alignment horizontal="center" vertical="top" wrapText="1"/>
    </xf>
    <xf numFmtId="164" fontId="20" fillId="4" borderId="3" xfId="0" applyNumberFormat="1" applyFont="1" applyFill="1" applyBorder="1" applyAlignment="1">
      <alignment horizontal="center" vertical="top" wrapText="1"/>
    </xf>
    <xf numFmtId="164" fontId="18" fillId="2" borderId="3" xfId="0" applyNumberFormat="1" applyFont="1" applyFill="1" applyBorder="1" applyAlignment="1">
      <alignment horizontal="center" vertical="top"/>
    </xf>
    <xf numFmtId="9" fontId="18" fillId="2" borderId="3" xfId="1" applyFont="1" applyFill="1" applyBorder="1" applyAlignment="1">
      <alignment horizontal="center" vertical="top"/>
    </xf>
    <xf numFmtId="0" fontId="18" fillId="2" borderId="3" xfId="0" applyFont="1" applyFill="1" applyBorder="1" applyAlignment="1">
      <alignment horizontal="center" vertical="top"/>
    </xf>
    <xf numFmtId="164" fontId="18" fillId="2" borderId="4" xfId="0" applyNumberFormat="1" applyFont="1" applyFill="1" applyBorder="1" applyAlignment="1">
      <alignment horizontal="center" vertical="top"/>
    </xf>
    <xf numFmtId="164" fontId="18" fillId="2" borderId="4" xfId="0" applyNumberFormat="1" applyFont="1" applyFill="1" applyBorder="1" applyAlignment="1">
      <alignment horizontal="right" vertical="top"/>
    </xf>
    <xf numFmtId="9" fontId="18" fillId="2" borderId="4" xfId="1" applyFont="1" applyFill="1" applyBorder="1" applyAlignment="1">
      <alignment horizontal="center" vertical="top"/>
    </xf>
    <xf numFmtId="164" fontId="18" fillId="2" borderId="4" xfId="0" applyNumberFormat="1" applyFont="1" applyFill="1" applyBorder="1" applyAlignment="1">
      <alignment vertical="top"/>
    </xf>
    <xf numFmtId="164" fontId="18" fillId="0" borderId="2" xfId="0" applyNumberFormat="1" applyFont="1" applyBorder="1" applyAlignment="1">
      <alignment horizontal="left" vertical="top"/>
    </xf>
    <xf numFmtId="164" fontId="18" fillId="0" borderId="2" xfId="0" applyNumberFormat="1" applyFont="1" applyBorder="1" applyAlignment="1">
      <alignment horizontal="center" vertical="top"/>
    </xf>
    <xf numFmtId="164" fontId="20" fillId="2" borderId="4" xfId="0" applyNumberFormat="1" applyFont="1" applyFill="1" applyBorder="1" applyAlignment="1">
      <alignment vertical="top"/>
    </xf>
    <xf numFmtId="0" fontId="18" fillId="0" borderId="3" xfId="0" applyFont="1" applyBorder="1" applyAlignment="1">
      <alignment horizontal="left" vertical="top" wrapText="1"/>
    </xf>
    <xf numFmtId="0" fontId="18" fillId="0" borderId="4" xfId="0" applyFont="1" applyBorder="1" applyAlignment="1">
      <alignment horizontal="left" vertical="top" wrapText="1"/>
    </xf>
    <xf numFmtId="164" fontId="20" fillId="2" borderId="18" xfId="0" applyNumberFormat="1" applyFont="1" applyFill="1" applyBorder="1" applyAlignment="1">
      <alignment horizontal="left" vertical="top"/>
    </xf>
    <xf numFmtId="164" fontId="20" fillId="2" borderId="18" xfId="0" applyNumberFormat="1" applyFont="1" applyFill="1" applyBorder="1" applyAlignment="1">
      <alignment horizontal="center" vertical="top"/>
    </xf>
    <xf numFmtId="164" fontId="18" fillId="0" borderId="21" xfId="0" applyNumberFormat="1" applyFont="1" applyBorder="1" applyAlignment="1">
      <alignment horizontal="left" vertical="top"/>
    </xf>
    <xf numFmtId="164" fontId="18" fillId="0" borderId="21" xfId="0" applyNumberFormat="1" applyFont="1" applyBorder="1" applyAlignment="1">
      <alignment horizontal="center" vertical="top"/>
    </xf>
    <xf numFmtId="0" fontId="18" fillId="0" borderId="3" xfId="0" applyFont="1" applyBorder="1" applyAlignment="1">
      <alignment vertical="top" wrapText="1"/>
    </xf>
    <xf numFmtId="0" fontId="18" fillId="0" borderId="4" xfId="0" applyFont="1" applyBorder="1" applyAlignment="1">
      <alignment vertical="top" wrapText="1"/>
    </xf>
    <xf numFmtId="0" fontId="26" fillId="4" borderId="0" xfId="0" applyFont="1" applyFill="1" applyAlignment="1">
      <alignment vertical="top"/>
    </xf>
    <xf numFmtId="0" fontId="23" fillId="4" borderId="0" xfId="0" applyFont="1" applyFill="1" applyAlignment="1">
      <alignment horizontal="center" vertical="top" wrapText="1"/>
    </xf>
    <xf numFmtId="0" fontId="18" fillId="0" borderId="0" xfId="0" applyFont="1" applyAlignment="1">
      <alignment horizontal="left" vertical="top" wrapText="1"/>
    </xf>
    <xf numFmtId="164" fontId="18" fillId="0" borderId="0" xfId="0" applyNumberFormat="1" applyFont="1" applyAlignment="1">
      <alignment vertical="top" wrapText="1"/>
    </xf>
    <xf numFmtId="0" fontId="20" fillId="0" borderId="37" xfId="0" applyFont="1" applyBorder="1" applyAlignment="1">
      <alignment horizontal="left" vertical="top" indent="2"/>
    </xf>
    <xf numFmtId="164" fontId="20" fillId="0" borderId="38" xfId="0" applyNumberFormat="1" applyFont="1" applyBorder="1" applyAlignment="1">
      <alignment vertical="top" wrapText="1"/>
    </xf>
    <xf numFmtId="164" fontId="20" fillId="0" borderId="39" xfId="0" applyNumberFormat="1" applyFont="1" applyBorder="1" applyAlignment="1">
      <alignment vertical="top" wrapText="1"/>
    </xf>
    <xf numFmtId="0" fontId="23" fillId="4" borderId="37" xfId="0" applyFont="1" applyFill="1" applyBorder="1" applyAlignment="1">
      <alignment horizontal="left" vertical="top" indent="5"/>
    </xf>
    <xf numFmtId="0" fontId="23" fillId="4" borderId="38" xfId="0" applyFont="1" applyFill="1" applyBorder="1" applyAlignment="1">
      <alignment horizontal="left" vertical="top" wrapText="1"/>
    </xf>
    <xf numFmtId="164" fontId="23" fillId="4" borderId="38" xfId="0" applyNumberFormat="1" applyFont="1" applyFill="1" applyBorder="1" applyAlignment="1">
      <alignment vertical="top" wrapText="1"/>
    </xf>
    <xf numFmtId="164" fontId="23" fillId="4" borderId="39" xfId="0" applyNumberFormat="1" applyFont="1" applyFill="1" applyBorder="1" applyAlignment="1">
      <alignment vertical="top" wrapText="1"/>
    </xf>
    <xf numFmtId="0" fontId="18" fillId="0" borderId="0" xfId="0" pivotButton="1" applyFont="1" applyAlignment="1">
      <alignment vertical="top"/>
    </xf>
    <xf numFmtId="0" fontId="18" fillId="0" borderId="0" xfId="0" applyFont="1"/>
    <xf numFmtId="0" fontId="23" fillId="4" borderId="0" xfId="0" applyFont="1" applyFill="1" applyAlignment="1">
      <alignment horizontal="left" vertical="top" indent="2"/>
    </xf>
    <xf numFmtId="0" fontId="26" fillId="4" borderId="26" xfId="0" applyFont="1" applyFill="1" applyBorder="1" applyAlignment="1">
      <alignment vertical="top"/>
    </xf>
    <xf numFmtId="0" fontId="23" fillId="4" borderId="26" xfId="0" applyFont="1" applyFill="1" applyBorder="1" applyAlignment="1">
      <alignment horizontal="center" vertical="top" wrapText="1"/>
    </xf>
    <xf numFmtId="0" fontId="23" fillId="4" borderId="27" xfId="0" applyFont="1" applyFill="1" applyBorder="1" applyAlignment="1">
      <alignment horizontal="center" vertical="top" wrapText="1"/>
    </xf>
    <xf numFmtId="0" fontId="23" fillId="4" borderId="29" xfId="0" applyFont="1" applyFill="1" applyBorder="1" applyAlignment="1">
      <alignment horizontal="center" vertical="top" wrapText="1"/>
    </xf>
    <xf numFmtId="0" fontId="26" fillId="4" borderId="31" xfId="0" applyFont="1" applyFill="1" applyBorder="1" applyAlignment="1">
      <alignment vertical="top"/>
    </xf>
    <xf numFmtId="0" fontId="23" fillId="4" borderId="31" xfId="0" applyFont="1" applyFill="1" applyBorder="1" applyAlignment="1">
      <alignment horizontal="center" vertical="top" wrapText="1"/>
    </xf>
    <xf numFmtId="0" fontId="23" fillId="4" borderId="32" xfId="0" applyFont="1" applyFill="1" applyBorder="1" applyAlignment="1">
      <alignment horizontal="center" vertical="top" wrapText="1"/>
    </xf>
    <xf numFmtId="0" fontId="18" fillId="0" borderId="25" xfId="0" applyFont="1" applyBorder="1" applyAlignment="1">
      <alignment vertical="top"/>
    </xf>
    <xf numFmtId="0" fontId="20" fillId="0" borderId="26" xfId="0" applyFont="1" applyBorder="1" applyAlignment="1">
      <alignment horizontal="center" vertical="top" wrapText="1"/>
    </xf>
    <xf numFmtId="0" fontId="18" fillId="0" borderId="27" xfId="0" applyFont="1" applyBorder="1" applyAlignment="1">
      <alignment vertical="top"/>
    </xf>
    <xf numFmtId="0" fontId="18" fillId="0" borderId="28" xfId="0" applyFont="1" applyBorder="1" applyAlignment="1">
      <alignment horizontal="left" vertical="top" indent="1"/>
    </xf>
    <xf numFmtId="164" fontId="18" fillId="0" borderId="29" xfId="0" applyNumberFormat="1" applyFont="1" applyBorder="1" applyAlignment="1">
      <alignment vertical="top" wrapText="1"/>
    </xf>
    <xf numFmtId="164" fontId="18" fillId="0" borderId="29" xfId="0" applyNumberFormat="1" applyFont="1" applyBorder="1" applyAlignment="1">
      <alignment vertical="top"/>
    </xf>
    <xf numFmtId="0" fontId="18" fillId="0" borderId="28" xfId="0" quotePrefix="1" applyFont="1" applyBorder="1" applyAlignment="1">
      <alignment horizontal="left" vertical="top" indent="1"/>
    </xf>
    <xf numFmtId="0" fontId="18" fillId="0" borderId="0" xfId="0" applyFont="1" applyAlignment="1">
      <alignment vertical="top" wrapText="1"/>
    </xf>
    <xf numFmtId="0" fontId="18" fillId="0" borderId="40" xfId="0" applyFont="1" applyBorder="1" applyAlignment="1">
      <alignment vertical="top"/>
    </xf>
    <xf numFmtId="0" fontId="20" fillId="0" borderId="41" xfId="0" applyFont="1" applyBorder="1" applyAlignment="1">
      <alignment horizontal="center" vertical="top"/>
    </xf>
    <xf numFmtId="0" fontId="18" fillId="4" borderId="40" xfId="0" applyFont="1" applyFill="1" applyBorder="1" applyAlignment="1">
      <alignment vertical="top"/>
    </xf>
    <xf numFmtId="0" fontId="18" fillId="4" borderId="4" xfId="0" applyFont="1" applyFill="1" applyBorder="1" applyAlignment="1">
      <alignment vertical="top"/>
    </xf>
    <xf numFmtId="164" fontId="18" fillId="4" borderId="3" xfId="0" applyNumberFormat="1" applyFont="1" applyFill="1" applyBorder="1" applyAlignment="1">
      <alignment horizontal="left" vertical="top"/>
    </xf>
    <xf numFmtId="164" fontId="18" fillId="4" borderId="3" xfId="0" applyNumberFormat="1" applyFont="1" applyFill="1" applyBorder="1" applyAlignment="1">
      <alignment horizontal="center" vertical="top"/>
    </xf>
    <xf numFmtId="0" fontId="20" fillId="4" borderId="41" xfId="0" applyFont="1" applyFill="1" applyBorder="1" applyAlignment="1">
      <alignment horizontal="center" vertical="top"/>
    </xf>
    <xf numFmtId="164" fontId="18" fillId="0" borderId="32" xfId="0" applyNumberFormat="1" applyFont="1" applyBorder="1" applyAlignment="1">
      <alignment vertical="top" wrapText="1"/>
    </xf>
    <xf numFmtId="0" fontId="20" fillId="0" borderId="22" xfId="0" applyFont="1" applyBorder="1" applyAlignment="1">
      <alignment horizontal="center" vertical="top"/>
    </xf>
    <xf numFmtId="0" fontId="24" fillId="4" borderId="8" xfId="0" applyFont="1" applyFill="1" applyBorder="1" applyAlignment="1">
      <alignment horizontal="center" vertical="top"/>
    </xf>
    <xf numFmtId="0" fontId="25" fillId="4" borderId="3" xfId="0" applyFont="1" applyFill="1" applyBorder="1" applyAlignment="1">
      <alignment vertical="top"/>
    </xf>
    <xf numFmtId="0" fontId="25" fillId="4" borderId="3" xfId="0" applyFont="1" applyFill="1" applyBorder="1" applyAlignment="1">
      <alignment horizontal="left" vertical="top"/>
    </xf>
    <xf numFmtId="164" fontId="25" fillId="4" borderId="3" xfId="0" applyNumberFormat="1" applyFont="1" applyFill="1" applyBorder="1" applyAlignment="1">
      <alignment horizontal="left" vertical="top"/>
    </xf>
    <xf numFmtId="164" fontId="25" fillId="4" borderId="3" xfId="0" applyNumberFormat="1" applyFont="1" applyFill="1" applyBorder="1" applyAlignment="1">
      <alignment horizontal="center" vertical="top"/>
    </xf>
    <xf numFmtId="164" fontId="25" fillId="4" borderId="3" xfId="0" applyNumberFormat="1" applyFont="1" applyFill="1" applyBorder="1" applyAlignment="1">
      <alignment horizontal="right" vertical="top"/>
    </xf>
    <xf numFmtId="9" fontId="25" fillId="4" borderId="3" xfId="1" applyFont="1" applyFill="1" applyBorder="1" applyAlignment="1">
      <alignment horizontal="center" vertical="top"/>
    </xf>
    <xf numFmtId="164" fontId="25" fillId="4" borderId="3" xfId="0" applyNumberFormat="1" applyFont="1" applyFill="1" applyBorder="1" applyAlignment="1">
      <alignment vertical="top"/>
    </xf>
    <xf numFmtId="0" fontId="24" fillId="4" borderId="3" xfId="0" applyFont="1" applyFill="1" applyBorder="1" applyAlignment="1">
      <alignment horizontal="center" vertical="top"/>
    </xf>
    <xf numFmtId="164" fontId="18" fillId="0" borderId="32" xfId="0" applyNumberFormat="1" applyFont="1" applyBorder="1" applyAlignment="1">
      <alignment vertical="top"/>
    </xf>
    <xf numFmtId="0" fontId="18" fillId="0" borderId="0" xfId="0" applyFont="1" applyAlignment="1">
      <alignment horizontal="left" vertical="top" indent="2"/>
    </xf>
    <xf numFmtId="0" fontId="18" fillId="0" borderId="0" xfId="0" applyFont="1" applyAlignment="1">
      <alignment horizontal="left" vertical="top" indent="4"/>
    </xf>
    <xf numFmtId="0" fontId="20" fillId="0" borderId="38" xfId="0" applyFont="1" applyBorder="1" applyAlignment="1">
      <alignment horizontal="left" vertical="top" wrapText="1" indent="1"/>
    </xf>
    <xf numFmtId="164" fontId="18" fillId="0" borderId="27" xfId="0" applyNumberFormat="1" applyFont="1" applyBorder="1" applyAlignment="1">
      <alignment vertical="top"/>
    </xf>
    <xf numFmtId="0" fontId="18" fillId="0" borderId="3" xfId="0" quotePrefix="1" applyFont="1" applyBorder="1" applyAlignment="1">
      <alignment horizontal="left" vertical="top"/>
    </xf>
    <xf numFmtId="0" fontId="20" fillId="0" borderId="0" xfId="0" applyFont="1" applyAlignment="1">
      <alignment horizontal="left" vertical="top" indent="1"/>
    </xf>
    <xf numFmtId="0" fontId="18" fillId="4" borderId="30" xfId="0" applyFont="1" applyFill="1" applyBorder="1" applyAlignment="1">
      <alignment vertical="top"/>
    </xf>
    <xf numFmtId="0" fontId="18" fillId="4" borderId="31" xfId="0" applyFont="1" applyFill="1" applyBorder="1" applyAlignment="1">
      <alignment vertical="top"/>
    </xf>
    <xf numFmtId="0" fontId="18" fillId="4" borderId="31" xfId="0" applyFont="1" applyFill="1" applyBorder="1" applyAlignment="1">
      <alignment horizontal="left" vertical="top" wrapText="1"/>
    </xf>
    <xf numFmtId="164" fontId="18" fillId="4" borderId="31" xfId="0" applyNumberFormat="1" applyFont="1" applyFill="1" applyBorder="1" applyAlignment="1">
      <alignment vertical="top" wrapText="1"/>
    </xf>
    <xf numFmtId="164" fontId="18" fillId="4" borderId="32" xfId="0" applyNumberFormat="1" applyFont="1" applyFill="1" applyBorder="1" applyAlignment="1">
      <alignment vertical="top"/>
    </xf>
    <xf numFmtId="0" fontId="18" fillId="0" borderId="0" xfId="0" applyFont="1" applyAlignment="1">
      <alignment horizontal="left" vertical="top" indent="3"/>
    </xf>
    <xf numFmtId="165" fontId="18" fillId="0" borderId="0" xfId="0" applyNumberFormat="1" applyFont="1" applyAlignment="1">
      <alignment vertical="top" wrapText="1"/>
    </xf>
    <xf numFmtId="0" fontId="18" fillId="0" borderId="0" xfId="0" applyFont="1" applyAlignment="1">
      <alignment horizontal="left" vertical="top"/>
    </xf>
    <xf numFmtId="165" fontId="18" fillId="0" borderId="29" xfId="0" applyNumberFormat="1" applyFont="1" applyBorder="1" applyAlignment="1">
      <alignment vertical="top" wrapText="1"/>
    </xf>
    <xf numFmtId="9" fontId="18" fillId="0" borderId="0" xfId="1" applyFont="1" applyBorder="1" applyAlignment="1">
      <alignment vertical="top" wrapText="1"/>
    </xf>
    <xf numFmtId="9" fontId="18" fillId="0" borderId="29" xfId="1" applyFont="1" applyBorder="1" applyAlignment="1">
      <alignment vertical="top" wrapText="1"/>
    </xf>
    <xf numFmtId="0" fontId="18" fillId="0" borderId="40" xfId="0" applyFont="1" applyBorder="1" applyAlignment="1">
      <alignment horizontal="center" vertical="top"/>
    </xf>
    <xf numFmtId="0" fontId="18" fillId="0" borderId="20" xfId="0" applyFont="1" applyBorder="1" applyAlignment="1">
      <alignment horizontal="center" vertical="top"/>
    </xf>
    <xf numFmtId="0" fontId="18" fillId="4" borderId="40" xfId="0" applyFont="1" applyFill="1" applyBorder="1" applyAlignment="1">
      <alignment horizontal="center" vertical="top"/>
    </xf>
    <xf numFmtId="0" fontId="25" fillId="4" borderId="3" xfId="0" applyFont="1" applyFill="1" applyBorder="1" applyAlignment="1">
      <alignment horizontal="center" vertical="top"/>
    </xf>
    <xf numFmtId="0" fontId="18" fillId="0" borderId="0" xfId="3" applyFont="1"/>
    <xf numFmtId="164" fontId="18" fillId="0" borderId="0" xfId="3" applyNumberFormat="1" applyFont="1"/>
    <xf numFmtId="0" fontId="23" fillId="4" borderId="49" xfId="0" applyFont="1" applyFill="1" applyBorder="1" applyAlignment="1">
      <alignment horizontal="center" vertical="top" wrapText="1"/>
    </xf>
    <xf numFmtId="0" fontId="23" fillId="4" borderId="50" xfId="0" applyFont="1" applyFill="1" applyBorder="1" applyAlignment="1">
      <alignment horizontal="center" vertical="top" wrapText="1"/>
    </xf>
    <xf numFmtId="0" fontId="23" fillId="4" borderId="52" xfId="0" applyFont="1" applyFill="1" applyBorder="1" applyAlignment="1">
      <alignment horizontal="center" vertical="top" wrapText="1"/>
    </xf>
    <xf numFmtId="0" fontId="23" fillId="4" borderId="53" xfId="0" applyFont="1" applyFill="1" applyBorder="1" applyAlignment="1">
      <alignment horizontal="center" vertical="top" wrapText="1"/>
    </xf>
    <xf numFmtId="0" fontId="20" fillId="6" borderId="51" xfId="3" applyFont="1" applyFill="1" applyBorder="1" applyAlignment="1">
      <alignment horizontal="left" indent="1"/>
    </xf>
    <xf numFmtId="164" fontId="18" fillId="6" borderId="52" xfId="3" applyNumberFormat="1" applyFont="1" applyFill="1" applyBorder="1"/>
    <xf numFmtId="164" fontId="18" fillId="6" borderId="53" xfId="3" applyNumberFormat="1" applyFont="1" applyFill="1" applyBorder="1"/>
    <xf numFmtId="0" fontId="20" fillId="6" borderId="54" xfId="3" applyFont="1" applyFill="1" applyBorder="1" applyAlignment="1">
      <alignment horizontal="left" indent="1"/>
    </xf>
    <xf numFmtId="9" fontId="18" fillId="6" borderId="55" xfId="4" applyFont="1" applyFill="1" applyBorder="1"/>
    <xf numFmtId="9" fontId="18" fillId="6" borderId="56" xfId="4" applyFont="1" applyFill="1" applyBorder="1"/>
    <xf numFmtId="0" fontId="20" fillId="6" borderId="57" xfId="3" applyFont="1" applyFill="1" applyBorder="1" applyAlignment="1">
      <alignment horizontal="left" indent="1"/>
    </xf>
    <xf numFmtId="164" fontId="18" fillId="6" borderId="58" xfId="3" applyNumberFormat="1" applyFont="1" applyFill="1" applyBorder="1"/>
    <xf numFmtId="164" fontId="18" fillId="6" borderId="59" xfId="3" applyNumberFormat="1" applyFont="1" applyFill="1" applyBorder="1"/>
    <xf numFmtId="0" fontId="23" fillId="4" borderId="61" xfId="0" applyFont="1" applyFill="1" applyBorder="1" applyAlignment="1">
      <alignment horizontal="center" vertical="top" wrapText="1"/>
    </xf>
    <xf numFmtId="167" fontId="18" fillId="6" borderId="52" xfId="3" applyNumberFormat="1" applyFont="1" applyFill="1" applyBorder="1" applyAlignment="1">
      <alignment horizontal="center"/>
    </xf>
    <xf numFmtId="167" fontId="18" fillId="6" borderId="53" xfId="3" applyNumberFormat="1" applyFont="1" applyFill="1" applyBorder="1" applyAlignment="1">
      <alignment horizontal="center"/>
    </xf>
    <xf numFmtId="167" fontId="18" fillId="6" borderId="55" xfId="3" applyNumberFormat="1" applyFont="1" applyFill="1" applyBorder="1" applyAlignment="1">
      <alignment horizontal="center"/>
    </xf>
    <xf numFmtId="167" fontId="18" fillId="6" borderId="56" xfId="3" applyNumberFormat="1" applyFont="1" applyFill="1" applyBorder="1" applyAlignment="1">
      <alignment horizontal="center"/>
    </xf>
    <xf numFmtId="0" fontId="23" fillId="4" borderId="58" xfId="0" applyFont="1" applyFill="1" applyBorder="1" applyAlignment="1">
      <alignment horizontal="center" vertical="top" wrapText="1"/>
    </xf>
    <xf numFmtId="0" fontId="26" fillId="4" borderId="63" xfId="0" applyFont="1" applyFill="1" applyBorder="1" applyAlignment="1">
      <alignment vertical="top"/>
    </xf>
    <xf numFmtId="0" fontId="23" fillId="4" borderId="63" xfId="0" applyFont="1" applyFill="1" applyBorder="1" applyAlignment="1">
      <alignment horizontal="center" vertical="top" wrapText="1"/>
    </xf>
    <xf numFmtId="0" fontId="23" fillId="4" borderId="63" xfId="0" applyFont="1" applyFill="1" applyBorder="1" applyAlignment="1">
      <alignment horizontal="right" vertical="top"/>
    </xf>
    <xf numFmtId="0" fontId="23" fillId="4" borderId="58" xfId="0" applyFont="1" applyFill="1" applyBorder="1" applyAlignment="1">
      <alignment horizontal="center" wrapText="1"/>
    </xf>
    <xf numFmtId="0" fontId="18" fillId="4" borderId="42" xfId="0" applyFont="1" applyFill="1" applyBorder="1" applyAlignment="1">
      <alignment vertical="top"/>
    </xf>
    <xf numFmtId="0" fontId="18" fillId="4" borderId="43" xfId="0" applyFont="1" applyFill="1" applyBorder="1" applyAlignment="1">
      <alignment vertical="top"/>
    </xf>
    <xf numFmtId="0" fontId="18" fillId="4" borderId="69" xfId="0" applyFont="1" applyFill="1" applyBorder="1" applyAlignment="1">
      <alignment vertical="top"/>
    </xf>
    <xf numFmtId="0" fontId="18" fillId="0" borderId="52" xfId="0" applyFont="1" applyBorder="1" applyAlignment="1">
      <alignment vertical="top"/>
    </xf>
    <xf numFmtId="0" fontId="18" fillId="0" borderId="73" xfId="0" applyFont="1" applyBorder="1" applyAlignment="1">
      <alignment vertical="top"/>
    </xf>
    <xf numFmtId="0" fontId="18" fillId="0" borderId="52" xfId="0" applyFont="1" applyBorder="1" applyAlignment="1">
      <alignment horizontal="center" vertical="top"/>
    </xf>
    <xf numFmtId="0" fontId="18" fillId="0" borderId="73" xfId="0" applyFont="1" applyBorder="1" applyAlignment="1">
      <alignment horizontal="center" vertical="top"/>
    </xf>
    <xf numFmtId="0" fontId="18" fillId="4" borderId="73" xfId="0" applyFont="1" applyFill="1" applyBorder="1" applyAlignment="1">
      <alignment vertical="top"/>
    </xf>
    <xf numFmtId="0" fontId="18" fillId="4" borderId="73" xfId="0" applyFont="1" applyFill="1" applyBorder="1" applyAlignment="1">
      <alignment horizontal="center" vertical="top"/>
    </xf>
    <xf numFmtId="3" fontId="18" fillId="0" borderId="52" xfId="0" applyNumberFormat="1" applyFont="1" applyBorder="1" applyAlignment="1">
      <alignment vertical="top"/>
    </xf>
    <xf numFmtId="3" fontId="18" fillId="2" borderId="52" xfId="0" applyNumberFormat="1" applyFont="1" applyFill="1" applyBorder="1" applyAlignment="1">
      <alignment vertical="top"/>
    </xf>
    <xf numFmtId="3" fontId="18" fillId="2" borderId="73" xfId="0" applyNumberFormat="1" applyFont="1" applyFill="1" applyBorder="1" applyAlignment="1">
      <alignment vertical="top"/>
    </xf>
    <xf numFmtId="3" fontId="18" fillId="4" borderId="73" xfId="0" applyNumberFormat="1" applyFont="1" applyFill="1" applyBorder="1" applyAlignment="1">
      <alignment vertical="top"/>
    </xf>
    <xf numFmtId="3" fontId="18" fillId="0" borderId="73" xfId="0" applyNumberFormat="1" applyFont="1" applyBorder="1" applyAlignment="1">
      <alignment vertical="top"/>
    </xf>
    <xf numFmtId="9" fontId="18" fillId="0" borderId="52" xfId="1" applyFont="1" applyBorder="1" applyAlignment="1">
      <alignment vertical="top"/>
    </xf>
    <xf numFmtId="9" fontId="18" fillId="2" borderId="52" xfId="1" applyFont="1" applyFill="1" applyBorder="1" applyAlignment="1">
      <alignment vertical="top"/>
    </xf>
    <xf numFmtId="9" fontId="18" fillId="2" borderId="73" xfId="1" applyFont="1" applyFill="1" applyBorder="1" applyAlignment="1">
      <alignment vertical="top"/>
    </xf>
    <xf numFmtId="9" fontId="18" fillId="4" borderId="73" xfId="1" applyFont="1" applyFill="1" applyBorder="1" applyAlignment="1">
      <alignment vertical="top"/>
    </xf>
    <xf numFmtId="9" fontId="18" fillId="0" borderId="73" xfId="1" applyFont="1" applyBorder="1" applyAlignment="1">
      <alignment vertical="top"/>
    </xf>
    <xf numFmtId="164" fontId="18" fillId="0" borderId="52" xfId="0" applyNumberFormat="1" applyFont="1" applyBorder="1" applyAlignment="1">
      <alignment vertical="top"/>
    </xf>
    <xf numFmtId="164" fontId="18" fillId="2" borderId="52" xfId="0" applyNumberFormat="1" applyFont="1" applyFill="1" applyBorder="1" applyAlignment="1">
      <alignment vertical="top"/>
    </xf>
    <xf numFmtId="164" fontId="18" fillId="2" borderId="73" xfId="0" applyNumberFormat="1" applyFont="1" applyFill="1" applyBorder="1" applyAlignment="1">
      <alignment vertical="top"/>
    </xf>
    <xf numFmtId="164" fontId="18" fillId="4" borderId="73" xfId="0" applyNumberFormat="1" applyFont="1" applyFill="1" applyBorder="1" applyAlignment="1">
      <alignment vertical="top"/>
    </xf>
    <xf numFmtId="164" fontId="18" fillId="0" borderId="73" xfId="0" applyNumberFormat="1" applyFont="1" applyBorder="1" applyAlignment="1">
      <alignment vertical="top"/>
    </xf>
    <xf numFmtId="164" fontId="18" fillId="0" borderId="61" xfId="0" applyNumberFormat="1" applyFont="1" applyBorder="1" applyAlignment="1">
      <alignment vertical="top"/>
    </xf>
    <xf numFmtId="164" fontId="18" fillId="4" borderId="52" xfId="0" applyNumberFormat="1" applyFont="1" applyFill="1" applyBorder="1" applyAlignment="1">
      <alignment vertical="top"/>
    </xf>
    <xf numFmtId="0" fontId="18" fillId="0" borderId="71" xfId="0" applyFont="1" applyBorder="1" applyAlignment="1">
      <alignment horizontal="center" vertical="top"/>
    </xf>
    <xf numFmtId="0" fontId="18" fillId="0" borderId="72" xfId="0" applyFont="1" applyBorder="1" applyAlignment="1">
      <alignment horizontal="center" vertical="top"/>
    </xf>
    <xf numFmtId="0" fontId="18" fillId="4" borderId="72" xfId="0" applyFont="1" applyFill="1" applyBorder="1" applyAlignment="1">
      <alignment horizontal="center" vertical="top"/>
    </xf>
    <xf numFmtId="0" fontId="18" fillId="0" borderId="62" xfId="0" pivotButton="1" applyFont="1" applyBorder="1" applyAlignment="1">
      <alignment vertical="top"/>
    </xf>
    <xf numFmtId="0" fontId="18" fillId="5" borderId="64" xfId="0" applyFont="1" applyFill="1" applyBorder="1" applyAlignment="1">
      <alignment horizontal="left" vertical="top"/>
    </xf>
    <xf numFmtId="0" fontId="18" fillId="0" borderId="64" xfId="0" applyFont="1" applyBorder="1" applyAlignment="1">
      <alignment vertical="top"/>
    </xf>
    <xf numFmtId="0" fontId="18" fillId="0" borderId="76" xfId="0" pivotButton="1" applyFont="1" applyBorder="1" applyAlignment="1">
      <alignment vertical="top"/>
    </xf>
    <xf numFmtId="0" fontId="18" fillId="0" borderId="62" xfId="0" applyFont="1" applyBorder="1" applyAlignment="1">
      <alignment vertical="top"/>
    </xf>
    <xf numFmtId="0" fontId="18" fillId="0" borderId="63" xfId="0" applyFont="1" applyBorder="1" applyAlignment="1">
      <alignment vertical="top"/>
    </xf>
    <xf numFmtId="0" fontId="18" fillId="0" borderId="78" xfId="0" applyFont="1" applyBorder="1" applyAlignment="1">
      <alignment vertical="top"/>
    </xf>
    <xf numFmtId="0" fontId="18" fillId="0" borderId="79" xfId="0" applyFont="1" applyBorder="1" applyAlignment="1">
      <alignment vertical="top"/>
    </xf>
    <xf numFmtId="0" fontId="23" fillId="4" borderId="70" xfId="0" applyFont="1" applyFill="1" applyBorder="1" applyAlignment="1">
      <alignment horizontal="center" vertical="top" wrapText="1"/>
    </xf>
    <xf numFmtId="0" fontId="18" fillId="0" borderId="51" xfId="0" applyFont="1" applyBorder="1" applyAlignment="1">
      <alignment horizontal="center" vertical="top"/>
    </xf>
    <xf numFmtId="0" fontId="14" fillId="9" borderId="0" xfId="3" applyFont="1" applyFill="1"/>
    <xf numFmtId="0" fontId="14" fillId="9" borderId="0" xfId="3" applyFont="1" applyFill="1" applyAlignment="1">
      <alignment vertical="top"/>
    </xf>
    <xf numFmtId="0" fontId="42" fillId="9" borderId="0" xfId="3" applyFont="1" applyFill="1" applyAlignment="1">
      <alignment horizontal="left" vertical="top"/>
    </xf>
    <xf numFmtId="0" fontId="14" fillId="10" borderId="0" xfId="3" applyFont="1" applyFill="1" applyAlignment="1">
      <alignment horizontal="left" vertical="top" indent="1"/>
    </xf>
    <xf numFmtId="0" fontId="14" fillId="0" borderId="0" xfId="3" applyFont="1" applyAlignment="1">
      <alignment horizontal="left" vertical="top" indent="1"/>
    </xf>
    <xf numFmtId="0" fontId="14" fillId="0" borderId="0" xfId="3" applyFont="1"/>
    <xf numFmtId="0" fontId="32" fillId="10" borderId="0" xfId="2" applyFont="1" applyFill="1" applyAlignment="1">
      <alignment horizontal="center" vertical="top"/>
    </xf>
    <xf numFmtId="0" fontId="18" fillId="9" borderId="0" xfId="0" applyFont="1" applyFill="1" applyAlignment="1">
      <alignment vertical="top" wrapText="1"/>
    </xf>
    <xf numFmtId="0" fontId="27" fillId="9" borderId="0" xfId="0" applyFont="1" applyFill="1" applyAlignment="1">
      <alignment horizontal="left" vertical="top" indent="1"/>
    </xf>
    <xf numFmtId="164" fontId="18" fillId="0" borderId="0" xfId="0" applyNumberFormat="1" applyFont="1" applyAlignment="1">
      <alignment horizontal="center" vertical="top" wrapText="1"/>
    </xf>
    <xf numFmtId="0" fontId="18" fillId="9" borderId="0" xfId="0" applyFont="1" applyFill="1" applyAlignment="1">
      <alignment vertical="top"/>
    </xf>
    <xf numFmtId="0" fontId="20" fillId="9" borderId="0" xfId="0" applyFont="1" applyFill="1" applyAlignment="1">
      <alignment horizontal="right" vertical="top"/>
    </xf>
    <xf numFmtId="0" fontId="20" fillId="9" borderId="0" xfId="0" applyFont="1" applyFill="1" applyAlignment="1">
      <alignment vertical="top"/>
    </xf>
    <xf numFmtId="0" fontId="18" fillId="9" borderId="0" xfId="0" applyFont="1" applyFill="1"/>
    <xf numFmtId="0" fontId="36" fillId="9" borderId="0" xfId="0" applyFont="1" applyFill="1" applyAlignment="1">
      <alignment horizontal="center"/>
    </xf>
    <xf numFmtId="0" fontId="20" fillId="9" borderId="1" xfId="0" applyFont="1" applyFill="1" applyBorder="1" applyAlignment="1">
      <alignment vertical="top"/>
    </xf>
    <xf numFmtId="0" fontId="27" fillId="9" borderId="0" xfId="0" applyFont="1" applyFill="1"/>
    <xf numFmtId="0" fontId="37" fillId="9" borderId="0" xfId="0" applyFont="1" applyFill="1" applyAlignment="1">
      <alignment horizontal="left" indent="1"/>
    </xf>
    <xf numFmtId="0" fontId="32" fillId="9" borderId="0" xfId="2" applyFont="1" applyFill="1" applyAlignment="1">
      <alignment horizontal="center" vertical="top"/>
    </xf>
    <xf numFmtId="0" fontId="20" fillId="9" borderId="0" xfId="0" applyFont="1" applyFill="1" applyAlignment="1">
      <alignment horizontal="center" vertical="top"/>
    </xf>
    <xf numFmtId="164" fontId="18" fillId="9" borderId="0" xfId="0" applyNumberFormat="1" applyFont="1" applyFill="1" applyAlignment="1">
      <alignment vertical="top"/>
    </xf>
    <xf numFmtId="164" fontId="18" fillId="9" borderId="0" xfId="0" applyNumberFormat="1" applyFont="1" applyFill="1" applyAlignment="1">
      <alignment horizontal="center" vertical="top"/>
    </xf>
    <xf numFmtId="164" fontId="18" fillId="9" borderId="0" xfId="0" applyNumberFormat="1" applyFont="1" applyFill="1" applyAlignment="1">
      <alignment horizontal="right" vertical="top"/>
    </xf>
    <xf numFmtId="9" fontId="18" fillId="9" borderId="0" xfId="1" applyFont="1" applyFill="1" applyAlignment="1">
      <alignment horizontal="center" vertical="top"/>
    </xf>
    <xf numFmtId="164" fontId="18" fillId="9" borderId="0" xfId="1" applyNumberFormat="1" applyFont="1" applyFill="1" applyAlignment="1">
      <alignment horizontal="center" vertical="top"/>
    </xf>
    <xf numFmtId="0" fontId="18" fillId="9" borderId="0" xfId="0" applyFont="1" applyFill="1" applyAlignment="1">
      <alignment horizontal="center" vertical="top"/>
    </xf>
    <xf numFmtId="0" fontId="18" fillId="9" borderId="0" xfId="0" applyFont="1" applyFill="1" applyAlignment="1">
      <alignment horizontal="left" vertical="top" wrapText="1"/>
    </xf>
    <xf numFmtId="164" fontId="18" fillId="9" borderId="0" xfId="0" applyNumberFormat="1" applyFont="1" applyFill="1" applyAlignment="1">
      <alignment vertical="top" wrapText="1"/>
    </xf>
    <xf numFmtId="0" fontId="20" fillId="9" borderId="0" xfId="0" applyFont="1" applyFill="1" applyAlignment="1">
      <alignment horizontal="center" vertical="top" wrapText="1"/>
    </xf>
    <xf numFmtId="0" fontId="0" fillId="9" borderId="0" xfId="0" applyFill="1"/>
    <xf numFmtId="0" fontId="18" fillId="9" borderId="44" xfId="0" applyFont="1" applyFill="1" applyBorder="1"/>
    <xf numFmtId="0" fontId="18" fillId="9" borderId="43" xfId="0" applyFont="1" applyFill="1" applyBorder="1"/>
    <xf numFmtId="0" fontId="23" fillId="9" borderId="43" xfId="0" applyFont="1" applyFill="1" applyBorder="1" applyAlignment="1">
      <alignment horizontal="right" vertical="top"/>
    </xf>
    <xf numFmtId="0" fontId="18" fillId="9" borderId="43" xfId="0" applyFont="1" applyFill="1" applyBorder="1" applyAlignment="1">
      <alignment vertical="top"/>
    </xf>
    <xf numFmtId="0" fontId="27" fillId="9" borderId="44" xfId="0" applyFont="1" applyFill="1" applyBorder="1"/>
    <xf numFmtId="0" fontId="18" fillId="9" borderId="44" xfId="0" applyFont="1" applyFill="1" applyBorder="1" applyAlignment="1">
      <alignment vertical="top"/>
    </xf>
    <xf numFmtId="0" fontId="23" fillId="9" borderId="44" xfId="0" applyFont="1" applyFill="1" applyBorder="1"/>
    <xf numFmtId="9" fontId="18" fillId="9" borderId="0" xfId="1" applyFont="1" applyFill="1" applyBorder="1"/>
    <xf numFmtId="164" fontId="18" fillId="9" borderId="0" xfId="3" applyNumberFormat="1" applyFont="1" applyFill="1"/>
    <xf numFmtId="0" fontId="20" fillId="9" borderId="62" xfId="3" applyFont="1" applyFill="1" applyBorder="1"/>
    <xf numFmtId="164" fontId="18" fillId="9" borderId="63" xfId="3" applyNumberFormat="1" applyFont="1" applyFill="1" applyBorder="1"/>
    <xf numFmtId="0" fontId="20" fillId="9" borderId="64" xfId="0" applyFont="1" applyFill="1" applyBorder="1" applyAlignment="1">
      <alignment horizontal="right" vertical="top"/>
    </xf>
    <xf numFmtId="0" fontId="18" fillId="9" borderId="44" xfId="3" applyFont="1" applyFill="1" applyBorder="1"/>
    <xf numFmtId="164" fontId="18" fillId="9" borderId="43" xfId="3" applyNumberFormat="1" applyFont="1" applyFill="1" applyBorder="1"/>
    <xf numFmtId="0" fontId="20" fillId="9" borderId="62" xfId="0" applyFont="1" applyFill="1" applyBorder="1"/>
    <xf numFmtId="0" fontId="18" fillId="9" borderId="45" xfId="3" applyFont="1" applyFill="1" applyBorder="1"/>
    <xf numFmtId="164" fontId="18" fillId="9" borderId="46" xfId="3" applyNumberFormat="1" applyFont="1" applyFill="1" applyBorder="1"/>
    <xf numFmtId="164" fontId="18" fillId="9" borderId="47" xfId="3" applyNumberFormat="1" applyFont="1" applyFill="1" applyBorder="1"/>
    <xf numFmtId="0" fontId="18" fillId="9" borderId="0" xfId="3" applyFont="1" applyFill="1"/>
    <xf numFmtId="0" fontId="47" fillId="9" borderId="0" xfId="3" applyFont="1" applyFill="1" applyAlignment="1">
      <alignment horizontal="center" vertical="top"/>
    </xf>
    <xf numFmtId="0" fontId="41" fillId="9" borderId="0" xfId="3" applyFont="1" applyFill="1" applyAlignment="1">
      <alignment horizontal="center"/>
    </xf>
    <xf numFmtId="0" fontId="49" fillId="9" borderId="0" xfId="2" applyFont="1" applyFill="1" applyAlignment="1">
      <alignment horizontal="center"/>
    </xf>
    <xf numFmtId="0" fontId="19" fillId="9" borderId="0" xfId="0" applyFont="1" applyFill="1" applyAlignment="1">
      <alignment horizontal="center" vertical="top"/>
    </xf>
    <xf numFmtId="0" fontId="18" fillId="5" borderId="0" xfId="0" applyFont="1" applyFill="1" applyAlignment="1">
      <alignment horizontal="center" vertical="top"/>
    </xf>
    <xf numFmtId="0" fontId="18" fillId="9" borderId="38" xfId="0" applyFont="1" applyFill="1" applyBorder="1" applyAlignment="1">
      <alignment vertical="top"/>
    </xf>
    <xf numFmtId="0" fontId="20" fillId="9" borderId="39" xfId="0" applyFont="1" applyFill="1" applyBorder="1" applyAlignment="1">
      <alignment horizontal="center" vertical="top"/>
    </xf>
    <xf numFmtId="0" fontId="27" fillId="9" borderId="0" xfId="0" applyFont="1" applyFill="1" applyAlignment="1">
      <alignment vertical="top"/>
    </xf>
    <xf numFmtId="0" fontId="36" fillId="9" borderId="0" xfId="0" applyFont="1" applyFill="1" applyAlignment="1">
      <alignment horizontal="center" vertical="top"/>
    </xf>
    <xf numFmtId="164" fontId="36" fillId="9" borderId="0" xfId="0" applyNumberFormat="1" applyFont="1" applyFill="1" applyAlignment="1">
      <alignment horizontal="center" vertical="top"/>
    </xf>
    <xf numFmtId="0" fontId="0" fillId="0" borderId="0" xfId="0" applyAlignment="1">
      <alignment vertical="top"/>
    </xf>
    <xf numFmtId="0" fontId="18" fillId="4" borderId="0" xfId="0" applyFont="1" applyFill="1" applyAlignment="1">
      <alignment vertical="top"/>
    </xf>
    <xf numFmtId="164" fontId="20" fillId="4" borderId="0" xfId="0" applyNumberFormat="1" applyFont="1" applyFill="1" applyAlignment="1">
      <alignment vertical="top"/>
    </xf>
    <xf numFmtId="164" fontId="26" fillId="4" borderId="0" xfId="0" applyNumberFormat="1" applyFont="1" applyFill="1" applyAlignment="1">
      <alignment vertical="top"/>
    </xf>
    <xf numFmtId="164" fontId="23" fillId="4" borderId="0" xfId="0" applyNumberFormat="1" applyFont="1" applyFill="1" applyAlignment="1">
      <alignment vertical="top"/>
    </xf>
    <xf numFmtId="0" fontId="23" fillId="4" borderId="80" xfId="0" applyFont="1" applyFill="1" applyBorder="1" applyAlignment="1">
      <alignment vertical="top"/>
    </xf>
    <xf numFmtId="164" fontId="23" fillId="4" borderId="80" xfId="0" applyNumberFormat="1" applyFont="1" applyFill="1" applyBorder="1" applyAlignment="1">
      <alignment vertical="top"/>
    </xf>
    <xf numFmtId="9" fontId="18" fillId="0" borderId="0" xfId="0" applyNumberFormat="1" applyFont="1" applyAlignment="1">
      <alignment horizontal="right" vertical="top"/>
    </xf>
    <xf numFmtId="0" fontId="35" fillId="4" borderId="80" xfId="0" applyFont="1" applyFill="1" applyBorder="1" applyAlignment="1">
      <alignment vertical="top"/>
    </xf>
    <xf numFmtId="9" fontId="34" fillId="0" borderId="0" xfId="1" applyFont="1" applyFill="1" applyAlignment="1">
      <alignment vertical="top"/>
    </xf>
    <xf numFmtId="9" fontId="23" fillId="4" borderId="0" xfId="1" applyFont="1" applyFill="1" applyAlignment="1">
      <alignment vertical="top"/>
    </xf>
    <xf numFmtId="9" fontId="26" fillId="4" borderId="0" xfId="1" applyFont="1" applyFill="1" applyAlignment="1">
      <alignment vertical="top"/>
    </xf>
    <xf numFmtId="9" fontId="18" fillId="0" borderId="0" xfId="1" applyFont="1" applyAlignment="1">
      <alignment horizontal="right" vertical="top"/>
    </xf>
    <xf numFmtId="9" fontId="18" fillId="0" borderId="0" xfId="0" applyNumberFormat="1" applyFont="1" applyAlignment="1">
      <alignment vertical="top"/>
    </xf>
    <xf numFmtId="0" fontId="48" fillId="9" borderId="0" xfId="3" applyFont="1" applyFill="1" applyAlignment="1">
      <alignment horizontal="center"/>
    </xf>
    <xf numFmtId="0" fontId="23" fillId="4" borderId="0" xfId="0" applyFont="1" applyFill="1" applyAlignment="1">
      <alignment vertical="top"/>
    </xf>
    <xf numFmtId="0" fontId="26" fillId="4" borderId="0" xfId="0" applyFont="1" applyFill="1" applyAlignment="1">
      <alignment horizontal="center" vertical="top"/>
    </xf>
    <xf numFmtId="0" fontId="26" fillId="4" borderId="0" xfId="0" applyFont="1" applyFill="1" applyAlignment="1">
      <alignment horizontal="center" vertical="top" wrapText="1"/>
    </xf>
    <xf numFmtId="0" fontId="23" fillId="4" borderId="75" xfId="0" applyFont="1" applyFill="1" applyBorder="1" applyAlignment="1">
      <alignment horizontal="center" vertical="top" wrapText="1"/>
    </xf>
    <xf numFmtId="0" fontId="20" fillId="0" borderId="0" xfId="0" applyFont="1" applyAlignment="1">
      <alignment vertical="top"/>
    </xf>
    <xf numFmtId="0" fontId="26" fillId="4" borderId="0" xfId="0" applyFont="1" applyFill="1"/>
    <xf numFmtId="0" fontId="23" fillId="4" borderId="0" xfId="0" applyFont="1" applyFill="1"/>
    <xf numFmtId="0" fontId="18" fillId="0" borderId="0" xfId="0" applyFont="1" applyAlignment="1">
      <alignment horizontal="center"/>
    </xf>
    <xf numFmtId="0" fontId="35" fillId="9" borderId="61" xfId="0" applyFont="1" applyFill="1" applyBorder="1" applyAlignment="1">
      <alignment horizontal="center" vertical="top" wrapText="1"/>
    </xf>
    <xf numFmtId="0" fontId="20" fillId="9" borderId="0" xfId="0" applyFont="1" applyFill="1"/>
    <xf numFmtId="0" fontId="23" fillId="4" borderId="0" xfId="0" applyFont="1" applyFill="1" applyAlignment="1">
      <alignment horizontal="center" vertical="top"/>
    </xf>
    <xf numFmtId="0" fontId="23" fillId="4" borderId="0" xfId="0" applyFont="1" applyFill="1" applyAlignment="1">
      <alignment horizontal="left" vertical="top"/>
    </xf>
    <xf numFmtId="0" fontId="36" fillId="9" borderId="0" xfId="0" applyFont="1" applyFill="1" applyAlignment="1">
      <alignment vertical="top" wrapText="1"/>
    </xf>
    <xf numFmtId="164" fontId="18" fillId="0" borderId="18" xfId="0" applyNumberFormat="1" applyFont="1" applyBorder="1" applyAlignment="1">
      <alignment vertical="top"/>
    </xf>
    <xf numFmtId="0" fontId="20" fillId="2" borderId="2" xfId="0" applyFont="1" applyFill="1" applyBorder="1" applyAlignment="1">
      <alignment vertical="top"/>
    </xf>
    <xf numFmtId="165" fontId="20" fillId="2" borderId="4" xfId="0" applyNumberFormat="1" applyFont="1" applyFill="1" applyBorder="1" applyAlignment="1">
      <alignment vertical="top"/>
    </xf>
    <xf numFmtId="169" fontId="25" fillId="0" borderId="4" xfId="0" applyNumberFormat="1" applyFont="1" applyBorder="1" applyAlignment="1">
      <alignment horizontal="left" vertical="top"/>
    </xf>
    <xf numFmtId="0" fontId="25" fillId="0" borderId="3" xfId="0" applyFont="1" applyBorder="1" applyAlignment="1">
      <alignment horizontal="left" vertical="top" wrapText="1"/>
    </xf>
    <xf numFmtId="0" fontId="25" fillId="0" borderId="4" xfId="0" applyFont="1" applyBorder="1" applyAlignment="1">
      <alignment horizontal="left" vertical="top" wrapText="1"/>
    </xf>
    <xf numFmtId="0" fontId="27" fillId="9" borderId="0" xfId="0" applyFont="1" applyFill="1" applyAlignment="1">
      <alignment horizontal="left" vertical="top"/>
    </xf>
    <xf numFmtId="0" fontId="18" fillId="0" borderId="0" xfId="0" pivotButton="1" applyFont="1" applyAlignment="1">
      <alignment horizontal="center" vertical="top" wrapText="1"/>
    </xf>
    <xf numFmtId="0" fontId="18" fillId="5" borderId="0" xfId="0" applyFont="1" applyFill="1" applyAlignment="1">
      <alignment horizontal="left" vertical="top"/>
    </xf>
    <xf numFmtId="0" fontId="18" fillId="2" borderId="0" xfId="0" applyFont="1" applyFill="1" applyAlignment="1">
      <alignment vertical="top"/>
    </xf>
    <xf numFmtId="0" fontId="18" fillId="0" borderId="76" xfId="0" applyFont="1" applyBorder="1" applyAlignment="1">
      <alignment vertical="top"/>
    </xf>
    <xf numFmtId="0" fontId="18" fillId="0" borderId="0" xfId="0" applyFont="1" applyAlignment="1">
      <alignment horizontal="center" vertical="top" wrapText="1"/>
    </xf>
    <xf numFmtId="164" fontId="18" fillId="2" borderId="0" xfId="0" applyNumberFormat="1" applyFont="1" applyFill="1" applyAlignment="1">
      <alignment vertical="top"/>
    </xf>
    <xf numFmtId="164" fontId="18" fillId="2" borderId="26" xfId="0" applyNumberFormat="1" applyFont="1" applyFill="1" applyBorder="1" applyAlignment="1">
      <alignment vertical="top"/>
    </xf>
    <xf numFmtId="164" fontId="18" fillId="2" borderId="27" xfId="0" applyNumberFormat="1" applyFont="1" applyFill="1" applyBorder="1" applyAlignment="1">
      <alignment vertical="top"/>
    </xf>
    <xf numFmtId="164" fontId="18" fillId="2" borderId="29" xfId="0" applyNumberFormat="1" applyFont="1" applyFill="1" applyBorder="1" applyAlignment="1">
      <alignment vertical="top"/>
    </xf>
    <xf numFmtId="164" fontId="18" fillId="2" borderId="31" xfId="0" applyNumberFormat="1" applyFont="1" applyFill="1" applyBorder="1" applyAlignment="1">
      <alignment vertical="top"/>
    </xf>
    <xf numFmtId="164" fontId="18" fillId="2" borderId="32" xfId="0" applyNumberFormat="1" applyFont="1" applyFill="1" applyBorder="1" applyAlignment="1">
      <alignment vertical="top"/>
    </xf>
    <xf numFmtId="164" fontId="18" fillId="2" borderId="38" xfId="0" applyNumberFormat="1" applyFont="1" applyFill="1" applyBorder="1" applyAlignment="1">
      <alignment vertical="top"/>
    </xf>
    <xf numFmtId="164" fontId="18" fillId="2" borderId="39" xfId="0" applyNumberFormat="1" applyFont="1" applyFill="1" applyBorder="1" applyAlignment="1">
      <alignment vertical="top"/>
    </xf>
    <xf numFmtId="165" fontId="18" fillId="0" borderId="0" xfId="0" applyNumberFormat="1" applyFont="1" applyAlignment="1">
      <alignment vertical="top"/>
    </xf>
    <xf numFmtId="0" fontId="18" fillId="2" borderId="37" xfId="0" applyFont="1" applyFill="1" applyBorder="1" applyAlignment="1">
      <alignment vertical="top"/>
    </xf>
    <xf numFmtId="0" fontId="18" fillId="2" borderId="38" xfId="0" applyFont="1" applyFill="1" applyBorder="1" applyAlignment="1">
      <alignment vertical="top"/>
    </xf>
    <xf numFmtId="0" fontId="20" fillId="2" borderId="1" xfId="0" applyFont="1" applyFill="1" applyBorder="1" applyAlignment="1">
      <alignment vertical="top"/>
    </xf>
    <xf numFmtId="0" fontId="26" fillId="0" borderId="0" xfId="0" applyFont="1" applyAlignment="1">
      <alignment horizontal="left" vertical="top" wrapText="1"/>
    </xf>
    <xf numFmtId="164" fontId="18" fillId="0" borderId="46" xfId="0" applyNumberFormat="1" applyFont="1" applyBorder="1" applyAlignment="1">
      <alignment vertical="top"/>
    </xf>
    <xf numFmtId="164" fontId="18" fillId="0" borderId="65" xfId="0" applyNumberFormat="1" applyFont="1" applyBorder="1" applyAlignment="1">
      <alignment vertical="top"/>
    </xf>
    <xf numFmtId="164" fontId="18" fillId="0" borderId="44" xfId="0" applyNumberFormat="1" applyFont="1" applyBorder="1" applyAlignment="1">
      <alignment vertical="top"/>
    </xf>
    <xf numFmtId="164" fontId="18" fillId="0" borderId="45" xfId="0" applyNumberFormat="1" applyFont="1" applyBorder="1" applyAlignment="1">
      <alignment vertical="top"/>
    </xf>
    <xf numFmtId="164" fontId="18" fillId="0" borderId="82" xfId="0" applyNumberFormat="1" applyFont="1" applyBorder="1" applyAlignment="1">
      <alignment vertical="top"/>
    </xf>
    <xf numFmtId="164" fontId="18" fillId="0" borderId="43" xfId="0" applyNumberFormat="1" applyFont="1" applyBorder="1" applyAlignment="1">
      <alignment vertical="top"/>
    </xf>
    <xf numFmtId="164" fontId="18" fillId="0" borderId="47" xfId="0" applyNumberFormat="1" applyFont="1" applyBorder="1" applyAlignment="1">
      <alignment vertical="top"/>
    </xf>
    <xf numFmtId="164" fontId="18" fillId="0" borderId="42" xfId="0" applyNumberFormat="1" applyFont="1" applyBorder="1" applyAlignment="1">
      <alignment vertical="top"/>
    </xf>
    <xf numFmtId="0" fontId="18" fillId="4" borderId="82" xfId="0" applyFont="1" applyFill="1" applyBorder="1" applyAlignment="1">
      <alignment vertical="top"/>
    </xf>
    <xf numFmtId="0" fontId="26" fillId="9" borderId="0" xfId="0" applyFont="1" applyFill="1" applyAlignment="1">
      <alignment vertical="top"/>
    </xf>
    <xf numFmtId="0" fontId="23" fillId="9" borderId="0" xfId="0" applyFont="1" applyFill="1" applyAlignment="1">
      <alignment horizontal="center" vertical="top" wrapText="1"/>
    </xf>
    <xf numFmtId="0" fontId="23" fillId="9" borderId="0" xfId="0" applyFont="1" applyFill="1" applyAlignment="1">
      <alignment horizontal="right" vertical="top"/>
    </xf>
    <xf numFmtId="165" fontId="18" fillId="0" borderId="43" xfId="0" applyNumberFormat="1" applyFont="1" applyBorder="1" applyAlignment="1">
      <alignment vertical="top"/>
    </xf>
    <xf numFmtId="165" fontId="18" fillId="0" borderId="65" xfId="0" applyNumberFormat="1" applyFont="1" applyBorder="1" applyAlignment="1">
      <alignment vertical="top"/>
    </xf>
    <xf numFmtId="165" fontId="18" fillId="0" borderId="82" xfId="0" applyNumberFormat="1" applyFont="1" applyBorder="1" applyAlignment="1">
      <alignment vertical="top"/>
    </xf>
    <xf numFmtId="165" fontId="18" fillId="0" borderId="42" xfId="0" applyNumberFormat="1" applyFont="1" applyBorder="1" applyAlignment="1">
      <alignment vertical="top"/>
    </xf>
    <xf numFmtId="165" fontId="18" fillId="0" borderId="44" xfId="0" applyNumberFormat="1" applyFont="1" applyBorder="1" applyAlignment="1">
      <alignment vertical="top"/>
    </xf>
    <xf numFmtId="165" fontId="18" fillId="0" borderId="46" xfId="0" applyNumberFormat="1" applyFont="1" applyBorder="1" applyAlignment="1">
      <alignment vertical="top"/>
    </xf>
    <xf numFmtId="165" fontId="18" fillId="0" borderId="47" xfId="0" applyNumberFormat="1" applyFont="1" applyBorder="1" applyAlignment="1">
      <alignment vertical="top"/>
    </xf>
    <xf numFmtId="165" fontId="18" fillId="0" borderId="45" xfId="0" applyNumberFormat="1" applyFont="1" applyBorder="1" applyAlignment="1">
      <alignment vertical="top"/>
    </xf>
    <xf numFmtId="0" fontId="18" fillId="9" borderId="63" xfId="0" applyFont="1" applyFill="1" applyBorder="1"/>
    <xf numFmtId="0" fontId="20" fillId="9" borderId="63" xfId="3" applyFont="1" applyFill="1" applyBorder="1"/>
    <xf numFmtId="0" fontId="23" fillId="4" borderId="83" xfId="3" applyFont="1" applyFill="1" applyBorder="1" applyAlignment="1">
      <alignment horizontal="center" vertical="center"/>
    </xf>
    <xf numFmtId="0" fontId="18" fillId="9" borderId="46" xfId="3" applyFont="1" applyFill="1" applyBorder="1"/>
    <xf numFmtId="0" fontId="20" fillId="9" borderId="46" xfId="3" applyFont="1" applyFill="1" applyBorder="1"/>
    <xf numFmtId="0" fontId="20" fillId="9" borderId="46" xfId="0" applyFont="1" applyFill="1" applyBorder="1"/>
    <xf numFmtId="0" fontId="18" fillId="0" borderId="0" xfId="0" quotePrefix="1" applyFont="1" applyAlignment="1">
      <alignment horizontal="left" vertical="top"/>
    </xf>
    <xf numFmtId="0" fontId="20" fillId="0" borderId="0" xfId="0" applyFont="1" applyAlignment="1">
      <alignment horizontal="left" indent="1"/>
    </xf>
    <xf numFmtId="0" fontId="20" fillId="2" borderId="33" xfId="0" applyFont="1" applyFill="1" applyBorder="1" applyAlignment="1">
      <alignment horizontal="left" vertical="top" indent="1"/>
    </xf>
    <xf numFmtId="0" fontId="20" fillId="2" borderId="35" xfId="0" applyFont="1" applyFill="1" applyBorder="1" applyAlignment="1">
      <alignment horizontal="left" vertical="top" indent="1"/>
    </xf>
    <xf numFmtId="0" fontId="20" fillId="2" borderId="36" xfId="0" applyFont="1" applyFill="1" applyBorder="1" applyAlignment="1">
      <alignment horizontal="left" vertical="top" indent="1"/>
    </xf>
    <xf numFmtId="0" fontId="23" fillId="4" borderId="59" xfId="0" applyFont="1" applyFill="1" applyBorder="1" applyAlignment="1">
      <alignment horizontal="center" vertical="top" wrapText="1"/>
    </xf>
    <xf numFmtId="0" fontId="18" fillId="4" borderId="84" xfId="0" applyFont="1" applyFill="1" applyBorder="1" applyAlignment="1">
      <alignment vertical="top"/>
    </xf>
    <xf numFmtId="0" fontId="18" fillId="4" borderId="81" xfId="0" applyFont="1" applyFill="1" applyBorder="1" applyAlignment="1">
      <alignment vertical="top"/>
    </xf>
    <xf numFmtId="0" fontId="18" fillId="4" borderId="85" xfId="0" applyFont="1" applyFill="1" applyBorder="1" applyAlignment="1">
      <alignment vertical="top"/>
    </xf>
    <xf numFmtId="0" fontId="20" fillId="0" borderId="38" xfId="0" applyFont="1" applyBorder="1" applyAlignment="1">
      <alignment horizontal="left" vertical="top" indent="1"/>
    </xf>
    <xf numFmtId="0" fontId="18" fillId="0" borderId="38" xfId="0" applyFont="1" applyBorder="1" applyAlignment="1">
      <alignment horizontal="left" vertical="top"/>
    </xf>
    <xf numFmtId="164" fontId="18" fillId="0" borderId="38" xfId="0" applyNumberFormat="1" applyFont="1" applyBorder="1" applyAlignment="1">
      <alignment vertical="top" wrapText="1"/>
    </xf>
    <xf numFmtId="164" fontId="18" fillId="0" borderId="39" xfId="0" applyNumberFormat="1" applyFont="1" applyBorder="1" applyAlignment="1">
      <alignment vertical="top"/>
    </xf>
    <xf numFmtId="0" fontId="20" fillId="0" borderId="31" xfId="0" applyFont="1" applyBorder="1" applyAlignment="1">
      <alignment horizontal="left" vertical="top" indent="1"/>
    </xf>
    <xf numFmtId="0" fontId="18" fillId="0" borderId="37" xfId="0" applyFont="1" applyBorder="1" applyAlignment="1">
      <alignment vertical="top"/>
    </xf>
    <xf numFmtId="0" fontId="18" fillId="0" borderId="0" xfId="0" pivotButton="1" applyFont="1" applyAlignment="1">
      <alignment horizontal="center" vertical="top"/>
    </xf>
    <xf numFmtId="0" fontId="20" fillId="2" borderId="1" xfId="0" applyFont="1" applyFill="1" applyBorder="1" applyAlignment="1">
      <alignment horizontal="left" indent="1"/>
    </xf>
    <xf numFmtId="0" fontId="20" fillId="2" borderId="0" xfId="0" applyFont="1" applyFill="1" applyAlignment="1">
      <alignment horizontal="center" vertical="top"/>
    </xf>
    <xf numFmtId="0" fontId="18" fillId="2" borderId="25" xfId="0" applyFont="1" applyFill="1" applyBorder="1" applyAlignment="1">
      <alignment vertical="top"/>
    </xf>
    <xf numFmtId="0" fontId="18" fillId="2" borderId="30" xfId="0" applyFont="1" applyFill="1" applyBorder="1" applyAlignment="1">
      <alignment vertical="top"/>
    </xf>
    <xf numFmtId="0" fontId="20" fillId="2" borderId="25" xfId="0" applyFont="1" applyFill="1" applyBorder="1" applyAlignment="1">
      <alignment vertical="top"/>
    </xf>
    <xf numFmtId="0" fontId="18" fillId="2" borderId="26" xfId="0" applyFont="1" applyFill="1" applyBorder="1" applyAlignment="1">
      <alignment vertical="top"/>
    </xf>
    <xf numFmtId="0" fontId="18" fillId="2" borderId="31" xfId="0" applyFont="1" applyFill="1" applyBorder="1" applyAlignment="1">
      <alignment vertical="top"/>
    </xf>
    <xf numFmtId="0" fontId="18" fillId="0" borderId="38" xfId="0" applyFont="1" applyBorder="1" applyAlignment="1">
      <alignment vertical="top"/>
    </xf>
    <xf numFmtId="165" fontId="18" fillId="0" borderId="38" xfId="0" applyNumberFormat="1" applyFont="1" applyBorder="1" applyAlignment="1">
      <alignment vertical="top"/>
    </xf>
    <xf numFmtId="165" fontId="18" fillId="0" borderId="39" xfId="0" applyNumberFormat="1" applyFont="1" applyBorder="1" applyAlignment="1">
      <alignment vertical="top"/>
    </xf>
    <xf numFmtId="0" fontId="18" fillId="0" borderId="39" xfId="0" applyFont="1" applyBorder="1" applyAlignment="1">
      <alignment vertical="top"/>
    </xf>
    <xf numFmtId="0" fontId="18" fillId="2" borderId="28" xfId="0" applyFont="1" applyFill="1" applyBorder="1" applyAlignment="1">
      <alignment vertical="top"/>
    </xf>
    <xf numFmtId="0" fontId="20" fillId="2" borderId="37" xfId="0" applyFont="1" applyFill="1" applyBorder="1" applyAlignment="1">
      <alignment horizontal="left" vertical="top" indent="2"/>
    </xf>
    <xf numFmtId="0" fontId="20" fillId="2" borderId="38" xfId="0" applyFont="1" applyFill="1" applyBorder="1" applyAlignment="1">
      <alignment horizontal="left" vertical="top" wrapText="1"/>
    </xf>
    <xf numFmtId="164" fontId="20" fillId="2" borderId="38" xfId="0" applyNumberFormat="1" applyFont="1" applyFill="1" applyBorder="1" applyAlignment="1">
      <alignment vertical="top" wrapText="1"/>
    </xf>
    <xf numFmtId="164" fontId="20" fillId="2" borderId="39" xfId="0" applyNumberFormat="1" applyFont="1" applyFill="1" applyBorder="1" applyAlignment="1">
      <alignment vertical="top" wrapText="1"/>
    </xf>
    <xf numFmtId="0" fontId="20" fillId="2" borderId="37" xfId="0" applyFont="1" applyFill="1" applyBorder="1" applyAlignment="1">
      <alignment horizontal="left" vertical="top" indent="1"/>
    </xf>
    <xf numFmtId="0" fontId="18" fillId="9" borderId="0" xfId="0" applyFont="1" applyFill="1" applyAlignment="1">
      <alignment horizontal="center" vertical="top" wrapText="1"/>
    </xf>
    <xf numFmtId="0" fontId="20" fillId="9" borderId="0" xfId="0" applyFont="1" applyFill="1" applyAlignment="1">
      <alignment vertical="center"/>
    </xf>
    <xf numFmtId="0" fontId="18" fillId="9" borderId="0" xfId="0" applyFont="1" applyFill="1" applyAlignment="1">
      <alignment vertical="center"/>
    </xf>
    <xf numFmtId="0" fontId="51" fillId="9" borderId="43" xfId="0" applyFont="1" applyFill="1" applyBorder="1" applyAlignment="1">
      <alignment horizontal="left" indent="1"/>
    </xf>
    <xf numFmtId="0" fontId="26" fillId="4" borderId="48" xfId="0" applyFont="1" applyFill="1" applyBorder="1" applyAlignment="1">
      <alignment horizontal="left" indent="1"/>
    </xf>
    <xf numFmtId="0" fontId="26" fillId="4" borderId="51" xfId="0" applyFont="1" applyFill="1" applyBorder="1" applyAlignment="1">
      <alignment horizontal="left" indent="1"/>
    </xf>
    <xf numFmtId="0" fontId="26" fillId="4" borderId="57" xfId="0" applyFont="1" applyFill="1" applyBorder="1" applyAlignment="1">
      <alignment horizontal="left" indent="1"/>
    </xf>
    <xf numFmtId="0" fontId="51" fillId="9" borderId="29" xfId="0" applyFont="1" applyFill="1" applyBorder="1" applyAlignment="1">
      <alignment horizontal="left" indent="1"/>
    </xf>
    <xf numFmtId="0" fontId="26" fillId="4" borderId="87" xfId="0" applyFont="1" applyFill="1" applyBorder="1" applyAlignment="1">
      <alignment horizontal="left" indent="1"/>
    </xf>
    <xf numFmtId="0" fontId="26" fillId="4" borderId="88" xfId="0" applyFont="1" applyFill="1" applyBorder="1" applyAlignment="1">
      <alignment horizontal="left" indent="1"/>
    </xf>
    <xf numFmtId="0" fontId="26" fillId="4" borderId="89" xfId="0" applyFont="1" applyFill="1" applyBorder="1" applyAlignment="1">
      <alignment horizontal="left" indent="1"/>
    </xf>
    <xf numFmtId="0" fontId="18" fillId="9" borderId="45" xfId="0" applyFont="1" applyFill="1" applyBorder="1"/>
    <xf numFmtId="0" fontId="18" fillId="9" borderId="46" xfId="0" applyFont="1" applyFill="1" applyBorder="1"/>
    <xf numFmtId="0" fontId="18" fillId="9" borderId="47" xfId="0" applyFont="1" applyFill="1" applyBorder="1"/>
    <xf numFmtId="0" fontId="30" fillId="4" borderId="62" xfId="0" applyFont="1" applyFill="1" applyBorder="1" applyAlignment="1">
      <alignment horizontal="left" vertical="top" indent="2"/>
    </xf>
    <xf numFmtId="0" fontId="23" fillId="4" borderId="70" xfId="3" applyFont="1" applyFill="1" applyBorder="1" applyAlignment="1">
      <alignment horizontal="center" vertical="center"/>
    </xf>
    <xf numFmtId="0" fontId="23" fillId="4" borderId="86" xfId="0" applyFont="1" applyFill="1" applyBorder="1" applyAlignment="1">
      <alignment horizontal="center" vertical="top" wrapText="1"/>
    </xf>
    <xf numFmtId="0" fontId="52" fillId="4" borderId="18" xfId="0" applyFont="1" applyFill="1" applyBorder="1" applyAlignment="1">
      <alignment horizontal="center" vertical="top" wrapText="1"/>
    </xf>
    <xf numFmtId="164" fontId="52" fillId="4" borderId="18" xfId="0" applyNumberFormat="1" applyFont="1" applyFill="1" applyBorder="1" applyAlignment="1">
      <alignment horizontal="center" vertical="top" wrapText="1"/>
    </xf>
    <xf numFmtId="9" fontId="52" fillId="4" borderId="18" xfId="1" applyFont="1" applyFill="1" applyBorder="1" applyAlignment="1">
      <alignment horizontal="center" vertical="top" wrapText="1"/>
    </xf>
    <xf numFmtId="164" fontId="52" fillId="4" borderId="18" xfId="1" applyNumberFormat="1" applyFont="1" applyFill="1" applyBorder="1" applyAlignment="1">
      <alignment horizontal="center" vertical="top" wrapText="1"/>
    </xf>
    <xf numFmtId="0" fontId="22" fillId="9" borderId="0" xfId="0" applyFont="1" applyFill="1" applyAlignment="1">
      <alignment horizontal="center" vertical="top" wrapText="1"/>
    </xf>
    <xf numFmtId="164" fontId="53" fillId="9" borderId="0" xfId="0" applyNumberFormat="1" applyFont="1" applyFill="1" applyAlignment="1">
      <alignment horizontal="center" vertical="top" wrapText="1"/>
    </xf>
    <xf numFmtId="164" fontId="21" fillId="9" borderId="0" xfId="0" applyNumberFormat="1" applyFont="1" applyFill="1" applyAlignment="1">
      <alignment horizontal="center" vertical="top" wrapText="1"/>
    </xf>
    <xf numFmtId="0" fontId="27" fillId="9" borderId="31" xfId="0" applyFont="1" applyFill="1" applyBorder="1" applyAlignment="1">
      <alignment horizontal="left" vertical="top" indent="1"/>
    </xf>
    <xf numFmtId="0" fontId="18" fillId="9" borderId="3" xfId="0" applyFont="1" applyFill="1" applyBorder="1" applyAlignment="1">
      <alignment vertical="top" wrapText="1"/>
    </xf>
    <xf numFmtId="0" fontId="18" fillId="0" borderId="3" xfId="0" quotePrefix="1" applyFont="1" applyBorder="1" applyAlignment="1">
      <alignment vertical="top" wrapText="1"/>
    </xf>
    <xf numFmtId="0" fontId="46" fillId="3" borderId="76" xfId="3" applyFont="1" applyFill="1" applyBorder="1" applyAlignment="1" applyProtection="1">
      <alignment horizontal="center"/>
      <protection locked="0"/>
    </xf>
    <xf numFmtId="0" fontId="42" fillId="9" borderId="0" xfId="3" applyFont="1" applyFill="1" applyAlignment="1" applyProtection="1">
      <alignment horizontal="left" vertical="top"/>
      <protection hidden="1"/>
    </xf>
    <xf numFmtId="0" fontId="20" fillId="9" borderId="3" xfId="0" applyFont="1" applyFill="1" applyBorder="1" applyAlignment="1" applyProtection="1">
      <alignment horizontal="center" vertical="top" wrapText="1"/>
      <protection hidden="1"/>
    </xf>
    <xf numFmtId="14" fontId="20" fillId="9" borderId="3" xfId="0" applyNumberFormat="1" applyFont="1" applyFill="1" applyBorder="1" applyAlignment="1" applyProtection="1">
      <alignment horizontal="center" vertical="top" wrapText="1"/>
      <protection hidden="1"/>
    </xf>
    <xf numFmtId="0" fontId="23" fillId="10" borderId="3" xfId="0" applyFont="1" applyFill="1" applyBorder="1" applyAlignment="1" applyProtection="1">
      <alignment horizontal="center" vertical="top" wrapText="1"/>
      <protection hidden="1"/>
    </xf>
    <xf numFmtId="14" fontId="20" fillId="0" borderId="3" xfId="0" applyNumberFormat="1" applyFont="1" applyBorder="1" applyAlignment="1" applyProtection="1">
      <alignment horizontal="center" vertical="top" wrapText="1"/>
      <protection hidden="1"/>
    </xf>
    <xf numFmtId="0" fontId="20" fillId="0" borderId="3" xfId="0" applyFont="1" applyBorder="1" applyAlignment="1" applyProtection="1">
      <alignment horizontal="left" vertical="top" wrapText="1" indent="1"/>
      <protection hidden="1"/>
    </xf>
    <xf numFmtId="0" fontId="33" fillId="3" borderId="3" xfId="2" applyFont="1" applyFill="1" applyBorder="1" applyAlignment="1" applyProtection="1">
      <alignment horizontal="center" vertical="top" wrapText="1"/>
      <protection hidden="1"/>
    </xf>
    <xf numFmtId="0" fontId="24" fillId="3" borderId="3" xfId="0" applyFont="1" applyFill="1" applyBorder="1" applyAlignment="1" applyProtection="1">
      <alignment horizontal="center" vertical="top" wrapText="1"/>
      <protection hidden="1"/>
    </xf>
    <xf numFmtId="0" fontId="20" fillId="0" borderId="3" xfId="0" applyFont="1" applyBorder="1" applyAlignment="1" applyProtection="1">
      <alignment horizontal="left" vertical="top" wrapText="1" indent="2"/>
      <protection hidden="1"/>
    </xf>
    <xf numFmtId="0" fontId="38" fillId="8" borderId="3" xfId="2" applyFont="1" applyFill="1" applyBorder="1" applyAlignment="1" applyProtection="1">
      <alignment horizontal="center" vertical="top" wrapText="1"/>
      <protection hidden="1"/>
    </xf>
    <xf numFmtId="0" fontId="23" fillId="8" borderId="3" xfId="0" applyFont="1" applyFill="1" applyBorder="1" applyAlignment="1" applyProtection="1">
      <alignment horizontal="center" vertical="top" wrapText="1"/>
      <protection hidden="1"/>
    </xf>
    <xf numFmtId="0" fontId="33" fillId="8" borderId="3" xfId="2" applyFont="1" applyFill="1" applyBorder="1" applyAlignment="1" applyProtection="1">
      <alignment horizontal="center" vertical="top" wrapText="1"/>
      <protection hidden="1"/>
    </xf>
    <xf numFmtId="0" fontId="20" fillId="8" borderId="3" xfId="0" applyFont="1" applyFill="1" applyBorder="1" applyAlignment="1" applyProtection="1">
      <alignment horizontal="center" vertical="top" wrapText="1"/>
      <protection hidden="1"/>
    </xf>
    <xf numFmtId="0" fontId="20" fillId="0" borderId="3" xfId="0" applyFont="1" applyBorder="1" applyAlignment="1" applyProtection="1">
      <alignment horizontal="center" vertical="top" wrapText="1"/>
      <protection hidden="1"/>
    </xf>
    <xf numFmtId="0" fontId="18" fillId="3" borderId="3" xfId="0" applyFont="1" applyFill="1" applyBorder="1" applyAlignment="1" applyProtection="1">
      <alignment horizontal="left" vertical="top" wrapText="1" indent="1"/>
      <protection locked="0"/>
    </xf>
    <xf numFmtId="168" fontId="18" fillId="3" borderId="3" xfId="0" applyNumberFormat="1" applyFont="1" applyFill="1" applyBorder="1" applyAlignment="1" applyProtection="1">
      <alignment horizontal="left" vertical="top" wrapText="1" indent="1"/>
      <protection locked="0"/>
    </xf>
    <xf numFmtId="3" fontId="18" fillId="3" borderId="52" xfId="0" applyNumberFormat="1" applyFont="1" applyFill="1" applyBorder="1" applyAlignment="1" applyProtection="1">
      <alignment vertical="top"/>
      <protection locked="0"/>
    </xf>
    <xf numFmtId="9" fontId="18" fillId="3" borderId="52" xfId="1" applyFont="1" applyFill="1" applyBorder="1" applyAlignment="1" applyProtection="1">
      <alignment vertical="top"/>
      <protection locked="0"/>
    </xf>
    <xf numFmtId="164" fontId="18" fillId="3" borderId="52" xfId="0" applyNumberFormat="1" applyFont="1" applyFill="1" applyBorder="1" applyAlignment="1" applyProtection="1">
      <alignment vertical="top"/>
      <protection locked="0"/>
    </xf>
    <xf numFmtId="0" fontId="18" fillId="3" borderId="3" xfId="0" applyFont="1" applyFill="1" applyBorder="1" applyAlignment="1" applyProtection="1">
      <alignment horizontal="left" vertical="top"/>
      <protection locked="0"/>
    </xf>
    <xf numFmtId="0" fontId="18" fillId="3" borderId="4" xfId="0" applyFont="1" applyFill="1" applyBorder="1" applyAlignment="1" applyProtection="1">
      <alignment horizontal="left" vertical="top"/>
      <protection locked="0"/>
    </xf>
    <xf numFmtId="164" fontId="18" fillId="3" borderId="3" xfId="0" applyNumberFormat="1" applyFont="1" applyFill="1" applyBorder="1" applyAlignment="1" applyProtection="1">
      <alignment vertical="top"/>
      <protection locked="0"/>
    </xf>
    <xf numFmtId="164" fontId="18" fillId="3" borderId="4" xfId="0" applyNumberFormat="1" applyFont="1" applyFill="1" applyBorder="1" applyAlignment="1" applyProtection="1">
      <alignment vertical="top"/>
      <protection locked="0"/>
    </xf>
    <xf numFmtId="165" fontId="18" fillId="3" borderId="3" xfId="0" applyNumberFormat="1" applyFont="1" applyFill="1" applyBorder="1" applyAlignment="1" applyProtection="1">
      <alignment vertical="top"/>
      <protection locked="0"/>
    </xf>
    <xf numFmtId="164" fontId="20" fillId="3" borderId="18" xfId="0" applyNumberFormat="1" applyFont="1" applyFill="1" applyBorder="1" applyAlignment="1" applyProtection="1">
      <alignment horizontal="right" vertical="top"/>
      <protection locked="0"/>
    </xf>
    <xf numFmtId="0" fontId="18" fillId="3" borderId="3" xfId="0" applyFont="1" applyFill="1" applyBorder="1" applyAlignment="1" applyProtection="1">
      <alignment horizontal="center" vertical="top"/>
      <protection locked="0"/>
    </xf>
    <xf numFmtId="164" fontId="18" fillId="3" borderId="3" xfId="0" applyNumberFormat="1" applyFont="1" applyFill="1" applyBorder="1" applyAlignment="1" applyProtection="1">
      <alignment horizontal="right" vertical="top"/>
      <protection locked="0"/>
    </xf>
    <xf numFmtId="9" fontId="18" fillId="3" borderId="3" xfId="1" applyFont="1" applyFill="1" applyBorder="1" applyAlignment="1" applyProtection="1">
      <alignment horizontal="center" vertical="top"/>
      <protection locked="0"/>
    </xf>
    <xf numFmtId="0" fontId="18" fillId="3" borderId="4" xfId="0" applyFont="1" applyFill="1" applyBorder="1" applyAlignment="1" applyProtection="1">
      <alignment horizontal="center" vertical="top"/>
      <protection locked="0"/>
    </xf>
    <xf numFmtId="164" fontId="18" fillId="3" borderId="4" xfId="0" applyNumberFormat="1" applyFont="1" applyFill="1" applyBorder="1" applyAlignment="1" applyProtection="1">
      <alignment horizontal="right" vertical="top"/>
      <protection locked="0"/>
    </xf>
    <xf numFmtId="9" fontId="18" fillId="3" borderId="4" xfId="1" applyFont="1" applyFill="1" applyBorder="1" applyAlignment="1" applyProtection="1">
      <alignment horizontal="center" vertical="top"/>
      <protection locked="0"/>
    </xf>
    <xf numFmtId="166" fontId="18" fillId="3" borderId="3" xfId="1" applyNumberFormat="1" applyFont="1" applyFill="1" applyBorder="1" applyAlignment="1" applyProtection="1">
      <alignment horizontal="left" vertical="top"/>
      <protection locked="0"/>
    </xf>
    <xf numFmtId="9" fontId="18" fillId="3" borderId="3" xfId="1" applyFont="1" applyFill="1" applyBorder="1" applyAlignment="1" applyProtection="1">
      <alignment horizontal="left" vertical="top"/>
      <protection locked="0"/>
    </xf>
    <xf numFmtId="0" fontId="20" fillId="9" borderId="6" xfId="0" applyFont="1" applyFill="1" applyBorder="1" applyAlignment="1" applyProtection="1">
      <alignment horizontal="center" vertical="top" wrapText="1"/>
      <protection hidden="1"/>
    </xf>
    <xf numFmtId="14" fontId="20" fillId="9" borderId="6" xfId="0" applyNumberFormat="1" applyFont="1" applyFill="1" applyBorder="1" applyAlignment="1" applyProtection="1">
      <alignment horizontal="center" vertical="top" wrapText="1"/>
      <protection hidden="1"/>
    </xf>
    <xf numFmtId="0" fontId="18" fillId="10" borderId="0" xfId="0" applyFont="1" applyFill="1" applyAlignment="1">
      <alignment vertical="top"/>
    </xf>
    <xf numFmtId="0" fontId="18" fillId="10" borderId="0" xfId="0" applyFont="1" applyFill="1" applyAlignment="1">
      <alignment vertical="center"/>
    </xf>
    <xf numFmtId="9" fontId="18" fillId="3" borderId="3" xfId="1" applyFont="1" applyFill="1" applyBorder="1" applyAlignment="1" applyProtection="1">
      <alignment horizontal="left" vertical="top" wrapText="1" indent="1"/>
      <protection locked="0"/>
    </xf>
    <xf numFmtId="0" fontId="21" fillId="2" borderId="18" xfId="0" applyFont="1" applyFill="1" applyBorder="1" applyAlignment="1">
      <alignment horizontal="left" vertical="top"/>
    </xf>
    <xf numFmtId="0" fontId="21" fillId="2" borderId="6" xfId="0" applyFont="1" applyFill="1" applyBorder="1" applyAlignment="1">
      <alignment horizontal="left" vertical="top"/>
    </xf>
    <xf numFmtId="0" fontId="21" fillId="2" borderId="3" xfId="0" applyFont="1" applyFill="1" applyBorder="1" applyAlignment="1">
      <alignment horizontal="left" vertical="top"/>
    </xf>
    <xf numFmtId="0" fontId="21" fillId="2" borderId="11" xfId="0" applyFont="1" applyFill="1" applyBorder="1" applyAlignment="1">
      <alignment horizontal="left" vertical="top"/>
    </xf>
    <xf numFmtId="0" fontId="21" fillId="2" borderId="4" xfId="0" applyFont="1" applyFill="1" applyBorder="1" applyAlignment="1">
      <alignment horizontal="left" vertical="top"/>
    </xf>
    <xf numFmtId="9" fontId="20" fillId="2" borderId="7" xfId="1" applyFont="1" applyFill="1" applyBorder="1" applyAlignment="1">
      <alignment horizontal="center" vertical="top"/>
    </xf>
    <xf numFmtId="9" fontId="20" fillId="2" borderId="7" xfId="1" applyFont="1" applyFill="1" applyBorder="1" applyAlignment="1">
      <alignment horizontal="center" vertical="top" wrapText="1"/>
    </xf>
    <xf numFmtId="9" fontId="20" fillId="2" borderId="9" xfId="1" applyFont="1" applyFill="1" applyBorder="1" applyAlignment="1">
      <alignment horizontal="center" vertical="top" wrapText="1"/>
    </xf>
    <xf numFmtId="9" fontId="20" fillId="4" borderId="9" xfId="1" applyFont="1" applyFill="1" applyBorder="1" applyAlignment="1">
      <alignment horizontal="center" vertical="top" wrapText="1"/>
    </xf>
    <xf numFmtId="9" fontId="20" fillId="2" borderId="9" xfId="1" applyFont="1" applyFill="1" applyBorder="1" applyAlignment="1">
      <alignment horizontal="center" vertical="top"/>
    </xf>
    <xf numFmtId="9" fontId="20" fillId="2" borderId="12" xfId="1" applyFont="1" applyFill="1" applyBorder="1" applyAlignment="1">
      <alignment horizontal="center" vertical="top"/>
    </xf>
    <xf numFmtId="9" fontId="20" fillId="2" borderId="13" xfId="1" applyFont="1" applyFill="1" applyBorder="1" applyAlignment="1">
      <alignment horizontal="center" vertical="top"/>
    </xf>
    <xf numFmtId="9" fontId="20" fillId="2" borderId="19" xfId="1" applyFont="1" applyFill="1" applyBorder="1" applyAlignment="1">
      <alignment horizontal="center" vertical="top"/>
    </xf>
    <xf numFmtId="9" fontId="18" fillId="0" borderId="15" xfId="1" applyFont="1" applyBorder="1" applyAlignment="1">
      <alignment horizontal="center" vertical="top"/>
    </xf>
    <xf numFmtId="9" fontId="18" fillId="0" borderId="9" xfId="1" applyFont="1" applyBorder="1" applyAlignment="1">
      <alignment horizontal="center" vertical="top"/>
    </xf>
    <xf numFmtId="9" fontId="18" fillId="0" borderId="13" xfId="1" applyFont="1" applyBorder="1" applyAlignment="1">
      <alignment horizontal="center" vertical="top"/>
    </xf>
    <xf numFmtId="9" fontId="18" fillId="0" borderId="24" xfId="1" applyFont="1" applyBorder="1" applyAlignment="1">
      <alignment horizontal="center" vertical="top"/>
    </xf>
    <xf numFmtId="9" fontId="18" fillId="4" borderId="9" xfId="1" applyFont="1" applyFill="1" applyBorder="1" applyAlignment="1">
      <alignment horizontal="center" vertical="top"/>
    </xf>
    <xf numFmtId="9" fontId="25" fillId="4" borderId="9" xfId="1" applyFont="1" applyFill="1" applyBorder="1" applyAlignment="1">
      <alignment horizontal="center" vertical="top"/>
    </xf>
    <xf numFmtId="0" fontId="30" fillId="4" borderId="0" xfId="0" applyFont="1" applyFill="1" applyAlignment="1">
      <alignment horizontal="center" vertical="center"/>
    </xf>
    <xf numFmtId="0" fontId="30" fillId="4" borderId="33" xfId="0" applyFont="1" applyFill="1" applyBorder="1" applyAlignment="1">
      <alignment vertical="center" wrapText="1"/>
    </xf>
    <xf numFmtId="0" fontId="30" fillId="4" borderId="35" xfId="0" applyFont="1" applyFill="1" applyBorder="1" applyAlignment="1">
      <alignment vertical="center" wrapText="1"/>
    </xf>
    <xf numFmtId="0" fontId="30" fillId="4" borderId="36" xfId="0" applyFont="1" applyFill="1" applyBorder="1" applyAlignment="1">
      <alignment vertical="center" wrapText="1"/>
    </xf>
    <xf numFmtId="9" fontId="30" fillId="4" borderId="35" xfId="1" applyFont="1" applyFill="1" applyBorder="1" applyAlignment="1">
      <alignment horizontal="center" vertical="center" wrapText="1"/>
    </xf>
    <xf numFmtId="0" fontId="23" fillId="4" borderId="0" xfId="0" applyFont="1" applyFill="1" applyAlignment="1">
      <alignment horizontal="right" vertical="top" indent="2"/>
    </xf>
    <xf numFmtId="0" fontId="30" fillId="4" borderId="64" xfId="0" applyFont="1" applyFill="1" applyBorder="1" applyAlignment="1">
      <alignment horizontal="right" vertical="top"/>
    </xf>
    <xf numFmtId="0" fontId="20" fillId="9" borderId="47" xfId="0" applyFont="1" applyFill="1" applyBorder="1" applyAlignment="1">
      <alignment horizontal="right" vertical="top"/>
    </xf>
    <xf numFmtId="0" fontId="20" fillId="9" borderId="45" xfId="0" applyFont="1" applyFill="1" applyBorder="1"/>
    <xf numFmtId="0" fontId="20" fillId="9" borderId="45" xfId="3" applyFont="1" applyFill="1" applyBorder="1"/>
    <xf numFmtId="0" fontId="18" fillId="0" borderId="8" xfId="0" applyFont="1" applyBorder="1" applyAlignment="1">
      <alignment vertical="top" wrapText="1"/>
    </xf>
    <xf numFmtId="0" fontId="18" fillId="9" borderId="8" xfId="0" applyFont="1" applyFill="1" applyBorder="1" applyAlignment="1">
      <alignment vertical="top" wrapText="1"/>
    </xf>
    <xf numFmtId="164" fontId="18" fillId="0" borderId="27" xfId="0" applyNumberFormat="1" applyFont="1" applyBorder="1" applyAlignment="1">
      <alignment vertical="top" wrapText="1"/>
    </xf>
    <xf numFmtId="0" fontId="18" fillId="9" borderId="5" xfId="0" applyFont="1" applyFill="1" applyBorder="1" applyAlignment="1">
      <alignment vertical="top" wrapText="1"/>
    </xf>
    <xf numFmtId="0" fontId="18" fillId="9" borderId="6" xfId="0" applyFont="1" applyFill="1" applyBorder="1" applyAlignment="1">
      <alignment vertical="top" wrapText="1"/>
    </xf>
    <xf numFmtId="0" fontId="38" fillId="11" borderId="3" xfId="2" applyFont="1" applyFill="1" applyBorder="1" applyAlignment="1" applyProtection="1">
      <alignment horizontal="center" vertical="top" wrapText="1"/>
      <protection hidden="1"/>
    </xf>
    <xf numFmtId="0" fontId="23" fillId="10" borderId="17" xfId="0" applyFont="1" applyFill="1" applyBorder="1" applyAlignment="1">
      <alignment horizontal="center" vertical="top" wrapText="1"/>
    </xf>
    <xf numFmtId="0" fontId="23" fillId="10" borderId="18" xfId="0" applyFont="1" applyFill="1" applyBorder="1" applyAlignment="1">
      <alignment horizontal="center" vertical="top" wrapText="1"/>
    </xf>
    <xf numFmtId="0" fontId="23" fillId="10" borderId="19" xfId="0" applyFont="1" applyFill="1" applyBorder="1" applyAlignment="1">
      <alignment horizontal="center" vertical="top" wrapText="1"/>
    </xf>
    <xf numFmtId="0" fontId="18" fillId="4" borderId="0" xfId="0" applyFont="1" applyFill="1" applyAlignment="1">
      <alignment vertical="center"/>
    </xf>
    <xf numFmtId="0" fontId="20" fillId="4" borderId="0" xfId="0" applyFont="1" applyFill="1" applyAlignment="1">
      <alignment horizontal="right" vertical="center"/>
    </xf>
    <xf numFmtId="0" fontId="20" fillId="4" borderId="0" xfId="0" applyFont="1" applyFill="1" applyAlignment="1">
      <alignment vertical="center"/>
    </xf>
    <xf numFmtId="164" fontId="18" fillId="4" borderId="0" xfId="0" applyNumberFormat="1" applyFont="1" applyFill="1" applyAlignment="1">
      <alignment vertical="center"/>
    </xf>
    <xf numFmtId="0" fontId="18" fillId="0" borderId="0" xfId="0" applyFont="1" applyAlignment="1">
      <alignment vertical="center"/>
    </xf>
    <xf numFmtId="0" fontId="30" fillId="4" borderId="0" xfId="0" applyFont="1" applyFill="1" applyAlignment="1">
      <alignment horizontal="left" vertical="center" indent="4"/>
    </xf>
    <xf numFmtId="0" fontId="51" fillId="9" borderId="0" xfId="0" applyFont="1" applyFill="1" applyAlignment="1">
      <alignment horizontal="center" vertical="top"/>
    </xf>
    <xf numFmtId="0" fontId="49" fillId="9" borderId="0" xfId="2" applyFont="1" applyFill="1" applyAlignment="1">
      <alignment horizontal="center" vertical="top"/>
    </xf>
    <xf numFmtId="0" fontId="20" fillId="9" borderId="6" xfId="0" applyFont="1" applyFill="1" applyBorder="1" applyAlignment="1" applyProtection="1">
      <alignment horizontal="left" vertical="top" wrapText="1"/>
      <protection hidden="1"/>
    </xf>
    <xf numFmtId="0" fontId="20" fillId="9" borderId="3" xfId="0" applyFont="1" applyFill="1" applyBorder="1" applyAlignment="1" applyProtection="1">
      <alignment horizontal="left" vertical="top" wrapText="1"/>
      <protection hidden="1"/>
    </xf>
    <xf numFmtId="0" fontId="21" fillId="0" borderId="3" xfId="0" applyFont="1" applyBorder="1" applyAlignment="1" applyProtection="1">
      <alignment horizontal="left" vertical="top" wrapText="1"/>
      <protection hidden="1"/>
    </xf>
    <xf numFmtId="0" fontId="23" fillId="8" borderId="3" xfId="0" applyFont="1" applyFill="1" applyBorder="1" applyAlignment="1" applyProtection="1">
      <alignment horizontal="center" vertical="top"/>
      <protection hidden="1"/>
    </xf>
    <xf numFmtId="9" fontId="18" fillId="0" borderId="3" xfId="1" applyFont="1" applyBorder="1" applyAlignment="1">
      <alignment horizontal="left" vertical="top" wrapText="1"/>
    </xf>
    <xf numFmtId="0" fontId="20" fillId="0" borderId="3" xfId="0" applyFont="1" applyBorder="1" applyAlignment="1">
      <alignment horizontal="left" vertical="top" indent="1"/>
    </xf>
    <xf numFmtId="0" fontId="20" fillId="2" borderId="18" xfId="0" applyFont="1" applyFill="1" applyBorder="1" applyAlignment="1">
      <alignment vertical="top" wrapText="1"/>
    </xf>
    <xf numFmtId="0" fontId="50" fillId="9" borderId="65" xfId="0" applyFont="1" applyFill="1" applyBorder="1" applyAlignment="1">
      <alignment vertical="top"/>
    </xf>
    <xf numFmtId="0" fontId="30" fillId="4" borderId="65" xfId="0" applyFont="1" applyFill="1" applyBorder="1" applyAlignment="1">
      <alignment horizontal="left" vertical="top" indent="2"/>
    </xf>
    <xf numFmtId="0" fontId="20" fillId="12" borderId="62" xfId="0" applyFont="1" applyFill="1" applyBorder="1" applyAlignment="1">
      <alignment horizontal="center" vertical="top"/>
    </xf>
    <xf numFmtId="0" fontId="20" fillId="12" borderId="63" xfId="0" applyFont="1" applyFill="1" applyBorder="1" applyAlignment="1">
      <alignment horizontal="center" vertical="top"/>
    </xf>
    <xf numFmtId="0" fontId="20" fillId="12" borderId="64" xfId="0" applyFont="1" applyFill="1" applyBorder="1" applyAlignment="1">
      <alignment horizontal="center" vertical="top"/>
    </xf>
    <xf numFmtId="0" fontId="51" fillId="9" borderId="28" xfId="0" applyFont="1" applyFill="1" applyBorder="1" applyAlignment="1">
      <alignment horizontal="left" vertical="top" indent="2"/>
    </xf>
    <xf numFmtId="0" fontId="20" fillId="12" borderId="91" xfId="0" applyFont="1" applyFill="1" applyBorder="1" applyAlignment="1">
      <alignment vertical="top"/>
    </xf>
    <xf numFmtId="0" fontId="18" fillId="0" borderId="92" xfId="0" applyFont="1" applyBorder="1" applyAlignment="1">
      <alignment vertical="top"/>
    </xf>
    <xf numFmtId="0" fontId="18" fillId="0" borderId="93" xfId="0" applyFont="1" applyBorder="1" applyAlignment="1">
      <alignment vertical="top"/>
    </xf>
    <xf numFmtId="0" fontId="18" fillId="0" borderId="94" xfId="0" applyFont="1" applyBorder="1" applyAlignment="1">
      <alignment vertical="top"/>
    </xf>
    <xf numFmtId="0" fontId="18" fillId="9" borderId="90" xfId="0" applyFont="1" applyFill="1" applyBorder="1"/>
    <xf numFmtId="0" fontId="20" fillId="12" borderId="45" xfId="0" applyFont="1" applyFill="1" applyBorder="1" applyAlignment="1">
      <alignment horizontal="center" vertical="top" wrapText="1"/>
    </xf>
    <xf numFmtId="0" fontId="20" fillId="12" borderId="46" xfId="0" applyFont="1" applyFill="1" applyBorder="1" applyAlignment="1">
      <alignment horizontal="center" vertical="top" wrapText="1"/>
    </xf>
    <xf numFmtId="0" fontId="20" fillId="12" borderId="47" xfId="0" applyFont="1" applyFill="1" applyBorder="1" applyAlignment="1">
      <alignment horizontal="center" vertical="top" wrapText="1"/>
    </xf>
    <xf numFmtId="0" fontId="20" fillId="12" borderId="76" xfId="0" applyFont="1" applyFill="1" applyBorder="1" applyAlignment="1">
      <alignment horizontal="center" vertical="top"/>
    </xf>
    <xf numFmtId="0" fontId="18" fillId="0" borderId="78" xfId="0" applyFont="1" applyBorder="1" applyAlignment="1">
      <alignment horizontal="left" vertical="top"/>
    </xf>
    <xf numFmtId="0" fontId="18" fillId="0" borderId="79" xfId="0" applyFont="1" applyBorder="1" applyAlignment="1">
      <alignment horizontal="left" vertical="top"/>
    </xf>
    <xf numFmtId="0" fontId="20" fillId="12" borderId="37" xfId="0" applyFont="1" applyFill="1" applyBorder="1" applyAlignment="1">
      <alignment horizontal="center" vertical="top" wrapText="1"/>
    </xf>
    <xf numFmtId="0" fontId="20" fillId="12" borderId="38" xfId="0" applyFont="1" applyFill="1" applyBorder="1" applyAlignment="1">
      <alignment horizontal="center" vertical="top" wrapText="1"/>
    </xf>
    <xf numFmtId="0" fontId="20" fillId="12" borderId="39" xfId="0" applyFont="1" applyFill="1" applyBorder="1" applyAlignment="1">
      <alignment horizontal="center" vertical="top" wrapText="1"/>
    </xf>
    <xf numFmtId="0" fontId="50" fillId="9" borderId="65" xfId="0" applyFont="1" applyFill="1" applyBorder="1"/>
    <xf numFmtId="0" fontId="20" fillId="12" borderId="76" xfId="0" applyFont="1" applyFill="1" applyBorder="1" applyAlignment="1">
      <alignment horizontal="center" vertical="top" wrapText="1"/>
    </xf>
    <xf numFmtId="0" fontId="23" fillId="4" borderId="73" xfId="0" applyFont="1" applyFill="1" applyBorder="1" applyAlignment="1">
      <alignment horizontal="center" vertical="top" wrapText="1"/>
    </xf>
    <xf numFmtId="0" fontId="18" fillId="4" borderId="0" xfId="0" applyFont="1" applyFill="1" applyAlignment="1">
      <alignment horizontal="center" vertical="top"/>
    </xf>
    <xf numFmtId="0" fontId="20" fillId="0" borderId="0" xfId="0" applyFont="1" applyAlignment="1">
      <alignment horizontal="center" vertical="top"/>
    </xf>
    <xf numFmtId="9" fontId="21" fillId="2" borderId="3" xfId="1" applyFont="1" applyFill="1" applyBorder="1" applyAlignment="1" applyProtection="1">
      <alignment horizontal="center" vertical="top"/>
    </xf>
    <xf numFmtId="9" fontId="21" fillId="2" borderId="11" xfId="1" applyFont="1" applyFill="1" applyBorder="1" applyAlignment="1" applyProtection="1">
      <alignment horizontal="center" vertical="top"/>
    </xf>
    <xf numFmtId="9" fontId="21" fillId="2" borderId="6" xfId="1" applyFont="1" applyFill="1" applyBorder="1" applyAlignment="1" applyProtection="1">
      <alignment horizontal="center" vertical="top"/>
    </xf>
    <xf numFmtId="9" fontId="21" fillId="2" borderId="4" xfId="1" applyFont="1" applyFill="1" applyBorder="1" applyAlignment="1" applyProtection="1">
      <alignment horizontal="center" vertical="top"/>
    </xf>
    <xf numFmtId="9" fontId="21" fillId="2" borderId="18" xfId="1" applyFont="1" applyFill="1" applyBorder="1" applyAlignment="1" applyProtection="1">
      <alignment horizontal="center" vertical="top"/>
    </xf>
    <xf numFmtId="164" fontId="18" fillId="3" borderId="3" xfId="0" applyNumberFormat="1" applyFont="1" applyFill="1" applyBorder="1" applyAlignment="1" applyProtection="1">
      <alignment horizontal="left" vertical="top" wrapText="1"/>
      <protection locked="0"/>
    </xf>
    <xf numFmtId="164" fontId="18" fillId="3" borderId="4" xfId="0" applyNumberFormat="1" applyFont="1" applyFill="1" applyBorder="1" applyAlignment="1" applyProtection="1">
      <alignment horizontal="left" vertical="top" wrapText="1"/>
      <protection locked="0"/>
    </xf>
    <xf numFmtId="165" fontId="18" fillId="3" borderId="3" xfId="0" applyNumberFormat="1" applyFont="1" applyFill="1" applyBorder="1" applyAlignment="1" applyProtection="1">
      <alignment horizontal="left" vertical="top" wrapText="1"/>
      <protection locked="0"/>
    </xf>
    <xf numFmtId="164" fontId="18" fillId="3" borderId="3" xfId="0" applyNumberFormat="1" applyFont="1" applyFill="1" applyBorder="1" applyAlignment="1" applyProtection="1">
      <alignment vertical="top" wrapText="1"/>
      <protection locked="0"/>
    </xf>
    <xf numFmtId="164" fontId="18" fillId="3" borderId="4" xfId="0" applyNumberFormat="1" applyFont="1" applyFill="1" applyBorder="1" applyAlignment="1" applyProtection="1">
      <alignment vertical="top" wrapText="1"/>
      <protection locked="0"/>
    </xf>
    <xf numFmtId="164" fontId="18" fillId="0" borderId="66" xfId="0" applyNumberFormat="1" applyFont="1" applyBorder="1" applyAlignment="1">
      <alignment vertical="top"/>
    </xf>
    <xf numFmtId="9" fontId="18" fillId="0" borderId="3" xfId="1" applyFont="1" applyFill="1" applyBorder="1" applyAlignment="1" applyProtection="1">
      <alignment horizontal="left" vertical="top"/>
    </xf>
    <xf numFmtId="164" fontId="18" fillId="0" borderId="3" xfId="0" applyNumberFormat="1" applyFont="1" applyBorder="1" applyAlignment="1">
      <alignment horizontal="left" vertical="top" wrapText="1"/>
    </xf>
    <xf numFmtId="0" fontId="18" fillId="9" borderId="6" xfId="0" applyFont="1" applyFill="1" applyBorder="1" applyAlignment="1">
      <alignment horizontal="left" vertical="top" wrapText="1" indent="1"/>
    </xf>
    <xf numFmtId="0" fontId="18" fillId="0" borderId="3" xfId="0" applyFont="1" applyBorder="1" applyAlignment="1">
      <alignment horizontal="left" vertical="top" wrapText="1" indent="1"/>
    </xf>
    <xf numFmtId="0" fontId="18" fillId="9" borderId="3" xfId="0" applyFont="1" applyFill="1" applyBorder="1" applyAlignment="1">
      <alignment horizontal="left" vertical="top" wrapText="1" indent="1"/>
    </xf>
    <xf numFmtId="0" fontId="18" fillId="0" borderId="8" xfId="0" applyFont="1" applyBorder="1" applyAlignment="1">
      <alignment horizontal="left" vertical="top" wrapText="1" indent="1"/>
    </xf>
    <xf numFmtId="0" fontId="18" fillId="0" borderId="3" xfId="0" applyFont="1" applyBorder="1" applyAlignment="1">
      <alignment horizontal="left" vertical="top" wrapText="1" indent="2"/>
    </xf>
    <xf numFmtId="0" fontId="27" fillId="9" borderId="8" xfId="0" applyFont="1" applyFill="1" applyBorder="1" applyAlignment="1">
      <alignment horizontal="left" vertical="top" wrapText="1" indent="1"/>
    </xf>
    <xf numFmtId="0" fontId="23" fillId="4" borderId="8" xfId="0" applyFont="1" applyFill="1" applyBorder="1" applyAlignment="1">
      <alignment horizontal="left" vertical="top" wrapText="1" indent="1"/>
    </xf>
    <xf numFmtId="0" fontId="23" fillId="4" borderId="3" xfId="0" applyFont="1" applyFill="1" applyBorder="1" applyAlignment="1">
      <alignment horizontal="left" vertical="top" wrapText="1" indent="1"/>
    </xf>
    <xf numFmtId="0" fontId="18" fillId="4" borderId="3" xfId="0" applyFont="1" applyFill="1" applyBorder="1" applyAlignment="1">
      <alignment horizontal="left" vertical="top" wrapText="1" indent="1"/>
    </xf>
    <xf numFmtId="0" fontId="18" fillId="9" borderId="10" xfId="0" applyFont="1" applyFill="1" applyBorder="1" applyAlignment="1">
      <alignment horizontal="left" vertical="top" wrapText="1" indent="1"/>
    </xf>
    <xf numFmtId="0" fontId="18" fillId="9" borderId="11" xfId="0" applyFont="1" applyFill="1" applyBorder="1" applyAlignment="1">
      <alignment horizontal="left" vertical="top" wrapText="1" indent="1"/>
    </xf>
    <xf numFmtId="0" fontId="51" fillId="9" borderId="0" xfId="0" applyFont="1" applyFill="1"/>
    <xf numFmtId="0" fontId="29" fillId="9" borderId="0" xfId="0" applyFont="1" applyFill="1" applyAlignment="1">
      <alignment horizontal="center" vertical="center" wrapText="1"/>
    </xf>
    <xf numFmtId="164" fontId="25" fillId="3" borderId="52" xfId="1" applyNumberFormat="1" applyFont="1" applyFill="1" applyBorder="1" applyAlignment="1" applyProtection="1">
      <alignment vertical="top"/>
      <protection locked="0"/>
    </xf>
    <xf numFmtId="164" fontId="18" fillId="3" borderId="52" xfId="1" applyNumberFormat="1" applyFont="1" applyFill="1" applyBorder="1" applyAlignment="1" applyProtection="1">
      <alignment vertical="top"/>
      <protection locked="0"/>
    </xf>
    <xf numFmtId="164" fontId="23" fillId="4" borderId="61" xfId="0" applyNumberFormat="1" applyFont="1" applyFill="1" applyBorder="1" applyAlignment="1">
      <alignment horizontal="center" vertical="top" wrapText="1"/>
    </xf>
    <xf numFmtId="164" fontId="18" fillId="0" borderId="52" xfId="1" applyNumberFormat="1" applyFont="1" applyBorder="1" applyAlignment="1">
      <alignment vertical="top"/>
    </xf>
    <xf numFmtId="164" fontId="18" fillId="2" borderId="73" xfId="1" applyNumberFormat="1" applyFont="1" applyFill="1" applyBorder="1" applyAlignment="1">
      <alignment vertical="top"/>
    </xf>
    <xf numFmtId="164" fontId="18" fillId="2" borderId="52" xfId="1" applyNumberFormat="1" applyFont="1" applyFill="1" applyBorder="1" applyAlignment="1">
      <alignment vertical="top"/>
    </xf>
    <xf numFmtId="164" fontId="18" fillId="4" borderId="73" xfId="1" applyNumberFormat="1" applyFont="1" applyFill="1" applyBorder="1" applyAlignment="1">
      <alignment vertical="top"/>
    </xf>
    <xf numFmtId="164" fontId="18" fillId="0" borderId="73" xfId="1" applyNumberFormat="1" applyFont="1" applyBorder="1" applyAlignment="1">
      <alignment vertical="top"/>
    </xf>
    <xf numFmtId="164" fontId="18" fillId="2" borderId="74" xfId="0" applyNumberFormat="1" applyFont="1" applyFill="1" applyBorder="1" applyAlignment="1">
      <alignment vertical="top"/>
    </xf>
    <xf numFmtId="164" fontId="18" fillId="2" borderId="66" xfId="0" applyNumberFormat="1" applyFont="1" applyFill="1" applyBorder="1" applyAlignment="1">
      <alignment vertical="top"/>
    </xf>
    <xf numFmtId="164" fontId="18" fillId="4" borderId="74" xfId="0" applyNumberFormat="1" applyFont="1" applyFill="1" applyBorder="1" applyAlignment="1">
      <alignment vertical="top"/>
    </xf>
    <xf numFmtId="164" fontId="18" fillId="0" borderId="74" xfId="0" applyNumberFormat="1" applyFont="1" applyBorder="1" applyAlignment="1">
      <alignment vertical="top"/>
    </xf>
    <xf numFmtId="9" fontId="18" fillId="9" borderId="0" xfId="1" applyFont="1" applyFill="1" applyAlignment="1">
      <alignment vertical="top"/>
    </xf>
    <xf numFmtId="9" fontId="35" fillId="9" borderId="61" xfId="1" applyFont="1" applyFill="1" applyBorder="1" applyAlignment="1">
      <alignment horizontal="center" vertical="top" wrapText="1"/>
    </xf>
    <xf numFmtId="9" fontId="18" fillId="0" borderId="0" xfId="1" applyFont="1" applyAlignment="1">
      <alignment vertical="top"/>
    </xf>
    <xf numFmtId="9" fontId="18" fillId="0" borderId="52" xfId="1" applyFont="1" applyFill="1" applyBorder="1" applyAlignment="1">
      <alignment vertical="top"/>
    </xf>
    <xf numFmtId="9" fontId="23" fillId="4" borderId="61" xfId="1" applyFont="1" applyFill="1" applyBorder="1" applyAlignment="1">
      <alignment horizontal="center" vertical="top" wrapText="1"/>
    </xf>
    <xf numFmtId="9" fontId="18" fillId="0" borderId="61" xfId="1" applyFont="1" applyBorder="1" applyAlignment="1">
      <alignment vertical="top"/>
    </xf>
    <xf numFmtId="9" fontId="18" fillId="4" borderId="52" xfId="1" applyFont="1" applyFill="1" applyBorder="1" applyAlignment="1">
      <alignment vertical="top"/>
    </xf>
    <xf numFmtId="0" fontId="35" fillId="13" borderId="61" xfId="0" applyFont="1" applyFill="1" applyBorder="1" applyAlignment="1">
      <alignment horizontal="center" vertical="top" wrapText="1"/>
    </xf>
    <xf numFmtId="0" fontId="20" fillId="9" borderId="17" xfId="0" applyFont="1" applyFill="1" applyBorder="1" applyAlignment="1">
      <alignment horizontal="center" vertical="top" wrapText="1"/>
    </xf>
    <xf numFmtId="0" fontId="20" fillId="9" borderId="18" xfId="0" applyFont="1" applyFill="1" applyBorder="1" applyAlignment="1">
      <alignment horizontal="center" vertical="top" wrapText="1"/>
    </xf>
    <xf numFmtId="0" fontId="20" fillId="13" borderId="18" xfId="0" applyFont="1" applyFill="1" applyBorder="1" applyAlignment="1">
      <alignment horizontal="center" vertical="top" wrapText="1"/>
    </xf>
    <xf numFmtId="0" fontId="23" fillId="4" borderId="19" xfId="0" applyFont="1" applyFill="1" applyBorder="1" applyAlignment="1">
      <alignment horizontal="center" vertical="top" wrapText="1"/>
    </xf>
    <xf numFmtId="0" fontId="20" fillId="9" borderId="0" xfId="0" applyFont="1" applyFill="1" applyAlignment="1">
      <alignment horizontal="left" vertical="center"/>
    </xf>
    <xf numFmtId="0" fontId="18" fillId="9" borderId="0" xfId="0" applyFont="1" applyFill="1" applyAlignment="1">
      <alignment horizontal="center" vertical="center"/>
    </xf>
    <xf numFmtId="164" fontId="25" fillId="3" borderId="52" xfId="0" applyNumberFormat="1" applyFont="1" applyFill="1" applyBorder="1" applyAlignment="1" applyProtection="1">
      <alignment vertical="top"/>
      <protection locked="0"/>
    </xf>
    <xf numFmtId="0" fontId="50" fillId="9" borderId="0" xfId="0" applyFont="1" applyFill="1" applyAlignment="1">
      <alignment horizontal="center" vertical="top"/>
    </xf>
    <xf numFmtId="0" fontId="50" fillId="9" borderId="0" xfId="0" applyFont="1" applyFill="1"/>
    <xf numFmtId="0" fontId="19" fillId="9" borderId="0" xfId="0" applyFont="1" applyFill="1" applyAlignment="1">
      <alignment horizontal="center"/>
    </xf>
    <xf numFmtId="0" fontId="20" fillId="9" borderId="0" xfId="0" applyFont="1" applyFill="1" applyAlignment="1">
      <alignment horizontal="left"/>
    </xf>
    <xf numFmtId="0" fontId="58" fillId="3" borderId="76" xfId="3" applyFont="1" applyFill="1" applyBorder="1" applyAlignment="1" applyProtection="1">
      <alignment horizontal="center" vertical="center"/>
      <protection locked="0"/>
    </xf>
    <xf numFmtId="164" fontId="58" fillId="0" borderId="1" xfId="0" applyNumberFormat="1" applyFont="1" applyBorder="1" applyAlignment="1">
      <alignment horizontal="center" vertical="center"/>
    </xf>
    <xf numFmtId="0" fontId="20" fillId="9" borderId="3" xfId="0" applyFont="1" applyFill="1" applyBorder="1" applyAlignment="1" applyProtection="1">
      <alignment horizontal="left" vertical="top" wrapText="1" indent="1"/>
      <protection hidden="1"/>
    </xf>
    <xf numFmtId="0" fontId="21" fillId="0" borderId="3" xfId="0" applyFont="1" applyBorder="1" applyAlignment="1" applyProtection="1">
      <alignment horizontal="left" vertical="top" wrapText="1" indent="1"/>
      <protection hidden="1"/>
    </xf>
    <xf numFmtId="0" fontId="21" fillId="0" borderId="3" xfId="0" applyFont="1" applyBorder="1" applyAlignment="1" applyProtection="1">
      <alignment horizontal="left" vertical="top" wrapText="1" indent="3"/>
      <protection hidden="1"/>
    </xf>
    <xf numFmtId="0" fontId="20" fillId="9" borderId="7" xfId="0" applyFont="1" applyFill="1" applyBorder="1" applyAlignment="1" applyProtection="1">
      <alignment horizontal="left" vertical="top" wrapText="1" indent="1"/>
      <protection hidden="1"/>
    </xf>
    <xf numFmtId="0" fontId="20" fillId="0" borderId="9" xfId="0" applyFont="1" applyBorder="1" applyAlignment="1" applyProtection="1">
      <alignment horizontal="left" vertical="top" wrapText="1" indent="1"/>
      <protection hidden="1"/>
    </xf>
    <xf numFmtId="0" fontId="20" fillId="9" borderId="9" xfId="0" applyFont="1" applyFill="1" applyBorder="1" applyAlignment="1" applyProtection="1">
      <alignment horizontal="left" vertical="top" wrapText="1" indent="1"/>
      <protection hidden="1"/>
    </xf>
    <xf numFmtId="164" fontId="18" fillId="0" borderId="9" xfId="0" applyNumberFormat="1" applyFont="1" applyBorder="1" applyAlignment="1">
      <alignment horizontal="left" vertical="top" wrapText="1" indent="1"/>
    </xf>
    <xf numFmtId="0" fontId="20" fillId="0" borderId="3" xfId="0" applyFont="1" applyBorder="1" applyAlignment="1" applyProtection="1">
      <alignment horizontal="left" vertical="top" wrapText="1" indent="3"/>
      <protection hidden="1"/>
    </xf>
    <xf numFmtId="9" fontId="20" fillId="0" borderId="9" xfId="1" applyFont="1" applyBorder="1" applyAlignment="1" applyProtection="1">
      <alignment horizontal="left" vertical="top" wrapText="1" indent="1"/>
      <protection hidden="1"/>
    </xf>
    <xf numFmtId="0" fontId="21" fillId="0" borderId="3" xfId="0" applyFont="1" applyBorder="1" applyAlignment="1" applyProtection="1">
      <alignment horizontal="right" vertical="top" wrapText="1" indent="3"/>
      <protection hidden="1"/>
    </xf>
    <xf numFmtId="0" fontId="20" fillId="0" borderId="3" xfId="0" applyFont="1" applyBorder="1" applyAlignment="1" applyProtection="1">
      <alignment horizontal="left" vertical="top" wrapText="1" indent="6"/>
      <protection hidden="1"/>
    </xf>
    <xf numFmtId="0" fontId="24" fillId="0" borderId="9" xfId="0" applyFont="1" applyBorder="1" applyAlignment="1" applyProtection="1">
      <alignment horizontal="left" vertical="top" wrapText="1" indent="1"/>
      <protection hidden="1"/>
    </xf>
    <xf numFmtId="0" fontId="18" fillId="9" borderId="10" xfId="0" applyFont="1" applyFill="1" applyBorder="1" applyAlignment="1">
      <alignment vertical="top" wrapText="1"/>
    </xf>
    <xf numFmtId="0" fontId="18" fillId="9" borderId="11" xfId="0" applyFont="1" applyFill="1" applyBorder="1" applyAlignment="1">
      <alignment vertical="top" wrapText="1"/>
    </xf>
    <xf numFmtId="0" fontId="20" fillId="9" borderId="11" xfId="0" applyFont="1" applyFill="1" applyBorder="1" applyAlignment="1" applyProtection="1">
      <alignment horizontal="center" vertical="top" wrapText="1"/>
      <protection hidden="1"/>
    </xf>
    <xf numFmtId="14" fontId="20" fillId="9" borderId="11" xfId="0" applyNumberFormat="1" applyFont="1" applyFill="1" applyBorder="1" applyAlignment="1" applyProtection="1">
      <alignment horizontal="center" vertical="top" wrapText="1"/>
      <protection hidden="1"/>
    </xf>
    <xf numFmtId="0" fontId="20" fillId="9" borderId="11" xfId="0" applyFont="1" applyFill="1" applyBorder="1" applyAlignment="1" applyProtection="1">
      <alignment horizontal="left" vertical="top" wrapText="1"/>
      <protection hidden="1"/>
    </xf>
    <xf numFmtId="0" fontId="20" fillId="9" borderId="12" xfId="0" applyFont="1" applyFill="1" applyBorder="1" applyAlignment="1" applyProtection="1">
      <alignment horizontal="left" vertical="top" wrapText="1" indent="1"/>
      <protection hidden="1"/>
    </xf>
    <xf numFmtId="0" fontId="14" fillId="0" borderId="5" xfId="3" applyFont="1" applyBorder="1" applyAlignment="1">
      <alignment vertical="top"/>
    </xf>
    <xf numFmtId="0" fontId="14" fillId="0" borderId="6" xfId="3" applyFont="1" applyBorder="1" applyAlignment="1">
      <alignment vertical="top"/>
    </xf>
    <xf numFmtId="0" fontId="14" fillId="0" borderId="6" xfId="3" applyFont="1" applyBorder="1" applyAlignment="1" applyProtection="1">
      <alignment horizontal="left" vertical="top" indent="1"/>
      <protection hidden="1"/>
    </xf>
    <xf numFmtId="0" fontId="14" fillId="0" borderId="7" xfId="3" applyFont="1" applyBorder="1" applyAlignment="1" applyProtection="1">
      <alignment horizontal="left" vertical="top" indent="1"/>
      <protection hidden="1"/>
    </xf>
    <xf numFmtId="0" fontId="14" fillId="0" borderId="8" xfId="3" applyFont="1" applyBorder="1" applyAlignment="1">
      <alignment vertical="top"/>
    </xf>
    <xf numFmtId="0" fontId="14" fillId="0" borderId="3" xfId="3" applyFont="1" applyBorder="1" applyAlignment="1">
      <alignment vertical="top"/>
    </xf>
    <xf numFmtId="0" fontId="14" fillId="0" borderId="3" xfId="3" applyFont="1" applyBorder="1" applyAlignment="1" applyProtection="1">
      <alignment horizontal="left" vertical="top" indent="1"/>
      <protection hidden="1"/>
    </xf>
    <xf numFmtId="0" fontId="14" fillId="0" borderId="9" xfId="3" applyFont="1" applyBorder="1" applyAlignment="1" applyProtection="1">
      <alignment horizontal="left" vertical="top" indent="1"/>
      <protection hidden="1"/>
    </xf>
    <xf numFmtId="0" fontId="13" fillId="0" borderId="8" xfId="3" applyFont="1" applyBorder="1" applyAlignment="1">
      <alignment vertical="top"/>
    </xf>
    <xf numFmtId="0" fontId="39" fillId="10" borderId="9" xfId="3" applyFont="1" applyFill="1" applyBorder="1" applyAlignment="1" applyProtection="1">
      <alignment horizontal="left" vertical="top" indent="1"/>
      <protection hidden="1"/>
    </xf>
    <xf numFmtId="0" fontId="39" fillId="0" borderId="9" xfId="3" applyFont="1" applyBorder="1" applyAlignment="1" applyProtection="1">
      <alignment horizontal="left" vertical="top" indent="1"/>
      <protection hidden="1"/>
    </xf>
    <xf numFmtId="0" fontId="45" fillId="0" borderId="9" xfId="3" applyFont="1" applyBorder="1" applyAlignment="1" applyProtection="1">
      <alignment horizontal="left" vertical="top" indent="1"/>
      <protection hidden="1"/>
    </xf>
    <xf numFmtId="0" fontId="14" fillId="0" borderId="10" xfId="3" applyFont="1" applyBorder="1" applyAlignment="1">
      <alignment vertical="top"/>
    </xf>
    <xf numFmtId="0" fontId="14" fillId="0" borderId="11" xfId="3" applyFont="1" applyBorder="1" applyAlignment="1">
      <alignment vertical="top"/>
    </xf>
    <xf numFmtId="0" fontId="14" fillId="0" borderId="11" xfId="3" applyFont="1" applyBorder="1" applyAlignment="1" applyProtection="1">
      <alignment horizontal="left" vertical="top" indent="1"/>
      <protection hidden="1"/>
    </xf>
    <xf numFmtId="0" fontId="14" fillId="0" borderId="12" xfId="3" applyFont="1" applyBorder="1" applyAlignment="1" applyProtection="1">
      <alignment horizontal="left" vertical="top" indent="1"/>
      <protection hidden="1"/>
    </xf>
    <xf numFmtId="0" fontId="39" fillId="10" borderId="17" xfId="3" applyFont="1" applyFill="1" applyBorder="1" applyAlignment="1">
      <alignment horizontal="left" vertical="top" wrapText="1" indent="1"/>
    </xf>
    <xf numFmtId="0" fontId="39" fillId="10" borderId="18" xfId="3" applyFont="1" applyFill="1" applyBorder="1" applyAlignment="1">
      <alignment horizontal="left" vertical="top" wrapText="1" indent="1"/>
    </xf>
    <xf numFmtId="0" fontId="39" fillId="10" borderId="19" xfId="3" applyFont="1" applyFill="1" applyBorder="1" applyAlignment="1">
      <alignment horizontal="left" vertical="top" wrapText="1" indent="1"/>
    </xf>
    <xf numFmtId="0" fontId="10" fillId="0" borderId="5" xfId="3" applyFont="1" applyBorder="1" applyAlignment="1">
      <alignment vertical="top"/>
    </xf>
    <xf numFmtId="0" fontId="10" fillId="0" borderId="6" xfId="3" applyFont="1" applyBorder="1" applyAlignment="1">
      <alignment vertical="top"/>
    </xf>
    <xf numFmtId="0" fontId="14" fillId="0" borderId="6" xfId="3" applyFont="1" applyBorder="1" applyAlignment="1" applyProtection="1">
      <alignment horizontal="center" vertical="top"/>
      <protection hidden="1"/>
    </xf>
    <xf numFmtId="0" fontId="14" fillId="0" borderId="6" xfId="3" applyFont="1" applyBorder="1" applyAlignment="1" applyProtection="1">
      <alignment horizontal="left" vertical="top" wrapText="1" indent="1"/>
      <protection hidden="1"/>
    </xf>
    <xf numFmtId="0" fontId="14" fillId="0" borderId="7" xfId="3" applyFont="1" applyBorder="1" applyAlignment="1" applyProtection="1">
      <alignment horizontal="left" vertical="top" wrapText="1" indent="1"/>
      <protection hidden="1"/>
    </xf>
    <xf numFmtId="0" fontId="10" fillId="0" borderId="8" xfId="3" applyFont="1" applyBorder="1" applyAlignment="1">
      <alignment vertical="top"/>
    </xf>
    <xf numFmtId="0" fontId="10" fillId="0" borderId="3" xfId="3" applyFont="1" applyBorder="1" applyAlignment="1">
      <alignment vertical="top"/>
    </xf>
    <xf numFmtId="0" fontId="14" fillId="0" borderId="3" xfId="3" applyFont="1" applyBorder="1" applyAlignment="1" applyProtection="1">
      <alignment horizontal="center" vertical="top"/>
      <protection hidden="1"/>
    </xf>
    <xf numFmtId="0" fontId="14" fillId="0" borderId="3" xfId="3" applyFont="1" applyBorder="1" applyAlignment="1" applyProtection="1">
      <alignment horizontal="left" vertical="top" wrapText="1" indent="1"/>
      <protection hidden="1"/>
    </xf>
    <xf numFmtId="0" fontId="14" fillId="0" borderId="9" xfId="3" applyFont="1" applyBorder="1" applyAlignment="1" applyProtection="1">
      <alignment horizontal="left" vertical="top" wrapText="1" indent="1"/>
      <protection hidden="1"/>
    </xf>
    <xf numFmtId="0" fontId="10" fillId="0" borderId="3" xfId="3" applyFont="1" applyBorder="1" applyAlignment="1">
      <alignment vertical="top" wrapText="1"/>
    </xf>
    <xf numFmtId="0" fontId="14" fillId="0" borderId="3" xfId="3" applyFont="1" applyBorder="1"/>
    <xf numFmtId="0" fontId="14" fillId="0" borderId="11" xfId="3" applyFont="1" applyBorder="1"/>
    <xf numFmtId="0" fontId="14" fillId="0" borderId="5" xfId="3" applyFont="1" applyBorder="1"/>
    <xf numFmtId="0" fontId="14" fillId="0" borderId="6" xfId="3" applyFont="1" applyBorder="1"/>
    <xf numFmtId="0" fontId="10" fillId="0" borderId="6" xfId="3" applyFont="1" applyBorder="1"/>
    <xf numFmtId="0" fontId="10" fillId="0" borderId="7" xfId="3" applyFont="1" applyBorder="1"/>
    <xf numFmtId="0" fontId="14" fillId="0" borderId="8" xfId="3" applyFont="1" applyBorder="1"/>
    <xf numFmtId="0" fontId="10" fillId="0" borderId="3" xfId="3" applyFont="1" applyBorder="1"/>
    <xf numFmtId="0" fontId="10" fillId="0" borderId="9" xfId="3" applyFont="1" applyBorder="1"/>
    <xf numFmtId="0" fontId="14" fillId="0" borderId="10" xfId="3" applyFont="1" applyBorder="1"/>
    <xf numFmtId="0" fontId="10" fillId="0" borderId="11" xfId="3" applyFont="1" applyBorder="1"/>
    <xf numFmtId="0" fontId="10" fillId="0" borderId="12" xfId="3" applyFont="1" applyBorder="1"/>
    <xf numFmtId="0" fontId="10" fillId="14" borderId="5" xfId="3" applyFont="1" applyFill="1" applyBorder="1"/>
    <xf numFmtId="0" fontId="10" fillId="14" borderId="6" xfId="3" applyFont="1" applyFill="1" applyBorder="1"/>
    <xf numFmtId="0" fontId="10" fillId="0" borderId="8" xfId="3" applyFont="1" applyBorder="1"/>
    <xf numFmtId="0" fontId="10" fillId="14" borderId="8" xfId="3" applyFont="1" applyFill="1" applyBorder="1"/>
    <xf numFmtId="0" fontId="10" fillId="14" borderId="3" xfId="3" applyFont="1" applyFill="1" applyBorder="1"/>
    <xf numFmtId="0" fontId="10" fillId="0" borderId="10" xfId="3" applyFont="1" applyBorder="1"/>
    <xf numFmtId="0" fontId="14" fillId="0" borderId="95" xfId="3" applyFont="1" applyBorder="1" applyAlignment="1">
      <alignment vertical="top"/>
    </xf>
    <xf numFmtId="0" fontId="14" fillId="0" borderId="41" xfId="3" applyFont="1" applyBorder="1" applyAlignment="1">
      <alignment vertical="top"/>
    </xf>
    <xf numFmtId="0" fontId="14" fillId="0" borderId="96" xfId="3" applyFont="1" applyBorder="1" applyAlignment="1">
      <alignment vertical="top"/>
    </xf>
    <xf numFmtId="0" fontId="43" fillId="8" borderId="8" xfId="2" applyFont="1" applyFill="1" applyBorder="1" applyAlignment="1" applyProtection="1">
      <alignment horizontal="left" vertical="top" indent="1"/>
      <protection hidden="1"/>
    </xf>
    <xf numFmtId="0" fontId="55" fillId="3" borderId="8" xfId="2" applyFont="1" applyFill="1" applyBorder="1" applyAlignment="1" applyProtection="1">
      <alignment horizontal="left" vertical="top" indent="1"/>
      <protection hidden="1"/>
    </xf>
    <xf numFmtId="0" fontId="45" fillId="0" borderId="8" xfId="5" applyFont="1" applyFill="1" applyBorder="1" applyAlignment="1" applyProtection="1">
      <alignment horizontal="left" vertical="top" indent="1"/>
      <protection hidden="1"/>
    </xf>
    <xf numFmtId="0" fontId="45" fillId="0" borderId="10" xfId="5" applyFont="1" applyFill="1" applyBorder="1" applyAlignment="1" applyProtection="1">
      <alignment horizontal="left" vertical="top" indent="1"/>
      <protection hidden="1"/>
    </xf>
    <xf numFmtId="0" fontId="10" fillId="0" borderId="95" xfId="3" applyFont="1" applyBorder="1" applyAlignment="1">
      <alignment vertical="top"/>
    </xf>
    <xf numFmtId="0" fontId="10" fillId="0" borderId="41" xfId="3" applyFont="1" applyBorder="1" applyAlignment="1">
      <alignment vertical="top"/>
    </xf>
    <xf numFmtId="0" fontId="10" fillId="0" borderId="41" xfId="3" applyFont="1" applyBorder="1" applyAlignment="1">
      <alignment vertical="top" wrapText="1"/>
    </xf>
    <xf numFmtId="0" fontId="14" fillId="0" borderId="41" xfId="3" applyFont="1" applyBorder="1"/>
    <xf numFmtId="0" fontId="14" fillId="0" borderId="96" xfId="3" applyFont="1" applyBorder="1"/>
    <xf numFmtId="0" fontId="14" fillId="0" borderId="5" xfId="3" applyFont="1" applyBorder="1" applyAlignment="1" applyProtection="1">
      <alignment horizontal="center" vertical="top"/>
      <protection hidden="1"/>
    </xf>
    <xf numFmtId="0" fontId="14" fillId="0" borderId="8" xfId="3" applyFont="1" applyBorder="1" applyAlignment="1" applyProtection="1">
      <alignment horizontal="center" vertical="top"/>
      <protection hidden="1"/>
    </xf>
    <xf numFmtId="0" fontId="13" fillId="0" borderId="8" xfId="3" applyFont="1" applyBorder="1" applyAlignment="1" applyProtection="1">
      <alignment horizontal="center" vertical="top"/>
      <protection hidden="1"/>
    </xf>
    <xf numFmtId="0" fontId="12" fillId="0" borderId="8" xfId="3" applyFont="1" applyBorder="1" applyAlignment="1" applyProtection="1">
      <alignment horizontal="center" vertical="top"/>
      <protection hidden="1"/>
    </xf>
    <xf numFmtId="0" fontId="11" fillId="0" borderId="8" xfId="3" applyFont="1" applyBorder="1" applyAlignment="1" applyProtection="1">
      <alignment horizontal="center" vertical="top"/>
      <protection hidden="1"/>
    </xf>
    <xf numFmtId="0" fontId="39" fillId="10" borderId="97" xfId="3" applyFont="1" applyFill="1" applyBorder="1" applyAlignment="1">
      <alignment horizontal="left" vertical="top" wrapText="1" indent="1"/>
    </xf>
    <xf numFmtId="0" fontId="14" fillId="0" borderId="95" xfId="3" applyFont="1" applyBorder="1"/>
    <xf numFmtId="0" fontId="10" fillId="0" borderId="5" xfId="3" applyFont="1" applyBorder="1"/>
    <xf numFmtId="0" fontId="10" fillId="14" borderId="95" xfId="3" applyFont="1" applyFill="1" applyBorder="1"/>
    <xf numFmtId="0" fontId="10" fillId="0" borderId="41" xfId="3" applyFont="1" applyBorder="1"/>
    <xf numFmtId="0" fontId="10" fillId="14" borderId="41" xfId="3" applyFont="1" applyFill="1" applyBorder="1"/>
    <xf numFmtId="0" fontId="10" fillId="0" borderId="96" xfId="3" applyFont="1" applyBorder="1"/>
    <xf numFmtId="0" fontId="9" fillId="0" borderId="8" xfId="3" applyFont="1" applyBorder="1" applyAlignment="1">
      <alignment vertical="top" wrapText="1"/>
    </xf>
    <xf numFmtId="0" fontId="14" fillId="0" borderId="3" xfId="3" applyFont="1" applyBorder="1" applyAlignment="1">
      <alignment vertical="top" wrapText="1"/>
    </xf>
    <xf numFmtId="0" fontId="9" fillId="0" borderId="3" xfId="3" applyFont="1" applyBorder="1" applyAlignment="1">
      <alignment vertical="top" wrapText="1"/>
    </xf>
    <xf numFmtId="0" fontId="14" fillId="0" borderId="8" xfId="3" applyFont="1" applyBorder="1" applyAlignment="1">
      <alignment vertical="top" wrapText="1"/>
    </xf>
    <xf numFmtId="0" fontId="10" fillId="0" borderId="8" xfId="3" applyFont="1" applyBorder="1" applyAlignment="1">
      <alignment vertical="top" wrapText="1"/>
    </xf>
    <xf numFmtId="0" fontId="14" fillId="0" borderId="41" xfId="3" applyFont="1" applyBorder="1" applyAlignment="1">
      <alignment vertical="top" wrapText="1"/>
    </xf>
    <xf numFmtId="0" fontId="10" fillId="0" borderId="10" xfId="3" applyFont="1" applyBorder="1" applyAlignment="1">
      <alignment vertical="top" wrapText="1"/>
    </xf>
    <xf numFmtId="0" fontId="14" fillId="0" borderId="11" xfId="3" applyFont="1" applyBorder="1" applyAlignment="1">
      <alignment vertical="top" wrapText="1"/>
    </xf>
    <xf numFmtId="0" fontId="14" fillId="0" borderId="96" xfId="3" applyFont="1" applyBorder="1" applyAlignment="1">
      <alignment vertical="top" wrapText="1"/>
    </xf>
    <xf numFmtId="0" fontId="14" fillId="0" borderId="10" xfId="3" applyFont="1" applyBorder="1" applyAlignment="1">
      <alignment vertical="top" wrapText="1"/>
    </xf>
    <xf numFmtId="14" fontId="14" fillId="0" borderId="6" xfId="3" applyNumberFormat="1" applyFont="1" applyBorder="1" applyAlignment="1" applyProtection="1">
      <alignment horizontal="center" vertical="top"/>
      <protection hidden="1"/>
    </xf>
    <xf numFmtId="14" fontId="14" fillId="0" borderId="3" xfId="3" applyNumberFormat="1" applyFont="1" applyBorder="1" applyAlignment="1" applyProtection="1">
      <alignment horizontal="center" vertical="top"/>
      <protection hidden="1"/>
    </xf>
    <xf numFmtId="14" fontId="14" fillId="0" borderId="3" xfId="3" applyNumberFormat="1" applyFont="1" applyBorder="1" applyAlignment="1">
      <alignment horizontal="center" vertical="top" wrapText="1"/>
    </xf>
    <xf numFmtId="14" fontId="14" fillId="0" borderId="11" xfId="3" applyNumberFormat="1" applyFont="1" applyBorder="1" applyAlignment="1">
      <alignment horizontal="center" vertical="top" wrapText="1"/>
    </xf>
    <xf numFmtId="0" fontId="9" fillId="0" borderId="3" xfId="3" applyFont="1" applyBorder="1" applyAlignment="1">
      <alignment horizontal="center" vertical="top" wrapText="1"/>
    </xf>
    <xf numFmtId="0" fontId="14" fillId="0" borderId="3" xfId="3" applyFont="1" applyBorder="1" applyAlignment="1">
      <alignment horizontal="center" vertical="top" wrapText="1"/>
    </xf>
    <xf numFmtId="0" fontId="14" fillId="0" borderId="11" xfId="3" applyFont="1" applyBorder="1" applyAlignment="1">
      <alignment horizontal="center" vertical="top" wrapText="1"/>
    </xf>
    <xf numFmtId="0" fontId="43" fillId="10" borderId="8" xfId="2" applyFont="1" applyFill="1" applyBorder="1" applyAlignment="1" applyProtection="1">
      <alignment horizontal="left" vertical="top" indent="1"/>
      <protection hidden="1"/>
    </xf>
    <xf numFmtId="0" fontId="39" fillId="11" borderId="5" xfId="3" applyFont="1" applyFill="1" applyBorder="1" applyAlignment="1" applyProtection="1">
      <alignment horizontal="left" vertical="top" indent="1"/>
      <protection hidden="1"/>
    </xf>
    <xf numFmtId="0" fontId="23" fillId="4" borderId="17" xfId="0" applyFont="1" applyFill="1" applyBorder="1" applyAlignment="1">
      <alignment horizontal="center" vertical="top"/>
    </xf>
    <xf numFmtId="0" fontId="23" fillId="4" borderId="18" xfId="0" applyFont="1" applyFill="1" applyBorder="1" applyAlignment="1">
      <alignment horizontal="center" vertical="top"/>
    </xf>
    <xf numFmtId="0" fontId="20" fillId="9" borderId="0" xfId="0" applyFont="1" applyFill="1" applyAlignment="1">
      <alignment horizontal="left" vertical="top"/>
    </xf>
    <xf numFmtId="0" fontId="18" fillId="9" borderId="0" xfId="0" applyFont="1" applyFill="1" applyAlignment="1">
      <alignment horizontal="left" vertical="top"/>
    </xf>
    <xf numFmtId="0" fontId="15" fillId="9" borderId="0" xfId="0" applyFont="1" applyFill="1" applyAlignment="1">
      <alignment horizontal="center" vertical="top"/>
    </xf>
    <xf numFmtId="0" fontId="15" fillId="0" borderId="0" xfId="0" applyFont="1" applyAlignment="1">
      <alignment horizontal="center" vertical="top"/>
    </xf>
    <xf numFmtId="0" fontId="21" fillId="2" borderId="6" xfId="0" applyFont="1" applyFill="1" applyBorder="1" applyAlignment="1">
      <alignment horizontal="center" vertical="top"/>
    </xf>
    <xf numFmtId="0" fontId="21" fillId="2" borderId="3" xfId="0" applyFont="1" applyFill="1" applyBorder="1" applyAlignment="1">
      <alignment horizontal="center" vertical="top"/>
    </xf>
    <xf numFmtId="0" fontId="21" fillId="2" borderId="11" xfId="0" applyFont="1" applyFill="1" applyBorder="1" applyAlignment="1">
      <alignment horizontal="center" vertical="top"/>
    </xf>
    <xf numFmtId="0" fontId="21" fillId="2" borderId="4" xfId="0" applyFont="1" applyFill="1" applyBorder="1" applyAlignment="1">
      <alignment horizontal="center" vertical="top"/>
    </xf>
    <xf numFmtId="0" fontId="21" fillId="2" borderId="18" xfId="0" applyFont="1" applyFill="1" applyBorder="1" applyAlignment="1">
      <alignment horizontal="center" vertical="top"/>
    </xf>
    <xf numFmtId="0" fontId="25" fillId="0" borderId="3" xfId="0" applyFont="1" applyBorder="1" applyAlignment="1">
      <alignment horizontal="center" vertical="top" wrapText="1"/>
    </xf>
    <xf numFmtId="0" fontId="25" fillId="0" borderId="4" xfId="0" applyFont="1" applyBorder="1" applyAlignment="1">
      <alignment horizontal="center" vertical="top" wrapText="1"/>
    </xf>
    <xf numFmtId="169" fontId="25" fillId="0" borderId="4" xfId="0" applyNumberFormat="1" applyFont="1" applyBorder="1" applyAlignment="1">
      <alignment horizontal="center" vertical="top"/>
    </xf>
    <xf numFmtId="9" fontId="18" fillId="0" borderId="3" xfId="1" applyFont="1" applyFill="1" applyBorder="1" applyAlignment="1" applyProtection="1">
      <alignment horizontal="center" vertical="top"/>
    </xf>
    <xf numFmtId="170" fontId="18" fillId="0" borderId="3" xfId="1" applyNumberFormat="1" applyFont="1" applyFill="1" applyBorder="1" applyAlignment="1" applyProtection="1">
      <alignment horizontal="center" vertical="top"/>
    </xf>
    <xf numFmtId="171" fontId="18" fillId="3" borderId="3" xfId="1" applyNumberFormat="1" applyFont="1" applyFill="1" applyBorder="1" applyAlignment="1" applyProtection="1">
      <alignment horizontal="center" vertical="top"/>
      <protection locked="0"/>
    </xf>
    <xf numFmtId="0" fontId="14" fillId="0" borderId="12" xfId="3" applyFont="1" applyBorder="1" applyAlignment="1" applyProtection="1">
      <alignment horizontal="left" vertical="top" wrapText="1" indent="1"/>
      <protection hidden="1"/>
    </xf>
    <xf numFmtId="0" fontId="14" fillId="0" borderId="11" xfId="3" applyFont="1" applyBorder="1" applyAlignment="1" applyProtection="1">
      <alignment horizontal="left" vertical="top" wrapText="1" indent="1"/>
      <protection hidden="1"/>
    </xf>
    <xf numFmtId="172" fontId="18" fillId="0" borderId="62" xfId="1" applyNumberFormat="1" applyFont="1" applyBorder="1" applyAlignment="1">
      <alignment horizontal="center" vertical="top"/>
    </xf>
    <xf numFmtId="172" fontId="18" fillId="0" borderId="63" xfId="1" applyNumberFormat="1" applyFont="1" applyBorder="1" applyAlignment="1">
      <alignment horizontal="center" vertical="top"/>
    </xf>
    <xf numFmtId="172" fontId="18" fillId="0" borderId="64" xfId="1" applyNumberFormat="1" applyFont="1" applyBorder="1" applyAlignment="1">
      <alignment horizontal="center" vertical="top"/>
    </xf>
    <xf numFmtId="0" fontId="20" fillId="9" borderId="65" xfId="3" applyFont="1" applyFill="1" applyBorder="1"/>
    <xf numFmtId="0" fontId="20" fillId="9" borderId="82" xfId="3" applyFont="1" applyFill="1" applyBorder="1"/>
    <xf numFmtId="164" fontId="20" fillId="9" borderId="82" xfId="3" applyNumberFormat="1" applyFont="1" applyFill="1" applyBorder="1"/>
    <xf numFmtId="165" fontId="20" fillId="9" borderId="82" xfId="3" applyNumberFormat="1" applyFont="1" applyFill="1" applyBorder="1"/>
    <xf numFmtId="164" fontId="18" fillId="9" borderId="82" xfId="3" applyNumberFormat="1" applyFont="1" applyFill="1" applyBorder="1"/>
    <xf numFmtId="164" fontId="20" fillId="9" borderId="42" xfId="3" applyNumberFormat="1" applyFont="1" applyFill="1" applyBorder="1" applyAlignment="1">
      <alignment horizontal="right"/>
    </xf>
    <xf numFmtId="0" fontId="20" fillId="9" borderId="44" xfId="3" applyFont="1" applyFill="1" applyBorder="1"/>
    <xf numFmtId="0" fontId="20" fillId="9" borderId="0" xfId="3" applyFont="1" applyFill="1"/>
    <xf numFmtId="164" fontId="20" fillId="9" borderId="0" xfId="3" applyNumberFormat="1" applyFont="1" applyFill="1"/>
    <xf numFmtId="14" fontId="20" fillId="9" borderId="0" xfId="3" applyNumberFormat="1" applyFont="1" applyFill="1"/>
    <xf numFmtId="164" fontId="20" fillId="9" borderId="46" xfId="3" applyNumberFormat="1" applyFont="1" applyFill="1" applyBorder="1"/>
    <xf numFmtId="14" fontId="20" fillId="9" borderId="46" xfId="3" applyNumberFormat="1" applyFont="1" applyFill="1" applyBorder="1"/>
    <xf numFmtId="0" fontId="8" fillId="0" borderId="3" xfId="3" applyFont="1" applyBorder="1" applyAlignment="1">
      <alignment vertical="top" wrapText="1"/>
    </xf>
    <xf numFmtId="10" fontId="18" fillId="3" borderId="3" xfId="1" applyNumberFormat="1" applyFont="1" applyFill="1" applyBorder="1" applyAlignment="1" applyProtection="1">
      <alignment horizontal="center" vertical="top"/>
      <protection locked="0"/>
    </xf>
    <xf numFmtId="0" fontId="20" fillId="2" borderId="98" xfId="0" applyFont="1" applyFill="1" applyBorder="1" applyAlignment="1">
      <alignment horizontal="center" vertical="top"/>
    </xf>
    <xf numFmtId="0" fontId="20" fillId="2" borderId="99" xfId="0" applyFont="1" applyFill="1" applyBorder="1" applyAlignment="1">
      <alignment vertical="top"/>
    </xf>
    <xf numFmtId="0" fontId="20" fillId="2" borderId="99" xfId="0" applyFont="1" applyFill="1" applyBorder="1" applyAlignment="1">
      <alignment horizontal="left" vertical="top"/>
    </xf>
    <xf numFmtId="0" fontId="21" fillId="2" borderId="99" xfId="0" applyFont="1" applyFill="1" applyBorder="1" applyAlignment="1">
      <alignment horizontal="left" vertical="top"/>
    </xf>
    <xf numFmtId="0" fontId="21" fillId="2" borderId="99" xfId="0" applyFont="1" applyFill="1" applyBorder="1" applyAlignment="1">
      <alignment horizontal="center" vertical="top"/>
    </xf>
    <xf numFmtId="0" fontId="20" fillId="2" borderId="99" xfId="0" applyFont="1" applyFill="1" applyBorder="1" applyAlignment="1">
      <alignment horizontal="center" vertical="top"/>
    </xf>
    <xf numFmtId="164" fontId="20" fillId="2" borderId="99" xfId="0" applyNumberFormat="1" applyFont="1" applyFill="1" applyBorder="1" applyAlignment="1">
      <alignment horizontal="right" vertical="top"/>
    </xf>
    <xf numFmtId="9" fontId="20" fillId="2" borderId="99" xfId="1" applyFont="1" applyFill="1" applyBorder="1" applyAlignment="1">
      <alignment horizontal="center" vertical="top"/>
    </xf>
    <xf numFmtId="164" fontId="20" fillId="2" borderId="99" xfId="0" applyNumberFormat="1" applyFont="1" applyFill="1" applyBorder="1" applyAlignment="1">
      <alignment vertical="top"/>
    </xf>
    <xf numFmtId="9" fontId="20" fillId="2" borderId="100" xfId="1" applyFont="1" applyFill="1" applyBorder="1" applyAlignment="1">
      <alignment horizontal="center" vertical="top"/>
    </xf>
    <xf numFmtId="164" fontId="18" fillId="2" borderId="21" xfId="0" applyNumberFormat="1" applyFont="1" applyFill="1" applyBorder="1" applyAlignment="1">
      <alignment vertical="top"/>
    </xf>
    <xf numFmtId="164" fontId="18" fillId="3" borderId="21" xfId="0" applyNumberFormat="1" applyFont="1" applyFill="1" applyBorder="1" applyAlignment="1" applyProtection="1">
      <alignment vertical="top"/>
      <protection locked="0"/>
    </xf>
    <xf numFmtId="164" fontId="18" fillId="3" borderId="21" xfId="0" applyNumberFormat="1" applyFont="1" applyFill="1" applyBorder="1" applyAlignment="1" applyProtection="1">
      <alignment horizontal="left" vertical="top" wrapText="1"/>
      <protection locked="0"/>
    </xf>
    <xf numFmtId="0" fontId="20" fillId="2" borderId="80" xfId="0" applyFont="1" applyFill="1" applyBorder="1" applyAlignment="1">
      <alignment horizontal="left" vertical="top" indent="1"/>
    </xf>
    <xf numFmtId="0" fontId="20" fillId="0" borderId="0" xfId="0" applyFont="1" applyAlignment="1">
      <alignment horizontal="left" indent="2"/>
    </xf>
    <xf numFmtId="0" fontId="20" fillId="2" borderId="1" xfId="0" applyFont="1" applyFill="1" applyBorder="1" applyAlignment="1">
      <alignment horizontal="left" vertical="top" indent="1"/>
    </xf>
    <xf numFmtId="0" fontId="20" fillId="0" borderId="0" xfId="0" applyFont="1" applyAlignment="1">
      <alignment horizontal="left" vertical="top" indent="2"/>
    </xf>
    <xf numFmtId="0" fontId="20" fillId="0" borderId="75" xfId="0" applyFont="1" applyBorder="1" applyAlignment="1">
      <alignment horizontal="left" vertical="top" indent="2"/>
    </xf>
    <xf numFmtId="0" fontId="23" fillId="4" borderId="3" xfId="0" applyFont="1" applyFill="1" applyBorder="1" applyAlignment="1" applyProtection="1">
      <alignment horizontal="left" vertical="top" wrapText="1" indent="1"/>
      <protection hidden="1"/>
    </xf>
    <xf numFmtId="0" fontId="20" fillId="2" borderId="3" xfId="0" applyFont="1" applyFill="1" applyBorder="1" applyAlignment="1" applyProtection="1">
      <alignment horizontal="left" vertical="top" wrapText="1" indent="1"/>
      <protection hidden="1"/>
    </xf>
    <xf numFmtId="0" fontId="7" fillId="0" borderId="3" xfId="3" applyFont="1" applyBorder="1" applyAlignment="1">
      <alignment vertical="top" wrapText="1"/>
    </xf>
    <xf numFmtId="0" fontId="7" fillId="0" borderId="41" xfId="3" applyFont="1" applyBorder="1" applyAlignment="1">
      <alignment vertical="top" wrapText="1"/>
    </xf>
    <xf numFmtId="0" fontId="20" fillId="15" borderId="3" xfId="0" applyFont="1" applyFill="1" applyBorder="1" applyAlignment="1">
      <alignment horizontal="left" vertical="top" wrapText="1" indent="1"/>
    </xf>
    <xf numFmtId="0" fontId="18" fillId="15" borderId="3" xfId="0" applyFont="1" applyFill="1" applyBorder="1" applyAlignment="1">
      <alignment horizontal="left" vertical="top" wrapText="1" indent="1"/>
    </xf>
    <xf numFmtId="0" fontId="18" fillId="15" borderId="3" xfId="0" applyFont="1" applyFill="1" applyBorder="1" applyAlignment="1">
      <alignment horizontal="left" vertical="top" wrapText="1" indent="2"/>
    </xf>
    <xf numFmtId="0" fontId="28" fillId="15" borderId="3" xfId="2" applyFont="1" applyFill="1" applyBorder="1" applyAlignment="1" applyProtection="1">
      <alignment horizontal="left" vertical="top" wrapText="1" indent="1"/>
    </xf>
    <xf numFmtId="9" fontId="18" fillId="15" borderId="3" xfId="1" applyFont="1" applyFill="1" applyBorder="1" applyAlignment="1" applyProtection="1">
      <alignment horizontal="left" vertical="top" wrapText="1" indent="1"/>
    </xf>
    <xf numFmtId="0" fontId="6" fillId="0" borderId="8" xfId="3" applyFont="1" applyBorder="1" applyAlignment="1">
      <alignment vertical="top" wrapText="1"/>
    </xf>
    <xf numFmtId="0" fontId="6" fillId="0" borderId="3" xfId="3" applyFont="1" applyBorder="1" applyAlignment="1">
      <alignment vertical="top" wrapText="1"/>
    </xf>
    <xf numFmtId="0" fontId="6" fillId="0" borderId="41" xfId="3" applyFont="1" applyBorder="1" applyAlignment="1">
      <alignment vertical="top" wrapText="1"/>
    </xf>
    <xf numFmtId="0" fontId="6" fillId="0" borderId="8" xfId="3" applyFont="1" applyBorder="1" applyAlignment="1" applyProtection="1">
      <alignment horizontal="center" vertical="top"/>
      <protection hidden="1"/>
    </xf>
    <xf numFmtId="14" fontId="18" fillId="3" borderId="3" xfId="0" applyNumberFormat="1" applyFont="1" applyFill="1" applyBorder="1" applyAlignment="1" applyProtection="1">
      <alignment horizontal="left" vertical="top" wrapText="1" indent="1"/>
      <protection locked="0"/>
    </xf>
    <xf numFmtId="10" fontId="18" fillId="3" borderId="3" xfId="1" applyNumberFormat="1" applyFont="1" applyFill="1" applyBorder="1" applyAlignment="1" applyProtection="1">
      <alignment horizontal="left" vertical="top" wrapText="1" indent="1"/>
      <protection locked="0"/>
    </xf>
    <xf numFmtId="9" fontId="20" fillId="15" borderId="3" xfId="1" applyFont="1" applyFill="1" applyBorder="1" applyAlignment="1" applyProtection="1">
      <alignment horizontal="left" vertical="top" wrapText="1" indent="1"/>
    </xf>
    <xf numFmtId="170" fontId="18" fillId="3" borderId="3" xfId="1" applyNumberFormat="1" applyFont="1" applyFill="1" applyBorder="1" applyAlignment="1" applyProtection="1">
      <alignment horizontal="left" vertical="top" wrapText="1" indent="1"/>
      <protection locked="0"/>
    </xf>
    <xf numFmtId="172" fontId="18" fillId="6" borderId="49" xfId="1" applyNumberFormat="1" applyFont="1" applyFill="1" applyBorder="1" applyAlignment="1">
      <alignment horizontal="center"/>
    </xf>
    <xf numFmtId="172" fontId="18" fillId="6" borderId="50" xfId="1" applyNumberFormat="1" applyFont="1" applyFill="1" applyBorder="1" applyAlignment="1">
      <alignment horizontal="center"/>
    </xf>
    <xf numFmtId="172" fontId="18" fillId="6" borderId="52" xfId="1" applyNumberFormat="1" applyFont="1" applyFill="1" applyBorder="1" applyAlignment="1">
      <alignment horizontal="center"/>
    </xf>
    <xf numFmtId="172" fontId="18" fillId="6" borderId="53" xfId="1" applyNumberFormat="1" applyFont="1" applyFill="1" applyBorder="1" applyAlignment="1">
      <alignment horizontal="center"/>
    </xf>
    <xf numFmtId="172" fontId="18" fillId="6" borderId="58" xfId="1" applyNumberFormat="1" applyFont="1" applyFill="1" applyBorder="1" applyAlignment="1">
      <alignment horizontal="center"/>
    </xf>
    <xf numFmtId="172" fontId="18" fillId="6" borderId="59" xfId="1" applyNumberFormat="1" applyFont="1" applyFill="1" applyBorder="1" applyAlignment="1">
      <alignment horizontal="center"/>
    </xf>
    <xf numFmtId="164" fontId="20" fillId="2" borderId="6" xfId="1" applyNumberFormat="1" applyFont="1" applyFill="1" applyBorder="1" applyAlignment="1">
      <alignment vertical="top" wrapText="1"/>
    </xf>
    <xf numFmtId="0" fontId="20" fillId="2" borderId="3" xfId="1" applyNumberFormat="1" applyFont="1" applyFill="1" applyBorder="1" applyAlignment="1">
      <alignment vertical="top" wrapText="1"/>
    </xf>
    <xf numFmtId="164" fontId="20" fillId="4" borderId="3" xfId="1" applyNumberFormat="1" applyFont="1" applyFill="1" applyBorder="1" applyAlignment="1">
      <alignment vertical="top" wrapText="1"/>
    </xf>
    <xf numFmtId="164" fontId="24" fillId="2" borderId="18" xfId="0" applyNumberFormat="1" applyFont="1" applyFill="1" applyBorder="1" applyAlignment="1">
      <alignment vertical="top"/>
    </xf>
    <xf numFmtId="164" fontId="25" fillId="0" borderId="2" xfId="0" applyNumberFormat="1" applyFont="1" applyBorder="1" applyAlignment="1">
      <alignment vertical="top"/>
    </xf>
    <xf numFmtId="164" fontId="20" fillId="2" borderId="18" xfId="1" applyNumberFormat="1" applyFont="1" applyFill="1" applyBorder="1" applyAlignment="1">
      <alignment vertical="top"/>
    </xf>
    <xf numFmtId="164" fontId="18" fillId="0" borderId="21" xfId="1" applyNumberFormat="1" applyFont="1" applyBorder="1" applyAlignment="1">
      <alignment vertical="top"/>
    </xf>
    <xf numFmtId="164" fontId="20" fillId="2" borderId="6" xfId="1" applyNumberFormat="1" applyFont="1" applyFill="1" applyBorder="1" applyAlignment="1">
      <alignment vertical="top"/>
    </xf>
    <xf numFmtId="164" fontId="20" fillId="2" borderId="3" xfId="1" applyNumberFormat="1" applyFont="1" applyFill="1" applyBorder="1" applyAlignment="1">
      <alignment vertical="top"/>
    </xf>
    <xf numFmtId="164" fontId="20" fillId="2" borderId="4" xfId="1" applyNumberFormat="1" applyFont="1" applyFill="1" applyBorder="1" applyAlignment="1">
      <alignment vertical="top"/>
    </xf>
    <xf numFmtId="164" fontId="18" fillId="0" borderId="2" xfId="1" applyNumberFormat="1" applyFont="1" applyBorder="1" applyAlignment="1">
      <alignment vertical="top"/>
    </xf>
    <xf numFmtId="164" fontId="18" fillId="0" borderId="4" xfId="1" applyNumberFormat="1" applyFont="1" applyBorder="1" applyAlignment="1">
      <alignment vertical="top"/>
    </xf>
    <xf numFmtId="164" fontId="20" fillId="2" borderId="11" xfId="1" applyNumberFormat="1" applyFont="1" applyFill="1" applyBorder="1" applyAlignment="1">
      <alignment vertical="top"/>
    </xf>
    <xf numFmtId="164" fontId="20" fillId="2" borderId="99" xfId="1" applyNumberFormat="1" applyFont="1" applyFill="1" applyBorder="1" applyAlignment="1">
      <alignment vertical="top"/>
    </xf>
    <xf numFmtId="164" fontId="18" fillId="4" borderId="3" xfId="1" applyNumberFormat="1" applyFont="1" applyFill="1" applyBorder="1" applyAlignment="1">
      <alignment vertical="top"/>
    </xf>
    <xf numFmtId="164" fontId="18" fillId="3" borderId="3" xfId="1" applyNumberFormat="1" applyFont="1" applyFill="1" applyBorder="1" applyAlignment="1" applyProtection="1">
      <alignment vertical="top"/>
      <protection locked="0"/>
    </xf>
    <xf numFmtId="164" fontId="18" fillId="3" borderId="4" xfId="1" applyNumberFormat="1" applyFont="1" applyFill="1" applyBorder="1" applyAlignment="1" applyProtection="1">
      <alignment vertical="top"/>
      <protection locked="0"/>
    </xf>
    <xf numFmtId="164" fontId="18" fillId="0" borderId="3" xfId="1" applyNumberFormat="1" applyFont="1" applyBorder="1" applyAlignment="1">
      <alignment vertical="top"/>
    </xf>
    <xf numFmtId="164" fontId="18" fillId="2" borderId="3" xfId="1" applyNumberFormat="1" applyFont="1" applyFill="1" applyBorder="1" applyAlignment="1">
      <alignment vertical="top"/>
    </xf>
    <xf numFmtId="164" fontId="18" fillId="2" borderId="4" xfId="1" applyNumberFormat="1" applyFont="1" applyFill="1" applyBorder="1" applyAlignment="1">
      <alignment vertical="top"/>
    </xf>
    <xf numFmtId="164" fontId="25" fillId="4" borderId="3" xfId="1" applyNumberFormat="1" applyFont="1" applyFill="1" applyBorder="1" applyAlignment="1">
      <alignment vertical="top"/>
    </xf>
    <xf numFmtId="0" fontId="18" fillId="9" borderId="28" xfId="0" applyFont="1" applyFill="1" applyBorder="1" applyAlignment="1">
      <alignment vertical="top"/>
    </xf>
    <xf numFmtId="0" fontId="5" fillId="0" borderId="3" xfId="3" applyFont="1" applyBorder="1" applyAlignment="1">
      <alignment vertical="top"/>
    </xf>
    <xf numFmtId="0" fontId="62" fillId="0" borderId="3" xfId="3" applyFont="1" applyBorder="1" applyAlignment="1" applyProtection="1">
      <alignment horizontal="left" vertical="top" indent="1"/>
      <protection hidden="1"/>
    </xf>
    <xf numFmtId="10" fontId="18" fillId="3" borderId="3" xfId="1" applyNumberFormat="1" applyFont="1" applyFill="1" applyBorder="1" applyAlignment="1" applyProtection="1">
      <alignment vertical="top"/>
      <protection locked="0"/>
    </xf>
    <xf numFmtId="0" fontId="4" fillId="0" borderId="8" xfId="3" applyFont="1" applyBorder="1" applyAlignment="1" applyProtection="1">
      <alignment horizontal="center" vertical="top"/>
      <protection hidden="1"/>
    </xf>
    <xf numFmtId="0" fontId="4" fillId="0" borderId="3" xfId="3" applyFont="1" applyBorder="1" applyAlignment="1">
      <alignment vertical="top" wrapText="1"/>
    </xf>
    <xf numFmtId="0" fontId="3" fillId="0" borderId="8" xfId="3" applyFont="1" applyBorder="1" applyAlignment="1">
      <alignment vertical="top" wrapText="1"/>
    </xf>
    <xf numFmtId="0" fontId="3" fillId="0" borderId="3" xfId="3" applyFont="1" applyBorder="1" applyAlignment="1">
      <alignment vertical="top" wrapText="1"/>
    </xf>
    <xf numFmtId="0" fontId="63" fillId="4" borderId="17" xfId="0" applyFont="1" applyFill="1" applyBorder="1" applyAlignment="1">
      <alignment horizontal="center" vertical="top" wrapText="1"/>
    </xf>
    <xf numFmtId="0" fontId="23" fillId="4" borderId="34" xfId="0" applyFont="1" applyFill="1" applyBorder="1" applyAlignment="1">
      <alignment horizontal="center" vertical="top"/>
    </xf>
    <xf numFmtId="0" fontId="27" fillId="9" borderId="3" xfId="0" applyFont="1" applyFill="1" applyBorder="1" applyAlignment="1">
      <alignment horizontal="left" vertical="top" wrapText="1" indent="1"/>
    </xf>
    <xf numFmtId="0" fontId="18" fillId="9" borderId="7" xfId="0" applyFont="1" applyFill="1" applyBorder="1" applyAlignment="1">
      <alignment horizontal="left" vertical="top" wrapText="1" indent="1"/>
    </xf>
    <xf numFmtId="0" fontId="18" fillId="0" borderId="9" xfId="0" applyFont="1" applyBorder="1" applyAlignment="1">
      <alignment horizontal="left" vertical="top" wrapText="1" indent="1"/>
    </xf>
    <xf numFmtId="0" fontId="18" fillId="9" borderId="9" xfId="0" applyFont="1" applyFill="1" applyBorder="1" applyAlignment="1">
      <alignment horizontal="left" vertical="top" wrapText="1" indent="1"/>
    </xf>
    <xf numFmtId="14" fontId="18" fillId="0" borderId="9" xfId="0" applyNumberFormat="1" applyFont="1" applyBorder="1" applyAlignment="1">
      <alignment horizontal="left" vertical="top" wrapText="1" indent="1"/>
    </xf>
    <xf numFmtId="9" fontId="18" fillId="0" borderId="9" xfId="1" applyFont="1" applyFill="1" applyBorder="1" applyAlignment="1" applyProtection="1">
      <alignment horizontal="left" vertical="top" wrapText="1" indent="1"/>
    </xf>
    <xf numFmtId="0" fontId="20" fillId="0" borderId="9" xfId="0" applyFont="1" applyBorder="1" applyAlignment="1">
      <alignment horizontal="left" vertical="top" wrapText="1" indent="1"/>
    </xf>
    <xf numFmtId="0" fontId="18" fillId="4" borderId="9" xfId="0" applyFont="1" applyFill="1" applyBorder="1" applyAlignment="1">
      <alignment horizontal="left" vertical="top" wrapText="1" indent="1"/>
    </xf>
    <xf numFmtId="0" fontId="18" fillId="0" borderId="9" xfId="0" applyFont="1" applyBorder="1" applyAlignment="1">
      <alignment horizontal="left" vertical="top" indent="1"/>
    </xf>
    <xf numFmtId="9" fontId="20" fillId="0" borderId="9" xfId="1" applyFont="1" applyFill="1" applyBorder="1" applyAlignment="1" applyProtection="1">
      <alignment horizontal="left" vertical="top" wrapText="1" indent="1"/>
    </xf>
    <xf numFmtId="170" fontId="18" fillId="0" borderId="9" xfId="1" applyNumberFormat="1" applyFont="1" applyFill="1" applyBorder="1" applyAlignment="1" applyProtection="1">
      <alignment horizontal="left" vertical="top" wrapText="1" indent="1"/>
    </xf>
    <xf numFmtId="0" fontId="18" fillId="9" borderId="12" xfId="0" applyFont="1" applyFill="1" applyBorder="1" applyAlignment="1">
      <alignment horizontal="left" vertical="top" wrapText="1" indent="1"/>
    </xf>
    <xf numFmtId="0" fontId="18" fillId="9" borderId="101" xfId="0" applyFont="1" applyFill="1" applyBorder="1" applyAlignment="1">
      <alignment horizontal="left" vertical="top" wrapText="1" indent="1"/>
    </xf>
    <xf numFmtId="0" fontId="20" fillId="15" borderId="88" xfId="0" applyFont="1" applyFill="1" applyBorder="1" applyAlignment="1">
      <alignment horizontal="left" vertical="top" wrapText="1" indent="1"/>
    </xf>
    <xf numFmtId="0" fontId="18" fillId="9" borderId="88" xfId="0" applyFont="1" applyFill="1" applyBorder="1" applyAlignment="1">
      <alignment horizontal="left" vertical="top" wrapText="1" indent="1"/>
    </xf>
    <xf numFmtId="0" fontId="18" fillId="15" borderId="88" xfId="0" applyFont="1" applyFill="1" applyBorder="1" applyAlignment="1">
      <alignment horizontal="left" vertical="top" wrapText="1" indent="1"/>
    </xf>
    <xf numFmtId="0" fontId="18" fillId="4" borderId="88" xfId="0" applyFont="1" applyFill="1" applyBorder="1" applyAlignment="1">
      <alignment horizontal="left" vertical="top" wrapText="1" indent="1"/>
    </xf>
    <xf numFmtId="0" fontId="18" fillId="15" borderId="88" xfId="0" applyFont="1" applyFill="1" applyBorder="1" applyAlignment="1">
      <alignment horizontal="left" vertical="top" wrapText="1" indent="2"/>
    </xf>
    <xf numFmtId="0" fontId="18" fillId="0" borderId="88" xfId="0" applyFont="1" applyBorder="1" applyAlignment="1">
      <alignment horizontal="left" vertical="top" wrapText="1" indent="1"/>
    </xf>
    <xf numFmtId="0" fontId="27" fillId="9" borderId="88" xfId="0" applyFont="1" applyFill="1" applyBorder="1" applyAlignment="1">
      <alignment horizontal="left" vertical="top" wrapText="1" indent="1"/>
    </xf>
    <xf numFmtId="0" fontId="23" fillId="4" borderId="88" xfId="0" applyFont="1" applyFill="1" applyBorder="1" applyAlignment="1">
      <alignment horizontal="left" vertical="top" wrapText="1" indent="1"/>
    </xf>
    <xf numFmtId="0" fontId="18" fillId="9" borderId="89" xfId="0" applyFont="1" applyFill="1" applyBorder="1" applyAlignment="1">
      <alignment horizontal="left" vertical="top" wrapText="1" indent="1"/>
    </xf>
    <xf numFmtId="0" fontId="50" fillId="9" borderId="44" xfId="0" applyFont="1" applyFill="1" applyBorder="1" applyAlignment="1">
      <alignment vertical="top"/>
    </xf>
    <xf numFmtId="0" fontId="20" fillId="9" borderId="0" xfId="0" applyFont="1" applyFill="1" applyAlignment="1">
      <alignment horizontal="center" vertical="center" wrapText="1"/>
    </xf>
    <xf numFmtId="0" fontId="20" fillId="9" borderId="5" xfId="0" applyFont="1" applyFill="1" applyBorder="1" applyAlignment="1">
      <alignment horizontal="left" vertical="top" wrapText="1" indent="2"/>
    </xf>
    <xf numFmtId="0" fontId="20" fillId="9" borderId="8" xfId="0" applyFont="1" applyFill="1" applyBorder="1" applyAlignment="1">
      <alignment horizontal="left" vertical="top" wrapText="1" indent="2"/>
    </xf>
    <xf numFmtId="0" fontId="35" fillId="4" borderId="8" xfId="0" applyFont="1" applyFill="1" applyBorder="1" applyAlignment="1">
      <alignment horizontal="left" vertical="top" wrapText="1" indent="2"/>
    </xf>
    <xf numFmtId="0" fontId="18" fillId="0" borderId="43" xfId="0" applyFont="1" applyBorder="1" applyAlignment="1">
      <alignment vertical="top"/>
    </xf>
    <xf numFmtId="164" fontId="18" fillId="0" borderId="0" xfId="0" applyNumberFormat="1" applyFont="1"/>
    <xf numFmtId="0" fontId="18" fillId="4" borderId="0" xfId="0" applyFont="1" applyFill="1"/>
    <xf numFmtId="0" fontId="26" fillId="4" borderId="0" xfId="0" applyFont="1" applyFill="1" applyAlignment="1">
      <alignment horizontal="center"/>
    </xf>
    <xf numFmtId="0" fontId="64" fillId="9" borderId="0" xfId="0" applyFont="1" applyFill="1" applyAlignment="1">
      <alignment horizontal="center" vertical="top"/>
    </xf>
    <xf numFmtId="0" fontId="20" fillId="9" borderId="0" xfId="0" applyFont="1" applyFill="1" applyAlignment="1">
      <alignment horizontal="left" wrapText="1"/>
    </xf>
    <xf numFmtId="0" fontId="20" fillId="9" borderId="0" xfId="0" applyFont="1" applyFill="1" applyAlignment="1">
      <alignment horizontal="left" vertical="top" wrapText="1"/>
    </xf>
    <xf numFmtId="0" fontId="36" fillId="9" borderId="0" xfId="0" applyFont="1" applyFill="1" applyAlignment="1">
      <alignment horizontal="center" wrapText="1"/>
    </xf>
    <xf numFmtId="0" fontId="2" fillId="0" borderId="3" xfId="3" applyFont="1" applyBorder="1" applyAlignment="1">
      <alignment vertical="top" wrapText="1"/>
    </xf>
    <xf numFmtId="0" fontId="2" fillId="0" borderId="41" xfId="3" applyFont="1" applyBorder="1" applyAlignment="1">
      <alignment vertical="top" wrapText="1"/>
    </xf>
    <xf numFmtId="0" fontId="20" fillId="15" borderId="8" xfId="0" applyFont="1" applyFill="1" applyBorder="1" applyAlignment="1">
      <alignment horizontal="left" vertical="top" wrapText="1" indent="2"/>
    </xf>
    <xf numFmtId="0" fontId="20" fillId="15" borderId="8" xfId="1" applyNumberFormat="1" applyFont="1" applyFill="1" applyBorder="1" applyAlignment="1" applyProtection="1">
      <alignment horizontal="left" vertical="top" wrapText="1" indent="2"/>
    </xf>
    <xf numFmtId="9" fontId="34" fillId="4" borderId="0" xfId="0" applyNumberFormat="1" applyFont="1" applyFill="1" applyAlignment="1">
      <alignment vertical="top"/>
    </xf>
    <xf numFmtId="9" fontId="34" fillId="4" borderId="0" xfId="0" applyNumberFormat="1" applyFont="1" applyFill="1" applyAlignment="1">
      <alignment horizontal="right" vertical="top"/>
    </xf>
    <xf numFmtId="164" fontId="34" fillId="4" borderId="0" xfId="0" applyNumberFormat="1" applyFont="1" applyFill="1" applyAlignment="1">
      <alignment vertical="top"/>
    </xf>
    <xf numFmtId="0" fontId="1" fillId="0" borderId="3" xfId="3" applyFont="1" applyBorder="1" applyAlignment="1">
      <alignment vertical="top" wrapText="1"/>
    </xf>
    <xf numFmtId="0" fontId="1" fillId="0" borderId="41" xfId="3" applyFont="1" applyBorder="1" applyAlignment="1">
      <alignment vertical="top" wrapText="1"/>
    </xf>
    <xf numFmtId="0" fontId="1" fillId="0" borderId="8" xfId="3" applyFont="1" applyBorder="1" applyAlignment="1" applyProtection="1">
      <alignment horizontal="center" vertical="top"/>
      <protection hidden="1"/>
    </xf>
    <xf numFmtId="0" fontId="25" fillId="0" borderId="0" xfId="0" applyFont="1" applyAlignment="1">
      <alignment horizontal="center" vertical="top" wrapText="1"/>
    </xf>
    <xf numFmtId="0" fontId="20" fillId="9" borderId="0" xfId="0" applyFont="1" applyFill="1" applyAlignment="1">
      <alignment horizontal="left" vertical="center" wrapText="1"/>
    </xf>
    <xf numFmtId="0" fontId="59" fillId="4" borderId="29" xfId="0" applyFont="1" applyFill="1" applyBorder="1" applyAlignment="1">
      <alignment horizontal="center" vertical="top" textRotation="90"/>
    </xf>
    <xf numFmtId="0" fontId="56" fillId="2" borderId="29" xfId="0" applyFont="1" applyFill="1" applyBorder="1" applyAlignment="1">
      <alignment horizontal="center" vertical="top" textRotation="90"/>
    </xf>
    <xf numFmtId="0" fontId="59" fillId="4" borderId="0" xfId="0" applyFont="1" applyFill="1" applyAlignment="1">
      <alignment horizontal="center" vertical="top" textRotation="90"/>
    </xf>
    <xf numFmtId="0" fontId="59" fillId="7" borderId="0" xfId="0" applyFont="1" applyFill="1" applyAlignment="1">
      <alignment horizontal="center" vertical="top" textRotation="90"/>
    </xf>
    <xf numFmtId="0" fontId="22" fillId="9" borderId="0" xfId="0" applyFont="1" applyFill="1" applyAlignment="1">
      <alignment horizontal="center" vertical="top" wrapText="1"/>
    </xf>
    <xf numFmtId="0" fontId="22" fillId="9" borderId="31" xfId="0" applyFont="1" applyFill="1" applyBorder="1" applyAlignment="1">
      <alignment horizontal="center" vertical="top" wrapText="1"/>
    </xf>
    <xf numFmtId="164" fontId="56" fillId="0" borderId="0" xfId="0" applyNumberFormat="1" applyFont="1" applyAlignment="1">
      <alignment horizontal="center" vertical="center" wrapText="1"/>
    </xf>
    <xf numFmtId="0" fontId="57" fillId="9" borderId="0" xfId="0" applyFont="1" applyFill="1" applyAlignment="1">
      <alignment horizontal="center" vertical="top" wrapText="1"/>
    </xf>
    <xf numFmtId="0" fontId="57" fillId="9" borderId="31" xfId="0" applyFont="1" applyFill="1" applyBorder="1" applyAlignment="1">
      <alignment horizontal="center" vertical="top" wrapText="1"/>
    </xf>
    <xf numFmtId="0" fontId="61" fillId="10" borderId="0" xfId="2" applyFont="1" applyFill="1" applyAlignment="1">
      <alignment horizontal="center" vertical="top" textRotation="90"/>
    </xf>
    <xf numFmtId="0" fontId="61" fillId="10" borderId="31" xfId="2" applyFont="1" applyFill="1" applyBorder="1" applyAlignment="1">
      <alignment horizontal="center" vertical="top" textRotation="90"/>
    </xf>
    <xf numFmtId="0" fontId="36" fillId="9" borderId="0" xfId="0" applyFont="1" applyFill="1" applyAlignment="1">
      <alignment horizontal="center" vertical="top" wrapText="1"/>
    </xf>
    <xf numFmtId="0" fontId="37" fillId="4" borderId="61" xfId="0" applyFont="1" applyFill="1" applyBorder="1" applyAlignment="1">
      <alignment horizontal="center" vertical="center" wrapText="1"/>
    </xf>
    <xf numFmtId="0" fontId="37" fillId="4" borderId="52" xfId="0" applyFont="1" applyFill="1" applyBorder="1" applyAlignment="1">
      <alignment horizontal="center" vertical="center" wrapText="1"/>
    </xf>
    <xf numFmtId="0" fontId="37" fillId="4" borderId="73" xfId="0" applyFont="1" applyFill="1" applyBorder="1" applyAlignment="1">
      <alignment horizontal="center" vertical="center" wrapText="1"/>
    </xf>
    <xf numFmtId="0" fontId="60" fillId="2" borderId="27" xfId="0" applyFont="1" applyFill="1" applyBorder="1" applyAlignment="1">
      <alignment horizontal="center" vertical="top" textRotation="90"/>
    </xf>
    <xf numFmtId="0" fontId="60" fillId="2" borderId="29" xfId="0" applyFont="1" applyFill="1" applyBorder="1" applyAlignment="1">
      <alignment horizontal="center" vertical="top" textRotation="90"/>
    </xf>
    <xf numFmtId="0" fontId="59" fillId="4" borderId="27" xfId="0" applyFont="1" applyFill="1" applyBorder="1" applyAlignment="1">
      <alignment horizontal="center" vertical="top" textRotation="90"/>
    </xf>
    <xf numFmtId="0" fontId="60" fillId="2" borderId="33" xfId="0" applyFont="1" applyFill="1" applyBorder="1" applyAlignment="1">
      <alignment horizontal="center" vertical="top" textRotation="90"/>
    </xf>
    <xf numFmtId="0" fontId="60" fillId="2" borderId="35" xfId="0" applyFont="1" applyFill="1" applyBorder="1" applyAlignment="1">
      <alignment horizontal="center" vertical="top" textRotation="90"/>
    </xf>
    <xf numFmtId="0" fontId="60" fillId="2" borderId="36" xfId="0" applyFont="1" applyFill="1" applyBorder="1" applyAlignment="1">
      <alignment horizontal="center" vertical="top" textRotation="90"/>
    </xf>
    <xf numFmtId="0" fontId="59" fillId="4" borderId="33" xfId="0" applyFont="1" applyFill="1" applyBorder="1" applyAlignment="1">
      <alignment horizontal="center" vertical="top" textRotation="90"/>
    </xf>
    <xf numFmtId="0" fontId="59" fillId="4" borderId="35" xfId="0" applyFont="1" applyFill="1" applyBorder="1" applyAlignment="1">
      <alignment horizontal="center" vertical="top" textRotation="90"/>
    </xf>
    <xf numFmtId="0" fontId="59" fillId="4" borderId="36" xfId="0" applyFont="1" applyFill="1" applyBorder="1" applyAlignment="1">
      <alignment horizontal="center" vertical="top" textRotation="90"/>
    </xf>
    <xf numFmtId="164" fontId="24" fillId="9" borderId="37" xfId="0" applyNumberFormat="1" applyFont="1" applyFill="1" applyBorder="1" applyAlignment="1">
      <alignment horizontal="center" vertical="top"/>
    </xf>
    <xf numFmtId="164" fontId="24" fillId="9" borderId="38" xfId="0" applyNumberFormat="1" applyFont="1" applyFill="1" applyBorder="1" applyAlignment="1">
      <alignment horizontal="center" vertical="top"/>
    </xf>
    <xf numFmtId="164" fontId="24" fillId="9" borderId="39" xfId="0" applyNumberFormat="1" applyFont="1" applyFill="1" applyBorder="1" applyAlignment="1">
      <alignment horizontal="center" vertical="top"/>
    </xf>
    <xf numFmtId="0" fontId="30" fillId="4" borderId="28" xfId="0" applyFont="1" applyFill="1" applyBorder="1" applyAlignment="1">
      <alignment horizontal="center" vertical="center"/>
    </xf>
    <xf numFmtId="0" fontId="30" fillId="4" borderId="0" xfId="0" applyFont="1" applyFill="1" applyAlignment="1">
      <alignment horizontal="center" vertical="center" wrapText="1"/>
    </xf>
    <xf numFmtId="0" fontId="30" fillId="4" borderId="31" xfId="0" applyFont="1" applyFill="1" applyBorder="1" applyAlignment="1">
      <alignment horizontal="center" vertical="center" wrapText="1"/>
    </xf>
    <xf numFmtId="0" fontId="30" fillId="4" borderId="77" xfId="0" applyFont="1" applyFill="1" applyBorder="1" applyAlignment="1">
      <alignment horizontal="center" vertical="center" wrapText="1"/>
    </xf>
    <xf numFmtId="0" fontId="30" fillId="4" borderId="78" xfId="0" applyFont="1" applyFill="1" applyBorder="1" applyAlignment="1">
      <alignment horizontal="center" vertical="center" wrapText="1"/>
    </xf>
    <xf numFmtId="0" fontId="30" fillId="4" borderId="79" xfId="0" applyFont="1" applyFill="1" applyBorder="1" applyAlignment="1">
      <alignment horizontal="center" vertical="center" wrapText="1"/>
    </xf>
    <xf numFmtId="0" fontId="30" fillId="4" borderId="0" xfId="0" applyFont="1" applyFill="1" applyAlignment="1">
      <alignment horizontal="center" vertical="center"/>
    </xf>
    <xf numFmtId="0" fontId="30" fillId="4" borderId="65" xfId="2" applyFont="1" applyFill="1" applyBorder="1" applyAlignment="1">
      <alignment horizontal="center" vertical="center" wrapText="1"/>
    </xf>
    <xf numFmtId="0" fontId="30" fillId="4" borderId="44" xfId="2" applyFont="1" applyFill="1" applyBorder="1" applyAlignment="1">
      <alignment horizontal="center" vertical="center" wrapText="1"/>
    </xf>
    <xf numFmtId="0" fontId="30" fillId="4" borderId="45" xfId="2" applyFont="1" applyFill="1" applyBorder="1" applyAlignment="1">
      <alignment horizontal="center" vertical="center" wrapText="1"/>
    </xf>
    <xf numFmtId="0" fontId="30" fillId="4" borderId="25" xfId="0" applyFont="1" applyFill="1" applyBorder="1" applyAlignment="1">
      <alignment horizontal="center" vertical="center" wrapText="1"/>
    </xf>
    <xf numFmtId="0" fontId="30" fillId="4" borderId="28" xfId="0" applyFont="1" applyFill="1" applyBorder="1" applyAlignment="1">
      <alignment horizontal="center" vertical="center" wrapText="1"/>
    </xf>
    <xf numFmtId="0" fontId="30" fillId="4" borderId="30" xfId="0" applyFont="1" applyFill="1" applyBorder="1" applyAlignment="1">
      <alignment horizontal="center" vertical="center" wrapText="1"/>
    </xf>
    <xf numFmtId="0" fontId="23" fillId="4" borderId="26" xfId="0" applyFont="1" applyFill="1" applyBorder="1" applyAlignment="1">
      <alignment horizontal="center" vertical="center"/>
    </xf>
    <xf numFmtId="0" fontId="23" fillId="4" borderId="0" xfId="0" applyFont="1" applyFill="1" applyAlignment="1">
      <alignment horizontal="center" vertical="center"/>
    </xf>
    <xf numFmtId="0" fontId="23" fillId="4" borderId="31" xfId="0" applyFont="1" applyFill="1" applyBorder="1" applyAlignment="1">
      <alignment horizontal="center" vertical="center"/>
    </xf>
    <xf numFmtId="0" fontId="30" fillId="4" borderId="25" xfId="0" applyFont="1" applyFill="1" applyBorder="1" applyAlignment="1">
      <alignment horizontal="center" vertical="center"/>
    </xf>
    <xf numFmtId="0" fontId="30" fillId="4" borderId="30" xfId="0" applyFont="1" applyFill="1" applyBorder="1" applyAlignment="1">
      <alignment horizontal="center" vertical="center"/>
    </xf>
    <xf numFmtId="0" fontId="30" fillId="4" borderId="33" xfId="0" applyFont="1" applyFill="1" applyBorder="1" applyAlignment="1">
      <alignment horizontal="center" vertical="center" wrapText="1"/>
    </xf>
    <xf numFmtId="0" fontId="30" fillId="4" borderId="35" xfId="0" applyFont="1" applyFill="1" applyBorder="1" applyAlignment="1">
      <alignment horizontal="center" vertical="center" wrapText="1"/>
    </xf>
    <xf numFmtId="0" fontId="30" fillId="4" borderId="48" xfId="0" applyFont="1" applyFill="1" applyBorder="1" applyAlignment="1">
      <alignment horizontal="center" vertical="center" wrapText="1"/>
    </xf>
    <xf numFmtId="0" fontId="30" fillId="4" borderId="60" xfId="0" applyFont="1" applyFill="1" applyBorder="1" applyAlignment="1">
      <alignment horizontal="center" vertical="center" wrapText="1"/>
    </xf>
    <xf numFmtId="0" fontId="30" fillId="4" borderId="51" xfId="0" applyFont="1" applyFill="1" applyBorder="1" applyAlignment="1">
      <alignment horizontal="center" vertical="center" wrapText="1"/>
    </xf>
    <xf numFmtId="0" fontId="30" fillId="4" borderId="57" xfId="0" applyFont="1" applyFill="1" applyBorder="1" applyAlignment="1">
      <alignment horizontal="center" vertical="center" wrapText="1"/>
    </xf>
    <xf numFmtId="0" fontId="30" fillId="4" borderId="48" xfId="0" applyFont="1" applyFill="1" applyBorder="1" applyAlignment="1">
      <alignment horizontal="center" vertical="center"/>
    </xf>
    <xf numFmtId="0" fontId="30" fillId="4" borderId="57" xfId="0" applyFont="1" applyFill="1" applyBorder="1" applyAlignment="1">
      <alignment horizontal="center" vertical="center"/>
    </xf>
    <xf numFmtId="0" fontId="23" fillId="4" borderId="67" xfId="0" applyFont="1" applyFill="1" applyBorder="1" applyAlignment="1">
      <alignment horizontal="center" vertical="center" wrapText="1"/>
    </xf>
    <xf numFmtId="0" fontId="23" fillId="4" borderId="42" xfId="0" applyFont="1" applyFill="1" applyBorder="1" applyAlignment="1">
      <alignment horizontal="center" vertical="center" wrapText="1"/>
    </xf>
    <xf numFmtId="0" fontId="23" fillId="4" borderId="68" xfId="0" applyFont="1" applyFill="1" applyBorder="1" applyAlignment="1">
      <alignment horizontal="center" vertical="center" wrapText="1"/>
    </xf>
    <xf numFmtId="0" fontId="23" fillId="4" borderId="47" xfId="0" applyFont="1" applyFill="1" applyBorder="1" applyAlignment="1">
      <alignment horizontal="center" vertical="center" wrapText="1"/>
    </xf>
    <xf numFmtId="0" fontId="30" fillId="4" borderId="48" xfId="3" applyFont="1" applyFill="1" applyBorder="1" applyAlignment="1">
      <alignment horizontal="center" vertical="center"/>
    </xf>
    <xf numFmtId="0" fontId="30" fillId="4" borderId="60" xfId="3" applyFont="1" applyFill="1" applyBorder="1" applyAlignment="1">
      <alignment horizontal="center" vertical="center"/>
    </xf>
    <xf numFmtId="0" fontId="30" fillId="4" borderId="51" xfId="3" applyFont="1" applyFill="1" applyBorder="1" applyAlignment="1">
      <alignment horizontal="center" vertical="center"/>
    </xf>
    <xf numFmtId="0" fontId="37" fillId="4" borderId="60" xfId="3" applyFont="1" applyFill="1" applyBorder="1" applyAlignment="1">
      <alignment horizontal="center" vertical="center" wrapText="1"/>
    </xf>
    <xf numFmtId="0" fontId="37" fillId="4" borderId="51" xfId="3" applyFont="1" applyFill="1" applyBorder="1" applyAlignment="1">
      <alignment horizontal="center" vertical="center" wrapText="1"/>
    </xf>
  </cellXfs>
  <cellStyles count="7">
    <cellStyle name="Hyperlink 2" xfId="5" xr:uid="{7B374C1B-C69B-4C00-9468-4F09B130FECD}"/>
    <cellStyle name="Hyperlink 3" xfId="6" xr:uid="{30F98E28-825D-45C8-8DB3-CBB39336D376}"/>
    <cellStyle name="Lien hypertexte" xfId="2" builtinId="8"/>
    <cellStyle name="Normal" xfId="0" builtinId="0"/>
    <cellStyle name="Normal 2" xfId="3" xr:uid="{AB438FEC-F9B4-4B06-9AF6-7061C83B8256}"/>
    <cellStyle name="Percent 2" xfId="4" xr:uid="{74C72B55-DAAC-4606-AA52-4494B3486FDD}"/>
    <cellStyle name="Pourcentage" xfId="1" builtinId="5"/>
  </cellStyles>
  <dxfs count="1684">
    <dxf>
      <fill>
        <patternFill patternType="solid">
          <bgColor rgb="FFFFC000"/>
        </patternFill>
      </fill>
    </dxf>
    <dxf>
      <font>
        <sz val="10"/>
      </font>
    </dxf>
    <dxf>
      <font>
        <sz val="10"/>
      </font>
    </dxf>
    <dxf>
      <font>
        <sz val="10"/>
      </font>
    </dxf>
    <dxf>
      <font>
        <sz val="10"/>
      </font>
    </dxf>
    <dxf>
      <font>
        <sz val="10"/>
      </font>
    </dxf>
    <dxf>
      <font>
        <sz val="10"/>
      </font>
    </dxf>
    <dxf>
      <font>
        <sz val="10"/>
      </font>
    </dxf>
    <dxf>
      <border>
        <left style="thin">
          <color rgb="FF1E3249"/>
        </left>
        <right style="thin">
          <color rgb="FF1E3249"/>
        </right>
        <bottom style="thin">
          <color rgb="FF1E3249"/>
        </bottom>
      </border>
    </dxf>
    <dxf>
      <border>
        <left style="thin">
          <color rgb="FF1E3249"/>
        </left>
        <right style="thin">
          <color rgb="FF1E3249"/>
        </right>
        <bottom style="thin">
          <color rgb="FF1E3249"/>
        </bottom>
      </border>
    </dxf>
    <dxf>
      <border>
        <left style="thin">
          <color rgb="FF1E3249"/>
        </left>
        <right style="thin">
          <color rgb="FF1E3249"/>
        </right>
        <bottom style="thin">
          <color rgb="FF1E3249"/>
        </bottom>
      </border>
    </dxf>
    <dxf>
      <border>
        <left style="thin">
          <color rgb="FF1E3249"/>
        </left>
        <right style="thin">
          <color rgb="FF1E3249"/>
        </right>
        <bottom style="thin">
          <color rgb="FF1E3249"/>
        </bottom>
      </border>
    </dxf>
    <dxf>
      <border>
        <left style="thin">
          <color rgb="FF1E3249"/>
        </left>
        <right style="thin">
          <color rgb="FF1E3249"/>
        </right>
        <bottom style="thin">
          <color rgb="FF1E3249"/>
        </bottom>
      </border>
    </dxf>
    <dxf>
      <border>
        <left style="thin">
          <color rgb="FF1E3249"/>
        </left>
        <right style="thin">
          <color rgb="FF1E3249"/>
        </right>
        <bottom style="thin">
          <color rgb="FF1E3249"/>
        </bottom>
      </border>
    </dxf>
    <dxf>
      <border>
        <left style="thin">
          <color rgb="FF1E3249"/>
        </left>
        <right style="thin">
          <color rgb="FF1E3249"/>
        </right>
        <bottom style="thin">
          <color rgb="FF1E3249"/>
        </bottom>
      </border>
    </dxf>
    <dxf>
      <numFmt numFmtId="165" formatCode="#,##0.00_ ;[Red]\-#,##0.00\ "/>
    </dxf>
    <dxf>
      <numFmt numFmtId="165" formatCode="#,##0.00_ ;[Red]\-#,##0.00\ "/>
    </dxf>
    <dxf>
      <numFmt numFmtId="165" formatCode="#,##0.00_ ;[Red]\-#,##0.00\ "/>
    </dxf>
    <dxf>
      <numFmt numFmtId="165" formatCode="#,##0.00_ ;[Red]\-#,##0.00\ "/>
    </dxf>
    <dxf>
      <numFmt numFmtId="165" formatCode="#,##0.00_ ;[Red]\-#,##0.00\ "/>
    </dxf>
    <dxf>
      <numFmt numFmtId="165" formatCode="#,##0.00_ ;[Red]\-#,##0.00\ "/>
    </dxf>
    <dxf>
      <numFmt numFmtId="165" formatCode="#,##0.00_ ;[Red]\-#,##0.00\ "/>
    </dxf>
    <dxf>
      <numFmt numFmtId="165" formatCode="#,##0.00_ ;[Red]\-#,##0.00\ "/>
    </dxf>
    <dxf>
      <border>
        <left style="thin">
          <color rgb="FF1E3249"/>
        </left>
        <right style="thin">
          <color rgb="FF1E3249"/>
        </right>
        <top style="thin">
          <color rgb="FF1E3249"/>
        </top>
        <bottom style="thin">
          <color rgb="FF1E3249"/>
        </bottom>
      </border>
    </dxf>
    <dxf>
      <border>
        <left style="thin">
          <color rgb="FF1E3249"/>
        </left>
        <right style="thin">
          <color rgb="FF1E3249"/>
        </right>
        <top style="thin">
          <color rgb="FF1E3249"/>
        </top>
        <bottom style="thin">
          <color rgb="FF1E3249"/>
        </bottom>
      </border>
    </dxf>
    <dxf>
      <border>
        <left style="thin">
          <color rgb="FF1E3249"/>
        </left>
        <right style="thin">
          <color rgb="FF1E3249"/>
        </right>
        <top style="thin">
          <color rgb="FF1E3249"/>
        </top>
        <bottom style="thin">
          <color rgb="FF1E3249"/>
        </bottom>
      </border>
    </dxf>
    <dxf>
      <border>
        <left style="thin">
          <color rgb="FF1E3249"/>
        </left>
        <right style="thin">
          <color rgb="FF1E3249"/>
        </right>
        <top style="thin">
          <color rgb="FF1E3249"/>
        </top>
        <bottom style="thin">
          <color rgb="FF1E3249"/>
        </bottom>
      </border>
    </dxf>
    <dxf>
      <border>
        <left style="thin">
          <color rgb="FF1E3249"/>
        </left>
        <right style="thin">
          <color rgb="FF1E3249"/>
        </right>
        <top style="thin">
          <color rgb="FF1E3249"/>
        </top>
        <bottom style="thin">
          <color rgb="FF1E3249"/>
        </bottom>
      </border>
    </dxf>
    <dxf>
      <border>
        <left style="thin">
          <color rgb="FF1E3249"/>
        </left>
        <right style="thin">
          <color rgb="FF1E3249"/>
        </right>
        <top style="thin">
          <color rgb="FF1E3249"/>
        </top>
        <bottom style="thin">
          <color rgb="FF1E3249"/>
        </bottom>
      </border>
    </dxf>
    <dxf>
      <alignment horizontal="center" wrapText="1"/>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border>
        <top style="thin">
          <color indexed="64"/>
        </top>
      </border>
    </dxf>
    <dxf>
      <border>
        <bottom style="thin">
          <color indexed="64"/>
        </bottom>
      </border>
    </dxf>
    <dxf>
      <fill>
        <patternFill patternType="solid">
          <bgColor theme="0" tint="-0.14999847407452621"/>
        </patternFill>
      </fill>
    </dxf>
    <dxf>
      <border>
        <bottom style="thin">
          <color indexed="64"/>
        </bottom>
      </border>
    </dxf>
    <dxf>
      <border>
        <top style="thin">
          <color indexed="64"/>
        </top>
      </border>
    </dxf>
    <dxf>
      <fill>
        <patternFill patternType="solid">
          <bgColor theme="0" tint="-0.14999847407452621"/>
        </patternFill>
      </fill>
    </dxf>
    <dxf>
      <border>
        <left/>
      </border>
    </dxf>
    <dxf>
      <border>
        <right/>
      </border>
    </dxf>
    <dxf>
      <border>
        <left/>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border>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border>
    </dxf>
    <dxf>
      <border>
        <top style="thin">
          <color indexed="64"/>
        </top>
      </border>
    </dxf>
    <dxf>
      <border>
        <top style="thin">
          <color indexed="64"/>
        </top>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border>
        <left/>
        <right/>
      </border>
    </dxf>
    <dxf>
      <border>
        <left/>
        <right/>
      </border>
    </dxf>
    <dxf>
      <border>
        <left/>
        <right/>
      </border>
    </dxf>
    <dxf>
      <numFmt numFmtId="164" formatCode="#,##0_ ;[Red]\-#,##0\ "/>
    </dxf>
    <dxf>
      <border>
        <left style="thin">
          <color indexed="64"/>
        </lef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fill>
        <patternFill patternType="solid">
          <bgColor rgb="FFFFC000"/>
        </patternFill>
      </fill>
    </dxf>
    <dxf>
      <fill>
        <patternFill patternType="solid">
          <bgColor rgb="FFFFC000"/>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border>
        <lef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_ ;[Red]\-#,##0.00\ "/>
    </dxf>
    <dxf>
      <fill>
        <patternFill patternType="solid">
          <bgColor rgb="FFFFC000"/>
        </patternFill>
      </fill>
    </dxf>
    <dxf>
      <fill>
        <patternFill patternType="solid">
          <bgColor rgb="FFFFC000"/>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border>
        <top/>
        <bottom/>
      </border>
    </dxf>
    <dxf>
      <fill>
        <patternFill patternType="none">
          <bgColor auto="1"/>
        </patternFill>
      </fill>
    </dxf>
    <dxf>
      <border>
        <top style="thin">
          <color indexed="64"/>
        </top>
      </border>
    </dxf>
    <dxf>
      <border>
        <bottom style="thin">
          <color indexed="64"/>
        </bottom>
      </border>
    </dxf>
    <dxf>
      <fill>
        <patternFill>
          <bgColor theme="0" tint="-0.14999847407452621"/>
        </patternFill>
      </fill>
    </dxf>
    <dxf>
      <fill>
        <patternFill patternType="solid">
          <bgColor theme="0" tint="-4.9989318521683403E-2"/>
        </patternFill>
      </fill>
    </dxf>
    <dxf>
      <border>
        <top/>
        <bottom/>
      </border>
    </dxf>
    <dxf>
      <fill>
        <patternFill patternType="none">
          <bgColor auto="1"/>
        </patternFill>
      </fill>
    </dxf>
    <dxf>
      <border>
        <top style="thin">
          <color indexed="64"/>
        </top>
      </border>
    </dxf>
    <dxf>
      <border>
        <bottom style="thin">
          <color indexed="64"/>
        </bottom>
      </border>
    </dxf>
    <dxf>
      <fill>
        <patternFill patternType="solid">
          <bgColor theme="0" tint="-0.14999847407452621"/>
        </patternFill>
      </fill>
    </dxf>
    <dxf>
      <border>
        <top/>
        <bottom/>
      </border>
    </dxf>
    <dxf>
      <border>
        <top style="thin">
          <color indexed="64"/>
        </top>
      </border>
    </dxf>
    <dxf>
      <border>
        <bottom style="thin">
          <color indexed="64"/>
        </bottom>
      </border>
    </dxf>
    <dxf>
      <fill>
        <patternFill patternType="none">
          <bgColor auto="1"/>
        </patternFill>
      </fill>
    </dxf>
    <dxf>
      <fill>
        <patternFill patternType="solid">
          <bgColor theme="0" tint="-0.14999847407452621"/>
        </patternFill>
      </fill>
    </dxf>
    <dxf>
      <border>
        <top/>
        <bottom/>
      </border>
    </dxf>
    <dxf>
      <fill>
        <patternFill patternType="none">
          <bgColor auto="1"/>
        </patternFill>
      </fill>
    </dxf>
    <dxf>
      <border>
        <bottom style="thin">
          <color indexed="64"/>
        </bottom>
      </border>
    </dxf>
    <dxf>
      <border>
        <bottom style="thin">
          <color indexed="64"/>
        </bottom>
      </border>
    </dxf>
    <dxf>
      <border>
        <top style="thin">
          <color indexed="64"/>
        </top>
      </border>
    </dxf>
    <dxf>
      <border>
        <top style="thin">
          <color indexed="64"/>
        </top>
      </border>
    </dxf>
    <dxf>
      <fill>
        <patternFill patternType="solid">
          <bgColor theme="0" tint="-0.14999847407452621"/>
        </patternFill>
      </fill>
    </dxf>
    <dxf>
      <fill>
        <patternFill patternType="solid">
          <bgColor theme="0" tint="-0.14999847407452621"/>
        </patternFill>
      </fill>
    </dxf>
    <dxf>
      <border>
        <left/>
      </border>
    </dxf>
    <dxf>
      <border>
        <right/>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rder>
    </dxf>
    <dxf>
      <font>
        <b/>
      </font>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alignment horizontal="center"/>
    </dxf>
    <dxf>
      <fill>
        <patternFill patternType="solid">
          <bgColor theme="0" tint="-0.14999847407452621"/>
        </patternFill>
      </fill>
    </dxf>
    <dxf>
      <fill>
        <patternFill patternType="solid">
          <bgColor rgb="FFFFC000"/>
        </patternFill>
      </fill>
    </dxf>
    <dxf>
      <fill>
        <patternFill>
          <bgColor rgb="FFFFC000"/>
        </patternFill>
      </fill>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rder>
    </dxf>
    <dxf>
      <font>
        <b/>
      </font>
    </dxf>
    <dxf>
      <border>
        <left style="thin">
          <color indexed="64"/>
        </left>
        <right style="thin">
          <color indexed="64"/>
        </right>
        <top style="thin">
          <color indexed="64"/>
        </top>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border>
        <left/>
      </border>
    </dxf>
    <dxf>
      <border>
        <right/>
      </border>
    </dxf>
    <dxf>
      <border>
        <left style="thin">
          <color indexed="64"/>
        </left>
        <top style="thin">
          <color indexed="64"/>
        </top>
        <bottom style="thin">
          <color indexed="64"/>
        </bottom>
      </border>
    </dxf>
    <dxf>
      <fill>
        <patternFill patternType="solid">
          <bgColor theme="0" tint="-0.14999847407452621"/>
        </patternFill>
      </fill>
    </dxf>
    <dxf>
      <border>
        <right/>
      </border>
    </dxf>
    <dxf>
      <border>
        <left/>
      </border>
    </dxf>
    <dxf>
      <border>
        <left/>
        <right/>
        <bottom style="thin">
          <color indexed="64"/>
        </bottom>
      </border>
    </dxf>
    <dxf>
      <border>
        <left/>
        <right/>
      </border>
    </dxf>
    <dxf>
      <border>
        <left/>
        <right/>
        <top style="thin">
          <color auto="1"/>
        </top>
      </border>
    </dxf>
    <dxf>
      <fill>
        <patternFill>
          <bgColor theme="0" tint="-0.14999847407452621"/>
        </patternFill>
      </fill>
    </dxf>
    <dxf>
      <fill>
        <patternFill>
          <bgColor theme="0" tint="-0.14999847407452621"/>
        </patternFill>
      </fill>
    </dxf>
    <dxf>
      <fill>
        <patternFill>
          <bgColor theme="0" tint="-0.14999847407452621"/>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border>
        <top/>
        <bottom/>
      </border>
    </dxf>
    <dxf>
      <fill>
        <patternFill patternType="none">
          <bgColor auto="1"/>
        </patternFill>
      </fill>
    </dxf>
    <dxf>
      <fill>
        <patternFill patternType="none">
          <bgColor auto="1"/>
        </patternFill>
      </fill>
    </dxf>
    <dxf>
      <border>
        <top/>
        <bottom/>
      </border>
    </dxf>
    <dxf>
      <border>
        <top/>
        <bottom/>
      </border>
    </dxf>
    <dxf>
      <fill>
        <patternFill patternType="none">
          <bgColor auto="1"/>
        </patternFill>
      </fill>
    </dxf>
    <dxf>
      <border>
        <bottom style="thin">
          <color indexed="64"/>
        </bottom>
      </border>
    </dxf>
    <dxf>
      <fill>
        <patternFill patternType="solid">
          <bgColor theme="0" tint="-0.14999847407452621"/>
        </patternFill>
      </fill>
    </dxf>
    <dxf>
      <border>
        <bottom style="thin">
          <color indexed="64"/>
        </bottom>
      </border>
    </dxf>
    <dxf>
      <fill>
        <patternFill patternType="solid">
          <bgColor theme="0" tint="-0.14999847407452621"/>
        </patternFill>
      </fill>
    </dxf>
    <dxf>
      <border>
        <top/>
        <bottom/>
      </border>
    </dxf>
    <dxf>
      <fill>
        <patternFill patternType="none">
          <bgColor auto="1"/>
        </patternFill>
      </fill>
    </dxf>
    <dxf>
      <border>
        <bottom style="thin">
          <color indexed="64"/>
        </bottom>
      </border>
    </dxf>
    <dxf>
      <fill>
        <patternFill patternType="solid">
          <bgColor theme="0" tint="-0.14999847407452621"/>
        </patternFill>
      </fill>
    </dxf>
    <dxf>
      <border>
        <bottom style="thin">
          <color indexed="64"/>
        </bottom>
      </border>
    </dxf>
    <dxf>
      <fill>
        <patternFill patternType="solid">
          <bgColor theme="0" tint="-0.14999847407452621"/>
        </patternFill>
      </fill>
    </dxf>
    <dxf>
      <border>
        <top style="thin">
          <color indexed="64"/>
        </top>
      </border>
    </dxf>
    <dxf>
      <border>
        <bottom style="thin">
          <color indexed="64"/>
        </bottom>
      </border>
    </dxf>
    <dxf>
      <fill>
        <patternFill patternType="solid">
          <bgColor theme="0" tint="-0.14999847407452621"/>
        </patternFill>
      </fill>
    </dxf>
    <dxf>
      <border>
        <bottom style="thin">
          <color indexed="64"/>
        </bottom>
      </border>
    </dxf>
    <dxf>
      <border>
        <top style="thin">
          <color indexed="64"/>
        </top>
      </border>
    </dxf>
    <dxf>
      <border>
        <top style="thin">
          <color indexed="64"/>
        </top>
      </border>
    </dxf>
    <dxf>
      <fill>
        <patternFill patternType="solid">
          <bgColor theme="0" tint="-0.14999847407452621"/>
        </patternFill>
      </fill>
    </dxf>
    <dxf>
      <border>
        <bottom style="thin">
          <color indexed="64"/>
        </bottom>
      </border>
    </dxf>
    <dxf>
      <border>
        <bottom style="thin">
          <color indexed="64"/>
        </bottom>
      </border>
    </dxf>
    <dxf>
      <fill>
        <patternFill patternType="solid">
          <bgColor theme="0" tint="-0.14999847407452621"/>
        </patternFill>
      </fill>
    </dxf>
    <dxf>
      <border>
        <top style="thin">
          <color indexed="64"/>
        </top>
      </border>
    </dxf>
    <dxf>
      <border>
        <top style="thin">
          <color indexed="64"/>
        </top>
      </border>
    </dxf>
    <dxf>
      <border>
        <bottom style="thin">
          <color indexed="64"/>
        </bottom>
      </border>
    </dxf>
    <dxf>
      <fill>
        <patternFill patternType="solid">
          <bgColor theme="0" tint="-0.14999847407452621"/>
        </patternFill>
      </fill>
    </dxf>
    <dxf>
      <border>
        <bottom style="thin">
          <color indexed="64"/>
        </bottom>
      </border>
    </dxf>
    <dxf>
      <border>
        <top style="thin">
          <color indexed="64"/>
        </top>
      </border>
    </dxf>
    <dxf>
      <fill>
        <patternFill patternType="solid">
          <bgColor theme="0" tint="-0.14999847407452621"/>
        </patternFill>
      </fill>
    </dxf>
    <dxf>
      <alignment horizontal="center"/>
    </dxf>
    <dxf>
      <border>
        <top/>
      </border>
    </dxf>
    <dxf>
      <border>
        <top/>
        <bottom/>
      </border>
    </dxf>
    <dxf>
      <border>
        <top/>
        <bottom/>
      </border>
    </dxf>
    <dxf>
      <border>
        <top/>
        <bottom/>
      </border>
    </dxf>
    <dxf>
      <border>
        <top/>
        <bottom/>
      </border>
    </dxf>
    <dxf>
      <border>
        <top/>
        <bottom/>
      </border>
    </dxf>
    <dxf>
      <border>
        <top/>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top/>
        <bottom/>
      </border>
    </dxf>
    <dxf>
      <fill>
        <patternFill patternType="none">
          <bgColor auto="1"/>
        </patternFill>
      </fill>
    </dxf>
    <dxf>
      <border>
        <top style="thin">
          <color auto="1"/>
        </top>
        <bottom style="thin">
          <color auto="1"/>
        </bottom>
      </border>
    </dxf>
    <dxf>
      <border>
        <top style="thin">
          <color auto="1"/>
        </top>
        <bottom style="thin">
          <color auto="1"/>
        </bottom>
      </border>
    </dxf>
    <dxf>
      <border>
        <top style="thin">
          <color auto="1"/>
        </top>
        <bottom style="thin">
          <color auto="1"/>
        </bottom>
      </border>
    </dxf>
    <dxf>
      <border>
        <top style="thin">
          <color auto="1"/>
        </top>
        <bottom style="thin">
          <color auto="1"/>
        </bottom>
      </border>
    </dxf>
    <dxf>
      <border>
        <top style="thin">
          <color auto="1"/>
        </top>
        <bottom style="thin">
          <color auto="1"/>
        </bottom>
      </border>
    </dxf>
    <dxf>
      <border>
        <top style="thin">
          <color auto="1"/>
        </top>
        <bottom style="thin">
          <color auto="1"/>
        </bottom>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border>
        <right/>
      </border>
    </dxf>
    <dxf>
      <border>
        <right/>
      </border>
    </dxf>
    <dxf>
      <border>
        <right/>
      </border>
    </dxf>
    <dxf>
      <border>
        <right/>
      </border>
    </dxf>
    <dxf>
      <border>
        <right/>
      </border>
    </dxf>
    <dxf>
      <border>
        <right/>
      </border>
    </dxf>
    <dxf>
      <border>
        <right/>
      </border>
    </dxf>
    <dxf>
      <border>
        <left/>
      </border>
    </dxf>
    <dxf>
      <border>
        <left/>
      </border>
    </dxf>
    <dxf>
      <border>
        <left/>
      </border>
    </dxf>
    <dxf>
      <border>
        <left/>
      </border>
    </dxf>
    <dxf>
      <border>
        <left/>
      </border>
    </dxf>
    <dxf>
      <border>
        <left/>
      </border>
    </dxf>
    <dxf>
      <border>
        <left/>
      </border>
    </dxf>
    <dxf>
      <border>
        <left/>
      </border>
    </dxf>
    <dxf>
      <border>
        <right/>
      </border>
    </dxf>
    <dxf>
      <border>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bgColor theme="0" tint="-0.14999847407452621"/>
        </patternFill>
      </fill>
    </dxf>
    <dxf>
      <fill>
        <patternFill patternType="solid">
          <bgColor rgb="FFDCE6F1"/>
        </patternFill>
      </fill>
    </dxf>
    <dxf>
      <fill>
        <patternFill patternType="solid">
          <bgColor theme="0" tint="-0.14999847407452621"/>
        </patternFill>
      </fill>
    </dxf>
    <dxf>
      <border>
        <left style="thin">
          <color indexed="64"/>
        </left>
        <right style="thin">
          <color indexed="64"/>
        </right>
        <top style="thin">
          <color indexed="64"/>
        </top>
      </border>
    </dxf>
    <dxf>
      <font>
        <b/>
      </font>
    </dxf>
    <dxf>
      <border>
        <left style="thin">
          <color indexed="64"/>
        </left>
        <right style="thin">
          <color indexed="64"/>
        </right>
        <top style="thin">
          <color indexed="64"/>
        </top>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border>
        <bottom style="thin">
          <color auto="1"/>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auto="1"/>
        </top>
        <bottom style="thin">
          <color auto="1"/>
        </bottom>
      </border>
    </dxf>
    <dxf>
      <border>
        <top style="thin">
          <color auto="1"/>
        </top>
        <bottom style="thin">
          <color auto="1"/>
        </bottom>
      </border>
    </dxf>
    <dxf>
      <border>
        <top style="thin">
          <color auto="1"/>
        </top>
        <bottom style="thin">
          <color auto="1"/>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border>
        <top style="thin">
          <color indexed="64"/>
        </top>
      </border>
    </dxf>
    <dxf>
      <border>
        <top style="thin">
          <color indexed="64"/>
        </top>
      </border>
    </dxf>
    <dxf>
      <border>
        <top style="thin">
          <color indexed="64"/>
        </top>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theme="0" tint="-0.14999847407452621"/>
        </patternFill>
      </fill>
    </dxf>
    <dxf>
      <alignment horizontal="center"/>
    </dxf>
    <dxf>
      <border>
        <left/>
      </border>
    </dxf>
    <dxf>
      <border>
        <left/>
      </border>
    </dxf>
    <dxf>
      <border>
        <right/>
      </border>
    </dxf>
    <dxf>
      <border>
        <top/>
      </border>
    </dxf>
    <dxf>
      <border>
        <left/>
      </border>
    </dxf>
    <dxf>
      <border>
        <left/>
        <bottom/>
      </border>
    </dxf>
    <dxf>
      <border>
        <left/>
        <top/>
        <bottom/>
      </border>
    </dxf>
    <dxf>
      <border>
        <left/>
        <bottom/>
      </border>
    </dxf>
    <dxf>
      <border>
        <left/>
        <top/>
        <bottom/>
      </border>
    </dxf>
    <dxf>
      <border>
        <left/>
        <bottom/>
      </border>
    </dxf>
    <dxf>
      <border>
        <top/>
        <bottom/>
      </border>
    </dxf>
    <dxf>
      <border>
        <left/>
        <top/>
        <bottom/>
      </border>
    </dxf>
    <dxf>
      <border>
        <left/>
      </border>
    </dxf>
    <dxf>
      <border>
        <left/>
      </border>
    </dxf>
    <dxf>
      <border>
        <left/>
      </border>
    </dxf>
    <dxf>
      <border>
        <left/>
      </border>
    </dxf>
    <dxf>
      <border>
        <left/>
      </border>
    </dxf>
    <dxf>
      <border>
        <left/>
      </border>
    </dxf>
    <dxf>
      <border>
        <left/>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right/>
      </border>
    </dxf>
    <dxf>
      <border>
        <left/>
        <right/>
      </border>
    </dxf>
    <dxf>
      <border>
        <left/>
        <right/>
      </border>
    </dxf>
    <dxf>
      <border>
        <left/>
        <right/>
      </border>
    </dxf>
    <dxf>
      <border>
        <left/>
        <right/>
      </border>
    </dxf>
    <dxf>
      <border>
        <left/>
        <right/>
      </border>
    </dxf>
    <dxf>
      <border>
        <left/>
        <right/>
      </border>
    </dxf>
    <dxf>
      <border>
        <left style="thin">
          <color indexed="64"/>
        </left>
        <top style="thin">
          <color indexed="64"/>
        </top>
      </border>
    </dxf>
    <dxf>
      <fill>
        <patternFill patternType="solid">
          <fgColor indexed="64"/>
          <bgColor theme="0" tint="-0.14999847407452621"/>
        </patternFill>
      </fill>
    </dxf>
    <dxf>
      <border>
        <right style="thin">
          <color indexed="64"/>
        </right>
        <bottom style="thin">
          <color indexed="64"/>
        </bottom>
      </border>
    </dxf>
    <dxf>
      <border>
        <right style="thin">
          <color indexed="64"/>
        </right>
        <top style="thin">
          <color indexed="64"/>
        </top>
        <bottom style="thin">
          <color indexed="64"/>
        </bottom>
      </border>
    </dxf>
    <dxf>
      <border>
        <right style="thin">
          <color indexed="64"/>
        </right>
        <bottom style="thin">
          <color indexed="64"/>
        </bottom>
      </border>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border>
        <right style="thin">
          <color indexed="64"/>
        </right>
        <top style="thin">
          <color indexed="64"/>
        </top>
        <bottom style="thin">
          <color indexed="64"/>
        </bottom>
      </border>
    </dxf>
    <dxf>
      <fill>
        <patternFill patternType="solid">
          <bgColor theme="0" tint="-0.14999847407452621"/>
        </patternFill>
      </fill>
    </dxf>
    <dxf>
      <border>
        <bottom style="thin">
          <color indexed="64"/>
        </bottom>
      </border>
    </dxf>
    <dxf>
      <border>
        <left/>
        <right/>
        <top/>
        <bottom/>
      </border>
    </dxf>
    <dxf>
      <fill>
        <patternFill patternType="none">
          <bgColor auto="1"/>
        </patternFill>
      </fill>
    </dxf>
    <dxf>
      <border>
        <left style="thin">
          <color indexed="64"/>
        </left>
        <right style="thin">
          <color indexed="64"/>
        </right>
        <top style="thin">
          <color indexed="64"/>
        </top>
      </border>
    </dxf>
    <dxf>
      <fill>
        <patternFill patternType="solid">
          <bgColor theme="0" tint="-0.14999847407452621"/>
        </patternFill>
      </fill>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rder>
    </dxf>
    <dxf>
      <fill>
        <patternFill patternType="solid">
          <bgColor theme="0" tint="-0.14999847407452621"/>
        </patternFill>
      </fill>
    </dxf>
    <dxf>
      <border>
        <left style="thin">
          <color indexed="64"/>
        </left>
        <right style="thin">
          <color indexed="64"/>
        </right>
        <top style="thin">
          <color indexed="64"/>
        </top>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fill>
        <patternFill patternType="solid">
          <bgColor rgb="FFFFC000"/>
        </patternFill>
      </fill>
    </dxf>
    <dxf>
      <fill>
        <patternFill patternType="solid">
          <bgColor rgb="FFFFC000"/>
        </patternFill>
      </fill>
    </dxf>
    <dxf>
      <fill>
        <patternFill patternType="solid">
          <bgColor theme="0" tint="-0.14999847407452621"/>
        </patternFill>
      </fill>
    </dxf>
    <dxf>
      <fill>
        <patternFill patternType="solid">
          <bgColor rgb="FFFFC000"/>
        </patternFill>
      </fill>
    </dxf>
    <dxf>
      <fill>
        <patternFill>
          <bgColor rgb="FFFFC000"/>
        </patternFill>
      </fill>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rder>
    </dxf>
    <dxf>
      <font>
        <b/>
      </font>
    </dxf>
    <dxf>
      <border>
        <left style="thin">
          <color indexed="64"/>
        </left>
        <right style="thin">
          <color indexed="64"/>
        </right>
        <top style="thin">
          <color indexed="64"/>
        </top>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border>
        <left style="thin">
          <color indexed="64"/>
        </left>
        <right style="thin">
          <color indexed="64"/>
        </right>
        <top style="thin">
          <color indexed="64"/>
        </top>
        <bottom style="thin">
          <color indexed="64"/>
        </bottom>
      </bord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0" tint="-0.14999847407452621"/>
        </patternFill>
      </fill>
    </dxf>
    <dxf>
      <border>
        <left style="thin">
          <color indexed="64"/>
        </left>
        <right style="thin">
          <color indexed="64"/>
        </right>
        <top style="thin">
          <color indexed="64"/>
        </top>
        <bottom style="thin">
          <color indexed="64"/>
        </bottom>
      </border>
    </dxf>
    <dxf>
      <fill>
        <patternFill patternType="solid">
          <bgColor theme="0" tint="-0.14999847407452621"/>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vertical="top"/>
    </dxf>
    <dxf>
      <alignment horizontal="center"/>
    </dxf>
    <dxf>
      <alignment wrapText="1"/>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numFmt numFmtId="164" formatCode="#,##0_ ;[Red]\-#,##0\ "/>
    </dxf>
    <dxf>
      <fill>
        <patternFill patternType="solid">
          <bgColor rgb="FFFFC000"/>
        </patternFill>
      </fill>
    </dxf>
    <dxf>
      <fill>
        <patternFill patternType="solid">
          <bgColor rgb="FFFFC000"/>
        </patternFill>
      </fill>
    </dxf>
    <dxf>
      <font>
        <sz val="10"/>
      </font>
    </dxf>
    <dxf>
      <font>
        <sz val="10"/>
      </font>
    </dxf>
    <dxf>
      <font>
        <sz val="10"/>
      </font>
    </dxf>
    <dxf>
      <font>
        <sz val="10"/>
      </font>
    </dxf>
    <dxf>
      <font>
        <sz val="10"/>
      </font>
    </dxf>
    <dxf>
      <alignment vertical="top"/>
    </dxf>
    <dxf>
      <alignment vertical="top"/>
    </dxf>
    <dxf>
      <alignment vertical="top"/>
    </dxf>
    <dxf>
      <alignment vertical="top"/>
    </dxf>
    <dxf>
      <font>
        <sz val="11"/>
      </font>
    </dxf>
    <dxf>
      <font>
        <sz val="11"/>
      </font>
    </dxf>
    <dxf>
      <font>
        <sz val="11"/>
      </font>
    </dxf>
    <dxf>
      <font>
        <sz val="11"/>
      </font>
    </dxf>
    <dxf>
      <font>
        <sz val="11"/>
      </font>
    </dxf>
    <dxf>
      <fill>
        <patternFill>
          <bgColor rgb="FF92D050"/>
        </patternFill>
      </fill>
    </dxf>
    <dxf>
      <fill>
        <patternFill>
          <bgColor rgb="FFFF0000"/>
        </patternFill>
      </fill>
    </dxf>
    <dxf>
      <fill>
        <patternFill>
          <bgColor rgb="FF92D050"/>
        </patternFill>
      </fill>
    </dxf>
    <dxf>
      <fill>
        <patternFill>
          <bgColor rgb="FFFF0000"/>
        </patternFill>
      </fill>
    </dxf>
    <dxf>
      <font>
        <strike val="0"/>
        <outline val="0"/>
        <shadow val="0"/>
        <u val="none"/>
        <vertAlign val="baseline"/>
        <sz val="10"/>
        <name val="Arial"/>
        <family val="2"/>
        <scheme val="none"/>
      </font>
      <alignment horizontal="center" vertical="top" textRotation="0" wrapText="0" indent="0" justifyLastLine="0" shrinkToFit="0" readingOrder="0"/>
      <border diagonalUp="0" diagonalDown="0" outline="0">
        <left/>
        <right style="thin">
          <color auto="1"/>
        </right>
        <top style="hair">
          <color auto="1"/>
        </top>
        <bottom style="hair">
          <color auto="1"/>
        </bottom>
      </border>
    </dxf>
    <dxf>
      <font>
        <b/>
        <strike val="0"/>
        <outline val="0"/>
        <shadow val="0"/>
        <u val="none"/>
        <vertAlign val="baseline"/>
        <sz val="10"/>
        <name val="Arial"/>
        <family val="2"/>
        <scheme val="none"/>
      </font>
      <alignment horizontal="center" vertical="top" textRotation="0" wrapText="0" indent="0" justifyLastLine="0" shrinkToFit="0" readingOrder="0"/>
      <border diagonalUp="0" diagonalDown="0" outline="0">
        <left/>
        <right style="hair">
          <color auto="1"/>
        </right>
        <top style="hair">
          <color auto="1"/>
        </top>
        <bottom style="hair">
          <color auto="1"/>
        </bottom>
      </border>
    </dxf>
    <dxf>
      <font>
        <b/>
        <strike val="0"/>
        <outline val="0"/>
        <shadow val="0"/>
        <u val="none"/>
        <vertAlign val="baseline"/>
        <sz val="10"/>
        <name val="Arial"/>
        <family val="2"/>
        <scheme val="none"/>
      </font>
      <alignment horizontal="center" vertical="top" textRotation="0" wrapText="0" indent="0" justifyLastLine="0" shrinkToFit="0" readingOrder="0"/>
      <border diagonalUp="0" diagonalDown="0" outline="0">
        <left style="hair">
          <color auto="1"/>
        </left>
        <right/>
        <top style="hair">
          <color auto="1"/>
        </top>
        <bottom style="hair">
          <color auto="1"/>
        </bottom>
      </border>
    </dxf>
    <dxf>
      <font>
        <strike val="0"/>
        <outline val="0"/>
        <shadow val="0"/>
        <u val="none"/>
        <vertAlign val="baseline"/>
        <sz val="10"/>
        <name val="Arial"/>
        <family val="2"/>
        <scheme val="none"/>
      </font>
      <alignment horizontal="center" vertical="top" textRotation="0" wrapText="0" indent="0" justifyLastLine="0" shrinkToFit="0" readingOrder="0"/>
      <border diagonalUp="0" diagonalDown="0" outline="0">
        <left/>
        <right/>
        <top style="hair">
          <color auto="1"/>
        </top>
        <bottom style="hair">
          <color auto="1"/>
        </bottom>
      </border>
    </dxf>
    <dxf>
      <font>
        <b/>
        <strike val="0"/>
        <outline val="0"/>
        <shadow val="0"/>
        <u val="none"/>
        <vertAlign val="baseline"/>
        <sz val="10"/>
        <name val="Arial"/>
        <family val="2"/>
        <scheme val="none"/>
      </font>
      <alignment horizontal="center" vertical="top" textRotation="0" wrapText="0" indent="0" justifyLastLine="0" shrinkToFit="0" readingOrder="0"/>
      <border diagonalUp="0" diagonalDown="0" outline="0">
        <left style="hair">
          <color auto="1"/>
        </left>
        <right style="hair">
          <color auto="1"/>
        </right>
        <top style="hair">
          <color auto="1"/>
        </top>
        <bottom style="hair">
          <color auto="1"/>
        </bottom>
      </border>
    </dxf>
    <dxf>
      <font>
        <b/>
        <strike val="0"/>
        <outline val="0"/>
        <shadow val="0"/>
        <u val="none"/>
        <vertAlign val="baseline"/>
        <sz val="10"/>
        <name val="Arial"/>
        <family val="2"/>
        <scheme val="none"/>
      </font>
      <alignment horizontal="center" vertical="top" textRotation="0" wrapText="0" indent="0" justifyLastLine="0" shrinkToFit="0" readingOrder="0"/>
      <border diagonalUp="0" diagonalDown="0" outline="0">
        <left style="hair">
          <color auto="1"/>
        </left>
        <right/>
        <top style="hair">
          <color auto="1"/>
        </top>
        <bottom style="hair">
          <color auto="1"/>
        </bottom>
      </border>
    </dxf>
    <dxf>
      <font>
        <b/>
        <strike val="0"/>
        <outline val="0"/>
        <shadow val="0"/>
        <u val="none"/>
        <vertAlign val="baseline"/>
        <sz val="10"/>
        <name val="Arial"/>
        <family val="2"/>
        <scheme val="none"/>
      </font>
      <alignment horizontal="center"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1" hidden="0"/>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numFmt numFmtId="164" formatCode="#,##0_ ;[Red]\-#,##0\ "/>
      <alignment horizontal="general" vertical="top"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center" vertical="top"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numFmt numFmtId="164" formatCode="#,##0_ ;[Red]\-#,##0\ "/>
      <alignment horizontal="right" vertical="top" textRotation="0" wrapText="0" indent="0" justifyLastLine="0" shrinkToFit="0" readingOrder="0"/>
      <border diagonalUp="0" diagonalDown="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center" vertical="top"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numFmt numFmtId="164" formatCode="#,##0_ ;[Red]\-#,##0\ "/>
      <alignment horizontal="center" vertical="top" textRotation="0" wrapText="0" indent="0" justifyLastLine="0" shrinkToFit="0" readingOrder="0"/>
      <border diagonalUp="0" diagonalDown="0" outline="0">
        <left style="hair">
          <color auto="1"/>
        </left>
        <right style="hair">
          <color auto="1"/>
        </right>
        <top style="hair">
          <color auto="1"/>
        </top>
        <bottom style="hair">
          <color auto="1"/>
        </bottom>
      </border>
    </dxf>
    <dxf>
      <font>
        <strike val="0"/>
        <outline val="0"/>
        <shadow val="0"/>
        <u val="none"/>
        <vertAlign val="baseline"/>
        <sz val="10"/>
        <name val="Arial"/>
        <family val="2"/>
        <scheme val="none"/>
      </font>
      <alignment horizontal="left" vertical="top" textRotation="0" wrapText="0" indent="0" justifyLastLine="0" shrinkToFit="0" readingOrder="0"/>
      <border diagonalUp="0" diagonalDown="0" outline="0">
        <left style="hair">
          <color auto="1"/>
        </left>
        <right style="hair">
          <color auto="1"/>
        </right>
        <top style="hair">
          <color auto="1"/>
        </top>
        <bottom style="hair">
          <color auto="1"/>
        </bottom>
      </border>
    </dxf>
    <dxf>
      <font>
        <strike val="0"/>
        <outline val="0"/>
        <shadow val="0"/>
        <u val="none"/>
        <vertAlign val="baseline"/>
        <sz val="10"/>
        <name val="Arial"/>
        <family val="2"/>
        <scheme val="none"/>
      </font>
      <alignment horizontal="left"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strike val="0"/>
        <outline val="0"/>
        <shadow val="0"/>
        <u val="none"/>
        <vertAlign val="baseline"/>
        <sz val="10"/>
        <name val="Arial"/>
        <family val="2"/>
        <scheme val="none"/>
      </font>
      <alignment horizontal="general" vertical="top" textRotation="0" wrapText="0" indent="0" justifyLastLine="0" shrinkToFit="0" readingOrder="0"/>
      <border diagonalUp="0" diagonalDown="0" outline="0">
        <left/>
        <right style="hair">
          <color auto="1"/>
        </right>
        <top style="hair">
          <color auto="1"/>
        </top>
        <bottom style="hair">
          <color auto="1"/>
        </bottom>
      </border>
    </dxf>
    <dxf>
      <font>
        <b/>
        <strike val="0"/>
        <outline val="0"/>
        <shadow val="0"/>
        <u val="none"/>
        <vertAlign val="baseline"/>
        <sz val="10"/>
        <name val="Arial"/>
        <family val="2"/>
        <scheme val="none"/>
      </font>
      <alignment horizontal="center" vertical="top" textRotation="0" wrapText="0" indent="0" justifyLastLine="0" shrinkToFit="0" readingOrder="0"/>
      <border diagonalUp="0" diagonalDown="0" outline="0">
        <left style="thin">
          <color auto="1"/>
        </left>
        <right style="hair">
          <color auto="1"/>
        </right>
        <top style="hair">
          <color auto="1"/>
        </top>
        <bottom style="hair">
          <color auto="1"/>
        </bottom>
      </border>
    </dxf>
    <dxf>
      <border>
        <top style="hair">
          <color auto="1"/>
        </top>
      </border>
    </dxf>
    <dxf>
      <border diagonalUp="0" diagonalDown="0">
        <left style="thin">
          <color auto="1"/>
        </left>
        <right style="thin">
          <color auto="1"/>
        </right>
        <top style="thin">
          <color auto="1"/>
        </top>
        <bottom style="thin">
          <color auto="1"/>
        </bottom>
      </border>
    </dxf>
    <dxf>
      <font>
        <strike val="0"/>
        <outline val="0"/>
        <shadow val="0"/>
        <u val="none"/>
        <vertAlign val="baseline"/>
        <sz val="10"/>
        <name val="Arial"/>
        <family val="2"/>
        <scheme val="none"/>
      </font>
      <alignment horizontal="general" vertical="top" textRotation="0" wrapText="0" indent="0" justifyLastLine="0" shrinkToFit="0" readingOrder="0"/>
    </dxf>
    <dxf>
      <border>
        <bottom style="thin">
          <color auto="1"/>
        </bottom>
      </border>
    </dxf>
    <dxf>
      <font>
        <b/>
        <strike val="0"/>
        <outline val="0"/>
        <shadow val="0"/>
        <u val="none"/>
        <vertAlign val="baseline"/>
        <sz val="10"/>
        <color theme="0"/>
        <name val="Arial"/>
        <family val="2"/>
        <scheme val="none"/>
      </font>
      <fill>
        <patternFill patternType="solid">
          <fgColor indexed="64"/>
          <bgColor rgb="FF1E3249"/>
        </patternFill>
      </fill>
      <alignment horizontal="center" vertical="top" textRotation="0" wrapText="1" indent="0" justifyLastLine="0" shrinkToFit="0" readingOrder="0"/>
      <border diagonalUp="0" diagonalDown="0">
        <left style="hair">
          <color auto="1"/>
        </left>
        <right style="hair">
          <color auto="1"/>
        </right>
        <top/>
        <bottom/>
        <vertical style="hair">
          <color auto="1"/>
        </vertical>
        <horizontal/>
      </border>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strike val="0"/>
        <condense val="0"/>
        <extend val="0"/>
        <outline val="0"/>
        <shadow val="0"/>
        <u val="none"/>
        <vertAlign val="baseline"/>
        <sz val="10"/>
        <color theme="1"/>
        <name val="Arial"/>
        <family val="2"/>
        <scheme val="none"/>
      </font>
      <fill>
        <patternFill patternType="solid">
          <fgColor indexed="64"/>
          <bgColor rgb="FFDCE6F1"/>
        </patternFill>
      </fill>
    </dxf>
    <dxf>
      <font>
        <b/>
        <i val="0"/>
        <strike val="0"/>
        <condense val="0"/>
        <extend val="0"/>
        <outline val="0"/>
        <shadow val="0"/>
        <u val="none"/>
        <vertAlign val="baseline"/>
        <sz val="10"/>
        <color theme="1"/>
        <name val="Arial"/>
        <family val="2"/>
        <scheme val="none"/>
      </font>
      <fill>
        <patternFill patternType="solid">
          <fgColor indexed="64"/>
          <bgColor rgb="FFDCE6F1"/>
        </patternFill>
      </fill>
      <alignment horizontal="left" vertical="bottom" textRotation="0" wrapText="0" indent="0" justifyLastLine="0" shrinkToFit="0" readingOrder="0"/>
    </dxf>
    <dxf>
      <font>
        <b val="0"/>
        <i val="0"/>
        <strike val="0"/>
        <condense val="0"/>
        <extend val="0"/>
        <outline val="0"/>
        <shadow val="0"/>
        <u val="none"/>
        <vertAlign val="baseline"/>
        <sz val="10"/>
        <color rgb="FFDCE6F1"/>
        <name val="Arial"/>
        <family val="2"/>
        <scheme val="none"/>
      </font>
      <fill>
        <patternFill patternType="solid">
          <fgColor indexed="64"/>
          <bgColor rgb="FFDCE6F1"/>
        </patternFill>
      </fill>
    </dxf>
    <dxf>
      <font>
        <b/>
        <i val="0"/>
        <strike val="0"/>
        <condense val="0"/>
        <extend val="0"/>
        <outline val="0"/>
        <shadow val="0"/>
        <u val="none"/>
        <vertAlign val="baseline"/>
        <sz val="10"/>
        <color theme="1"/>
        <name val="Arial"/>
        <family val="2"/>
        <scheme val="none"/>
      </font>
      <numFmt numFmtId="0" formatCode="General"/>
      <fill>
        <patternFill patternType="solid">
          <fgColor indexed="64"/>
          <bgColor rgb="FFDCE6F1"/>
        </patternFill>
      </fill>
    </dxf>
    <dxf>
      <font>
        <b/>
        <i val="0"/>
        <strike val="0"/>
        <condense val="0"/>
        <extend val="0"/>
        <outline val="0"/>
        <shadow val="0"/>
        <u val="none"/>
        <vertAlign val="baseline"/>
        <sz val="10"/>
        <color theme="1"/>
        <name val="Arial"/>
        <family val="2"/>
        <scheme val="none"/>
      </font>
      <fill>
        <patternFill patternType="solid">
          <fgColor indexed="64"/>
          <bgColor rgb="FFDCE6F1"/>
        </patternFill>
      </fill>
      <alignment horizontal="right" vertical="bottom" textRotation="0" wrapText="0" indent="0" justifyLastLine="0" shrinkToFit="0" readingOrder="0"/>
    </dxf>
    <dxf>
      <font>
        <b val="0"/>
        <i val="0"/>
        <strike val="0"/>
        <condense val="0"/>
        <extend val="0"/>
        <outline val="0"/>
        <shadow val="0"/>
        <u val="none"/>
        <vertAlign val="baseline"/>
        <sz val="10"/>
        <color rgb="FFDCE6F1"/>
        <name val="Arial"/>
        <family val="2"/>
        <scheme val="none"/>
      </font>
      <fill>
        <patternFill patternType="solid">
          <fgColor indexed="64"/>
          <bgColor rgb="FFDCE6F1"/>
        </patternFill>
      </fill>
    </dxf>
    <dxf>
      <font>
        <b/>
        <i val="0"/>
        <strike val="0"/>
        <condense val="0"/>
        <extend val="0"/>
        <outline val="0"/>
        <shadow val="0"/>
        <u val="none"/>
        <vertAlign val="baseline"/>
        <sz val="10"/>
        <color theme="1"/>
        <name val="Arial"/>
        <family val="2"/>
        <scheme val="none"/>
      </font>
      <numFmt numFmtId="0" formatCode="General"/>
      <fill>
        <patternFill patternType="solid">
          <fgColor indexed="64"/>
          <bgColor rgb="FFDCE6F1"/>
        </patternFill>
      </fill>
    </dxf>
    <dxf>
      <font>
        <b/>
        <i val="0"/>
        <strike val="0"/>
        <condense val="0"/>
        <extend val="0"/>
        <outline val="0"/>
        <shadow val="0"/>
        <u val="none"/>
        <vertAlign val="baseline"/>
        <sz val="10"/>
        <color theme="1"/>
        <name val="Arial"/>
        <family val="2"/>
        <scheme val="none"/>
      </font>
      <fill>
        <patternFill patternType="solid">
          <fgColor indexed="64"/>
          <bgColor rgb="FFDCE6F1"/>
        </patternFill>
      </fill>
    </dxf>
    <dxf>
      <font>
        <b val="0"/>
        <i val="0"/>
        <strike val="0"/>
        <condense val="0"/>
        <extend val="0"/>
        <outline val="0"/>
        <shadow val="0"/>
        <u val="none"/>
        <vertAlign val="baseline"/>
        <sz val="10"/>
        <color rgb="FFDCE6F1"/>
        <name val="Arial"/>
        <family val="2"/>
        <scheme val="none"/>
      </font>
      <fill>
        <patternFill patternType="solid">
          <fgColor indexed="64"/>
          <bgColor rgb="FFDCE6F1"/>
        </patternFill>
      </fill>
    </dxf>
    <dxf>
      <font>
        <b/>
        <i val="0"/>
        <strike val="0"/>
        <condense val="0"/>
        <extend val="0"/>
        <outline val="0"/>
        <shadow val="0"/>
        <u val="none"/>
        <vertAlign val="baseline"/>
        <sz val="10"/>
        <color theme="1"/>
        <name val="Arial"/>
        <family val="2"/>
        <scheme val="none"/>
      </font>
      <numFmt numFmtId="0" formatCode="General"/>
      <fill>
        <patternFill patternType="solid">
          <fgColor indexed="64"/>
          <bgColor rgb="FFDCE6F1"/>
        </patternFill>
      </fill>
    </dxf>
    <dxf>
      <font>
        <b/>
        <i val="0"/>
        <strike val="0"/>
        <condense val="0"/>
        <extend val="0"/>
        <outline val="0"/>
        <shadow val="0"/>
        <u val="none"/>
        <vertAlign val="baseline"/>
        <sz val="10"/>
        <color theme="1"/>
        <name val="Arial"/>
        <family val="2"/>
        <scheme val="none"/>
      </font>
      <fill>
        <patternFill patternType="solid">
          <fgColor indexed="64"/>
          <bgColor rgb="FFDCE6F1"/>
        </patternFill>
      </fill>
    </dxf>
    <dxf>
      <font>
        <b/>
        <i val="0"/>
        <strike val="0"/>
        <condense val="0"/>
        <extend val="0"/>
        <outline val="0"/>
        <shadow val="0"/>
        <u val="none"/>
        <vertAlign val="baseline"/>
        <sz val="10"/>
        <color rgb="FFDCE6F1"/>
        <name val="Arial"/>
        <family val="2"/>
        <scheme val="none"/>
      </font>
      <fill>
        <patternFill patternType="solid">
          <fgColor indexed="64"/>
          <bgColor rgb="FFDCE6F1"/>
        </patternFill>
      </fill>
    </dxf>
    <dxf>
      <font>
        <b val="0"/>
        <i val="0"/>
        <strike val="0"/>
        <condense val="0"/>
        <extend val="0"/>
        <outline val="0"/>
        <shadow val="0"/>
        <u val="none"/>
        <vertAlign val="baseline"/>
        <sz val="10"/>
        <color theme="1"/>
        <name val="Arial"/>
        <family val="2"/>
        <scheme val="none"/>
      </font>
      <fill>
        <patternFill patternType="solid">
          <fgColor indexed="64"/>
          <bgColor rgb="FFDCE6F1"/>
        </patternFill>
      </fill>
    </dxf>
    <dxf>
      <font>
        <b val="0"/>
        <i val="0"/>
        <strike val="0"/>
        <condense val="0"/>
        <extend val="0"/>
        <outline val="0"/>
        <shadow val="0"/>
        <u val="none"/>
        <vertAlign val="baseline"/>
        <sz val="10"/>
        <color theme="1"/>
        <name val="Arial"/>
        <family val="2"/>
        <scheme val="none"/>
      </font>
      <fill>
        <patternFill patternType="solid">
          <fgColor indexed="64"/>
          <bgColor rgb="FFDCE6F1"/>
        </patternFill>
      </fill>
    </dxf>
    <dxf>
      <numFmt numFmtId="164" formatCode="#,##0_ ;[Red]\-#,##0\ "/>
    </dxf>
    <dxf>
      <font>
        <color theme="0"/>
      </font>
      <fill>
        <patternFill patternType="solid">
          <fgColor indexed="64"/>
          <bgColor rgb="FF1E3249"/>
        </patternFill>
      </fill>
      <alignment horizontal="center"/>
    </dxf>
    <dxf>
      <alignment horizontal="center"/>
    </dxf>
    <dxf>
      <font>
        <color theme="0"/>
      </font>
    </dxf>
    <dxf>
      <fill>
        <patternFill patternType="solid">
          <bgColor rgb="FF1E3249"/>
        </patternFill>
      </fill>
    </dxf>
    <dxf>
      <font>
        <color theme="0"/>
      </font>
    </dxf>
    <dxf>
      <fill>
        <patternFill patternType="solid">
          <bgColor rgb="FF1E3249"/>
        </patternFill>
      </fill>
    </dxf>
    <dxf>
      <font>
        <b/>
        <color theme="0"/>
      </font>
      <fill>
        <patternFill patternType="solid">
          <fgColor indexed="64"/>
          <bgColor rgb="FF1E3249"/>
        </patternFill>
      </fill>
      <alignment horizontal="center" vertical="top" wrapText="1"/>
    </dxf>
    <dxf>
      <font>
        <color theme="0"/>
      </font>
    </dxf>
    <dxf>
      <fill>
        <patternFill patternType="solid">
          <bgColor rgb="FF1E3249"/>
        </patternFill>
      </fill>
    </dxf>
    <dxf>
      <alignment horizontal="center"/>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fill>
        <patternFill patternType="solid">
          <fgColor indexed="64"/>
          <bgColor rgb="FF1E3249"/>
        </patternFill>
      </fill>
      <alignment horizontal="center"/>
    </dxf>
    <dxf>
      <font>
        <color theme="0"/>
      </font>
    </dxf>
    <dxf>
      <fill>
        <patternFill patternType="solid">
          <bgColor rgb="FF1E3249"/>
        </patternFill>
      </fill>
    </dxf>
    <dxf>
      <numFmt numFmtId="164" formatCode="#,##0_ ;[Red]\-#,##0\ "/>
    </dxf>
    <dxf>
      <alignment horizontal="center"/>
    </dxf>
    <dxf>
      <font>
        <color theme="0"/>
      </font>
    </dxf>
    <dxf>
      <fill>
        <patternFill patternType="solid">
          <bgColor rgb="FF1E3249"/>
        </patternFill>
      </fill>
    </dxf>
    <dxf>
      <alignment horizontal="center"/>
    </dxf>
    <dxf>
      <font>
        <color theme="0"/>
      </font>
    </dxf>
    <dxf>
      <fill>
        <patternFill patternType="solid">
          <bgColor rgb="FF1E3249"/>
        </patternFill>
      </fill>
    </dxf>
    <dxf>
      <alignment horizontal="center"/>
    </dxf>
    <dxf>
      <font>
        <sz val="10"/>
      </font>
    </dxf>
    <dxf>
      <font>
        <sz val="10"/>
      </font>
    </dxf>
    <dxf>
      <font>
        <sz val="10"/>
      </font>
    </dxf>
    <dxf>
      <font>
        <sz val="10"/>
      </font>
    </dxf>
    <dxf>
      <font>
        <sz val="10"/>
      </font>
    </dxf>
    <dxf>
      <font>
        <sz val="10"/>
      </font>
    </dxf>
    <dxf>
      <font>
        <sz val="10"/>
      </font>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numFmt numFmtId="164" formatCode="#,##0_ ;[Red]\-#,##0\ "/>
    </dxf>
    <dxf>
      <numFmt numFmtId="164" formatCode="#,##0_ ;[Red]\-#,##0\ "/>
    </dxf>
    <dxf>
      <font>
        <color theme="0"/>
      </font>
      <alignment horizontal="center" vertical="top" wrapText="1"/>
    </dxf>
    <dxf>
      <font>
        <color theme="0"/>
      </font>
      <fill>
        <patternFill patternType="solid">
          <fgColor indexed="64"/>
          <bgColor rgb="FF1E3249"/>
        </patternFill>
      </fill>
      <alignment horizontal="center" vertical="top" wrapText="1"/>
    </dxf>
    <dxf>
      <alignment vertical="top" wrapText="1"/>
    </dxf>
    <dxf>
      <font>
        <color theme="0"/>
      </font>
    </dxf>
    <dxf>
      <fill>
        <patternFill patternType="solid">
          <bgColor rgb="FF1E3249"/>
        </patternFill>
      </fill>
    </dxf>
    <dxf>
      <alignment horizontal="center"/>
    </dxf>
    <dxf>
      <alignment horizontal="center"/>
    </dxf>
    <dxf>
      <font>
        <color theme="0"/>
      </font>
    </dxf>
    <dxf>
      <fill>
        <patternFill patternType="solid">
          <bgColor rgb="FF1E3249"/>
        </patternFill>
      </fill>
    </dxf>
    <dxf>
      <alignment horizontal="center"/>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numFmt numFmtId="164" formatCode="#,##0_ ;[Red]\-#,##0\ "/>
    </dxf>
    <dxf>
      <numFmt numFmtId="164" formatCode="#,##0_ ;[Red]\-#,##0\ "/>
    </dxf>
    <dxf>
      <numFmt numFmtId="164" formatCode="#,##0_ ;[Red]\-#,##0\ "/>
    </dxf>
    <dxf>
      <font>
        <b/>
        <color theme="0"/>
      </font>
      <alignment horizontal="center" vertical="top" wrapText="1"/>
    </dxf>
    <dxf>
      <font>
        <b/>
        <color theme="0"/>
      </font>
      <alignment horizontal="center" vertical="top" wrapText="1"/>
    </dxf>
    <dxf>
      <font>
        <b/>
        <color theme="0"/>
      </font>
      <fill>
        <patternFill patternType="solid">
          <fgColor indexed="64"/>
          <bgColor rgb="FF1E3249"/>
        </patternFill>
      </fill>
      <alignment horizontal="center" vertical="top" wrapText="1"/>
    </dxf>
    <dxf>
      <font>
        <b/>
        <color theme="0"/>
      </font>
      <fill>
        <patternFill patternType="solid">
          <fgColor indexed="64"/>
          <bgColor rgb="FF1E3249"/>
        </patternFill>
      </fill>
      <alignment horizontal="center" vertical="top" wrapText="1"/>
    </dxf>
    <dxf>
      <font>
        <color theme="0"/>
      </font>
    </dxf>
    <dxf>
      <fill>
        <patternFill patternType="solid">
          <bgColor rgb="FF1E3249"/>
        </patternFill>
      </fill>
    </dxf>
    <dxf>
      <alignment horizontal="center"/>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numFmt numFmtId="13" formatCode="0%"/>
    </dxf>
    <dxf>
      <font>
        <color rgb="FF1E3249"/>
      </font>
    </dxf>
    <dxf>
      <font>
        <color theme="0"/>
      </font>
    </dxf>
    <dxf>
      <fill>
        <patternFill patternType="solid">
          <bgColor rgb="FF1E3249"/>
        </patternFill>
      </fill>
    </dxf>
    <dxf>
      <alignment horizontal="left"/>
    </dxf>
    <dxf>
      <alignment wrapText="0"/>
    </dxf>
    <dxf>
      <font>
        <b/>
        <color theme="0"/>
      </font>
      <fill>
        <patternFill patternType="solid">
          <fgColor indexed="64"/>
          <bgColor rgb="FF1E3249"/>
        </patternFill>
      </fill>
      <alignment horizontal="center" wrapText="1"/>
    </dxf>
    <dxf>
      <font>
        <b/>
        <color theme="0"/>
      </font>
      <fill>
        <patternFill patternType="solid">
          <fgColor indexed="64"/>
          <bgColor rgb="FF1E3249"/>
        </patternFill>
      </fill>
      <alignment horizontal="center" wrapText="1"/>
    </dxf>
    <dxf>
      <font>
        <b/>
        <color theme="0"/>
      </font>
      <fill>
        <patternFill patternType="solid">
          <fgColor indexed="64"/>
          <bgColor rgb="FF1E3249"/>
        </patternFill>
      </fill>
      <alignment horizontal="center" wrapText="1"/>
    </dxf>
    <dxf>
      <font>
        <b/>
        <color theme="0"/>
      </font>
      <fill>
        <patternFill patternType="solid">
          <fgColor indexed="64"/>
          <bgColor rgb="FF1E3249"/>
        </patternFill>
      </fill>
      <alignment horizontal="center" wrapText="1"/>
    </dxf>
    <dxf>
      <font>
        <b/>
        <color theme="0"/>
      </font>
      <fill>
        <patternFill patternType="solid">
          <fgColor indexed="64"/>
          <bgColor rgb="FF1E3249"/>
        </patternFill>
      </fill>
      <alignment horizontal="center" wrapText="1"/>
    </dxf>
    <dxf>
      <alignment horizontal="center"/>
    </dxf>
    <dxf>
      <font>
        <b/>
        <color theme="0"/>
      </font>
      <alignment horizontal="center" wrapText="1"/>
    </dxf>
    <dxf>
      <numFmt numFmtId="164" formatCode="#,##0_ ;[Red]\-#,##0\ "/>
    </dxf>
    <dxf>
      <alignment horizontal="center"/>
    </dxf>
    <dxf>
      <font>
        <b/>
        <color theme="0"/>
      </font>
      <fill>
        <patternFill patternType="solid">
          <fgColor indexed="64"/>
          <bgColor rgb="FF1E3249"/>
        </patternFill>
      </fill>
      <alignment horizontal="center" wrapText="1"/>
    </dxf>
    <dxf>
      <alignment vertical="top" indent="0"/>
    </dxf>
    <dxf>
      <alignment vertical="top" indent="0"/>
    </dxf>
    <dxf>
      <alignment vertical="top" indent="0"/>
    </dxf>
    <dxf>
      <alignment vertical="top" indent="0"/>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auto="1"/>
        </patternFill>
      </fill>
    </dxf>
    <dxf>
      <fill>
        <patternFill patternType="none">
          <bgColor auto="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fill>
        <patternFill>
          <fgColor theme="0" tint="-0.14999847407452621"/>
        </patternFill>
      </fill>
    </dxf>
    <dxf>
      <font>
        <color auto="1"/>
      </font>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fill>
        <patternFill patternType="solid">
          <fgColor indexed="64"/>
          <bgColor rgb="FF1E3249"/>
        </patternFill>
      </fill>
    </dxf>
    <dxf>
      <font>
        <color theme="0"/>
      </font>
    </dxf>
    <dxf>
      <fill>
        <patternFill patternType="solid">
          <bgColor rgb="FF1E3249"/>
        </patternFill>
      </fill>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wrapText="1"/>
    </dxf>
    <dxf>
      <alignment horizontal="center"/>
    </dxf>
    <dxf>
      <alignment wrapText="1"/>
    </dxf>
    <dxf>
      <numFmt numFmtId="164" formatCode="#,##0_ ;[Red]\-#,##0\ "/>
    </dxf>
    <dxf>
      <fill>
        <patternFill patternType="solid">
          <bgColor rgb="FFFFC000"/>
        </patternFill>
      </fill>
    </dxf>
    <dxf>
      <numFmt numFmtId="13" formatCode="0%"/>
    </dxf>
    <dxf>
      <font>
        <color rgb="FF1E3249"/>
      </font>
    </dxf>
    <dxf>
      <fill>
        <patternFill patternType="solid">
          <bgColor rgb="FF1E3249"/>
        </patternFill>
      </fill>
    </dxf>
    <dxf>
      <font>
        <color theme="0"/>
      </font>
      <fill>
        <patternFill patternType="solid">
          <fgColor indexed="64"/>
          <bgColor rgb="FF1E3249"/>
        </patternFill>
      </fill>
      <alignment horizontal="center" wrapText="1"/>
    </dxf>
    <dxf>
      <font>
        <color theme="0"/>
      </font>
    </dxf>
    <dxf>
      <fill>
        <patternFill patternType="solid">
          <bgColor rgb="FF1E3249"/>
        </patternFill>
      </fill>
    </dxf>
    <dxf>
      <alignment horizontal="center"/>
    </dxf>
    <dxf>
      <alignment wrapText="1"/>
    </dxf>
    <dxf>
      <fill>
        <patternFill patternType="solid">
          <bgColor rgb="FF1E3249"/>
        </patternFill>
      </fill>
    </dxf>
    <dxf>
      <alignment horizontal="center"/>
    </dxf>
    <dxf>
      <font>
        <color theme="0"/>
      </font>
    </dxf>
    <dxf>
      <fill>
        <patternFill patternType="solid">
          <bgColor rgb="FF1E3249"/>
        </patternFill>
      </fill>
    </dxf>
    <dxf>
      <font>
        <b/>
        <color theme="0"/>
      </font>
      <fill>
        <patternFill patternType="solid">
          <fgColor indexed="64"/>
          <bgColor rgb="FF1E3249"/>
        </patternFill>
      </fill>
      <alignment horizontal="center" wrapText="1"/>
    </dxf>
    <dxf>
      <alignment horizontal="center"/>
    </dxf>
    <dxf>
      <alignment vertical="top" indent="0"/>
    </dxf>
    <dxf>
      <alignment vertical="top" indent="0"/>
    </dxf>
    <dxf>
      <alignment vertical="top" indent="0"/>
    </dxf>
    <dxf>
      <alignment vertical="top" indent="0"/>
    </dxf>
    <dxf>
      <alignment vertical="top" indent="0"/>
    </dxf>
    <dxf>
      <font>
        <b/>
      </font>
    </dxf>
    <dxf>
      <font>
        <color theme="0"/>
      </font>
    </dxf>
    <dxf>
      <fill>
        <patternFill patternType="solid">
          <bgColor rgb="FF1E3249"/>
        </patternFill>
      </fill>
    </dxf>
    <dxf>
      <numFmt numFmtId="164" formatCode="#,##0_ ;[Red]\-#,##0\ "/>
    </dxf>
    <dxf>
      <numFmt numFmtId="164" formatCode="#,##0_ ;[Red]\-#,##0\ "/>
    </dxf>
    <dxf>
      <font>
        <b/>
        <color theme="0"/>
      </font>
      <fill>
        <patternFill patternType="solid">
          <fgColor indexed="64"/>
          <bgColor rgb="FF1E3249"/>
        </patternFill>
      </fill>
      <alignment horizontal="center" vertical="top" wrapText="1"/>
    </dxf>
    <dxf>
      <fill>
        <patternFill patternType="solid">
          <fgColor indexed="64"/>
          <bgColor rgb="FF1E3249"/>
        </patternFill>
      </fill>
    </dxf>
    <dxf>
      <fill>
        <patternFill patternType="solid">
          <fgColor indexed="64"/>
          <bgColor rgb="FF1E3249"/>
        </patternFill>
      </fill>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numFmt numFmtId="13" formatCode="0%"/>
    </dxf>
    <dxf>
      <font>
        <color rgb="FF1E3249"/>
      </font>
    </dxf>
    <dxf>
      <font>
        <color theme="0"/>
      </font>
    </dxf>
    <dxf>
      <fill>
        <patternFill patternType="solid">
          <bgColor rgb="FF1E3249"/>
        </patternFill>
      </fill>
    </dxf>
    <dxf>
      <numFmt numFmtId="164" formatCode="#,##0_ ;[Red]\-#,##0\ "/>
    </dxf>
    <dxf>
      <numFmt numFmtId="164" formatCode="#,##0_ ;[Red]\-#,##0\ "/>
    </dxf>
    <dxf>
      <font>
        <b/>
        <color theme="0"/>
      </font>
      <alignment horizontal="center" wrapText="1"/>
    </dxf>
    <dxf>
      <font>
        <b/>
        <color theme="0"/>
      </font>
      <fill>
        <patternFill patternType="solid">
          <fgColor indexed="64"/>
          <bgColor rgb="FF1E3249"/>
        </patternFill>
      </fill>
      <alignment horizontal="center" wrapText="1"/>
    </dxf>
    <dxf>
      <font>
        <b/>
        <color theme="0"/>
      </font>
      <fill>
        <patternFill patternType="solid">
          <fgColor indexed="64"/>
          <bgColor rgb="FF1E3249"/>
        </patternFill>
      </fill>
      <alignment horizontal="center" wrapText="1"/>
    </dxf>
    <dxf>
      <alignment horizontal="center"/>
    </dxf>
    <dxf>
      <font>
        <b/>
        <color theme="0"/>
      </font>
      <alignment horizontal="center" wrapText="1"/>
    </dxf>
    <dxf>
      <numFmt numFmtId="164" formatCode="#,##0_ ;[Red]\-#,##0\ "/>
    </dxf>
    <dxf>
      <alignment horizontal="center"/>
    </dxf>
    <dxf>
      <font>
        <b/>
        <color theme="0"/>
      </font>
      <fill>
        <patternFill patternType="solid">
          <fgColor indexed="64"/>
          <bgColor rgb="FF1E3249"/>
        </patternFill>
      </fill>
      <alignment horizontal="center" wrapText="1"/>
    </dxf>
    <dxf>
      <alignment vertical="top" indent="0"/>
    </dxf>
    <dxf>
      <alignment vertical="top" indent="0"/>
    </dxf>
    <dxf>
      <alignment vertical="top" indent="0"/>
    </dxf>
    <dxf>
      <alignment vertical="top" indent="0"/>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numFmt numFmtId="13" formatCode="0%"/>
    </dxf>
    <dxf>
      <font>
        <color rgb="FF1E3249"/>
      </font>
    </dxf>
    <dxf>
      <font>
        <color theme="0"/>
      </font>
    </dxf>
    <dxf>
      <fill>
        <patternFill patternType="solid">
          <bgColor rgb="FF1E3249"/>
        </patternFill>
      </fill>
    </dxf>
    <dxf>
      <numFmt numFmtId="164" formatCode="#,##0_ ;[Red]\-#,##0\ "/>
    </dxf>
    <dxf>
      <numFmt numFmtId="164" formatCode="#,##0_ ;[Red]\-#,##0\ "/>
    </dxf>
    <dxf>
      <numFmt numFmtId="164" formatCode="#,##0_ ;[Red]\-#,##0\ "/>
    </dxf>
    <dxf>
      <font>
        <b/>
        <color theme="0"/>
      </font>
      <alignment horizontal="center" wrapText="1"/>
    </dxf>
    <dxf>
      <font>
        <b/>
        <color theme="0"/>
      </font>
      <alignment horizontal="center" wrapText="1"/>
    </dxf>
    <dxf>
      <font>
        <b/>
        <color theme="0"/>
      </font>
      <fill>
        <patternFill patternType="solid">
          <fgColor indexed="64"/>
          <bgColor rgb="FF1E3249"/>
        </patternFill>
      </fill>
      <alignment horizontal="center" wrapText="1"/>
    </dxf>
    <dxf>
      <numFmt numFmtId="13" formatCode="0%"/>
    </dxf>
    <dxf>
      <font>
        <color theme="0"/>
      </font>
    </dxf>
    <dxf>
      <font>
        <b/>
        <color theme="0"/>
      </font>
      <alignment horizontal="center" wrapText="1"/>
    </dxf>
    <dxf>
      <alignment horizontal="center"/>
    </dxf>
    <dxf>
      <font>
        <b/>
        <color theme="0"/>
      </font>
      <fill>
        <patternFill patternType="solid">
          <fgColor indexed="64"/>
          <bgColor rgb="FF1E3249"/>
        </patternFill>
      </fill>
      <alignment horizontal="center" wrapText="1"/>
    </dxf>
    <dxf>
      <numFmt numFmtId="164" formatCode="#,##0_ ;[Red]\-#,##0\ "/>
    </dxf>
    <dxf>
      <alignment horizontal="center"/>
    </dxf>
    <dxf>
      <font>
        <b/>
        <color theme="0"/>
      </font>
      <fill>
        <patternFill patternType="solid">
          <fgColor indexed="64"/>
          <bgColor rgb="FF1E3249"/>
        </patternFill>
      </fill>
      <alignment horizontal="center" wrapText="1"/>
    </dxf>
    <dxf>
      <alignment vertical="top" indent="0"/>
    </dxf>
    <dxf>
      <alignment vertical="top" indent="0"/>
    </dxf>
    <dxf>
      <alignment vertical="top" indent="0"/>
    </dxf>
    <dxf>
      <alignment vertical="top" indent="0"/>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ill>
        <patternFill patternType="solid">
          <bgColor rgb="FFFFC000"/>
        </patternFill>
      </fill>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alignment horizontal="center"/>
    </dxf>
    <dxf>
      <font>
        <color theme="0"/>
      </font>
    </dxf>
    <dxf>
      <fill>
        <patternFill patternType="solid">
          <bgColor rgb="FF1E3249"/>
        </patternFill>
      </fill>
    </dxf>
    <dxf>
      <font>
        <color theme="0"/>
      </font>
    </dxf>
    <dxf>
      <fill>
        <patternFill patternType="solid">
          <bgColor rgb="FF1E3249"/>
        </patternFill>
      </fill>
    </dxf>
    <dxf>
      <font>
        <color theme="0"/>
      </font>
      <fill>
        <patternFill patternType="solid">
          <fgColor indexed="64"/>
          <bgColor rgb="FF1E3249"/>
        </patternFill>
      </fill>
      <alignment horizontal="center" wrapText="1"/>
    </dxf>
    <dxf>
      <font>
        <color theme="0"/>
      </font>
      <fill>
        <patternFill patternType="solid">
          <fgColor indexed="64"/>
          <bgColor rgb="FF1E3249"/>
        </patternFill>
      </fill>
      <alignment horizontal="center" wrapText="1"/>
    </dxf>
    <dxf>
      <font>
        <b/>
        <color theme="0"/>
      </font>
      <fill>
        <patternFill patternType="solid">
          <fgColor indexed="64"/>
          <bgColor rgb="FF1E3249"/>
        </patternFill>
      </fill>
      <alignment horizontal="center" wrapText="1"/>
    </dxf>
    <dxf>
      <alignment wrapText="1"/>
    </dxf>
    <dxf>
      <alignment horizontal="center"/>
    </dxf>
    <dxf>
      <font>
        <color theme="0"/>
      </font>
    </dxf>
    <dxf>
      <fill>
        <patternFill patternType="solid">
          <bgColor rgb="FF1E3249"/>
        </patternFill>
      </fill>
    </dxf>
    <dxf>
      <numFmt numFmtId="164" formatCode="#,##0_ ;[Red]\-#,##0\ "/>
    </dxf>
    <dxf>
      <alignment horizontal="center"/>
    </dxf>
    <dxf>
      <alignment vertical="top" indent="0"/>
    </dxf>
    <dxf>
      <alignment vertical="top" indent="0"/>
    </dxf>
    <dxf>
      <alignment vertical="top" indent="0"/>
    </dxf>
    <dxf>
      <font>
        <b/>
      </font>
    </dxf>
    <dxf>
      <fill>
        <patternFill patternType="solid">
          <bgColor rgb="FF1E3249"/>
        </patternFill>
      </fill>
    </dxf>
    <dxf>
      <fill>
        <patternFill patternType="solid">
          <bgColor rgb="FF1E3249"/>
        </patternFill>
      </fill>
    </dxf>
    <dxf>
      <font>
        <color theme="0"/>
      </font>
    </dxf>
    <dxf>
      <fill>
        <patternFill patternType="solid">
          <bgColor rgb="FF1E3249"/>
        </patternFill>
      </fill>
    </dxf>
    <dxf>
      <font>
        <sz val="10"/>
      </font>
    </dxf>
    <dxf>
      <font>
        <sz val="10"/>
      </font>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font>
        <color rgb="FF1E3249"/>
      </font>
    </dxf>
    <dxf>
      <font>
        <color theme="0"/>
      </font>
    </dxf>
    <dxf>
      <fill>
        <patternFill patternType="solid">
          <bgColor rgb="FF1E3249"/>
        </patternFill>
      </fill>
    </dxf>
    <dxf>
      <font>
        <b val="0"/>
      </font>
    </dxf>
    <dxf>
      <numFmt numFmtId="13" formatCode="0%"/>
    </dxf>
    <dxf>
      <alignment horizontal="center"/>
    </dxf>
    <dxf>
      <numFmt numFmtId="13" formatCode="0%"/>
    </dxf>
    <dxf>
      <alignment horizontal="center"/>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font>
        <b/>
        <color theme="0"/>
      </font>
      <fill>
        <patternFill patternType="solid">
          <fgColor indexed="64"/>
          <bgColor rgb="FF1E3249"/>
        </patternFill>
      </fill>
      <alignment horizontal="center" vertical="top" wrapText="1"/>
    </dxf>
    <dxf>
      <font>
        <b/>
        <color theme="0"/>
      </font>
      <fill>
        <patternFill patternType="solid">
          <fgColor indexed="64"/>
          <bgColor rgb="FF1E3249"/>
        </patternFill>
      </fill>
      <alignment horizontal="center" vertical="top" wrapText="1"/>
    </dxf>
    <dxf>
      <font>
        <b/>
        <color theme="0"/>
      </font>
      <fill>
        <patternFill patternType="solid">
          <fgColor indexed="64"/>
          <bgColor rgb="FF1E3249"/>
        </patternFill>
      </fill>
      <alignment horizontal="center" vertical="top" wrapText="1"/>
    </dxf>
    <dxf>
      <font>
        <b/>
        <color theme="0"/>
      </font>
      <fill>
        <patternFill patternType="solid">
          <fgColor indexed="64"/>
          <bgColor rgb="FF1E3249"/>
        </patternFill>
      </fill>
      <alignment horizontal="center" vertical="top" wrapText="1"/>
    </dxf>
    <dxf>
      <font>
        <b/>
        <color theme="0"/>
      </font>
      <fill>
        <patternFill patternType="solid">
          <fgColor indexed="64"/>
          <bgColor rgb="FF1E3249"/>
        </patternFill>
      </fill>
      <alignment horizontal="center" vertical="top" wrapText="1"/>
    </dxf>
    <dxf>
      <font>
        <b/>
        <color theme="0"/>
      </font>
      <fill>
        <patternFill patternType="solid">
          <fgColor indexed="64"/>
          <bgColor rgb="FF1E3249"/>
        </patternFill>
      </fill>
      <alignment horizontal="center" vertical="top" wrapText="1"/>
    </dxf>
    <dxf>
      <font>
        <b/>
        <color theme="0"/>
      </font>
      <fill>
        <patternFill patternType="solid">
          <fgColor indexed="64"/>
          <bgColor rgb="FF1E3249"/>
        </patternFill>
      </fill>
      <alignment horizontal="center" vertical="top" wrapText="1"/>
    </dxf>
    <dxf>
      <numFmt numFmtId="164" formatCode="#,##0_ ;[Red]\-#,##0\ "/>
    </dxf>
    <dxf>
      <numFmt numFmtId="164" formatCode="#,##0_ ;[Red]\-#,##0\ "/>
    </dxf>
    <dxf>
      <numFmt numFmtId="164" formatCode="#,##0_ ;[Red]\-#,##0\ "/>
    </dxf>
    <dxf>
      <numFmt numFmtId="164" formatCode="#,##0_ ;[Red]\-#,##0\ "/>
    </dxf>
    <dxf>
      <numFmt numFmtId="164" formatCode="#,##0_ ;[Red]\-#,##0\ "/>
    </dxf>
    <dxf>
      <font>
        <sz val="10"/>
      </font>
    </dxf>
    <dxf>
      <font>
        <sz val="10"/>
      </font>
    </dxf>
    <dxf>
      <font>
        <sz val="10"/>
      </font>
    </dxf>
    <dxf>
      <font>
        <sz val="10"/>
      </font>
    </dxf>
    <dxf>
      <font>
        <sz val="10"/>
      </font>
    </dxf>
    <dxf>
      <alignment vertical="top"/>
    </dxf>
    <dxf>
      <alignment wrapText="1"/>
    </dxf>
    <dxf>
      <alignment horizontal="center"/>
    </dxf>
    <dxf>
      <font>
        <b/>
      </font>
    </dxf>
    <dxf>
      <font>
        <color theme="0"/>
      </font>
    </dxf>
    <dxf>
      <fill>
        <patternFill patternType="solid">
          <bgColor rgb="FF1E3249"/>
        </patternFill>
      </fill>
    </dxf>
    <dxf>
      <font>
        <sz val="10"/>
      </font>
    </dxf>
    <dxf>
      <font>
        <sz val="10"/>
      </font>
    </dxf>
    <dxf>
      <font>
        <sz val="10"/>
      </font>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horizontal/>
      </border>
    </dxf>
    <dxf>
      <font>
        <b val="0"/>
        <i val="0"/>
        <strike val="0"/>
        <condense val="0"/>
        <extend val="0"/>
        <outline val="0"/>
        <shadow val="0"/>
        <u val="none"/>
        <vertAlign val="baseline"/>
        <sz val="10"/>
        <color theme="1"/>
        <name val="Arial"/>
        <family val="2"/>
        <scheme val="none"/>
      </font>
      <numFmt numFmtId="164" formatCode="#,##0_ ;[Red]\-#,##0\ "/>
      <fill>
        <patternFill patternType="none">
          <fgColor indexed="64"/>
          <bgColor indexed="65"/>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general" vertical="top" textRotation="0" wrapText="0" indent="0" justifyLastLine="0" shrinkToFit="0" readingOrder="0"/>
      <border diagonalUp="0" diagonalDown="0">
        <left style="hair">
          <color rgb="FF1E3249"/>
        </left>
        <right style="hair">
          <color rgb="FF1E3249"/>
        </right>
        <top style="hair">
          <color rgb="FF1E3249"/>
        </top>
        <bottom/>
        <vertical/>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164" formatCode="#,##0_ ;[Red]\-#,##0\ "/>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3" formatCode="#,##0"/>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3" formatCode="#,##0"/>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numFmt numFmtId="3" formatCode="#,##0"/>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style="hair">
          <color rgb="FF1E3249"/>
        </vertical>
        <horizontal style="hair">
          <color rgb="FF1E3249"/>
        </horizontal>
      </border>
    </dxf>
    <dxf>
      <font>
        <b val="0"/>
        <i val="0"/>
        <strike val="0"/>
        <condense val="0"/>
        <extend val="0"/>
        <outline val="0"/>
        <shadow val="0"/>
        <u val="none"/>
        <vertAlign val="baseline"/>
        <sz val="10"/>
        <color theme="1"/>
        <name val="Arial"/>
        <family val="2"/>
        <scheme val="none"/>
      </font>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horizontal/>
      </border>
    </dxf>
    <dxf>
      <font>
        <b val="0"/>
        <i val="0"/>
        <strike val="0"/>
        <condense val="0"/>
        <extend val="0"/>
        <outline val="0"/>
        <shadow val="0"/>
        <u val="none"/>
        <vertAlign val="baseline"/>
        <sz val="10"/>
        <color theme="1"/>
        <name val="Arial"/>
        <family val="2"/>
        <scheme val="none"/>
      </font>
      <numFmt numFmtId="0" formatCode="General"/>
      <alignment horizontal="general" vertical="top" textRotation="0" wrapText="0" indent="0" justifyLastLine="0" shrinkToFit="0" readingOrder="0"/>
      <border diagonalUp="0" diagonalDown="0">
        <left style="hair">
          <color rgb="FF1E3249"/>
        </left>
        <right style="hair">
          <color rgb="FF1E3249"/>
        </right>
        <top style="hair">
          <color rgb="FF1E3249"/>
        </top>
        <bottom style="hair">
          <color rgb="FF1E3249"/>
        </bottom>
        <vertical/>
        <horizontal/>
      </border>
    </dxf>
    <dxf>
      <font>
        <b val="0"/>
        <i val="0"/>
        <strike val="0"/>
        <condense val="0"/>
        <extend val="0"/>
        <outline val="0"/>
        <shadow val="0"/>
        <u val="none"/>
        <vertAlign val="baseline"/>
        <sz val="10"/>
        <color theme="1"/>
        <name val="Arial"/>
        <family val="2"/>
        <scheme val="none"/>
      </font>
      <alignment horizontal="general" vertical="top" textRotation="0" wrapText="0" indent="0" justifyLastLine="0" shrinkToFit="0" readingOrder="0"/>
      <border diagonalUp="0" diagonalDown="0" outline="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alignment horizontal="center" vertical="top" textRotation="0" wrapText="0" indent="0" justifyLastLine="0" shrinkToFit="0" readingOrder="0"/>
      <border diagonalUp="0" diagonalDown="0" outline="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border diagonalUp="0" diagonalDown="0" outline="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alignment horizontal="general" vertical="top" textRotation="0" wrapText="0" indent="0" justifyLastLine="0" shrinkToFit="0" readingOrder="0"/>
      <border diagonalUp="0" diagonalDown="0" outline="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alignment horizontal="center" vertical="top" textRotation="0" wrapText="0" indent="0" justifyLastLine="0" shrinkToFit="0" readingOrder="0"/>
      <border diagonalUp="0" diagonalDown="0" outline="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border diagonalUp="0" diagonalDown="0">
        <left style="hair">
          <color rgb="FF1E3249"/>
        </left>
        <right style="hair">
          <color rgb="FF1E3249"/>
        </right>
        <top style="hair">
          <color rgb="FF1E3249"/>
        </top>
        <bottom style="hair">
          <color rgb="FF1E3249"/>
        </bottom>
      </border>
    </dxf>
    <dxf>
      <font>
        <b val="0"/>
        <i val="0"/>
        <strike val="0"/>
        <condense val="0"/>
        <extend val="0"/>
        <outline val="0"/>
        <shadow val="0"/>
        <u val="none"/>
        <vertAlign val="baseline"/>
        <sz val="10"/>
        <color theme="1"/>
        <name val="Arial"/>
        <family val="2"/>
        <scheme val="none"/>
      </font>
      <alignment horizontal="center" vertical="top" textRotation="0" wrapText="0" indent="0" justifyLastLine="0" shrinkToFit="0" readingOrder="0"/>
      <border diagonalUp="0" diagonalDown="0" outline="0">
        <left/>
        <right style="hair">
          <color rgb="FF1E3249"/>
        </right>
        <top style="hair">
          <color rgb="FF1E3249"/>
        </top>
        <bottom style="hair">
          <color rgb="FF1E3249"/>
        </bottom>
      </border>
    </dxf>
    <dxf>
      <border>
        <top style="hair">
          <color rgb="FF1E3249"/>
        </top>
      </border>
    </dxf>
    <dxf>
      <border diagonalUp="0" diagonalDown="0">
        <left style="thin">
          <color rgb="FF1E3249"/>
        </left>
        <right style="thin">
          <color rgb="FF1E3249"/>
        </right>
        <top style="thin">
          <color rgb="FF1E3249"/>
        </top>
        <bottom style="thin">
          <color rgb="FF1E3249"/>
        </bottom>
      </border>
    </dxf>
    <dxf>
      <font>
        <b val="0"/>
        <i val="0"/>
        <strike val="0"/>
        <condense val="0"/>
        <extend val="0"/>
        <outline val="0"/>
        <shadow val="0"/>
        <u val="none"/>
        <vertAlign val="baseline"/>
        <sz val="10"/>
        <color theme="1"/>
        <name val="Arial"/>
        <family val="2"/>
        <scheme val="none"/>
      </font>
      <alignment horizontal="general" vertical="top" textRotation="0" wrapText="0" indent="0" justifyLastLine="0" shrinkToFit="0" readingOrder="0"/>
    </dxf>
    <dxf>
      <border>
        <bottom style="hair">
          <color rgb="FF1E3249"/>
        </bottom>
      </border>
    </dxf>
    <dxf>
      <font>
        <b/>
        <i val="0"/>
        <strike val="0"/>
        <condense val="0"/>
        <extend val="0"/>
        <outline val="0"/>
        <shadow val="0"/>
        <u val="none"/>
        <vertAlign val="baseline"/>
        <sz val="10"/>
        <color theme="0"/>
        <name val="Arial"/>
        <family val="2"/>
        <scheme val="none"/>
      </font>
      <fill>
        <patternFill patternType="solid">
          <fgColor indexed="64"/>
          <bgColor rgb="FF1E3249"/>
        </patternFill>
      </fill>
      <alignment horizontal="center" vertical="top" textRotation="0" wrapText="1" indent="0" justifyLastLine="0" shrinkToFit="0" readingOrder="0"/>
      <border diagonalUp="0" diagonalDown="0" outline="0">
        <left style="hair">
          <color rgb="FF1E3249"/>
        </left>
        <right style="hair">
          <color rgb="FF1E3249"/>
        </right>
        <top/>
        <bottom/>
      </border>
    </dxf>
    <dxf>
      <fill>
        <patternFill>
          <bgColor rgb="FF92D050"/>
        </patternFill>
      </fill>
    </dxf>
    <dxf>
      <font>
        <color theme="0"/>
      </font>
      <fill>
        <patternFill>
          <bgColor rgb="FFFF0000"/>
        </patternFill>
      </fill>
    </dxf>
    <dxf>
      <font>
        <color theme="0"/>
      </font>
      <fill>
        <patternFill>
          <bgColor rgb="FFFF0000"/>
        </patternFill>
      </fill>
    </dxf>
    <dxf>
      <fill>
        <patternFill>
          <bgColor rgb="FF92D050"/>
        </patternFill>
      </fill>
    </dxf>
    <dxf>
      <fill>
        <patternFill>
          <bgColor rgb="FF92D050"/>
        </patternFill>
      </fill>
    </dxf>
    <dxf>
      <font>
        <color theme="0"/>
      </font>
      <fill>
        <patternFill>
          <bgColor rgb="FFFF0000"/>
        </patternFill>
      </fill>
    </dxf>
    <dxf>
      <font>
        <strike val="0"/>
        <outline val="0"/>
        <shadow val="0"/>
        <vertAlign val="baseline"/>
        <sz val="10"/>
        <name val="Arial"/>
        <family val="2"/>
        <scheme val="none"/>
      </font>
      <alignment horizontal="left" vertical="top" textRotation="0" wrapText="1" relativeIndent="1" justifyLastLine="0" shrinkToFit="0" readingOrder="0"/>
      <border diagonalUp="0" diagonalDown="0">
        <left style="hair">
          <color auto="1"/>
        </left>
        <right style="thin">
          <color auto="1"/>
        </right>
        <top style="hair">
          <color auto="1"/>
        </top>
        <bottom style="hair">
          <color auto="1"/>
        </bottom>
        <vertical style="hair">
          <color auto="1"/>
        </vertical>
        <horizontal style="hair">
          <color auto="1"/>
        </horizontal>
      </border>
      <protection locked="1" hidden="0"/>
    </dxf>
    <dxf>
      <font>
        <strike val="0"/>
        <outline val="0"/>
        <shadow val="0"/>
        <vertAlign val="baseline"/>
        <sz val="10"/>
        <name val="Arial"/>
        <family val="2"/>
        <scheme val="none"/>
      </font>
      <alignment horizontal="left" vertical="top" textRotation="0" wrapText="1" relative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0"/>
    </dxf>
    <dxf>
      <font>
        <strike val="0"/>
        <outline val="0"/>
        <shadow val="0"/>
        <vertAlign val="baseline"/>
        <sz val="10"/>
        <name val="Arial"/>
        <family val="2"/>
        <scheme val="none"/>
      </font>
      <alignment horizontal="left" vertical="top" textRotation="0" wrapText="1" relative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0"/>
    </dxf>
    <dxf>
      <font>
        <strike val="0"/>
        <outline val="0"/>
        <shadow val="0"/>
        <vertAlign val="baseline"/>
        <sz val="10"/>
        <name val="Arial"/>
        <family val="2"/>
        <scheme val="none"/>
      </font>
      <alignment horizontal="left" vertical="top" textRotation="0" wrapText="1" relative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0"/>
    </dxf>
    <dxf>
      <font>
        <b val="0"/>
        <i val="0"/>
        <strike val="0"/>
        <condense val="0"/>
        <extend val="0"/>
        <outline val="0"/>
        <shadow val="0"/>
        <u val="none"/>
        <vertAlign val="baseline"/>
        <sz val="10"/>
        <color theme="1"/>
        <name val="Arial"/>
        <family val="2"/>
        <scheme val="none"/>
      </font>
      <alignment horizontal="left" vertical="top" textRotation="0" wrapText="1" relative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0"/>
    </dxf>
    <dxf>
      <font>
        <b val="0"/>
        <i val="0"/>
        <strike val="0"/>
        <condense val="0"/>
        <extend val="0"/>
        <outline val="0"/>
        <shadow val="0"/>
        <u val="none"/>
        <vertAlign val="baseline"/>
        <sz val="10"/>
        <color theme="1"/>
        <name val="Arial"/>
        <family val="2"/>
        <scheme val="none"/>
      </font>
      <alignment horizontal="left" vertical="top" textRotation="0" wrapText="1" relative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0"/>
    </dxf>
    <dxf>
      <font>
        <b val="0"/>
        <i val="0"/>
        <strike val="0"/>
        <condense val="0"/>
        <extend val="0"/>
        <outline val="0"/>
        <shadow val="0"/>
        <u val="none"/>
        <vertAlign val="baseline"/>
        <sz val="10"/>
        <color theme="1"/>
        <name val="Arial"/>
        <family val="2"/>
        <scheme val="none"/>
      </font>
      <alignment horizontal="left" vertical="top" textRotation="0" wrapText="1" 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0"/>
        <color theme="1"/>
        <name val="Arial"/>
        <family val="2"/>
        <scheme val="none"/>
      </font>
      <alignment horizontal="left" vertical="top" textRotation="0" wrapText="1" indent="1" justifyLastLine="0" shrinkToFit="0" readingOrder="0"/>
      <border diagonalUp="0" diagonalDown="0">
        <left style="thin">
          <color auto="1"/>
        </left>
        <right style="hair">
          <color auto="1"/>
        </right>
        <top style="hair">
          <color auto="1"/>
        </top>
        <bottom style="hair">
          <color auto="1"/>
        </bottom>
        <vertical style="hair">
          <color auto="1"/>
        </vertical>
        <horizontal style="hair">
          <color auto="1"/>
        </horizontal>
      </border>
    </dxf>
    <dxf>
      <font>
        <strike val="0"/>
        <outline val="0"/>
        <shadow val="0"/>
        <vertAlign val="baseline"/>
        <sz val="10"/>
        <name val="Arial"/>
        <family val="2"/>
        <scheme val="none"/>
      </font>
      <alignment horizontal="left" vertical="top" textRotation="0" wrapText="1" relativeIndent="1" justifyLastLine="0" shrinkToFit="0" readingOrder="0"/>
      <border diagonalUp="0" diagonalDown="0">
        <left style="thin">
          <color auto="1"/>
        </left>
        <right style="hair">
          <color auto="1"/>
        </right>
        <top style="hair">
          <color auto="1"/>
        </top>
        <bottom style="hair">
          <color auto="1"/>
        </bottom>
        <vertical style="hair">
          <color auto="1"/>
        </vertical>
        <horizontal style="hair">
          <color auto="1"/>
        </horizontal>
      </border>
      <protection locked="1" hidden="0"/>
    </dxf>
    <dxf>
      <border>
        <top style="hair">
          <color auto="1"/>
        </top>
      </border>
    </dxf>
    <dxf>
      <border diagonalUp="0" diagonalDown="0">
        <left style="thin">
          <color auto="1"/>
        </left>
        <right style="thin">
          <color auto="1"/>
        </right>
        <top style="thin">
          <color auto="1"/>
        </top>
        <bottom style="thin">
          <color auto="1"/>
        </bottom>
      </border>
    </dxf>
    <dxf>
      <font>
        <strike val="0"/>
        <outline val="0"/>
        <shadow val="0"/>
        <vertAlign val="baseline"/>
        <sz val="10"/>
        <name val="Arial"/>
        <family val="2"/>
        <scheme val="none"/>
      </font>
      <alignment horizontal="left" vertical="top" textRotation="0" wrapText="1" relativeIndent="1" justifyLastLine="0" shrinkToFit="0" readingOrder="0"/>
      <protection locked="1" hidden="0"/>
    </dxf>
    <dxf>
      <border>
        <bottom style="thin">
          <color indexed="64"/>
        </bottom>
      </border>
    </dxf>
    <dxf>
      <font>
        <b/>
        <strike val="0"/>
        <outline val="0"/>
        <shadow val="0"/>
        <u val="none"/>
        <vertAlign val="baseline"/>
        <sz val="10"/>
        <color theme="0"/>
        <name val="Arial"/>
        <family val="2"/>
        <scheme val="none"/>
      </font>
      <fill>
        <patternFill patternType="solid">
          <fgColor indexed="64"/>
          <bgColor rgb="FF1E3249"/>
        </patternFill>
      </fill>
      <alignment horizontal="center" vertical="top" textRotation="0" wrapText="0" indent="0" justifyLastLine="0" shrinkToFit="0" readingOrder="0"/>
      <border diagonalUp="0" diagonalDown="0">
        <left style="hair">
          <color indexed="64"/>
        </left>
        <right style="hair">
          <color indexed="64"/>
        </right>
        <top/>
        <bottom/>
        <vertical style="hair">
          <color indexed="64"/>
        </vertical>
        <horizontal/>
      </border>
    </dxf>
    <dxf>
      <font>
        <b/>
        <i val="0"/>
        <color auto="1"/>
      </font>
      <fill>
        <patternFill>
          <bgColor rgb="FF92D050"/>
        </patternFill>
      </fill>
    </dxf>
    <dxf>
      <font>
        <b/>
        <i val="0"/>
        <color auto="1"/>
      </font>
      <fill>
        <patternFill>
          <bgColor rgb="FF92D050"/>
        </patternFill>
      </fill>
    </dxf>
    <dxf>
      <font>
        <b/>
        <i val="0"/>
        <color auto="1"/>
      </font>
      <fill>
        <patternFill>
          <bgColor rgb="FF92D050"/>
        </patternFill>
      </fill>
    </dxf>
    <dxf>
      <font>
        <b/>
        <i val="0"/>
        <color auto="1"/>
      </font>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1" justifyLastLine="0" shrinkToFit="0" readingOrder="0"/>
      <border diagonalUp="0" diagonalDown="0">
        <left style="hair">
          <color auto="1"/>
        </left>
        <right style="thin">
          <color auto="1"/>
        </right>
        <top style="hair">
          <color auto="1"/>
        </top>
        <bottom style="hair">
          <color auto="1"/>
        </bottom>
        <vertical style="hair">
          <color auto="1"/>
        </vertical>
        <horizontal style="hair">
          <color auto="1"/>
        </horizontal>
      </border>
      <protection locked="1" hidden="1"/>
    </dxf>
    <dxf>
      <font>
        <b/>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1"/>
    </dxf>
    <dxf>
      <font>
        <b/>
        <i val="0"/>
        <strike val="0"/>
        <condense val="0"/>
        <extend val="0"/>
        <outline val="0"/>
        <shadow val="0"/>
        <u val="none"/>
        <vertAlign val="baseline"/>
        <sz val="10"/>
        <color theme="1"/>
        <name val="Arial"/>
        <family val="2"/>
        <scheme val="none"/>
      </font>
      <numFmt numFmtId="19" formatCode="dd/mm/yyyy"/>
      <fill>
        <patternFill patternType="none">
          <fgColor indexed="64"/>
          <bgColor auto="1"/>
        </patternFill>
      </fill>
      <alignment horizontal="center"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1"/>
    </dxf>
    <dxf>
      <font>
        <b/>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1"/>
    </dxf>
    <dxf>
      <font>
        <b/>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1"/>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hair">
          <color auto="1"/>
        </right>
        <top style="hair">
          <color auto="1"/>
        </top>
        <bottom style="hair">
          <color auto="1"/>
        </bottom>
        <vertical style="hair">
          <color auto="1"/>
        </vertical>
        <horizontal style="hair">
          <color auto="1"/>
        </horizontal>
      </border>
    </dxf>
    <dxf>
      <border>
        <top style="hair">
          <color auto="1"/>
        </top>
      </border>
    </dxf>
    <dxf>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top" textRotation="0" wrapText="1" indent="0" justifyLastLine="0" shrinkToFit="0" readingOrder="0"/>
    </dxf>
    <dxf>
      <border>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rgb="FF4E81BD"/>
        </patternFill>
      </fill>
      <alignment horizontal="center" vertical="top" textRotation="0" wrapText="1" indent="0" justifyLastLine="0" shrinkToFit="0" readingOrder="0"/>
      <border diagonalUp="0" diagonalDown="0">
        <left style="hair">
          <color indexed="64"/>
        </left>
        <right style="hair">
          <color indexed="64"/>
        </right>
        <top/>
        <bottom/>
        <vertical style="hair">
          <color indexed="64"/>
        </vertical>
        <horizontal/>
      </border>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auto="1"/>
        </left>
        <right style="thin">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thin">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numFmt numFmtId="0" formatCode="General"/>
      <alignment horizontal="general" vertical="bottom" textRotation="0" wrapText="0" indent="0" justifyLastLine="0" shrinkToFit="0" readingOrder="0"/>
      <border diagonalUp="0" diagonalDown="0">
        <left style="thin">
          <color indexed="64"/>
        </left>
        <right style="hair">
          <color indexed="64"/>
        </right>
        <top style="hair">
          <color indexed="64"/>
        </top>
        <bottom style="hair">
          <color indexed="64"/>
        </bottom>
        <vertical style="hair">
          <color indexed="64"/>
        </vertical>
        <horizontal style="hair">
          <color indexed="64"/>
        </horizontal>
      </border>
    </dxf>
    <dxf>
      <border outline="0">
        <top style="thin">
          <color rgb="FF4E81BD"/>
        </top>
      </border>
    </dxf>
    <dxf>
      <border outline="0">
        <left style="thin">
          <color rgb="FF4E81BD"/>
        </left>
        <right style="thin">
          <color rgb="FF4E81BD"/>
        </right>
        <top style="thin">
          <color rgb="FF4E81BD"/>
        </top>
        <bottom style="thin">
          <color rgb="FF4E81BD"/>
        </bottom>
      </border>
    </dxf>
    <dxf>
      <font>
        <b val="0"/>
        <i val="0"/>
        <strike val="0"/>
        <condense val="0"/>
        <extend val="0"/>
        <outline val="0"/>
        <shadow val="0"/>
        <u val="none"/>
        <vertAlign val="baseline"/>
        <sz val="12"/>
        <color theme="1"/>
        <name val="Calibri"/>
        <family val="2"/>
        <scheme val="none"/>
      </font>
      <alignment horizontal="general" vertical="bottom" textRotation="0" wrapText="0" indent="0" justifyLastLine="0" shrinkToFit="0" readingOrder="0"/>
    </dxf>
    <dxf>
      <border>
        <bottom style="thin">
          <color auto="1"/>
        </bottom>
      </border>
    </dxf>
    <dxf>
      <font>
        <b val="0"/>
        <i val="0"/>
        <strike val="0"/>
        <condense val="0"/>
        <extend val="0"/>
        <outline val="0"/>
        <shadow val="0"/>
        <u val="none"/>
        <vertAlign val="baseline"/>
        <sz val="12"/>
        <color theme="0"/>
        <name val="Calibri"/>
        <family val="2"/>
        <scheme val="none"/>
      </font>
      <numFmt numFmtId="0" formatCode="General"/>
      <fill>
        <patternFill patternType="solid">
          <fgColor indexed="64"/>
          <bgColor rgb="FF4E81BD"/>
        </patternFill>
      </fill>
      <alignment horizontal="left" vertical="top" textRotation="0" wrapText="1" indent="1" justifyLastLine="0" shrinkToFit="0" readingOrder="0"/>
      <border diagonalUp="0" diagonalDown="0">
        <left style="hair">
          <color auto="1"/>
        </left>
        <right style="hair">
          <color auto="1"/>
        </right>
        <top/>
        <bottom/>
        <vertical style="hair">
          <color auto="1"/>
        </vertical>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auto="1"/>
        </left>
        <right style="thin">
          <color indexed="64"/>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thin">
          <color indexed="64"/>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border diagonalUp="0" diagonalDown="0">
        <left style="thin">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dxf>
    <dxf>
      <border>
        <bottom style="thin">
          <color auto="1"/>
        </bottom>
      </border>
    </dxf>
    <dxf>
      <font>
        <b val="0"/>
        <i val="0"/>
        <strike val="0"/>
        <condense val="0"/>
        <extend val="0"/>
        <outline val="0"/>
        <shadow val="0"/>
        <u val="none"/>
        <vertAlign val="baseline"/>
        <sz val="12"/>
        <color theme="0"/>
        <name val="Calibri"/>
        <family val="2"/>
        <scheme val="none"/>
      </font>
      <fill>
        <patternFill patternType="solid">
          <fgColor indexed="64"/>
          <bgColor rgb="FF4E81BD"/>
        </patternFill>
      </fill>
      <alignment horizontal="left" vertical="top" textRotation="0" wrapText="1" indent="1" justifyLastLine="0" shrinkToFit="0" readingOrder="0"/>
      <border diagonalUp="0" diagonalDown="0">
        <left style="hair">
          <color auto="1"/>
        </left>
        <right style="hair">
          <color auto="1"/>
        </right>
        <top/>
        <bottom/>
        <vertical style="hair">
          <color auto="1"/>
        </vertical>
        <horizontal/>
      </border>
    </dxf>
    <dxf>
      <numFmt numFmtId="0" formatCode="General"/>
      <fill>
        <patternFill patternType="none">
          <fgColor indexed="64"/>
          <bgColor auto="1"/>
        </patternFill>
      </fill>
      <alignment horizontal="left" vertical="top" textRotation="0" wrapText="1" relativeIndent="1" justifyLastLine="0" shrinkToFit="0" readingOrder="0"/>
      <border diagonalUp="0" diagonalDown="0" outline="0">
        <left/>
        <right style="thin">
          <color indexed="64"/>
        </right>
        <top style="hair">
          <color auto="1"/>
        </top>
        <bottom style="hair">
          <color auto="1"/>
        </bottom>
      </border>
    </dxf>
    <dxf>
      <numFmt numFmtId="0" formatCode="General"/>
      <fill>
        <patternFill patternType="none">
          <fgColor indexed="64"/>
          <bgColor auto="1"/>
        </patternFill>
      </fill>
      <alignment horizontal="left" vertical="top" textRotation="0" wrapText="1" relativeIndent="1" justifyLastLine="0" shrinkToFit="0" readingOrder="0"/>
      <border diagonalUp="0" diagonalDown="0" outline="0">
        <left style="hair">
          <color auto="1"/>
        </left>
        <right/>
        <top style="hair">
          <color auto="1"/>
        </top>
        <bottom style="hair">
          <color auto="1"/>
        </bottom>
      </border>
    </dxf>
    <dxf>
      <fill>
        <patternFill patternType="none">
          <fgColor indexed="64"/>
          <bgColor auto="1"/>
        </patternFill>
      </fill>
      <alignment horizontal="center" vertical="top" textRotation="0" indent="0" justifyLastLine="0" shrinkToFit="0" readingOrder="0"/>
      <border diagonalUp="0" diagonalDown="0" outline="0">
        <left style="hair">
          <color auto="1"/>
        </left>
        <right/>
        <top style="hair">
          <color auto="1"/>
        </top>
        <bottom style="hair">
          <color auto="1"/>
        </bottom>
      </border>
    </dxf>
    <dxf>
      <numFmt numFmtId="19" formatCode="dd/mm/yyyy"/>
      <fill>
        <patternFill patternType="none">
          <fgColor indexed="64"/>
          <bgColor auto="1"/>
        </patternFill>
      </fill>
      <alignment horizontal="center" vertical="top" textRotation="0" indent="0" justifyLastLine="0" shrinkToFit="0" readingOrder="0"/>
      <border diagonalUp="0" diagonalDown="0" outline="0">
        <left style="hair">
          <color auto="1"/>
        </left>
        <right style="hair">
          <color auto="1"/>
        </right>
        <top style="hair">
          <color auto="1"/>
        </top>
        <bottom style="hair">
          <color auto="1"/>
        </bottom>
      </border>
    </dxf>
    <dxf>
      <fill>
        <patternFill patternType="none">
          <fgColor indexed="64"/>
          <bgColor auto="1"/>
        </patternFill>
      </fill>
      <border diagonalUp="0" diagonalDown="0" outline="0">
        <left style="thin">
          <color indexed="64"/>
        </left>
        <right style="hair">
          <color auto="1"/>
        </right>
        <top style="hair">
          <color auto="1"/>
        </top>
        <bottom style="hair">
          <color auto="1"/>
        </bottom>
      </border>
    </dxf>
    <dxf>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ill>
        <patternFill patternType="none">
          <fgColor indexed="64"/>
          <bgColor auto="1"/>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numFmt numFmtId="0" formatCode="General"/>
      <fill>
        <patternFill patternType="none">
          <fgColor indexed="64"/>
          <bgColor auto="1"/>
        </patternFill>
      </fill>
      <alignment horizontal="general" vertical="top" textRotation="0" wrapText="0" indent="0" justifyLastLine="0" shrinkToFit="0" readingOrder="0"/>
      <border diagonalUp="0" diagonalDown="0">
        <left style="thin">
          <color auto="1"/>
        </left>
        <right style="hair">
          <color auto="1"/>
        </right>
        <top style="hair">
          <color auto="1"/>
        </top>
        <bottom style="hair">
          <color auto="1"/>
        </bottom>
        <vertical style="hair">
          <color auto="1"/>
        </vertical>
        <horizontal style="hair">
          <color auto="1"/>
        </horizontal>
      </border>
    </dxf>
    <dxf>
      <border outline="0">
        <top style="thin">
          <color rgb="FF4E81BD"/>
        </top>
      </border>
    </dxf>
    <dxf>
      <border outline="0">
        <right style="thin">
          <color rgb="FF4E81BD"/>
        </right>
        <bottom style="thin">
          <color rgb="FF4E81BD"/>
        </bottom>
      </border>
    </dxf>
    <dxf>
      <fill>
        <patternFill patternType="none">
          <fgColor indexed="64"/>
          <bgColor auto="1"/>
        </patternFill>
      </fill>
    </dxf>
    <dxf>
      <border>
        <bottom style="thin">
          <color auto="1"/>
        </bottom>
      </border>
    </dxf>
    <dxf>
      <font>
        <b val="0"/>
        <i val="0"/>
        <strike val="0"/>
        <condense val="0"/>
        <extend val="0"/>
        <outline val="0"/>
        <shadow val="0"/>
        <u val="none"/>
        <vertAlign val="baseline"/>
        <sz val="12"/>
        <color theme="0"/>
        <name val="Calibri"/>
        <family val="2"/>
        <scheme val="none"/>
      </font>
      <fill>
        <patternFill patternType="solid">
          <fgColor indexed="64"/>
          <bgColor rgb="FF4E81BD"/>
        </patternFill>
      </fill>
      <alignment horizontal="left" vertical="top" textRotation="0" wrapText="1" indent="1" justifyLastLine="0" shrinkToFit="0" readingOrder="0"/>
      <border diagonalUp="0" diagonalDown="0">
        <left style="hair">
          <color auto="1"/>
        </left>
        <right style="hair">
          <color auto="1"/>
        </right>
        <top/>
        <bottom/>
        <vertical style="hair">
          <color auto="1"/>
        </vertical>
        <horizontal/>
      </border>
    </dxf>
    <dxf>
      <font>
        <b val="0"/>
        <i val="0"/>
        <strike val="0"/>
        <condense val="0"/>
        <extend val="0"/>
        <outline val="0"/>
        <shadow val="0"/>
        <u val="none"/>
        <vertAlign val="baseline"/>
        <sz val="12"/>
        <color theme="1"/>
        <name val="Calibri"/>
        <family val="2"/>
        <scheme val="none"/>
      </font>
      <numFmt numFmtId="0" formatCode="General"/>
      <fill>
        <patternFill patternType="none">
          <fgColor indexed="64"/>
          <bgColor auto="1"/>
        </patternFill>
      </fill>
      <alignment horizontal="left" vertical="top" textRotation="0" wrapText="0" indent="1" justifyLastLine="0" shrinkToFit="0" readingOrder="0"/>
      <border diagonalUp="0" diagonalDown="0">
        <left style="hair">
          <color auto="1"/>
        </left>
        <right style="thin">
          <color auto="1"/>
        </right>
        <top style="hair">
          <color auto="1"/>
        </top>
        <bottom style="hair">
          <color auto="1"/>
        </bottom>
        <vertical style="hair">
          <color auto="1"/>
        </vertical>
        <horizontal style="hair">
          <color auto="1"/>
        </horizontal>
      </border>
      <protection locked="1" hidden="1"/>
    </dxf>
    <dxf>
      <font>
        <b val="0"/>
        <i val="0"/>
        <strike val="0"/>
        <condense val="0"/>
        <extend val="0"/>
        <outline val="0"/>
        <shadow val="0"/>
        <u val="none"/>
        <vertAlign val="baseline"/>
        <sz val="12"/>
        <color theme="1"/>
        <name val="Calibri"/>
        <family val="2"/>
        <scheme val="none"/>
      </font>
      <numFmt numFmtId="0" formatCode="General"/>
      <fill>
        <patternFill patternType="none">
          <fgColor indexed="64"/>
          <bgColor auto="1"/>
        </patternFill>
      </fill>
      <alignment horizontal="left" vertical="top" textRotation="0" wrapText="0" 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1"/>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left" vertical="top" textRotation="0" wrapText="0" 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1"/>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left" vertical="top" textRotation="0" wrapText="0" indent="1"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protection locked="1" hidden="1"/>
    </dxf>
    <dxf>
      <font>
        <b val="0"/>
        <i val="0"/>
        <strike val="0"/>
        <condense val="0"/>
        <extend val="0"/>
        <outline val="0"/>
        <shadow val="0"/>
        <u val="none"/>
        <vertAlign val="baseline"/>
        <sz val="12"/>
        <color auto="1"/>
        <name val="Calibri"/>
        <family val="2"/>
        <scheme val="none"/>
      </font>
      <fill>
        <patternFill patternType="none">
          <fgColor indexed="64"/>
          <bgColor indexed="65"/>
        </patternFill>
      </fill>
      <alignment horizontal="left" vertical="top" textRotation="0" wrapText="0" indent="1" justifyLastLine="0" shrinkToFit="0" readingOrder="0"/>
      <border diagonalUp="0" diagonalDown="0">
        <left style="thin">
          <color auto="1"/>
        </left>
        <right style="hair">
          <color auto="1"/>
        </right>
        <top style="hair">
          <color auto="1"/>
        </top>
        <bottom style="hair">
          <color auto="1"/>
        </bottom>
        <vertical style="hair">
          <color auto="1"/>
        </vertical>
        <horizontal style="hair">
          <color auto="1"/>
        </horizontal>
      </border>
      <protection locked="1" hidden="1"/>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indexed="65"/>
        </patternFill>
      </fill>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general" vertical="top" textRotation="0" wrapText="0" indent="0" justifyLastLine="0" shrinkToFit="0" readingOrder="0"/>
      <border diagonalUp="0" diagonalDown="0">
        <left style="thin">
          <color auto="1"/>
        </left>
        <right style="hair">
          <color auto="1"/>
        </right>
        <top style="hair">
          <color auto="1"/>
        </top>
        <bottom style="hair">
          <color auto="1"/>
        </bottom>
        <vertical style="hair">
          <color auto="1"/>
        </vertical>
        <horizontal style="hair">
          <color auto="1"/>
        </horizontal>
      </border>
    </dxf>
    <dxf>
      <border outline="0">
        <top style="thin">
          <color rgb="FF4E81BD"/>
        </top>
      </border>
    </dxf>
    <dxf>
      <font>
        <b val="0"/>
        <i val="0"/>
        <strike val="0"/>
        <condense val="0"/>
        <extend val="0"/>
        <outline val="0"/>
        <shadow val="0"/>
        <u val="none"/>
        <vertAlign val="baseline"/>
        <sz val="12"/>
        <color theme="1"/>
        <name val="Calibri"/>
        <family val="2"/>
        <scheme val="none"/>
      </font>
      <fill>
        <patternFill patternType="none">
          <fgColor indexed="64"/>
          <bgColor auto="1"/>
        </patternFill>
      </fill>
      <alignment horizontal="general" vertical="top" textRotation="0" wrapText="0" indent="0" justifyLastLine="0" shrinkToFit="0" readingOrder="0"/>
    </dxf>
    <dxf>
      <border>
        <bottom style="thin">
          <color auto="1"/>
        </bottom>
      </border>
    </dxf>
    <dxf>
      <font>
        <b val="0"/>
        <i val="0"/>
        <strike val="0"/>
        <condense val="0"/>
        <extend val="0"/>
        <outline val="0"/>
        <shadow val="0"/>
        <u val="none"/>
        <vertAlign val="baseline"/>
        <sz val="12"/>
        <color theme="0"/>
        <name val="Calibri"/>
        <family val="2"/>
        <scheme val="none"/>
      </font>
      <numFmt numFmtId="0" formatCode="General"/>
      <fill>
        <patternFill patternType="solid">
          <fgColor indexed="64"/>
          <bgColor rgb="FF4E81BD"/>
        </patternFill>
      </fill>
      <alignment horizontal="left" vertical="top" textRotation="0" wrapText="1" indent="1" justifyLastLine="0" shrinkToFit="0" readingOrder="0"/>
      <border diagonalUp="0" diagonalDown="0">
        <left style="hair">
          <color auto="1"/>
        </left>
        <right style="hair">
          <color auto="1"/>
        </right>
        <top/>
        <bottom/>
        <vertical style="hair">
          <color auto="1"/>
        </vertical>
        <horizontal/>
      </border>
    </dxf>
    <dxf>
      <font>
        <strike val="0"/>
        <outline val="0"/>
        <shadow val="0"/>
        <vertAlign val="baseline"/>
        <sz val="12"/>
        <name val="Calibri"/>
        <family val="2"/>
        <scheme val="none"/>
      </font>
      <fill>
        <patternFill patternType="none">
          <fgColor indexed="64"/>
          <bgColor auto="1"/>
        </patternFill>
      </fill>
      <alignment horizontal="left" vertical="top" textRotation="0" wrapText="0" relativeIndent="1" justifyLastLine="0" shrinkToFit="0" readingOrder="0"/>
    </dxf>
    <dxf>
      <font>
        <strike val="0"/>
        <outline val="0"/>
        <shadow val="0"/>
        <vertAlign val="baseline"/>
        <sz val="12"/>
        <name val="Calibri"/>
        <family val="2"/>
        <scheme val="none"/>
      </font>
      <fill>
        <patternFill patternType="none">
          <fgColor indexed="64"/>
          <bgColor auto="1"/>
        </patternFill>
      </fill>
      <alignment horizontal="left" vertical="top" textRotation="0" wrapText="0" relativeIndent="1" justifyLastLine="0" shrinkToFit="0" readingOrder="0"/>
    </dxf>
    <dxf>
      <font>
        <strike val="0"/>
        <outline val="0"/>
        <shadow val="0"/>
        <vertAlign val="baseline"/>
        <sz val="12"/>
        <name val="Calibri"/>
        <family val="2"/>
        <scheme val="none"/>
      </font>
      <fill>
        <patternFill patternType="solid">
          <fgColor indexed="64"/>
          <bgColor rgb="FF4E81BD"/>
        </patternFill>
      </fill>
      <alignment horizontal="left" vertical="top" textRotation="0" wrapText="0" relativeIndent="1" justifyLastLine="0" shrinkToFit="0" readingOrder="0"/>
    </dxf>
    <dxf>
      <fill>
        <patternFill patternType="solid">
          <fgColor rgb="FFDCE6F1"/>
          <bgColor rgb="FFDCE6F1"/>
        </patternFill>
      </fill>
    </dxf>
    <dxf>
      <fill>
        <patternFill patternType="solid">
          <fgColor rgb="FFDCE6F1"/>
          <bgColor rgb="FFDCE6F1"/>
        </patternFill>
      </fill>
    </dxf>
    <dxf>
      <font>
        <b/>
        <color theme="1"/>
      </font>
    </dxf>
    <dxf>
      <font>
        <b/>
        <color theme="1"/>
      </font>
    </dxf>
    <dxf>
      <font>
        <b/>
        <color theme="1"/>
      </font>
      <fill>
        <patternFill>
          <fgColor rgb="FF4E81BD"/>
        </patternFill>
      </fill>
      <border>
        <top style="double">
          <color theme="4"/>
        </top>
      </border>
    </dxf>
    <dxf>
      <font>
        <color theme="0"/>
      </font>
      <fill>
        <patternFill patternType="solid">
          <fgColor rgb="FF4E81BD"/>
          <bgColor theme="4"/>
        </patternFill>
      </fill>
    </dxf>
    <dxf>
      <font>
        <color theme="1"/>
      </font>
      <border>
        <left style="thin">
          <color rgb="FF4E81BD"/>
        </left>
        <right style="thin">
          <color rgb="FF4E81BD"/>
        </right>
        <top style="thin">
          <color rgb="FF4E81BD"/>
        </top>
        <bottom style="thin">
          <color rgb="FF4E81BD"/>
        </bottom>
        <horizontal style="thin">
          <color rgb="FF4E81BD"/>
        </horizontal>
      </border>
    </dxf>
  </dxfs>
  <tableStyles count="2" defaultTableStyle="TableStyleMedium2" defaultPivotStyle="PivotStyleLight16">
    <tableStyle name="Invisible" pivot="0" table="0" count="0" xr9:uid="{6B43EA70-34B2-4B4C-B4C5-BACFBF8FFF02}"/>
    <tableStyle name="TableStyleMediumJB" pivot="0" count="7" xr9:uid="{6D95984E-17F0-4AA6-A4C5-3434A077A8C8}">
      <tableStyleElement type="wholeTable" dxfId="1683"/>
      <tableStyleElement type="headerRow" dxfId="1682"/>
      <tableStyleElement type="totalRow" dxfId="1681"/>
      <tableStyleElement type="firstColumn" dxfId="1680"/>
      <tableStyleElement type="lastColumn" dxfId="1679"/>
      <tableStyleElement type="firstRowStripe" dxfId="1678"/>
      <tableStyleElement type="firstColumnStripe" dxfId="1677"/>
    </tableStyle>
  </tableStyles>
  <colors>
    <mruColors>
      <color rgb="FF1E3249"/>
      <color rgb="FFDCE6F1"/>
      <color rgb="FF4E81BD"/>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[251022-PlanFinancierOVO-Template5Ans-v0210-EMPTY.xlsm]RevenueChart!PivotTableRevenueData8</c:name>
    <c:fmtId val="2"/>
  </c:pivotSource>
  <c:chart>
    <c:title>
      <c:tx>
        <c:strRef>
          <c:f>RevenueChart!$B$157</c:f>
          <c:strCache>
            <c:ptCount val="1"/>
            <c:pt idx="0">
              <c:v>CA ET MARGE BRUTE PAR CANAL DE DISTRIBUTION</c:v>
            </c:pt>
          </c:strCache>
        </c:strRef>
      </c:tx>
      <c:layout>
        <c:manualLayout>
          <c:xMode val="edge"/>
          <c:yMode val="edge"/>
          <c:x val="0.34065192315344195"/>
          <c:y val="2.8129188836975707E-2"/>
        </c:manualLayout>
      </c:layout>
      <c:overlay val="1"/>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B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19106963493555"/>
          <c:y val="9.2599849968430806E-2"/>
          <c:w val="0.8552083976689685"/>
          <c:h val="0.74501111808957399"/>
        </c:manualLayout>
      </c:layout>
      <c:barChart>
        <c:barDir val="col"/>
        <c:grouping val="stacked"/>
        <c:varyColors val="0"/>
        <c:ser>
          <c:idx val="0"/>
          <c:order val="0"/>
          <c:tx>
            <c:strRef>
              <c:f>RevenueChart!$B$157</c:f>
              <c:strCache>
                <c:ptCount val="1"/>
                <c:pt idx="0">
                  <c:v>Sum of TOTAL DISTRIBUTION CHANNEL 1</c:v>
                </c:pt>
              </c:strCache>
            </c:strRef>
          </c:tx>
          <c:spPr>
            <a:solidFill>
              <a:schemeClr val="accent1"/>
            </a:solidFill>
            <a:ln>
              <a:noFill/>
            </a:ln>
            <a:effectLst/>
          </c:spPr>
          <c:invertIfNegative val="0"/>
          <c:cat>
            <c:multiLvlStrRef>
              <c:f>RevenueChart!$B$157</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RevenueChart!$B$157</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218E-408F-B9C3-A79E4D345F62}"/>
            </c:ext>
          </c:extLst>
        </c:ser>
        <c:ser>
          <c:idx val="1"/>
          <c:order val="1"/>
          <c:tx>
            <c:strRef>
              <c:f>RevenueChart!$B$157</c:f>
              <c:strCache>
                <c:ptCount val="1"/>
                <c:pt idx="0">
                  <c:v>Sum of TOTAL DISTRIBUTION CHANNEL 2</c:v>
                </c:pt>
              </c:strCache>
            </c:strRef>
          </c:tx>
          <c:spPr>
            <a:solidFill>
              <a:schemeClr val="accent2"/>
            </a:solidFill>
            <a:ln>
              <a:noFill/>
            </a:ln>
            <a:effectLst/>
          </c:spPr>
          <c:invertIfNegative val="0"/>
          <c:cat>
            <c:multiLvlStrRef>
              <c:f>RevenueChart!$B$157</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RevenueChart!$B$157</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218E-408F-B9C3-A79E4D345F62}"/>
            </c:ext>
          </c:extLst>
        </c:ser>
        <c:dLbls>
          <c:showLegendKey val="0"/>
          <c:showVal val="0"/>
          <c:showCatName val="0"/>
          <c:showSerName val="0"/>
          <c:showPercent val="0"/>
          <c:showBubbleSize val="0"/>
        </c:dLbls>
        <c:gapWidth val="219"/>
        <c:overlap val="100"/>
        <c:axId val="1693169232"/>
        <c:axId val="1693174512"/>
      </c:barChart>
      <c:catAx>
        <c:axId val="169316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BE"/>
          </a:p>
        </c:txPr>
        <c:crossAx val="1693174512"/>
        <c:crosses val="autoZero"/>
        <c:auto val="1"/>
        <c:lblAlgn val="ctr"/>
        <c:lblOffset val="100"/>
        <c:noMultiLvlLbl val="0"/>
      </c:catAx>
      <c:valAx>
        <c:axId val="1693174512"/>
        <c:scaling>
          <c:orientation val="minMax"/>
        </c:scaling>
        <c:delete val="0"/>
        <c:axPos val="l"/>
        <c:majorGridlines>
          <c:spPr>
            <a:ln w="9525" cap="flat" cmpd="sng" algn="ctr">
              <a:solidFill>
                <a:schemeClr val="tx1">
                  <a:lumMod val="15000"/>
                  <a:lumOff val="85000"/>
                </a:schemeClr>
              </a:solidFill>
              <a:round/>
            </a:ln>
            <a:effectLst/>
          </c:spPr>
        </c:majorGridlines>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16931692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noFill/>
        <a:ln>
          <a:noFill/>
        </a:ln>
        <a:effectLst/>
      </c:spPr>
    </c:plotArea>
    <c:legend>
      <c:legendPos val="r"/>
      <c:layout>
        <c:manualLayout>
          <c:xMode val="edge"/>
          <c:yMode val="edge"/>
          <c:x val="0.74156891723268148"/>
          <c:y val="9.1358194444444457E-2"/>
          <c:w val="0.19064512886053872"/>
          <c:h val="5.1727000272953419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legend>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BE"/>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[251022-PlanFinancierOVO-Template5Ans-v0210-EMPTY.xlsm]RevenueChart!PivotTableRevenueData7</c:name>
    <c:fmtId val="3"/>
  </c:pivotSource>
  <c:chart>
    <c:title>
      <c:tx>
        <c:strRef>
          <c:f>RevenueChart!$B$107</c:f>
          <c:strCache>
            <c:ptCount val="1"/>
            <c:pt idx="0">
              <c:v>CA ET MARGE BRUTE PAR GAMME DE PRODUIT / SERVICE</c:v>
            </c:pt>
          </c:strCache>
        </c:strRef>
      </c:tx>
      <c:layout>
        <c:manualLayout>
          <c:xMode val="edge"/>
          <c:yMode val="edge"/>
          <c:x val="0.30424731748243805"/>
          <c:y val="3.5161486046219638E-2"/>
        </c:manualLayout>
      </c:layout>
      <c:overlay val="1"/>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B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19106963493555"/>
          <c:y val="9.4357924270741772E-2"/>
          <c:w val="0.8552083976689685"/>
          <c:h val="0.72918927995505978"/>
        </c:manualLayout>
      </c:layout>
      <c:barChart>
        <c:barDir val="col"/>
        <c:grouping val="stacked"/>
        <c:varyColors val="0"/>
        <c:ser>
          <c:idx val="0"/>
          <c:order val="0"/>
          <c:tx>
            <c:strRef>
              <c:f>RevenueChart!$B$107</c:f>
              <c:strCache>
                <c:ptCount val="1"/>
                <c:pt idx="0">
                  <c:v>Sum of TOTAL RANGE 1</c:v>
                </c:pt>
              </c:strCache>
            </c:strRef>
          </c:tx>
          <c:spPr>
            <a:solidFill>
              <a:schemeClr val="accent1"/>
            </a:solidFill>
            <a:ln>
              <a:noFill/>
            </a:ln>
            <a:effectLst/>
          </c:spPr>
          <c:invertIfNegative val="0"/>
          <c:cat>
            <c:multiLvlStrRef>
              <c:f>RevenueChart!$B$107</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RevenueChart!$B$107</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BB0-4584-AD97-2249CBA0FF64}"/>
            </c:ext>
          </c:extLst>
        </c:ser>
        <c:ser>
          <c:idx val="1"/>
          <c:order val="1"/>
          <c:tx>
            <c:strRef>
              <c:f>RevenueChart!$B$107</c:f>
              <c:strCache>
                <c:ptCount val="1"/>
                <c:pt idx="0">
                  <c:v>Sum of TOTAL RANGE 2</c:v>
                </c:pt>
              </c:strCache>
            </c:strRef>
          </c:tx>
          <c:spPr>
            <a:solidFill>
              <a:schemeClr val="accent2"/>
            </a:solidFill>
            <a:ln>
              <a:noFill/>
            </a:ln>
            <a:effectLst/>
          </c:spPr>
          <c:invertIfNegative val="0"/>
          <c:cat>
            <c:multiLvlStrRef>
              <c:f>RevenueChart!$B$107</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RevenueChart!$B$107</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BBB0-4584-AD97-2249CBA0FF64}"/>
            </c:ext>
          </c:extLst>
        </c:ser>
        <c:ser>
          <c:idx val="2"/>
          <c:order val="2"/>
          <c:tx>
            <c:strRef>
              <c:f>RevenueChart!$B$107</c:f>
              <c:strCache>
                <c:ptCount val="1"/>
                <c:pt idx="0">
                  <c:v>Sum of TOTAL RANGE 3</c:v>
                </c:pt>
              </c:strCache>
            </c:strRef>
          </c:tx>
          <c:spPr>
            <a:solidFill>
              <a:schemeClr val="accent3"/>
            </a:solidFill>
            <a:ln>
              <a:noFill/>
            </a:ln>
            <a:effectLst/>
          </c:spPr>
          <c:invertIfNegative val="0"/>
          <c:cat>
            <c:multiLvlStrRef>
              <c:f>RevenueChart!$B$107</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RevenueChart!$B$107</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BBB0-4584-AD97-2249CBA0FF64}"/>
            </c:ext>
          </c:extLst>
        </c:ser>
        <c:dLbls>
          <c:showLegendKey val="0"/>
          <c:showVal val="0"/>
          <c:showCatName val="0"/>
          <c:showSerName val="0"/>
          <c:showPercent val="0"/>
          <c:showBubbleSize val="0"/>
        </c:dLbls>
        <c:gapWidth val="219"/>
        <c:overlap val="100"/>
        <c:axId val="1693169232"/>
        <c:axId val="1693174512"/>
      </c:barChart>
      <c:catAx>
        <c:axId val="169316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BE"/>
          </a:p>
        </c:txPr>
        <c:crossAx val="1693174512"/>
        <c:crosses val="autoZero"/>
        <c:auto val="1"/>
        <c:lblAlgn val="ctr"/>
        <c:lblOffset val="100"/>
        <c:noMultiLvlLbl val="0"/>
      </c:catAx>
      <c:valAx>
        <c:axId val="1693174512"/>
        <c:scaling>
          <c:orientation val="minMax"/>
        </c:scaling>
        <c:delete val="0"/>
        <c:axPos val="l"/>
        <c:majorGridlines>
          <c:spPr>
            <a:ln w="9525" cap="flat" cmpd="sng" algn="ctr">
              <a:solidFill>
                <a:schemeClr val="tx1">
                  <a:lumMod val="15000"/>
                  <a:lumOff val="85000"/>
                </a:schemeClr>
              </a:solidFill>
              <a:round/>
            </a:ln>
            <a:effectLst/>
          </c:spPr>
        </c:majorGridlines>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16931692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noFill/>
        <a:ln>
          <a:noFill/>
        </a:ln>
        <a:effectLst/>
      </c:spPr>
    </c:plotArea>
    <c:legend>
      <c:legendPos val="r"/>
      <c:layout>
        <c:manualLayout>
          <c:xMode val="edge"/>
          <c:yMode val="edge"/>
          <c:x val="0.73723498846983671"/>
          <c:y val="9.8256805555555549E-2"/>
          <c:w val="0.115530339740557"/>
          <c:h val="7.9395643986116635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legend>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BE"/>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[251022-PlanFinancierOVO-Template5Ans-v0210-EMPTY.xlsm]RevenueChart!PivotTableRevenueData6</c:name>
    <c:fmtId val="7"/>
  </c:pivotSource>
  <c:chart>
    <c:title>
      <c:tx>
        <c:strRef>
          <c:f>RevenueChart!$B$9</c:f>
          <c:strCache>
            <c:ptCount val="1"/>
            <c:pt idx="0">
              <c:v>CA ET MARGE BRUTE PAR PRODUIT / SERVICE</c:v>
            </c:pt>
          </c:strCache>
        </c:strRef>
      </c:tx>
      <c:layout>
        <c:manualLayout>
          <c:xMode val="edge"/>
          <c:yMode val="edge"/>
          <c:x val="0.32762214526193384"/>
          <c:y val="3.351388423418274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B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19106963493555"/>
          <c:y val="0.12072902960634552"/>
          <c:w val="0.8552083976689685"/>
          <c:h val="0.67650435048550683"/>
        </c:manualLayout>
      </c:layout>
      <c:barChart>
        <c:barDir val="col"/>
        <c:grouping val="stacked"/>
        <c:varyColors val="0"/>
        <c:ser>
          <c:idx val="0"/>
          <c:order val="0"/>
          <c:tx>
            <c:strRef>
              <c:f>RevenueChart!$B$9</c:f>
              <c:strCache>
                <c:ptCount val="1"/>
                <c:pt idx="0">
                  <c:v>PRODUCT 01</c:v>
                </c:pt>
              </c:strCache>
            </c:strRef>
          </c:tx>
          <c:spPr>
            <a:solidFill>
              <a:schemeClr val="accent1"/>
            </a:solidFill>
            <a:ln>
              <a:noFill/>
            </a:ln>
            <a:effectLst/>
          </c:spPr>
          <c:invertIfNegative val="0"/>
          <c:cat>
            <c:multiLvlStrRef>
              <c:f>RevenueChart!$B$9</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RevenueChart!$B$9</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6DC9-4A68-8440-B4FED0A55FB5}"/>
            </c:ext>
          </c:extLst>
        </c:ser>
        <c:ser>
          <c:idx val="1"/>
          <c:order val="1"/>
          <c:tx>
            <c:strRef>
              <c:f>RevenueChart!$B$9</c:f>
              <c:strCache>
                <c:ptCount val="1"/>
                <c:pt idx="0">
                  <c:v>PRODUCT 02</c:v>
                </c:pt>
              </c:strCache>
            </c:strRef>
          </c:tx>
          <c:spPr>
            <a:solidFill>
              <a:schemeClr val="accent2"/>
            </a:solidFill>
            <a:ln>
              <a:noFill/>
            </a:ln>
            <a:effectLst/>
          </c:spPr>
          <c:invertIfNegative val="0"/>
          <c:cat>
            <c:multiLvlStrRef>
              <c:f>RevenueChart!$B$9</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RevenueChart!$B$9</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6DC9-4A68-8440-B4FED0A55FB5}"/>
            </c:ext>
          </c:extLst>
        </c:ser>
        <c:dLbls>
          <c:showLegendKey val="0"/>
          <c:showVal val="0"/>
          <c:showCatName val="0"/>
          <c:showSerName val="0"/>
          <c:showPercent val="0"/>
          <c:showBubbleSize val="0"/>
        </c:dLbls>
        <c:gapWidth val="219"/>
        <c:overlap val="100"/>
        <c:axId val="1693169232"/>
        <c:axId val="1693174512"/>
      </c:barChart>
      <c:catAx>
        <c:axId val="169316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BE"/>
          </a:p>
        </c:txPr>
        <c:crossAx val="1693174512"/>
        <c:crosses val="autoZero"/>
        <c:auto val="1"/>
        <c:lblAlgn val="ctr"/>
        <c:lblOffset val="100"/>
        <c:noMultiLvlLbl val="0"/>
      </c:catAx>
      <c:valAx>
        <c:axId val="1693174512"/>
        <c:scaling>
          <c:orientation val="minMax"/>
        </c:scaling>
        <c:delete val="0"/>
        <c:axPos val="l"/>
        <c:majorGridlines>
          <c:spPr>
            <a:ln w="9525" cap="flat" cmpd="sng" algn="ctr">
              <a:solidFill>
                <a:schemeClr val="tx1">
                  <a:lumMod val="15000"/>
                  <a:lumOff val="85000"/>
                </a:schemeClr>
              </a:solidFill>
              <a:round/>
            </a:ln>
            <a:effectLst/>
          </c:spPr>
        </c:majorGridlines>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16931692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BE"/>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[251022-PlanFinancierOVO-Template5Ans-v0210-EMPTY.xlsm]RevenueChart!PivotTableRevenueData9</c:name>
    <c:fmtId val="14"/>
  </c:pivotSource>
  <c:chart>
    <c:title>
      <c:tx>
        <c:strRef>
          <c:f>RevenueChart!$B$57</c:f>
          <c:strCache>
            <c:ptCount val="1"/>
            <c:pt idx="0">
              <c:v>CA ET MARGE BRUTE PAR TYPE DE PRODUIT / SERVICE</c:v>
            </c:pt>
          </c:strCache>
        </c:strRef>
      </c:tx>
      <c:layout>
        <c:manualLayout>
          <c:xMode val="edge"/>
          <c:yMode val="edge"/>
          <c:x val="0.31095399945399943"/>
          <c:y val="3.954907822620826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Calibri" panose="020F0502020204030204" pitchFamily="34" charset="0"/>
              <a:cs typeface="Arial" panose="020B0604020202020204" pitchFamily="34" charset="0"/>
            </a:defRPr>
          </a:pPr>
          <a:endParaRPr lang="en-B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108517608517604E-2"/>
          <c:y val="0.11029882909815644"/>
          <c:w val="0.89120126945126943"/>
          <c:h val="0.77502628300946674"/>
        </c:manualLayout>
      </c:layout>
      <c:barChart>
        <c:barDir val="col"/>
        <c:grouping val="stacked"/>
        <c:varyColors val="0"/>
        <c:ser>
          <c:idx val="0"/>
          <c:order val="0"/>
          <c:tx>
            <c:strRef>
              <c:f>RevenueChart!$B$57</c:f>
              <c:strCache>
                <c:ptCount val="1"/>
                <c:pt idx="0">
                  <c:v>PRODUCT</c:v>
                </c:pt>
              </c:strCache>
            </c:strRef>
          </c:tx>
          <c:spPr>
            <a:solidFill>
              <a:schemeClr val="accent1"/>
            </a:solidFill>
            <a:ln>
              <a:noFill/>
            </a:ln>
            <a:effectLst/>
          </c:spPr>
          <c:invertIfNegative val="0"/>
          <c:cat>
            <c:multiLvlStrRef>
              <c:f>RevenueChart!$B$57</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RevenueChart!$B$57</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EA3E-46FE-8E5E-9DB52B4775F7}"/>
            </c:ext>
          </c:extLst>
        </c:ser>
        <c:ser>
          <c:idx val="1"/>
          <c:order val="1"/>
          <c:tx>
            <c:strRef>
              <c:f>RevenueChart!$B$57</c:f>
              <c:strCache>
                <c:ptCount val="1"/>
                <c:pt idx="0">
                  <c:v>SERVICE</c:v>
                </c:pt>
              </c:strCache>
            </c:strRef>
          </c:tx>
          <c:spPr>
            <a:solidFill>
              <a:schemeClr val="accent2"/>
            </a:solidFill>
            <a:ln>
              <a:noFill/>
            </a:ln>
            <a:effectLst/>
          </c:spPr>
          <c:invertIfNegative val="0"/>
          <c:cat>
            <c:multiLvlStrRef>
              <c:f>RevenueChart!$B$57</c:f>
              <c:multiLvlStrCache>
                <c:ptCount val="16"/>
                <c:lvl>
                  <c:pt idx="0">
                    <c:v>2023</c:v>
                  </c:pt>
                  <c:pt idx="1">
                    <c:v>2024</c:v>
                  </c:pt>
                  <c:pt idx="2">
                    <c:v>2025</c:v>
                  </c:pt>
                  <c:pt idx="3">
                    <c:v>2026</c:v>
                  </c:pt>
                  <c:pt idx="4">
                    <c:v>2027</c:v>
                  </c:pt>
                  <c:pt idx="5">
                    <c:v>2028</c:v>
                  </c:pt>
                  <c:pt idx="6">
                    <c:v>2029</c:v>
                  </c:pt>
                  <c:pt idx="7">
                    <c:v>2030</c:v>
                  </c:pt>
                  <c:pt idx="8">
                    <c:v>2023</c:v>
                  </c:pt>
                  <c:pt idx="9">
                    <c:v>2024</c:v>
                  </c:pt>
                  <c:pt idx="10">
                    <c:v>2025</c:v>
                  </c:pt>
                  <c:pt idx="11">
                    <c:v>2026</c:v>
                  </c:pt>
                  <c:pt idx="12">
                    <c:v>2027</c:v>
                  </c:pt>
                  <c:pt idx="13">
                    <c:v>2028</c:v>
                  </c:pt>
                  <c:pt idx="14">
                    <c:v>2029</c:v>
                  </c:pt>
                  <c:pt idx="15">
                    <c:v>2030</c:v>
                  </c:pt>
                </c:lvl>
                <c:lvl>
                  <c:pt idx="0">
                    <c:v>REVENUE</c:v>
                  </c:pt>
                  <c:pt idx="8">
                    <c:v>GROSS PROFIT</c:v>
                  </c:pt>
                </c:lvl>
              </c:multiLvlStrCache>
            </c:multiLvlStrRef>
          </c:cat>
          <c:val>
            <c:numRef>
              <c:f>RevenueChart!$B$57</c:f>
              <c:numCache>
                <c:formatCode>#,##0_ ;[Red]\-#,##0\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EA3E-46FE-8E5E-9DB52B4775F7}"/>
            </c:ext>
          </c:extLst>
        </c:ser>
        <c:dLbls>
          <c:showLegendKey val="0"/>
          <c:showVal val="0"/>
          <c:showCatName val="0"/>
          <c:showSerName val="0"/>
          <c:showPercent val="0"/>
          <c:showBubbleSize val="0"/>
        </c:dLbls>
        <c:gapWidth val="150"/>
        <c:overlap val="100"/>
        <c:axId val="1692663151"/>
        <c:axId val="1692654511"/>
      </c:barChart>
      <c:catAx>
        <c:axId val="1692663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BE"/>
          </a:p>
        </c:txPr>
        <c:crossAx val="1692654511"/>
        <c:crosses val="autoZero"/>
        <c:auto val="1"/>
        <c:lblAlgn val="ctr"/>
        <c:lblOffset val="100"/>
        <c:noMultiLvlLbl val="0"/>
      </c:catAx>
      <c:valAx>
        <c:axId val="1692654511"/>
        <c:scaling>
          <c:orientation val="minMax"/>
        </c:scaling>
        <c:delete val="0"/>
        <c:axPos val="l"/>
        <c:majorGridlines>
          <c:spPr>
            <a:ln w="9525" cap="flat" cmpd="sng" algn="ctr">
              <a:solidFill>
                <a:schemeClr val="tx1">
                  <a:lumMod val="15000"/>
                  <a:lumOff val="85000"/>
                </a:schemeClr>
              </a:solidFill>
              <a:round/>
            </a:ln>
            <a:effectLst/>
          </c:spPr>
        </c:majorGridlines>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Calibri" panose="020F0502020204030204" pitchFamily="34" charset="0"/>
                <a:cs typeface="Arial" panose="020B0604020202020204" pitchFamily="34" charset="0"/>
              </a:defRPr>
            </a:pPr>
            <a:endParaRPr lang="en-BE"/>
          </a:p>
        </c:txPr>
        <c:crossAx val="169266315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Calibri" panose="020F0502020204030204" pitchFamily="34" charset="0"/>
                <a:cs typeface="Arial" panose="020B0604020202020204" pitchFamily="34" charset="0"/>
              </a:defRPr>
            </a:pPr>
            <a:endParaRPr lang="en-BE"/>
          </a:p>
        </c:txPr>
      </c:dTable>
      <c:spPr>
        <a:noFill/>
        <a:ln>
          <a:noFill/>
        </a:ln>
        <a:effectLst/>
      </c:spPr>
    </c:plotArea>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B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FinanceChart!$B$138</c:f>
          <c:strCache>
            <c:ptCount val="1"/>
            <c:pt idx="0">
              <c:v>ETAT DES FLUX DE TRESORERIE | CAS TYPIQUE SCENARIO DE SIMULATION</c:v>
            </c:pt>
          </c:strCache>
        </c:strRef>
      </c:tx>
      <c:overlay val="1"/>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B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468185408862727E-2"/>
          <c:y val="9.4714484126984119E-2"/>
          <c:w val="0.88669744922661364"/>
          <c:h val="0.54723412698412699"/>
        </c:manualLayout>
      </c:layout>
      <c:barChart>
        <c:barDir val="col"/>
        <c:grouping val="clustered"/>
        <c:varyColors val="0"/>
        <c:ser>
          <c:idx val="1"/>
          <c:order val="0"/>
          <c:tx>
            <c:strRef>
              <c:f>FinanceChart!$C$139</c:f>
              <c:strCache>
                <c:ptCount val="1"/>
                <c:pt idx="0">
                  <c:v>2023</c:v>
                </c:pt>
              </c:strCache>
            </c:strRef>
          </c:tx>
          <c:spPr>
            <a:solidFill>
              <a:schemeClr val="accent2"/>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FinanceChart!$C$147:$C$151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2-AA59-4063-8607-AA09B94663B2}"/>
            </c:ext>
          </c:extLst>
        </c:ser>
        <c:ser>
          <c:idx val="2"/>
          <c:order val="1"/>
          <c:tx>
            <c:strRef>
              <c:f>FinanceChart!$D$139</c:f>
              <c:strCache>
                <c:ptCount val="1"/>
                <c:pt idx="0">
                  <c:v>2024</c:v>
                </c:pt>
              </c:strCache>
            </c:strRef>
          </c:tx>
          <c:spPr>
            <a:solidFill>
              <a:schemeClr val="accent3"/>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FinanceChart!$D$147:$D$151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3-AA59-4063-8607-AA09B94663B2}"/>
            </c:ext>
          </c:extLst>
        </c:ser>
        <c:ser>
          <c:idx val="3"/>
          <c:order val="2"/>
          <c:tx>
            <c:strRef>
              <c:f>FinanceChart!$E$139</c:f>
              <c:strCache>
                <c:ptCount val="1"/>
                <c:pt idx="0">
                  <c:v>2025</c:v>
                </c:pt>
              </c:strCache>
            </c:strRef>
          </c:tx>
          <c:spPr>
            <a:solidFill>
              <a:schemeClr val="accent4"/>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FinanceChart!$E$147:$E$151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4-AA59-4063-8607-AA09B94663B2}"/>
            </c:ext>
          </c:extLst>
        </c:ser>
        <c:ser>
          <c:idx val="4"/>
          <c:order val="3"/>
          <c:tx>
            <c:strRef>
              <c:f>FinanceChart!$F$139</c:f>
              <c:strCache>
                <c:ptCount val="1"/>
                <c:pt idx="0">
                  <c:v>2026</c:v>
                </c:pt>
              </c:strCache>
            </c:strRef>
          </c:tx>
          <c:spPr>
            <a:solidFill>
              <a:schemeClr val="accent5"/>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FinanceChart!$F$147:$F$151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5-AA59-4063-8607-AA09B94663B2}"/>
            </c:ext>
          </c:extLst>
        </c:ser>
        <c:ser>
          <c:idx val="5"/>
          <c:order val="4"/>
          <c:tx>
            <c:strRef>
              <c:f>FinanceChart!$G$139</c:f>
              <c:strCache>
                <c:ptCount val="1"/>
                <c:pt idx="0">
                  <c:v>2027</c:v>
                </c:pt>
              </c:strCache>
            </c:strRef>
          </c:tx>
          <c:spPr>
            <a:solidFill>
              <a:schemeClr val="accent6"/>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FinanceChart!$G$147:$G$151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6-AA59-4063-8607-AA09B94663B2}"/>
            </c:ext>
          </c:extLst>
        </c:ser>
        <c:ser>
          <c:idx val="6"/>
          <c:order val="5"/>
          <c:tx>
            <c:strRef>
              <c:f>FinanceChart!$H$139</c:f>
              <c:strCache>
                <c:ptCount val="1"/>
                <c:pt idx="0">
                  <c:v>2028</c:v>
                </c:pt>
              </c:strCache>
            </c:strRef>
          </c:tx>
          <c:spPr>
            <a:solidFill>
              <a:schemeClr val="accent1">
                <a:lumMod val="60000"/>
              </a:schemeClr>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FinanceChart!$H$147:$H$151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7-AA59-4063-8607-AA09B94663B2}"/>
            </c:ext>
          </c:extLst>
        </c:ser>
        <c:ser>
          <c:idx val="0"/>
          <c:order val="6"/>
          <c:tx>
            <c:strRef>
              <c:f>FinanceChart!$I$139</c:f>
              <c:strCache>
                <c:ptCount val="1"/>
                <c:pt idx="0">
                  <c:v>2029</c:v>
                </c:pt>
              </c:strCache>
            </c:strRef>
          </c:tx>
          <c:spPr>
            <a:solidFill>
              <a:schemeClr val="accent1"/>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FinanceChart!$I$147:$I$151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E-4664-41BC-9F59-5CDF86BAC255}"/>
            </c:ext>
          </c:extLst>
        </c:ser>
        <c:ser>
          <c:idx val="7"/>
          <c:order val="7"/>
          <c:tx>
            <c:strRef>
              <c:f>FinanceChart!$J$139</c:f>
              <c:strCache>
                <c:ptCount val="1"/>
                <c:pt idx="0">
                  <c:v>2030</c:v>
                </c:pt>
              </c:strCache>
            </c:strRef>
          </c:tx>
          <c:spPr>
            <a:solidFill>
              <a:schemeClr val="accent2">
                <a:lumMod val="60000"/>
              </a:schemeClr>
            </a:solidFill>
            <a:ln>
              <a:noFill/>
            </a:ln>
            <a:effectLst/>
          </c:spPr>
          <c:invertIfNegative val="0"/>
          <c:cat>
            <c:strRef>
              <c:f>FinanceChart!$B$147:$B$151</c:f>
              <c:strCache>
                <c:ptCount val="5"/>
                <c:pt idx="0">
                  <c:v>FONDS DE ROULEMENT</c:v>
                </c:pt>
                <c:pt idx="1">
                  <c:v>SOURCE DE FINANCEMENT</c:v>
                </c:pt>
                <c:pt idx="2">
                  <c:v>INTERETS</c:v>
                </c:pt>
                <c:pt idx="3">
                  <c:v>MONTANT PRINCIPAL DE PRET</c:v>
                </c:pt>
                <c:pt idx="4">
                  <c:v>POSITION DE TRESORERIE FIN DE PERIODE</c:v>
                </c:pt>
              </c:strCache>
            </c:strRef>
          </c:cat>
          <c:val>
            <c:numRef>
              <c:f>FinanceChart!$J$147:$J$151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F-4664-41BC-9F59-5CDF86BAC255}"/>
            </c:ext>
          </c:extLst>
        </c:ser>
        <c:dLbls>
          <c:showLegendKey val="0"/>
          <c:showVal val="0"/>
          <c:showCatName val="0"/>
          <c:showSerName val="0"/>
          <c:showPercent val="0"/>
          <c:showBubbleSize val="0"/>
        </c:dLbls>
        <c:gapWidth val="219"/>
        <c:overlap val="-27"/>
        <c:axId val="848463384"/>
        <c:axId val="848463744"/>
      </c:barChart>
      <c:catAx>
        <c:axId val="8484633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848463744"/>
        <c:crosses val="autoZero"/>
        <c:auto val="1"/>
        <c:lblAlgn val="ctr"/>
        <c:lblOffset val="100"/>
        <c:noMultiLvlLbl val="0"/>
      </c:catAx>
      <c:valAx>
        <c:axId val="848463744"/>
        <c:scaling>
          <c:orientation val="minMax"/>
        </c:scaling>
        <c:delete val="0"/>
        <c:axPos val="l"/>
        <c:majorGridlines>
          <c:spPr>
            <a:ln w="9525" cap="flat" cmpd="sng" algn="ctr">
              <a:solidFill>
                <a:schemeClr val="tx1">
                  <a:lumMod val="15000"/>
                  <a:lumOff val="85000"/>
                </a:schemeClr>
              </a:solidFill>
              <a:round/>
            </a:ln>
            <a:effectLst/>
          </c:spPr>
        </c:majorGridlines>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8484633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solidFill>
          <a:schemeClr val="bg1">
            <a:lumMod val="95000"/>
          </a:schemeClr>
        </a:solidFill>
        <a:ln>
          <a:noFill/>
        </a:ln>
        <a:effectLst/>
      </c:spPr>
    </c:plotArea>
    <c:plotVisOnly val="1"/>
    <c:dispBlanksAs val="gap"/>
    <c:showDLblsOverMax val="0"/>
    <c:extLst/>
  </c:chart>
  <c:spPr>
    <a:solidFill>
      <a:schemeClr val="bg1">
        <a:lumMod val="95000"/>
      </a:schemeClr>
    </a:solidFill>
    <a:ln w="9525" cap="flat" cmpd="sng" algn="ctr">
      <a:noFill/>
      <a:round/>
    </a:ln>
    <a:effectLst/>
  </c:spPr>
  <c:txPr>
    <a:bodyPr/>
    <a:lstStyle/>
    <a:p>
      <a:pPr>
        <a:defRPr/>
      </a:pPr>
      <a:endParaRPr lang="en-BE"/>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[251022-PlanFinancierOVO-Template5Ans-v0210-EMPTY.xlsm]FinanceChart!PivotTableDonnéesFIN12</c:name>
    <c:fmtId val="0"/>
  </c:pivotSource>
  <c:chart>
    <c:title>
      <c:tx>
        <c:strRef>
          <c:f>FinanceChart!$B$108</c:f>
          <c:strCache>
            <c:ptCount val="1"/>
            <c:pt idx="0">
              <c:v>EFFECTIF | CAS TYPIQUE SCENARIO DE SIMULATION
ANNEE-2 = 2023
ANNEE-1 = 2024
ANNEE EN COURS = 2025
ANNEE2 = 2026
 ... </c:v>
            </c:pt>
          </c:strCache>
        </c:strRef>
      </c:tx>
      <c:overlay val="1"/>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B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468185408862727E-2"/>
          <c:y val="4.2516298527312035E-2"/>
          <c:w val="0.88669744922661364"/>
          <c:h val="0.82382098144093729"/>
        </c:manualLayout>
      </c:layout>
      <c:barChart>
        <c:barDir val="col"/>
        <c:grouping val="stacked"/>
        <c:varyColors val="0"/>
        <c:ser>
          <c:idx val="0"/>
          <c:order val="0"/>
          <c:tx>
            <c:strRef>
              <c:f>FinanceChart!$B$108</c:f>
              <c:strCache>
                <c:ptCount val="1"/>
                <c:pt idx="0">
                  <c:v>TRAVAILLEURS SAISONNIERS</c:v>
                </c:pt>
              </c:strCache>
            </c:strRef>
          </c:tx>
          <c:spPr>
            <a:solidFill>
              <a:schemeClr val="accent1"/>
            </a:solidFill>
            <a:ln>
              <a:noFill/>
            </a:ln>
            <a:effectLst/>
          </c:spPr>
          <c:invertIfNegative val="0"/>
          <c:cat>
            <c:strRef>
              <c:f>FinanceChart!$B$108</c:f>
              <c:strCache>
                <c:ptCount val="8"/>
                <c:pt idx="0">
                  <c:v>Sum of YEAR-2</c:v>
                </c:pt>
                <c:pt idx="1">
                  <c:v>Sum of YEAR-1</c:v>
                </c:pt>
                <c:pt idx="2">
                  <c:v>Sum of CURRENT YEAR</c:v>
                </c:pt>
                <c:pt idx="3">
                  <c:v>Sum of YEAR2</c:v>
                </c:pt>
                <c:pt idx="4">
                  <c:v>Sum of YEAR3</c:v>
                </c:pt>
                <c:pt idx="5">
                  <c:v>Sum of YEAR4</c:v>
                </c:pt>
                <c:pt idx="6">
                  <c:v>Sum of YEAR5</c:v>
                </c:pt>
                <c:pt idx="7">
                  <c:v>Sum of YEAR6</c:v>
                </c:pt>
              </c:strCache>
            </c:strRef>
          </c:cat>
          <c:val>
            <c:numRef>
              <c:f>FinanceChart!$B$108</c:f>
              <c:numCache>
                <c:formatCode>#,##0.00_ ;[Red]\-#,##0.00\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651-4B0F-9FF3-8E89E37DFC01}"/>
            </c:ext>
          </c:extLst>
        </c:ser>
        <c:ser>
          <c:idx val="1"/>
          <c:order val="1"/>
          <c:tx>
            <c:strRef>
              <c:f>FinanceChart!$B$108</c:f>
              <c:strCache>
                <c:ptCount val="1"/>
                <c:pt idx="0">
                  <c:v>VENTE &amp; MARKETING</c:v>
                </c:pt>
              </c:strCache>
            </c:strRef>
          </c:tx>
          <c:spPr>
            <a:solidFill>
              <a:schemeClr val="accent2"/>
            </a:solidFill>
            <a:ln>
              <a:noFill/>
            </a:ln>
            <a:effectLst/>
          </c:spPr>
          <c:invertIfNegative val="0"/>
          <c:cat>
            <c:strRef>
              <c:f>FinanceChart!$B$108</c:f>
              <c:strCache>
                <c:ptCount val="8"/>
                <c:pt idx="0">
                  <c:v>Sum of YEAR-2</c:v>
                </c:pt>
                <c:pt idx="1">
                  <c:v>Sum of YEAR-1</c:v>
                </c:pt>
                <c:pt idx="2">
                  <c:v>Sum of CURRENT YEAR</c:v>
                </c:pt>
                <c:pt idx="3">
                  <c:v>Sum of YEAR2</c:v>
                </c:pt>
                <c:pt idx="4">
                  <c:v>Sum of YEAR3</c:v>
                </c:pt>
                <c:pt idx="5">
                  <c:v>Sum of YEAR4</c:v>
                </c:pt>
                <c:pt idx="6">
                  <c:v>Sum of YEAR5</c:v>
                </c:pt>
                <c:pt idx="7">
                  <c:v>Sum of YEAR6</c:v>
                </c:pt>
              </c:strCache>
            </c:strRef>
          </c:cat>
          <c:val>
            <c:numRef>
              <c:f>FinanceChart!$B$108</c:f>
              <c:numCache>
                <c:formatCode>#,##0.00_ ;[Red]\-#,##0.00\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B01-4E7E-BDA4-0D87DB558E41}"/>
            </c:ext>
          </c:extLst>
        </c:ser>
        <c:ser>
          <c:idx val="2"/>
          <c:order val="2"/>
          <c:tx>
            <c:strRef>
              <c:f>FinanceChart!$B$108</c:f>
              <c:strCache>
                <c:ptCount val="1"/>
                <c:pt idx="0">
                  <c:v>ADMINISTRATION</c:v>
                </c:pt>
              </c:strCache>
            </c:strRef>
          </c:tx>
          <c:spPr>
            <a:solidFill>
              <a:schemeClr val="accent3"/>
            </a:solidFill>
            <a:ln>
              <a:noFill/>
            </a:ln>
            <a:effectLst/>
          </c:spPr>
          <c:invertIfNegative val="0"/>
          <c:cat>
            <c:strRef>
              <c:f>FinanceChart!$B$108</c:f>
              <c:strCache>
                <c:ptCount val="8"/>
                <c:pt idx="0">
                  <c:v>Sum of YEAR-2</c:v>
                </c:pt>
                <c:pt idx="1">
                  <c:v>Sum of YEAR-1</c:v>
                </c:pt>
                <c:pt idx="2">
                  <c:v>Sum of CURRENT YEAR</c:v>
                </c:pt>
                <c:pt idx="3">
                  <c:v>Sum of YEAR2</c:v>
                </c:pt>
                <c:pt idx="4">
                  <c:v>Sum of YEAR3</c:v>
                </c:pt>
                <c:pt idx="5">
                  <c:v>Sum of YEAR4</c:v>
                </c:pt>
                <c:pt idx="6">
                  <c:v>Sum of YEAR5</c:v>
                </c:pt>
                <c:pt idx="7">
                  <c:v>Sum of YEAR6</c:v>
                </c:pt>
              </c:strCache>
            </c:strRef>
          </c:cat>
          <c:val>
            <c:numRef>
              <c:f>FinanceChart!$B$108</c:f>
              <c:numCache>
                <c:formatCode>#,##0.00_ ;[Red]\-#,##0.00\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FB01-4E7E-BDA4-0D87DB558E41}"/>
            </c:ext>
          </c:extLst>
        </c:ser>
        <c:ser>
          <c:idx val="3"/>
          <c:order val="3"/>
          <c:tx>
            <c:strRef>
              <c:f>FinanceChart!$B$108</c:f>
              <c:strCache>
                <c:ptCount val="1"/>
                <c:pt idx="0">
                  <c:v>OPERATIONS</c:v>
                </c:pt>
              </c:strCache>
            </c:strRef>
          </c:tx>
          <c:spPr>
            <a:solidFill>
              <a:schemeClr val="accent4"/>
            </a:solidFill>
            <a:ln>
              <a:noFill/>
            </a:ln>
            <a:effectLst/>
          </c:spPr>
          <c:invertIfNegative val="0"/>
          <c:cat>
            <c:strRef>
              <c:f>FinanceChart!$B$108</c:f>
              <c:strCache>
                <c:ptCount val="8"/>
                <c:pt idx="0">
                  <c:v>Sum of YEAR-2</c:v>
                </c:pt>
                <c:pt idx="1">
                  <c:v>Sum of YEAR-1</c:v>
                </c:pt>
                <c:pt idx="2">
                  <c:v>Sum of CURRENT YEAR</c:v>
                </c:pt>
                <c:pt idx="3">
                  <c:v>Sum of YEAR2</c:v>
                </c:pt>
                <c:pt idx="4">
                  <c:v>Sum of YEAR3</c:v>
                </c:pt>
                <c:pt idx="5">
                  <c:v>Sum of YEAR4</c:v>
                </c:pt>
                <c:pt idx="6">
                  <c:v>Sum of YEAR5</c:v>
                </c:pt>
                <c:pt idx="7">
                  <c:v>Sum of YEAR6</c:v>
                </c:pt>
              </c:strCache>
            </c:strRef>
          </c:cat>
          <c:val>
            <c:numRef>
              <c:f>FinanceChart!$B$108</c:f>
              <c:numCache>
                <c:formatCode>#,##0.00_ ;[Red]\-#,##0.00\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FB01-4E7E-BDA4-0D87DB558E41}"/>
            </c:ext>
          </c:extLst>
        </c:ser>
        <c:ser>
          <c:idx val="4"/>
          <c:order val="4"/>
          <c:tx>
            <c:strRef>
              <c:f>FinanceChart!$B$108</c:f>
              <c:strCache>
                <c:ptCount val="1"/>
                <c:pt idx="0">
                  <c:v>VENDEUR BOUTIQUE</c:v>
                </c:pt>
              </c:strCache>
            </c:strRef>
          </c:tx>
          <c:spPr>
            <a:solidFill>
              <a:schemeClr val="accent5"/>
            </a:solidFill>
            <a:ln>
              <a:noFill/>
            </a:ln>
            <a:effectLst/>
          </c:spPr>
          <c:invertIfNegative val="0"/>
          <c:cat>
            <c:strRef>
              <c:f>FinanceChart!$B$108</c:f>
              <c:strCache>
                <c:ptCount val="8"/>
                <c:pt idx="0">
                  <c:v>Sum of YEAR-2</c:v>
                </c:pt>
                <c:pt idx="1">
                  <c:v>Sum of YEAR-1</c:v>
                </c:pt>
                <c:pt idx="2">
                  <c:v>Sum of CURRENT YEAR</c:v>
                </c:pt>
                <c:pt idx="3">
                  <c:v>Sum of YEAR2</c:v>
                </c:pt>
                <c:pt idx="4">
                  <c:v>Sum of YEAR3</c:v>
                </c:pt>
                <c:pt idx="5">
                  <c:v>Sum of YEAR4</c:v>
                </c:pt>
                <c:pt idx="6">
                  <c:v>Sum of YEAR5</c:v>
                </c:pt>
                <c:pt idx="7">
                  <c:v>Sum of YEAR6</c:v>
                </c:pt>
              </c:strCache>
            </c:strRef>
          </c:cat>
          <c:val>
            <c:numRef>
              <c:f>FinanceChart!$B$108</c:f>
              <c:numCache>
                <c:formatCode>#,##0.00_ ;[Red]\-#,##0.00\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FB01-4E7E-BDA4-0D87DB558E41}"/>
            </c:ext>
          </c:extLst>
        </c:ser>
        <c:ser>
          <c:idx val="5"/>
          <c:order val="5"/>
          <c:tx>
            <c:strRef>
              <c:f>FinanceChart!$B$108</c:f>
              <c:strCache>
                <c:ptCount val="1"/>
                <c:pt idx="0">
                  <c:v>CADRE - DIRECTEURS</c:v>
                </c:pt>
              </c:strCache>
            </c:strRef>
          </c:tx>
          <c:spPr>
            <a:solidFill>
              <a:schemeClr val="accent6"/>
            </a:solidFill>
            <a:ln>
              <a:noFill/>
            </a:ln>
            <a:effectLst/>
          </c:spPr>
          <c:invertIfNegative val="0"/>
          <c:cat>
            <c:strRef>
              <c:f>FinanceChart!$B$108</c:f>
              <c:strCache>
                <c:ptCount val="8"/>
                <c:pt idx="0">
                  <c:v>Sum of YEAR-2</c:v>
                </c:pt>
                <c:pt idx="1">
                  <c:v>Sum of YEAR-1</c:v>
                </c:pt>
                <c:pt idx="2">
                  <c:v>Sum of CURRENT YEAR</c:v>
                </c:pt>
                <c:pt idx="3">
                  <c:v>Sum of YEAR2</c:v>
                </c:pt>
                <c:pt idx="4">
                  <c:v>Sum of YEAR3</c:v>
                </c:pt>
                <c:pt idx="5">
                  <c:v>Sum of YEAR4</c:v>
                </c:pt>
                <c:pt idx="6">
                  <c:v>Sum of YEAR5</c:v>
                </c:pt>
                <c:pt idx="7">
                  <c:v>Sum of YEAR6</c:v>
                </c:pt>
              </c:strCache>
            </c:strRef>
          </c:cat>
          <c:val>
            <c:numRef>
              <c:f>FinanceChart!$B$108</c:f>
              <c:numCache>
                <c:formatCode>#,##0.00_ ;[Red]\-#,##0.00\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FB01-4E7E-BDA4-0D87DB558E41}"/>
            </c:ext>
          </c:extLst>
        </c:ser>
        <c:ser>
          <c:idx val="6"/>
          <c:order val="6"/>
          <c:tx>
            <c:strRef>
              <c:f>FinanceChart!$B$108</c:f>
              <c:strCache>
                <c:ptCount val="1"/>
                <c:pt idx="0">
                  <c:v>CADRE - DIRECTEUR GENERAL</c:v>
                </c:pt>
              </c:strCache>
            </c:strRef>
          </c:tx>
          <c:spPr>
            <a:solidFill>
              <a:schemeClr val="accent1">
                <a:lumMod val="60000"/>
              </a:schemeClr>
            </a:solidFill>
            <a:ln>
              <a:noFill/>
            </a:ln>
            <a:effectLst/>
          </c:spPr>
          <c:invertIfNegative val="0"/>
          <c:cat>
            <c:strRef>
              <c:f>FinanceChart!$B$108</c:f>
              <c:strCache>
                <c:ptCount val="8"/>
                <c:pt idx="0">
                  <c:v>Sum of YEAR-2</c:v>
                </c:pt>
                <c:pt idx="1">
                  <c:v>Sum of YEAR-1</c:v>
                </c:pt>
                <c:pt idx="2">
                  <c:v>Sum of CURRENT YEAR</c:v>
                </c:pt>
                <c:pt idx="3">
                  <c:v>Sum of YEAR2</c:v>
                </c:pt>
                <c:pt idx="4">
                  <c:v>Sum of YEAR3</c:v>
                </c:pt>
                <c:pt idx="5">
                  <c:v>Sum of YEAR4</c:v>
                </c:pt>
                <c:pt idx="6">
                  <c:v>Sum of YEAR5</c:v>
                </c:pt>
                <c:pt idx="7">
                  <c:v>Sum of YEAR6</c:v>
                </c:pt>
              </c:strCache>
            </c:strRef>
          </c:cat>
          <c:val>
            <c:numRef>
              <c:f>FinanceChart!$B$108</c:f>
              <c:numCache>
                <c:formatCode>#,##0.00_ ;[Red]\-#,##0.00\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8C89-404D-83A0-339EE250CA1C}"/>
            </c:ext>
          </c:extLst>
        </c:ser>
        <c:dLbls>
          <c:showLegendKey val="0"/>
          <c:showVal val="0"/>
          <c:showCatName val="0"/>
          <c:showSerName val="0"/>
          <c:showPercent val="0"/>
          <c:showBubbleSize val="0"/>
        </c:dLbls>
        <c:gapWidth val="219"/>
        <c:overlap val="100"/>
        <c:axId val="848463384"/>
        <c:axId val="848463744"/>
      </c:barChart>
      <c:catAx>
        <c:axId val="848463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848463744"/>
        <c:crosses val="autoZero"/>
        <c:auto val="1"/>
        <c:lblAlgn val="ctr"/>
        <c:lblOffset val="100"/>
        <c:noMultiLvlLbl val="0"/>
      </c:catAx>
      <c:valAx>
        <c:axId val="848463744"/>
        <c:scaling>
          <c:orientation val="minMax"/>
        </c:scaling>
        <c:delete val="0"/>
        <c:axPos val="l"/>
        <c:majorGridlines>
          <c:spPr>
            <a:ln w="9525" cap="flat" cmpd="sng" algn="ctr">
              <a:solidFill>
                <a:schemeClr val="tx1">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848463384"/>
        <c:crosses val="autoZero"/>
        <c:crossBetween val="between"/>
      </c:valAx>
      <c:spPr>
        <a:solidFill>
          <a:schemeClr val="bg1">
            <a:lumMod val="95000"/>
          </a:schemeClr>
        </a:solidFill>
        <a:ln>
          <a:noFill/>
        </a:ln>
        <a:effectLst/>
      </c:spPr>
    </c:plotArea>
    <c:legend>
      <c:legendPos val="r"/>
      <c:layout>
        <c:manualLayout>
          <c:xMode val="edge"/>
          <c:yMode val="edge"/>
          <c:x val="0.1310738254443308"/>
          <c:y val="5.9349771849032021E-2"/>
          <c:w val="0.17546008561356755"/>
          <c:h val="0.32165422426934359"/>
        </c:manualLayout>
      </c:layout>
      <c:overlay val="0"/>
      <c:spPr>
        <a:noFill/>
        <a:ln>
          <a:solidFill>
            <a:srgbClr val="1E3249"/>
          </a:solidFill>
        </a:ln>
        <a:effectLst/>
      </c:spPr>
      <c:txPr>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legend>
    <c:plotVisOnly val="1"/>
    <c:dispBlanksAs val="gap"/>
    <c:showDLblsOverMax val="0"/>
    <c:extLst/>
  </c:chart>
  <c:spPr>
    <a:solidFill>
      <a:schemeClr val="bg1">
        <a:lumMod val="95000"/>
      </a:schemeClr>
    </a:solidFill>
    <a:ln w="9525" cap="flat" cmpd="sng" algn="ctr">
      <a:noFill/>
      <a:round/>
    </a:ln>
    <a:effectLst/>
  </c:spPr>
  <c:txPr>
    <a:bodyPr/>
    <a:lstStyle/>
    <a:p>
      <a:pPr>
        <a:defRPr/>
      </a:pPr>
      <a:endParaRPr lang="en-B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FinanceChart!$B$60</c:f>
          <c:strCache>
            <c:ptCount val="1"/>
            <c:pt idx="0">
              <c:v>DEPENSES OPERATIONNELLES | CAS TYPIQUE SCENARIO DE SIMULATION</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BE"/>
        </a:p>
      </c:txPr>
    </c:title>
    <c:autoTitleDeleted val="0"/>
    <c:plotArea>
      <c:layout>
        <c:manualLayout>
          <c:layoutTarget val="inner"/>
          <c:xMode val="edge"/>
          <c:yMode val="edge"/>
          <c:x val="0.18222131610419778"/>
          <c:y val="8.5471662938105888E-2"/>
          <c:w val="0.80337119122170431"/>
          <c:h val="0.55904511558538406"/>
        </c:manualLayout>
      </c:layout>
      <c:barChart>
        <c:barDir val="col"/>
        <c:grouping val="stacked"/>
        <c:varyColors val="0"/>
        <c:ser>
          <c:idx val="0"/>
          <c:order val="0"/>
          <c:tx>
            <c:strRef>
              <c:f>FinanceChart!$C$61</c:f>
              <c:strCache>
                <c:ptCount val="1"/>
                <c:pt idx="0">
                  <c:v>COUT DE MARKETING</c:v>
                </c:pt>
              </c:strCache>
            </c:strRef>
          </c:tx>
          <c:spPr>
            <a:solidFill>
              <a:schemeClr val="accent1"/>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FinanceChart!$C$64:$C$71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E52-489D-889A-5364A635BD8F}"/>
            </c:ext>
          </c:extLst>
        </c:ser>
        <c:ser>
          <c:idx val="1"/>
          <c:order val="1"/>
          <c:tx>
            <c:strRef>
              <c:f>FinanceChart!$D$61</c:f>
              <c:strCache>
                <c:ptCount val="1"/>
                <c:pt idx="0">
                  <c:v>SALAIRES DE PERSONNEL</c:v>
                </c:pt>
              </c:strCache>
            </c:strRef>
          </c:tx>
          <c:spPr>
            <a:solidFill>
              <a:schemeClr val="accent2"/>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FinanceChart!$D$64:$D$71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4E52-489D-889A-5364A635BD8F}"/>
            </c:ext>
          </c:extLst>
        </c:ser>
        <c:ser>
          <c:idx val="2"/>
          <c:order val="2"/>
          <c:tx>
            <c:strRef>
              <c:f>FinanceChart!$E$61</c:f>
              <c:strCache>
                <c:ptCount val="1"/>
                <c:pt idx="0">
                  <c:v>IMPOTS ET TAXES SUR PERSONNEL</c:v>
                </c:pt>
              </c:strCache>
            </c:strRef>
          </c:tx>
          <c:spPr>
            <a:solidFill>
              <a:schemeClr val="accent3"/>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FinanceChart!$E$64:$E$71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4E52-489D-889A-5364A635BD8F}"/>
            </c:ext>
          </c:extLst>
        </c:ser>
        <c:ser>
          <c:idx val="3"/>
          <c:order val="3"/>
          <c:tx>
            <c:strRef>
              <c:f>FinanceChart!$F$61</c:f>
              <c:strCache>
                <c:ptCount val="1"/>
                <c:pt idx="0">
                  <c:v>COUTS DE L'OFFICE</c:v>
                </c:pt>
              </c:strCache>
            </c:strRef>
          </c:tx>
          <c:spPr>
            <a:solidFill>
              <a:schemeClr val="accent4"/>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FinanceChart!$F$64:$F$71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4E52-489D-889A-5364A635BD8F}"/>
            </c:ext>
          </c:extLst>
        </c:ser>
        <c:ser>
          <c:idx val="4"/>
          <c:order val="4"/>
          <c:tx>
            <c:strRef>
              <c:f>FinanceChart!$G$61</c:f>
              <c:strCache>
                <c:ptCount val="1"/>
                <c:pt idx="0">
                  <c:v>AUTRES CHARGES</c:v>
                </c:pt>
              </c:strCache>
            </c:strRef>
          </c:tx>
          <c:spPr>
            <a:solidFill>
              <a:schemeClr val="accent5"/>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FinanceChart!$G$64:$G$71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4E52-489D-889A-5364A635BD8F}"/>
            </c:ext>
          </c:extLst>
        </c:ser>
        <c:ser>
          <c:idx val="5"/>
          <c:order val="5"/>
          <c:tx>
            <c:strRef>
              <c:f>FinanceChart!$H$61</c:f>
              <c:strCache>
                <c:ptCount val="1"/>
                <c:pt idx="0">
                  <c:v>VOYAGE &amp; DEPLACEMENT</c:v>
                </c:pt>
              </c:strCache>
            </c:strRef>
          </c:tx>
          <c:spPr>
            <a:solidFill>
              <a:schemeClr val="accent6"/>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FinanceChart!$H$64:$H$71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5-4E52-489D-889A-5364A635BD8F}"/>
            </c:ext>
          </c:extLst>
        </c:ser>
        <c:ser>
          <c:idx val="6"/>
          <c:order val="6"/>
          <c:tx>
            <c:strRef>
              <c:f>FinanceChart!$I$61</c:f>
              <c:strCache>
                <c:ptCount val="1"/>
                <c:pt idx="0">
                  <c:v>ASSURANCES</c:v>
                </c:pt>
              </c:strCache>
            </c:strRef>
          </c:tx>
          <c:spPr>
            <a:solidFill>
              <a:schemeClr val="accent1">
                <a:lumMod val="60000"/>
              </a:schemeClr>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FinanceChart!$I$64:$I$71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6-4E52-489D-889A-5364A635BD8F}"/>
            </c:ext>
          </c:extLst>
        </c:ser>
        <c:ser>
          <c:idx val="7"/>
          <c:order val="7"/>
          <c:tx>
            <c:strRef>
              <c:f>FinanceChart!$J$61</c:f>
              <c:strCache>
                <c:ptCount val="1"/>
                <c:pt idx="0">
                  <c:v>ENTRETIEN</c:v>
                </c:pt>
              </c:strCache>
            </c:strRef>
          </c:tx>
          <c:spPr>
            <a:solidFill>
              <a:schemeClr val="accent2">
                <a:lumMod val="60000"/>
              </a:schemeClr>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FinanceChart!$J$64:$J$71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7-4E52-489D-889A-5364A635BD8F}"/>
            </c:ext>
          </c:extLst>
        </c:ser>
        <c:ser>
          <c:idx val="8"/>
          <c:order val="8"/>
          <c:tx>
            <c:strRef>
              <c:f>FinanceChart!$K$61</c:f>
              <c:strCache>
                <c:ptCount val="1"/>
                <c:pt idx="0">
                  <c:v>TIERCES PARTIES</c:v>
                </c:pt>
              </c:strCache>
            </c:strRef>
          </c:tx>
          <c:spPr>
            <a:solidFill>
              <a:schemeClr val="accent3">
                <a:lumMod val="60000"/>
              </a:schemeClr>
            </a:solidFill>
            <a:ln>
              <a:noFill/>
            </a:ln>
            <a:effectLst/>
          </c:spPr>
          <c:invertIfNegative val="0"/>
          <c:cat>
            <c:numRef>
              <c:f>FinanceChart!$B$64:$B$71</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FinanceChart!$K$64:$K$71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4E52-489D-889A-5364A635BD8F}"/>
            </c:ext>
          </c:extLst>
        </c:ser>
        <c:dLbls>
          <c:showLegendKey val="0"/>
          <c:showVal val="0"/>
          <c:showCatName val="0"/>
          <c:showSerName val="0"/>
          <c:showPercent val="0"/>
          <c:showBubbleSize val="0"/>
        </c:dLbls>
        <c:gapWidth val="150"/>
        <c:overlap val="100"/>
        <c:axId val="1386298240"/>
        <c:axId val="1386293920"/>
      </c:barChart>
      <c:catAx>
        <c:axId val="138629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1386293920"/>
        <c:crosses val="autoZero"/>
        <c:auto val="1"/>
        <c:lblAlgn val="ctr"/>
        <c:lblOffset val="100"/>
        <c:noMultiLvlLbl val="0"/>
      </c:catAx>
      <c:valAx>
        <c:axId val="1386293920"/>
        <c:scaling>
          <c:orientation val="minMax"/>
        </c:scaling>
        <c:delete val="0"/>
        <c:axPos val="l"/>
        <c:majorGridlines>
          <c:spPr>
            <a:ln w="9525" cap="flat" cmpd="sng" algn="ctr">
              <a:solidFill>
                <a:schemeClr val="tx1">
                  <a:lumMod val="15000"/>
                  <a:lumOff val="85000"/>
                </a:schemeClr>
              </a:solidFill>
              <a:round/>
            </a:ln>
            <a:effectLst/>
          </c:spPr>
        </c:majorGridlines>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13862982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B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FinanceChart!$B$11</c:f>
          <c:strCache>
            <c:ptCount val="1"/>
            <c:pt idx="0">
              <c:v>COMPTE DE PERTES ET PROFITS | CAS TYPIQUE SCENARIO DE SIMULATION</c:v>
            </c:pt>
          </c:strCache>
        </c:strRef>
      </c:tx>
      <c:overlay val="1"/>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B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B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468185408862727E-2"/>
          <c:y val="9.0416013071895424E-2"/>
          <c:w val="0.88669744922661364"/>
          <c:h val="0.45479199346405236"/>
        </c:manualLayout>
      </c:layout>
      <c:barChart>
        <c:barDir val="col"/>
        <c:grouping val="clustered"/>
        <c:varyColors val="0"/>
        <c:ser>
          <c:idx val="2"/>
          <c:order val="0"/>
          <c:tx>
            <c:strRef>
              <c:f>FinanceChart!$B$24</c:f>
              <c:strCache>
                <c:ptCount val="1"/>
                <c:pt idx="0">
                  <c:v>CHIFFRE D'AFFAIRES</c:v>
                </c:pt>
              </c:strCache>
            </c:strRef>
          </c:tx>
          <c:spPr>
            <a:solidFill>
              <a:schemeClr val="accent3"/>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FinanceChart!$C$24:$J$24</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A59-4063-8607-AA09B94663B2}"/>
            </c:ext>
          </c:extLst>
        </c:ser>
        <c:ser>
          <c:idx val="3"/>
          <c:order val="1"/>
          <c:tx>
            <c:strRef>
              <c:f>FinanceChart!$B$25</c:f>
              <c:strCache>
                <c:ptCount val="1"/>
                <c:pt idx="0">
                  <c:v>DEPENSES SUR ACHATS</c:v>
                </c:pt>
              </c:strCache>
            </c:strRef>
          </c:tx>
          <c:spPr>
            <a:solidFill>
              <a:schemeClr val="accent4"/>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FinanceChart!$C$25:$J$25</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AA59-4063-8607-AA09B94663B2}"/>
            </c:ext>
          </c:extLst>
        </c:ser>
        <c:ser>
          <c:idx val="4"/>
          <c:order val="2"/>
          <c:tx>
            <c:strRef>
              <c:f>FinanceChart!$B$26</c:f>
              <c:strCache>
                <c:ptCount val="1"/>
                <c:pt idx="0">
                  <c:v>MARGE BRUTE</c:v>
                </c:pt>
              </c:strCache>
            </c:strRef>
          </c:tx>
          <c:spPr>
            <a:solidFill>
              <a:schemeClr val="accent5"/>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FinanceChart!$C$26:$J$26</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5-AA59-4063-8607-AA09B94663B2}"/>
            </c:ext>
          </c:extLst>
        </c:ser>
        <c:ser>
          <c:idx val="5"/>
          <c:order val="3"/>
          <c:tx>
            <c:strRef>
              <c:f>FinanceChart!$B$27</c:f>
              <c:strCache>
                <c:ptCount val="1"/>
                <c:pt idx="0">
                  <c:v>DEPENSES OPERATIONNELLES</c:v>
                </c:pt>
              </c:strCache>
            </c:strRef>
          </c:tx>
          <c:spPr>
            <a:solidFill>
              <a:schemeClr val="accent6"/>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FinanceChart!$C$27:$J$27</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6-AA59-4063-8607-AA09B94663B2}"/>
            </c:ext>
          </c:extLst>
        </c:ser>
        <c:ser>
          <c:idx val="6"/>
          <c:order val="4"/>
          <c:tx>
            <c:strRef>
              <c:f>FinanceChart!$B$28</c:f>
              <c:strCache>
                <c:ptCount val="1"/>
                <c:pt idx="0">
                  <c:v>EBITDA</c:v>
                </c:pt>
              </c:strCache>
            </c:strRef>
          </c:tx>
          <c:spPr>
            <a:solidFill>
              <a:schemeClr val="accent1">
                <a:lumMod val="60000"/>
              </a:schemeClr>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FinanceChart!$C$28:$J$28</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7-AA59-4063-8607-AA09B94663B2}"/>
            </c:ext>
          </c:extLst>
        </c:ser>
        <c:ser>
          <c:idx val="7"/>
          <c:order val="5"/>
          <c:tx>
            <c:strRef>
              <c:f>FinanceChart!$B$29</c:f>
              <c:strCache>
                <c:ptCount val="1"/>
                <c:pt idx="0">
                  <c:v>EBIT</c:v>
                </c:pt>
              </c:strCache>
            </c:strRef>
          </c:tx>
          <c:spPr>
            <a:solidFill>
              <a:schemeClr val="accent2">
                <a:lumMod val="60000"/>
              </a:schemeClr>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FinanceChart!$C$29:$J$29</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AA59-4063-8607-AA09B94663B2}"/>
            </c:ext>
          </c:extLst>
        </c:ser>
        <c:ser>
          <c:idx val="8"/>
          <c:order val="6"/>
          <c:tx>
            <c:strRef>
              <c:f>FinanceChart!$B$30</c:f>
              <c:strCache>
                <c:ptCount val="1"/>
                <c:pt idx="0">
                  <c:v>BENEFICE AVANT IMPOT</c:v>
                </c:pt>
              </c:strCache>
            </c:strRef>
          </c:tx>
          <c:spPr>
            <a:solidFill>
              <a:schemeClr val="accent3">
                <a:lumMod val="60000"/>
              </a:schemeClr>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FinanceChart!$C$30:$J$30</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A665-4C66-92FD-225F410B7BB2}"/>
            </c:ext>
          </c:extLst>
        </c:ser>
        <c:ser>
          <c:idx val="0"/>
          <c:order val="7"/>
          <c:tx>
            <c:strRef>
              <c:f>FinanceChart!$B$31</c:f>
              <c:strCache>
                <c:ptCount val="1"/>
                <c:pt idx="0">
                  <c:v>BENEFICE NET</c:v>
                </c:pt>
              </c:strCache>
            </c:strRef>
          </c:tx>
          <c:spPr>
            <a:solidFill>
              <a:schemeClr val="accent1"/>
            </a:solidFill>
            <a:ln>
              <a:noFill/>
            </a:ln>
            <a:effectLst/>
          </c:spPr>
          <c:invertIfNegative val="0"/>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FinanceChart!$C$31:$J$31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ED8-425D-AAFA-28434CE89F08}"/>
            </c:ext>
          </c:extLst>
        </c:ser>
        <c:dLbls>
          <c:showLegendKey val="0"/>
          <c:showVal val="0"/>
          <c:showCatName val="0"/>
          <c:showSerName val="0"/>
          <c:showPercent val="0"/>
          <c:showBubbleSize val="0"/>
        </c:dLbls>
        <c:gapWidth val="219"/>
        <c:axId val="848463384"/>
        <c:axId val="848463744"/>
      </c:barChart>
      <c:lineChart>
        <c:grouping val="standard"/>
        <c:varyColors val="0"/>
        <c:ser>
          <c:idx val="9"/>
          <c:order val="8"/>
          <c:tx>
            <c:strRef>
              <c:f>FinanceChart!$B$32</c:f>
              <c:strCache>
                <c:ptCount val="1"/>
                <c:pt idx="0">
                  <c:v>BENEFICE NET / REVENUS</c:v>
                </c:pt>
              </c:strCache>
            </c:strRef>
          </c:tx>
          <c:spPr>
            <a:ln w="28575" cap="rnd">
              <a:solidFill>
                <a:schemeClr val="accent4">
                  <a:lumMod val="60000"/>
                </a:schemeClr>
              </a:solidFill>
              <a:round/>
            </a:ln>
            <a:effectLst/>
          </c:spPr>
          <c:marker>
            <c:symbol val="none"/>
          </c:marker>
          <c:cat>
            <c:numRef>
              <c:f>FinanceChart!$C$12:$J$12</c:f>
              <c:numCache>
                <c:formatCode>General</c:formatCode>
                <c:ptCount val="8"/>
                <c:pt idx="0">
                  <c:v>2023</c:v>
                </c:pt>
                <c:pt idx="1">
                  <c:v>2024</c:v>
                </c:pt>
                <c:pt idx="2">
                  <c:v>2025</c:v>
                </c:pt>
                <c:pt idx="3">
                  <c:v>2026</c:v>
                </c:pt>
                <c:pt idx="4">
                  <c:v>2027</c:v>
                </c:pt>
                <c:pt idx="5">
                  <c:v>2028</c:v>
                </c:pt>
                <c:pt idx="6">
                  <c:v>2029</c:v>
                </c:pt>
                <c:pt idx="7">
                  <c:v>2030</c:v>
                </c:pt>
              </c:numCache>
            </c:numRef>
          </c:cat>
          <c:val>
            <c:numRef>
              <c:f>FinanceChart!$C$32:$J$32</c:f>
              <c:numCache>
                <c:formatCode>0.0%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BED8-425D-AAFA-28434CE89F08}"/>
            </c:ext>
          </c:extLst>
        </c:ser>
        <c:dLbls>
          <c:showLegendKey val="0"/>
          <c:showVal val="0"/>
          <c:showCatName val="0"/>
          <c:showSerName val="0"/>
          <c:showPercent val="0"/>
          <c:showBubbleSize val="0"/>
        </c:dLbls>
        <c:marker val="1"/>
        <c:smooth val="0"/>
        <c:axId val="1645730703"/>
        <c:axId val="1645723983"/>
      </c:lineChart>
      <c:catAx>
        <c:axId val="848463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848463744"/>
        <c:crosses val="autoZero"/>
        <c:auto val="1"/>
        <c:lblAlgn val="ctr"/>
        <c:lblOffset val="100"/>
        <c:noMultiLvlLbl val="0"/>
      </c:catAx>
      <c:valAx>
        <c:axId val="848463744"/>
        <c:scaling>
          <c:orientation val="minMax"/>
        </c:scaling>
        <c:delete val="0"/>
        <c:axPos val="l"/>
        <c:majorGridlines>
          <c:spPr>
            <a:ln w="9525" cap="flat" cmpd="sng" algn="ctr">
              <a:solidFill>
                <a:schemeClr val="tx1">
                  <a:lumMod val="15000"/>
                  <a:lumOff val="85000"/>
                </a:schemeClr>
              </a:solidFill>
              <a:round/>
            </a:ln>
            <a:effectLst/>
          </c:spPr>
        </c:majorGridlines>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848463384"/>
        <c:crosses val="autoZero"/>
        <c:crossBetween val="between"/>
      </c:valAx>
      <c:valAx>
        <c:axId val="164572398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1645730703"/>
        <c:crosses val="max"/>
        <c:crossBetween val="between"/>
      </c:valAx>
      <c:catAx>
        <c:axId val="1645730703"/>
        <c:scaling>
          <c:orientation val="minMax"/>
        </c:scaling>
        <c:delete val="1"/>
        <c:axPos val="b"/>
        <c:numFmt formatCode="General" sourceLinked="1"/>
        <c:majorTickMark val="out"/>
        <c:minorTickMark val="none"/>
        <c:tickLblPos val="nextTo"/>
        <c:crossAx val="1645723983"/>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solidFill>
          <a:schemeClr val="bg1">
            <a:lumMod val="95000"/>
          </a:schemeClr>
        </a:solidFill>
        <a:ln>
          <a:noFill/>
        </a:ln>
        <a:effectLst/>
      </c:spPr>
    </c:plotArea>
    <c:plotVisOnly val="1"/>
    <c:dispBlanksAs val="gap"/>
    <c:showDLblsOverMax val="0"/>
    <c:extLst/>
  </c:chart>
  <c:spPr>
    <a:solidFill>
      <a:schemeClr val="bg1">
        <a:lumMod val="95000"/>
      </a:schemeClr>
    </a:solidFill>
    <a:ln w="9525" cap="flat" cmpd="sng" algn="ctr">
      <a:noFill/>
      <a:round/>
    </a:ln>
    <a:effectLst/>
  </c:spPr>
  <c:txPr>
    <a:bodyPr/>
    <a:lstStyle/>
    <a:p>
      <a:pPr>
        <a:defRPr/>
      </a:pPr>
      <a:endParaRPr lang="en-BE"/>
    </a:p>
  </c:txPr>
  <c:printSettings>
    <c:headerFooter/>
    <c:pageMargins b="0.75" l="0.7" r="0.7" t="0.75" header="0.3" footer="0.3"/>
    <c:pageSetup orientation="portrait"/>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FinanceEUR!$B$98</c:f>
          <c:strCache>
            <c:ptCount val="1"/>
            <c:pt idx="0">
              <c:v>EFFECTIF
TYPICAL CASE SCENARIO DE SIMULATION</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BE"/>
        </a:p>
      </c:txPr>
    </c:title>
    <c:autoTitleDeleted val="0"/>
    <c:plotArea>
      <c:layout>
        <c:manualLayout>
          <c:layoutTarget val="inner"/>
          <c:xMode val="edge"/>
          <c:yMode val="edge"/>
          <c:x val="5.8928258967629044E-2"/>
          <c:y val="9.7467171717171716E-2"/>
          <c:w val="0.8966272965879265"/>
          <c:h val="0.66244360269360281"/>
        </c:manualLayout>
      </c:layout>
      <c:barChart>
        <c:barDir val="col"/>
        <c:grouping val="clustered"/>
        <c:varyColors val="0"/>
        <c:ser>
          <c:idx val="0"/>
          <c:order val="0"/>
          <c:tx>
            <c:strRef>
              <c:f>FinanceEUR!$B$95</c:f>
              <c:strCache>
                <c:ptCount val="1"/>
                <c:pt idx="0">
                  <c:v>DEBUT DE LA PERIODE</c:v>
                </c:pt>
              </c:strCache>
            </c:strRef>
          </c:tx>
          <c:spPr>
            <a:solidFill>
              <a:schemeClr val="tx2">
                <a:lumMod val="50000"/>
                <a:lumOff val="50000"/>
              </a:schemeClr>
            </a:solidFill>
            <a:ln>
              <a:solidFill>
                <a:schemeClr val="tx2">
                  <a:lumMod val="50000"/>
                  <a:lumOff val="50000"/>
                </a:schemeClr>
              </a:solidFill>
            </a:ln>
            <a:effectLst/>
          </c:spPr>
          <c:invertIfNegative val="0"/>
          <c:cat>
            <c:numRef>
              <c:f>FinanceEUR!$E$94:$J$94</c:f>
              <c:numCache>
                <c:formatCode>General</c:formatCode>
                <c:ptCount val="6"/>
                <c:pt idx="0">
                  <c:v>2025</c:v>
                </c:pt>
                <c:pt idx="1">
                  <c:v>2026</c:v>
                </c:pt>
                <c:pt idx="2">
                  <c:v>2027</c:v>
                </c:pt>
                <c:pt idx="3">
                  <c:v>2028</c:v>
                </c:pt>
                <c:pt idx="4">
                  <c:v>2029</c:v>
                </c:pt>
                <c:pt idx="5">
                  <c:v>2030</c:v>
                </c:pt>
              </c:numCache>
            </c:numRef>
          </c:cat>
          <c:val>
            <c:numRef>
              <c:f>FinanceEUR!$E$95:$J$95</c:f>
              <c:numCache>
                <c:formatCode>#,##0.0_ ;[Red]\-#,##0.0\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55A-4478-B81D-6F723EF0216D}"/>
            </c:ext>
          </c:extLst>
        </c:ser>
        <c:ser>
          <c:idx val="1"/>
          <c:order val="1"/>
          <c:tx>
            <c:strRef>
              <c:f>FinanceEUR!$B$96</c:f>
              <c:strCache>
                <c:ptCount val="1"/>
                <c:pt idx="0">
                  <c:v>FIN DE LA PERIODE</c:v>
                </c:pt>
              </c:strCache>
            </c:strRef>
          </c:tx>
          <c:spPr>
            <a:solidFill>
              <a:srgbClr val="1E3249"/>
            </a:solidFill>
            <a:ln>
              <a:solidFill>
                <a:srgbClr val="1E3249"/>
              </a:solidFill>
            </a:ln>
            <a:effectLst/>
          </c:spPr>
          <c:invertIfNegative val="0"/>
          <c:cat>
            <c:numRef>
              <c:f>FinanceEUR!$E$94:$J$94</c:f>
              <c:numCache>
                <c:formatCode>General</c:formatCode>
                <c:ptCount val="6"/>
                <c:pt idx="0">
                  <c:v>2025</c:v>
                </c:pt>
                <c:pt idx="1">
                  <c:v>2026</c:v>
                </c:pt>
                <c:pt idx="2">
                  <c:v>2027</c:v>
                </c:pt>
                <c:pt idx="3">
                  <c:v>2028</c:v>
                </c:pt>
                <c:pt idx="4">
                  <c:v>2029</c:v>
                </c:pt>
                <c:pt idx="5">
                  <c:v>2030</c:v>
                </c:pt>
              </c:numCache>
            </c:numRef>
          </c:cat>
          <c:val>
            <c:numRef>
              <c:f>FinanceEUR!$E$96:$J$96</c:f>
              <c:numCache>
                <c:formatCode>#,##0.0_ ;[Red]\-#,##0.0\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755A-4478-B81D-6F723EF0216D}"/>
            </c:ext>
          </c:extLst>
        </c:ser>
        <c:dLbls>
          <c:showLegendKey val="0"/>
          <c:showVal val="0"/>
          <c:showCatName val="0"/>
          <c:showSerName val="0"/>
          <c:showPercent val="0"/>
          <c:showBubbleSize val="0"/>
        </c:dLbls>
        <c:gapWidth val="219"/>
        <c:overlap val="-27"/>
        <c:axId val="1126361184"/>
        <c:axId val="1126362272"/>
      </c:barChart>
      <c:catAx>
        <c:axId val="112636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fr-FR"/>
          </a:p>
        </c:txPr>
        <c:crossAx val="1126362272"/>
        <c:crosses val="autoZero"/>
        <c:auto val="1"/>
        <c:lblAlgn val="ctr"/>
        <c:lblOffset val="100"/>
        <c:noMultiLvlLbl val="0"/>
      </c:catAx>
      <c:valAx>
        <c:axId val="1126362272"/>
        <c:scaling>
          <c:orientation val="minMax"/>
        </c:scaling>
        <c:delete val="0"/>
        <c:axPos val="l"/>
        <c:majorGridlines>
          <c:spPr>
            <a:ln w="9525" cap="flat" cmpd="sng" algn="ctr">
              <a:solidFill>
                <a:schemeClr val="tx1">
                  <a:lumMod val="15000"/>
                  <a:lumOff val="85000"/>
                </a:schemeClr>
              </a:solidFill>
              <a:round/>
            </a:ln>
            <a:effectLst/>
          </c:spPr>
        </c:majorGridlines>
        <c:numFmt formatCode="#,##0.0_ ;[Red]\-#,##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fr-FR"/>
          </a:p>
        </c:txPr>
        <c:crossAx val="11263611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noFill/>
        <a:ln>
          <a:noFill/>
        </a:ln>
        <a:effectLst/>
      </c:spPr>
    </c:plotArea>
    <c:plotVisOnly val="1"/>
    <c:dispBlanksAs val="gap"/>
    <c:showDLblsOverMax val="0"/>
  </c:chart>
  <c:spPr>
    <a:solidFill>
      <a:schemeClr val="bg1">
        <a:lumMod val="95000"/>
      </a:schemeClr>
    </a:solidFill>
    <a:ln w="9525" cap="flat" cmpd="sng" algn="ctr">
      <a:solidFill>
        <a:srgbClr val="1E3249"/>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FinanceEUR!$B$58</c:f>
          <c:strCache>
            <c:ptCount val="1"/>
            <c:pt idx="0">
              <c:v>COMPTE DE PERTES ET PROFITS + POSITION DE TRESORERIE FIN DE PERIODE
TYPICAL CASE SCENARIO DE SIMULATION</c:v>
            </c:pt>
          </c:strCache>
        </c:strRef>
      </c:tx>
      <c:layout>
        <c:manualLayout>
          <c:xMode val="edge"/>
          <c:yMode val="edge"/>
          <c:x val="0.24516509964727259"/>
          <c:y val="2.034171183928915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fr-FR"/>
        </a:p>
      </c:txPr>
    </c:title>
    <c:autoTitleDeleted val="0"/>
    <c:plotArea>
      <c:layout>
        <c:manualLayout>
          <c:layoutTarget val="inner"/>
          <c:xMode val="edge"/>
          <c:yMode val="edge"/>
          <c:x val="0.22214187743847405"/>
          <c:y val="0.12359060402684564"/>
          <c:w val="0.76603906363949859"/>
          <c:h val="0.64451603281133485"/>
        </c:manualLayout>
      </c:layout>
      <c:barChart>
        <c:barDir val="col"/>
        <c:grouping val="clustered"/>
        <c:varyColors val="0"/>
        <c:ser>
          <c:idx val="0"/>
          <c:order val="0"/>
          <c:tx>
            <c:strRef>
              <c:f>FinanceEUR!$B$52</c:f>
              <c:strCache>
                <c:ptCount val="1"/>
                <c:pt idx="0">
                  <c:v>MARGE BRUTE</c:v>
                </c:pt>
              </c:strCache>
            </c:strRef>
          </c:tx>
          <c:spPr>
            <a:solidFill>
              <a:schemeClr val="accent1">
                <a:lumMod val="75000"/>
              </a:schemeClr>
            </a:solidFill>
            <a:ln>
              <a:noFill/>
            </a:ln>
            <a:effectLst/>
          </c:spPr>
          <c:invertIfNegative val="0"/>
          <c:cat>
            <c:numRef>
              <c:f>FinanceEUR!$C$51:$J$51</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FinanceEUR!$C$52:$J$52</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DBB-4083-9C72-C11CE8BBF0D4}"/>
            </c:ext>
          </c:extLst>
        </c:ser>
        <c:ser>
          <c:idx val="1"/>
          <c:order val="1"/>
          <c:tx>
            <c:strRef>
              <c:f>FinanceEUR!$B$53</c:f>
              <c:strCache>
                <c:ptCount val="1"/>
                <c:pt idx="0">
                  <c:v>EBITDA</c:v>
                </c:pt>
              </c:strCache>
            </c:strRef>
          </c:tx>
          <c:spPr>
            <a:solidFill>
              <a:schemeClr val="accent1"/>
            </a:solidFill>
            <a:ln>
              <a:noFill/>
            </a:ln>
            <a:effectLst/>
          </c:spPr>
          <c:invertIfNegative val="0"/>
          <c:cat>
            <c:numRef>
              <c:f>FinanceEUR!$C$51:$J$51</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FinanceEUR!$C$53:$J$53</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3DBB-4083-9C72-C11CE8BBF0D4}"/>
            </c:ext>
          </c:extLst>
        </c:ser>
        <c:ser>
          <c:idx val="2"/>
          <c:order val="2"/>
          <c:tx>
            <c:strRef>
              <c:f>FinanceEUR!$B$54</c:f>
              <c:strCache>
                <c:ptCount val="1"/>
                <c:pt idx="0">
                  <c:v>EBIT</c:v>
                </c:pt>
              </c:strCache>
            </c:strRef>
          </c:tx>
          <c:spPr>
            <a:solidFill>
              <a:schemeClr val="accent1">
                <a:lumMod val="60000"/>
                <a:lumOff val="40000"/>
              </a:schemeClr>
            </a:solidFill>
            <a:ln>
              <a:noFill/>
            </a:ln>
            <a:effectLst/>
          </c:spPr>
          <c:invertIfNegative val="0"/>
          <c:cat>
            <c:numRef>
              <c:f>FinanceEUR!$C$51:$J$51</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FinanceEUR!$C$54:$J$54</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3DBB-4083-9C72-C11CE8BBF0D4}"/>
            </c:ext>
          </c:extLst>
        </c:ser>
        <c:ser>
          <c:idx val="3"/>
          <c:order val="3"/>
          <c:tx>
            <c:strRef>
              <c:f>FinanceEUR!$B$55</c:f>
              <c:strCache>
                <c:ptCount val="1"/>
                <c:pt idx="0">
                  <c:v>BENEFICE NET</c:v>
                </c:pt>
              </c:strCache>
            </c:strRef>
          </c:tx>
          <c:spPr>
            <a:solidFill>
              <a:schemeClr val="accent1">
                <a:lumMod val="20000"/>
                <a:lumOff val="80000"/>
              </a:schemeClr>
            </a:solidFill>
            <a:ln>
              <a:noFill/>
            </a:ln>
            <a:effectLst/>
          </c:spPr>
          <c:invertIfNegative val="0"/>
          <c:cat>
            <c:numRef>
              <c:f>FinanceEUR!$C$51:$J$51</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FinanceEUR!$C$55:$J$55</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3DBB-4083-9C72-C11CE8BBF0D4}"/>
            </c:ext>
          </c:extLst>
        </c:ser>
        <c:ser>
          <c:idx val="4"/>
          <c:order val="4"/>
          <c:tx>
            <c:strRef>
              <c:f>FinanceEUR!$B$56</c:f>
              <c:strCache>
                <c:ptCount val="1"/>
                <c:pt idx="0">
                  <c:v>POSITION DE TRESORERIE FIN DE PERIODE</c:v>
                </c:pt>
              </c:strCache>
            </c:strRef>
          </c:tx>
          <c:spPr>
            <a:solidFill>
              <a:schemeClr val="accent5">
                <a:lumMod val="75000"/>
              </a:schemeClr>
            </a:solidFill>
            <a:ln>
              <a:noFill/>
            </a:ln>
            <a:effectLst/>
          </c:spPr>
          <c:invertIfNegative val="0"/>
          <c:cat>
            <c:numRef>
              <c:f>FinanceEUR!$C$51:$J$51</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FinanceEUR!$C$56:$J$56</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3DBB-4083-9C72-C11CE8BBF0D4}"/>
            </c:ext>
          </c:extLst>
        </c:ser>
        <c:dLbls>
          <c:showLegendKey val="0"/>
          <c:showVal val="0"/>
          <c:showCatName val="0"/>
          <c:showSerName val="0"/>
          <c:showPercent val="0"/>
          <c:showBubbleSize val="0"/>
        </c:dLbls>
        <c:gapWidth val="219"/>
        <c:overlap val="-27"/>
        <c:axId val="1069038096"/>
        <c:axId val="1069036464"/>
      </c:barChart>
      <c:catAx>
        <c:axId val="106903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fr-FR"/>
          </a:p>
        </c:txPr>
        <c:crossAx val="1069036464"/>
        <c:crosses val="autoZero"/>
        <c:auto val="1"/>
        <c:lblAlgn val="ctr"/>
        <c:lblOffset val="100"/>
        <c:noMultiLvlLbl val="0"/>
      </c:catAx>
      <c:valAx>
        <c:axId val="106903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400" b="1">
                    <a:solidFill>
                      <a:sysClr val="windowText" lastClr="000000"/>
                    </a:solidFill>
                    <a:latin typeface="Arial" panose="020B0604020202020204" pitchFamily="34" charset="0"/>
                    <a:cs typeface="Arial" panose="020B0604020202020204" pitchFamily="34" charset="0"/>
                  </a:rPr>
                  <a:t>EUR</a:t>
                </a:r>
              </a:p>
            </c:rich>
          </c:tx>
          <c:layout>
            <c:manualLayout>
              <c:xMode val="edge"/>
              <c:yMode val="edge"/>
              <c:x val="0.10165642799443514"/>
              <c:y val="0.1780580808080808"/>
            </c:manualLayout>
          </c:layout>
          <c:overlay val="0"/>
          <c:spPr>
            <a:noFill/>
            <a:ln>
              <a:noFill/>
            </a:ln>
            <a:effectLst/>
          </c:spPr>
          <c:txPr>
            <a:bodyPr rot="0" spcFirstLastPara="1" vertOverflow="ellipsis"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title>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fr-FR"/>
          </a:p>
        </c:txPr>
        <c:crossAx val="10690380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noFill/>
        <a:ln>
          <a:noFill/>
        </a:ln>
        <a:effectLst/>
      </c:spPr>
    </c:plotArea>
    <c:plotVisOnly val="1"/>
    <c:dispBlanksAs val="gap"/>
    <c:showDLblsOverMax val="0"/>
  </c:chart>
  <c:spPr>
    <a:solidFill>
      <a:schemeClr val="bg1">
        <a:lumMod val="95000"/>
      </a:schemeClr>
    </a:solidFill>
    <a:ln w="9525" cap="flat" cmpd="sng" algn="ctr">
      <a:solidFill>
        <a:srgbClr val="1E3249"/>
      </a:solidFill>
      <a:round/>
    </a:ln>
    <a:effectLst/>
  </c:spPr>
  <c:txPr>
    <a:bodyPr/>
    <a:lstStyle/>
    <a:p>
      <a:pPr>
        <a:defRPr/>
      </a:pPr>
      <a:endParaRPr lang="fr-FR"/>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FinanceEUR!$B$15</c:f>
          <c:strCache>
            <c:ptCount val="1"/>
            <c:pt idx="0">
              <c:v>CHIFFRE D'AFFAIRES EN EUR
TYPICAL CASE SCENARIO DE SIMULATION</c:v>
            </c:pt>
          </c:strCache>
        </c:strRef>
      </c:tx>
      <c:layout>
        <c:manualLayout>
          <c:xMode val="edge"/>
          <c:yMode val="edge"/>
          <c:x val="0.36058530488986745"/>
          <c:y val="3.262082051385474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fr-FR"/>
        </a:p>
      </c:txPr>
    </c:title>
    <c:autoTitleDeleted val="0"/>
    <c:plotArea>
      <c:layout>
        <c:manualLayout>
          <c:layoutTarget val="inner"/>
          <c:xMode val="edge"/>
          <c:yMode val="edge"/>
          <c:x val="0.22950463506773158"/>
          <c:y val="0.12238434596353615"/>
          <c:w val="0.82992643502380858"/>
          <c:h val="0.71006253996623669"/>
        </c:manualLayout>
      </c:layout>
      <c:barChart>
        <c:barDir val="col"/>
        <c:grouping val="clustered"/>
        <c:varyColors val="0"/>
        <c:ser>
          <c:idx val="0"/>
          <c:order val="0"/>
          <c:tx>
            <c:strRef>
              <c:f>FinanceEUR!$B$11</c:f>
              <c:strCache>
                <c:ptCount val="1"/>
                <c:pt idx="0">
                  <c:v>CHIFFRE D'AFFAIRES</c:v>
                </c:pt>
              </c:strCache>
            </c:strRef>
          </c:tx>
          <c:spPr>
            <a:solidFill>
              <a:srgbClr val="196B24"/>
            </a:solidFill>
            <a:ln>
              <a:solidFill>
                <a:srgbClr val="196B24"/>
              </a:solidFill>
            </a:ln>
            <a:effectLst/>
          </c:spPr>
          <c:invertIfNegative val="0"/>
          <c:cat>
            <c:numRef>
              <c:f>FinanceEUR!$C$10:$J$10</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FinanceEUR!$C$11:$J$11</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DBB-4083-9C72-C11CE8BBF0D4}"/>
            </c:ext>
          </c:extLst>
        </c:ser>
        <c:ser>
          <c:idx val="1"/>
          <c:order val="1"/>
          <c:tx>
            <c:strRef>
              <c:f>FinanceEUR!$B$12</c:f>
              <c:strCache>
                <c:ptCount val="1"/>
                <c:pt idx="0">
                  <c:v>BREAK-EVEN CHIFFRE D'AFFAIRES</c:v>
                </c:pt>
              </c:strCache>
            </c:strRef>
          </c:tx>
          <c:spPr>
            <a:solidFill>
              <a:srgbClr val="4EA72E">
                <a:lumMod val="60000"/>
                <a:lumOff val="40000"/>
              </a:srgbClr>
            </a:solidFill>
            <a:ln>
              <a:solidFill>
                <a:srgbClr val="4EA72E">
                  <a:lumMod val="60000"/>
                  <a:lumOff val="40000"/>
                </a:srgbClr>
              </a:solidFill>
            </a:ln>
            <a:effectLst/>
          </c:spPr>
          <c:invertIfNegative val="0"/>
          <c:cat>
            <c:numRef>
              <c:f>FinanceEUR!$C$10:$J$10</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FinanceEUR!$C$12:$J$12</c:f>
              <c:numCache>
                <c:formatCode>#,##0_ ;[Red]\-#,##0\ </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3DBB-4083-9C72-C11CE8BBF0D4}"/>
            </c:ext>
          </c:extLst>
        </c:ser>
        <c:dLbls>
          <c:showLegendKey val="0"/>
          <c:showVal val="0"/>
          <c:showCatName val="0"/>
          <c:showSerName val="0"/>
          <c:showPercent val="0"/>
          <c:showBubbleSize val="0"/>
        </c:dLbls>
        <c:gapWidth val="219"/>
        <c:axId val="1069038096"/>
        <c:axId val="1069036464"/>
      </c:barChart>
      <c:lineChart>
        <c:grouping val="standard"/>
        <c:varyColors val="0"/>
        <c:ser>
          <c:idx val="2"/>
          <c:order val="2"/>
          <c:tx>
            <c:strRef>
              <c:f>FinanceEUR!$B$13</c:f>
              <c:strCache>
                <c:ptCount val="1"/>
                <c:pt idx="0">
                  <c:v>RATIO %</c:v>
                </c:pt>
              </c:strCache>
            </c:strRef>
          </c:tx>
          <c:spPr>
            <a:ln w="28575" cap="rnd">
              <a:solidFill>
                <a:srgbClr val="1E3249"/>
              </a:solidFill>
              <a:round/>
            </a:ln>
            <a:effectLst/>
          </c:spPr>
          <c:marker>
            <c:symbol val="none"/>
          </c:marker>
          <c:cat>
            <c:numRef>
              <c:f>FinanceEUR!$C$10:$J$10</c:f>
              <c:numCache>
                <c:formatCode>General</c:formatCode>
                <c:ptCount val="8"/>
                <c:pt idx="0">
                  <c:v>2023</c:v>
                </c:pt>
                <c:pt idx="1">
                  <c:v>2024</c:v>
                </c:pt>
                <c:pt idx="2">
                  <c:v>2025</c:v>
                </c:pt>
                <c:pt idx="3">
                  <c:v>2026</c:v>
                </c:pt>
                <c:pt idx="4">
                  <c:v>2027</c:v>
                </c:pt>
                <c:pt idx="5">
                  <c:v>2028</c:v>
                </c:pt>
                <c:pt idx="6">
                  <c:v>2029</c:v>
                </c:pt>
                <c:pt idx="7">
                  <c:v>2030</c:v>
                </c:pt>
              </c:numCache>
            </c:numRef>
          </c:cat>
          <c:val>
            <c:numRef>
              <c:f>FinanceEUR!$C$13:$J$13</c:f>
              <c:numCache>
                <c:formatCode>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1A52-4BB8-B46B-EE6EE51889C8}"/>
            </c:ext>
          </c:extLst>
        </c:ser>
        <c:dLbls>
          <c:showLegendKey val="0"/>
          <c:showVal val="0"/>
          <c:showCatName val="0"/>
          <c:showSerName val="0"/>
          <c:showPercent val="0"/>
          <c:showBubbleSize val="0"/>
        </c:dLbls>
        <c:marker val="1"/>
        <c:smooth val="0"/>
        <c:axId val="1639375903"/>
        <c:axId val="1954382399"/>
      </c:lineChart>
      <c:catAx>
        <c:axId val="106903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fr-FR"/>
          </a:p>
        </c:txPr>
        <c:crossAx val="1069036464"/>
        <c:crosses val="autoZero"/>
        <c:auto val="1"/>
        <c:lblAlgn val="ctr"/>
        <c:lblOffset val="100"/>
        <c:noMultiLvlLbl val="0"/>
      </c:catAx>
      <c:valAx>
        <c:axId val="106903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400" b="1">
                    <a:solidFill>
                      <a:sysClr val="windowText" lastClr="000000"/>
                    </a:solidFill>
                    <a:latin typeface="Arial" panose="020B0604020202020204" pitchFamily="34" charset="0"/>
                    <a:cs typeface="Arial" panose="020B0604020202020204" pitchFamily="34" charset="0"/>
                  </a:rPr>
                  <a:t>EUR</a:t>
                </a:r>
              </a:p>
            </c:rich>
          </c:tx>
          <c:layout>
            <c:manualLayout>
              <c:xMode val="edge"/>
              <c:yMode val="edge"/>
              <c:x val="3.6531636668084615E-2"/>
              <c:y val="0.18209427609427609"/>
            </c:manualLayout>
          </c:layout>
          <c:overlay val="0"/>
          <c:spPr>
            <a:noFill/>
            <a:ln>
              <a:noFill/>
            </a:ln>
            <a:effectLst/>
          </c:spPr>
          <c:txPr>
            <a:bodyPr rot="0" spcFirstLastPara="1" vertOverflow="ellipsis"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title>
        <c:numFmt formatCode="#,##0_ ;[Red]\-#,##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fr-FR"/>
          </a:p>
        </c:txPr>
        <c:crossAx val="1069038096"/>
        <c:crosses val="autoZero"/>
        <c:crossBetween val="between"/>
      </c:valAx>
      <c:valAx>
        <c:axId val="1954382399"/>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crossAx val="1639375903"/>
        <c:crosses val="max"/>
        <c:crossBetween val="between"/>
      </c:valAx>
      <c:catAx>
        <c:axId val="1639375903"/>
        <c:scaling>
          <c:orientation val="minMax"/>
        </c:scaling>
        <c:delete val="1"/>
        <c:axPos val="b"/>
        <c:numFmt formatCode="General" sourceLinked="1"/>
        <c:majorTickMark val="out"/>
        <c:minorTickMark val="none"/>
        <c:tickLblPos val="nextTo"/>
        <c:crossAx val="1954382399"/>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BE"/>
          </a:p>
        </c:txPr>
      </c:dTable>
      <c:spPr>
        <a:noFill/>
        <a:ln>
          <a:noFill/>
        </a:ln>
        <a:effectLst/>
      </c:spPr>
    </c:plotArea>
    <c:plotVisOnly val="1"/>
    <c:dispBlanksAs val="gap"/>
    <c:showDLblsOverMax val="0"/>
  </c:chart>
  <c:spPr>
    <a:solidFill>
      <a:schemeClr val="bg1">
        <a:lumMod val="95000"/>
      </a:schemeClr>
    </a:solidFill>
    <a:ln w="9525" cap="flat" cmpd="sng" algn="ctr">
      <a:solidFill>
        <a:srgbClr val="1E3249"/>
      </a:solidFill>
      <a:round/>
    </a:ln>
    <a:effectLst/>
  </c:spPr>
  <c:txPr>
    <a:bodyPr/>
    <a:lstStyle/>
    <a:p>
      <a:pPr>
        <a:defRPr/>
      </a:pPr>
      <a:endParaRPr lang="fr-FR"/>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12</xdr:col>
      <xdr:colOff>178593</xdr:colOff>
      <xdr:row>1</xdr:row>
      <xdr:rowOff>107158</xdr:rowOff>
    </xdr:from>
    <xdr:to>
      <xdr:col>12</xdr:col>
      <xdr:colOff>916780</xdr:colOff>
      <xdr:row>3</xdr:row>
      <xdr:rowOff>71439</xdr:rowOff>
    </xdr:to>
    <xdr:sp macro="" textlink="">
      <xdr:nvSpPr>
        <xdr:cNvPr id="2" name="Arrow: Right 1">
          <a:extLst>
            <a:ext uri="{FF2B5EF4-FFF2-40B4-BE49-F238E27FC236}">
              <a16:creationId xmlns:a16="http://schemas.microsoft.com/office/drawing/2014/main" id="{17073599-8092-0E55-634E-64981BB5D81B}"/>
            </a:ext>
          </a:extLst>
        </xdr:cNvPr>
        <xdr:cNvSpPr/>
      </xdr:nvSpPr>
      <xdr:spPr>
        <a:xfrm flipH="1" flipV="1">
          <a:off x="25431749" y="297658"/>
          <a:ext cx="738187" cy="345281"/>
        </a:xfrm>
        <a:prstGeom prst="rightArrow">
          <a:avLst/>
        </a:prstGeom>
        <a:solidFill>
          <a:srgbClr val="FFFF00"/>
        </a:solidFill>
        <a:ln w="9525">
          <a:solidFill>
            <a:srgbClr val="1E324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B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50800</xdr:rowOff>
        </xdr:from>
        <xdr:to>
          <xdr:col>8</xdr:col>
          <xdr:colOff>863600</xdr:colOff>
          <xdr:row>1</xdr:row>
          <xdr:rowOff>203200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FF0000"/>
                  </a:solidFill>
                  <a:latin typeface="Arial" pitchFamily="2" charset="0"/>
                  <a:cs typeface="Arial" pitchFamily="2" charset="0"/>
                </a:rPr>
                <a:t>Refresh All Pivots</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1242842</xdr:colOff>
      <xdr:row>160</xdr:row>
      <xdr:rowOff>50912</xdr:rowOff>
    </xdr:from>
    <xdr:to>
      <xdr:col>11</xdr:col>
      <xdr:colOff>1595439</xdr:colOff>
      <xdr:row>200</xdr:row>
      <xdr:rowOff>107162</xdr:rowOff>
    </xdr:to>
    <xdr:graphicFrame macro="">
      <xdr:nvGraphicFramePr>
        <xdr:cNvPr id="4" name="Chart Revenue Per Business Type">
          <a:extLst>
            <a:ext uri="{FF2B5EF4-FFF2-40B4-BE49-F238E27FC236}">
              <a16:creationId xmlns:a16="http://schemas.microsoft.com/office/drawing/2014/main" id="{0F4F9F8D-32B3-44AF-9139-4C7851B0F2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1242842</xdr:colOff>
      <xdr:row>110</xdr:row>
      <xdr:rowOff>71444</xdr:rowOff>
    </xdr:from>
    <xdr:to>
      <xdr:col>11</xdr:col>
      <xdr:colOff>1595440</xdr:colOff>
      <xdr:row>153</xdr:row>
      <xdr:rowOff>56258</xdr:rowOff>
    </xdr:to>
    <xdr:graphicFrame macro="">
      <xdr:nvGraphicFramePr>
        <xdr:cNvPr id="3" name="Chart Revenue Per Family">
          <a:extLst>
            <a:ext uri="{FF2B5EF4-FFF2-40B4-BE49-F238E27FC236}">
              <a16:creationId xmlns:a16="http://schemas.microsoft.com/office/drawing/2014/main" id="{2CE3CB63-5E30-4913-85DE-C5CA4D44A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1242842</xdr:colOff>
      <xdr:row>12</xdr:row>
      <xdr:rowOff>59537</xdr:rowOff>
    </xdr:from>
    <xdr:to>
      <xdr:col>11</xdr:col>
      <xdr:colOff>1595440</xdr:colOff>
      <xdr:row>54</xdr:row>
      <xdr:rowOff>74631</xdr:rowOff>
    </xdr:to>
    <xdr:graphicFrame macro="">
      <xdr:nvGraphicFramePr>
        <xdr:cNvPr id="2" name="Chart Revenue Per Product-Service">
          <a:extLst>
            <a:ext uri="{FF2B5EF4-FFF2-40B4-BE49-F238E27FC236}">
              <a16:creationId xmlns:a16="http://schemas.microsoft.com/office/drawing/2014/main" id="{D99B366A-CA16-414A-B4F0-456F8EAEBC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35717</xdr:colOff>
      <xdr:row>0</xdr:row>
      <xdr:rowOff>47625</xdr:rowOff>
    </xdr:from>
    <xdr:to>
      <xdr:col>11</xdr:col>
      <xdr:colOff>1571624</xdr:colOff>
      <xdr:row>5</xdr:row>
      <xdr:rowOff>142875</xdr:rowOff>
    </xdr:to>
    <mc:AlternateContent xmlns:mc="http://schemas.openxmlformats.org/markup-compatibility/2006" xmlns:a14="http://schemas.microsoft.com/office/drawing/2010/main">
      <mc:Choice Requires="a14">
        <xdr:graphicFrame macro="">
          <xdr:nvGraphicFramePr>
            <xdr:cNvPr id="6" name="REFERENCE PRODUCT / SERVICE">
              <a:extLst>
                <a:ext uri="{FF2B5EF4-FFF2-40B4-BE49-F238E27FC236}">
                  <a16:creationId xmlns:a16="http://schemas.microsoft.com/office/drawing/2014/main" id="{4722FC9B-8F67-CACF-8571-342CFDFA8EC8}"/>
                </a:ext>
              </a:extLst>
            </xdr:cNvPr>
            <xdr:cNvGraphicFramePr/>
          </xdr:nvGraphicFramePr>
          <xdr:xfrm>
            <a:off x="0" y="0"/>
            <a:ext cx="0" cy="0"/>
          </xdr:xfrm>
          <a:graphic>
            <a:graphicData uri="http://schemas.microsoft.com/office/drawing/2010/slicer">
              <sle:slicer xmlns:sle="http://schemas.microsoft.com/office/drawing/2010/slicer" name="REFERENCE PRODUCT / SERVICE"/>
            </a:graphicData>
          </a:graphic>
        </xdr:graphicFrame>
      </mc:Choice>
      <mc:Fallback xmlns="">
        <xdr:sp macro="" textlink="">
          <xdr:nvSpPr>
            <xdr:cNvPr id="0" name=""/>
            <xdr:cNvSpPr>
              <a:spLocks noTextEdit="1"/>
            </xdr:cNvSpPr>
          </xdr:nvSpPr>
          <xdr:spPr>
            <a:xfrm>
              <a:off x="4583905" y="47625"/>
              <a:ext cx="12787313" cy="1047750"/>
            </a:xfrm>
            <a:prstGeom prst="rect">
              <a:avLst/>
            </a:prstGeom>
            <a:solidFill>
              <a:prstClr val="white"/>
            </a:solidFill>
            <a:ln w="1">
              <a:solidFill>
                <a:prstClr val="green"/>
              </a:solidFill>
            </a:ln>
          </xdr:spPr>
          <xdr:txBody>
            <a:bodyPr vertOverflow="clip" horzOverflow="clip"/>
            <a:lstStyle/>
            <a:p>
              <a:r>
                <a:rPr lang="en-B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1242842</xdr:colOff>
      <xdr:row>60</xdr:row>
      <xdr:rowOff>45244</xdr:rowOff>
    </xdr:from>
    <xdr:to>
      <xdr:col>11</xdr:col>
      <xdr:colOff>1595436</xdr:colOff>
      <xdr:row>102</xdr:row>
      <xdr:rowOff>60338</xdr:rowOff>
    </xdr:to>
    <xdr:graphicFrame macro="">
      <xdr:nvGraphicFramePr>
        <xdr:cNvPr id="5" name="Chart 4">
          <a:extLst>
            <a:ext uri="{FF2B5EF4-FFF2-40B4-BE49-F238E27FC236}">
              <a16:creationId xmlns:a16="http://schemas.microsoft.com/office/drawing/2014/main" id="{EADB172C-9CA8-21B9-B714-0271F03E95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63500</xdr:colOff>
          <xdr:row>1</xdr:row>
          <xdr:rowOff>63500</xdr:rowOff>
        </xdr:from>
        <xdr:to>
          <xdr:col>4</xdr:col>
          <xdr:colOff>2552700</xdr:colOff>
          <xdr:row>1</xdr:row>
          <xdr:rowOff>482600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FF0000"/>
                  </a:solidFill>
                  <a:latin typeface="Arial" pitchFamily="2" charset="0"/>
                  <a:cs typeface="Arial" pitchFamily="2" charset="0"/>
                </a:rPr>
                <a:t>Refresh All Pivots</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10686</xdr:colOff>
      <xdr:row>137</xdr:row>
      <xdr:rowOff>43969</xdr:rowOff>
    </xdr:from>
    <xdr:to>
      <xdr:col>11</xdr:col>
      <xdr:colOff>921489</xdr:colOff>
      <xdr:row>167</xdr:row>
      <xdr:rowOff>83344</xdr:rowOff>
    </xdr:to>
    <xdr:graphicFrame macro="">
      <xdr:nvGraphicFramePr>
        <xdr:cNvPr id="9" name="Chart Cash flow Statement">
          <a:extLst>
            <a:ext uri="{FF2B5EF4-FFF2-40B4-BE49-F238E27FC236}">
              <a16:creationId xmlns:a16="http://schemas.microsoft.com/office/drawing/2014/main" id="{6FC1CF97-B4AD-A579-3785-CE62E8D4B3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10686</xdr:colOff>
      <xdr:row>107</xdr:row>
      <xdr:rowOff>86915</xdr:rowOff>
    </xdr:from>
    <xdr:to>
      <xdr:col>11</xdr:col>
      <xdr:colOff>921487</xdr:colOff>
      <xdr:row>132</xdr:row>
      <xdr:rowOff>99945</xdr:rowOff>
    </xdr:to>
    <xdr:graphicFrame macro="">
      <xdr:nvGraphicFramePr>
        <xdr:cNvPr id="4" name="Chart Staff">
          <a:extLst>
            <a:ext uri="{FF2B5EF4-FFF2-40B4-BE49-F238E27FC236}">
              <a16:creationId xmlns:a16="http://schemas.microsoft.com/office/drawing/2014/main" id="{7B1A7EA3-1062-1E0F-6901-FB1EC9E616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10686</xdr:colOff>
      <xdr:row>59</xdr:row>
      <xdr:rowOff>33339</xdr:rowOff>
    </xdr:from>
    <xdr:to>
      <xdr:col>11</xdr:col>
      <xdr:colOff>921490</xdr:colOff>
      <xdr:row>88</xdr:row>
      <xdr:rowOff>142878</xdr:rowOff>
    </xdr:to>
    <xdr:graphicFrame macro="">
      <xdr:nvGraphicFramePr>
        <xdr:cNvPr id="8" name="Chart Operating Expenses">
          <a:extLst>
            <a:ext uri="{FF2B5EF4-FFF2-40B4-BE49-F238E27FC236}">
              <a16:creationId xmlns:a16="http://schemas.microsoft.com/office/drawing/2014/main" id="{6B36DC95-757D-6B44-922D-DB9C579617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10686</xdr:colOff>
      <xdr:row>10</xdr:row>
      <xdr:rowOff>33342</xdr:rowOff>
    </xdr:from>
    <xdr:to>
      <xdr:col>11</xdr:col>
      <xdr:colOff>921491</xdr:colOff>
      <xdr:row>46</xdr:row>
      <xdr:rowOff>152592</xdr:rowOff>
    </xdr:to>
    <xdr:graphicFrame macro="">
      <xdr:nvGraphicFramePr>
        <xdr:cNvPr id="6" name="Chart P&amp;L">
          <a:extLst>
            <a:ext uri="{FF2B5EF4-FFF2-40B4-BE49-F238E27FC236}">
              <a16:creationId xmlns:a16="http://schemas.microsoft.com/office/drawing/2014/main" id="{623553B6-42E2-AB44-CE3A-F4A875EFEC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11904</xdr:colOff>
      <xdr:row>94</xdr:row>
      <xdr:rowOff>11905</xdr:rowOff>
    </xdr:from>
    <xdr:to>
      <xdr:col>9</xdr:col>
      <xdr:colOff>1092356</xdr:colOff>
      <xdr:row>131</xdr:row>
      <xdr:rowOff>58311</xdr:rowOff>
    </xdr:to>
    <xdr:graphicFrame macro="">
      <xdr:nvGraphicFramePr>
        <xdr:cNvPr id="3" name="Chart Staff EFT">
          <a:extLst>
            <a:ext uri="{FF2B5EF4-FFF2-40B4-BE49-F238E27FC236}">
              <a16:creationId xmlns:a16="http://schemas.microsoft.com/office/drawing/2014/main" id="{DB07D7CE-AFF8-41CF-8C21-A2ED128AB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11904</xdr:colOff>
      <xdr:row>50</xdr:row>
      <xdr:rowOff>161393</xdr:rowOff>
    </xdr:from>
    <xdr:to>
      <xdr:col>9</xdr:col>
      <xdr:colOff>1092358</xdr:colOff>
      <xdr:row>88</xdr:row>
      <xdr:rowOff>91268</xdr:rowOff>
    </xdr:to>
    <xdr:graphicFrame macro="">
      <xdr:nvGraphicFramePr>
        <xdr:cNvPr id="4" name="Chart P&amp;L EUR">
          <a:extLst>
            <a:ext uri="{FF2B5EF4-FFF2-40B4-BE49-F238E27FC236}">
              <a16:creationId xmlns:a16="http://schemas.microsoft.com/office/drawing/2014/main" id="{116F047E-5E07-4DC8-9163-58897C363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11904</xdr:colOff>
      <xdr:row>10</xdr:row>
      <xdr:rowOff>6085</xdr:rowOff>
    </xdr:from>
    <xdr:to>
      <xdr:col>9</xdr:col>
      <xdr:colOff>1092359</xdr:colOff>
      <xdr:row>45</xdr:row>
      <xdr:rowOff>112023</xdr:rowOff>
    </xdr:to>
    <xdr:graphicFrame macro="">
      <xdr:nvGraphicFramePr>
        <xdr:cNvPr id="2" name="Chart Revenue EUR">
          <a:extLst>
            <a:ext uri="{FF2B5EF4-FFF2-40B4-BE49-F238E27FC236}">
              <a16:creationId xmlns:a16="http://schemas.microsoft.com/office/drawing/2014/main" id="{DFD5BC97-A78F-40A9-A72D-12268D28A2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an BEKA" refreshedDate="45952.410040277777" missingItemsLimit="0" createdVersion="8" refreshedVersion="8" minRefreshableVersion="3" recordCount="1261" xr:uid="{890A78AB-F433-42B7-8FD4-90B13132EE9E}">
  <cacheSource type="worksheet">
    <worksheetSource name="TableRevenueData"/>
  </cacheSource>
  <cacheFields count="45">
    <cacheField name="SORT" numFmtId="0">
      <sharedItems containsSemiMixedTypes="0" containsString="0" containsNumber="1" containsInteger="1" minValue="1" maxValue="1261"/>
    </cacheField>
    <cacheField name="FILTER" numFmtId="0">
      <sharedItems containsSemiMixedTypes="0" containsString="0" containsNumber="1" containsInteger="1" minValue="0" maxValue="1" count="2">
        <n v="0"/>
        <n v="1"/>
      </sharedItems>
    </cacheField>
    <cacheField name="REF" numFmtId="0">
      <sharedItems containsString="0" containsBlank="1" containsNumber="1" containsInteger="1" minValue="1" maxValue="1"/>
    </cacheField>
    <cacheField name="REFERENCE YEAR" numFmtId="0">
      <sharedItems containsBlank="1"/>
    </cacheField>
    <cacheField name="YEAR" numFmtId="0">
      <sharedItems containsString="0" containsBlank="1" containsNumber="1" containsInteger="1" minValue="2023" maxValue="2030" count="9">
        <m/>
        <n v="2023"/>
        <n v="2024"/>
        <n v="2025"/>
        <n v="2026"/>
        <n v="2027"/>
        <n v="2028"/>
        <n v="2029"/>
        <n v="2030"/>
      </sharedItems>
    </cacheField>
    <cacheField name="TYPE PRODUCT / SERVICE" numFmtId="0">
      <sharedItems containsBlank="1" count="3">
        <m/>
        <s v="PRODUCT"/>
        <s v="SERVICE"/>
      </sharedItems>
    </cacheField>
    <cacheField name="REFERENCE PRODUCT / SERVICE" numFmtId="0">
      <sharedItems containsBlank="1" count="31">
        <m/>
        <s v="PRODUCT 01"/>
        <s v="PRODUCT 02"/>
        <s v="PRODUCT 03"/>
        <s v="PRODUCT 04"/>
        <s v="PRODUCT 05"/>
        <s v="PRODUCT 06"/>
        <s v="PRODUCT 07"/>
        <s v="PRODUCT 08"/>
        <s v="PRODUCT 09"/>
        <s v="PRODUCT 10"/>
        <s v="PRODUCT 11"/>
        <s v="PRODUCT 12"/>
        <s v="PRODUCT 13"/>
        <s v="PRODUCT 14"/>
        <s v="PRODUCT 15"/>
        <s v="PRODUCT 16"/>
        <s v="PRODUCT 17"/>
        <s v="PRODUCT 18"/>
        <s v="PRODUCT 19"/>
        <s v="PRODUCT 20"/>
        <s v="SERVICE 01"/>
        <s v="SERVICE 02"/>
        <s v="SERVICE 03"/>
        <s v="SERVICE 04"/>
        <s v="SERVICE 05"/>
        <s v="SERVICE 06"/>
        <s v="SERVICE 07"/>
        <s v="SERVICE 08"/>
        <s v="SERVICE 09"/>
        <s v="SERVICE 10"/>
      </sharedItems>
    </cacheField>
    <cacheField name="PRODUCT / SERVICE" numFmtId="0">
      <sharedItems containsBlank="1" count="4">
        <m/>
        <s v="XYZ"/>
        <s v="ABC"/>
        <s v="-"/>
      </sharedItems>
    </cacheField>
    <cacheField name="ITEM" numFmtId="0">
      <sharedItems containsBlank="1" count="8">
        <m/>
        <s v="VOLUME"/>
        <s v="REVENUE"/>
        <s v="AVERAGE SELLING PRICE PER UNIT"/>
        <s v="COST OF GOODS SOLD"/>
        <s v="AVERAGE COST OF GOODS SOLD PER UNIT"/>
        <s v="GROSS PROFIT" f="1"/>
        <s v="GROSS PROFIT %" f="1"/>
      </sharedItems>
    </cacheField>
    <cacheField name="UNIT SELLING PRICE RANGE 1" numFmtId="3">
      <sharedItems containsString="0" containsBlank="1" containsNumber="1" containsInteger="1" minValue="1000" maxValue="1000"/>
    </cacheField>
    <cacheField name="UNIT SELLING PRICE RANGE 2" numFmtId="3">
      <sharedItems containsString="0" containsBlank="1" containsNumber="1" containsInteger="1" minValue="0" maxValue="0"/>
    </cacheField>
    <cacheField name="UNIT SELLING PRICE RANGE 3" numFmtId="3">
      <sharedItems containsString="0" containsBlank="1" containsNumber="1" containsInteger="1" minValue="0" maxValue="0"/>
    </cacheField>
    <cacheField name="UNIT SELLING PRICE AVERAGE" numFmtId="164">
      <sharedItems containsString="0" containsBlank="1" containsNumber="1" containsInteger="1" minValue="1000" maxValue="1000"/>
    </cacheField>
    <cacheField name="MIX VOLUME RANGE 1 %" numFmtId="9">
      <sharedItems containsString="0" containsBlank="1" containsNumber="1" containsInteger="1" minValue="1" maxValue="1"/>
    </cacheField>
    <cacheField name="MIX VOLUME RANGE 2 %" numFmtId="9">
      <sharedItems containsString="0" containsBlank="1" containsNumber="1" containsInteger="1" minValue="0" maxValue="0"/>
    </cacheField>
    <cacheField name="MIX VOLUME RANGE 3 %" numFmtId="9">
      <sharedItems containsString="0" containsBlank="1" containsNumber="1" containsInteger="1" minValue="0" maxValue="0"/>
    </cacheField>
    <cacheField name="UNIT COGS RANGE 1" numFmtId="164">
      <sharedItems containsString="0" containsBlank="1" containsNumber="1" containsInteger="1" minValue="500" maxValue="500"/>
    </cacheField>
    <cacheField name="UNIT COGS RANGE 2" numFmtId="164">
      <sharedItems containsString="0" containsBlank="1" containsNumber="1" containsInteger="1" minValue="0" maxValue="0"/>
    </cacheField>
    <cacheField name="UNIT COGS RANGE 3" numFmtId="164">
      <sharedItems containsString="0" containsBlank="1" containsNumber="1" containsInteger="1" minValue="0" maxValue="0"/>
    </cacheField>
    <cacheField name="UNIT COGS AVERAGE" numFmtId="164">
      <sharedItems containsString="0" containsBlank="1" containsNumber="1" containsInteger="1" minValue="0" maxValue="500"/>
    </cacheField>
    <cacheField name="MIX VOLUME RANGE 1 CHANNEL 1 %" numFmtId="9">
      <sharedItems containsString="0" containsBlank="1" containsNumber="1" containsInteger="1" minValue="1" maxValue="1"/>
    </cacheField>
    <cacheField name="MIX VOLUME RANGE 2 CHANNEL 1 %" numFmtId="9">
      <sharedItems containsString="0" containsBlank="1" containsNumber="1" containsInteger="1" minValue="1" maxValue="1"/>
    </cacheField>
    <cacheField name="MIX VOLUME RANGE 3 CHANNEL 1 %" numFmtId="9">
      <sharedItems containsString="0" containsBlank="1" containsNumber="1" containsInteger="1" minValue="1" maxValue="1"/>
    </cacheField>
    <cacheField name="MIX VOLUME RANGE 1 CHANNEL 2 %" numFmtId="9">
      <sharedItems containsString="0" containsBlank="1" containsNumber="1" containsInteger="1" minValue="0" maxValue="0"/>
    </cacheField>
    <cacheField name="MIX VOLUME RANGE 2 CHANNEL 2 %" numFmtId="9">
      <sharedItems containsString="0" containsBlank="1" containsNumber="1" containsInteger="1" minValue="0" maxValue="0"/>
    </cacheField>
    <cacheField name="MIX VOLUME RANGE 3 CHANNEL 2 %" numFmtId="9">
      <sharedItems containsString="0" containsBlank="1" containsNumber="1" containsInteger="1" minValue="0" maxValue="0"/>
    </cacheField>
    <cacheField name="UNIT COGS AVERAGE CHANNEL 1" numFmtId="164">
      <sharedItems containsString="0" containsBlank="1" containsNumber="1" containsInteger="1" minValue="0" maxValue="0"/>
    </cacheField>
    <cacheField name="UNIT COGS AVERAGE CHANNEL 2" numFmtId="164">
      <sharedItems containsString="0" containsBlank="1" containsNumber="1" containsInteger="1" minValue="0" maxValue="0"/>
    </cacheField>
    <cacheField name="QUARTER 1" numFmtId="164">
      <sharedItems containsString="0" containsBlank="1" containsNumber="1" containsInteger="1" minValue="0" maxValue="0"/>
    </cacheField>
    <cacheField name="QUARTER 2" numFmtId="164">
      <sharedItems containsString="0" containsBlank="1" containsNumber="1" containsInteger="1" minValue="0" maxValue="0"/>
    </cacheField>
    <cacheField name="QUARTER 3" numFmtId="164">
      <sharedItems containsString="0" containsBlank="1" containsNumber="1" containsInteger="1" minValue="0" maxValue="0"/>
    </cacheField>
    <cacheField name="QUARTER 4" numFmtId="164">
      <sharedItems containsString="0" containsBlank="1" containsNumber="1" containsInteger="1" minValue="0" maxValue="0"/>
    </cacheField>
    <cacheField name="TOTAL YEAR" numFmtId="164">
      <sharedItems containsString="0" containsBlank="1" containsNumber="1" containsInteger="1" minValue="0" maxValue="0"/>
    </cacheField>
    <cacheField name="TOTAL RANGE 1" numFmtId="164">
      <sharedItems containsString="0" containsBlank="1" containsNumber="1" containsInteger="1" minValue="0" maxValue="0"/>
    </cacheField>
    <cacheField name="TOTAL RANGE 2" numFmtId="164">
      <sharedItems containsString="0" containsBlank="1" containsNumber="1" containsInteger="1" minValue="0" maxValue="0"/>
    </cacheField>
    <cacheField name="TOTAL RANGE 3" numFmtId="164">
      <sharedItems containsString="0" containsBlank="1" containsNumber="1" containsInteger="1" minValue="0" maxValue="0"/>
    </cacheField>
    <cacheField name="TOTAL DISTRIBUTION CHANNEL 1" numFmtId="164">
      <sharedItems containsString="0" containsBlank="1" containsNumber="1" containsInteger="1" minValue="0" maxValue="0"/>
    </cacheField>
    <cacheField name="TOTAL DISTRIBUTION CHANNEL 1 %" numFmtId="9">
      <sharedItems containsString="0" containsBlank="1" containsNumber="1" containsInteger="1" minValue="0" maxValue="0"/>
    </cacheField>
    <cacheField name="TOTAL DISTRIBUTION CHANNEL 2" numFmtId="164">
      <sharedItems containsString="0" containsBlank="1" containsNumber="1" containsInteger="1" minValue="0" maxValue="0"/>
    </cacheField>
    <cacheField name="TOTAL DISTRIBUTION CHANNEL 2 %" numFmtId="0">
      <sharedItems containsString="0" containsBlank="1" containsNumber="1" containsInteger="1" minValue="0" maxValue="0"/>
    </cacheField>
    <cacheField name="COMMENT" numFmtId="164">
      <sharedItems containsBlank="1"/>
    </cacheField>
    <cacheField name="TRANSLATION NOTE" numFmtId="164">
      <sharedItems containsBlank="1"/>
    </cacheField>
    <cacheField name="CHECK" numFmtId="164">
      <sharedItems containsBlank="1"/>
    </cacheField>
    <cacheField name="SEMESTRE 1" numFmtId="0" formula="'QUARTER 1'+'QUARTER 2'" databaseField="0"/>
    <cacheField name="SEMESTRE 2" numFmtId="0" formula="'QUARTER 3'+'QUARTER 4'" databaseField="0"/>
  </cacheFields>
  <calculatedItems count="2">
    <calculatedItem formula="ITEM[REVENUE]-ITEM['COST OF GOODS SOLD']">
      <pivotArea cacheIndex="1" outline="0" fieldPosition="0">
        <references count="1">
          <reference field="8" count="1">
            <x v="6"/>
          </reference>
        </references>
      </pivotArea>
    </calculatedItem>
    <calculatedItem formula="IF(ITEM[REVENUE]=0,0,(ITEM[REVENUE]-ITEM['COST OF GOODS SOLD'])/ITEM[REVENUE])">
      <pivotArea cacheIndex="1" outline="0" fieldPosition="0">
        <references count="1">
          <reference field="8" count="1">
            <x v="7"/>
          </reference>
        </references>
      </pivotArea>
    </calculatedItem>
  </calculatedItems>
  <extLst>
    <ext xmlns:x14="http://schemas.microsoft.com/office/spreadsheetml/2009/9/main" uri="{725AE2AE-9491-48be-B2B4-4EB974FC3084}">
      <x14:pivotCacheDefinition pivotCacheId="20609963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an BEKA" refreshedDate="45952.410055671295" missingItemsLimit="0" createdVersion="8" refreshedVersion="8" minRefreshableVersion="3" recordCount="836" xr:uid="{4BC4DF15-1E41-4990-AC3F-848D859D57DA}">
  <cacheSource type="worksheet">
    <worksheetSource name="TableFinanceData"/>
  </cacheSource>
  <cacheFields count="32">
    <cacheField name="SECTION" numFmtId="0">
      <sharedItems containsSemiMixedTypes="0" containsString="0" containsNumber="1" containsInteger="1" minValue="0" maxValue="7" count="8">
        <n v="0"/>
        <n v="1"/>
        <n v="2"/>
        <n v="3"/>
        <n v="4"/>
        <n v="5"/>
        <n v="6"/>
        <n v="7"/>
      </sharedItems>
    </cacheField>
    <cacheField name="ITEM" numFmtId="0">
      <sharedItems containsBlank="1" count="14">
        <s v="PERIOD"/>
        <s v="YEAR"/>
        <m/>
        <s v="REVENUE AND GROSS PROFIT"/>
        <s v="CHECK"/>
        <s v="OPERATING EXPENSES"/>
        <s v="FIXED ASSETS"/>
        <s v="INTANGIBLE ASSETS"/>
        <s v="START-UP COSTS"/>
        <s v="TOTAL ASSETS"/>
        <s v="WORKING CAPITAL"/>
        <s v="PROFIT AND LOSS STATEMENT"/>
        <s v="CASH FLOW STATEMENT"/>
        <s v="SOURCE OF FINANCING"/>
      </sharedItems>
    </cacheField>
    <cacheField name="SUB-ITEM1" numFmtId="0">
      <sharedItems containsBlank="1" count="54">
        <m/>
        <s v="VOLUME"/>
        <s v="AVERAGE SELLING PRICE PER UNIT"/>
        <s v="REVENUE PRODUCTS"/>
        <s v="AVERAGE COST OF GOODS SOLD PER UNIT"/>
        <s v="COST OF GOODS SOLD PRODUCTS"/>
        <s v="GROSS PROFIT PRODUCTS"/>
        <s v="REVENUE SERVICES"/>
        <s v="COST OF GOODS SOLD SERVICES"/>
        <s v="GROSS PROFIT SERVICES"/>
        <s v="STOCK INCREASE"/>
        <s v="STOCK DECREASE"/>
        <s v="STOCK VARIATION"/>
        <s v="REVENUE"/>
        <s v="COST OF GOODS SOLD"/>
        <s v="GROSS PROFIT"/>
        <s v="MARKETING COST"/>
        <s v="STAFF SALARIES"/>
        <s v="TAXES AND DUTIES ON STAFF"/>
        <s v="OFFICE COSTS"/>
        <s v="OTHER EXPENSES"/>
        <s v="TRAVEL &amp; TRANSPORTATION"/>
        <s v="INSURANCE"/>
        <s v="MAINTENANCE"/>
        <s v="THIRD PARTIES"/>
        <s v="OPERATING EXPENSES"/>
        <s v="INVESTMENTS"/>
        <s v="AMORTISATIONS"/>
        <s v="YEAR-END BALANCE SHEET VALUE"/>
        <s v="STOCK"/>
        <s v="ACCOUNTS RECEIVABLE"/>
        <s v="ACCOUNTS PAYABLE"/>
        <s v="WORKING CAPITAL"/>
        <s v="EBITDA"/>
        <s v="EBIT"/>
        <s v="VARIATION"/>
        <s v="BANK CHARGES"/>
        <s v="INTEREST"/>
        <s v="BANK CHARGES + INTEREST"/>
        <s v="PROFIT BEFORE TAX"/>
        <s v="TAXES"/>
        <s v="NET PROFIT"/>
        <s v="SOURCE OF FINANCING"/>
        <s v="PRINCIPAL LOAN AMOUNT"/>
        <s v="CASH POSITION AT END OF PERIOD"/>
        <s v="FINANCING NEEDS"/>
        <s v="PRINCIPAL LOAN AMOUNT FROM OVO"/>
        <s v="INTEREST LOAN FROM OVO"/>
        <s v="PRINCIPAL LOAN AMOUNT FROM FAMILY AND FRIENDS"/>
        <s v="INTEREST LOAN FROM  FROM FAMILY AND FRIENDS"/>
        <s v="PRINCIPAL LOAN AMOUNT LOCAL BANK"/>
        <s v="INTEREST LOAN FROM  LOCAL BANK"/>
        <s v="YEAR-END BALANCE SHEET VALUE LONG TERM"/>
        <s v="YEAR-END BALANCE SHEET VALUE SHORT TERM"/>
      </sharedItems>
    </cacheField>
    <cacheField name="SUB-ITEM2" numFmtId="0">
      <sharedItems containsBlank="1" count="6">
        <m/>
        <s v="QUANTITY"/>
        <s v="VALUE"/>
        <s v="%"/>
        <s v="EFT"/>
        <s v="DAY"/>
      </sharedItems>
    </cacheField>
    <cacheField name="SUB-ITEM3" numFmtId="0">
      <sharedItems containsBlank="1" count="149">
        <m/>
        <s v="PRODUCT 01"/>
        <s v="PRODUCT 02"/>
        <s v="PRODUCT 03"/>
        <s v="PRODUCT 04"/>
        <s v="PRODUCT 05"/>
        <s v="PRODUCT 06"/>
        <s v="PRODUCT 07"/>
        <s v="PRODUCT 08"/>
        <s v="PRODUCT 09"/>
        <s v="PRODUCT 10"/>
        <s v="PRODUCT 11"/>
        <s v="PRODUCT 12"/>
        <s v="PRODUCT 13"/>
        <s v="PRODUCT 14"/>
        <s v="PRODUCT 15"/>
        <s v="PRODUCT 16"/>
        <s v="PRODUCT 17"/>
        <s v="PRODUCT 18"/>
        <s v="PRODUCT 19"/>
        <s v="PRODUCT 20"/>
        <s v="PRODUCT"/>
        <s v="SERVICE 01"/>
        <s v="SERVICE 02"/>
        <s v="SERVICE 03"/>
        <s v="SERVICE 04"/>
        <s v="SERVICE 05"/>
        <s v="SERVICE 06"/>
        <s v="SERVICE 07"/>
        <s v="SERVICE 08"/>
        <s v="SERVICE 09"/>
        <s v="SERVICE 10"/>
        <s v="SERVICE"/>
        <s v="PRODUCT + SERVICE"/>
        <s v="MARKETING"/>
        <s v="STAFF_CAT01"/>
        <s v="STAFF_CAT02"/>
        <s v="STAFF_CAT03"/>
        <s v="STAFF_CAT04"/>
        <s v="STAFF_CAT05"/>
        <s v="STAFF_CAT06"/>
        <s v="STAFF_CAT07"/>
        <s v="STAFF_CAT08"/>
        <s v="STAFF_CAT09"/>
        <s v="STAFF_CAT10"/>
        <s v="STAFF_T&amp;D"/>
        <s v="OFFICE"/>
        <s v="OTHER CHARGES"/>
        <s v="TRAVEL"/>
        <s v="INSURANCE"/>
        <s v="MAINTENANCE"/>
        <s v="THIRD PARTIES"/>
        <s v="STAFF_CAT"/>
        <s v="ALL CHARGES"/>
        <s v="GROSS SALARY"/>
        <s v="OTHER ALLOWANCES"/>
        <s v="SOCIAL SECURITY"/>
        <s v="OE_01"/>
        <s v="OE_02"/>
        <s v="OE_03"/>
        <s v="OE_04"/>
        <s v="OE_05"/>
        <s v="OE_06"/>
        <s v="OE_07"/>
        <s v="OE_08"/>
        <s v="OE_09"/>
        <s v="OE_10"/>
        <s v="OE_11"/>
        <s v="OE_12"/>
        <s v="OE_13"/>
        <s v="OE_14"/>
        <s v="OE_15"/>
        <s v="OE_16"/>
        <s v="OE_17"/>
        <s v="OE_18"/>
        <s v="OE_19"/>
        <s v="OE_20"/>
        <s v="OE_21"/>
        <s v="OE_22"/>
        <s v="OE_23"/>
        <s v="OE_24"/>
        <s v="OE_25"/>
        <s v="OE_26"/>
        <s v="OE_27"/>
        <s v="OE_28"/>
        <s v="OE_29"/>
        <s v="OE_30"/>
        <s v="OE_31"/>
        <s v="OE_32"/>
        <s v="OE_33"/>
        <s v="OE_34"/>
        <s v="OE_35"/>
        <s v="OE_36"/>
        <s v="OE_37"/>
        <s v="OE_38"/>
        <s v="OE_39"/>
        <s v="OE_40"/>
        <s v="OE"/>
        <s v="PE_01"/>
        <s v="PE_02"/>
        <s v="PE_03"/>
        <s v="PE_04"/>
        <s v="PE_05"/>
        <s v="PE_06"/>
        <s v="PE_07"/>
        <s v="PE_08"/>
        <s v="PE_09"/>
        <s v="PE_10"/>
        <s v="PE"/>
        <s v="OA_01"/>
        <s v="OA_02"/>
        <s v="OA_03"/>
        <s v="OA_04"/>
        <s v="OA_05"/>
        <s v="OA_06"/>
        <s v="OA_07"/>
        <s v="OA_08"/>
        <s v="OA_09"/>
        <s v="OA_10"/>
        <s v="OA_11"/>
        <s v="OA_12"/>
        <s v="OA_13"/>
        <s v="OA_14"/>
        <s v="OA_15"/>
        <s v="OA_16"/>
        <s v="OA_17"/>
        <s v="OA_18"/>
        <s v="OA_19"/>
        <s v="OA_20"/>
        <s v="OA"/>
        <s v="OE+PE+OA"/>
        <s v="IA_01"/>
        <s v="IA_02"/>
        <s v="IA_03"/>
        <s v="IA_04"/>
        <s v="IA_05"/>
        <s v="IA"/>
        <s v="SC_01"/>
        <s v="SC_02"/>
        <s v="SC_03"/>
        <s v="SC_04"/>
        <s v="SC_05"/>
        <s v="SC"/>
        <s v="OE+PE+OA+IA+SC"/>
        <s v="TAX REGIME 1"/>
        <s v="TAX REGIME 2"/>
        <s v="TAX REGIME 3"/>
        <s v="TAX REGIME 4"/>
        <s v="TAX REGIME 5"/>
      </sharedItems>
    </cacheField>
    <cacheField name="DESCRIPTION1" numFmtId="0">
      <sharedItems containsBlank="1" count="117">
        <m/>
        <s v="XYZ"/>
        <s v="ABC"/>
        <s v="-"/>
        <s v="TOTAL"/>
        <s v="AVERAGE"/>
        <s v="% YEAR TO YEAR VARIATION"/>
        <s v="RAW MATERIAL"/>
        <s v="RESEARCH"/>
        <s v="PURCHASE OF STUDIES AND SERVICES"/>
        <s v="RECEPTIONS"/>
        <s v="GENERAL DOCUMENTATION"/>
        <s v="ADVERTISING"/>
        <s v="X"/>
        <s v="Y"/>
        <s v="Z"/>
        <s v="A"/>
        <s v="B"/>
        <s v="NUMBER OF EMPLOYEES"/>
        <s v="GROSS SALARY PER PERSON AND PER PERIOD"/>
        <s v="OTHER ALLOWANCES AND MISCELLANEOUS BENEFITS PAID TO STAFF"/>
        <s v="EMPLOYER SOCIAL SECURITY CONTRIBUTIONS"/>
        <s v="COST PER PERSON PER PERIOD"/>
        <s v="TAXES ON SALARIES AND WAGES"/>
        <s v="APPRENTICESHIP TAXES"/>
        <s v="CONTINUING PROFESSIONAL TRAINING"/>
        <s v="OTHER TAXES AND DUTIES"/>
        <s v="RENT (OFFICE + STORES)"/>
        <s v="INTERNET (OFFICE + STORES)"/>
        <s v="TELECOMMUNICATIONS (LANDLINE + MOBILE)"/>
        <s v="OFFICE SUPPLIES"/>
        <s v="SMALL EQUIPMENT AND TOOLS"/>
        <s v="LOST PACKAGING"/>
        <s v="FUEL"/>
        <s v="NON-STOCKABLE SUPPLIES - WATER"/>
        <s v="NON-STOCKABLE SUPPLIES - ELECTRICITY"/>
        <s v="CLEANING (OFFICES + SHOPS)"/>
        <s v="OCCUPATIONAL HEALTH AND PHARMACY"/>
        <s v="FUNCTION ALLOWANCES AND DIRECTORS' REMUNERATION"/>
        <s v="DONATIONS"/>
        <s v="SPONSORSHIP"/>
        <s v="NUMBER OF PEOPLE TRAVELLING"/>
        <s v="AVERAGE TRAVEL COST PER PERSON"/>
        <s v="BUILDING INSURANCE"/>
        <s v="COMPANY INSURANCE"/>
        <s v="MAINTENANCE AND REPAIR OF MOVABLE PROPERTY"/>
        <s v="DEMOLITION AND RESTORATION COSTS"/>
        <s v="OTHER MAINTENANCE AND REPAIRS"/>
        <s v="LEGAL START-UP COSTS (NOTARY, GOVERNMENT OBLIGATIONS, ETC.)"/>
        <s v="LOAN FOLLOW-UP COSTS ADVANCE INVOICE"/>
        <s v="OTHER START-UP COSTS (IF NOT ACTIVE)"/>
        <s v="TRANSPORT OF GOODS (FUEL)"/>
        <s v="DELIVERY OF GOODS"/>
        <s v="COMMISSIONS AND BROKERAGE FEES ON SALES"/>
        <s v="LEGAL ADVISER"/>
        <s v="ACCOUNTING &amp; TAXATION"/>
        <s v="% MARKETING COST / REVENUE"/>
        <s v="% STAFF SALARIES / REVENUE"/>
        <s v="% TAXES AND DUTIES ON STAFF / REVENUE"/>
        <s v="% OFFICE COSTS / REVENUE"/>
        <s v="% OTHER EXPENSES / REVENUE"/>
        <s v="% TRAVEL &amp; TRANSPORTATION / REVENUE"/>
        <s v="% INSURANCE / REVENUE"/>
        <s v="% MAINTENANCE / REVENUE"/>
        <s v="% THIRD PARTIES / REVENUE"/>
        <s v="% OPERATING EXPENSES / REVENUE"/>
        <s v="GROSS SALARY"/>
        <s v="OTHER ALLOWANCES"/>
        <s v="SOCIAL SECURITY"/>
        <s v="OFFICE EQUIPMENT"/>
        <s v="TOTAL OFFICE EQUIPEMENT"/>
        <s v="PRODUCTION EQUIPMENT"/>
        <s v="TOTAL PRODUCTION EQUIPEMENT"/>
        <s v="OTHER ASSETS"/>
        <s v="TOTAL OTHER ASSETS"/>
        <s v="TOTAL FIXED ASSETS"/>
        <s v="INTANGIBLE ASSETS"/>
        <s v="TOTAL INTANGIBLE ASSETS"/>
        <s v="START-UP COSTS"/>
        <s v="TOTAL START-UP COSTS"/>
        <s v="TOTAL ASSETS"/>
        <s v="STOCK PERIOD EXPRESSED IN NUMBER OF DAYS"/>
        <s v="COST OF PRODUCTS PER DAY"/>
        <s v="VALUE OF STOCK OVER THE PERIOD"/>
        <s v="CUSTOMER PAYMENT PERIOD EXPRESSED IN NUMBER OF DAYS"/>
        <s v="REVENUE (INCLUDING VAT) PER DAY"/>
        <s v="VALUE OF ACCOUNTS RECEIVABLE OVER THE PERIOD"/>
        <s v="SUPPLIER PAYMENT PERIOD EXPRESSED IN NUMBER OF DAYS"/>
        <s v="COST OF REVENUE PLUS OPERATING EXPENSES MINUS STAFF SALARIES (INCLUDING VAT) PER DAY"/>
        <s v="VALUE OF ACCOUNTS PAYABLE OVER THE PERIOD"/>
        <s v="+ CHANGES IN INVENTORY ON PURCHASES"/>
        <s v="+ CHANGES IN RECEIVABLES"/>
        <s v="- CHANGES IN OPERATING DEBTS"/>
        <s v="BANK CHARGES"/>
        <s v="LOAN FROM OVO"/>
        <s v="LOAN FROM FAMILY AND FRIENDS"/>
        <s v="LOAN FROM LOCAL BANK"/>
        <s v="IMPOT SUR LE REVENU"/>
        <s v="IMPOT SUR LE BENEFICE"/>
        <s v="TAX REGIME 3"/>
        <s v="TAX REGIME 4"/>
        <s v="TAX REGIME 5"/>
        <s v="CASH POSITION AT THE BEGINNING OF THE PERIOD"/>
        <s v="GROSS PROFIT + DEPRECIATION - PREVIOUS YEAR'S TAX"/>
        <s v="DIFFERENCE IN WORKING CAPITAL COMPARED TO LAST YEAR"/>
        <s v="INVESTMENT EXPENDITURE"/>
        <s v="CAPITAL CONTRIBUTION BY EXISTING SHAREHOLDERS"/>
        <s v="CAPITAL CONTRIBUTION BY NEW SHAREHOLDERS"/>
        <s v="CAPITAL CHANGE BY CANCELLATION OF ACCUMULATED DEBT/PROFIT"/>
        <s v=""/>
        <s v="WORKING CAPITAL"/>
        <s v="PRINCIPAL LOAN AMOUNT"/>
        <s v="PAID BACK PERIOD AND GRACE PERIOD"/>
        <s v="SEMESTER 1"/>
        <s v="SEMESTER 2"/>
        <s v="INTEREST"/>
        <s v="LOAN FROM OVO + LOAN FROM FAMILY AND FRIENDS"/>
      </sharedItems>
    </cacheField>
    <cacheField name="DESCRIPTION2" numFmtId="0">
      <sharedItems containsBlank="1" count="29">
        <s v="PERIOD"/>
        <s v="YEAR"/>
        <m/>
        <s v="VOIR FEUILLE InputData"/>
        <s v="TYPICAL CASE"/>
        <s v="TRAVAILLEURS SAISONNIERS"/>
        <s v="VENTE &amp; MARKETING"/>
        <s v="ADMINISTRATION"/>
        <s v="OPERATIONS"/>
        <s v="VENDEUR BOUTIQUE"/>
        <s v="CADRE - DIRECTEURS"/>
        <s v="CADRE - DIRECTEUR GENERAL"/>
        <s v="EFF8"/>
        <s v="EFF9"/>
        <s v="EFF10"/>
        <s v="SHOULD BE LINKED TO INFLATION"/>
        <s v="LINKED TO STAFF TRAVELLING"/>
        <s v="TOTAL"/>
        <s v=""/>
        <s v="NUMBER OF DAYS ADJUSTABLE"/>
        <s v="COST OF GOODS SOLD PRODUCTS / 360 DAYS"/>
        <s v="VAT APPLICABLE IN THE COUNTRY"/>
        <s v="% OF REVENUS"/>
        <s v="CALCULATED IN SECTION 7"/>
        <s v="REVENUS &lt;=  200 M F CFA"/>
        <s v="REVENUS &gt; 200 M F CFA"/>
        <s v="TOTAL PERIOD 2025:2030 --&gt;"/>
        <s v="PAID BACK PERIOD"/>
        <s v="YEARLY INTEREST"/>
      </sharedItems>
    </cacheField>
    <cacheField name="PARAMETER" numFmtId="0">
      <sharedItems containsBlank="1" containsMixedTypes="1" containsNumber="1" minValue="0" maxValue="5"/>
    </cacheField>
    <cacheField name="ACQUISITION YEAR" numFmtId="0">
      <sharedItems containsString="0" containsBlank="1" containsNumber="1" containsInteger="1" minValue="0" maxValue="2026"/>
    </cacheField>
    <cacheField name="ACQUISITION VALUE" numFmtId="164">
      <sharedItems containsString="0" containsBlank="1" containsNumber="1" containsInteger="1" minValue="0" maxValue="0"/>
    </cacheField>
    <cacheField name="% YEARLY AMORTISATION" numFmtId="9">
      <sharedItems containsString="0" containsBlank="1" containsNumber="1" minValue="0" maxValue="0.25"/>
    </cacheField>
    <cacheField name="ACCUMULATED AMORTISATION VALUE" numFmtId="0">
      <sharedItems containsBlank="1" containsMixedTypes="1" containsNumber="1" containsInteger="1" minValue="0" maxValue="0"/>
    </cacheField>
    <cacheField name="YEAR-2" numFmtId="0">
      <sharedItems containsBlank="1" containsMixedTypes="1" containsNumber="1" containsInteger="1" minValue="0" maxValue="2023"/>
    </cacheField>
    <cacheField name="YEAR-1" numFmtId="0">
      <sharedItems containsBlank="1" containsMixedTypes="1" containsNumber="1" containsInteger="1" minValue="0" maxValue="2024"/>
    </cacheField>
    <cacheField name="CURRENT YEAR H1" numFmtId="0">
      <sharedItems containsBlank="1" containsMixedTypes="1" containsNumber="1" containsInteger="1" minValue="0" maxValue="2025"/>
    </cacheField>
    <cacheField name="CURRENT YEAR H2" numFmtId="0">
      <sharedItems containsBlank="1" containsMixedTypes="1" containsNumber="1" containsInteger="1" minValue="0" maxValue="2025"/>
    </cacheField>
    <cacheField name="CURRENT YEAR" numFmtId="0">
      <sharedItems containsBlank="1" containsMixedTypes="1" containsNumber="1" minValue="0" maxValue="2025"/>
    </cacheField>
    <cacheField name="YEAR2" numFmtId="0">
      <sharedItems containsBlank="1" containsMixedTypes="1" containsNumber="1" minValue="0" maxValue="2026"/>
    </cacheField>
    <cacheField name="YEAR3" numFmtId="0">
      <sharedItems containsBlank="1" containsMixedTypes="1" containsNumber="1" minValue="0" maxValue="2027"/>
    </cacheField>
    <cacheField name="YEAR4" numFmtId="0">
      <sharedItems containsBlank="1" containsMixedTypes="1" containsNumber="1" minValue="0" maxValue="2028"/>
    </cacheField>
    <cacheField name="YEAR5" numFmtId="0">
      <sharedItems containsBlank="1" containsMixedTypes="1" containsNumber="1" minValue="0" maxValue="2029"/>
    </cacheField>
    <cacheField name="YEAR6" numFmtId="0">
      <sharedItems containsBlank="1" containsMixedTypes="1" containsNumber="1" minValue="0" maxValue="2030"/>
    </cacheField>
    <cacheField name="COMMENT" numFmtId="0">
      <sharedItems containsBlank="1" containsMixedTypes="1" containsNumber="1" containsInteger="1" minValue="0" maxValue="0"/>
    </cacheField>
    <cacheField name="TRANSLATION NOTE" numFmtId="0">
      <sharedItems containsBlank="1"/>
    </cacheField>
    <cacheField name="CHECK" numFmtId="0">
      <sharedItems containsBlank="1"/>
    </cacheField>
    <cacheField name="ITEM FILTER" numFmtId="0">
      <sharedItems containsString="0" containsBlank="1" containsNumber="1" containsInteger="1" minValue="0" maxValue="1" count="3">
        <m/>
        <n v="1"/>
        <n v="0"/>
      </sharedItems>
    </cacheField>
    <cacheField name="TOTAL FILTER" numFmtId="0">
      <sharedItems containsString="0" containsBlank="1" containsNumber="1" containsInteger="1" minValue="1" maxValue="3" count="4">
        <m/>
        <n v="3"/>
        <n v="1"/>
        <n v="2"/>
      </sharedItems>
    </cacheField>
    <cacheField name="WC FILTER" numFmtId="0">
      <sharedItems containsString="0" containsBlank="1" containsNumber="1" containsInteger="1" minValue="1" maxValue="1"/>
    </cacheField>
    <cacheField name="CHART FILTER" numFmtId="0">
      <sharedItems containsBlank="1" containsMixedTypes="1" containsNumber="1" containsInteger="1" minValue="1" maxValue="2" count="4">
        <m/>
        <n v="1"/>
        <n v="2"/>
        <s v=""/>
      </sharedItems>
    </cacheField>
    <cacheField name="TRANSLATION FILTER" numFmtId="0">
      <sharedItems containsString="0" containsBlank="1" containsNumber="1" containsInteger="1" minValue="0" maxValue="1"/>
    </cacheField>
    <cacheField name="PROD-SERVICE FILTER" numFmtId="0">
      <sharedItems containsString="0" containsBlank="1" containsNumber="1" containsInteger="1" minValue="0" maxValue="1"/>
    </cacheField>
    <cacheField name="SIMULATION PARAMETER" numFmtId="9">
      <sharedItems containsBlank="1"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1">
  <r>
    <n v="1"/>
    <x v="0"/>
    <m/>
    <m/>
    <x v="0"/>
    <x v="0"/>
    <x v="0"/>
    <x v="0"/>
    <x v="0"/>
    <m/>
    <m/>
    <m/>
    <m/>
    <m/>
    <m/>
    <m/>
    <m/>
    <m/>
    <m/>
    <m/>
    <m/>
    <m/>
    <m/>
    <m/>
    <m/>
    <m/>
    <m/>
    <m/>
    <m/>
    <m/>
    <m/>
    <m/>
    <m/>
    <m/>
    <m/>
    <m/>
    <m/>
    <m/>
    <m/>
    <m/>
    <m/>
    <m/>
    <m/>
  </r>
  <r>
    <n v="2"/>
    <x v="1"/>
    <n v="1"/>
    <s v="YEAR-2"/>
    <x v="1"/>
    <x v="1"/>
    <x v="1"/>
    <x v="1"/>
    <x v="1"/>
    <n v="1000"/>
    <n v="0"/>
    <n v="0"/>
    <n v="1000"/>
    <n v="1"/>
    <n v="0"/>
    <n v="0"/>
    <n v="500"/>
    <n v="0"/>
    <n v="0"/>
    <n v="0"/>
    <n v="1"/>
    <n v="1"/>
    <n v="1"/>
    <n v="0"/>
    <n v="0"/>
    <n v="0"/>
    <n v="0"/>
    <n v="0"/>
    <n v="0"/>
    <n v="0"/>
    <n v="0"/>
    <n v="0"/>
    <n v="0"/>
    <n v="0"/>
    <n v="0"/>
    <n v="0"/>
    <n v="0"/>
    <n v="0"/>
    <n v="0"/>
    <n v="0"/>
    <s v="GAMME # : 1 + CANAL DE DISTRIBUTION # : 1"/>
    <s v="PRODUIT 01  |  VOLUME"/>
    <b v="1"/>
  </r>
  <r>
    <n v="3"/>
    <x v="1"/>
    <n v="1"/>
    <s v="YEAR-1"/>
    <x v="2"/>
    <x v="1"/>
    <x v="1"/>
    <x v="1"/>
    <x v="1"/>
    <n v="1000"/>
    <n v="0"/>
    <n v="0"/>
    <n v="1000"/>
    <n v="1"/>
    <n v="0"/>
    <n v="0"/>
    <n v="500"/>
    <n v="0"/>
    <n v="0"/>
    <n v="0"/>
    <n v="1"/>
    <n v="1"/>
    <n v="1"/>
    <n v="0"/>
    <n v="0"/>
    <n v="0"/>
    <n v="0"/>
    <n v="0"/>
    <n v="0"/>
    <n v="0"/>
    <n v="0"/>
    <n v="0"/>
    <n v="0"/>
    <n v="0"/>
    <n v="0"/>
    <n v="0"/>
    <n v="0"/>
    <n v="0"/>
    <n v="0"/>
    <n v="0"/>
    <m/>
    <s v="PRODUIT 01  |  VOLUME"/>
    <b v="1"/>
  </r>
  <r>
    <n v="4"/>
    <x v="1"/>
    <n v="1"/>
    <s v="CURRENT YEAR"/>
    <x v="3"/>
    <x v="1"/>
    <x v="1"/>
    <x v="1"/>
    <x v="1"/>
    <n v="1000"/>
    <n v="0"/>
    <n v="0"/>
    <n v="1000"/>
    <n v="1"/>
    <n v="0"/>
    <n v="0"/>
    <n v="500"/>
    <n v="0"/>
    <n v="0"/>
    <n v="0"/>
    <n v="1"/>
    <n v="1"/>
    <n v="1"/>
    <n v="0"/>
    <n v="0"/>
    <n v="0"/>
    <n v="0"/>
    <n v="0"/>
    <n v="0"/>
    <n v="0"/>
    <n v="0"/>
    <n v="0"/>
    <n v="0"/>
    <n v="0"/>
    <n v="0"/>
    <n v="0"/>
    <n v="0"/>
    <n v="0"/>
    <n v="0"/>
    <n v="0"/>
    <m/>
    <s v="PRODUIT 01  |  VOLUME"/>
    <b v="1"/>
  </r>
  <r>
    <n v="5"/>
    <x v="1"/>
    <n v="1"/>
    <s v="YEAR2"/>
    <x v="4"/>
    <x v="1"/>
    <x v="1"/>
    <x v="1"/>
    <x v="1"/>
    <n v="1000"/>
    <n v="0"/>
    <n v="0"/>
    <n v="1000"/>
    <n v="1"/>
    <n v="0"/>
    <n v="0"/>
    <n v="500"/>
    <n v="0"/>
    <n v="0"/>
    <n v="0"/>
    <n v="1"/>
    <n v="1"/>
    <n v="1"/>
    <n v="0"/>
    <n v="0"/>
    <n v="0"/>
    <n v="0"/>
    <n v="0"/>
    <n v="0"/>
    <n v="0"/>
    <n v="0"/>
    <n v="0"/>
    <n v="0"/>
    <n v="0"/>
    <n v="0"/>
    <n v="0"/>
    <n v="0"/>
    <n v="0"/>
    <n v="0"/>
    <n v="0"/>
    <m/>
    <s v="PRODUIT 01  |  VOLUME"/>
    <b v="1"/>
  </r>
  <r>
    <n v="6"/>
    <x v="1"/>
    <n v="1"/>
    <s v="YEAR3"/>
    <x v="5"/>
    <x v="1"/>
    <x v="1"/>
    <x v="1"/>
    <x v="1"/>
    <n v="1000"/>
    <n v="0"/>
    <n v="0"/>
    <n v="1000"/>
    <n v="1"/>
    <n v="0"/>
    <n v="0"/>
    <n v="500"/>
    <n v="0"/>
    <n v="0"/>
    <n v="0"/>
    <n v="1"/>
    <n v="1"/>
    <n v="1"/>
    <n v="0"/>
    <n v="0"/>
    <n v="0"/>
    <n v="0"/>
    <n v="0"/>
    <n v="0"/>
    <n v="0"/>
    <n v="0"/>
    <n v="0"/>
    <n v="0"/>
    <n v="0"/>
    <n v="0"/>
    <n v="0"/>
    <n v="0"/>
    <n v="0"/>
    <n v="0"/>
    <n v="0"/>
    <m/>
    <s v="PRODUIT 01  |  VOLUME"/>
    <b v="1"/>
  </r>
  <r>
    <n v="7"/>
    <x v="1"/>
    <n v="1"/>
    <s v="YEAR4"/>
    <x v="6"/>
    <x v="1"/>
    <x v="1"/>
    <x v="1"/>
    <x v="1"/>
    <n v="1000"/>
    <n v="0"/>
    <n v="0"/>
    <n v="1000"/>
    <n v="1"/>
    <n v="0"/>
    <n v="0"/>
    <n v="500"/>
    <n v="0"/>
    <n v="0"/>
    <n v="0"/>
    <n v="1"/>
    <n v="1"/>
    <n v="1"/>
    <n v="0"/>
    <n v="0"/>
    <n v="0"/>
    <n v="0"/>
    <n v="0"/>
    <n v="0"/>
    <n v="0"/>
    <n v="0"/>
    <n v="0"/>
    <n v="0"/>
    <n v="0"/>
    <n v="0"/>
    <n v="0"/>
    <n v="0"/>
    <n v="0"/>
    <n v="0"/>
    <n v="0"/>
    <m/>
    <s v="PRODUIT 01  |  VOLUME"/>
    <b v="1"/>
  </r>
  <r>
    <n v="8"/>
    <x v="1"/>
    <n v="1"/>
    <s v="YEAR5"/>
    <x v="7"/>
    <x v="1"/>
    <x v="1"/>
    <x v="1"/>
    <x v="1"/>
    <n v="1000"/>
    <n v="0"/>
    <n v="0"/>
    <n v="1000"/>
    <n v="1"/>
    <n v="0"/>
    <n v="0"/>
    <n v="500"/>
    <n v="0"/>
    <n v="0"/>
    <n v="0"/>
    <n v="1"/>
    <n v="1"/>
    <n v="1"/>
    <n v="0"/>
    <n v="0"/>
    <n v="0"/>
    <n v="0"/>
    <n v="0"/>
    <n v="0"/>
    <n v="0"/>
    <n v="0"/>
    <n v="0"/>
    <n v="0"/>
    <n v="0"/>
    <n v="0"/>
    <n v="0"/>
    <n v="0"/>
    <n v="0"/>
    <n v="0"/>
    <n v="0"/>
    <m/>
    <s v="PRODUIT 01  |  VOLUME"/>
    <b v="1"/>
  </r>
  <r>
    <n v="9"/>
    <x v="1"/>
    <n v="1"/>
    <s v="YEAR6"/>
    <x v="8"/>
    <x v="1"/>
    <x v="1"/>
    <x v="1"/>
    <x v="1"/>
    <n v="1000"/>
    <n v="0"/>
    <n v="0"/>
    <n v="1000"/>
    <n v="1"/>
    <n v="0"/>
    <n v="0"/>
    <n v="500"/>
    <n v="0"/>
    <n v="0"/>
    <n v="0"/>
    <n v="1"/>
    <n v="1"/>
    <n v="1"/>
    <n v="0"/>
    <n v="0"/>
    <n v="0"/>
    <n v="0"/>
    <n v="0"/>
    <n v="0"/>
    <n v="0"/>
    <n v="0"/>
    <n v="0"/>
    <n v="0"/>
    <n v="0"/>
    <n v="0"/>
    <n v="0"/>
    <n v="0"/>
    <n v="0"/>
    <n v="0"/>
    <n v="0"/>
    <m/>
    <s v="PRODUIT 01  |  VOLUME"/>
    <b v="1"/>
  </r>
  <r>
    <n v="10"/>
    <x v="1"/>
    <m/>
    <s v="YEAR-2"/>
    <x v="1"/>
    <x v="1"/>
    <x v="1"/>
    <x v="1"/>
    <x v="2"/>
    <m/>
    <m/>
    <m/>
    <m/>
    <m/>
    <m/>
    <m/>
    <m/>
    <m/>
    <m/>
    <m/>
    <m/>
    <m/>
    <m/>
    <m/>
    <m/>
    <m/>
    <m/>
    <m/>
    <n v="0"/>
    <n v="0"/>
    <n v="0"/>
    <n v="0"/>
    <n v="0"/>
    <n v="0"/>
    <n v="0"/>
    <n v="0"/>
    <n v="0"/>
    <n v="0"/>
    <n v="0"/>
    <n v="0"/>
    <m/>
    <s v="PRODUIT 01  |  CHIFFRE D'AFFAIRES"/>
    <b v="1"/>
  </r>
  <r>
    <n v="11"/>
    <x v="1"/>
    <m/>
    <s v="YEAR-1"/>
    <x v="2"/>
    <x v="1"/>
    <x v="1"/>
    <x v="1"/>
    <x v="2"/>
    <m/>
    <m/>
    <m/>
    <m/>
    <m/>
    <m/>
    <m/>
    <m/>
    <m/>
    <m/>
    <m/>
    <m/>
    <m/>
    <m/>
    <m/>
    <m/>
    <m/>
    <m/>
    <m/>
    <n v="0"/>
    <n v="0"/>
    <n v="0"/>
    <n v="0"/>
    <n v="0"/>
    <n v="0"/>
    <n v="0"/>
    <n v="0"/>
    <n v="0"/>
    <n v="0"/>
    <n v="0"/>
    <n v="0"/>
    <m/>
    <s v="PRODUIT 01  |  CHIFFRE D'AFFAIRES"/>
    <b v="1"/>
  </r>
  <r>
    <n v="12"/>
    <x v="1"/>
    <m/>
    <s v="CURRENT YEAR"/>
    <x v="3"/>
    <x v="1"/>
    <x v="1"/>
    <x v="1"/>
    <x v="2"/>
    <m/>
    <m/>
    <m/>
    <m/>
    <m/>
    <m/>
    <m/>
    <m/>
    <m/>
    <m/>
    <m/>
    <m/>
    <m/>
    <m/>
    <m/>
    <m/>
    <m/>
    <m/>
    <m/>
    <n v="0"/>
    <n v="0"/>
    <n v="0"/>
    <n v="0"/>
    <n v="0"/>
    <n v="0"/>
    <n v="0"/>
    <n v="0"/>
    <n v="0"/>
    <n v="0"/>
    <n v="0"/>
    <n v="0"/>
    <m/>
    <s v="PRODUIT 01  |  CHIFFRE D'AFFAIRES"/>
    <b v="1"/>
  </r>
  <r>
    <n v="13"/>
    <x v="1"/>
    <m/>
    <s v="YEAR2"/>
    <x v="4"/>
    <x v="1"/>
    <x v="1"/>
    <x v="1"/>
    <x v="2"/>
    <m/>
    <m/>
    <m/>
    <m/>
    <m/>
    <m/>
    <m/>
    <m/>
    <m/>
    <m/>
    <m/>
    <m/>
    <m/>
    <m/>
    <m/>
    <m/>
    <m/>
    <m/>
    <m/>
    <n v="0"/>
    <n v="0"/>
    <n v="0"/>
    <n v="0"/>
    <n v="0"/>
    <n v="0"/>
    <n v="0"/>
    <n v="0"/>
    <n v="0"/>
    <n v="0"/>
    <n v="0"/>
    <n v="0"/>
    <m/>
    <s v="PRODUIT 01  |  CHIFFRE D'AFFAIRES"/>
    <b v="1"/>
  </r>
  <r>
    <n v="14"/>
    <x v="1"/>
    <m/>
    <s v="YEAR3"/>
    <x v="5"/>
    <x v="1"/>
    <x v="1"/>
    <x v="1"/>
    <x v="2"/>
    <m/>
    <m/>
    <m/>
    <m/>
    <m/>
    <m/>
    <m/>
    <m/>
    <m/>
    <m/>
    <m/>
    <m/>
    <m/>
    <m/>
    <m/>
    <m/>
    <m/>
    <m/>
    <m/>
    <n v="0"/>
    <n v="0"/>
    <n v="0"/>
    <n v="0"/>
    <n v="0"/>
    <n v="0"/>
    <n v="0"/>
    <n v="0"/>
    <n v="0"/>
    <n v="0"/>
    <n v="0"/>
    <n v="0"/>
    <m/>
    <s v="PRODUIT 01  |  CHIFFRE D'AFFAIRES"/>
    <b v="1"/>
  </r>
  <r>
    <n v="15"/>
    <x v="1"/>
    <m/>
    <s v="YEAR4"/>
    <x v="6"/>
    <x v="1"/>
    <x v="1"/>
    <x v="1"/>
    <x v="2"/>
    <m/>
    <m/>
    <m/>
    <m/>
    <m/>
    <m/>
    <m/>
    <m/>
    <m/>
    <m/>
    <m/>
    <m/>
    <m/>
    <m/>
    <m/>
    <m/>
    <m/>
    <m/>
    <m/>
    <n v="0"/>
    <n v="0"/>
    <n v="0"/>
    <n v="0"/>
    <n v="0"/>
    <n v="0"/>
    <n v="0"/>
    <n v="0"/>
    <n v="0"/>
    <n v="0"/>
    <n v="0"/>
    <n v="0"/>
    <m/>
    <s v="PRODUIT 01  |  CHIFFRE D'AFFAIRES"/>
    <b v="1"/>
  </r>
  <r>
    <n v="16"/>
    <x v="1"/>
    <m/>
    <s v="YEAR5"/>
    <x v="7"/>
    <x v="1"/>
    <x v="1"/>
    <x v="1"/>
    <x v="2"/>
    <m/>
    <m/>
    <m/>
    <m/>
    <m/>
    <m/>
    <m/>
    <m/>
    <m/>
    <m/>
    <m/>
    <m/>
    <m/>
    <m/>
    <m/>
    <m/>
    <m/>
    <m/>
    <m/>
    <n v="0"/>
    <n v="0"/>
    <n v="0"/>
    <n v="0"/>
    <n v="0"/>
    <n v="0"/>
    <n v="0"/>
    <n v="0"/>
    <n v="0"/>
    <n v="0"/>
    <n v="0"/>
    <n v="0"/>
    <m/>
    <s v="PRODUIT 01  |  CHIFFRE D'AFFAIRES"/>
    <b v="1"/>
  </r>
  <r>
    <n v="17"/>
    <x v="1"/>
    <m/>
    <s v="YEAR6"/>
    <x v="8"/>
    <x v="1"/>
    <x v="1"/>
    <x v="1"/>
    <x v="2"/>
    <m/>
    <m/>
    <m/>
    <m/>
    <m/>
    <m/>
    <m/>
    <m/>
    <m/>
    <m/>
    <m/>
    <m/>
    <m/>
    <m/>
    <m/>
    <m/>
    <m/>
    <m/>
    <m/>
    <n v="0"/>
    <n v="0"/>
    <n v="0"/>
    <n v="0"/>
    <n v="0"/>
    <n v="0"/>
    <n v="0"/>
    <n v="0"/>
    <n v="0"/>
    <n v="0"/>
    <n v="0"/>
    <n v="0"/>
    <m/>
    <s v="PRODUIT 01  |  CHIFFRE D'AFFAIRES"/>
    <b v="1"/>
  </r>
  <r>
    <n v="18"/>
    <x v="1"/>
    <m/>
    <s v="YEAR-2"/>
    <x v="1"/>
    <x v="1"/>
    <x v="1"/>
    <x v="1"/>
    <x v="3"/>
    <m/>
    <m/>
    <m/>
    <m/>
    <m/>
    <m/>
    <m/>
    <m/>
    <m/>
    <m/>
    <m/>
    <m/>
    <m/>
    <m/>
    <m/>
    <m/>
    <m/>
    <m/>
    <m/>
    <n v="0"/>
    <n v="0"/>
    <n v="0"/>
    <n v="0"/>
    <n v="0"/>
    <n v="0"/>
    <n v="0"/>
    <n v="0"/>
    <n v="0"/>
    <m/>
    <n v="0"/>
    <m/>
    <m/>
    <s v="PRODUIT 01  |  PRIX MOYEN DE VENTE PAR PRODUIT/SERVICE"/>
    <m/>
  </r>
  <r>
    <n v="19"/>
    <x v="1"/>
    <m/>
    <s v="YEAR-1"/>
    <x v="2"/>
    <x v="1"/>
    <x v="1"/>
    <x v="1"/>
    <x v="3"/>
    <m/>
    <m/>
    <m/>
    <m/>
    <m/>
    <m/>
    <m/>
    <m/>
    <m/>
    <m/>
    <m/>
    <m/>
    <m/>
    <m/>
    <m/>
    <m/>
    <m/>
    <m/>
    <m/>
    <n v="0"/>
    <n v="0"/>
    <n v="0"/>
    <n v="0"/>
    <n v="0"/>
    <n v="0"/>
    <n v="0"/>
    <n v="0"/>
    <n v="0"/>
    <m/>
    <n v="0"/>
    <m/>
    <m/>
    <s v="PRODUIT 01  |  PRIX MOYEN DE VENTE PAR PRODUIT/SERVICE"/>
    <m/>
  </r>
  <r>
    <n v="20"/>
    <x v="1"/>
    <m/>
    <s v="CURRENT YEAR"/>
    <x v="3"/>
    <x v="1"/>
    <x v="1"/>
    <x v="1"/>
    <x v="3"/>
    <m/>
    <m/>
    <m/>
    <m/>
    <m/>
    <m/>
    <m/>
    <m/>
    <m/>
    <m/>
    <m/>
    <m/>
    <m/>
    <m/>
    <m/>
    <m/>
    <m/>
    <m/>
    <m/>
    <n v="0"/>
    <n v="0"/>
    <n v="0"/>
    <n v="0"/>
    <n v="0"/>
    <n v="0"/>
    <n v="0"/>
    <n v="0"/>
    <n v="0"/>
    <m/>
    <n v="0"/>
    <m/>
    <m/>
    <s v="PRODUIT 01  |  PRIX MOYEN DE VENTE PAR PRODUIT/SERVICE"/>
    <m/>
  </r>
  <r>
    <n v="21"/>
    <x v="1"/>
    <m/>
    <s v="YEAR2"/>
    <x v="4"/>
    <x v="1"/>
    <x v="1"/>
    <x v="1"/>
    <x v="3"/>
    <m/>
    <m/>
    <m/>
    <m/>
    <m/>
    <m/>
    <m/>
    <m/>
    <m/>
    <m/>
    <m/>
    <m/>
    <m/>
    <m/>
    <m/>
    <m/>
    <m/>
    <m/>
    <m/>
    <n v="0"/>
    <n v="0"/>
    <n v="0"/>
    <n v="0"/>
    <n v="0"/>
    <n v="0"/>
    <n v="0"/>
    <n v="0"/>
    <n v="0"/>
    <m/>
    <n v="0"/>
    <m/>
    <m/>
    <s v="PRODUIT 01  |  PRIX MOYEN DE VENTE PAR PRODUIT/SERVICE"/>
    <m/>
  </r>
  <r>
    <n v="22"/>
    <x v="1"/>
    <m/>
    <s v="YEAR3"/>
    <x v="5"/>
    <x v="1"/>
    <x v="1"/>
    <x v="1"/>
    <x v="3"/>
    <m/>
    <m/>
    <m/>
    <m/>
    <m/>
    <m/>
    <m/>
    <m/>
    <m/>
    <m/>
    <m/>
    <m/>
    <m/>
    <m/>
    <m/>
    <m/>
    <m/>
    <m/>
    <m/>
    <n v="0"/>
    <n v="0"/>
    <n v="0"/>
    <n v="0"/>
    <n v="0"/>
    <n v="0"/>
    <n v="0"/>
    <n v="0"/>
    <n v="0"/>
    <m/>
    <n v="0"/>
    <m/>
    <m/>
    <s v="PRODUIT 01  |  PRIX MOYEN DE VENTE PAR PRODUIT/SERVICE"/>
    <m/>
  </r>
  <r>
    <n v="23"/>
    <x v="1"/>
    <m/>
    <s v="YEAR4"/>
    <x v="6"/>
    <x v="1"/>
    <x v="1"/>
    <x v="1"/>
    <x v="3"/>
    <m/>
    <m/>
    <m/>
    <m/>
    <m/>
    <m/>
    <m/>
    <m/>
    <m/>
    <m/>
    <m/>
    <m/>
    <m/>
    <m/>
    <m/>
    <m/>
    <m/>
    <m/>
    <m/>
    <n v="0"/>
    <n v="0"/>
    <n v="0"/>
    <n v="0"/>
    <n v="0"/>
    <n v="0"/>
    <n v="0"/>
    <n v="0"/>
    <n v="0"/>
    <m/>
    <n v="0"/>
    <m/>
    <m/>
    <s v="PRODUIT 01  |  PRIX MOYEN DE VENTE PAR PRODUIT/SERVICE"/>
    <m/>
  </r>
  <r>
    <n v="24"/>
    <x v="1"/>
    <m/>
    <s v="YEAR5"/>
    <x v="7"/>
    <x v="1"/>
    <x v="1"/>
    <x v="1"/>
    <x v="3"/>
    <m/>
    <m/>
    <m/>
    <m/>
    <m/>
    <m/>
    <m/>
    <m/>
    <m/>
    <m/>
    <m/>
    <m/>
    <m/>
    <m/>
    <m/>
    <m/>
    <m/>
    <m/>
    <m/>
    <n v="0"/>
    <n v="0"/>
    <n v="0"/>
    <n v="0"/>
    <n v="0"/>
    <n v="0"/>
    <n v="0"/>
    <n v="0"/>
    <n v="0"/>
    <m/>
    <n v="0"/>
    <m/>
    <m/>
    <s v="PRODUIT 01  |  PRIX MOYEN DE VENTE PAR PRODUIT/SERVICE"/>
    <m/>
  </r>
  <r>
    <n v="25"/>
    <x v="1"/>
    <m/>
    <s v="YEAR6"/>
    <x v="8"/>
    <x v="1"/>
    <x v="1"/>
    <x v="1"/>
    <x v="3"/>
    <m/>
    <m/>
    <m/>
    <m/>
    <m/>
    <m/>
    <m/>
    <m/>
    <m/>
    <m/>
    <m/>
    <m/>
    <m/>
    <m/>
    <m/>
    <m/>
    <m/>
    <m/>
    <m/>
    <n v="0"/>
    <n v="0"/>
    <n v="0"/>
    <n v="0"/>
    <n v="0"/>
    <n v="0"/>
    <n v="0"/>
    <n v="0"/>
    <n v="0"/>
    <m/>
    <n v="0"/>
    <m/>
    <m/>
    <s v="PRODUIT 01  |  PRIX MOYEN DE VENTE PAR PRODUIT/SERVICE"/>
    <m/>
  </r>
  <r>
    <n v="26"/>
    <x v="1"/>
    <m/>
    <s v="YEAR-2"/>
    <x v="1"/>
    <x v="1"/>
    <x v="1"/>
    <x v="1"/>
    <x v="4"/>
    <m/>
    <m/>
    <m/>
    <m/>
    <m/>
    <m/>
    <m/>
    <m/>
    <m/>
    <m/>
    <m/>
    <m/>
    <m/>
    <m/>
    <m/>
    <m/>
    <m/>
    <m/>
    <m/>
    <n v="0"/>
    <n v="0"/>
    <n v="0"/>
    <n v="0"/>
    <n v="0"/>
    <n v="0"/>
    <n v="0"/>
    <n v="0"/>
    <n v="0"/>
    <n v="0"/>
    <n v="0"/>
    <n v="0"/>
    <m/>
    <s v="PRODUIT 01  |  DEPENSES SUR ACHATS"/>
    <b v="1"/>
  </r>
  <r>
    <n v="27"/>
    <x v="1"/>
    <m/>
    <s v="YEAR-1"/>
    <x v="2"/>
    <x v="1"/>
    <x v="1"/>
    <x v="1"/>
    <x v="4"/>
    <m/>
    <m/>
    <m/>
    <m/>
    <m/>
    <m/>
    <m/>
    <m/>
    <m/>
    <m/>
    <m/>
    <m/>
    <m/>
    <m/>
    <m/>
    <m/>
    <m/>
    <m/>
    <m/>
    <n v="0"/>
    <n v="0"/>
    <n v="0"/>
    <n v="0"/>
    <n v="0"/>
    <n v="0"/>
    <n v="0"/>
    <n v="0"/>
    <n v="0"/>
    <n v="0"/>
    <n v="0"/>
    <n v="0"/>
    <m/>
    <s v="PRODUIT 01  |  DEPENSES SUR ACHATS"/>
    <b v="1"/>
  </r>
  <r>
    <n v="28"/>
    <x v="1"/>
    <m/>
    <s v="CURRENT YEAR"/>
    <x v="3"/>
    <x v="1"/>
    <x v="1"/>
    <x v="1"/>
    <x v="4"/>
    <m/>
    <m/>
    <m/>
    <m/>
    <m/>
    <m/>
    <m/>
    <m/>
    <m/>
    <m/>
    <m/>
    <m/>
    <m/>
    <m/>
    <m/>
    <m/>
    <m/>
    <m/>
    <m/>
    <n v="0"/>
    <n v="0"/>
    <n v="0"/>
    <n v="0"/>
    <n v="0"/>
    <n v="0"/>
    <n v="0"/>
    <n v="0"/>
    <n v="0"/>
    <n v="0"/>
    <n v="0"/>
    <n v="0"/>
    <m/>
    <s v="PRODUIT 01  |  DEPENSES SUR ACHATS"/>
    <b v="1"/>
  </r>
  <r>
    <n v="29"/>
    <x v="1"/>
    <m/>
    <s v="YEAR2"/>
    <x v="4"/>
    <x v="1"/>
    <x v="1"/>
    <x v="1"/>
    <x v="4"/>
    <m/>
    <m/>
    <m/>
    <m/>
    <m/>
    <m/>
    <m/>
    <m/>
    <m/>
    <m/>
    <m/>
    <m/>
    <m/>
    <m/>
    <m/>
    <m/>
    <m/>
    <m/>
    <m/>
    <n v="0"/>
    <n v="0"/>
    <n v="0"/>
    <n v="0"/>
    <n v="0"/>
    <n v="0"/>
    <n v="0"/>
    <n v="0"/>
    <n v="0"/>
    <n v="0"/>
    <n v="0"/>
    <n v="0"/>
    <m/>
    <s v="PRODUIT 01  |  DEPENSES SUR ACHATS"/>
    <b v="1"/>
  </r>
  <r>
    <n v="30"/>
    <x v="1"/>
    <m/>
    <s v="YEAR3"/>
    <x v="5"/>
    <x v="1"/>
    <x v="1"/>
    <x v="1"/>
    <x v="4"/>
    <m/>
    <m/>
    <m/>
    <m/>
    <m/>
    <m/>
    <m/>
    <m/>
    <m/>
    <m/>
    <m/>
    <m/>
    <m/>
    <m/>
    <m/>
    <m/>
    <m/>
    <m/>
    <m/>
    <n v="0"/>
    <n v="0"/>
    <n v="0"/>
    <n v="0"/>
    <n v="0"/>
    <n v="0"/>
    <n v="0"/>
    <n v="0"/>
    <n v="0"/>
    <n v="0"/>
    <n v="0"/>
    <n v="0"/>
    <m/>
    <s v="PRODUIT 01  |  DEPENSES SUR ACHATS"/>
    <b v="1"/>
  </r>
  <r>
    <n v="31"/>
    <x v="1"/>
    <m/>
    <s v="YEAR4"/>
    <x v="6"/>
    <x v="1"/>
    <x v="1"/>
    <x v="1"/>
    <x v="4"/>
    <m/>
    <m/>
    <m/>
    <m/>
    <m/>
    <m/>
    <m/>
    <m/>
    <m/>
    <m/>
    <m/>
    <m/>
    <m/>
    <m/>
    <m/>
    <m/>
    <m/>
    <m/>
    <m/>
    <n v="0"/>
    <n v="0"/>
    <n v="0"/>
    <n v="0"/>
    <n v="0"/>
    <n v="0"/>
    <n v="0"/>
    <n v="0"/>
    <n v="0"/>
    <n v="0"/>
    <n v="0"/>
    <n v="0"/>
    <m/>
    <s v="PRODUIT 01  |  DEPENSES SUR ACHATS"/>
    <b v="1"/>
  </r>
  <r>
    <n v="32"/>
    <x v="1"/>
    <m/>
    <s v="YEAR5"/>
    <x v="7"/>
    <x v="1"/>
    <x v="1"/>
    <x v="1"/>
    <x v="4"/>
    <m/>
    <m/>
    <m/>
    <m/>
    <m/>
    <m/>
    <m/>
    <m/>
    <m/>
    <m/>
    <m/>
    <m/>
    <m/>
    <m/>
    <m/>
    <m/>
    <m/>
    <m/>
    <m/>
    <n v="0"/>
    <n v="0"/>
    <n v="0"/>
    <n v="0"/>
    <n v="0"/>
    <n v="0"/>
    <n v="0"/>
    <n v="0"/>
    <n v="0"/>
    <n v="0"/>
    <n v="0"/>
    <n v="0"/>
    <m/>
    <s v="PRODUIT 01  |  DEPENSES SUR ACHATS"/>
    <b v="1"/>
  </r>
  <r>
    <n v="33"/>
    <x v="1"/>
    <m/>
    <s v="YEAR6"/>
    <x v="8"/>
    <x v="1"/>
    <x v="1"/>
    <x v="1"/>
    <x v="4"/>
    <m/>
    <m/>
    <m/>
    <m/>
    <m/>
    <m/>
    <m/>
    <m/>
    <m/>
    <m/>
    <m/>
    <m/>
    <m/>
    <m/>
    <m/>
    <m/>
    <m/>
    <m/>
    <m/>
    <n v="0"/>
    <n v="0"/>
    <n v="0"/>
    <n v="0"/>
    <n v="0"/>
    <n v="0"/>
    <n v="0"/>
    <n v="0"/>
    <n v="0"/>
    <n v="0"/>
    <n v="0"/>
    <n v="0"/>
    <m/>
    <s v="PRODUIT 01  |  DEPENSES SUR ACHATS"/>
    <b v="1"/>
  </r>
  <r>
    <n v="34"/>
    <x v="1"/>
    <m/>
    <s v="YEAR-2"/>
    <x v="1"/>
    <x v="1"/>
    <x v="1"/>
    <x v="1"/>
    <x v="5"/>
    <m/>
    <m/>
    <m/>
    <m/>
    <m/>
    <m/>
    <m/>
    <m/>
    <m/>
    <m/>
    <m/>
    <m/>
    <m/>
    <m/>
    <m/>
    <m/>
    <m/>
    <m/>
    <m/>
    <n v="0"/>
    <n v="0"/>
    <n v="0"/>
    <n v="0"/>
    <n v="0"/>
    <n v="0"/>
    <n v="0"/>
    <n v="0"/>
    <n v="0"/>
    <m/>
    <n v="0"/>
    <m/>
    <m/>
    <s v="PRODUIT 01  |  PRIX MOYEN D'ACHAT PAR PRODUIT/SERVICE"/>
    <m/>
  </r>
  <r>
    <n v="35"/>
    <x v="1"/>
    <m/>
    <s v="YEAR-1"/>
    <x v="2"/>
    <x v="1"/>
    <x v="1"/>
    <x v="1"/>
    <x v="5"/>
    <m/>
    <m/>
    <m/>
    <m/>
    <m/>
    <m/>
    <m/>
    <m/>
    <m/>
    <m/>
    <m/>
    <m/>
    <m/>
    <m/>
    <m/>
    <m/>
    <m/>
    <m/>
    <m/>
    <n v="0"/>
    <n v="0"/>
    <n v="0"/>
    <n v="0"/>
    <n v="0"/>
    <n v="0"/>
    <n v="0"/>
    <n v="0"/>
    <n v="0"/>
    <m/>
    <n v="0"/>
    <m/>
    <m/>
    <s v="PRODUIT 01  |  PRIX MOYEN D'ACHAT PAR PRODUIT/SERVICE"/>
    <m/>
  </r>
  <r>
    <n v="36"/>
    <x v="1"/>
    <m/>
    <s v="CURRENT YEAR"/>
    <x v="3"/>
    <x v="1"/>
    <x v="1"/>
    <x v="1"/>
    <x v="5"/>
    <m/>
    <m/>
    <m/>
    <m/>
    <m/>
    <m/>
    <m/>
    <m/>
    <m/>
    <m/>
    <m/>
    <m/>
    <m/>
    <m/>
    <m/>
    <m/>
    <m/>
    <m/>
    <m/>
    <n v="0"/>
    <n v="0"/>
    <n v="0"/>
    <n v="0"/>
    <n v="0"/>
    <n v="0"/>
    <n v="0"/>
    <n v="0"/>
    <n v="0"/>
    <m/>
    <n v="0"/>
    <m/>
    <m/>
    <s v="PRODUIT 01  |  PRIX MOYEN D'ACHAT PAR PRODUIT/SERVICE"/>
    <m/>
  </r>
  <r>
    <n v="37"/>
    <x v="1"/>
    <m/>
    <s v="YEAR2"/>
    <x v="4"/>
    <x v="1"/>
    <x v="1"/>
    <x v="1"/>
    <x v="5"/>
    <m/>
    <m/>
    <m/>
    <m/>
    <m/>
    <m/>
    <m/>
    <m/>
    <m/>
    <m/>
    <m/>
    <m/>
    <m/>
    <m/>
    <m/>
    <m/>
    <m/>
    <m/>
    <m/>
    <n v="0"/>
    <n v="0"/>
    <n v="0"/>
    <n v="0"/>
    <n v="0"/>
    <n v="0"/>
    <n v="0"/>
    <n v="0"/>
    <n v="0"/>
    <m/>
    <n v="0"/>
    <m/>
    <m/>
    <s v="PRODUIT 01  |  PRIX MOYEN D'ACHAT PAR PRODUIT/SERVICE"/>
    <m/>
  </r>
  <r>
    <n v="38"/>
    <x v="1"/>
    <m/>
    <s v="YEAR3"/>
    <x v="5"/>
    <x v="1"/>
    <x v="1"/>
    <x v="1"/>
    <x v="5"/>
    <m/>
    <m/>
    <m/>
    <m/>
    <m/>
    <m/>
    <m/>
    <m/>
    <m/>
    <m/>
    <m/>
    <m/>
    <m/>
    <m/>
    <m/>
    <m/>
    <m/>
    <m/>
    <m/>
    <n v="0"/>
    <n v="0"/>
    <n v="0"/>
    <n v="0"/>
    <n v="0"/>
    <n v="0"/>
    <n v="0"/>
    <n v="0"/>
    <n v="0"/>
    <m/>
    <n v="0"/>
    <m/>
    <m/>
    <s v="PRODUIT 01  |  PRIX MOYEN D'ACHAT PAR PRODUIT/SERVICE"/>
    <m/>
  </r>
  <r>
    <n v="39"/>
    <x v="1"/>
    <m/>
    <s v="YEAR4"/>
    <x v="6"/>
    <x v="1"/>
    <x v="1"/>
    <x v="1"/>
    <x v="5"/>
    <m/>
    <m/>
    <m/>
    <m/>
    <m/>
    <m/>
    <m/>
    <m/>
    <m/>
    <m/>
    <m/>
    <m/>
    <m/>
    <m/>
    <m/>
    <m/>
    <m/>
    <m/>
    <m/>
    <n v="0"/>
    <n v="0"/>
    <n v="0"/>
    <n v="0"/>
    <n v="0"/>
    <n v="0"/>
    <n v="0"/>
    <n v="0"/>
    <n v="0"/>
    <m/>
    <n v="0"/>
    <m/>
    <m/>
    <s v="PRODUIT 01  |  PRIX MOYEN D'ACHAT PAR PRODUIT/SERVICE"/>
    <m/>
  </r>
  <r>
    <n v="40"/>
    <x v="1"/>
    <m/>
    <s v="YEAR5"/>
    <x v="7"/>
    <x v="1"/>
    <x v="1"/>
    <x v="1"/>
    <x v="5"/>
    <m/>
    <m/>
    <m/>
    <m/>
    <m/>
    <m/>
    <m/>
    <m/>
    <m/>
    <m/>
    <m/>
    <m/>
    <m/>
    <m/>
    <m/>
    <m/>
    <m/>
    <m/>
    <m/>
    <n v="0"/>
    <n v="0"/>
    <n v="0"/>
    <n v="0"/>
    <n v="0"/>
    <n v="0"/>
    <n v="0"/>
    <n v="0"/>
    <n v="0"/>
    <m/>
    <n v="0"/>
    <m/>
    <m/>
    <s v="PRODUIT 01  |  PRIX MOYEN D'ACHAT PAR PRODUIT/SERVICE"/>
    <m/>
  </r>
  <r>
    <n v="41"/>
    <x v="1"/>
    <m/>
    <s v="YEAR6"/>
    <x v="8"/>
    <x v="1"/>
    <x v="1"/>
    <x v="1"/>
    <x v="5"/>
    <m/>
    <m/>
    <m/>
    <m/>
    <m/>
    <m/>
    <m/>
    <m/>
    <m/>
    <m/>
    <m/>
    <m/>
    <m/>
    <m/>
    <m/>
    <m/>
    <m/>
    <m/>
    <m/>
    <n v="0"/>
    <n v="0"/>
    <n v="0"/>
    <n v="0"/>
    <n v="0"/>
    <n v="0"/>
    <n v="0"/>
    <n v="0"/>
    <n v="0"/>
    <m/>
    <n v="0"/>
    <m/>
    <m/>
    <s v="PRODUIT 01  |  PRIX MOYEN D'ACHAT PAR PRODUIT/SERVICE"/>
    <m/>
  </r>
  <r>
    <n v="42"/>
    <x v="0"/>
    <n v="1"/>
    <m/>
    <x v="0"/>
    <x v="0"/>
    <x v="0"/>
    <x v="0"/>
    <x v="0"/>
    <m/>
    <m/>
    <m/>
    <m/>
    <m/>
    <m/>
    <m/>
    <m/>
    <m/>
    <m/>
    <m/>
    <m/>
    <m/>
    <m/>
    <m/>
    <m/>
    <m/>
    <m/>
    <m/>
    <m/>
    <m/>
    <m/>
    <m/>
    <m/>
    <m/>
    <m/>
    <m/>
    <m/>
    <m/>
    <m/>
    <m/>
    <m/>
    <m/>
    <m/>
  </r>
  <r>
    <n v="43"/>
    <x v="0"/>
    <m/>
    <m/>
    <x v="0"/>
    <x v="0"/>
    <x v="0"/>
    <x v="0"/>
    <x v="0"/>
    <m/>
    <m/>
    <m/>
    <m/>
    <m/>
    <m/>
    <m/>
    <m/>
    <m/>
    <m/>
    <m/>
    <m/>
    <m/>
    <m/>
    <m/>
    <m/>
    <m/>
    <m/>
    <m/>
    <m/>
    <m/>
    <m/>
    <m/>
    <m/>
    <m/>
    <m/>
    <m/>
    <m/>
    <m/>
    <m/>
    <m/>
    <m/>
    <m/>
    <m/>
  </r>
  <r>
    <n v="44"/>
    <x v="1"/>
    <n v="1"/>
    <s v="YEAR-2"/>
    <x v="1"/>
    <x v="1"/>
    <x v="2"/>
    <x v="2"/>
    <x v="1"/>
    <n v="1000"/>
    <n v="0"/>
    <n v="0"/>
    <n v="1000"/>
    <n v="1"/>
    <n v="0"/>
    <n v="0"/>
    <n v="500"/>
    <n v="0"/>
    <n v="0"/>
    <n v="0"/>
    <n v="1"/>
    <n v="1"/>
    <n v="1"/>
    <n v="0"/>
    <n v="0"/>
    <n v="0"/>
    <n v="0"/>
    <n v="0"/>
    <n v="0"/>
    <n v="0"/>
    <n v="0"/>
    <n v="0"/>
    <n v="0"/>
    <n v="0"/>
    <n v="0"/>
    <n v="0"/>
    <n v="0"/>
    <n v="0"/>
    <n v="0"/>
    <n v="0"/>
    <s v="GAMME # : 1 + CANAL DE DISTRIBUTION # : 1"/>
    <s v="PRODUIT 02  |  VOLUME"/>
    <b v="1"/>
  </r>
  <r>
    <n v="45"/>
    <x v="1"/>
    <n v="1"/>
    <s v="YEAR-1"/>
    <x v="2"/>
    <x v="1"/>
    <x v="2"/>
    <x v="2"/>
    <x v="1"/>
    <n v="1000"/>
    <n v="0"/>
    <n v="0"/>
    <n v="1000"/>
    <n v="1"/>
    <n v="0"/>
    <n v="0"/>
    <n v="500"/>
    <n v="0"/>
    <n v="0"/>
    <n v="0"/>
    <n v="1"/>
    <n v="1"/>
    <n v="1"/>
    <n v="0"/>
    <n v="0"/>
    <n v="0"/>
    <n v="0"/>
    <n v="0"/>
    <n v="0"/>
    <n v="0"/>
    <n v="0"/>
    <n v="0"/>
    <n v="0"/>
    <n v="0"/>
    <n v="0"/>
    <n v="0"/>
    <n v="0"/>
    <n v="0"/>
    <n v="0"/>
    <n v="0"/>
    <m/>
    <s v="PRODUIT 02  |  VOLUME"/>
    <b v="1"/>
  </r>
  <r>
    <n v="46"/>
    <x v="1"/>
    <n v="1"/>
    <s v="CURRENT YEAR"/>
    <x v="3"/>
    <x v="1"/>
    <x v="2"/>
    <x v="2"/>
    <x v="1"/>
    <n v="1000"/>
    <n v="0"/>
    <n v="0"/>
    <n v="1000"/>
    <n v="1"/>
    <n v="0"/>
    <n v="0"/>
    <n v="500"/>
    <n v="0"/>
    <n v="0"/>
    <n v="0"/>
    <n v="1"/>
    <n v="1"/>
    <n v="1"/>
    <n v="0"/>
    <n v="0"/>
    <n v="0"/>
    <n v="0"/>
    <n v="0"/>
    <n v="0"/>
    <n v="0"/>
    <n v="0"/>
    <n v="0"/>
    <n v="0"/>
    <n v="0"/>
    <n v="0"/>
    <n v="0"/>
    <n v="0"/>
    <n v="0"/>
    <n v="0"/>
    <n v="0"/>
    <m/>
    <s v="PRODUIT 02  |  VOLUME"/>
    <b v="1"/>
  </r>
  <r>
    <n v="47"/>
    <x v="1"/>
    <n v="1"/>
    <s v="YEAR2"/>
    <x v="4"/>
    <x v="1"/>
    <x v="2"/>
    <x v="2"/>
    <x v="1"/>
    <n v="1000"/>
    <n v="0"/>
    <n v="0"/>
    <n v="1000"/>
    <n v="1"/>
    <n v="0"/>
    <n v="0"/>
    <n v="500"/>
    <n v="0"/>
    <n v="0"/>
    <n v="0"/>
    <n v="1"/>
    <n v="1"/>
    <n v="1"/>
    <n v="0"/>
    <n v="0"/>
    <n v="0"/>
    <n v="0"/>
    <n v="0"/>
    <n v="0"/>
    <n v="0"/>
    <n v="0"/>
    <n v="0"/>
    <n v="0"/>
    <n v="0"/>
    <n v="0"/>
    <n v="0"/>
    <n v="0"/>
    <n v="0"/>
    <n v="0"/>
    <n v="0"/>
    <m/>
    <s v="PRODUIT 02  |  VOLUME"/>
    <b v="1"/>
  </r>
  <r>
    <n v="48"/>
    <x v="1"/>
    <n v="1"/>
    <s v="YEAR3"/>
    <x v="5"/>
    <x v="1"/>
    <x v="2"/>
    <x v="2"/>
    <x v="1"/>
    <n v="1000"/>
    <n v="0"/>
    <n v="0"/>
    <n v="1000"/>
    <n v="1"/>
    <n v="0"/>
    <n v="0"/>
    <n v="500"/>
    <n v="0"/>
    <n v="0"/>
    <n v="0"/>
    <n v="1"/>
    <n v="1"/>
    <n v="1"/>
    <n v="0"/>
    <n v="0"/>
    <n v="0"/>
    <n v="0"/>
    <n v="0"/>
    <n v="0"/>
    <n v="0"/>
    <n v="0"/>
    <n v="0"/>
    <n v="0"/>
    <n v="0"/>
    <n v="0"/>
    <n v="0"/>
    <n v="0"/>
    <n v="0"/>
    <n v="0"/>
    <n v="0"/>
    <m/>
    <s v="PRODUIT 02  |  VOLUME"/>
    <b v="1"/>
  </r>
  <r>
    <n v="49"/>
    <x v="1"/>
    <n v="1"/>
    <s v="YEAR4"/>
    <x v="6"/>
    <x v="1"/>
    <x v="2"/>
    <x v="2"/>
    <x v="1"/>
    <n v="1000"/>
    <n v="0"/>
    <n v="0"/>
    <n v="1000"/>
    <n v="1"/>
    <n v="0"/>
    <n v="0"/>
    <n v="500"/>
    <n v="0"/>
    <n v="0"/>
    <n v="0"/>
    <n v="1"/>
    <n v="1"/>
    <n v="1"/>
    <n v="0"/>
    <n v="0"/>
    <n v="0"/>
    <n v="0"/>
    <n v="0"/>
    <n v="0"/>
    <n v="0"/>
    <n v="0"/>
    <n v="0"/>
    <n v="0"/>
    <n v="0"/>
    <n v="0"/>
    <n v="0"/>
    <n v="0"/>
    <n v="0"/>
    <n v="0"/>
    <n v="0"/>
    <m/>
    <s v="PRODUIT 02  |  VOLUME"/>
    <b v="1"/>
  </r>
  <r>
    <n v="50"/>
    <x v="1"/>
    <n v="1"/>
    <s v="YEAR5"/>
    <x v="7"/>
    <x v="1"/>
    <x v="2"/>
    <x v="2"/>
    <x v="1"/>
    <n v="1000"/>
    <n v="0"/>
    <n v="0"/>
    <n v="1000"/>
    <n v="1"/>
    <n v="0"/>
    <n v="0"/>
    <n v="500"/>
    <n v="0"/>
    <n v="0"/>
    <n v="0"/>
    <n v="1"/>
    <n v="1"/>
    <n v="1"/>
    <n v="0"/>
    <n v="0"/>
    <n v="0"/>
    <n v="0"/>
    <n v="0"/>
    <n v="0"/>
    <n v="0"/>
    <n v="0"/>
    <n v="0"/>
    <n v="0"/>
    <n v="0"/>
    <n v="0"/>
    <n v="0"/>
    <n v="0"/>
    <n v="0"/>
    <n v="0"/>
    <n v="0"/>
    <m/>
    <s v="PRODUIT 02  |  VOLUME"/>
    <b v="1"/>
  </r>
  <r>
    <n v="51"/>
    <x v="1"/>
    <n v="1"/>
    <s v="YEAR6"/>
    <x v="8"/>
    <x v="1"/>
    <x v="2"/>
    <x v="2"/>
    <x v="1"/>
    <n v="1000"/>
    <n v="0"/>
    <n v="0"/>
    <n v="1000"/>
    <n v="1"/>
    <n v="0"/>
    <n v="0"/>
    <n v="500"/>
    <n v="0"/>
    <n v="0"/>
    <n v="0"/>
    <n v="1"/>
    <n v="1"/>
    <n v="1"/>
    <n v="0"/>
    <n v="0"/>
    <n v="0"/>
    <n v="0"/>
    <n v="0"/>
    <n v="0"/>
    <n v="0"/>
    <n v="0"/>
    <n v="0"/>
    <n v="0"/>
    <n v="0"/>
    <n v="0"/>
    <n v="0"/>
    <n v="0"/>
    <n v="0"/>
    <n v="0"/>
    <n v="0"/>
    <m/>
    <s v="PRODUIT 02  |  VOLUME"/>
    <b v="1"/>
  </r>
  <r>
    <n v="52"/>
    <x v="1"/>
    <m/>
    <s v="YEAR-2"/>
    <x v="1"/>
    <x v="1"/>
    <x v="2"/>
    <x v="2"/>
    <x v="2"/>
    <m/>
    <m/>
    <m/>
    <m/>
    <m/>
    <m/>
    <m/>
    <m/>
    <m/>
    <m/>
    <m/>
    <m/>
    <m/>
    <m/>
    <m/>
    <m/>
    <m/>
    <m/>
    <m/>
    <n v="0"/>
    <n v="0"/>
    <n v="0"/>
    <n v="0"/>
    <n v="0"/>
    <n v="0"/>
    <n v="0"/>
    <n v="0"/>
    <n v="0"/>
    <n v="0"/>
    <n v="0"/>
    <n v="0"/>
    <m/>
    <s v="PRODUIT 02  |  CHIFFRE D'AFFAIRES"/>
    <b v="1"/>
  </r>
  <r>
    <n v="53"/>
    <x v="1"/>
    <m/>
    <s v="YEAR-1"/>
    <x v="2"/>
    <x v="1"/>
    <x v="2"/>
    <x v="2"/>
    <x v="2"/>
    <m/>
    <m/>
    <m/>
    <m/>
    <m/>
    <m/>
    <m/>
    <m/>
    <m/>
    <m/>
    <m/>
    <m/>
    <m/>
    <m/>
    <m/>
    <m/>
    <m/>
    <m/>
    <m/>
    <n v="0"/>
    <n v="0"/>
    <n v="0"/>
    <n v="0"/>
    <n v="0"/>
    <n v="0"/>
    <n v="0"/>
    <n v="0"/>
    <n v="0"/>
    <n v="0"/>
    <n v="0"/>
    <n v="0"/>
    <m/>
    <s v="PRODUIT 02  |  CHIFFRE D'AFFAIRES"/>
    <b v="1"/>
  </r>
  <r>
    <n v="54"/>
    <x v="1"/>
    <m/>
    <s v="CURRENT YEAR"/>
    <x v="3"/>
    <x v="1"/>
    <x v="2"/>
    <x v="2"/>
    <x v="2"/>
    <m/>
    <m/>
    <m/>
    <m/>
    <m/>
    <m/>
    <m/>
    <m/>
    <m/>
    <m/>
    <m/>
    <m/>
    <m/>
    <m/>
    <m/>
    <m/>
    <m/>
    <m/>
    <m/>
    <n v="0"/>
    <n v="0"/>
    <n v="0"/>
    <n v="0"/>
    <n v="0"/>
    <n v="0"/>
    <n v="0"/>
    <n v="0"/>
    <n v="0"/>
    <n v="0"/>
    <n v="0"/>
    <n v="0"/>
    <m/>
    <s v="PRODUIT 02  |  CHIFFRE D'AFFAIRES"/>
    <b v="1"/>
  </r>
  <r>
    <n v="55"/>
    <x v="1"/>
    <m/>
    <s v="YEAR2"/>
    <x v="4"/>
    <x v="1"/>
    <x v="2"/>
    <x v="2"/>
    <x v="2"/>
    <m/>
    <m/>
    <m/>
    <m/>
    <m/>
    <m/>
    <m/>
    <m/>
    <m/>
    <m/>
    <m/>
    <m/>
    <m/>
    <m/>
    <m/>
    <m/>
    <m/>
    <m/>
    <m/>
    <n v="0"/>
    <n v="0"/>
    <n v="0"/>
    <n v="0"/>
    <n v="0"/>
    <n v="0"/>
    <n v="0"/>
    <n v="0"/>
    <n v="0"/>
    <n v="0"/>
    <n v="0"/>
    <n v="0"/>
    <m/>
    <s v="PRODUIT 02  |  CHIFFRE D'AFFAIRES"/>
    <b v="1"/>
  </r>
  <r>
    <n v="56"/>
    <x v="1"/>
    <m/>
    <s v="YEAR3"/>
    <x v="5"/>
    <x v="1"/>
    <x v="2"/>
    <x v="2"/>
    <x v="2"/>
    <m/>
    <m/>
    <m/>
    <m/>
    <m/>
    <m/>
    <m/>
    <m/>
    <m/>
    <m/>
    <m/>
    <m/>
    <m/>
    <m/>
    <m/>
    <m/>
    <m/>
    <m/>
    <m/>
    <n v="0"/>
    <n v="0"/>
    <n v="0"/>
    <n v="0"/>
    <n v="0"/>
    <n v="0"/>
    <n v="0"/>
    <n v="0"/>
    <n v="0"/>
    <n v="0"/>
    <n v="0"/>
    <n v="0"/>
    <m/>
    <s v="PRODUIT 02  |  CHIFFRE D'AFFAIRES"/>
    <b v="1"/>
  </r>
  <r>
    <n v="57"/>
    <x v="1"/>
    <m/>
    <s v="YEAR4"/>
    <x v="6"/>
    <x v="1"/>
    <x v="2"/>
    <x v="2"/>
    <x v="2"/>
    <m/>
    <m/>
    <m/>
    <m/>
    <m/>
    <m/>
    <m/>
    <m/>
    <m/>
    <m/>
    <m/>
    <m/>
    <m/>
    <m/>
    <m/>
    <m/>
    <m/>
    <m/>
    <m/>
    <n v="0"/>
    <n v="0"/>
    <n v="0"/>
    <n v="0"/>
    <n v="0"/>
    <n v="0"/>
    <n v="0"/>
    <n v="0"/>
    <n v="0"/>
    <n v="0"/>
    <n v="0"/>
    <n v="0"/>
    <m/>
    <s v="PRODUIT 02  |  CHIFFRE D'AFFAIRES"/>
    <b v="1"/>
  </r>
  <r>
    <n v="58"/>
    <x v="1"/>
    <m/>
    <s v="YEAR5"/>
    <x v="7"/>
    <x v="1"/>
    <x v="2"/>
    <x v="2"/>
    <x v="2"/>
    <m/>
    <m/>
    <m/>
    <m/>
    <m/>
    <m/>
    <m/>
    <m/>
    <m/>
    <m/>
    <m/>
    <m/>
    <m/>
    <m/>
    <m/>
    <m/>
    <m/>
    <m/>
    <m/>
    <n v="0"/>
    <n v="0"/>
    <n v="0"/>
    <n v="0"/>
    <n v="0"/>
    <n v="0"/>
    <n v="0"/>
    <n v="0"/>
    <n v="0"/>
    <n v="0"/>
    <n v="0"/>
    <n v="0"/>
    <m/>
    <s v="PRODUIT 02  |  CHIFFRE D'AFFAIRES"/>
    <b v="1"/>
  </r>
  <r>
    <n v="59"/>
    <x v="1"/>
    <m/>
    <s v="YEAR6"/>
    <x v="8"/>
    <x v="1"/>
    <x v="2"/>
    <x v="2"/>
    <x v="2"/>
    <m/>
    <m/>
    <m/>
    <m/>
    <m/>
    <m/>
    <m/>
    <m/>
    <m/>
    <m/>
    <m/>
    <m/>
    <m/>
    <m/>
    <m/>
    <m/>
    <m/>
    <m/>
    <m/>
    <n v="0"/>
    <n v="0"/>
    <n v="0"/>
    <n v="0"/>
    <n v="0"/>
    <n v="0"/>
    <n v="0"/>
    <n v="0"/>
    <n v="0"/>
    <n v="0"/>
    <n v="0"/>
    <n v="0"/>
    <m/>
    <s v="PRODUIT 02  |  CHIFFRE D'AFFAIRES"/>
    <b v="1"/>
  </r>
  <r>
    <n v="60"/>
    <x v="1"/>
    <m/>
    <s v="YEAR-2"/>
    <x v="1"/>
    <x v="1"/>
    <x v="2"/>
    <x v="2"/>
    <x v="3"/>
    <m/>
    <m/>
    <m/>
    <m/>
    <m/>
    <m/>
    <m/>
    <m/>
    <m/>
    <m/>
    <m/>
    <m/>
    <m/>
    <m/>
    <m/>
    <m/>
    <m/>
    <m/>
    <m/>
    <n v="0"/>
    <n v="0"/>
    <n v="0"/>
    <n v="0"/>
    <n v="0"/>
    <n v="0"/>
    <n v="0"/>
    <n v="0"/>
    <n v="0"/>
    <m/>
    <n v="0"/>
    <m/>
    <m/>
    <s v="PRODUIT 02  |  PRIX MOYEN DE VENTE PAR PRODUIT/SERVICE"/>
    <m/>
  </r>
  <r>
    <n v="61"/>
    <x v="1"/>
    <m/>
    <s v="YEAR-1"/>
    <x v="2"/>
    <x v="1"/>
    <x v="2"/>
    <x v="2"/>
    <x v="3"/>
    <m/>
    <m/>
    <m/>
    <m/>
    <m/>
    <m/>
    <m/>
    <m/>
    <m/>
    <m/>
    <m/>
    <m/>
    <m/>
    <m/>
    <m/>
    <m/>
    <m/>
    <m/>
    <m/>
    <n v="0"/>
    <n v="0"/>
    <n v="0"/>
    <n v="0"/>
    <n v="0"/>
    <n v="0"/>
    <n v="0"/>
    <n v="0"/>
    <n v="0"/>
    <m/>
    <n v="0"/>
    <m/>
    <m/>
    <s v="PRODUIT 02  |  PRIX MOYEN DE VENTE PAR PRODUIT/SERVICE"/>
    <m/>
  </r>
  <r>
    <n v="62"/>
    <x v="1"/>
    <m/>
    <s v="CURRENT YEAR"/>
    <x v="3"/>
    <x v="1"/>
    <x v="2"/>
    <x v="2"/>
    <x v="3"/>
    <m/>
    <m/>
    <m/>
    <m/>
    <m/>
    <m/>
    <m/>
    <m/>
    <m/>
    <m/>
    <m/>
    <m/>
    <m/>
    <m/>
    <m/>
    <m/>
    <m/>
    <m/>
    <m/>
    <n v="0"/>
    <n v="0"/>
    <n v="0"/>
    <n v="0"/>
    <n v="0"/>
    <n v="0"/>
    <n v="0"/>
    <n v="0"/>
    <n v="0"/>
    <m/>
    <n v="0"/>
    <m/>
    <m/>
    <s v="PRODUIT 02  |  PRIX MOYEN DE VENTE PAR PRODUIT/SERVICE"/>
    <m/>
  </r>
  <r>
    <n v="63"/>
    <x v="1"/>
    <m/>
    <s v="YEAR2"/>
    <x v="4"/>
    <x v="1"/>
    <x v="2"/>
    <x v="2"/>
    <x v="3"/>
    <m/>
    <m/>
    <m/>
    <m/>
    <m/>
    <m/>
    <m/>
    <m/>
    <m/>
    <m/>
    <m/>
    <m/>
    <m/>
    <m/>
    <m/>
    <m/>
    <m/>
    <m/>
    <m/>
    <n v="0"/>
    <n v="0"/>
    <n v="0"/>
    <n v="0"/>
    <n v="0"/>
    <n v="0"/>
    <n v="0"/>
    <n v="0"/>
    <n v="0"/>
    <m/>
    <n v="0"/>
    <m/>
    <m/>
    <s v="PRODUIT 02  |  PRIX MOYEN DE VENTE PAR PRODUIT/SERVICE"/>
    <m/>
  </r>
  <r>
    <n v="64"/>
    <x v="1"/>
    <m/>
    <s v="YEAR3"/>
    <x v="5"/>
    <x v="1"/>
    <x v="2"/>
    <x v="2"/>
    <x v="3"/>
    <m/>
    <m/>
    <m/>
    <m/>
    <m/>
    <m/>
    <m/>
    <m/>
    <m/>
    <m/>
    <m/>
    <m/>
    <m/>
    <m/>
    <m/>
    <m/>
    <m/>
    <m/>
    <m/>
    <n v="0"/>
    <n v="0"/>
    <n v="0"/>
    <n v="0"/>
    <n v="0"/>
    <n v="0"/>
    <n v="0"/>
    <n v="0"/>
    <n v="0"/>
    <m/>
    <n v="0"/>
    <m/>
    <m/>
    <s v="PRODUIT 02  |  PRIX MOYEN DE VENTE PAR PRODUIT/SERVICE"/>
    <m/>
  </r>
  <r>
    <n v="65"/>
    <x v="1"/>
    <m/>
    <s v="YEAR4"/>
    <x v="6"/>
    <x v="1"/>
    <x v="2"/>
    <x v="2"/>
    <x v="3"/>
    <m/>
    <m/>
    <m/>
    <m/>
    <m/>
    <m/>
    <m/>
    <m/>
    <m/>
    <m/>
    <m/>
    <m/>
    <m/>
    <m/>
    <m/>
    <m/>
    <m/>
    <m/>
    <m/>
    <n v="0"/>
    <n v="0"/>
    <n v="0"/>
    <n v="0"/>
    <n v="0"/>
    <n v="0"/>
    <n v="0"/>
    <n v="0"/>
    <n v="0"/>
    <m/>
    <n v="0"/>
    <m/>
    <m/>
    <s v="PRODUIT 02  |  PRIX MOYEN DE VENTE PAR PRODUIT/SERVICE"/>
    <m/>
  </r>
  <r>
    <n v="66"/>
    <x v="1"/>
    <m/>
    <s v="YEAR5"/>
    <x v="7"/>
    <x v="1"/>
    <x v="2"/>
    <x v="2"/>
    <x v="3"/>
    <m/>
    <m/>
    <m/>
    <m/>
    <m/>
    <m/>
    <m/>
    <m/>
    <m/>
    <m/>
    <m/>
    <m/>
    <m/>
    <m/>
    <m/>
    <m/>
    <m/>
    <m/>
    <m/>
    <n v="0"/>
    <n v="0"/>
    <n v="0"/>
    <n v="0"/>
    <n v="0"/>
    <n v="0"/>
    <n v="0"/>
    <n v="0"/>
    <n v="0"/>
    <m/>
    <n v="0"/>
    <m/>
    <m/>
    <s v="PRODUIT 02  |  PRIX MOYEN DE VENTE PAR PRODUIT/SERVICE"/>
    <m/>
  </r>
  <r>
    <n v="67"/>
    <x v="1"/>
    <m/>
    <s v="YEAR6"/>
    <x v="8"/>
    <x v="1"/>
    <x v="2"/>
    <x v="2"/>
    <x v="3"/>
    <m/>
    <m/>
    <m/>
    <m/>
    <m/>
    <m/>
    <m/>
    <m/>
    <m/>
    <m/>
    <m/>
    <m/>
    <m/>
    <m/>
    <m/>
    <m/>
    <m/>
    <m/>
    <m/>
    <n v="0"/>
    <n v="0"/>
    <n v="0"/>
    <n v="0"/>
    <n v="0"/>
    <n v="0"/>
    <n v="0"/>
    <n v="0"/>
    <n v="0"/>
    <m/>
    <n v="0"/>
    <m/>
    <m/>
    <s v="PRODUIT 02  |  PRIX MOYEN DE VENTE PAR PRODUIT/SERVICE"/>
    <m/>
  </r>
  <r>
    <n v="68"/>
    <x v="1"/>
    <m/>
    <s v="YEAR-2"/>
    <x v="1"/>
    <x v="1"/>
    <x v="2"/>
    <x v="2"/>
    <x v="4"/>
    <m/>
    <m/>
    <m/>
    <m/>
    <m/>
    <m/>
    <m/>
    <m/>
    <m/>
    <m/>
    <m/>
    <m/>
    <m/>
    <m/>
    <m/>
    <m/>
    <m/>
    <m/>
    <m/>
    <n v="0"/>
    <n v="0"/>
    <n v="0"/>
    <n v="0"/>
    <n v="0"/>
    <n v="0"/>
    <n v="0"/>
    <n v="0"/>
    <n v="0"/>
    <n v="0"/>
    <n v="0"/>
    <n v="0"/>
    <m/>
    <s v="PRODUIT 02  |  DEPENSES SUR ACHATS"/>
    <b v="1"/>
  </r>
  <r>
    <n v="69"/>
    <x v="1"/>
    <m/>
    <s v="YEAR-1"/>
    <x v="2"/>
    <x v="1"/>
    <x v="2"/>
    <x v="2"/>
    <x v="4"/>
    <m/>
    <m/>
    <m/>
    <m/>
    <m/>
    <m/>
    <m/>
    <m/>
    <m/>
    <m/>
    <m/>
    <m/>
    <m/>
    <m/>
    <m/>
    <m/>
    <m/>
    <m/>
    <m/>
    <n v="0"/>
    <n v="0"/>
    <n v="0"/>
    <n v="0"/>
    <n v="0"/>
    <n v="0"/>
    <n v="0"/>
    <n v="0"/>
    <n v="0"/>
    <n v="0"/>
    <n v="0"/>
    <n v="0"/>
    <m/>
    <s v="PRODUIT 02  |  DEPENSES SUR ACHATS"/>
    <b v="1"/>
  </r>
  <r>
    <n v="70"/>
    <x v="1"/>
    <m/>
    <s v="CURRENT YEAR"/>
    <x v="3"/>
    <x v="1"/>
    <x v="2"/>
    <x v="2"/>
    <x v="4"/>
    <m/>
    <m/>
    <m/>
    <m/>
    <m/>
    <m/>
    <m/>
    <m/>
    <m/>
    <m/>
    <m/>
    <m/>
    <m/>
    <m/>
    <m/>
    <m/>
    <m/>
    <m/>
    <m/>
    <n v="0"/>
    <n v="0"/>
    <n v="0"/>
    <n v="0"/>
    <n v="0"/>
    <n v="0"/>
    <n v="0"/>
    <n v="0"/>
    <n v="0"/>
    <n v="0"/>
    <n v="0"/>
    <n v="0"/>
    <m/>
    <s v="PRODUIT 02  |  DEPENSES SUR ACHATS"/>
    <b v="1"/>
  </r>
  <r>
    <n v="71"/>
    <x v="1"/>
    <m/>
    <s v="YEAR2"/>
    <x v="4"/>
    <x v="1"/>
    <x v="2"/>
    <x v="2"/>
    <x v="4"/>
    <m/>
    <m/>
    <m/>
    <m/>
    <m/>
    <m/>
    <m/>
    <m/>
    <m/>
    <m/>
    <m/>
    <m/>
    <m/>
    <m/>
    <m/>
    <m/>
    <m/>
    <m/>
    <m/>
    <n v="0"/>
    <n v="0"/>
    <n v="0"/>
    <n v="0"/>
    <n v="0"/>
    <n v="0"/>
    <n v="0"/>
    <n v="0"/>
    <n v="0"/>
    <n v="0"/>
    <n v="0"/>
    <n v="0"/>
    <m/>
    <s v="PRODUIT 02  |  DEPENSES SUR ACHATS"/>
    <b v="1"/>
  </r>
  <r>
    <n v="72"/>
    <x v="1"/>
    <m/>
    <s v="YEAR3"/>
    <x v="5"/>
    <x v="1"/>
    <x v="2"/>
    <x v="2"/>
    <x v="4"/>
    <m/>
    <m/>
    <m/>
    <m/>
    <m/>
    <m/>
    <m/>
    <m/>
    <m/>
    <m/>
    <m/>
    <m/>
    <m/>
    <m/>
    <m/>
    <m/>
    <m/>
    <m/>
    <m/>
    <n v="0"/>
    <n v="0"/>
    <n v="0"/>
    <n v="0"/>
    <n v="0"/>
    <n v="0"/>
    <n v="0"/>
    <n v="0"/>
    <n v="0"/>
    <n v="0"/>
    <n v="0"/>
    <n v="0"/>
    <m/>
    <s v="PRODUIT 02  |  DEPENSES SUR ACHATS"/>
    <b v="1"/>
  </r>
  <r>
    <n v="73"/>
    <x v="1"/>
    <m/>
    <s v="YEAR4"/>
    <x v="6"/>
    <x v="1"/>
    <x v="2"/>
    <x v="2"/>
    <x v="4"/>
    <m/>
    <m/>
    <m/>
    <m/>
    <m/>
    <m/>
    <m/>
    <m/>
    <m/>
    <m/>
    <m/>
    <m/>
    <m/>
    <m/>
    <m/>
    <m/>
    <m/>
    <m/>
    <m/>
    <n v="0"/>
    <n v="0"/>
    <n v="0"/>
    <n v="0"/>
    <n v="0"/>
    <n v="0"/>
    <n v="0"/>
    <n v="0"/>
    <n v="0"/>
    <n v="0"/>
    <n v="0"/>
    <n v="0"/>
    <m/>
    <s v="PRODUIT 02  |  DEPENSES SUR ACHATS"/>
    <b v="1"/>
  </r>
  <r>
    <n v="74"/>
    <x v="1"/>
    <m/>
    <s v="YEAR5"/>
    <x v="7"/>
    <x v="1"/>
    <x v="2"/>
    <x v="2"/>
    <x v="4"/>
    <m/>
    <m/>
    <m/>
    <m/>
    <m/>
    <m/>
    <m/>
    <m/>
    <m/>
    <m/>
    <m/>
    <m/>
    <m/>
    <m/>
    <m/>
    <m/>
    <m/>
    <m/>
    <m/>
    <n v="0"/>
    <n v="0"/>
    <n v="0"/>
    <n v="0"/>
    <n v="0"/>
    <n v="0"/>
    <n v="0"/>
    <n v="0"/>
    <n v="0"/>
    <n v="0"/>
    <n v="0"/>
    <n v="0"/>
    <m/>
    <s v="PRODUIT 02  |  DEPENSES SUR ACHATS"/>
    <b v="1"/>
  </r>
  <r>
    <n v="75"/>
    <x v="1"/>
    <m/>
    <s v="YEAR6"/>
    <x v="8"/>
    <x v="1"/>
    <x v="2"/>
    <x v="2"/>
    <x v="4"/>
    <m/>
    <m/>
    <m/>
    <m/>
    <m/>
    <m/>
    <m/>
    <m/>
    <m/>
    <m/>
    <m/>
    <m/>
    <m/>
    <m/>
    <m/>
    <m/>
    <m/>
    <m/>
    <m/>
    <n v="0"/>
    <n v="0"/>
    <n v="0"/>
    <n v="0"/>
    <n v="0"/>
    <n v="0"/>
    <n v="0"/>
    <n v="0"/>
    <n v="0"/>
    <n v="0"/>
    <n v="0"/>
    <n v="0"/>
    <m/>
    <s v="PRODUIT 02  |  DEPENSES SUR ACHATS"/>
    <b v="1"/>
  </r>
  <r>
    <n v="76"/>
    <x v="1"/>
    <m/>
    <s v="YEAR-2"/>
    <x v="1"/>
    <x v="1"/>
    <x v="2"/>
    <x v="2"/>
    <x v="5"/>
    <m/>
    <m/>
    <m/>
    <m/>
    <m/>
    <m/>
    <m/>
    <m/>
    <m/>
    <m/>
    <m/>
    <m/>
    <m/>
    <m/>
    <m/>
    <m/>
    <m/>
    <m/>
    <m/>
    <n v="0"/>
    <n v="0"/>
    <n v="0"/>
    <n v="0"/>
    <n v="0"/>
    <n v="0"/>
    <n v="0"/>
    <n v="0"/>
    <n v="0"/>
    <m/>
    <n v="0"/>
    <m/>
    <m/>
    <s v="PRODUIT 02  |  PRIX MOYEN D'ACHAT PAR PRODUIT/SERVICE"/>
    <m/>
  </r>
  <r>
    <n v="77"/>
    <x v="1"/>
    <m/>
    <s v="YEAR-1"/>
    <x v="2"/>
    <x v="1"/>
    <x v="2"/>
    <x v="2"/>
    <x v="5"/>
    <m/>
    <m/>
    <m/>
    <m/>
    <m/>
    <m/>
    <m/>
    <m/>
    <m/>
    <m/>
    <m/>
    <m/>
    <m/>
    <m/>
    <m/>
    <m/>
    <m/>
    <m/>
    <m/>
    <n v="0"/>
    <n v="0"/>
    <n v="0"/>
    <n v="0"/>
    <n v="0"/>
    <n v="0"/>
    <n v="0"/>
    <n v="0"/>
    <n v="0"/>
    <m/>
    <n v="0"/>
    <m/>
    <m/>
    <s v="PRODUIT 02  |  PRIX MOYEN D'ACHAT PAR PRODUIT/SERVICE"/>
    <m/>
  </r>
  <r>
    <n v="78"/>
    <x v="1"/>
    <m/>
    <s v="CURRENT YEAR"/>
    <x v="3"/>
    <x v="1"/>
    <x v="2"/>
    <x v="2"/>
    <x v="5"/>
    <m/>
    <m/>
    <m/>
    <m/>
    <m/>
    <m/>
    <m/>
    <m/>
    <m/>
    <m/>
    <m/>
    <m/>
    <m/>
    <m/>
    <m/>
    <m/>
    <m/>
    <m/>
    <m/>
    <n v="0"/>
    <n v="0"/>
    <n v="0"/>
    <n v="0"/>
    <n v="0"/>
    <n v="0"/>
    <n v="0"/>
    <n v="0"/>
    <n v="0"/>
    <m/>
    <n v="0"/>
    <m/>
    <m/>
    <s v="PRODUIT 02  |  PRIX MOYEN D'ACHAT PAR PRODUIT/SERVICE"/>
    <m/>
  </r>
  <r>
    <n v="79"/>
    <x v="1"/>
    <m/>
    <s v="YEAR2"/>
    <x v="4"/>
    <x v="1"/>
    <x v="2"/>
    <x v="2"/>
    <x v="5"/>
    <m/>
    <m/>
    <m/>
    <m/>
    <m/>
    <m/>
    <m/>
    <m/>
    <m/>
    <m/>
    <m/>
    <m/>
    <m/>
    <m/>
    <m/>
    <m/>
    <m/>
    <m/>
    <m/>
    <n v="0"/>
    <n v="0"/>
    <n v="0"/>
    <n v="0"/>
    <n v="0"/>
    <n v="0"/>
    <n v="0"/>
    <n v="0"/>
    <n v="0"/>
    <m/>
    <n v="0"/>
    <m/>
    <m/>
    <s v="PRODUIT 02  |  PRIX MOYEN D'ACHAT PAR PRODUIT/SERVICE"/>
    <m/>
  </r>
  <r>
    <n v="80"/>
    <x v="1"/>
    <m/>
    <s v="YEAR3"/>
    <x v="5"/>
    <x v="1"/>
    <x v="2"/>
    <x v="2"/>
    <x v="5"/>
    <m/>
    <m/>
    <m/>
    <m/>
    <m/>
    <m/>
    <m/>
    <m/>
    <m/>
    <m/>
    <m/>
    <m/>
    <m/>
    <m/>
    <m/>
    <m/>
    <m/>
    <m/>
    <m/>
    <n v="0"/>
    <n v="0"/>
    <n v="0"/>
    <n v="0"/>
    <n v="0"/>
    <n v="0"/>
    <n v="0"/>
    <n v="0"/>
    <n v="0"/>
    <m/>
    <n v="0"/>
    <m/>
    <m/>
    <s v="PRODUIT 02  |  PRIX MOYEN D'ACHAT PAR PRODUIT/SERVICE"/>
    <m/>
  </r>
  <r>
    <n v="81"/>
    <x v="1"/>
    <m/>
    <s v="YEAR4"/>
    <x v="6"/>
    <x v="1"/>
    <x v="2"/>
    <x v="2"/>
    <x v="5"/>
    <m/>
    <m/>
    <m/>
    <m/>
    <m/>
    <m/>
    <m/>
    <m/>
    <m/>
    <m/>
    <m/>
    <m/>
    <m/>
    <m/>
    <m/>
    <m/>
    <m/>
    <m/>
    <m/>
    <n v="0"/>
    <n v="0"/>
    <n v="0"/>
    <n v="0"/>
    <n v="0"/>
    <n v="0"/>
    <n v="0"/>
    <n v="0"/>
    <n v="0"/>
    <m/>
    <n v="0"/>
    <m/>
    <m/>
    <s v="PRODUIT 02  |  PRIX MOYEN D'ACHAT PAR PRODUIT/SERVICE"/>
    <m/>
  </r>
  <r>
    <n v="82"/>
    <x v="1"/>
    <m/>
    <s v="YEAR5"/>
    <x v="7"/>
    <x v="1"/>
    <x v="2"/>
    <x v="2"/>
    <x v="5"/>
    <m/>
    <m/>
    <m/>
    <m/>
    <m/>
    <m/>
    <m/>
    <m/>
    <m/>
    <m/>
    <m/>
    <m/>
    <m/>
    <m/>
    <m/>
    <m/>
    <m/>
    <m/>
    <m/>
    <n v="0"/>
    <n v="0"/>
    <n v="0"/>
    <n v="0"/>
    <n v="0"/>
    <n v="0"/>
    <n v="0"/>
    <n v="0"/>
    <n v="0"/>
    <m/>
    <n v="0"/>
    <m/>
    <m/>
    <s v="PRODUIT 02  |  PRIX MOYEN D'ACHAT PAR PRODUIT/SERVICE"/>
    <m/>
  </r>
  <r>
    <n v="83"/>
    <x v="1"/>
    <m/>
    <s v="YEAR6"/>
    <x v="8"/>
    <x v="1"/>
    <x v="2"/>
    <x v="2"/>
    <x v="5"/>
    <m/>
    <m/>
    <m/>
    <m/>
    <m/>
    <m/>
    <m/>
    <m/>
    <m/>
    <m/>
    <m/>
    <m/>
    <m/>
    <m/>
    <m/>
    <m/>
    <m/>
    <m/>
    <m/>
    <n v="0"/>
    <n v="0"/>
    <n v="0"/>
    <n v="0"/>
    <n v="0"/>
    <n v="0"/>
    <n v="0"/>
    <n v="0"/>
    <n v="0"/>
    <m/>
    <n v="0"/>
    <m/>
    <m/>
    <s v="PRODUIT 02  |  PRIX MOYEN D'ACHAT PAR PRODUIT/SERVICE"/>
    <m/>
  </r>
  <r>
    <n v="84"/>
    <x v="0"/>
    <n v="1"/>
    <m/>
    <x v="0"/>
    <x v="0"/>
    <x v="0"/>
    <x v="0"/>
    <x v="0"/>
    <m/>
    <m/>
    <m/>
    <m/>
    <m/>
    <m/>
    <m/>
    <m/>
    <m/>
    <m/>
    <m/>
    <m/>
    <m/>
    <m/>
    <m/>
    <m/>
    <m/>
    <m/>
    <m/>
    <m/>
    <m/>
    <m/>
    <m/>
    <m/>
    <m/>
    <m/>
    <m/>
    <m/>
    <m/>
    <m/>
    <m/>
    <m/>
    <m/>
    <m/>
  </r>
  <r>
    <n v="85"/>
    <x v="0"/>
    <m/>
    <m/>
    <x v="0"/>
    <x v="0"/>
    <x v="0"/>
    <x v="0"/>
    <x v="0"/>
    <m/>
    <m/>
    <m/>
    <m/>
    <m/>
    <m/>
    <m/>
    <m/>
    <m/>
    <m/>
    <m/>
    <m/>
    <m/>
    <m/>
    <m/>
    <m/>
    <m/>
    <m/>
    <m/>
    <m/>
    <m/>
    <m/>
    <m/>
    <m/>
    <m/>
    <m/>
    <m/>
    <m/>
    <m/>
    <m/>
    <m/>
    <m/>
    <m/>
    <m/>
  </r>
  <r>
    <n v="86"/>
    <x v="0"/>
    <n v="1"/>
    <s v="YEAR-2"/>
    <x v="1"/>
    <x v="1"/>
    <x v="3"/>
    <x v="3"/>
    <x v="1"/>
    <n v="1000"/>
    <n v="0"/>
    <n v="0"/>
    <n v="1000"/>
    <n v="1"/>
    <n v="0"/>
    <n v="0"/>
    <n v="500"/>
    <n v="0"/>
    <n v="0"/>
    <n v="0"/>
    <n v="1"/>
    <n v="1"/>
    <n v="1"/>
    <n v="0"/>
    <n v="0"/>
    <n v="0"/>
    <n v="0"/>
    <n v="0"/>
    <n v="0"/>
    <n v="0"/>
    <n v="0"/>
    <n v="0"/>
    <n v="0"/>
    <n v="0"/>
    <n v="0"/>
    <n v="0"/>
    <n v="0"/>
    <n v="0"/>
    <n v="0"/>
    <n v="0"/>
    <s v="GAMME # : 1 + CANAL DE DISTRIBUTION # : 1"/>
    <s v="PRODUIT 03  |  VOLUME"/>
    <b v="1"/>
  </r>
  <r>
    <n v="87"/>
    <x v="0"/>
    <n v="1"/>
    <s v="YEAR-1"/>
    <x v="2"/>
    <x v="1"/>
    <x v="3"/>
    <x v="3"/>
    <x v="1"/>
    <n v="1000"/>
    <n v="0"/>
    <n v="0"/>
    <n v="1000"/>
    <n v="1"/>
    <n v="0"/>
    <n v="0"/>
    <n v="500"/>
    <n v="0"/>
    <n v="0"/>
    <n v="0"/>
    <n v="1"/>
    <n v="1"/>
    <n v="1"/>
    <n v="0"/>
    <n v="0"/>
    <n v="0"/>
    <n v="0"/>
    <n v="0"/>
    <n v="0"/>
    <n v="0"/>
    <n v="0"/>
    <n v="0"/>
    <n v="0"/>
    <n v="0"/>
    <n v="0"/>
    <n v="0"/>
    <n v="0"/>
    <n v="0"/>
    <n v="0"/>
    <n v="0"/>
    <m/>
    <s v="PRODUIT 03  |  VOLUME"/>
    <b v="1"/>
  </r>
  <r>
    <n v="88"/>
    <x v="0"/>
    <n v="1"/>
    <s v="CURRENT YEAR"/>
    <x v="3"/>
    <x v="1"/>
    <x v="3"/>
    <x v="3"/>
    <x v="1"/>
    <n v="1000"/>
    <n v="0"/>
    <n v="0"/>
    <n v="1000"/>
    <n v="1"/>
    <n v="0"/>
    <n v="0"/>
    <n v="500"/>
    <n v="0"/>
    <n v="0"/>
    <n v="0"/>
    <n v="1"/>
    <n v="1"/>
    <n v="1"/>
    <n v="0"/>
    <n v="0"/>
    <n v="0"/>
    <n v="0"/>
    <n v="0"/>
    <n v="0"/>
    <n v="0"/>
    <n v="0"/>
    <n v="0"/>
    <n v="0"/>
    <n v="0"/>
    <n v="0"/>
    <n v="0"/>
    <n v="0"/>
    <n v="0"/>
    <n v="0"/>
    <n v="0"/>
    <m/>
    <s v="PRODUIT 03  |  VOLUME"/>
    <b v="1"/>
  </r>
  <r>
    <n v="89"/>
    <x v="0"/>
    <n v="1"/>
    <s v="YEAR2"/>
    <x v="4"/>
    <x v="1"/>
    <x v="3"/>
    <x v="3"/>
    <x v="1"/>
    <n v="1000"/>
    <n v="0"/>
    <n v="0"/>
    <n v="1000"/>
    <n v="1"/>
    <n v="0"/>
    <n v="0"/>
    <n v="500"/>
    <n v="0"/>
    <n v="0"/>
    <n v="0"/>
    <n v="1"/>
    <n v="1"/>
    <n v="1"/>
    <n v="0"/>
    <n v="0"/>
    <n v="0"/>
    <n v="0"/>
    <n v="0"/>
    <n v="0"/>
    <n v="0"/>
    <n v="0"/>
    <n v="0"/>
    <n v="0"/>
    <n v="0"/>
    <n v="0"/>
    <n v="0"/>
    <n v="0"/>
    <n v="0"/>
    <n v="0"/>
    <n v="0"/>
    <m/>
    <s v="PRODUIT 03  |  VOLUME"/>
    <b v="1"/>
  </r>
  <r>
    <n v="90"/>
    <x v="0"/>
    <n v="1"/>
    <s v="YEAR3"/>
    <x v="5"/>
    <x v="1"/>
    <x v="3"/>
    <x v="3"/>
    <x v="1"/>
    <n v="1000"/>
    <n v="0"/>
    <n v="0"/>
    <n v="1000"/>
    <n v="1"/>
    <n v="0"/>
    <n v="0"/>
    <n v="500"/>
    <n v="0"/>
    <n v="0"/>
    <n v="0"/>
    <n v="1"/>
    <n v="1"/>
    <n v="1"/>
    <n v="0"/>
    <n v="0"/>
    <n v="0"/>
    <n v="0"/>
    <n v="0"/>
    <n v="0"/>
    <n v="0"/>
    <n v="0"/>
    <n v="0"/>
    <n v="0"/>
    <n v="0"/>
    <n v="0"/>
    <n v="0"/>
    <n v="0"/>
    <n v="0"/>
    <n v="0"/>
    <n v="0"/>
    <m/>
    <s v="PRODUIT 03  |  VOLUME"/>
    <b v="1"/>
  </r>
  <r>
    <n v="91"/>
    <x v="0"/>
    <n v="1"/>
    <s v="YEAR4"/>
    <x v="6"/>
    <x v="1"/>
    <x v="3"/>
    <x v="3"/>
    <x v="1"/>
    <n v="1000"/>
    <n v="0"/>
    <n v="0"/>
    <n v="1000"/>
    <n v="1"/>
    <n v="0"/>
    <n v="0"/>
    <n v="500"/>
    <n v="0"/>
    <n v="0"/>
    <n v="0"/>
    <n v="1"/>
    <n v="1"/>
    <n v="1"/>
    <n v="0"/>
    <n v="0"/>
    <n v="0"/>
    <n v="0"/>
    <n v="0"/>
    <n v="0"/>
    <n v="0"/>
    <n v="0"/>
    <n v="0"/>
    <n v="0"/>
    <n v="0"/>
    <n v="0"/>
    <n v="0"/>
    <n v="0"/>
    <n v="0"/>
    <n v="0"/>
    <n v="0"/>
    <m/>
    <s v="PRODUIT 03  |  VOLUME"/>
    <b v="1"/>
  </r>
  <r>
    <n v="92"/>
    <x v="0"/>
    <n v="1"/>
    <s v="YEAR5"/>
    <x v="7"/>
    <x v="1"/>
    <x v="3"/>
    <x v="3"/>
    <x v="1"/>
    <n v="1000"/>
    <n v="0"/>
    <n v="0"/>
    <n v="1000"/>
    <n v="1"/>
    <n v="0"/>
    <n v="0"/>
    <n v="500"/>
    <n v="0"/>
    <n v="0"/>
    <n v="0"/>
    <n v="1"/>
    <n v="1"/>
    <n v="1"/>
    <n v="0"/>
    <n v="0"/>
    <n v="0"/>
    <n v="0"/>
    <n v="0"/>
    <n v="0"/>
    <n v="0"/>
    <n v="0"/>
    <n v="0"/>
    <n v="0"/>
    <n v="0"/>
    <n v="0"/>
    <n v="0"/>
    <n v="0"/>
    <n v="0"/>
    <n v="0"/>
    <n v="0"/>
    <m/>
    <s v="PRODUIT 03  |  VOLUME"/>
    <b v="1"/>
  </r>
  <r>
    <n v="93"/>
    <x v="0"/>
    <n v="1"/>
    <s v="YEAR6"/>
    <x v="8"/>
    <x v="1"/>
    <x v="3"/>
    <x v="3"/>
    <x v="1"/>
    <n v="1000"/>
    <n v="0"/>
    <n v="0"/>
    <n v="1000"/>
    <n v="1"/>
    <n v="0"/>
    <n v="0"/>
    <n v="500"/>
    <n v="0"/>
    <n v="0"/>
    <n v="0"/>
    <n v="1"/>
    <n v="1"/>
    <n v="1"/>
    <n v="0"/>
    <n v="0"/>
    <n v="0"/>
    <n v="0"/>
    <n v="0"/>
    <n v="0"/>
    <n v="0"/>
    <n v="0"/>
    <n v="0"/>
    <n v="0"/>
    <n v="0"/>
    <n v="0"/>
    <n v="0"/>
    <n v="0"/>
    <n v="0"/>
    <n v="0"/>
    <n v="0"/>
    <m/>
    <s v="PRODUIT 03  |  VOLUME"/>
    <b v="1"/>
  </r>
  <r>
    <n v="94"/>
    <x v="0"/>
    <m/>
    <s v="YEAR-2"/>
    <x v="1"/>
    <x v="1"/>
    <x v="3"/>
    <x v="3"/>
    <x v="2"/>
    <m/>
    <m/>
    <m/>
    <m/>
    <m/>
    <m/>
    <m/>
    <m/>
    <m/>
    <m/>
    <m/>
    <m/>
    <m/>
    <m/>
    <m/>
    <m/>
    <m/>
    <m/>
    <m/>
    <n v="0"/>
    <n v="0"/>
    <n v="0"/>
    <n v="0"/>
    <n v="0"/>
    <n v="0"/>
    <n v="0"/>
    <n v="0"/>
    <n v="0"/>
    <n v="0"/>
    <n v="0"/>
    <n v="0"/>
    <m/>
    <s v="PRODUIT 03  |  CHIFFRE D'AFFAIRES"/>
    <b v="1"/>
  </r>
  <r>
    <n v="95"/>
    <x v="0"/>
    <m/>
    <s v="YEAR-1"/>
    <x v="2"/>
    <x v="1"/>
    <x v="3"/>
    <x v="3"/>
    <x v="2"/>
    <m/>
    <m/>
    <m/>
    <m/>
    <m/>
    <m/>
    <m/>
    <m/>
    <m/>
    <m/>
    <m/>
    <m/>
    <m/>
    <m/>
    <m/>
    <m/>
    <m/>
    <m/>
    <m/>
    <n v="0"/>
    <n v="0"/>
    <n v="0"/>
    <n v="0"/>
    <n v="0"/>
    <n v="0"/>
    <n v="0"/>
    <n v="0"/>
    <n v="0"/>
    <n v="0"/>
    <n v="0"/>
    <n v="0"/>
    <m/>
    <s v="PRODUIT 03  |  CHIFFRE D'AFFAIRES"/>
    <b v="1"/>
  </r>
  <r>
    <n v="96"/>
    <x v="0"/>
    <m/>
    <s v="CURRENT YEAR"/>
    <x v="3"/>
    <x v="1"/>
    <x v="3"/>
    <x v="3"/>
    <x v="2"/>
    <m/>
    <m/>
    <m/>
    <m/>
    <m/>
    <m/>
    <m/>
    <m/>
    <m/>
    <m/>
    <m/>
    <m/>
    <m/>
    <m/>
    <m/>
    <m/>
    <m/>
    <m/>
    <m/>
    <n v="0"/>
    <n v="0"/>
    <n v="0"/>
    <n v="0"/>
    <n v="0"/>
    <n v="0"/>
    <n v="0"/>
    <n v="0"/>
    <n v="0"/>
    <n v="0"/>
    <n v="0"/>
    <n v="0"/>
    <m/>
    <s v="PRODUIT 03  |  CHIFFRE D'AFFAIRES"/>
    <b v="1"/>
  </r>
  <r>
    <n v="97"/>
    <x v="0"/>
    <m/>
    <s v="YEAR2"/>
    <x v="4"/>
    <x v="1"/>
    <x v="3"/>
    <x v="3"/>
    <x v="2"/>
    <m/>
    <m/>
    <m/>
    <m/>
    <m/>
    <m/>
    <m/>
    <m/>
    <m/>
    <m/>
    <m/>
    <m/>
    <m/>
    <m/>
    <m/>
    <m/>
    <m/>
    <m/>
    <m/>
    <n v="0"/>
    <n v="0"/>
    <n v="0"/>
    <n v="0"/>
    <n v="0"/>
    <n v="0"/>
    <n v="0"/>
    <n v="0"/>
    <n v="0"/>
    <n v="0"/>
    <n v="0"/>
    <n v="0"/>
    <m/>
    <s v="PRODUIT 03  |  CHIFFRE D'AFFAIRES"/>
    <b v="1"/>
  </r>
  <r>
    <n v="98"/>
    <x v="0"/>
    <m/>
    <s v="YEAR3"/>
    <x v="5"/>
    <x v="1"/>
    <x v="3"/>
    <x v="3"/>
    <x v="2"/>
    <m/>
    <m/>
    <m/>
    <m/>
    <m/>
    <m/>
    <m/>
    <m/>
    <m/>
    <m/>
    <m/>
    <m/>
    <m/>
    <m/>
    <m/>
    <m/>
    <m/>
    <m/>
    <m/>
    <n v="0"/>
    <n v="0"/>
    <n v="0"/>
    <n v="0"/>
    <n v="0"/>
    <n v="0"/>
    <n v="0"/>
    <n v="0"/>
    <n v="0"/>
    <n v="0"/>
    <n v="0"/>
    <n v="0"/>
    <m/>
    <s v="PRODUIT 03  |  CHIFFRE D'AFFAIRES"/>
    <b v="1"/>
  </r>
  <r>
    <n v="99"/>
    <x v="0"/>
    <m/>
    <s v="YEAR4"/>
    <x v="6"/>
    <x v="1"/>
    <x v="3"/>
    <x v="3"/>
    <x v="2"/>
    <m/>
    <m/>
    <m/>
    <m/>
    <m/>
    <m/>
    <m/>
    <m/>
    <m/>
    <m/>
    <m/>
    <m/>
    <m/>
    <m/>
    <m/>
    <m/>
    <m/>
    <m/>
    <m/>
    <n v="0"/>
    <n v="0"/>
    <n v="0"/>
    <n v="0"/>
    <n v="0"/>
    <n v="0"/>
    <n v="0"/>
    <n v="0"/>
    <n v="0"/>
    <n v="0"/>
    <n v="0"/>
    <n v="0"/>
    <m/>
    <s v="PRODUIT 03  |  CHIFFRE D'AFFAIRES"/>
    <b v="1"/>
  </r>
  <r>
    <n v="100"/>
    <x v="0"/>
    <m/>
    <s v="YEAR5"/>
    <x v="7"/>
    <x v="1"/>
    <x v="3"/>
    <x v="3"/>
    <x v="2"/>
    <m/>
    <m/>
    <m/>
    <m/>
    <m/>
    <m/>
    <m/>
    <m/>
    <m/>
    <m/>
    <m/>
    <m/>
    <m/>
    <m/>
    <m/>
    <m/>
    <m/>
    <m/>
    <m/>
    <n v="0"/>
    <n v="0"/>
    <n v="0"/>
    <n v="0"/>
    <n v="0"/>
    <n v="0"/>
    <n v="0"/>
    <n v="0"/>
    <n v="0"/>
    <n v="0"/>
    <n v="0"/>
    <n v="0"/>
    <m/>
    <s v="PRODUIT 03  |  CHIFFRE D'AFFAIRES"/>
    <b v="1"/>
  </r>
  <r>
    <n v="101"/>
    <x v="0"/>
    <m/>
    <s v="YEAR6"/>
    <x v="8"/>
    <x v="1"/>
    <x v="3"/>
    <x v="3"/>
    <x v="2"/>
    <m/>
    <m/>
    <m/>
    <m/>
    <m/>
    <m/>
    <m/>
    <m/>
    <m/>
    <m/>
    <m/>
    <m/>
    <m/>
    <m/>
    <m/>
    <m/>
    <m/>
    <m/>
    <m/>
    <n v="0"/>
    <n v="0"/>
    <n v="0"/>
    <n v="0"/>
    <n v="0"/>
    <n v="0"/>
    <n v="0"/>
    <n v="0"/>
    <n v="0"/>
    <n v="0"/>
    <n v="0"/>
    <n v="0"/>
    <m/>
    <s v="PRODUIT 03  |  CHIFFRE D'AFFAIRES"/>
    <b v="1"/>
  </r>
  <r>
    <n v="102"/>
    <x v="0"/>
    <m/>
    <s v="YEAR-2"/>
    <x v="1"/>
    <x v="1"/>
    <x v="3"/>
    <x v="3"/>
    <x v="3"/>
    <m/>
    <m/>
    <m/>
    <m/>
    <m/>
    <m/>
    <m/>
    <m/>
    <m/>
    <m/>
    <m/>
    <m/>
    <m/>
    <m/>
    <m/>
    <m/>
    <m/>
    <m/>
    <m/>
    <n v="0"/>
    <n v="0"/>
    <n v="0"/>
    <n v="0"/>
    <n v="0"/>
    <n v="0"/>
    <n v="0"/>
    <n v="0"/>
    <n v="0"/>
    <m/>
    <n v="0"/>
    <m/>
    <m/>
    <s v="PRODUIT 03  |  PRIX MOYEN DE VENTE PAR PRODUIT/SERVICE"/>
    <m/>
  </r>
  <r>
    <n v="103"/>
    <x v="0"/>
    <m/>
    <s v="YEAR-1"/>
    <x v="2"/>
    <x v="1"/>
    <x v="3"/>
    <x v="3"/>
    <x v="3"/>
    <m/>
    <m/>
    <m/>
    <m/>
    <m/>
    <m/>
    <m/>
    <m/>
    <m/>
    <m/>
    <m/>
    <m/>
    <m/>
    <m/>
    <m/>
    <m/>
    <m/>
    <m/>
    <m/>
    <n v="0"/>
    <n v="0"/>
    <n v="0"/>
    <n v="0"/>
    <n v="0"/>
    <n v="0"/>
    <n v="0"/>
    <n v="0"/>
    <n v="0"/>
    <m/>
    <n v="0"/>
    <m/>
    <m/>
    <s v="PRODUIT 03  |  PRIX MOYEN DE VENTE PAR PRODUIT/SERVICE"/>
    <m/>
  </r>
  <r>
    <n v="104"/>
    <x v="0"/>
    <m/>
    <s v="CURRENT YEAR"/>
    <x v="3"/>
    <x v="1"/>
    <x v="3"/>
    <x v="3"/>
    <x v="3"/>
    <m/>
    <m/>
    <m/>
    <m/>
    <m/>
    <m/>
    <m/>
    <m/>
    <m/>
    <m/>
    <m/>
    <m/>
    <m/>
    <m/>
    <m/>
    <m/>
    <m/>
    <m/>
    <m/>
    <n v="0"/>
    <n v="0"/>
    <n v="0"/>
    <n v="0"/>
    <n v="0"/>
    <n v="0"/>
    <n v="0"/>
    <n v="0"/>
    <n v="0"/>
    <m/>
    <n v="0"/>
    <m/>
    <m/>
    <s v="PRODUIT 03  |  PRIX MOYEN DE VENTE PAR PRODUIT/SERVICE"/>
    <m/>
  </r>
  <r>
    <n v="105"/>
    <x v="0"/>
    <m/>
    <s v="YEAR2"/>
    <x v="4"/>
    <x v="1"/>
    <x v="3"/>
    <x v="3"/>
    <x v="3"/>
    <m/>
    <m/>
    <m/>
    <m/>
    <m/>
    <m/>
    <m/>
    <m/>
    <m/>
    <m/>
    <m/>
    <m/>
    <m/>
    <m/>
    <m/>
    <m/>
    <m/>
    <m/>
    <m/>
    <n v="0"/>
    <n v="0"/>
    <n v="0"/>
    <n v="0"/>
    <n v="0"/>
    <n v="0"/>
    <n v="0"/>
    <n v="0"/>
    <n v="0"/>
    <m/>
    <n v="0"/>
    <m/>
    <m/>
    <s v="PRODUIT 03  |  PRIX MOYEN DE VENTE PAR PRODUIT/SERVICE"/>
    <m/>
  </r>
  <r>
    <n v="106"/>
    <x v="0"/>
    <m/>
    <s v="YEAR3"/>
    <x v="5"/>
    <x v="1"/>
    <x v="3"/>
    <x v="3"/>
    <x v="3"/>
    <m/>
    <m/>
    <m/>
    <m/>
    <m/>
    <m/>
    <m/>
    <m/>
    <m/>
    <m/>
    <m/>
    <m/>
    <m/>
    <m/>
    <m/>
    <m/>
    <m/>
    <m/>
    <m/>
    <n v="0"/>
    <n v="0"/>
    <n v="0"/>
    <n v="0"/>
    <n v="0"/>
    <n v="0"/>
    <n v="0"/>
    <n v="0"/>
    <n v="0"/>
    <m/>
    <n v="0"/>
    <m/>
    <m/>
    <s v="PRODUIT 03  |  PRIX MOYEN DE VENTE PAR PRODUIT/SERVICE"/>
    <m/>
  </r>
  <r>
    <n v="107"/>
    <x v="0"/>
    <m/>
    <s v="YEAR4"/>
    <x v="6"/>
    <x v="1"/>
    <x v="3"/>
    <x v="3"/>
    <x v="3"/>
    <m/>
    <m/>
    <m/>
    <m/>
    <m/>
    <m/>
    <m/>
    <m/>
    <m/>
    <m/>
    <m/>
    <m/>
    <m/>
    <m/>
    <m/>
    <m/>
    <m/>
    <m/>
    <m/>
    <n v="0"/>
    <n v="0"/>
    <n v="0"/>
    <n v="0"/>
    <n v="0"/>
    <n v="0"/>
    <n v="0"/>
    <n v="0"/>
    <n v="0"/>
    <m/>
    <n v="0"/>
    <m/>
    <m/>
    <s v="PRODUIT 03  |  PRIX MOYEN DE VENTE PAR PRODUIT/SERVICE"/>
    <m/>
  </r>
  <r>
    <n v="108"/>
    <x v="0"/>
    <m/>
    <s v="YEAR5"/>
    <x v="7"/>
    <x v="1"/>
    <x v="3"/>
    <x v="3"/>
    <x v="3"/>
    <m/>
    <m/>
    <m/>
    <m/>
    <m/>
    <m/>
    <m/>
    <m/>
    <m/>
    <m/>
    <m/>
    <m/>
    <m/>
    <m/>
    <m/>
    <m/>
    <m/>
    <m/>
    <m/>
    <n v="0"/>
    <n v="0"/>
    <n v="0"/>
    <n v="0"/>
    <n v="0"/>
    <n v="0"/>
    <n v="0"/>
    <n v="0"/>
    <n v="0"/>
    <m/>
    <n v="0"/>
    <m/>
    <m/>
    <s v="PRODUIT 03  |  PRIX MOYEN DE VENTE PAR PRODUIT/SERVICE"/>
    <m/>
  </r>
  <r>
    <n v="109"/>
    <x v="0"/>
    <m/>
    <s v="YEAR6"/>
    <x v="8"/>
    <x v="1"/>
    <x v="3"/>
    <x v="3"/>
    <x v="3"/>
    <m/>
    <m/>
    <m/>
    <m/>
    <m/>
    <m/>
    <m/>
    <m/>
    <m/>
    <m/>
    <m/>
    <m/>
    <m/>
    <m/>
    <m/>
    <m/>
    <m/>
    <m/>
    <m/>
    <n v="0"/>
    <n v="0"/>
    <n v="0"/>
    <n v="0"/>
    <n v="0"/>
    <n v="0"/>
    <n v="0"/>
    <n v="0"/>
    <n v="0"/>
    <m/>
    <n v="0"/>
    <m/>
    <m/>
    <s v="PRODUIT 03  |  PRIX MOYEN DE VENTE PAR PRODUIT/SERVICE"/>
    <m/>
  </r>
  <r>
    <n v="110"/>
    <x v="0"/>
    <m/>
    <s v="YEAR-2"/>
    <x v="1"/>
    <x v="1"/>
    <x v="3"/>
    <x v="3"/>
    <x v="4"/>
    <m/>
    <m/>
    <m/>
    <m/>
    <m/>
    <m/>
    <m/>
    <m/>
    <m/>
    <m/>
    <m/>
    <m/>
    <m/>
    <m/>
    <m/>
    <m/>
    <m/>
    <m/>
    <m/>
    <n v="0"/>
    <n v="0"/>
    <n v="0"/>
    <n v="0"/>
    <n v="0"/>
    <n v="0"/>
    <n v="0"/>
    <n v="0"/>
    <n v="0"/>
    <n v="0"/>
    <n v="0"/>
    <n v="0"/>
    <m/>
    <s v="PRODUIT 03  |  DEPENSES SUR ACHATS"/>
    <b v="1"/>
  </r>
  <r>
    <n v="111"/>
    <x v="0"/>
    <m/>
    <s v="YEAR-1"/>
    <x v="2"/>
    <x v="1"/>
    <x v="3"/>
    <x v="3"/>
    <x v="4"/>
    <m/>
    <m/>
    <m/>
    <m/>
    <m/>
    <m/>
    <m/>
    <m/>
    <m/>
    <m/>
    <m/>
    <m/>
    <m/>
    <m/>
    <m/>
    <m/>
    <m/>
    <m/>
    <m/>
    <n v="0"/>
    <n v="0"/>
    <n v="0"/>
    <n v="0"/>
    <n v="0"/>
    <n v="0"/>
    <n v="0"/>
    <n v="0"/>
    <n v="0"/>
    <n v="0"/>
    <n v="0"/>
    <n v="0"/>
    <m/>
    <s v="PRODUIT 03  |  DEPENSES SUR ACHATS"/>
    <b v="1"/>
  </r>
  <r>
    <n v="112"/>
    <x v="0"/>
    <m/>
    <s v="CURRENT YEAR"/>
    <x v="3"/>
    <x v="1"/>
    <x v="3"/>
    <x v="3"/>
    <x v="4"/>
    <m/>
    <m/>
    <m/>
    <m/>
    <m/>
    <m/>
    <m/>
    <m/>
    <m/>
    <m/>
    <m/>
    <m/>
    <m/>
    <m/>
    <m/>
    <m/>
    <m/>
    <m/>
    <m/>
    <n v="0"/>
    <n v="0"/>
    <n v="0"/>
    <n v="0"/>
    <n v="0"/>
    <n v="0"/>
    <n v="0"/>
    <n v="0"/>
    <n v="0"/>
    <n v="0"/>
    <n v="0"/>
    <n v="0"/>
    <m/>
    <s v="PRODUIT 03  |  DEPENSES SUR ACHATS"/>
    <b v="1"/>
  </r>
  <r>
    <n v="113"/>
    <x v="0"/>
    <m/>
    <s v="YEAR2"/>
    <x v="4"/>
    <x v="1"/>
    <x v="3"/>
    <x v="3"/>
    <x v="4"/>
    <m/>
    <m/>
    <m/>
    <m/>
    <m/>
    <m/>
    <m/>
    <m/>
    <m/>
    <m/>
    <m/>
    <m/>
    <m/>
    <m/>
    <m/>
    <m/>
    <m/>
    <m/>
    <m/>
    <n v="0"/>
    <n v="0"/>
    <n v="0"/>
    <n v="0"/>
    <n v="0"/>
    <n v="0"/>
    <n v="0"/>
    <n v="0"/>
    <n v="0"/>
    <n v="0"/>
    <n v="0"/>
    <n v="0"/>
    <m/>
    <s v="PRODUIT 03  |  DEPENSES SUR ACHATS"/>
    <b v="1"/>
  </r>
  <r>
    <n v="114"/>
    <x v="0"/>
    <m/>
    <s v="YEAR3"/>
    <x v="5"/>
    <x v="1"/>
    <x v="3"/>
    <x v="3"/>
    <x v="4"/>
    <m/>
    <m/>
    <m/>
    <m/>
    <m/>
    <m/>
    <m/>
    <m/>
    <m/>
    <m/>
    <m/>
    <m/>
    <m/>
    <m/>
    <m/>
    <m/>
    <m/>
    <m/>
    <m/>
    <n v="0"/>
    <n v="0"/>
    <n v="0"/>
    <n v="0"/>
    <n v="0"/>
    <n v="0"/>
    <n v="0"/>
    <n v="0"/>
    <n v="0"/>
    <n v="0"/>
    <n v="0"/>
    <n v="0"/>
    <m/>
    <s v="PRODUIT 03  |  DEPENSES SUR ACHATS"/>
    <b v="1"/>
  </r>
  <r>
    <n v="115"/>
    <x v="0"/>
    <m/>
    <s v="YEAR4"/>
    <x v="6"/>
    <x v="1"/>
    <x v="3"/>
    <x v="3"/>
    <x v="4"/>
    <m/>
    <m/>
    <m/>
    <m/>
    <m/>
    <m/>
    <m/>
    <m/>
    <m/>
    <m/>
    <m/>
    <m/>
    <m/>
    <m/>
    <m/>
    <m/>
    <m/>
    <m/>
    <m/>
    <n v="0"/>
    <n v="0"/>
    <n v="0"/>
    <n v="0"/>
    <n v="0"/>
    <n v="0"/>
    <n v="0"/>
    <n v="0"/>
    <n v="0"/>
    <n v="0"/>
    <n v="0"/>
    <n v="0"/>
    <m/>
    <s v="PRODUIT 03  |  DEPENSES SUR ACHATS"/>
    <b v="1"/>
  </r>
  <r>
    <n v="116"/>
    <x v="0"/>
    <m/>
    <s v="YEAR5"/>
    <x v="7"/>
    <x v="1"/>
    <x v="3"/>
    <x v="3"/>
    <x v="4"/>
    <m/>
    <m/>
    <m/>
    <m/>
    <m/>
    <m/>
    <m/>
    <m/>
    <m/>
    <m/>
    <m/>
    <m/>
    <m/>
    <m/>
    <m/>
    <m/>
    <m/>
    <m/>
    <m/>
    <n v="0"/>
    <n v="0"/>
    <n v="0"/>
    <n v="0"/>
    <n v="0"/>
    <n v="0"/>
    <n v="0"/>
    <n v="0"/>
    <n v="0"/>
    <n v="0"/>
    <n v="0"/>
    <n v="0"/>
    <m/>
    <s v="PRODUIT 03  |  DEPENSES SUR ACHATS"/>
    <b v="1"/>
  </r>
  <r>
    <n v="117"/>
    <x v="0"/>
    <m/>
    <s v="YEAR6"/>
    <x v="8"/>
    <x v="1"/>
    <x v="3"/>
    <x v="3"/>
    <x v="4"/>
    <m/>
    <m/>
    <m/>
    <m/>
    <m/>
    <m/>
    <m/>
    <m/>
    <m/>
    <m/>
    <m/>
    <m/>
    <m/>
    <m/>
    <m/>
    <m/>
    <m/>
    <m/>
    <m/>
    <n v="0"/>
    <n v="0"/>
    <n v="0"/>
    <n v="0"/>
    <n v="0"/>
    <n v="0"/>
    <n v="0"/>
    <n v="0"/>
    <n v="0"/>
    <n v="0"/>
    <n v="0"/>
    <n v="0"/>
    <m/>
    <s v="PRODUIT 03  |  DEPENSES SUR ACHATS"/>
    <b v="1"/>
  </r>
  <r>
    <n v="118"/>
    <x v="0"/>
    <m/>
    <s v="YEAR-2"/>
    <x v="1"/>
    <x v="1"/>
    <x v="3"/>
    <x v="3"/>
    <x v="5"/>
    <m/>
    <m/>
    <m/>
    <m/>
    <m/>
    <m/>
    <m/>
    <m/>
    <m/>
    <m/>
    <m/>
    <m/>
    <m/>
    <m/>
    <m/>
    <m/>
    <m/>
    <m/>
    <m/>
    <n v="0"/>
    <n v="0"/>
    <n v="0"/>
    <n v="0"/>
    <n v="0"/>
    <n v="0"/>
    <n v="0"/>
    <n v="0"/>
    <n v="0"/>
    <m/>
    <n v="0"/>
    <m/>
    <m/>
    <s v="PRODUIT 03  |  PRIX MOYEN D'ACHAT PAR PRODUIT/SERVICE"/>
    <m/>
  </r>
  <r>
    <n v="119"/>
    <x v="0"/>
    <m/>
    <s v="YEAR-1"/>
    <x v="2"/>
    <x v="1"/>
    <x v="3"/>
    <x v="3"/>
    <x v="5"/>
    <m/>
    <m/>
    <m/>
    <m/>
    <m/>
    <m/>
    <m/>
    <m/>
    <m/>
    <m/>
    <m/>
    <m/>
    <m/>
    <m/>
    <m/>
    <m/>
    <m/>
    <m/>
    <m/>
    <n v="0"/>
    <n v="0"/>
    <n v="0"/>
    <n v="0"/>
    <n v="0"/>
    <n v="0"/>
    <n v="0"/>
    <n v="0"/>
    <n v="0"/>
    <m/>
    <n v="0"/>
    <m/>
    <m/>
    <s v="PRODUIT 03  |  PRIX MOYEN D'ACHAT PAR PRODUIT/SERVICE"/>
    <m/>
  </r>
  <r>
    <n v="120"/>
    <x v="0"/>
    <m/>
    <s v="CURRENT YEAR"/>
    <x v="3"/>
    <x v="1"/>
    <x v="3"/>
    <x v="3"/>
    <x v="5"/>
    <m/>
    <m/>
    <m/>
    <m/>
    <m/>
    <m/>
    <m/>
    <m/>
    <m/>
    <m/>
    <m/>
    <m/>
    <m/>
    <m/>
    <m/>
    <m/>
    <m/>
    <m/>
    <m/>
    <n v="0"/>
    <n v="0"/>
    <n v="0"/>
    <n v="0"/>
    <n v="0"/>
    <n v="0"/>
    <n v="0"/>
    <n v="0"/>
    <n v="0"/>
    <m/>
    <n v="0"/>
    <m/>
    <m/>
    <s v="PRODUIT 03  |  PRIX MOYEN D'ACHAT PAR PRODUIT/SERVICE"/>
    <m/>
  </r>
  <r>
    <n v="121"/>
    <x v="0"/>
    <m/>
    <s v="YEAR2"/>
    <x v="4"/>
    <x v="1"/>
    <x v="3"/>
    <x v="3"/>
    <x v="5"/>
    <m/>
    <m/>
    <m/>
    <m/>
    <m/>
    <m/>
    <m/>
    <m/>
    <m/>
    <m/>
    <m/>
    <m/>
    <m/>
    <m/>
    <m/>
    <m/>
    <m/>
    <m/>
    <m/>
    <n v="0"/>
    <n v="0"/>
    <n v="0"/>
    <n v="0"/>
    <n v="0"/>
    <n v="0"/>
    <n v="0"/>
    <n v="0"/>
    <n v="0"/>
    <m/>
    <n v="0"/>
    <m/>
    <m/>
    <s v="PRODUIT 03  |  PRIX MOYEN D'ACHAT PAR PRODUIT/SERVICE"/>
    <m/>
  </r>
  <r>
    <n v="122"/>
    <x v="0"/>
    <m/>
    <s v="YEAR3"/>
    <x v="5"/>
    <x v="1"/>
    <x v="3"/>
    <x v="3"/>
    <x v="5"/>
    <m/>
    <m/>
    <m/>
    <m/>
    <m/>
    <m/>
    <m/>
    <m/>
    <m/>
    <m/>
    <m/>
    <m/>
    <m/>
    <m/>
    <m/>
    <m/>
    <m/>
    <m/>
    <m/>
    <n v="0"/>
    <n v="0"/>
    <n v="0"/>
    <n v="0"/>
    <n v="0"/>
    <n v="0"/>
    <n v="0"/>
    <n v="0"/>
    <n v="0"/>
    <m/>
    <n v="0"/>
    <m/>
    <m/>
    <s v="PRODUIT 03  |  PRIX MOYEN D'ACHAT PAR PRODUIT/SERVICE"/>
    <m/>
  </r>
  <r>
    <n v="123"/>
    <x v="0"/>
    <m/>
    <s v="YEAR4"/>
    <x v="6"/>
    <x v="1"/>
    <x v="3"/>
    <x v="3"/>
    <x v="5"/>
    <m/>
    <m/>
    <m/>
    <m/>
    <m/>
    <m/>
    <m/>
    <m/>
    <m/>
    <m/>
    <m/>
    <m/>
    <m/>
    <m/>
    <m/>
    <m/>
    <m/>
    <m/>
    <m/>
    <n v="0"/>
    <n v="0"/>
    <n v="0"/>
    <n v="0"/>
    <n v="0"/>
    <n v="0"/>
    <n v="0"/>
    <n v="0"/>
    <n v="0"/>
    <m/>
    <n v="0"/>
    <m/>
    <m/>
    <s v="PRODUIT 03  |  PRIX MOYEN D'ACHAT PAR PRODUIT/SERVICE"/>
    <m/>
  </r>
  <r>
    <n v="124"/>
    <x v="0"/>
    <m/>
    <s v="YEAR5"/>
    <x v="7"/>
    <x v="1"/>
    <x v="3"/>
    <x v="3"/>
    <x v="5"/>
    <m/>
    <m/>
    <m/>
    <m/>
    <m/>
    <m/>
    <m/>
    <m/>
    <m/>
    <m/>
    <m/>
    <m/>
    <m/>
    <m/>
    <m/>
    <m/>
    <m/>
    <m/>
    <m/>
    <n v="0"/>
    <n v="0"/>
    <n v="0"/>
    <n v="0"/>
    <n v="0"/>
    <n v="0"/>
    <n v="0"/>
    <n v="0"/>
    <n v="0"/>
    <m/>
    <n v="0"/>
    <m/>
    <m/>
    <s v="PRODUIT 03  |  PRIX MOYEN D'ACHAT PAR PRODUIT/SERVICE"/>
    <m/>
  </r>
  <r>
    <n v="125"/>
    <x v="0"/>
    <m/>
    <s v="YEAR6"/>
    <x v="8"/>
    <x v="1"/>
    <x v="3"/>
    <x v="3"/>
    <x v="5"/>
    <m/>
    <m/>
    <m/>
    <m/>
    <m/>
    <m/>
    <m/>
    <m/>
    <m/>
    <m/>
    <m/>
    <m/>
    <m/>
    <m/>
    <m/>
    <m/>
    <m/>
    <m/>
    <m/>
    <n v="0"/>
    <n v="0"/>
    <n v="0"/>
    <n v="0"/>
    <n v="0"/>
    <n v="0"/>
    <n v="0"/>
    <n v="0"/>
    <n v="0"/>
    <m/>
    <n v="0"/>
    <m/>
    <m/>
    <s v="PRODUIT 03  |  PRIX MOYEN D'ACHAT PAR PRODUIT/SERVICE"/>
    <m/>
  </r>
  <r>
    <n v="126"/>
    <x v="0"/>
    <n v="1"/>
    <m/>
    <x v="0"/>
    <x v="0"/>
    <x v="0"/>
    <x v="0"/>
    <x v="0"/>
    <m/>
    <m/>
    <m/>
    <m/>
    <m/>
    <m/>
    <m/>
    <m/>
    <m/>
    <m/>
    <m/>
    <m/>
    <m/>
    <m/>
    <m/>
    <m/>
    <m/>
    <m/>
    <m/>
    <m/>
    <m/>
    <m/>
    <m/>
    <m/>
    <m/>
    <m/>
    <m/>
    <m/>
    <m/>
    <m/>
    <m/>
    <m/>
    <m/>
    <m/>
  </r>
  <r>
    <n v="127"/>
    <x v="0"/>
    <m/>
    <m/>
    <x v="0"/>
    <x v="0"/>
    <x v="0"/>
    <x v="0"/>
    <x v="0"/>
    <m/>
    <m/>
    <m/>
    <m/>
    <m/>
    <m/>
    <m/>
    <m/>
    <m/>
    <m/>
    <m/>
    <m/>
    <m/>
    <m/>
    <m/>
    <m/>
    <m/>
    <m/>
    <m/>
    <m/>
    <m/>
    <m/>
    <m/>
    <m/>
    <m/>
    <m/>
    <m/>
    <m/>
    <m/>
    <m/>
    <m/>
    <m/>
    <m/>
    <m/>
  </r>
  <r>
    <n v="128"/>
    <x v="0"/>
    <n v="1"/>
    <s v="YEAR-2"/>
    <x v="1"/>
    <x v="1"/>
    <x v="4"/>
    <x v="3"/>
    <x v="1"/>
    <n v="1000"/>
    <n v="0"/>
    <n v="0"/>
    <n v="1000"/>
    <n v="1"/>
    <n v="0"/>
    <n v="0"/>
    <n v="500"/>
    <n v="0"/>
    <n v="0"/>
    <n v="0"/>
    <n v="1"/>
    <n v="1"/>
    <n v="1"/>
    <n v="0"/>
    <n v="0"/>
    <n v="0"/>
    <n v="0"/>
    <n v="0"/>
    <n v="0"/>
    <n v="0"/>
    <n v="0"/>
    <n v="0"/>
    <n v="0"/>
    <n v="0"/>
    <n v="0"/>
    <n v="0"/>
    <n v="0"/>
    <n v="0"/>
    <n v="0"/>
    <n v="0"/>
    <s v="GAMME # : 1 + CANAL DE DISTRIBUTION # : 1"/>
    <s v="PRODUIT 04  |  VOLUME"/>
    <b v="1"/>
  </r>
  <r>
    <n v="129"/>
    <x v="0"/>
    <n v="1"/>
    <s v="YEAR-1"/>
    <x v="2"/>
    <x v="1"/>
    <x v="4"/>
    <x v="3"/>
    <x v="1"/>
    <n v="1000"/>
    <n v="0"/>
    <n v="0"/>
    <n v="1000"/>
    <n v="1"/>
    <n v="0"/>
    <n v="0"/>
    <n v="500"/>
    <n v="0"/>
    <n v="0"/>
    <n v="0"/>
    <n v="1"/>
    <n v="1"/>
    <n v="1"/>
    <n v="0"/>
    <n v="0"/>
    <n v="0"/>
    <n v="0"/>
    <n v="0"/>
    <n v="0"/>
    <n v="0"/>
    <n v="0"/>
    <n v="0"/>
    <n v="0"/>
    <n v="0"/>
    <n v="0"/>
    <n v="0"/>
    <n v="0"/>
    <n v="0"/>
    <n v="0"/>
    <n v="0"/>
    <m/>
    <s v="PRODUIT 04  |  VOLUME"/>
    <b v="1"/>
  </r>
  <r>
    <n v="130"/>
    <x v="0"/>
    <n v="1"/>
    <s v="CURRENT YEAR"/>
    <x v="3"/>
    <x v="1"/>
    <x v="4"/>
    <x v="3"/>
    <x v="1"/>
    <n v="1000"/>
    <n v="0"/>
    <n v="0"/>
    <n v="1000"/>
    <n v="1"/>
    <n v="0"/>
    <n v="0"/>
    <n v="500"/>
    <n v="0"/>
    <n v="0"/>
    <n v="0"/>
    <n v="1"/>
    <n v="1"/>
    <n v="1"/>
    <n v="0"/>
    <n v="0"/>
    <n v="0"/>
    <n v="0"/>
    <n v="0"/>
    <n v="0"/>
    <n v="0"/>
    <n v="0"/>
    <n v="0"/>
    <n v="0"/>
    <n v="0"/>
    <n v="0"/>
    <n v="0"/>
    <n v="0"/>
    <n v="0"/>
    <n v="0"/>
    <n v="0"/>
    <m/>
    <s v="PRODUIT 04  |  VOLUME"/>
    <b v="1"/>
  </r>
  <r>
    <n v="131"/>
    <x v="0"/>
    <n v="1"/>
    <s v="YEAR2"/>
    <x v="4"/>
    <x v="1"/>
    <x v="4"/>
    <x v="3"/>
    <x v="1"/>
    <n v="1000"/>
    <n v="0"/>
    <n v="0"/>
    <n v="1000"/>
    <n v="1"/>
    <n v="0"/>
    <n v="0"/>
    <n v="500"/>
    <n v="0"/>
    <n v="0"/>
    <n v="0"/>
    <n v="1"/>
    <n v="1"/>
    <n v="1"/>
    <n v="0"/>
    <n v="0"/>
    <n v="0"/>
    <n v="0"/>
    <n v="0"/>
    <n v="0"/>
    <n v="0"/>
    <n v="0"/>
    <n v="0"/>
    <n v="0"/>
    <n v="0"/>
    <n v="0"/>
    <n v="0"/>
    <n v="0"/>
    <n v="0"/>
    <n v="0"/>
    <n v="0"/>
    <m/>
    <s v="PRODUIT 04  |  VOLUME"/>
    <b v="1"/>
  </r>
  <r>
    <n v="132"/>
    <x v="0"/>
    <n v="1"/>
    <s v="YEAR3"/>
    <x v="5"/>
    <x v="1"/>
    <x v="4"/>
    <x v="3"/>
    <x v="1"/>
    <n v="1000"/>
    <n v="0"/>
    <n v="0"/>
    <n v="1000"/>
    <n v="1"/>
    <n v="0"/>
    <n v="0"/>
    <n v="500"/>
    <n v="0"/>
    <n v="0"/>
    <n v="0"/>
    <n v="1"/>
    <n v="1"/>
    <n v="1"/>
    <n v="0"/>
    <n v="0"/>
    <n v="0"/>
    <n v="0"/>
    <n v="0"/>
    <n v="0"/>
    <n v="0"/>
    <n v="0"/>
    <n v="0"/>
    <n v="0"/>
    <n v="0"/>
    <n v="0"/>
    <n v="0"/>
    <n v="0"/>
    <n v="0"/>
    <n v="0"/>
    <n v="0"/>
    <m/>
    <s v="PRODUIT 04  |  VOLUME"/>
    <b v="1"/>
  </r>
  <r>
    <n v="133"/>
    <x v="0"/>
    <n v="1"/>
    <s v="YEAR4"/>
    <x v="6"/>
    <x v="1"/>
    <x v="4"/>
    <x v="3"/>
    <x v="1"/>
    <n v="1000"/>
    <n v="0"/>
    <n v="0"/>
    <n v="1000"/>
    <n v="1"/>
    <n v="0"/>
    <n v="0"/>
    <n v="500"/>
    <n v="0"/>
    <n v="0"/>
    <n v="0"/>
    <n v="1"/>
    <n v="1"/>
    <n v="1"/>
    <n v="0"/>
    <n v="0"/>
    <n v="0"/>
    <n v="0"/>
    <n v="0"/>
    <n v="0"/>
    <n v="0"/>
    <n v="0"/>
    <n v="0"/>
    <n v="0"/>
    <n v="0"/>
    <n v="0"/>
    <n v="0"/>
    <n v="0"/>
    <n v="0"/>
    <n v="0"/>
    <n v="0"/>
    <m/>
    <s v="PRODUIT 04  |  VOLUME"/>
    <b v="1"/>
  </r>
  <r>
    <n v="134"/>
    <x v="0"/>
    <n v="1"/>
    <s v="YEAR5"/>
    <x v="7"/>
    <x v="1"/>
    <x v="4"/>
    <x v="3"/>
    <x v="1"/>
    <n v="1000"/>
    <n v="0"/>
    <n v="0"/>
    <n v="1000"/>
    <n v="1"/>
    <n v="0"/>
    <n v="0"/>
    <n v="500"/>
    <n v="0"/>
    <n v="0"/>
    <n v="0"/>
    <n v="1"/>
    <n v="1"/>
    <n v="1"/>
    <n v="0"/>
    <n v="0"/>
    <n v="0"/>
    <n v="0"/>
    <n v="0"/>
    <n v="0"/>
    <n v="0"/>
    <n v="0"/>
    <n v="0"/>
    <n v="0"/>
    <n v="0"/>
    <n v="0"/>
    <n v="0"/>
    <n v="0"/>
    <n v="0"/>
    <n v="0"/>
    <n v="0"/>
    <m/>
    <s v="PRODUIT 04  |  VOLUME"/>
    <b v="1"/>
  </r>
  <r>
    <n v="135"/>
    <x v="0"/>
    <n v="1"/>
    <s v="YEAR6"/>
    <x v="8"/>
    <x v="1"/>
    <x v="4"/>
    <x v="3"/>
    <x v="1"/>
    <n v="1000"/>
    <n v="0"/>
    <n v="0"/>
    <n v="1000"/>
    <n v="1"/>
    <n v="0"/>
    <n v="0"/>
    <n v="500"/>
    <n v="0"/>
    <n v="0"/>
    <n v="0"/>
    <n v="1"/>
    <n v="1"/>
    <n v="1"/>
    <n v="0"/>
    <n v="0"/>
    <n v="0"/>
    <n v="0"/>
    <n v="0"/>
    <n v="0"/>
    <n v="0"/>
    <n v="0"/>
    <n v="0"/>
    <n v="0"/>
    <n v="0"/>
    <n v="0"/>
    <n v="0"/>
    <n v="0"/>
    <n v="0"/>
    <n v="0"/>
    <n v="0"/>
    <m/>
    <s v="PRODUIT 04  |  VOLUME"/>
    <b v="1"/>
  </r>
  <r>
    <n v="136"/>
    <x v="0"/>
    <m/>
    <s v="YEAR-2"/>
    <x v="1"/>
    <x v="1"/>
    <x v="4"/>
    <x v="3"/>
    <x v="2"/>
    <m/>
    <m/>
    <m/>
    <m/>
    <m/>
    <m/>
    <m/>
    <m/>
    <m/>
    <m/>
    <m/>
    <m/>
    <m/>
    <m/>
    <m/>
    <m/>
    <m/>
    <m/>
    <m/>
    <n v="0"/>
    <n v="0"/>
    <n v="0"/>
    <n v="0"/>
    <n v="0"/>
    <n v="0"/>
    <n v="0"/>
    <n v="0"/>
    <n v="0"/>
    <n v="0"/>
    <n v="0"/>
    <n v="0"/>
    <m/>
    <s v="PRODUIT 04  |  CHIFFRE D'AFFAIRES"/>
    <b v="1"/>
  </r>
  <r>
    <n v="137"/>
    <x v="0"/>
    <m/>
    <s v="YEAR-1"/>
    <x v="2"/>
    <x v="1"/>
    <x v="4"/>
    <x v="3"/>
    <x v="2"/>
    <m/>
    <m/>
    <m/>
    <m/>
    <m/>
    <m/>
    <m/>
    <m/>
    <m/>
    <m/>
    <m/>
    <m/>
    <m/>
    <m/>
    <m/>
    <m/>
    <m/>
    <m/>
    <m/>
    <n v="0"/>
    <n v="0"/>
    <n v="0"/>
    <n v="0"/>
    <n v="0"/>
    <n v="0"/>
    <n v="0"/>
    <n v="0"/>
    <n v="0"/>
    <n v="0"/>
    <n v="0"/>
    <n v="0"/>
    <m/>
    <s v="PRODUIT 04  |  CHIFFRE D'AFFAIRES"/>
    <b v="1"/>
  </r>
  <r>
    <n v="138"/>
    <x v="0"/>
    <m/>
    <s v="CURRENT YEAR"/>
    <x v="3"/>
    <x v="1"/>
    <x v="4"/>
    <x v="3"/>
    <x v="2"/>
    <m/>
    <m/>
    <m/>
    <m/>
    <m/>
    <m/>
    <m/>
    <m/>
    <m/>
    <m/>
    <m/>
    <m/>
    <m/>
    <m/>
    <m/>
    <m/>
    <m/>
    <m/>
    <m/>
    <n v="0"/>
    <n v="0"/>
    <n v="0"/>
    <n v="0"/>
    <n v="0"/>
    <n v="0"/>
    <n v="0"/>
    <n v="0"/>
    <n v="0"/>
    <n v="0"/>
    <n v="0"/>
    <n v="0"/>
    <m/>
    <s v="PRODUIT 04  |  CHIFFRE D'AFFAIRES"/>
    <b v="1"/>
  </r>
  <r>
    <n v="139"/>
    <x v="0"/>
    <m/>
    <s v="YEAR2"/>
    <x v="4"/>
    <x v="1"/>
    <x v="4"/>
    <x v="3"/>
    <x v="2"/>
    <m/>
    <m/>
    <m/>
    <m/>
    <m/>
    <m/>
    <m/>
    <m/>
    <m/>
    <m/>
    <m/>
    <m/>
    <m/>
    <m/>
    <m/>
    <m/>
    <m/>
    <m/>
    <m/>
    <n v="0"/>
    <n v="0"/>
    <n v="0"/>
    <n v="0"/>
    <n v="0"/>
    <n v="0"/>
    <n v="0"/>
    <n v="0"/>
    <n v="0"/>
    <n v="0"/>
    <n v="0"/>
    <n v="0"/>
    <m/>
    <s v="PRODUIT 04  |  CHIFFRE D'AFFAIRES"/>
    <b v="1"/>
  </r>
  <r>
    <n v="140"/>
    <x v="0"/>
    <m/>
    <s v="YEAR3"/>
    <x v="5"/>
    <x v="1"/>
    <x v="4"/>
    <x v="3"/>
    <x v="2"/>
    <m/>
    <m/>
    <m/>
    <m/>
    <m/>
    <m/>
    <m/>
    <m/>
    <m/>
    <m/>
    <m/>
    <m/>
    <m/>
    <m/>
    <m/>
    <m/>
    <m/>
    <m/>
    <m/>
    <n v="0"/>
    <n v="0"/>
    <n v="0"/>
    <n v="0"/>
    <n v="0"/>
    <n v="0"/>
    <n v="0"/>
    <n v="0"/>
    <n v="0"/>
    <n v="0"/>
    <n v="0"/>
    <n v="0"/>
    <m/>
    <s v="PRODUIT 04  |  CHIFFRE D'AFFAIRES"/>
    <b v="1"/>
  </r>
  <r>
    <n v="141"/>
    <x v="0"/>
    <m/>
    <s v="YEAR4"/>
    <x v="6"/>
    <x v="1"/>
    <x v="4"/>
    <x v="3"/>
    <x v="2"/>
    <m/>
    <m/>
    <m/>
    <m/>
    <m/>
    <m/>
    <m/>
    <m/>
    <m/>
    <m/>
    <m/>
    <m/>
    <m/>
    <m/>
    <m/>
    <m/>
    <m/>
    <m/>
    <m/>
    <n v="0"/>
    <n v="0"/>
    <n v="0"/>
    <n v="0"/>
    <n v="0"/>
    <n v="0"/>
    <n v="0"/>
    <n v="0"/>
    <n v="0"/>
    <n v="0"/>
    <n v="0"/>
    <n v="0"/>
    <m/>
    <s v="PRODUIT 04  |  CHIFFRE D'AFFAIRES"/>
    <b v="1"/>
  </r>
  <r>
    <n v="142"/>
    <x v="0"/>
    <m/>
    <s v="YEAR5"/>
    <x v="7"/>
    <x v="1"/>
    <x v="4"/>
    <x v="3"/>
    <x v="2"/>
    <m/>
    <m/>
    <m/>
    <m/>
    <m/>
    <m/>
    <m/>
    <m/>
    <m/>
    <m/>
    <m/>
    <m/>
    <m/>
    <m/>
    <m/>
    <m/>
    <m/>
    <m/>
    <m/>
    <n v="0"/>
    <n v="0"/>
    <n v="0"/>
    <n v="0"/>
    <n v="0"/>
    <n v="0"/>
    <n v="0"/>
    <n v="0"/>
    <n v="0"/>
    <n v="0"/>
    <n v="0"/>
    <n v="0"/>
    <m/>
    <s v="PRODUIT 04  |  CHIFFRE D'AFFAIRES"/>
    <b v="1"/>
  </r>
  <r>
    <n v="143"/>
    <x v="0"/>
    <m/>
    <s v="YEAR6"/>
    <x v="8"/>
    <x v="1"/>
    <x v="4"/>
    <x v="3"/>
    <x v="2"/>
    <m/>
    <m/>
    <m/>
    <m/>
    <m/>
    <m/>
    <m/>
    <m/>
    <m/>
    <m/>
    <m/>
    <m/>
    <m/>
    <m/>
    <m/>
    <m/>
    <m/>
    <m/>
    <m/>
    <n v="0"/>
    <n v="0"/>
    <n v="0"/>
    <n v="0"/>
    <n v="0"/>
    <n v="0"/>
    <n v="0"/>
    <n v="0"/>
    <n v="0"/>
    <n v="0"/>
    <n v="0"/>
    <n v="0"/>
    <m/>
    <s v="PRODUIT 04  |  CHIFFRE D'AFFAIRES"/>
    <b v="1"/>
  </r>
  <r>
    <n v="144"/>
    <x v="0"/>
    <m/>
    <s v="YEAR-2"/>
    <x v="1"/>
    <x v="1"/>
    <x v="4"/>
    <x v="3"/>
    <x v="3"/>
    <m/>
    <m/>
    <m/>
    <m/>
    <m/>
    <m/>
    <m/>
    <m/>
    <m/>
    <m/>
    <m/>
    <m/>
    <m/>
    <m/>
    <m/>
    <m/>
    <m/>
    <m/>
    <m/>
    <n v="0"/>
    <n v="0"/>
    <n v="0"/>
    <n v="0"/>
    <n v="0"/>
    <n v="0"/>
    <n v="0"/>
    <n v="0"/>
    <n v="0"/>
    <m/>
    <n v="0"/>
    <m/>
    <m/>
    <s v="PRODUIT 04  |  PRIX MOYEN DE VENTE PAR PRODUIT/SERVICE"/>
    <m/>
  </r>
  <r>
    <n v="145"/>
    <x v="0"/>
    <m/>
    <s v="YEAR-1"/>
    <x v="2"/>
    <x v="1"/>
    <x v="4"/>
    <x v="3"/>
    <x v="3"/>
    <m/>
    <m/>
    <m/>
    <m/>
    <m/>
    <m/>
    <m/>
    <m/>
    <m/>
    <m/>
    <m/>
    <m/>
    <m/>
    <m/>
    <m/>
    <m/>
    <m/>
    <m/>
    <m/>
    <n v="0"/>
    <n v="0"/>
    <n v="0"/>
    <n v="0"/>
    <n v="0"/>
    <n v="0"/>
    <n v="0"/>
    <n v="0"/>
    <n v="0"/>
    <m/>
    <n v="0"/>
    <m/>
    <m/>
    <s v="PRODUIT 04  |  PRIX MOYEN DE VENTE PAR PRODUIT/SERVICE"/>
    <m/>
  </r>
  <r>
    <n v="146"/>
    <x v="0"/>
    <m/>
    <s v="CURRENT YEAR"/>
    <x v="3"/>
    <x v="1"/>
    <x v="4"/>
    <x v="3"/>
    <x v="3"/>
    <m/>
    <m/>
    <m/>
    <m/>
    <m/>
    <m/>
    <m/>
    <m/>
    <m/>
    <m/>
    <m/>
    <m/>
    <m/>
    <m/>
    <m/>
    <m/>
    <m/>
    <m/>
    <m/>
    <n v="0"/>
    <n v="0"/>
    <n v="0"/>
    <n v="0"/>
    <n v="0"/>
    <n v="0"/>
    <n v="0"/>
    <n v="0"/>
    <n v="0"/>
    <m/>
    <n v="0"/>
    <m/>
    <m/>
    <s v="PRODUIT 04  |  PRIX MOYEN DE VENTE PAR PRODUIT/SERVICE"/>
    <m/>
  </r>
  <r>
    <n v="147"/>
    <x v="0"/>
    <m/>
    <s v="YEAR2"/>
    <x v="4"/>
    <x v="1"/>
    <x v="4"/>
    <x v="3"/>
    <x v="3"/>
    <m/>
    <m/>
    <m/>
    <m/>
    <m/>
    <m/>
    <m/>
    <m/>
    <m/>
    <m/>
    <m/>
    <m/>
    <m/>
    <m/>
    <m/>
    <m/>
    <m/>
    <m/>
    <m/>
    <n v="0"/>
    <n v="0"/>
    <n v="0"/>
    <n v="0"/>
    <n v="0"/>
    <n v="0"/>
    <n v="0"/>
    <n v="0"/>
    <n v="0"/>
    <m/>
    <n v="0"/>
    <m/>
    <m/>
    <s v="PRODUIT 04  |  PRIX MOYEN DE VENTE PAR PRODUIT/SERVICE"/>
    <m/>
  </r>
  <r>
    <n v="148"/>
    <x v="0"/>
    <m/>
    <s v="YEAR3"/>
    <x v="5"/>
    <x v="1"/>
    <x v="4"/>
    <x v="3"/>
    <x v="3"/>
    <m/>
    <m/>
    <m/>
    <m/>
    <m/>
    <m/>
    <m/>
    <m/>
    <m/>
    <m/>
    <m/>
    <m/>
    <m/>
    <m/>
    <m/>
    <m/>
    <m/>
    <m/>
    <m/>
    <n v="0"/>
    <n v="0"/>
    <n v="0"/>
    <n v="0"/>
    <n v="0"/>
    <n v="0"/>
    <n v="0"/>
    <n v="0"/>
    <n v="0"/>
    <m/>
    <n v="0"/>
    <m/>
    <m/>
    <s v="PRODUIT 04  |  PRIX MOYEN DE VENTE PAR PRODUIT/SERVICE"/>
    <m/>
  </r>
  <r>
    <n v="149"/>
    <x v="0"/>
    <m/>
    <s v="YEAR4"/>
    <x v="6"/>
    <x v="1"/>
    <x v="4"/>
    <x v="3"/>
    <x v="3"/>
    <m/>
    <m/>
    <m/>
    <m/>
    <m/>
    <m/>
    <m/>
    <m/>
    <m/>
    <m/>
    <m/>
    <m/>
    <m/>
    <m/>
    <m/>
    <m/>
    <m/>
    <m/>
    <m/>
    <n v="0"/>
    <n v="0"/>
    <n v="0"/>
    <n v="0"/>
    <n v="0"/>
    <n v="0"/>
    <n v="0"/>
    <n v="0"/>
    <n v="0"/>
    <m/>
    <n v="0"/>
    <m/>
    <m/>
    <s v="PRODUIT 04  |  PRIX MOYEN DE VENTE PAR PRODUIT/SERVICE"/>
    <m/>
  </r>
  <r>
    <n v="150"/>
    <x v="0"/>
    <m/>
    <s v="YEAR5"/>
    <x v="7"/>
    <x v="1"/>
    <x v="4"/>
    <x v="3"/>
    <x v="3"/>
    <m/>
    <m/>
    <m/>
    <m/>
    <m/>
    <m/>
    <m/>
    <m/>
    <m/>
    <m/>
    <m/>
    <m/>
    <m/>
    <m/>
    <m/>
    <m/>
    <m/>
    <m/>
    <m/>
    <n v="0"/>
    <n v="0"/>
    <n v="0"/>
    <n v="0"/>
    <n v="0"/>
    <n v="0"/>
    <n v="0"/>
    <n v="0"/>
    <n v="0"/>
    <m/>
    <n v="0"/>
    <m/>
    <m/>
    <s v="PRODUIT 04  |  PRIX MOYEN DE VENTE PAR PRODUIT/SERVICE"/>
    <m/>
  </r>
  <r>
    <n v="151"/>
    <x v="0"/>
    <m/>
    <s v="YEAR6"/>
    <x v="8"/>
    <x v="1"/>
    <x v="4"/>
    <x v="3"/>
    <x v="3"/>
    <m/>
    <m/>
    <m/>
    <m/>
    <m/>
    <m/>
    <m/>
    <m/>
    <m/>
    <m/>
    <m/>
    <m/>
    <m/>
    <m/>
    <m/>
    <m/>
    <m/>
    <m/>
    <m/>
    <n v="0"/>
    <n v="0"/>
    <n v="0"/>
    <n v="0"/>
    <n v="0"/>
    <n v="0"/>
    <n v="0"/>
    <n v="0"/>
    <n v="0"/>
    <m/>
    <n v="0"/>
    <m/>
    <m/>
    <s v="PRODUIT 04  |  PRIX MOYEN DE VENTE PAR PRODUIT/SERVICE"/>
    <m/>
  </r>
  <r>
    <n v="152"/>
    <x v="0"/>
    <m/>
    <s v="YEAR-2"/>
    <x v="1"/>
    <x v="1"/>
    <x v="4"/>
    <x v="3"/>
    <x v="4"/>
    <m/>
    <m/>
    <m/>
    <m/>
    <m/>
    <m/>
    <m/>
    <m/>
    <m/>
    <m/>
    <m/>
    <m/>
    <m/>
    <m/>
    <m/>
    <m/>
    <m/>
    <m/>
    <m/>
    <n v="0"/>
    <n v="0"/>
    <n v="0"/>
    <n v="0"/>
    <n v="0"/>
    <n v="0"/>
    <n v="0"/>
    <n v="0"/>
    <n v="0"/>
    <n v="0"/>
    <n v="0"/>
    <n v="0"/>
    <m/>
    <s v="PRODUIT 04  |  DEPENSES SUR ACHATS"/>
    <b v="1"/>
  </r>
  <r>
    <n v="153"/>
    <x v="0"/>
    <m/>
    <s v="YEAR-1"/>
    <x v="2"/>
    <x v="1"/>
    <x v="4"/>
    <x v="3"/>
    <x v="4"/>
    <m/>
    <m/>
    <m/>
    <m/>
    <m/>
    <m/>
    <m/>
    <m/>
    <m/>
    <m/>
    <m/>
    <m/>
    <m/>
    <m/>
    <m/>
    <m/>
    <m/>
    <m/>
    <m/>
    <n v="0"/>
    <n v="0"/>
    <n v="0"/>
    <n v="0"/>
    <n v="0"/>
    <n v="0"/>
    <n v="0"/>
    <n v="0"/>
    <n v="0"/>
    <n v="0"/>
    <n v="0"/>
    <n v="0"/>
    <m/>
    <s v="PRODUIT 04  |  DEPENSES SUR ACHATS"/>
    <b v="1"/>
  </r>
  <r>
    <n v="154"/>
    <x v="0"/>
    <m/>
    <s v="CURRENT YEAR"/>
    <x v="3"/>
    <x v="1"/>
    <x v="4"/>
    <x v="3"/>
    <x v="4"/>
    <m/>
    <m/>
    <m/>
    <m/>
    <m/>
    <m/>
    <m/>
    <m/>
    <m/>
    <m/>
    <m/>
    <m/>
    <m/>
    <m/>
    <m/>
    <m/>
    <m/>
    <m/>
    <m/>
    <n v="0"/>
    <n v="0"/>
    <n v="0"/>
    <n v="0"/>
    <n v="0"/>
    <n v="0"/>
    <n v="0"/>
    <n v="0"/>
    <n v="0"/>
    <n v="0"/>
    <n v="0"/>
    <n v="0"/>
    <m/>
    <s v="PRODUIT 04  |  DEPENSES SUR ACHATS"/>
    <b v="1"/>
  </r>
  <r>
    <n v="155"/>
    <x v="0"/>
    <m/>
    <s v="YEAR2"/>
    <x v="4"/>
    <x v="1"/>
    <x v="4"/>
    <x v="3"/>
    <x v="4"/>
    <m/>
    <m/>
    <m/>
    <m/>
    <m/>
    <m/>
    <m/>
    <m/>
    <m/>
    <m/>
    <m/>
    <m/>
    <m/>
    <m/>
    <m/>
    <m/>
    <m/>
    <m/>
    <m/>
    <n v="0"/>
    <n v="0"/>
    <n v="0"/>
    <n v="0"/>
    <n v="0"/>
    <n v="0"/>
    <n v="0"/>
    <n v="0"/>
    <n v="0"/>
    <n v="0"/>
    <n v="0"/>
    <n v="0"/>
    <m/>
    <s v="PRODUIT 04  |  DEPENSES SUR ACHATS"/>
    <b v="1"/>
  </r>
  <r>
    <n v="156"/>
    <x v="0"/>
    <m/>
    <s v="YEAR3"/>
    <x v="5"/>
    <x v="1"/>
    <x v="4"/>
    <x v="3"/>
    <x v="4"/>
    <m/>
    <m/>
    <m/>
    <m/>
    <m/>
    <m/>
    <m/>
    <m/>
    <m/>
    <m/>
    <m/>
    <m/>
    <m/>
    <m/>
    <m/>
    <m/>
    <m/>
    <m/>
    <m/>
    <n v="0"/>
    <n v="0"/>
    <n v="0"/>
    <n v="0"/>
    <n v="0"/>
    <n v="0"/>
    <n v="0"/>
    <n v="0"/>
    <n v="0"/>
    <n v="0"/>
    <n v="0"/>
    <n v="0"/>
    <m/>
    <s v="PRODUIT 04  |  DEPENSES SUR ACHATS"/>
    <b v="1"/>
  </r>
  <r>
    <n v="157"/>
    <x v="0"/>
    <m/>
    <s v="YEAR4"/>
    <x v="6"/>
    <x v="1"/>
    <x v="4"/>
    <x v="3"/>
    <x v="4"/>
    <m/>
    <m/>
    <m/>
    <m/>
    <m/>
    <m/>
    <m/>
    <m/>
    <m/>
    <m/>
    <m/>
    <m/>
    <m/>
    <m/>
    <m/>
    <m/>
    <m/>
    <m/>
    <m/>
    <n v="0"/>
    <n v="0"/>
    <n v="0"/>
    <n v="0"/>
    <n v="0"/>
    <n v="0"/>
    <n v="0"/>
    <n v="0"/>
    <n v="0"/>
    <n v="0"/>
    <n v="0"/>
    <n v="0"/>
    <m/>
    <s v="PRODUIT 04  |  DEPENSES SUR ACHATS"/>
    <b v="1"/>
  </r>
  <r>
    <n v="158"/>
    <x v="0"/>
    <m/>
    <s v="YEAR5"/>
    <x v="7"/>
    <x v="1"/>
    <x v="4"/>
    <x v="3"/>
    <x v="4"/>
    <m/>
    <m/>
    <m/>
    <m/>
    <m/>
    <m/>
    <m/>
    <m/>
    <m/>
    <m/>
    <m/>
    <m/>
    <m/>
    <m/>
    <m/>
    <m/>
    <m/>
    <m/>
    <m/>
    <n v="0"/>
    <n v="0"/>
    <n v="0"/>
    <n v="0"/>
    <n v="0"/>
    <n v="0"/>
    <n v="0"/>
    <n v="0"/>
    <n v="0"/>
    <n v="0"/>
    <n v="0"/>
    <n v="0"/>
    <m/>
    <s v="PRODUIT 04  |  DEPENSES SUR ACHATS"/>
    <b v="1"/>
  </r>
  <r>
    <n v="159"/>
    <x v="0"/>
    <m/>
    <s v="YEAR6"/>
    <x v="8"/>
    <x v="1"/>
    <x v="4"/>
    <x v="3"/>
    <x v="4"/>
    <m/>
    <m/>
    <m/>
    <m/>
    <m/>
    <m/>
    <m/>
    <m/>
    <m/>
    <m/>
    <m/>
    <m/>
    <m/>
    <m/>
    <m/>
    <m/>
    <m/>
    <m/>
    <m/>
    <n v="0"/>
    <n v="0"/>
    <n v="0"/>
    <n v="0"/>
    <n v="0"/>
    <n v="0"/>
    <n v="0"/>
    <n v="0"/>
    <n v="0"/>
    <n v="0"/>
    <n v="0"/>
    <n v="0"/>
    <m/>
    <s v="PRODUIT 04  |  DEPENSES SUR ACHATS"/>
    <b v="1"/>
  </r>
  <r>
    <n v="160"/>
    <x v="0"/>
    <m/>
    <s v="YEAR-2"/>
    <x v="1"/>
    <x v="1"/>
    <x v="4"/>
    <x v="3"/>
    <x v="5"/>
    <m/>
    <m/>
    <m/>
    <m/>
    <m/>
    <m/>
    <m/>
    <m/>
    <m/>
    <m/>
    <m/>
    <m/>
    <m/>
    <m/>
    <m/>
    <m/>
    <m/>
    <m/>
    <m/>
    <n v="0"/>
    <n v="0"/>
    <n v="0"/>
    <n v="0"/>
    <n v="0"/>
    <n v="0"/>
    <n v="0"/>
    <n v="0"/>
    <n v="0"/>
    <m/>
    <n v="0"/>
    <m/>
    <m/>
    <s v="PRODUIT 04  |  PRIX MOYEN D'ACHAT PAR PRODUIT/SERVICE"/>
    <m/>
  </r>
  <r>
    <n v="161"/>
    <x v="0"/>
    <m/>
    <s v="YEAR-1"/>
    <x v="2"/>
    <x v="1"/>
    <x v="4"/>
    <x v="3"/>
    <x v="5"/>
    <m/>
    <m/>
    <m/>
    <m/>
    <m/>
    <m/>
    <m/>
    <m/>
    <m/>
    <m/>
    <m/>
    <m/>
    <m/>
    <m/>
    <m/>
    <m/>
    <m/>
    <m/>
    <m/>
    <n v="0"/>
    <n v="0"/>
    <n v="0"/>
    <n v="0"/>
    <n v="0"/>
    <n v="0"/>
    <n v="0"/>
    <n v="0"/>
    <n v="0"/>
    <m/>
    <n v="0"/>
    <m/>
    <m/>
    <s v="PRODUIT 04  |  PRIX MOYEN D'ACHAT PAR PRODUIT/SERVICE"/>
    <m/>
  </r>
  <r>
    <n v="162"/>
    <x v="0"/>
    <m/>
    <s v="CURRENT YEAR"/>
    <x v="3"/>
    <x v="1"/>
    <x v="4"/>
    <x v="3"/>
    <x v="5"/>
    <m/>
    <m/>
    <m/>
    <m/>
    <m/>
    <m/>
    <m/>
    <m/>
    <m/>
    <m/>
    <m/>
    <m/>
    <m/>
    <m/>
    <m/>
    <m/>
    <m/>
    <m/>
    <m/>
    <n v="0"/>
    <n v="0"/>
    <n v="0"/>
    <n v="0"/>
    <n v="0"/>
    <n v="0"/>
    <n v="0"/>
    <n v="0"/>
    <n v="0"/>
    <m/>
    <n v="0"/>
    <m/>
    <m/>
    <s v="PRODUIT 04  |  PRIX MOYEN D'ACHAT PAR PRODUIT/SERVICE"/>
    <m/>
  </r>
  <r>
    <n v="163"/>
    <x v="0"/>
    <m/>
    <s v="YEAR2"/>
    <x v="4"/>
    <x v="1"/>
    <x v="4"/>
    <x v="3"/>
    <x v="5"/>
    <m/>
    <m/>
    <m/>
    <m/>
    <m/>
    <m/>
    <m/>
    <m/>
    <m/>
    <m/>
    <m/>
    <m/>
    <m/>
    <m/>
    <m/>
    <m/>
    <m/>
    <m/>
    <m/>
    <n v="0"/>
    <n v="0"/>
    <n v="0"/>
    <n v="0"/>
    <n v="0"/>
    <n v="0"/>
    <n v="0"/>
    <n v="0"/>
    <n v="0"/>
    <m/>
    <n v="0"/>
    <m/>
    <m/>
    <s v="PRODUIT 04  |  PRIX MOYEN D'ACHAT PAR PRODUIT/SERVICE"/>
    <m/>
  </r>
  <r>
    <n v="164"/>
    <x v="0"/>
    <m/>
    <s v="YEAR3"/>
    <x v="5"/>
    <x v="1"/>
    <x v="4"/>
    <x v="3"/>
    <x v="5"/>
    <m/>
    <m/>
    <m/>
    <m/>
    <m/>
    <m/>
    <m/>
    <m/>
    <m/>
    <m/>
    <m/>
    <m/>
    <m/>
    <m/>
    <m/>
    <m/>
    <m/>
    <m/>
    <m/>
    <n v="0"/>
    <n v="0"/>
    <n v="0"/>
    <n v="0"/>
    <n v="0"/>
    <n v="0"/>
    <n v="0"/>
    <n v="0"/>
    <n v="0"/>
    <m/>
    <n v="0"/>
    <m/>
    <m/>
    <s v="PRODUIT 04  |  PRIX MOYEN D'ACHAT PAR PRODUIT/SERVICE"/>
    <m/>
  </r>
  <r>
    <n v="165"/>
    <x v="0"/>
    <m/>
    <s v="YEAR4"/>
    <x v="6"/>
    <x v="1"/>
    <x v="4"/>
    <x v="3"/>
    <x v="5"/>
    <m/>
    <m/>
    <m/>
    <m/>
    <m/>
    <m/>
    <m/>
    <m/>
    <m/>
    <m/>
    <m/>
    <m/>
    <m/>
    <m/>
    <m/>
    <m/>
    <m/>
    <m/>
    <m/>
    <n v="0"/>
    <n v="0"/>
    <n v="0"/>
    <n v="0"/>
    <n v="0"/>
    <n v="0"/>
    <n v="0"/>
    <n v="0"/>
    <n v="0"/>
    <m/>
    <n v="0"/>
    <m/>
    <m/>
    <s v="PRODUIT 04  |  PRIX MOYEN D'ACHAT PAR PRODUIT/SERVICE"/>
    <m/>
  </r>
  <r>
    <n v="166"/>
    <x v="0"/>
    <m/>
    <s v="YEAR5"/>
    <x v="7"/>
    <x v="1"/>
    <x v="4"/>
    <x v="3"/>
    <x v="5"/>
    <m/>
    <m/>
    <m/>
    <m/>
    <m/>
    <m/>
    <m/>
    <m/>
    <m/>
    <m/>
    <m/>
    <m/>
    <m/>
    <m/>
    <m/>
    <m/>
    <m/>
    <m/>
    <m/>
    <n v="0"/>
    <n v="0"/>
    <n v="0"/>
    <n v="0"/>
    <n v="0"/>
    <n v="0"/>
    <n v="0"/>
    <n v="0"/>
    <n v="0"/>
    <m/>
    <n v="0"/>
    <m/>
    <m/>
    <s v="PRODUIT 04  |  PRIX MOYEN D'ACHAT PAR PRODUIT/SERVICE"/>
    <m/>
  </r>
  <r>
    <n v="167"/>
    <x v="0"/>
    <m/>
    <s v="YEAR6"/>
    <x v="8"/>
    <x v="1"/>
    <x v="4"/>
    <x v="3"/>
    <x v="5"/>
    <m/>
    <m/>
    <m/>
    <m/>
    <m/>
    <m/>
    <m/>
    <m/>
    <m/>
    <m/>
    <m/>
    <m/>
    <m/>
    <m/>
    <m/>
    <m/>
    <m/>
    <m/>
    <m/>
    <n v="0"/>
    <n v="0"/>
    <n v="0"/>
    <n v="0"/>
    <n v="0"/>
    <n v="0"/>
    <n v="0"/>
    <n v="0"/>
    <n v="0"/>
    <m/>
    <n v="0"/>
    <m/>
    <m/>
    <s v="PRODUIT 04  |  PRIX MOYEN D'ACHAT PAR PRODUIT/SERVICE"/>
    <m/>
  </r>
  <r>
    <n v="168"/>
    <x v="0"/>
    <n v="1"/>
    <m/>
    <x v="0"/>
    <x v="0"/>
    <x v="0"/>
    <x v="0"/>
    <x v="0"/>
    <m/>
    <m/>
    <m/>
    <m/>
    <m/>
    <m/>
    <m/>
    <m/>
    <m/>
    <m/>
    <m/>
    <m/>
    <m/>
    <m/>
    <m/>
    <m/>
    <m/>
    <m/>
    <m/>
    <m/>
    <m/>
    <m/>
    <m/>
    <m/>
    <m/>
    <m/>
    <m/>
    <m/>
    <m/>
    <m/>
    <m/>
    <m/>
    <m/>
    <m/>
  </r>
  <r>
    <n v="169"/>
    <x v="0"/>
    <m/>
    <m/>
    <x v="0"/>
    <x v="0"/>
    <x v="0"/>
    <x v="0"/>
    <x v="0"/>
    <m/>
    <m/>
    <m/>
    <m/>
    <m/>
    <m/>
    <m/>
    <m/>
    <m/>
    <m/>
    <m/>
    <m/>
    <m/>
    <m/>
    <m/>
    <m/>
    <m/>
    <m/>
    <m/>
    <m/>
    <m/>
    <m/>
    <m/>
    <m/>
    <m/>
    <m/>
    <m/>
    <m/>
    <m/>
    <m/>
    <m/>
    <m/>
    <m/>
    <m/>
  </r>
  <r>
    <n v="170"/>
    <x v="0"/>
    <n v="1"/>
    <s v="YEAR-2"/>
    <x v="1"/>
    <x v="1"/>
    <x v="5"/>
    <x v="3"/>
    <x v="1"/>
    <n v="1000"/>
    <n v="0"/>
    <n v="0"/>
    <n v="1000"/>
    <n v="1"/>
    <n v="0"/>
    <n v="0"/>
    <n v="500"/>
    <n v="0"/>
    <n v="0"/>
    <n v="500"/>
    <n v="1"/>
    <n v="1"/>
    <n v="1"/>
    <n v="0"/>
    <n v="0"/>
    <n v="0"/>
    <n v="0"/>
    <n v="0"/>
    <n v="0"/>
    <n v="0"/>
    <n v="0"/>
    <n v="0"/>
    <n v="0"/>
    <n v="0"/>
    <n v="0"/>
    <n v="0"/>
    <n v="0"/>
    <n v="0"/>
    <n v="0"/>
    <n v="0"/>
    <s v="GAMME # : 1 + CANAL DE DISTRIBUTION # : 1"/>
    <s v="PRODUIT 05  |  VOLUME"/>
    <b v="1"/>
  </r>
  <r>
    <n v="171"/>
    <x v="0"/>
    <n v="1"/>
    <s v="YEAR-1"/>
    <x v="2"/>
    <x v="1"/>
    <x v="5"/>
    <x v="3"/>
    <x v="1"/>
    <n v="1000"/>
    <n v="0"/>
    <n v="0"/>
    <n v="1000"/>
    <n v="1"/>
    <n v="0"/>
    <n v="0"/>
    <n v="500"/>
    <n v="0"/>
    <n v="0"/>
    <n v="500"/>
    <n v="1"/>
    <n v="1"/>
    <n v="1"/>
    <n v="0"/>
    <n v="0"/>
    <n v="0"/>
    <n v="0"/>
    <n v="0"/>
    <n v="0"/>
    <n v="0"/>
    <n v="0"/>
    <n v="0"/>
    <n v="0"/>
    <n v="0"/>
    <n v="0"/>
    <n v="0"/>
    <n v="0"/>
    <n v="0"/>
    <n v="0"/>
    <n v="0"/>
    <m/>
    <s v="PRODUIT 05  |  VOLUME"/>
    <b v="1"/>
  </r>
  <r>
    <n v="172"/>
    <x v="0"/>
    <n v="1"/>
    <s v="CURRENT YEAR"/>
    <x v="3"/>
    <x v="1"/>
    <x v="5"/>
    <x v="3"/>
    <x v="1"/>
    <n v="1000"/>
    <n v="0"/>
    <n v="0"/>
    <n v="1000"/>
    <n v="1"/>
    <n v="0"/>
    <n v="0"/>
    <n v="500"/>
    <n v="0"/>
    <n v="0"/>
    <n v="500"/>
    <n v="1"/>
    <n v="1"/>
    <n v="1"/>
    <n v="0"/>
    <n v="0"/>
    <n v="0"/>
    <n v="0"/>
    <n v="0"/>
    <n v="0"/>
    <n v="0"/>
    <n v="0"/>
    <n v="0"/>
    <n v="0"/>
    <n v="0"/>
    <n v="0"/>
    <n v="0"/>
    <n v="0"/>
    <n v="0"/>
    <n v="0"/>
    <n v="0"/>
    <m/>
    <s v="PRODUIT 05  |  VOLUME"/>
    <b v="1"/>
  </r>
  <r>
    <n v="173"/>
    <x v="0"/>
    <n v="1"/>
    <s v="YEAR2"/>
    <x v="4"/>
    <x v="1"/>
    <x v="5"/>
    <x v="3"/>
    <x v="1"/>
    <n v="1000"/>
    <n v="0"/>
    <n v="0"/>
    <n v="1000"/>
    <n v="1"/>
    <n v="0"/>
    <n v="0"/>
    <n v="500"/>
    <n v="0"/>
    <n v="0"/>
    <n v="500"/>
    <n v="1"/>
    <n v="1"/>
    <n v="1"/>
    <n v="0"/>
    <n v="0"/>
    <n v="0"/>
    <n v="0"/>
    <n v="0"/>
    <n v="0"/>
    <n v="0"/>
    <n v="0"/>
    <n v="0"/>
    <n v="0"/>
    <n v="0"/>
    <n v="0"/>
    <n v="0"/>
    <n v="0"/>
    <n v="0"/>
    <n v="0"/>
    <n v="0"/>
    <m/>
    <s v="PRODUIT 05  |  VOLUME"/>
    <b v="1"/>
  </r>
  <r>
    <n v="174"/>
    <x v="0"/>
    <n v="1"/>
    <s v="YEAR3"/>
    <x v="5"/>
    <x v="1"/>
    <x v="5"/>
    <x v="3"/>
    <x v="1"/>
    <n v="1000"/>
    <n v="0"/>
    <n v="0"/>
    <n v="1000"/>
    <n v="1"/>
    <n v="0"/>
    <n v="0"/>
    <n v="500"/>
    <n v="0"/>
    <n v="0"/>
    <n v="500"/>
    <n v="1"/>
    <n v="1"/>
    <n v="1"/>
    <n v="0"/>
    <n v="0"/>
    <n v="0"/>
    <n v="0"/>
    <n v="0"/>
    <n v="0"/>
    <n v="0"/>
    <n v="0"/>
    <n v="0"/>
    <n v="0"/>
    <n v="0"/>
    <n v="0"/>
    <n v="0"/>
    <n v="0"/>
    <n v="0"/>
    <n v="0"/>
    <n v="0"/>
    <m/>
    <s v="PRODUIT 05  |  VOLUME"/>
    <b v="1"/>
  </r>
  <r>
    <n v="175"/>
    <x v="0"/>
    <n v="1"/>
    <s v="YEAR4"/>
    <x v="6"/>
    <x v="1"/>
    <x v="5"/>
    <x v="3"/>
    <x v="1"/>
    <n v="1000"/>
    <n v="0"/>
    <n v="0"/>
    <n v="1000"/>
    <n v="1"/>
    <n v="0"/>
    <n v="0"/>
    <n v="500"/>
    <n v="0"/>
    <n v="0"/>
    <n v="500"/>
    <n v="1"/>
    <n v="1"/>
    <n v="1"/>
    <n v="0"/>
    <n v="0"/>
    <n v="0"/>
    <n v="0"/>
    <n v="0"/>
    <n v="0"/>
    <n v="0"/>
    <n v="0"/>
    <n v="0"/>
    <n v="0"/>
    <n v="0"/>
    <n v="0"/>
    <n v="0"/>
    <n v="0"/>
    <n v="0"/>
    <n v="0"/>
    <n v="0"/>
    <m/>
    <s v="PRODUIT 05  |  VOLUME"/>
    <b v="1"/>
  </r>
  <r>
    <n v="176"/>
    <x v="0"/>
    <n v="1"/>
    <s v="YEAR5"/>
    <x v="7"/>
    <x v="1"/>
    <x v="5"/>
    <x v="3"/>
    <x v="1"/>
    <n v="1000"/>
    <n v="0"/>
    <n v="0"/>
    <n v="1000"/>
    <n v="1"/>
    <n v="0"/>
    <n v="0"/>
    <n v="500"/>
    <n v="0"/>
    <n v="0"/>
    <n v="500"/>
    <n v="1"/>
    <n v="1"/>
    <n v="1"/>
    <n v="0"/>
    <n v="0"/>
    <n v="0"/>
    <n v="0"/>
    <n v="0"/>
    <n v="0"/>
    <n v="0"/>
    <n v="0"/>
    <n v="0"/>
    <n v="0"/>
    <n v="0"/>
    <n v="0"/>
    <n v="0"/>
    <n v="0"/>
    <n v="0"/>
    <n v="0"/>
    <n v="0"/>
    <m/>
    <s v="PRODUIT 05  |  VOLUME"/>
    <b v="1"/>
  </r>
  <r>
    <n v="177"/>
    <x v="0"/>
    <n v="1"/>
    <s v="YEAR6"/>
    <x v="8"/>
    <x v="1"/>
    <x v="5"/>
    <x v="3"/>
    <x v="1"/>
    <n v="1000"/>
    <n v="0"/>
    <n v="0"/>
    <n v="1000"/>
    <n v="1"/>
    <n v="0"/>
    <n v="0"/>
    <n v="500"/>
    <n v="0"/>
    <n v="0"/>
    <n v="500"/>
    <n v="1"/>
    <n v="1"/>
    <n v="1"/>
    <n v="0"/>
    <n v="0"/>
    <n v="0"/>
    <n v="0"/>
    <n v="0"/>
    <n v="0"/>
    <n v="0"/>
    <n v="0"/>
    <n v="0"/>
    <n v="0"/>
    <n v="0"/>
    <n v="0"/>
    <n v="0"/>
    <n v="0"/>
    <n v="0"/>
    <n v="0"/>
    <n v="0"/>
    <m/>
    <s v="PRODUIT 05  |  VOLUME"/>
    <b v="1"/>
  </r>
  <r>
    <n v="178"/>
    <x v="0"/>
    <m/>
    <s v="YEAR-2"/>
    <x v="1"/>
    <x v="1"/>
    <x v="5"/>
    <x v="3"/>
    <x v="2"/>
    <m/>
    <m/>
    <m/>
    <m/>
    <m/>
    <m/>
    <m/>
    <m/>
    <m/>
    <m/>
    <m/>
    <m/>
    <m/>
    <m/>
    <m/>
    <m/>
    <m/>
    <m/>
    <m/>
    <n v="0"/>
    <n v="0"/>
    <n v="0"/>
    <n v="0"/>
    <n v="0"/>
    <n v="0"/>
    <n v="0"/>
    <n v="0"/>
    <n v="0"/>
    <n v="0"/>
    <n v="0"/>
    <n v="0"/>
    <m/>
    <s v="PRODUIT 05  |  CHIFFRE D'AFFAIRES"/>
    <b v="1"/>
  </r>
  <r>
    <n v="179"/>
    <x v="0"/>
    <m/>
    <s v="YEAR-1"/>
    <x v="2"/>
    <x v="1"/>
    <x v="5"/>
    <x v="3"/>
    <x v="2"/>
    <m/>
    <m/>
    <m/>
    <m/>
    <m/>
    <m/>
    <m/>
    <m/>
    <m/>
    <m/>
    <m/>
    <m/>
    <m/>
    <m/>
    <m/>
    <m/>
    <m/>
    <m/>
    <m/>
    <n v="0"/>
    <n v="0"/>
    <n v="0"/>
    <n v="0"/>
    <n v="0"/>
    <n v="0"/>
    <n v="0"/>
    <n v="0"/>
    <n v="0"/>
    <n v="0"/>
    <n v="0"/>
    <n v="0"/>
    <m/>
    <s v="PRODUIT 05  |  CHIFFRE D'AFFAIRES"/>
    <b v="1"/>
  </r>
  <r>
    <n v="180"/>
    <x v="0"/>
    <m/>
    <s v="CURRENT YEAR"/>
    <x v="3"/>
    <x v="1"/>
    <x v="5"/>
    <x v="3"/>
    <x v="2"/>
    <m/>
    <m/>
    <m/>
    <m/>
    <m/>
    <m/>
    <m/>
    <m/>
    <m/>
    <m/>
    <m/>
    <m/>
    <m/>
    <m/>
    <m/>
    <m/>
    <m/>
    <m/>
    <m/>
    <n v="0"/>
    <n v="0"/>
    <n v="0"/>
    <n v="0"/>
    <n v="0"/>
    <n v="0"/>
    <n v="0"/>
    <n v="0"/>
    <n v="0"/>
    <n v="0"/>
    <n v="0"/>
    <n v="0"/>
    <m/>
    <s v="PRODUIT 05  |  CHIFFRE D'AFFAIRES"/>
    <b v="1"/>
  </r>
  <r>
    <n v="181"/>
    <x v="0"/>
    <m/>
    <s v="YEAR2"/>
    <x v="4"/>
    <x v="1"/>
    <x v="5"/>
    <x v="3"/>
    <x v="2"/>
    <m/>
    <m/>
    <m/>
    <m/>
    <m/>
    <m/>
    <m/>
    <m/>
    <m/>
    <m/>
    <m/>
    <m/>
    <m/>
    <m/>
    <m/>
    <m/>
    <m/>
    <m/>
    <m/>
    <n v="0"/>
    <n v="0"/>
    <n v="0"/>
    <n v="0"/>
    <n v="0"/>
    <n v="0"/>
    <n v="0"/>
    <n v="0"/>
    <n v="0"/>
    <n v="0"/>
    <n v="0"/>
    <n v="0"/>
    <m/>
    <s v="PRODUIT 05  |  CHIFFRE D'AFFAIRES"/>
    <b v="1"/>
  </r>
  <r>
    <n v="182"/>
    <x v="0"/>
    <m/>
    <s v="YEAR3"/>
    <x v="5"/>
    <x v="1"/>
    <x v="5"/>
    <x v="3"/>
    <x v="2"/>
    <m/>
    <m/>
    <m/>
    <m/>
    <m/>
    <m/>
    <m/>
    <m/>
    <m/>
    <m/>
    <m/>
    <m/>
    <m/>
    <m/>
    <m/>
    <m/>
    <m/>
    <m/>
    <m/>
    <n v="0"/>
    <n v="0"/>
    <n v="0"/>
    <n v="0"/>
    <n v="0"/>
    <n v="0"/>
    <n v="0"/>
    <n v="0"/>
    <n v="0"/>
    <n v="0"/>
    <n v="0"/>
    <n v="0"/>
    <m/>
    <s v="PRODUIT 05  |  CHIFFRE D'AFFAIRES"/>
    <b v="1"/>
  </r>
  <r>
    <n v="183"/>
    <x v="0"/>
    <m/>
    <s v="YEAR4"/>
    <x v="6"/>
    <x v="1"/>
    <x v="5"/>
    <x v="3"/>
    <x v="2"/>
    <m/>
    <m/>
    <m/>
    <m/>
    <m/>
    <m/>
    <m/>
    <m/>
    <m/>
    <m/>
    <m/>
    <m/>
    <m/>
    <m/>
    <m/>
    <m/>
    <m/>
    <m/>
    <m/>
    <n v="0"/>
    <n v="0"/>
    <n v="0"/>
    <n v="0"/>
    <n v="0"/>
    <n v="0"/>
    <n v="0"/>
    <n v="0"/>
    <n v="0"/>
    <n v="0"/>
    <n v="0"/>
    <n v="0"/>
    <m/>
    <s v="PRODUIT 05  |  CHIFFRE D'AFFAIRES"/>
    <b v="1"/>
  </r>
  <r>
    <n v="184"/>
    <x v="0"/>
    <m/>
    <s v="YEAR5"/>
    <x v="7"/>
    <x v="1"/>
    <x v="5"/>
    <x v="3"/>
    <x v="2"/>
    <m/>
    <m/>
    <m/>
    <m/>
    <m/>
    <m/>
    <m/>
    <m/>
    <m/>
    <m/>
    <m/>
    <m/>
    <m/>
    <m/>
    <m/>
    <m/>
    <m/>
    <m/>
    <m/>
    <n v="0"/>
    <n v="0"/>
    <n v="0"/>
    <n v="0"/>
    <n v="0"/>
    <n v="0"/>
    <n v="0"/>
    <n v="0"/>
    <n v="0"/>
    <n v="0"/>
    <n v="0"/>
    <n v="0"/>
    <m/>
    <s v="PRODUIT 05  |  CHIFFRE D'AFFAIRES"/>
    <b v="1"/>
  </r>
  <r>
    <n v="185"/>
    <x v="0"/>
    <m/>
    <s v="YEAR6"/>
    <x v="8"/>
    <x v="1"/>
    <x v="5"/>
    <x v="3"/>
    <x v="2"/>
    <m/>
    <m/>
    <m/>
    <m/>
    <m/>
    <m/>
    <m/>
    <m/>
    <m/>
    <m/>
    <m/>
    <m/>
    <m/>
    <m/>
    <m/>
    <m/>
    <m/>
    <m/>
    <m/>
    <n v="0"/>
    <n v="0"/>
    <n v="0"/>
    <n v="0"/>
    <n v="0"/>
    <n v="0"/>
    <n v="0"/>
    <n v="0"/>
    <n v="0"/>
    <n v="0"/>
    <n v="0"/>
    <n v="0"/>
    <m/>
    <s v="PRODUIT 05  |  CHIFFRE D'AFFAIRES"/>
    <b v="1"/>
  </r>
  <r>
    <n v="186"/>
    <x v="0"/>
    <m/>
    <s v="YEAR-2"/>
    <x v="1"/>
    <x v="1"/>
    <x v="5"/>
    <x v="3"/>
    <x v="3"/>
    <m/>
    <m/>
    <m/>
    <m/>
    <m/>
    <m/>
    <m/>
    <m/>
    <m/>
    <m/>
    <m/>
    <m/>
    <m/>
    <m/>
    <m/>
    <m/>
    <m/>
    <m/>
    <m/>
    <n v="0"/>
    <n v="0"/>
    <n v="0"/>
    <n v="0"/>
    <n v="0"/>
    <n v="0"/>
    <n v="0"/>
    <n v="0"/>
    <n v="0"/>
    <m/>
    <n v="0"/>
    <m/>
    <m/>
    <s v="PRODUIT 05  |  PRIX MOYEN DE VENTE PAR PRODUIT/SERVICE"/>
    <m/>
  </r>
  <r>
    <n v="187"/>
    <x v="0"/>
    <m/>
    <s v="YEAR-1"/>
    <x v="2"/>
    <x v="1"/>
    <x v="5"/>
    <x v="3"/>
    <x v="3"/>
    <m/>
    <m/>
    <m/>
    <m/>
    <m/>
    <m/>
    <m/>
    <m/>
    <m/>
    <m/>
    <m/>
    <m/>
    <m/>
    <m/>
    <m/>
    <m/>
    <m/>
    <m/>
    <m/>
    <n v="0"/>
    <n v="0"/>
    <n v="0"/>
    <n v="0"/>
    <n v="0"/>
    <n v="0"/>
    <n v="0"/>
    <n v="0"/>
    <n v="0"/>
    <m/>
    <n v="0"/>
    <m/>
    <m/>
    <s v="PRODUIT 05  |  PRIX MOYEN DE VENTE PAR PRODUIT/SERVICE"/>
    <m/>
  </r>
  <r>
    <n v="188"/>
    <x v="0"/>
    <m/>
    <s v="CURRENT YEAR"/>
    <x v="3"/>
    <x v="1"/>
    <x v="5"/>
    <x v="3"/>
    <x v="3"/>
    <m/>
    <m/>
    <m/>
    <m/>
    <m/>
    <m/>
    <m/>
    <m/>
    <m/>
    <m/>
    <m/>
    <m/>
    <m/>
    <m/>
    <m/>
    <m/>
    <m/>
    <m/>
    <m/>
    <n v="0"/>
    <n v="0"/>
    <n v="0"/>
    <n v="0"/>
    <n v="0"/>
    <n v="0"/>
    <n v="0"/>
    <n v="0"/>
    <n v="0"/>
    <m/>
    <n v="0"/>
    <m/>
    <m/>
    <s v="PRODUIT 05  |  PRIX MOYEN DE VENTE PAR PRODUIT/SERVICE"/>
    <m/>
  </r>
  <r>
    <n v="189"/>
    <x v="0"/>
    <m/>
    <s v="YEAR2"/>
    <x v="4"/>
    <x v="1"/>
    <x v="5"/>
    <x v="3"/>
    <x v="3"/>
    <m/>
    <m/>
    <m/>
    <m/>
    <m/>
    <m/>
    <m/>
    <m/>
    <m/>
    <m/>
    <m/>
    <m/>
    <m/>
    <m/>
    <m/>
    <m/>
    <m/>
    <m/>
    <m/>
    <n v="0"/>
    <n v="0"/>
    <n v="0"/>
    <n v="0"/>
    <n v="0"/>
    <n v="0"/>
    <n v="0"/>
    <n v="0"/>
    <n v="0"/>
    <m/>
    <n v="0"/>
    <m/>
    <m/>
    <s v="PRODUIT 05  |  PRIX MOYEN DE VENTE PAR PRODUIT/SERVICE"/>
    <m/>
  </r>
  <r>
    <n v="190"/>
    <x v="0"/>
    <m/>
    <s v="YEAR3"/>
    <x v="5"/>
    <x v="1"/>
    <x v="5"/>
    <x v="3"/>
    <x v="3"/>
    <m/>
    <m/>
    <m/>
    <m/>
    <m/>
    <m/>
    <m/>
    <m/>
    <m/>
    <m/>
    <m/>
    <m/>
    <m/>
    <m/>
    <m/>
    <m/>
    <m/>
    <m/>
    <m/>
    <n v="0"/>
    <n v="0"/>
    <n v="0"/>
    <n v="0"/>
    <n v="0"/>
    <n v="0"/>
    <n v="0"/>
    <n v="0"/>
    <n v="0"/>
    <m/>
    <n v="0"/>
    <m/>
    <m/>
    <s v="PRODUIT 05  |  PRIX MOYEN DE VENTE PAR PRODUIT/SERVICE"/>
    <m/>
  </r>
  <r>
    <n v="191"/>
    <x v="0"/>
    <m/>
    <s v="YEAR4"/>
    <x v="6"/>
    <x v="1"/>
    <x v="5"/>
    <x v="3"/>
    <x v="3"/>
    <m/>
    <m/>
    <m/>
    <m/>
    <m/>
    <m/>
    <m/>
    <m/>
    <m/>
    <m/>
    <m/>
    <m/>
    <m/>
    <m/>
    <m/>
    <m/>
    <m/>
    <m/>
    <m/>
    <n v="0"/>
    <n v="0"/>
    <n v="0"/>
    <n v="0"/>
    <n v="0"/>
    <n v="0"/>
    <n v="0"/>
    <n v="0"/>
    <n v="0"/>
    <m/>
    <n v="0"/>
    <m/>
    <m/>
    <s v="PRODUIT 05  |  PRIX MOYEN DE VENTE PAR PRODUIT/SERVICE"/>
    <m/>
  </r>
  <r>
    <n v="192"/>
    <x v="0"/>
    <m/>
    <s v="YEAR5"/>
    <x v="7"/>
    <x v="1"/>
    <x v="5"/>
    <x v="3"/>
    <x v="3"/>
    <m/>
    <m/>
    <m/>
    <m/>
    <m/>
    <m/>
    <m/>
    <m/>
    <m/>
    <m/>
    <m/>
    <m/>
    <m/>
    <m/>
    <m/>
    <m/>
    <m/>
    <m/>
    <m/>
    <n v="0"/>
    <n v="0"/>
    <n v="0"/>
    <n v="0"/>
    <n v="0"/>
    <n v="0"/>
    <n v="0"/>
    <n v="0"/>
    <n v="0"/>
    <m/>
    <n v="0"/>
    <m/>
    <m/>
    <s v="PRODUIT 05  |  PRIX MOYEN DE VENTE PAR PRODUIT/SERVICE"/>
    <m/>
  </r>
  <r>
    <n v="193"/>
    <x v="0"/>
    <m/>
    <s v="YEAR6"/>
    <x v="8"/>
    <x v="1"/>
    <x v="5"/>
    <x v="3"/>
    <x v="3"/>
    <m/>
    <m/>
    <m/>
    <m/>
    <m/>
    <m/>
    <m/>
    <m/>
    <m/>
    <m/>
    <m/>
    <m/>
    <m/>
    <m/>
    <m/>
    <m/>
    <m/>
    <m/>
    <m/>
    <n v="0"/>
    <n v="0"/>
    <n v="0"/>
    <n v="0"/>
    <n v="0"/>
    <n v="0"/>
    <n v="0"/>
    <n v="0"/>
    <n v="0"/>
    <m/>
    <n v="0"/>
    <m/>
    <m/>
    <s v="PRODUIT 05  |  PRIX MOYEN DE VENTE PAR PRODUIT/SERVICE"/>
    <m/>
  </r>
  <r>
    <n v="194"/>
    <x v="0"/>
    <m/>
    <s v="YEAR-2"/>
    <x v="1"/>
    <x v="1"/>
    <x v="5"/>
    <x v="3"/>
    <x v="4"/>
    <m/>
    <m/>
    <m/>
    <m/>
    <m/>
    <m/>
    <m/>
    <m/>
    <m/>
    <m/>
    <m/>
    <m/>
    <m/>
    <m/>
    <m/>
    <m/>
    <m/>
    <m/>
    <m/>
    <n v="0"/>
    <n v="0"/>
    <n v="0"/>
    <n v="0"/>
    <n v="0"/>
    <n v="0"/>
    <n v="0"/>
    <n v="0"/>
    <n v="0"/>
    <n v="0"/>
    <n v="0"/>
    <n v="0"/>
    <m/>
    <s v="PRODUIT 05  |  DEPENSES SUR ACHATS"/>
    <b v="1"/>
  </r>
  <r>
    <n v="195"/>
    <x v="0"/>
    <m/>
    <s v="YEAR-1"/>
    <x v="2"/>
    <x v="1"/>
    <x v="5"/>
    <x v="3"/>
    <x v="4"/>
    <m/>
    <m/>
    <m/>
    <m/>
    <m/>
    <m/>
    <m/>
    <m/>
    <m/>
    <m/>
    <m/>
    <m/>
    <m/>
    <m/>
    <m/>
    <m/>
    <m/>
    <m/>
    <m/>
    <n v="0"/>
    <n v="0"/>
    <n v="0"/>
    <n v="0"/>
    <n v="0"/>
    <n v="0"/>
    <n v="0"/>
    <n v="0"/>
    <n v="0"/>
    <n v="0"/>
    <n v="0"/>
    <n v="0"/>
    <m/>
    <s v="PRODUIT 05  |  DEPENSES SUR ACHATS"/>
    <b v="1"/>
  </r>
  <r>
    <n v="196"/>
    <x v="0"/>
    <m/>
    <s v="CURRENT YEAR"/>
    <x v="3"/>
    <x v="1"/>
    <x v="5"/>
    <x v="3"/>
    <x v="4"/>
    <m/>
    <m/>
    <m/>
    <m/>
    <m/>
    <m/>
    <m/>
    <m/>
    <m/>
    <m/>
    <m/>
    <m/>
    <m/>
    <m/>
    <m/>
    <m/>
    <m/>
    <m/>
    <m/>
    <n v="0"/>
    <n v="0"/>
    <n v="0"/>
    <n v="0"/>
    <n v="0"/>
    <n v="0"/>
    <n v="0"/>
    <n v="0"/>
    <n v="0"/>
    <n v="0"/>
    <n v="0"/>
    <n v="0"/>
    <m/>
    <s v="PRODUIT 05  |  DEPENSES SUR ACHATS"/>
    <b v="1"/>
  </r>
  <r>
    <n v="197"/>
    <x v="0"/>
    <m/>
    <s v="YEAR2"/>
    <x v="4"/>
    <x v="1"/>
    <x v="5"/>
    <x v="3"/>
    <x v="4"/>
    <m/>
    <m/>
    <m/>
    <m/>
    <m/>
    <m/>
    <m/>
    <m/>
    <m/>
    <m/>
    <m/>
    <m/>
    <m/>
    <m/>
    <m/>
    <m/>
    <m/>
    <m/>
    <m/>
    <n v="0"/>
    <n v="0"/>
    <n v="0"/>
    <n v="0"/>
    <n v="0"/>
    <n v="0"/>
    <n v="0"/>
    <n v="0"/>
    <n v="0"/>
    <n v="0"/>
    <n v="0"/>
    <n v="0"/>
    <m/>
    <s v="PRODUIT 05  |  DEPENSES SUR ACHATS"/>
    <b v="1"/>
  </r>
  <r>
    <n v="198"/>
    <x v="0"/>
    <m/>
    <s v="YEAR3"/>
    <x v="5"/>
    <x v="1"/>
    <x v="5"/>
    <x v="3"/>
    <x v="4"/>
    <m/>
    <m/>
    <m/>
    <m/>
    <m/>
    <m/>
    <m/>
    <m/>
    <m/>
    <m/>
    <m/>
    <m/>
    <m/>
    <m/>
    <m/>
    <m/>
    <m/>
    <m/>
    <m/>
    <n v="0"/>
    <n v="0"/>
    <n v="0"/>
    <n v="0"/>
    <n v="0"/>
    <n v="0"/>
    <n v="0"/>
    <n v="0"/>
    <n v="0"/>
    <n v="0"/>
    <n v="0"/>
    <n v="0"/>
    <m/>
    <s v="PRODUIT 05  |  DEPENSES SUR ACHATS"/>
    <b v="1"/>
  </r>
  <r>
    <n v="199"/>
    <x v="0"/>
    <m/>
    <s v="YEAR4"/>
    <x v="6"/>
    <x v="1"/>
    <x v="5"/>
    <x v="3"/>
    <x v="4"/>
    <m/>
    <m/>
    <m/>
    <m/>
    <m/>
    <m/>
    <m/>
    <m/>
    <m/>
    <m/>
    <m/>
    <m/>
    <m/>
    <m/>
    <m/>
    <m/>
    <m/>
    <m/>
    <m/>
    <n v="0"/>
    <n v="0"/>
    <n v="0"/>
    <n v="0"/>
    <n v="0"/>
    <n v="0"/>
    <n v="0"/>
    <n v="0"/>
    <n v="0"/>
    <n v="0"/>
    <n v="0"/>
    <n v="0"/>
    <m/>
    <s v="PRODUIT 05  |  DEPENSES SUR ACHATS"/>
    <b v="1"/>
  </r>
  <r>
    <n v="200"/>
    <x v="0"/>
    <m/>
    <s v="YEAR5"/>
    <x v="7"/>
    <x v="1"/>
    <x v="5"/>
    <x v="3"/>
    <x v="4"/>
    <m/>
    <m/>
    <m/>
    <m/>
    <m/>
    <m/>
    <m/>
    <m/>
    <m/>
    <m/>
    <m/>
    <m/>
    <m/>
    <m/>
    <m/>
    <m/>
    <m/>
    <m/>
    <m/>
    <n v="0"/>
    <n v="0"/>
    <n v="0"/>
    <n v="0"/>
    <n v="0"/>
    <n v="0"/>
    <n v="0"/>
    <n v="0"/>
    <n v="0"/>
    <n v="0"/>
    <n v="0"/>
    <n v="0"/>
    <m/>
    <s v="PRODUIT 05  |  DEPENSES SUR ACHATS"/>
    <b v="1"/>
  </r>
  <r>
    <n v="201"/>
    <x v="0"/>
    <m/>
    <s v="YEAR6"/>
    <x v="8"/>
    <x v="1"/>
    <x v="5"/>
    <x v="3"/>
    <x v="4"/>
    <m/>
    <m/>
    <m/>
    <m/>
    <m/>
    <m/>
    <m/>
    <m/>
    <m/>
    <m/>
    <m/>
    <m/>
    <m/>
    <m/>
    <m/>
    <m/>
    <m/>
    <m/>
    <m/>
    <n v="0"/>
    <n v="0"/>
    <n v="0"/>
    <n v="0"/>
    <n v="0"/>
    <n v="0"/>
    <n v="0"/>
    <n v="0"/>
    <n v="0"/>
    <n v="0"/>
    <n v="0"/>
    <n v="0"/>
    <m/>
    <s v="PRODUIT 05  |  DEPENSES SUR ACHATS"/>
    <b v="1"/>
  </r>
  <r>
    <n v="202"/>
    <x v="0"/>
    <m/>
    <s v="YEAR-2"/>
    <x v="1"/>
    <x v="1"/>
    <x v="5"/>
    <x v="3"/>
    <x v="5"/>
    <m/>
    <m/>
    <m/>
    <m/>
    <m/>
    <m/>
    <m/>
    <m/>
    <m/>
    <m/>
    <m/>
    <m/>
    <m/>
    <m/>
    <m/>
    <m/>
    <m/>
    <m/>
    <m/>
    <n v="0"/>
    <n v="0"/>
    <n v="0"/>
    <n v="0"/>
    <n v="0"/>
    <n v="0"/>
    <n v="0"/>
    <n v="0"/>
    <n v="0"/>
    <m/>
    <n v="0"/>
    <m/>
    <m/>
    <s v="PRODUIT 05  |  PRIX MOYEN D'ACHAT PAR PRODUIT/SERVICE"/>
    <m/>
  </r>
  <r>
    <n v="203"/>
    <x v="0"/>
    <m/>
    <s v="YEAR-1"/>
    <x v="2"/>
    <x v="1"/>
    <x v="5"/>
    <x v="3"/>
    <x v="5"/>
    <m/>
    <m/>
    <m/>
    <m/>
    <m/>
    <m/>
    <m/>
    <m/>
    <m/>
    <m/>
    <m/>
    <m/>
    <m/>
    <m/>
    <m/>
    <m/>
    <m/>
    <m/>
    <m/>
    <n v="0"/>
    <n v="0"/>
    <n v="0"/>
    <n v="0"/>
    <n v="0"/>
    <n v="0"/>
    <n v="0"/>
    <n v="0"/>
    <n v="0"/>
    <m/>
    <n v="0"/>
    <m/>
    <m/>
    <s v="PRODUIT 05  |  PRIX MOYEN D'ACHAT PAR PRODUIT/SERVICE"/>
    <m/>
  </r>
  <r>
    <n v="204"/>
    <x v="0"/>
    <m/>
    <s v="CURRENT YEAR"/>
    <x v="3"/>
    <x v="1"/>
    <x v="5"/>
    <x v="3"/>
    <x v="5"/>
    <m/>
    <m/>
    <m/>
    <m/>
    <m/>
    <m/>
    <m/>
    <m/>
    <m/>
    <m/>
    <m/>
    <m/>
    <m/>
    <m/>
    <m/>
    <m/>
    <m/>
    <m/>
    <m/>
    <n v="0"/>
    <n v="0"/>
    <n v="0"/>
    <n v="0"/>
    <n v="0"/>
    <n v="0"/>
    <n v="0"/>
    <n v="0"/>
    <n v="0"/>
    <m/>
    <n v="0"/>
    <m/>
    <m/>
    <s v="PRODUIT 05  |  PRIX MOYEN D'ACHAT PAR PRODUIT/SERVICE"/>
    <m/>
  </r>
  <r>
    <n v="205"/>
    <x v="0"/>
    <m/>
    <s v="YEAR2"/>
    <x v="4"/>
    <x v="1"/>
    <x v="5"/>
    <x v="3"/>
    <x v="5"/>
    <m/>
    <m/>
    <m/>
    <m/>
    <m/>
    <m/>
    <m/>
    <m/>
    <m/>
    <m/>
    <m/>
    <m/>
    <m/>
    <m/>
    <m/>
    <m/>
    <m/>
    <m/>
    <m/>
    <n v="0"/>
    <n v="0"/>
    <n v="0"/>
    <n v="0"/>
    <n v="0"/>
    <n v="0"/>
    <n v="0"/>
    <n v="0"/>
    <n v="0"/>
    <m/>
    <n v="0"/>
    <m/>
    <m/>
    <s v="PRODUIT 05  |  PRIX MOYEN D'ACHAT PAR PRODUIT/SERVICE"/>
    <m/>
  </r>
  <r>
    <n v="206"/>
    <x v="0"/>
    <m/>
    <s v="YEAR3"/>
    <x v="5"/>
    <x v="1"/>
    <x v="5"/>
    <x v="3"/>
    <x v="5"/>
    <m/>
    <m/>
    <m/>
    <m/>
    <m/>
    <m/>
    <m/>
    <m/>
    <m/>
    <m/>
    <m/>
    <m/>
    <m/>
    <m/>
    <m/>
    <m/>
    <m/>
    <m/>
    <m/>
    <n v="0"/>
    <n v="0"/>
    <n v="0"/>
    <n v="0"/>
    <n v="0"/>
    <n v="0"/>
    <n v="0"/>
    <n v="0"/>
    <n v="0"/>
    <m/>
    <n v="0"/>
    <m/>
    <m/>
    <s v="PRODUIT 05  |  PRIX MOYEN D'ACHAT PAR PRODUIT/SERVICE"/>
    <m/>
  </r>
  <r>
    <n v="207"/>
    <x v="0"/>
    <m/>
    <s v="YEAR4"/>
    <x v="6"/>
    <x v="1"/>
    <x v="5"/>
    <x v="3"/>
    <x v="5"/>
    <m/>
    <m/>
    <m/>
    <m/>
    <m/>
    <m/>
    <m/>
    <m/>
    <m/>
    <m/>
    <m/>
    <m/>
    <m/>
    <m/>
    <m/>
    <m/>
    <m/>
    <m/>
    <m/>
    <n v="0"/>
    <n v="0"/>
    <n v="0"/>
    <n v="0"/>
    <n v="0"/>
    <n v="0"/>
    <n v="0"/>
    <n v="0"/>
    <n v="0"/>
    <m/>
    <n v="0"/>
    <m/>
    <m/>
    <s v="PRODUIT 05  |  PRIX MOYEN D'ACHAT PAR PRODUIT/SERVICE"/>
    <m/>
  </r>
  <r>
    <n v="208"/>
    <x v="0"/>
    <m/>
    <s v="YEAR5"/>
    <x v="7"/>
    <x v="1"/>
    <x v="5"/>
    <x v="3"/>
    <x v="5"/>
    <m/>
    <m/>
    <m/>
    <m/>
    <m/>
    <m/>
    <m/>
    <m/>
    <m/>
    <m/>
    <m/>
    <m/>
    <m/>
    <m/>
    <m/>
    <m/>
    <m/>
    <m/>
    <m/>
    <n v="0"/>
    <n v="0"/>
    <n v="0"/>
    <n v="0"/>
    <n v="0"/>
    <n v="0"/>
    <n v="0"/>
    <n v="0"/>
    <n v="0"/>
    <m/>
    <n v="0"/>
    <m/>
    <m/>
    <s v="PRODUIT 05  |  PRIX MOYEN D'ACHAT PAR PRODUIT/SERVICE"/>
    <m/>
  </r>
  <r>
    <n v="209"/>
    <x v="0"/>
    <m/>
    <s v="YEAR6"/>
    <x v="8"/>
    <x v="1"/>
    <x v="5"/>
    <x v="3"/>
    <x v="5"/>
    <m/>
    <m/>
    <m/>
    <m/>
    <m/>
    <m/>
    <m/>
    <m/>
    <m/>
    <m/>
    <m/>
    <m/>
    <m/>
    <m/>
    <m/>
    <m/>
    <m/>
    <m/>
    <m/>
    <n v="0"/>
    <n v="0"/>
    <n v="0"/>
    <n v="0"/>
    <n v="0"/>
    <n v="0"/>
    <n v="0"/>
    <n v="0"/>
    <n v="0"/>
    <m/>
    <n v="0"/>
    <m/>
    <m/>
    <s v="PRODUIT 05  |  PRIX MOYEN D'ACHAT PAR PRODUIT/SERVICE"/>
    <m/>
  </r>
  <r>
    <n v="210"/>
    <x v="0"/>
    <n v="1"/>
    <m/>
    <x v="0"/>
    <x v="0"/>
    <x v="0"/>
    <x v="0"/>
    <x v="0"/>
    <m/>
    <m/>
    <m/>
    <m/>
    <m/>
    <m/>
    <m/>
    <m/>
    <m/>
    <m/>
    <m/>
    <m/>
    <m/>
    <m/>
    <m/>
    <m/>
    <m/>
    <m/>
    <m/>
    <m/>
    <m/>
    <m/>
    <m/>
    <m/>
    <m/>
    <m/>
    <m/>
    <m/>
    <m/>
    <m/>
    <m/>
    <m/>
    <m/>
    <m/>
  </r>
  <r>
    <n v="211"/>
    <x v="0"/>
    <m/>
    <m/>
    <x v="0"/>
    <x v="0"/>
    <x v="0"/>
    <x v="0"/>
    <x v="0"/>
    <m/>
    <m/>
    <m/>
    <m/>
    <m/>
    <m/>
    <m/>
    <m/>
    <m/>
    <m/>
    <m/>
    <m/>
    <m/>
    <m/>
    <m/>
    <m/>
    <m/>
    <m/>
    <m/>
    <m/>
    <m/>
    <m/>
    <m/>
    <m/>
    <m/>
    <m/>
    <m/>
    <m/>
    <m/>
    <m/>
    <m/>
    <m/>
    <m/>
    <m/>
  </r>
  <r>
    <n v="212"/>
    <x v="0"/>
    <n v="1"/>
    <s v="YEAR-2"/>
    <x v="1"/>
    <x v="1"/>
    <x v="6"/>
    <x v="3"/>
    <x v="1"/>
    <n v="1000"/>
    <n v="0"/>
    <n v="0"/>
    <n v="1000"/>
    <n v="1"/>
    <n v="0"/>
    <n v="0"/>
    <n v="500"/>
    <n v="0"/>
    <n v="0"/>
    <n v="500"/>
    <n v="1"/>
    <n v="1"/>
    <n v="1"/>
    <n v="0"/>
    <n v="0"/>
    <n v="0"/>
    <n v="0"/>
    <n v="0"/>
    <n v="0"/>
    <n v="0"/>
    <n v="0"/>
    <n v="0"/>
    <n v="0"/>
    <n v="0"/>
    <n v="0"/>
    <n v="0"/>
    <n v="0"/>
    <n v="0"/>
    <n v="0"/>
    <n v="0"/>
    <s v="GAMME # : 1 + CANAL DE DISTRIBUTION # : 1"/>
    <s v="PRODUIT 06  |  VOLUME"/>
    <b v="1"/>
  </r>
  <r>
    <n v="213"/>
    <x v="0"/>
    <n v="1"/>
    <s v="YEAR-1"/>
    <x v="2"/>
    <x v="1"/>
    <x v="6"/>
    <x v="3"/>
    <x v="1"/>
    <n v="1000"/>
    <n v="0"/>
    <n v="0"/>
    <n v="1000"/>
    <n v="1"/>
    <n v="0"/>
    <n v="0"/>
    <n v="500"/>
    <n v="0"/>
    <n v="0"/>
    <n v="500"/>
    <n v="1"/>
    <n v="1"/>
    <n v="1"/>
    <n v="0"/>
    <n v="0"/>
    <n v="0"/>
    <n v="0"/>
    <n v="0"/>
    <n v="0"/>
    <n v="0"/>
    <n v="0"/>
    <n v="0"/>
    <n v="0"/>
    <n v="0"/>
    <n v="0"/>
    <n v="0"/>
    <n v="0"/>
    <n v="0"/>
    <n v="0"/>
    <n v="0"/>
    <m/>
    <s v="PRODUIT 06  |  VOLUME"/>
    <b v="1"/>
  </r>
  <r>
    <n v="214"/>
    <x v="0"/>
    <n v="1"/>
    <s v="CURRENT YEAR"/>
    <x v="3"/>
    <x v="1"/>
    <x v="6"/>
    <x v="3"/>
    <x v="1"/>
    <n v="1000"/>
    <n v="0"/>
    <n v="0"/>
    <n v="1000"/>
    <n v="1"/>
    <n v="0"/>
    <n v="0"/>
    <n v="500"/>
    <n v="0"/>
    <n v="0"/>
    <n v="500"/>
    <n v="1"/>
    <n v="1"/>
    <n v="1"/>
    <n v="0"/>
    <n v="0"/>
    <n v="0"/>
    <n v="0"/>
    <n v="0"/>
    <n v="0"/>
    <n v="0"/>
    <n v="0"/>
    <n v="0"/>
    <n v="0"/>
    <n v="0"/>
    <n v="0"/>
    <n v="0"/>
    <n v="0"/>
    <n v="0"/>
    <n v="0"/>
    <n v="0"/>
    <m/>
    <s v="PRODUIT 06  |  VOLUME"/>
    <b v="1"/>
  </r>
  <r>
    <n v="215"/>
    <x v="0"/>
    <n v="1"/>
    <s v="YEAR2"/>
    <x v="4"/>
    <x v="1"/>
    <x v="6"/>
    <x v="3"/>
    <x v="1"/>
    <n v="1000"/>
    <n v="0"/>
    <n v="0"/>
    <n v="1000"/>
    <n v="1"/>
    <n v="0"/>
    <n v="0"/>
    <n v="500"/>
    <n v="0"/>
    <n v="0"/>
    <n v="500"/>
    <n v="1"/>
    <n v="1"/>
    <n v="1"/>
    <n v="0"/>
    <n v="0"/>
    <n v="0"/>
    <n v="0"/>
    <n v="0"/>
    <n v="0"/>
    <n v="0"/>
    <n v="0"/>
    <n v="0"/>
    <n v="0"/>
    <n v="0"/>
    <n v="0"/>
    <n v="0"/>
    <n v="0"/>
    <n v="0"/>
    <n v="0"/>
    <n v="0"/>
    <m/>
    <s v="PRODUIT 06  |  VOLUME"/>
    <b v="1"/>
  </r>
  <r>
    <n v="216"/>
    <x v="0"/>
    <n v="1"/>
    <s v="YEAR3"/>
    <x v="5"/>
    <x v="1"/>
    <x v="6"/>
    <x v="3"/>
    <x v="1"/>
    <n v="1000"/>
    <n v="0"/>
    <n v="0"/>
    <n v="1000"/>
    <n v="1"/>
    <n v="0"/>
    <n v="0"/>
    <n v="500"/>
    <n v="0"/>
    <n v="0"/>
    <n v="500"/>
    <n v="1"/>
    <n v="1"/>
    <n v="1"/>
    <n v="0"/>
    <n v="0"/>
    <n v="0"/>
    <n v="0"/>
    <n v="0"/>
    <n v="0"/>
    <n v="0"/>
    <n v="0"/>
    <n v="0"/>
    <n v="0"/>
    <n v="0"/>
    <n v="0"/>
    <n v="0"/>
    <n v="0"/>
    <n v="0"/>
    <n v="0"/>
    <n v="0"/>
    <m/>
    <s v="PRODUIT 06  |  VOLUME"/>
    <b v="1"/>
  </r>
  <r>
    <n v="217"/>
    <x v="0"/>
    <n v="1"/>
    <s v="YEAR4"/>
    <x v="6"/>
    <x v="1"/>
    <x v="6"/>
    <x v="3"/>
    <x v="1"/>
    <n v="1000"/>
    <n v="0"/>
    <n v="0"/>
    <n v="1000"/>
    <n v="1"/>
    <n v="0"/>
    <n v="0"/>
    <n v="500"/>
    <n v="0"/>
    <n v="0"/>
    <n v="500"/>
    <n v="1"/>
    <n v="1"/>
    <n v="1"/>
    <n v="0"/>
    <n v="0"/>
    <n v="0"/>
    <n v="0"/>
    <n v="0"/>
    <n v="0"/>
    <n v="0"/>
    <n v="0"/>
    <n v="0"/>
    <n v="0"/>
    <n v="0"/>
    <n v="0"/>
    <n v="0"/>
    <n v="0"/>
    <n v="0"/>
    <n v="0"/>
    <n v="0"/>
    <m/>
    <s v="PRODUIT 06  |  VOLUME"/>
    <b v="1"/>
  </r>
  <r>
    <n v="218"/>
    <x v="0"/>
    <n v="1"/>
    <s v="YEAR5"/>
    <x v="7"/>
    <x v="1"/>
    <x v="6"/>
    <x v="3"/>
    <x v="1"/>
    <n v="1000"/>
    <n v="0"/>
    <n v="0"/>
    <n v="1000"/>
    <n v="1"/>
    <n v="0"/>
    <n v="0"/>
    <n v="500"/>
    <n v="0"/>
    <n v="0"/>
    <n v="500"/>
    <n v="1"/>
    <n v="1"/>
    <n v="1"/>
    <n v="0"/>
    <n v="0"/>
    <n v="0"/>
    <n v="0"/>
    <n v="0"/>
    <n v="0"/>
    <n v="0"/>
    <n v="0"/>
    <n v="0"/>
    <n v="0"/>
    <n v="0"/>
    <n v="0"/>
    <n v="0"/>
    <n v="0"/>
    <n v="0"/>
    <n v="0"/>
    <n v="0"/>
    <m/>
    <s v="PRODUIT 06  |  VOLUME"/>
    <b v="1"/>
  </r>
  <r>
    <n v="219"/>
    <x v="0"/>
    <n v="1"/>
    <s v="YEAR6"/>
    <x v="8"/>
    <x v="1"/>
    <x v="6"/>
    <x v="3"/>
    <x v="1"/>
    <n v="1000"/>
    <n v="0"/>
    <n v="0"/>
    <n v="1000"/>
    <n v="1"/>
    <n v="0"/>
    <n v="0"/>
    <n v="500"/>
    <n v="0"/>
    <n v="0"/>
    <n v="500"/>
    <n v="1"/>
    <n v="1"/>
    <n v="1"/>
    <n v="0"/>
    <n v="0"/>
    <n v="0"/>
    <n v="0"/>
    <n v="0"/>
    <n v="0"/>
    <n v="0"/>
    <n v="0"/>
    <n v="0"/>
    <n v="0"/>
    <n v="0"/>
    <n v="0"/>
    <n v="0"/>
    <n v="0"/>
    <n v="0"/>
    <n v="0"/>
    <n v="0"/>
    <m/>
    <s v="PRODUIT 06  |  VOLUME"/>
    <b v="1"/>
  </r>
  <r>
    <n v="220"/>
    <x v="0"/>
    <m/>
    <s v="YEAR-2"/>
    <x v="1"/>
    <x v="1"/>
    <x v="6"/>
    <x v="3"/>
    <x v="2"/>
    <m/>
    <m/>
    <m/>
    <m/>
    <m/>
    <m/>
    <m/>
    <m/>
    <m/>
    <m/>
    <m/>
    <m/>
    <m/>
    <m/>
    <m/>
    <m/>
    <m/>
    <m/>
    <m/>
    <n v="0"/>
    <n v="0"/>
    <n v="0"/>
    <n v="0"/>
    <n v="0"/>
    <n v="0"/>
    <n v="0"/>
    <n v="0"/>
    <n v="0"/>
    <n v="0"/>
    <n v="0"/>
    <n v="0"/>
    <m/>
    <s v="PRODUIT 06  |  CHIFFRE D'AFFAIRES"/>
    <b v="1"/>
  </r>
  <r>
    <n v="221"/>
    <x v="0"/>
    <m/>
    <s v="YEAR-1"/>
    <x v="2"/>
    <x v="1"/>
    <x v="6"/>
    <x v="3"/>
    <x v="2"/>
    <m/>
    <m/>
    <m/>
    <m/>
    <m/>
    <m/>
    <m/>
    <m/>
    <m/>
    <m/>
    <m/>
    <m/>
    <m/>
    <m/>
    <m/>
    <m/>
    <m/>
    <m/>
    <m/>
    <n v="0"/>
    <n v="0"/>
    <n v="0"/>
    <n v="0"/>
    <n v="0"/>
    <n v="0"/>
    <n v="0"/>
    <n v="0"/>
    <n v="0"/>
    <n v="0"/>
    <n v="0"/>
    <n v="0"/>
    <m/>
    <s v="PRODUIT 06  |  CHIFFRE D'AFFAIRES"/>
    <b v="1"/>
  </r>
  <r>
    <n v="222"/>
    <x v="0"/>
    <m/>
    <s v="CURRENT YEAR"/>
    <x v="3"/>
    <x v="1"/>
    <x v="6"/>
    <x v="3"/>
    <x v="2"/>
    <m/>
    <m/>
    <m/>
    <m/>
    <m/>
    <m/>
    <m/>
    <m/>
    <m/>
    <m/>
    <m/>
    <m/>
    <m/>
    <m/>
    <m/>
    <m/>
    <m/>
    <m/>
    <m/>
    <n v="0"/>
    <n v="0"/>
    <n v="0"/>
    <n v="0"/>
    <n v="0"/>
    <n v="0"/>
    <n v="0"/>
    <n v="0"/>
    <n v="0"/>
    <n v="0"/>
    <n v="0"/>
    <n v="0"/>
    <m/>
    <s v="PRODUIT 06  |  CHIFFRE D'AFFAIRES"/>
    <b v="1"/>
  </r>
  <r>
    <n v="223"/>
    <x v="0"/>
    <m/>
    <s v="YEAR2"/>
    <x v="4"/>
    <x v="1"/>
    <x v="6"/>
    <x v="3"/>
    <x v="2"/>
    <m/>
    <m/>
    <m/>
    <m/>
    <m/>
    <m/>
    <m/>
    <m/>
    <m/>
    <m/>
    <m/>
    <m/>
    <m/>
    <m/>
    <m/>
    <m/>
    <m/>
    <m/>
    <m/>
    <n v="0"/>
    <n v="0"/>
    <n v="0"/>
    <n v="0"/>
    <n v="0"/>
    <n v="0"/>
    <n v="0"/>
    <n v="0"/>
    <n v="0"/>
    <n v="0"/>
    <n v="0"/>
    <n v="0"/>
    <m/>
    <s v="PRODUIT 06  |  CHIFFRE D'AFFAIRES"/>
    <b v="1"/>
  </r>
  <r>
    <n v="224"/>
    <x v="0"/>
    <m/>
    <s v="YEAR3"/>
    <x v="5"/>
    <x v="1"/>
    <x v="6"/>
    <x v="3"/>
    <x v="2"/>
    <m/>
    <m/>
    <m/>
    <m/>
    <m/>
    <m/>
    <m/>
    <m/>
    <m/>
    <m/>
    <m/>
    <m/>
    <m/>
    <m/>
    <m/>
    <m/>
    <m/>
    <m/>
    <m/>
    <n v="0"/>
    <n v="0"/>
    <n v="0"/>
    <n v="0"/>
    <n v="0"/>
    <n v="0"/>
    <n v="0"/>
    <n v="0"/>
    <n v="0"/>
    <n v="0"/>
    <n v="0"/>
    <n v="0"/>
    <m/>
    <s v="PRODUIT 06  |  CHIFFRE D'AFFAIRES"/>
    <b v="1"/>
  </r>
  <r>
    <n v="225"/>
    <x v="0"/>
    <m/>
    <s v="YEAR4"/>
    <x v="6"/>
    <x v="1"/>
    <x v="6"/>
    <x v="3"/>
    <x v="2"/>
    <m/>
    <m/>
    <m/>
    <m/>
    <m/>
    <m/>
    <m/>
    <m/>
    <m/>
    <m/>
    <m/>
    <m/>
    <m/>
    <m/>
    <m/>
    <m/>
    <m/>
    <m/>
    <m/>
    <n v="0"/>
    <n v="0"/>
    <n v="0"/>
    <n v="0"/>
    <n v="0"/>
    <n v="0"/>
    <n v="0"/>
    <n v="0"/>
    <n v="0"/>
    <n v="0"/>
    <n v="0"/>
    <n v="0"/>
    <m/>
    <s v="PRODUIT 06  |  CHIFFRE D'AFFAIRES"/>
    <b v="1"/>
  </r>
  <r>
    <n v="226"/>
    <x v="0"/>
    <m/>
    <s v="YEAR5"/>
    <x v="7"/>
    <x v="1"/>
    <x v="6"/>
    <x v="3"/>
    <x v="2"/>
    <m/>
    <m/>
    <m/>
    <m/>
    <m/>
    <m/>
    <m/>
    <m/>
    <m/>
    <m/>
    <m/>
    <m/>
    <m/>
    <m/>
    <m/>
    <m/>
    <m/>
    <m/>
    <m/>
    <n v="0"/>
    <n v="0"/>
    <n v="0"/>
    <n v="0"/>
    <n v="0"/>
    <n v="0"/>
    <n v="0"/>
    <n v="0"/>
    <n v="0"/>
    <n v="0"/>
    <n v="0"/>
    <n v="0"/>
    <m/>
    <s v="PRODUIT 06  |  CHIFFRE D'AFFAIRES"/>
    <b v="1"/>
  </r>
  <r>
    <n v="227"/>
    <x v="0"/>
    <m/>
    <s v="YEAR6"/>
    <x v="8"/>
    <x v="1"/>
    <x v="6"/>
    <x v="3"/>
    <x v="2"/>
    <m/>
    <m/>
    <m/>
    <m/>
    <m/>
    <m/>
    <m/>
    <m/>
    <m/>
    <m/>
    <m/>
    <m/>
    <m/>
    <m/>
    <m/>
    <m/>
    <m/>
    <m/>
    <m/>
    <n v="0"/>
    <n v="0"/>
    <n v="0"/>
    <n v="0"/>
    <n v="0"/>
    <n v="0"/>
    <n v="0"/>
    <n v="0"/>
    <n v="0"/>
    <n v="0"/>
    <n v="0"/>
    <n v="0"/>
    <m/>
    <s v="PRODUIT 06  |  CHIFFRE D'AFFAIRES"/>
    <b v="1"/>
  </r>
  <r>
    <n v="228"/>
    <x v="0"/>
    <m/>
    <s v="YEAR-2"/>
    <x v="1"/>
    <x v="1"/>
    <x v="6"/>
    <x v="3"/>
    <x v="3"/>
    <m/>
    <m/>
    <m/>
    <m/>
    <m/>
    <m/>
    <m/>
    <m/>
    <m/>
    <m/>
    <m/>
    <m/>
    <m/>
    <m/>
    <m/>
    <m/>
    <m/>
    <m/>
    <m/>
    <n v="0"/>
    <n v="0"/>
    <n v="0"/>
    <n v="0"/>
    <n v="0"/>
    <n v="0"/>
    <n v="0"/>
    <n v="0"/>
    <n v="0"/>
    <m/>
    <n v="0"/>
    <m/>
    <m/>
    <s v="PRODUIT 06  |  PRIX MOYEN DE VENTE PAR PRODUIT/SERVICE"/>
    <m/>
  </r>
  <r>
    <n v="229"/>
    <x v="0"/>
    <m/>
    <s v="YEAR-1"/>
    <x v="2"/>
    <x v="1"/>
    <x v="6"/>
    <x v="3"/>
    <x v="3"/>
    <m/>
    <m/>
    <m/>
    <m/>
    <m/>
    <m/>
    <m/>
    <m/>
    <m/>
    <m/>
    <m/>
    <m/>
    <m/>
    <m/>
    <m/>
    <m/>
    <m/>
    <m/>
    <m/>
    <n v="0"/>
    <n v="0"/>
    <n v="0"/>
    <n v="0"/>
    <n v="0"/>
    <n v="0"/>
    <n v="0"/>
    <n v="0"/>
    <n v="0"/>
    <m/>
    <n v="0"/>
    <m/>
    <m/>
    <s v="PRODUIT 06  |  PRIX MOYEN DE VENTE PAR PRODUIT/SERVICE"/>
    <m/>
  </r>
  <r>
    <n v="230"/>
    <x v="0"/>
    <m/>
    <s v="CURRENT YEAR"/>
    <x v="3"/>
    <x v="1"/>
    <x v="6"/>
    <x v="3"/>
    <x v="3"/>
    <m/>
    <m/>
    <m/>
    <m/>
    <m/>
    <m/>
    <m/>
    <m/>
    <m/>
    <m/>
    <m/>
    <m/>
    <m/>
    <m/>
    <m/>
    <m/>
    <m/>
    <m/>
    <m/>
    <n v="0"/>
    <n v="0"/>
    <n v="0"/>
    <n v="0"/>
    <n v="0"/>
    <n v="0"/>
    <n v="0"/>
    <n v="0"/>
    <n v="0"/>
    <m/>
    <n v="0"/>
    <m/>
    <m/>
    <s v="PRODUIT 06  |  PRIX MOYEN DE VENTE PAR PRODUIT/SERVICE"/>
    <m/>
  </r>
  <r>
    <n v="231"/>
    <x v="0"/>
    <m/>
    <s v="YEAR2"/>
    <x v="4"/>
    <x v="1"/>
    <x v="6"/>
    <x v="3"/>
    <x v="3"/>
    <m/>
    <m/>
    <m/>
    <m/>
    <m/>
    <m/>
    <m/>
    <m/>
    <m/>
    <m/>
    <m/>
    <m/>
    <m/>
    <m/>
    <m/>
    <m/>
    <m/>
    <m/>
    <m/>
    <n v="0"/>
    <n v="0"/>
    <n v="0"/>
    <n v="0"/>
    <n v="0"/>
    <n v="0"/>
    <n v="0"/>
    <n v="0"/>
    <n v="0"/>
    <m/>
    <n v="0"/>
    <m/>
    <m/>
    <s v="PRODUIT 06  |  PRIX MOYEN DE VENTE PAR PRODUIT/SERVICE"/>
    <m/>
  </r>
  <r>
    <n v="232"/>
    <x v="0"/>
    <m/>
    <s v="YEAR3"/>
    <x v="5"/>
    <x v="1"/>
    <x v="6"/>
    <x v="3"/>
    <x v="3"/>
    <m/>
    <m/>
    <m/>
    <m/>
    <m/>
    <m/>
    <m/>
    <m/>
    <m/>
    <m/>
    <m/>
    <m/>
    <m/>
    <m/>
    <m/>
    <m/>
    <m/>
    <m/>
    <m/>
    <n v="0"/>
    <n v="0"/>
    <n v="0"/>
    <n v="0"/>
    <n v="0"/>
    <n v="0"/>
    <n v="0"/>
    <n v="0"/>
    <n v="0"/>
    <m/>
    <n v="0"/>
    <m/>
    <m/>
    <s v="PRODUIT 06  |  PRIX MOYEN DE VENTE PAR PRODUIT/SERVICE"/>
    <m/>
  </r>
  <r>
    <n v="233"/>
    <x v="0"/>
    <m/>
    <s v="YEAR4"/>
    <x v="6"/>
    <x v="1"/>
    <x v="6"/>
    <x v="3"/>
    <x v="3"/>
    <m/>
    <m/>
    <m/>
    <m/>
    <m/>
    <m/>
    <m/>
    <m/>
    <m/>
    <m/>
    <m/>
    <m/>
    <m/>
    <m/>
    <m/>
    <m/>
    <m/>
    <m/>
    <m/>
    <n v="0"/>
    <n v="0"/>
    <n v="0"/>
    <n v="0"/>
    <n v="0"/>
    <n v="0"/>
    <n v="0"/>
    <n v="0"/>
    <n v="0"/>
    <m/>
    <n v="0"/>
    <m/>
    <m/>
    <s v="PRODUIT 06  |  PRIX MOYEN DE VENTE PAR PRODUIT/SERVICE"/>
    <m/>
  </r>
  <r>
    <n v="234"/>
    <x v="0"/>
    <m/>
    <s v="YEAR5"/>
    <x v="7"/>
    <x v="1"/>
    <x v="6"/>
    <x v="3"/>
    <x v="3"/>
    <m/>
    <m/>
    <m/>
    <m/>
    <m/>
    <m/>
    <m/>
    <m/>
    <m/>
    <m/>
    <m/>
    <m/>
    <m/>
    <m/>
    <m/>
    <m/>
    <m/>
    <m/>
    <m/>
    <n v="0"/>
    <n v="0"/>
    <n v="0"/>
    <n v="0"/>
    <n v="0"/>
    <n v="0"/>
    <n v="0"/>
    <n v="0"/>
    <n v="0"/>
    <m/>
    <n v="0"/>
    <m/>
    <m/>
    <s v="PRODUIT 06  |  PRIX MOYEN DE VENTE PAR PRODUIT/SERVICE"/>
    <m/>
  </r>
  <r>
    <n v="235"/>
    <x v="0"/>
    <m/>
    <s v="YEAR6"/>
    <x v="8"/>
    <x v="1"/>
    <x v="6"/>
    <x v="3"/>
    <x v="3"/>
    <m/>
    <m/>
    <m/>
    <m/>
    <m/>
    <m/>
    <m/>
    <m/>
    <m/>
    <m/>
    <m/>
    <m/>
    <m/>
    <m/>
    <m/>
    <m/>
    <m/>
    <m/>
    <m/>
    <n v="0"/>
    <n v="0"/>
    <n v="0"/>
    <n v="0"/>
    <n v="0"/>
    <n v="0"/>
    <n v="0"/>
    <n v="0"/>
    <n v="0"/>
    <m/>
    <n v="0"/>
    <m/>
    <m/>
    <s v="PRODUIT 06  |  PRIX MOYEN DE VENTE PAR PRODUIT/SERVICE"/>
    <m/>
  </r>
  <r>
    <n v="236"/>
    <x v="0"/>
    <m/>
    <s v="YEAR-2"/>
    <x v="1"/>
    <x v="1"/>
    <x v="6"/>
    <x v="3"/>
    <x v="4"/>
    <m/>
    <m/>
    <m/>
    <m/>
    <m/>
    <m/>
    <m/>
    <m/>
    <m/>
    <m/>
    <m/>
    <m/>
    <m/>
    <m/>
    <m/>
    <m/>
    <m/>
    <m/>
    <m/>
    <n v="0"/>
    <n v="0"/>
    <n v="0"/>
    <n v="0"/>
    <n v="0"/>
    <n v="0"/>
    <n v="0"/>
    <n v="0"/>
    <n v="0"/>
    <n v="0"/>
    <n v="0"/>
    <n v="0"/>
    <m/>
    <s v="PRODUIT 06  |  DEPENSES SUR ACHATS"/>
    <b v="1"/>
  </r>
  <r>
    <n v="237"/>
    <x v="0"/>
    <m/>
    <s v="YEAR-1"/>
    <x v="2"/>
    <x v="1"/>
    <x v="6"/>
    <x v="3"/>
    <x v="4"/>
    <m/>
    <m/>
    <m/>
    <m/>
    <m/>
    <m/>
    <m/>
    <m/>
    <m/>
    <m/>
    <m/>
    <m/>
    <m/>
    <m/>
    <m/>
    <m/>
    <m/>
    <m/>
    <m/>
    <n v="0"/>
    <n v="0"/>
    <n v="0"/>
    <n v="0"/>
    <n v="0"/>
    <n v="0"/>
    <n v="0"/>
    <n v="0"/>
    <n v="0"/>
    <n v="0"/>
    <n v="0"/>
    <n v="0"/>
    <m/>
    <s v="PRODUIT 06  |  DEPENSES SUR ACHATS"/>
    <b v="1"/>
  </r>
  <r>
    <n v="238"/>
    <x v="0"/>
    <m/>
    <s v="CURRENT YEAR"/>
    <x v="3"/>
    <x v="1"/>
    <x v="6"/>
    <x v="3"/>
    <x v="4"/>
    <m/>
    <m/>
    <m/>
    <m/>
    <m/>
    <m/>
    <m/>
    <m/>
    <m/>
    <m/>
    <m/>
    <m/>
    <m/>
    <m/>
    <m/>
    <m/>
    <m/>
    <m/>
    <m/>
    <n v="0"/>
    <n v="0"/>
    <n v="0"/>
    <n v="0"/>
    <n v="0"/>
    <n v="0"/>
    <n v="0"/>
    <n v="0"/>
    <n v="0"/>
    <n v="0"/>
    <n v="0"/>
    <n v="0"/>
    <m/>
    <s v="PRODUIT 06  |  DEPENSES SUR ACHATS"/>
    <b v="1"/>
  </r>
  <r>
    <n v="239"/>
    <x v="0"/>
    <m/>
    <s v="YEAR2"/>
    <x v="4"/>
    <x v="1"/>
    <x v="6"/>
    <x v="3"/>
    <x v="4"/>
    <m/>
    <m/>
    <m/>
    <m/>
    <m/>
    <m/>
    <m/>
    <m/>
    <m/>
    <m/>
    <m/>
    <m/>
    <m/>
    <m/>
    <m/>
    <m/>
    <m/>
    <m/>
    <m/>
    <n v="0"/>
    <n v="0"/>
    <n v="0"/>
    <n v="0"/>
    <n v="0"/>
    <n v="0"/>
    <n v="0"/>
    <n v="0"/>
    <n v="0"/>
    <n v="0"/>
    <n v="0"/>
    <n v="0"/>
    <m/>
    <s v="PRODUIT 06  |  DEPENSES SUR ACHATS"/>
    <b v="1"/>
  </r>
  <r>
    <n v="240"/>
    <x v="0"/>
    <m/>
    <s v="YEAR3"/>
    <x v="5"/>
    <x v="1"/>
    <x v="6"/>
    <x v="3"/>
    <x v="4"/>
    <m/>
    <m/>
    <m/>
    <m/>
    <m/>
    <m/>
    <m/>
    <m/>
    <m/>
    <m/>
    <m/>
    <m/>
    <m/>
    <m/>
    <m/>
    <m/>
    <m/>
    <m/>
    <m/>
    <n v="0"/>
    <n v="0"/>
    <n v="0"/>
    <n v="0"/>
    <n v="0"/>
    <n v="0"/>
    <n v="0"/>
    <n v="0"/>
    <n v="0"/>
    <n v="0"/>
    <n v="0"/>
    <n v="0"/>
    <m/>
    <s v="PRODUIT 06  |  DEPENSES SUR ACHATS"/>
    <b v="1"/>
  </r>
  <r>
    <n v="241"/>
    <x v="0"/>
    <m/>
    <s v="YEAR4"/>
    <x v="6"/>
    <x v="1"/>
    <x v="6"/>
    <x v="3"/>
    <x v="4"/>
    <m/>
    <m/>
    <m/>
    <m/>
    <m/>
    <m/>
    <m/>
    <m/>
    <m/>
    <m/>
    <m/>
    <m/>
    <m/>
    <m/>
    <m/>
    <m/>
    <m/>
    <m/>
    <m/>
    <n v="0"/>
    <n v="0"/>
    <n v="0"/>
    <n v="0"/>
    <n v="0"/>
    <n v="0"/>
    <n v="0"/>
    <n v="0"/>
    <n v="0"/>
    <n v="0"/>
    <n v="0"/>
    <n v="0"/>
    <m/>
    <s v="PRODUIT 06  |  DEPENSES SUR ACHATS"/>
    <b v="1"/>
  </r>
  <r>
    <n v="242"/>
    <x v="0"/>
    <m/>
    <s v="YEAR5"/>
    <x v="7"/>
    <x v="1"/>
    <x v="6"/>
    <x v="3"/>
    <x v="4"/>
    <m/>
    <m/>
    <m/>
    <m/>
    <m/>
    <m/>
    <m/>
    <m/>
    <m/>
    <m/>
    <m/>
    <m/>
    <m/>
    <m/>
    <m/>
    <m/>
    <m/>
    <m/>
    <m/>
    <n v="0"/>
    <n v="0"/>
    <n v="0"/>
    <n v="0"/>
    <n v="0"/>
    <n v="0"/>
    <n v="0"/>
    <n v="0"/>
    <n v="0"/>
    <n v="0"/>
    <n v="0"/>
    <n v="0"/>
    <m/>
    <s v="PRODUIT 06  |  DEPENSES SUR ACHATS"/>
    <b v="1"/>
  </r>
  <r>
    <n v="243"/>
    <x v="0"/>
    <m/>
    <s v="YEAR6"/>
    <x v="8"/>
    <x v="1"/>
    <x v="6"/>
    <x v="3"/>
    <x v="4"/>
    <m/>
    <m/>
    <m/>
    <m/>
    <m/>
    <m/>
    <m/>
    <m/>
    <m/>
    <m/>
    <m/>
    <m/>
    <m/>
    <m/>
    <m/>
    <m/>
    <m/>
    <m/>
    <m/>
    <n v="0"/>
    <n v="0"/>
    <n v="0"/>
    <n v="0"/>
    <n v="0"/>
    <n v="0"/>
    <n v="0"/>
    <n v="0"/>
    <n v="0"/>
    <n v="0"/>
    <n v="0"/>
    <n v="0"/>
    <m/>
    <s v="PRODUIT 06  |  DEPENSES SUR ACHATS"/>
    <b v="1"/>
  </r>
  <r>
    <n v="244"/>
    <x v="0"/>
    <m/>
    <s v="YEAR-2"/>
    <x v="1"/>
    <x v="1"/>
    <x v="6"/>
    <x v="3"/>
    <x v="5"/>
    <m/>
    <m/>
    <m/>
    <m/>
    <m/>
    <m/>
    <m/>
    <m/>
    <m/>
    <m/>
    <m/>
    <m/>
    <m/>
    <m/>
    <m/>
    <m/>
    <m/>
    <m/>
    <m/>
    <n v="0"/>
    <n v="0"/>
    <n v="0"/>
    <n v="0"/>
    <n v="0"/>
    <n v="0"/>
    <n v="0"/>
    <n v="0"/>
    <n v="0"/>
    <m/>
    <n v="0"/>
    <m/>
    <m/>
    <s v="PRODUIT 06  |  PRIX MOYEN D'ACHAT PAR PRODUIT/SERVICE"/>
    <m/>
  </r>
  <r>
    <n v="245"/>
    <x v="0"/>
    <m/>
    <s v="YEAR-1"/>
    <x v="2"/>
    <x v="1"/>
    <x v="6"/>
    <x v="3"/>
    <x v="5"/>
    <m/>
    <m/>
    <m/>
    <m/>
    <m/>
    <m/>
    <m/>
    <m/>
    <m/>
    <m/>
    <m/>
    <m/>
    <m/>
    <m/>
    <m/>
    <m/>
    <m/>
    <m/>
    <m/>
    <n v="0"/>
    <n v="0"/>
    <n v="0"/>
    <n v="0"/>
    <n v="0"/>
    <n v="0"/>
    <n v="0"/>
    <n v="0"/>
    <n v="0"/>
    <m/>
    <n v="0"/>
    <m/>
    <m/>
    <s v="PRODUIT 06  |  PRIX MOYEN D'ACHAT PAR PRODUIT/SERVICE"/>
    <m/>
  </r>
  <r>
    <n v="246"/>
    <x v="0"/>
    <m/>
    <s v="CURRENT YEAR"/>
    <x v="3"/>
    <x v="1"/>
    <x v="6"/>
    <x v="3"/>
    <x v="5"/>
    <m/>
    <m/>
    <m/>
    <m/>
    <m/>
    <m/>
    <m/>
    <m/>
    <m/>
    <m/>
    <m/>
    <m/>
    <m/>
    <m/>
    <m/>
    <m/>
    <m/>
    <m/>
    <m/>
    <n v="0"/>
    <n v="0"/>
    <n v="0"/>
    <n v="0"/>
    <n v="0"/>
    <n v="0"/>
    <n v="0"/>
    <n v="0"/>
    <n v="0"/>
    <m/>
    <n v="0"/>
    <m/>
    <m/>
    <s v="PRODUIT 06  |  PRIX MOYEN D'ACHAT PAR PRODUIT/SERVICE"/>
    <m/>
  </r>
  <r>
    <n v="247"/>
    <x v="0"/>
    <m/>
    <s v="YEAR2"/>
    <x v="4"/>
    <x v="1"/>
    <x v="6"/>
    <x v="3"/>
    <x v="5"/>
    <m/>
    <m/>
    <m/>
    <m/>
    <m/>
    <m/>
    <m/>
    <m/>
    <m/>
    <m/>
    <m/>
    <m/>
    <m/>
    <m/>
    <m/>
    <m/>
    <m/>
    <m/>
    <m/>
    <n v="0"/>
    <n v="0"/>
    <n v="0"/>
    <n v="0"/>
    <n v="0"/>
    <n v="0"/>
    <n v="0"/>
    <n v="0"/>
    <n v="0"/>
    <m/>
    <n v="0"/>
    <m/>
    <m/>
    <s v="PRODUIT 06  |  PRIX MOYEN D'ACHAT PAR PRODUIT/SERVICE"/>
    <m/>
  </r>
  <r>
    <n v="248"/>
    <x v="0"/>
    <m/>
    <s v="YEAR3"/>
    <x v="5"/>
    <x v="1"/>
    <x v="6"/>
    <x v="3"/>
    <x v="5"/>
    <m/>
    <m/>
    <m/>
    <m/>
    <m/>
    <m/>
    <m/>
    <m/>
    <m/>
    <m/>
    <m/>
    <m/>
    <m/>
    <m/>
    <m/>
    <m/>
    <m/>
    <m/>
    <m/>
    <n v="0"/>
    <n v="0"/>
    <n v="0"/>
    <n v="0"/>
    <n v="0"/>
    <n v="0"/>
    <n v="0"/>
    <n v="0"/>
    <n v="0"/>
    <m/>
    <n v="0"/>
    <m/>
    <m/>
    <s v="PRODUIT 06  |  PRIX MOYEN D'ACHAT PAR PRODUIT/SERVICE"/>
    <m/>
  </r>
  <r>
    <n v="249"/>
    <x v="0"/>
    <m/>
    <s v="YEAR4"/>
    <x v="6"/>
    <x v="1"/>
    <x v="6"/>
    <x v="3"/>
    <x v="5"/>
    <m/>
    <m/>
    <m/>
    <m/>
    <m/>
    <m/>
    <m/>
    <m/>
    <m/>
    <m/>
    <m/>
    <m/>
    <m/>
    <m/>
    <m/>
    <m/>
    <m/>
    <m/>
    <m/>
    <n v="0"/>
    <n v="0"/>
    <n v="0"/>
    <n v="0"/>
    <n v="0"/>
    <n v="0"/>
    <n v="0"/>
    <n v="0"/>
    <n v="0"/>
    <m/>
    <n v="0"/>
    <m/>
    <m/>
    <s v="PRODUIT 06  |  PRIX MOYEN D'ACHAT PAR PRODUIT/SERVICE"/>
    <m/>
  </r>
  <r>
    <n v="250"/>
    <x v="0"/>
    <m/>
    <s v="YEAR5"/>
    <x v="7"/>
    <x v="1"/>
    <x v="6"/>
    <x v="3"/>
    <x v="5"/>
    <m/>
    <m/>
    <m/>
    <m/>
    <m/>
    <m/>
    <m/>
    <m/>
    <m/>
    <m/>
    <m/>
    <m/>
    <m/>
    <m/>
    <m/>
    <m/>
    <m/>
    <m/>
    <m/>
    <n v="0"/>
    <n v="0"/>
    <n v="0"/>
    <n v="0"/>
    <n v="0"/>
    <n v="0"/>
    <n v="0"/>
    <n v="0"/>
    <n v="0"/>
    <m/>
    <n v="0"/>
    <m/>
    <m/>
    <s v="PRODUIT 06  |  PRIX MOYEN D'ACHAT PAR PRODUIT/SERVICE"/>
    <m/>
  </r>
  <r>
    <n v="251"/>
    <x v="0"/>
    <m/>
    <s v="YEAR6"/>
    <x v="8"/>
    <x v="1"/>
    <x v="6"/>
    <x v="3"/>
    <x v="5"/>
    <m/>
    <m/>
    <m/>
    <m/>
    <m/>
    <m/>
    <m/>
    <m/>
    <m/>
    <m/>
    <m/>
    <m/>
    <m/>
    <m/>
    <m/>
    <m/>
    <m/>
    <m/>
    <m/>
    <n v="0"/>
    <n v="0"/>
    <n v="0"/>
    <n v="0"/>
    <n v="0"/>
    <n v="0"/>
    <n v="0"/>
    <n v="0"/>
    <n v="0"/>
    <m/>
    <n v="0"/>
    <m/>
    <m/>
    <s v="PRODUIT 06  |  PRIX MOYEN D'ACHAT PAR PRODUIT/SERVICE"/>
    <m/>
  </r>
  <r>
    <n v="252"/>
    <x v="0"/>
    <n v="1"/>
    <m/>
    <x v="0"/>
    <x v="0"/>
    <x v="0"/>
    <x v="0"/>
    <x v="0"/>
    <m/>
    <m/>
    <m/>
    <m/>
    <m/>
    <m/>
    <m/>
    <m/>
    <m/>
    <m/>
    <m/>
    <m/>
    <m/>
    <m/>
    <m/>
    <m/>
    <m/>
    <m/>
    <m/>
    <m/>
    <m/>
    <m/>
    <m/>
    <m/>
    <m/>
    <m/>
    <m/>
    <m/>
    <m/>
    <m/>
    <m/>
    <m/>
    <m/>
    <m/>
  </r>
  <r>
    <n v="253"/>
    <x v="0"/>
    <m/>
    <m/>
    <x v="0"/>
    <x v="0"/>
    <x v="0"/>
    <x v="0"/>
    <x v="0"/>
    <m/>
    <m/>
    <m/>
    <m/>
    <m/>
    <m/>
    <m/>
    <m/>
    <m/>
    <m/>
    <m/>
    <m/>
    <m/>
    <m/>
    <m/>
    <m/>
    <m/>
    <m/>
    <m/>
    <m/>
    <m/>
    <m/>
    <m/>
    <m/>
    <m/>
    <m/>
    <m/>
    <m/>
    <m/>
    <m/>
    <m/>
    <m/>
    <m/>
    <m/>
  </r>
  <r>
    <n v="254"/>
    <x v="0"/>
    <n v="1"/>
    <s v="YEAR-2"/>
    <x v="1"/>
    <x v="1"/>
    <x v="7"/>
    <x v="3"/>
    <x v="1"/>
    <n v="1000"/>
    <n v="0"/>
    <n v="0"/>
    <n v="1000"/>
    <n v="1"/>
    <n v="0"/>
    <n v="0"/>
    <n v="500"/>
    <n v="0"/>
    <n v="0"/>
    <n v="500"/>
    <n v="1"/>
    <n v="1"/>
    <n v="1"/>
    <n v="0"/>
    <n v="0"/>
    <n v="0"/>
    <n v="0"/>
    <n v="0"/>
    <n v="0"/>
    <n v="0"/>
    <n v="0"/>
    <n v="0"/>
    <n v="0"/>
    <n v="0"/>
    <n v="0"/>
    <n v="0"/>
    <n v="0"/>
    <n v="0"/>
    <n v="0"/>
    <n v="0"/>
    <s v="GAMME # : 1 + CANAL DE DISTRIBUTION # : 1"/>
    <s v="PRODUIT 07  |  VOLUME"/>
    <b v="1"/>
  </r>
  <r>
    <n v="255"/>
    <x v="0"/>
    <n v="1"/>
    <s v="YEAR-1"/>
    <x v="2"/>
    <x v="1"/>
    <x v="7"/>
    <x v="3"/>
    <x v="1"/>
    <n v="1000"/>
    <n v="0"/>
    <n v="0"/>
    <n v="1000"/>
    <n v="1"/>
    <n v="0"/>
    <n v="0"/>
    <n v="500"/>
    <n v="0"/>
    <n v="0"/>
    <n v="500"/>
    <n v="1"/>
    <n v="1"/>
    <n v="1"/>
    <n v="0"/>
    <n v="0"/>
    <n v="0"/>
    <n v="0"/>
    <n v="0"/>
    <n v="0"/>
    <n v="0"/>
    <n v="0"/>
    <n v="0"/>
    <n v="0"/>
    <n v="0"/>
    <n v="0"/>
    <n v="0"/>
    <n v="0"/>
    <n v="0"/>
    <n v="0"/>
    <n v="0"/>
    <m/>
    <s v="PRODUIT 07  |  VOLUME"/>
    <b v="1"/>
  </r>
  <r>
    <n v="256"/>
    <x v="0"/>
    <n v="1"/>
    <s v="CURRENT YEAR"/>
    <x v="3"/>
    <x v="1"/>
    <x v="7"/>
    <x v="3"/>
    <x v="1"/>
    <n v="1000"/>
    <n v="0"/>
    <n v="0"/>
    <n v="1000"/>
    <n v="1"/>
    <n v="0"/>
    <n v="0"/>
    <n v="500"/>
    <n v="0"/>
    <n v="0"/>
    <n v="500"/>
    <n v="1"/>
    <n v="1"/>
    <n v="1"/>
    <n v="0"/>
    <n v="0"/>
    <n v="0"/>
    <n v="0"/>
    <n v="0"/>
    <n v="0"/>
    <n v="0"/>
    <n v="0"/>
    <n v="0"/>
    <n v="0"/>
    <n v="0"/>
    <n v="0"/>
    <n v="0"/>
    <n v="0"/>
    <n v="0"/>
    <n v="0"/>
    <n v="0"/>
    <m/>
    <s v="PRODUIT 07  |  VOLUME"/>
    <b v="1"/>
  </r>
  <r>
    <n v="257"/>
    <x v="0"/>
    <n v="1"/>
    <s v="YEAR2"/>
    <x v="4"/>
    <x v="1"/>
    <x v="7"/>
    <x v="3"/>
    <x v="1"/>
    <n v="1000"/>
    <n v="0"/>
    <n v="0"/>
    <n v="1000"/>
    <n v="1"/>
    <n v="0"/>
    <n v="0"/>
    <n v="500"/>
    <n v="0"/>
    <n v="0"/>
    <n v="500"/>
    <n v="1"/>
    <n v="1"/>
    <n v="1"/>
    <n v="0"/>
    <n v="0"/>
    <n v="0"/>
    <n v="0"/>
    <n v="0"/>
    <n v="0"/>
    <n v="0"/>
    <n v="0"/>
    <n v="0"/>
    <n v="0"/>
    <n v="0"/>
    <n v="0"/>
    <n v="0"/>
    <n v="0"/>
    <n v="0"/>
    <n v="0"/>
    <n v="0"/>
    <m/>
    <s v="PRODUIT 07  |  VOLUME"/>
    <b v="1"/>
  </r>
  <r>
    <n v="258"/>
    <x v="0"/>
    <n v="1"/>
    <s v="YEAR3"/>
    <x v="5"/>
    <x v="1"/>
    <x v="7"/>
    <x v="3"/>
    <x v="1"/>
    <n v="1000"/>
    <n v="0"/>
    <n v="0"/>
    <n v="1000"/>
    <n v="1"/>
    <n v="0"/>
    <n v="0"/>
    <n v="500"/>
    <n v="0"/>
    <n v="0"/>
    <n v="500"/>
    <n v="1"/>
    <n v="1"/>
    <n v="1"/>
    <n v="0"/>
    <n v="0"/>
    <n v="0"/>
    <n v="0"/>
    <n v="0"/>
    <n v="0"/>
    <n v="0"/>
    <n v="0"/>
    <n v="0"/>
    <n v="0"/>
    <n v="0"/>
    <n v="0"/>
    <n v="0"/>
    <n v="0"/>
    <n v="0"/>
    <n v="0"/>
    <n v="0"/>
    <m/>
    <s v="PRODUIT 07  |  VOLUME"/>
    <b v="1"/>
  </r>
  <r>
    <n v="259"/>
    <x v="0"/>
    <n v="1"/>
    <s v="YEAR4"/>
    <x v="6"/>
    <x v="1"/>
    <x v="7"/>
    <x v="3"/>
    <x v="1"/>
    <n v="1000"/>
    <n v="0"/>
    <n v="0"/>
    <n v="1000"/>
    <n v="1"/>
    <n v="0"/>
    <n v="0"/>
    <n v="500"/>
    <n v="0"/>
    <n v="0"/>
    <n v="500"/>
    <n v="1"/>
    <n v="1"/>
    <n v="1"/>
    <n v="0"/>
    <n v="0"/>
    <n v="0"/>
    <n v="0"/>
    <n v="0"/>
    <n v="0"/>
    <n v="0"/>
    <n v="0"/>
    <n v="0"/>
    <n v="0"/>
    <n v="0"/>
    <n v="0"/>
    <n v="0"/>
    <n v="0"/>
    <n v="0"/>
    <n v="0"/>
    <n v="0"/>
    <m/>
    <s v="PRODUIT 07  |  VOLUME"/>
    <b v="1"/>
  </r>
  <r>
    <n v="260"/>
    <x v="0"/>
    <n v="1"/>
    <s v="YEAR5"/>
    <x v="7"/>
    <x v="1"/>
    <x v="7"/>
    <x v="3"/>
    <x v="1"/>
    <n v="1000"/>
    <n v="0"/>
    <n v="0"/>
    <n v="1000"/>
    <n v="1"/>
    <n v="0"/>
    <n v="0"/>
    <n v="500"/>
    <n v="0"/>
    <n v="0"/>
    <n v="500"/>
    <n v="1"/>
    <n v="1"/>
    <n v="1"/>
    <n v="0"/>
    <n v="0"/>
    <n v="0"/>
    <n v="0"/>
    <n v="0"/>
    <n v="0"/>
    <n v="0"/>
    <n v="0"/>
    <n v="0"/>
    <n v="0"/>
    <n v="0"/>
    <n v="0"/>
    <n v="0"/>
    <n v="0"/>
    <n v="0"/>
    <n v="0"/>
    <n v="0"/>
    <m/>
    <s v="PRODUIT 07  |  VOLUME"/>
    <b v="1"/>
  </r>
  <r>
    <n v="261"/>
    <x v="0"/>
    <n v="1"/>
    <s v="YEAR6"/>
    <x v="8"/>
    <x v="1"/>
    <x v="7"/>
    <x v="3"/>
    <x v="1"/>
    <n v="1000"/>
    <n v="0"/>
    <n v="0"/>
    <n v="1000"/>
    <n v="1"/>
    <n v="0"/>
    <n v="0"/>
    <n v="500"/>
    <n v="0"/>
    <n v="0"/>
    <n v="500"/>
    <n v="1"/>
    <n v="1"/>
    <n v="1"/>
    <n v="0"/>
    <n v="0"/>
    <n v="0"/>
    <n v="0"/>
    <n v="0"/>
    <n v="0"/>
    <n v="0"/>
    <n v="0"/>
    <n v="0"/>
    <n v="0"/>
    <n v="0"/>
    <n v="0"/>
    <n v="0"/>
    <n v="0"/>
    <n v="0"/>
    <n v="0"/>
    <n v="0"/>
    <m/>
    <s v="PRODUIT 07  |  VOLUME"/>
    <b v="1"/>
  </r>
  <r>
    <n v="262"/>
    <x v="0"/>
    <m/>
    <s v="YEAR-2"/>
    <x v="1"/>
    <x v="1"/>
    <x v="7"/>
    <x v="3"/>
    <x v="2"/>
    <m/>
    <m/>
    <m/>
    <m/>
    <m/>
    <m/>
    <m/>
    <m/>
    <m/>
    <m/>
    <m/>
    <m/>
    <m/>
    <m/>
    <m/>
    <m/>
    <m/>
    <m/>
    <m/>
    <n v="0"/>
    <n v="0"/>
    <n v="0"/>
    <n v="0"/>
    <n v="0"/>
    <n v="0"/>
    <n v="0"/>
    <n v="0"/>
    <n v="0"/>
    <n v="0"/>
    <n v="0"/>
    <n v="0"/>
    <m/>
    <s v="PRODUIT 07  |  CHIFFRE D'AFFAIRES"/>
    <b v="1"/>
  </r>
  <r>
    <n v="263"/>
    <x v="0"/>
    <m/>
    <s v="YEAR-1"/>
    <x v="2"/>
    <x v="1"/>
    <x v="7"/>
    <x v="3"/>
    <x v="2"/>
    <m/>
    <m/>
    <m/>
    <m/>
    <m/>
    <m/>
    <m/>
    <m/>
    <m/>
    <m/>
    <m/>
    <m/>
    <m/>
    <m/>
    <m/>
    <m/>
    <m/>
    <m/>
    <m/>
    <n v="0"/>
    <n v="0"/>
    <n v="0"/>
    <n v="0"/>
    <n v="0"/>
    <n v="0"/>
    <n v="0"/>
    <n v="0"/>
    <n v="0"/>
    <n v="0"/>
    <n v="0"/>
    <n v="0"/>
    <m/>
    <s v="PRODUIT 07  |  CHIFFRE D'AFFAIRES"/>
    <b v="1"/>
  </r>
  <r>
    <n v="264"/>
    <x v="0"/>
    <m/>
    <s v="CURRENT YEAR"/>
    <x v="3"/>
    <x v="1"/>
    <x v="7"/>
    <x v="3"/>
    <x v="2"/>
    <m/>
    <m/>
    <m/>
    <m/>
    <m/>
    <m/>
    <m/>
    <m/>
    <m/>
    <m/>
    <m/>
    <m/>
    <m/>
    <m/>
    <m/>
    <m/>
    <m/>
    <m/>
    <m/>
    <n v="0"/>
    <n v="0"/>
    <n v="0"/>
    <n v="0"/>
    <n v="0"/>
    <n v="0"/>
    <n v="0"/>
    <n v="0"/>
    <n v="0"/>
    <n v="0"/>
    <n v="0"/>
    <n v="0"/>
    <m/>
    <s v="PRODUIT 07  |  CHIFFRE D'AFFAIRES"/>
    <b v="1"/>
  </r>
  <r>
    <n v="265"/>
    <x v="0"/>
    <m/>
    <s v="YEAR2"/>
    <x v="4"/>
    <x v="1"/>
    <x v="7"/>
    <x v="3"/>
    <x v="2"/>
    <m/>
    <m/>
    <m/>
    <m/>
    <m/>
    <m/>
    <m/>
    <m/>
    <m/>
    <m/>
    <m/>
    <m/>
    <m/>
    <m/>
    <m/>
    <m/>
    <m/>
    <m/>
    <m/>
    <n v="0"/>
    <n v="0"/>
    <n v="0"/>
    <n v="0"/>
    <n v="0"/>
    <n v="0"/>
    <n v="0"/>
    <n v="0"/>
    <n v="0"/>
    <n v="0"/>
    <n v="0"/>
    <n v="0"/>
    <m/>
    <s v="PRODUIT 07  |  CHIFFRE D'AFFAIRES"/>
    <b v="1"/>
  </r>
  <r>
    <n v="266"/>
    <x v="0"/>
    <m/>
    <s v="YEAR3"/>
    <x v="5"/>
    <x v="1"/>
    <x v="7"/>
    <x v="3"/>
    <x v="2"/>
    <m/>
    <m/>
    <m/>
    <m/>
    <m/>
    <m/>
    <m/>
    <m/>
    <m/>
    <m/>
    <m/>
    <m/>
    <m/>
    <m/>
    <m/>
    <m/>
    <m/>
    <m/>
    <m/>
    <n v="0"/>
    <n v="0"/>
    <n v="0"/>
    <n v="0"/>
    <n v="0"/>
    <n v="0"/>
    <n v="0"/>
    <n v="0"/>
    <n v="0"/>
    <n v="0"/>
    <n v="0"/>
    <n v="0"/>
    <m/>
    <s v="PRODUIT 07  |  CHIFFRE D'AFFAIRES"/>
    <b v="1"/>
  </r>
  <r>
    <n v="267"/>
    <x v="0"/>
    <m/>
    <s v="YEAR4"/>
    <x v="6"/>
    <x v="1"/>
    <x v="7"/>
    <x v="3"/>
    <x v="2"/>
    <m/>
    <m/>
    <m/>
    <m/>
    <m/>
    <m/>
    <m/>
    <m/>
    <m/>
    <m/>
    <m/>
    <m/>
    <m/>
    <m/>
    <m/>
    <m/>
    <m/>
    <m/>
    <m/>
    <n v="0"/>
    <n v="0"/>
    <n v="0"/>
    <n v="0"/>
    <n v="0"/>
    <n v="0"/>
    <n v="0"/>
    <n v="0"/>
    <n v="0"/>
    <n v="0"/>
    <n v="0"/>
    <n v="0"/>
    <m/>
    <s v="PRODUIT 07  |  CHIFFRE D'AFFAIRES"/>
    <b v="1"/>
  </r>
  <r>
    <n v="268"/>
    <x v="0"/>
    <m/>
    <s v="YEAR5"/>
    <x v="7"/>
    <x v="1"/>
    <x v="7"/>
    <x v="3"/>
    <x v="2"/>
    <m/>
    <m/>
    <m/>
    <m/>
    <m/>
    <m/>
    <m/>
    <m/>
    <m/>
    <m/>
    <m/>
    <m/>
    <m/>
    <m/>
    <m/>
    <m/>
    <m/>
    <m/>
    <m/>
    <n v="0"/>
    <n v="0"/>
    <n v="0"/>
    <n v="0"/>
    <n v="0"/>
    <n v="0"/>
    <n v="0"/>
    <n v="0"/>
    <n v="0"/>
    <n v="0"/>
    <n v="0"/>
    <n v="0"/>
    <m/>
    <s v="PRODUIT 07  |  CHIFFRE D'AFFAIRES"/>
    <b v="1"/>
  </r>
  <r>
    <n v="269"/>
    <x v="0"/>
    <m/>
    <s v="YEAR6"/>
    <x v="8"/>
    <x v="1"/>
    <x v="7"/>
    <x v="3"/>
    <x v="2"/>
    <m/>
    <m/>
    <m/>
    <m/>
    <m/>
    <m/>
    <m/>
    <m/>
    <m/>
    <m/>
    <m/>
    <m/>
    <m/>
    <m/>
    <m/>
    <m/>
    <m/>
    <m/>
    <m/>
    <n v="0"/>
    <n v="0"/>
    <n v="0"/>
    <n v="0"/>
    <n v="0"/>
    <n v="0"/>
    <n v="0"/>
    <n v="0"/>
    <n v="0"/>
    <n v="0"/>
    <n v="0"/>
    <n v="0"/>
    <m/>
    <s v="PRODUIT 07  |  CHIFFRE D'AFFAIRES"/>
    <b v="1"/>
  </r>
  <r>
    <n v="270"/>
    <x v="0"/>
    <m/>
    <s v="YEAR-2"/>
    <x v="1"/>
    <x v="1"/>
    <x v="7"/>
    <x v="3"/>
    <x v="3"/>
    <m/>
    <m/>
    <m/>
    <m/>
    <m/>
    <m/>
    <m/>
    <m/>
    <m/>
    <m/>
    <m/>
    <m/>
    <m/>
    <m/>
    <m/>
    <m/>
    <m/>
    <m/>
    <m/>
    <n v="0"/>
    <n v="0"/>
    <n v="0"/>
    <n v="0"/>
    <n v="0"/>
    <n v="0"/>
    <n v="0"/>
    <n v="0"/>
    <n v="0"/>
    <m/>
    <n v="0"/>
    <m/>
    <m/>
    <s v="PRODUIT 07  |  PRIX MOYEN DE VENTE PAR PRODUIT/SERVICE"/>
    <m/>
  </r>
  <r>
    <n v="271"/>
    <x v="0"/>
    <m/>
    <s v="YEAR-1"/>
    <x v="2"/>
    <x v="1"/>
    <x v="7"/>
    <x v="3"/>
    <x v="3"/>
    <m/>
    <m/>
    <m/>
    <m/>
    <m/>
    <m/>
    <m/>
    <m/>
    <m/>
    <m/>
    <m/>
    <m/>
    <m/>
    <m/>
    <m/>
    <m/>
    <m/>
    <m/>
    <m/>
    <n v="0"/>
    <n v="0"/>
    <n v="0"/>
    <n v="0"/>
    <n v="0"/>
    <n v="0"/>
    <n v="0"/>
    <n v="0"/>
    <n v="0"/>
    <m/>
    <n v="0"/>
    <m/>
    <m/>
    <s v="PRODUIT 07  |  PRIX MOYEN DE VENTE PAR PRODUIT/SERVICE"/>
    <m/>
  </r>
  <r>
    <n v="272"/>
    <x v="0"/>
    <m/>
    <s v="CURRENT YEAR"/>
    <x v="3"/>
    <x v="1"/>
    <x v="7"/>
    <x v="3"/>
    <x v="3"/>
    <m/>
    <m/>
    <m/>
    <m/>
    <m/>
    <m/>
    <m/>
    <m/>
    <m/>
    <m/>
    <m/>
    <m/>
    <m/>
    <m/>
    <m/>
    <m/>
    <m/>
    <m/>
    <m/>
    <n v="0"/>
    <n v="0"/>
    <n v="0"/>
    <n v="0"/>
    <n v="0"/>
    <n v="0"/>
    <n v="0"/>
    <n v="0"/>
    <n v="0"/>
    <m/>
    <n v="0"/>
    <m/>
    <m/>
    <s v="PRODUIT 07  |  PRIX MOYEN DE VENTE PAR PRODUIT/SERVICE"/>
    <m/>
  </r>
  <r>
    <n v="273"/>
    <x v="0"/>
    <m/>
    <s v="YEAR2"/>
    <x v="4"/>
    <x v="1"/>
    <x v="7"/>
    <x v="3"/>
    <x v="3"/>
    <m/>
    <m/>
    <m/>
    <m/>
    <m/>
    <m/>
    <m/>
    <m/>
    <m/>
    <m/>
    <m/>
    <m/>
    <m/>
    <m/>
    <m/>
    <m/>
    <m/>
    <m/>
    <m/>
    <n v="0"/>
    <n v="0"/>
    <n v="0"/>
    <n v="0"/>
    <n v="0"/>
    <n v="0"/>
    <n v="0"/>
    <n v="0"/>
    <n v="0"/>
    <m/>
    <n v="0"/>
    <m/>
    <m/>
    <s v="PRODUIT 07  |  PRIX MOYEN DE VENTE PAR PRODUIT/SERVICE"/>
    <m/>
  </r>
  <r>
    <n v="274"/>
    <x v="0"/>
    <m/>
    <s v="YEAR3"/>
    <x v="5"/>
    <x v="1"/>
    <x v="7"/>
    <x v="3"/>
    <x v="3"/>
    <m/>
    <m/>
    <m/>
    <m/>
    <m/>
    <m/>
    <m/>
    <m/>
    <m/>
    <m/>
    <m/>
    <m/>
    <m/>
    <m/>
    <m/>
    <m/>
    <m/>
    <m/>
    <m/>
    <n v="0"/>
    <n v="0"/>
    <n v="0"/>
    <n v="0"/>
    <n v="0"/>
    <n v="0"/>
    <n v="0"/>
    <n v="0"/>
    <n v="0"/>
    <m/>
    <n v="0"/>
    <m/>
    <m/>
    <s v="PRODUIT 07  |  PRIX MOYEN DE VENTE PAR PRODUIT/SERVICE"/>
    <m/>
  </r>
  <r>
    <n v="275"/>
    <x v="0"/>
    <m/>
    <s v="YEAR4"/>
    <x v="6"/>
    <x v="1"/>
    <x v="7"/>
    <x v="3"/>
    <x v="3"/>
    <m/>
    <m/>
    <m/>
    <m/>
    <m/>
    <m/>
    <m/>
    <m/>
    <m/>
    <m/>
    <m/>
    <m/>
    <m/>
    <m/>
    <m/>
    <m/>
    <m/>
    <m/>
    <m/>
    <n v="0"/>
    <n v="0"/>
    <n v="0"/>
    <n v="0"/>
    <n v="0"/>
    <n v="0"/>
    <n v="0"/>
    <n v="0"/>
    <n v="0"/>
    <m/>
    <n v="0"/>
    <m/>
    <m/>
    <s v="PRODUIT 07  |  PRIX MOYEN DE VENTE PAR PRODUIT/SERVICE"/>
    <m/>
  </r>
  <r>
    <n v="276"/>
    <x v="0"/>
    <m/>
    <s v="YEAR5"/>
    <x v="7"/>
    <x v="1"/>
    <x v="7"/>
    <x v="3"/>
    <x v="3"/>
    <m/>
    <m/>
    <m/>
    <m/>
    <m/>
    <m/>
    <m/>
    <m/>
    <m/>
    <m/>
    <m/>
    <m/>
    <m/>
    <m/>
    <m/>
    <m/>
    <m/>
    <m/>
    <m/>
    <n v="0"/>
    <n v="0"/>
    <n v="0"/>
    <n v="0"/>
    <n v="0"/>
    <n v="0"/>
    <n v="0"/>
    <n v="0"/>
    <n v="0"/>
    <m/>
    <n v="0"/>
    <m/>
    <m/>
    <s v="PRODUIT 07  |  PRIX MOYEN DE VENTE PAR PRODUIT/SERVICE"/>
    <m/>
  </r>
  <r>
    <n v="277"/>
    <x v="0"/>
    <m/>
    <s v="YEAR6"/>
    <x v="8"/>
    <x v="1"/>
    <x v="7"/>
    <x v="3"/>
    <x v="3"/>
    <m/>
    <m/>
    <m/>
    <m/>
    <m/>
    <m/>
    <m/>
    <m/>
    <m/>
    <m/>
    <m/>
    <m/>
    <m/>
    <m/>
    <m/>
    <m/>
    <m/>
    <m/>
    <m/>
    <n v="0"/>
    <n v="0"/>
    <n v="0"/>
    <n v="0"/>
    <n v="0"/>
    <n v="0"/>
    <n v="0"/>
    <n v="0"/>
    <n v="0"/>
    <m/>
    <n v="0"/>
    <m/>
    <m/>
    <s v="PRODUIT 07  |  PRIX MOYEN DE VENTE PAR PRODUIT/SERVICE"/>
    <m/>
  </r>
  <r>
    <n v="278"/>
    <x v="0"/>
    <m/>
    <s v="YEAR-2"/>
    <x v="1"/>
    <x v="1"/>
    <x v="7"/>
    <x v="3"/>
    <x v="4"/>
    <m/>
    <m/>
    <m/>
    <m/>
    <m/>
    <m/>
    <m/>
    <m/>
    <m/>
    <m/>
    <m/>
    <m/>
    <m/>
    <m/>
    <m/>
    <m/>
    <m/>
    <m/>
    <m/>
    <n v="0"/>
    <n v="0"/>
    <n v="0"/>
    <n v="0"/>
    <n v="0"/>
    <n v="0"/>
    <n v="0"/>
    <n v="0"/>
    <n v="0"/>
    <n v="0"/>
    <n v="0"/>
    <n v="0"/>
    <m/>
    <s v="PRODUIT 07  |  DEPENSES SUR ACHATS"/>
    <b v="1"/>
  </r>
  <r>
    <n v="279"/>
    <x v="0"/>
    <m/>
    <s v="YEAR-1"/>
    <x v="2"/>
    <x v="1"/>
    <x v="7"/>
    <x v="3"/>
    <x v="4"/>
    <m/>
    <m/>
    <m/>
    <m/>
    <m/>
    <m/>
    <m/>
    <m/>
    <m/>
    <m/>
    <m/>
    <m/>
    <m/>
    <m/>
    <m/>
    <m/>
    <m/>
    <m/>
    <m/>
    <n v="0"/>
    <n v="0"/>
    <n v="0"/>
    <n v="0"/>
    <n v="0"/>
    <n v="0"/>
    <n v="0"/>
    <n v="0"/>
    <n v="0"/>
    <n v="0"/>
    <n v="0"/>
    <n v="0"/>
    <m/>
    <s v="PRODUIT 07  |  DEPENSES SUR ACHATS"/>
    <b v="1"/>
  </r>
  <r>
    <n v="280"/>
    <x v="0"/>
    <m/>
    <s v="CURRENT YEAR"/>
    <x v="3"/>
    <x v="1"/>
    <x v="7"/>
    <x v="3"/>
    <x v="4"/>
    <m/>
    <m/>
    <m/>
    <m/>
    <m/>
    <m/>
    <m/>
    <m/>
    <m/>
    <m/>
    <m/>
    <m/>
    <m/>
    <m/>
    <m/>
    <m/>
    <m/>
    <m/>
    <m/>
    <n v="0"/>
    <n v="0"/>
    <n v="0"/>
    <n v="0"/>
    <n v="0"/>
    <n v="0"/>
    <n v="0"/>
    <n v="0"/>
    <n v="0"/>
    <n v="0"/>
    <n v="0"/>
    <n v="0"/>
    <m/>
    <s v="PRODUIT 07  |  DEPENSES SUR ACHATS"/>
    <b v="1"/>
  </r>
  <r>
    <n v="281"/>
    <x v="0"/>
    <m/>
    <s v="YEAR2"/>
    <x v="4"/>
    <x v="1"/>
    <x v="7"/>
    <x v="3"/>
    <x v="4"/>
    <m/>
    <m/>
    <m/>
    <m/>
    <m/>
    <m/>
    <m/>
    <m/>
    <m/>
    <m/>
    <m/>
    <m/>
    <m/>
    <m/>
    <m/>
    <m/>
    <m/>
    <m/>
    <m/>
    <n v="0"/>
    <n v="0"/>
    <n v="0"/>
    <n v="0"/>
    <n v="0"/>
    <n v="0"/>
    <n v="0"/>
    <n v="0"/>
    <n v="0"/>
    <n v="0"/>
    <n v="0"/>
    <n v="0"/>
    <m/>
    <s v="PRODUIT 07  |  DEPENSES SUR ACHATS"/>
    <b v="1"/>
  </r>
  <r>
    <n v="282"/>
    <x v="0"/>
    <m/>
    <s v="YEAR3"/>
    <x v="5"/>
    <x v="1"/>
    <x v="7"/>
    <x v="3"/>
    <x v="4"/>
    <m/>
    <m/>
    <m/>
    <m/>
    <m/>
    <m/>
    <m/>
    <m/>
    <m/>
    <m/>
    <m/>
    <m/>
    <m/>
    <m/>
    <m/>
    <m/>
    <m/>
    <m/>
    <m/>
    <n v="0"/>
    <n v="0"/>
    <n v="0"/>
    <n v="0"/>
    <n v="0"/>
    <n v="0"/>
    <n v="0"/>
    <n v="0"/>
    <n v="0"/>
    <n v="0"/>
    <n v="0"/>
    <n v="0"/>
    <m/>
    <s v="PRODUIT 07  |  DEPENSES SUR ACHATS"/>
    <b v="1"/>
  </r>
  <r>
    <n v="283"/>
    <x v="0"/>
    <m/>
    <s v="YEAR4"/>
    <x v="6"/>
    <x v="1"/>
    <x v="7"/>
    <x v="3"/>
    <x v="4"/>
    <m/>
    <m/>
    <m/>
    <m/>
    <m/>
    <m/>
    <m/>
    <m/>
    <m/>
    <m/>
    <m/>
    <m/>
    <m/>
    <m/>
    <m/>
    <m/>
    <m/>
    <m/>
    <m/>
    <n v="0"/>
    <n v="0"/>
    <n v="0"/>
    <n v="0"/>
    <n v="0"/>
    <n v="0"/>
    <n v="0"/>
    <n v="0"/>
    <n v="0"/>
    <n v="0"/>
    <n v="0"/>
    <n v="0"/>
    <m/>
    <s v="PRODUIT 07  |  DEPENSES SUR ACHATS"/>
    <b v="1"/>
  </r>
  <r>
    <n v="284"/>
    <x v="0"/>
    <m/>
    <s v="YEAR5"/>
    <x v="7"/>
    <x v="1"/>
    <x v="7"/>
    <x v="3"/>
    <x v="4"/>
    <m/>
    <m/>
    <m/>
    <m/>
    <m/>
    <m/>
    <m/>
    <m/>
    <m/>
    <m/>
    <m/>
    <m/>
    <m/>
    <m/>
    <m/>
    <m/>
    <m/>
    <m/>
    <m/>
    <n v="0"/>
    <n v="0"/>
    <n v="0"/>
    <n v="0"/>
    <n v="0"/>
    <n v="0"/>
    <n v="0"/>
    <n v="0"/>
    <n v="0"/>
    <n v="0"/>
    <n v="0"/>
    <n v="0"/>
    <m/>
    <s v="PRODUIT 07  |  DEPENSES SUR ACHATS"/>
    <b v="1"/>
  </r>
  <r>
    <n v="285"/>
    <x v="0"/>
    <m/>
    <s v="YEAR6"/>
    <x v="8"/>
    <x v="1"/>
    <x v="7"/>
    <x v="3"/>
    <x v="4"/>
    <m/>
    <m/>
    <m/>
    <m/>
    <m/>
    <m/>
    <m/>
    <m/>
    <m/>
    <m/>
    <m/>
    <m/>
    <m/>
    <m/>
    <m/>
    <m/>
    <m/>
    <m/>
    <m/>
    <n v="0"/>
    <n v="0"/>
    <n v="0"/>
    <n v="0"/>
    <n v="0"/>
    <n v="0"/>
    <n v="0"/>
    <n v="0"/>
    <n v="0"/>
    <n v="0"/>
    <n v="0"/>
    <n v="0"/>
    <m/>
    <s v="PRODUIT 07  |  DEPENSES SUR ACHATS"/>
    <b v="1"/>
  </r>
  <r>
    <n v="286"/>
    <x v="0"/>
    <m/>
    <s v="YEAR-2"/>
    <x v="1"/>
    <x v="1"/>
    <x v="7"/>
    <x v="3"/>
    <x v="5"/>
    <m/>
    <m/>
    <m/>
    <m/>
    <m/>
    <m/>
    <m/>
    <m/>
    <m/>
    <m/>
    <m/>
    <m/>
    <m/>
    <m/>
    <m/>
    <m/>
    <m/>
    <m/>
    <m/>
    <n v="0"/>
    <n v="0"/>
    <n v="0"/>
    <n v="0"/>
    <n v="0"/>
    <n v="0"/>
    <n v="0"/>
    <n v="0"/>
    <n v="0"/>
    <m/>
    <n v="0"/>
    <m/>
    <m/>
    <s v="PRODUIT 07  |  PRIX MOYEN D'ACHAT PAR PRODUIT/SERVICE"/>
    <m/>
  </r>
  <r>
    <n v="287"/>
    <x v="0"/>
    <m/>
    <s v="YEAR-1"/>
    <x v="2"/>
    <x v="1"/>
    <x v="7"/>
    <x v="3"/>
    <x v="5"/>
    <m/>
    <m/>
    <m/>
    <m/>
    <m/>
    <m/>
    <m/>
    <m/>
    <m/>
    <m/>
    <m/>
    <m/>
    <m/>
    <m/>
    <m/>
    <m/>
    <m/>
    <m/>
    <m/>
    <n v="0"/>
    <n v="0"/>
    <n v="0"/>
    <n v="0"/>
    <n v="0"/>
    <n v="0"/>
    <n v="0"/>
    <n v="0"/>
    <n v="0"/>
    <m/>
    <n v="0"/>
    <m/>
    <m/>
    <s v="PRODUIT 07  |  PRIX MOYEN D'ACHAT PAR PRODUIT/SERVICE"/>
    <m/>
  </r>
  <r>
    <n v="288"/>
    <x v="0"/>
    <m/>
    <s v="CURRENT YEAR"/>
    <x v="3"/>
    <x v="1"/>
    <x v="7"/>
    <x v="3"/>
    <x v="5"/>
    <m/>
    <m/>
    <m/>
    <m/>
    <m/>
    <m/>
    <m/>
    <m/>
    <m/>
    <m/>
    <m/>
    <m/>
    <m/>
    <m/>
    <m/>
    <m/>
    <m/>
    <m/>
    <m/>
    <n v="0"/>
    <n v="0"/>
    <n v="0"/>
    <n v="0"/>
    <n v="0"/>
    <n v="0"/>
    <n v="0"/>
    <n v="0"/>
    <n v="0"/>
    <m/>
    <n v="0"/>
    <m/>
    <m/>
    <s v="PRODUIT 07  |  PRIX MOYEN D'ACHAT PAR PRODUIT/SERVICE"/>
    <m/>
  </r>
  <r>
    <n v="289"/>
    <x v="0"/>
    <m/>
    <s v="YEAR2"/>
    <x v="4"/>
    <x v="1"/>
    <x v="7"/>
    <x v="3"/>
    <x v="5"/>
    <m/>
    <m/>
    <m/>
    <m/>
    <m/>
    <m/>
    <m/>
    <m/>
    <m/>
    <m/>
    <m/>
    <m/>
    <m/>
    <m/>
    <m/>
    <m/>
    <m/>
    <m/>
    <m/>
    <n v="0"/>
    <n v="0"/>
    <n v="0"/>
    <n v="0"/>
    <n v="0"/>
    <n v="0"/>
    <n v="0"/>
    <n v="0"/>
    <n v="0"/>
    <m/>
    <n v="0"/>
    <m/>
    <m/>
    <s v="PRODUIT 07  |  PRIX MOYEN D'ACHAT PAR PRODUIT/SERVICE"/>
    <m/>
  </r>
  <r>
    <n v="290"/>
    <x v="0"/>
    <m/>
    <s v="YEAR3"/>
    <x v="5"/>
    <x v="1"/>
    <x v="7"/>
    <x v="3"/>
    <x v="5"/>
    <m/>
    <m/>
    <m/>
    <m/>
    <m/>
    <m/>
    <m/>
    <m/>
    <m/>
    <m/>
    <m/>
    <m/>
    <m/>
    <m/>
    <m/>
    <m/>
    <m/>
    <m/>
    <m/>
    <n v="0"/>
    <n v="0"/>
    <n v="0"/>
    <n v="0"/>
    <n v="0"/>
    <n v="0"/>
    <n v="0"/>
    <n v="0"/>
    <n v="0"/>
    <m/>
    <n v="0"/>
    <m/>
    <m/>
    <s v="PRODUIT 07  |  PRIX MOYEN D'ACHAT PAR PRODUIT/SERVICE"/>
    <m/>
  </r>
  <r>
    <n v="291"/>
    <x v="0"/>
    <m/>
    <s v="YEAR4"/>
    <x v="6"/>
    <x v="1"/>
    <x v="7"/>
    <x v="3"/>
    <x v="5"/>
    <m/>
    <m/>
    <m/>
    <m/>
    <m/>
    <m/>
    <m/>
    <m/>
    <m/>
    <m/>
    <m/>
    <m/>
    <m/>
    <m/>
    <m/>
    <m/>
    <m/>
    <m/>
    <m/>
    <n v="0"/>
    <n v="0"/>
    <n v="0"/>
    <n v="0"/>
    <n v="0"/>
    <n v="0"/>
    <n v="0"/>
    <n v="0"/>
    <n v="0"/>
    <m/>
    <n v="0"/>
    <m/>
    <m/>
    <s v="PRODUIT 07  |  PRIX MOYEN D'ACHAT PAR PRODUIT/SERVICE"/>
    <m/>
  </r>
  <r>
    <n v="292"/>
    <x v="0"/>
    <m/>
    <s v="YEAR5"/>
    <x v="7"/>
    <x v="1"/>
    <x v="7"/>
    <x v="3"/>
    <x v="5"/>
    <m/>
    <m/>
    <m/>
    <m/>
    <m/>
    <m/>
    <m/>
    <m/>
    <m/>
    <m/>
    <m/>
    <m/>
    <m/>
    <m/>
    <m/>
    <m/>
    <m/>
    <m/>
    <m/>
    <n v="0"/>
    <n v="0"/>
    <n v="0"/>
    <n v="0"/>
    <n v="0"/>
    <n v="0"/>
    <n v="0"/>
    <n v="0"/>
    <n v="0"/>
    <m/>
    <n v="0"/>
    <m/>
    <m/>
    <s v="PRODUIT 07  |  PRIX MOYEN D'ACHAT PAR PRODUIT/SERVICE"/>
    <m/>
  </r>
  <r>
    <n v="293"/>
    <x v="0"/>
    <m/>
    <s v="YEAR6"/>
    <x v="8"/>
    <x v="1"/>
    <x v="7"/>
    <x v="3"/>
    <x v="5"/>
    <m/>
    <m/>
    <m/>
    <m/>
    <m/>
    <m/>
    <m/>
    <m/>
    <m/>
    <m/>
    <m/>
    <m/>
    <m/>
    <m/>
    <m/>
    <m/>
    <m/>
    <m/>
    <m/>
    <n v="0"/>
    <n v="0"/>
    <n v="0"/>
    <n v="0"/>
    <n v="0"/>
    <n v="0"/>
    <n v="0"/>
    <n v="0"/>
    <n v="0"/>
    <m/>
    <n v="0"/>
    <m/>
    <m/>
    <s v="PRODUIT 07  |  PRIX MOYEN D'ACHAT PAR PRODUIT/SERVICE"/>
    <m/>
  </r>
  <r>
    <n v="294"/>
    <x v="0"/>
    <n v="1"/>
    <m/>
    <x v="0"/>
    <x v="0"/>
    <x v="0"/>
    <x v="0"/>
    <x v="0"/>
    <m/>
    <m/>
    <m/>
    <m/>
    <m/>
    <m/>
    <m/>
    <m/>
    <m/>
    <m/>
    <m/>
    <m/>
    <m/>
    <m/>
    <m/>
    <m/>
    <m/>
    <m/>
    <m/>
    <m/>
    <m/>
    <m/>
    <m/>
    <m/>
    <m/>
    <m/>
    <m/>
    <m/>
    <m/>
    <m/>
    <m/>
    <m/>
    <m/>
    <m/>
  </r>
  <r>
    <n v="295"/>
    <x v="0"/>
    <m/>
    <m/>
    <x v="0"/>
    <x v="0"/>
    <x v="0"/>
    <x v="0"/>
    <x v="0"/>
    <m/>
    <m/>
    <m/>
    <m/>
    <m/>
    <m/>
    <m/>
    <m/>
    <m/>
    <m/>
    <m/>
    <m/>
    <m/>
    <m/>
    <m/>
    <m/>
    <m/>
    <m/>
    <m/>
    <m/>
    <m/>
    <m/>
    <m/>
    <m/>
    <m/>
    <m/>
    <m/>
    <m/>
    <m/>
    <m/>
    <m/>
    <m/>
    <m/>
    <m/>
  </r>
  <r>
    <n v="296"/>
    <x v="0"/>
    <n v="1"/>
    <s v="YEAR-2"/>
    <x v="1"/>
    <x v="1"/>
    <x v="8"/>
    <x v="3"/>
    <x v="1"/>
    <n v="1000"/>
    <n v="0"/>
    <n v="0"/>
    <n v="1000"/>
    <n v="1"/>
    <n v="0"/>
    <n v="0"/>
    <n v="500"/>
    <n v="0"/>
    <n v="0"/>
    <n v="500"/>
    <n v="1"/>
    <n v="1"/>
    <n v="1"/>
    <n v="0"/>
    <n v="0"/>
    <n v="0"/>
    <n v="0"/>
    <n v="0"/>
    <n v="0"/>
    <n v="0"/>
    <n v="0"/>
    <n v="0"/>
    <n v="0"/>
    <n v="0"/>
    <n v="0"/>
    <n v="0"/>
    <n v="0"/>
    <n v="0"/>
    <n v="0"/>
    <n v="0"/>
    <s v="GAMME # : 1 + CANAL DE DISTRIBUTION # : 1"/>
    <s v="PRODUIT 08  |  VOLUME"/>
    <b v="1"/>
  </r>
  <r>
    <n v="297"/>
    <x v="0"/>
    <n v="1"/>
    <s v="YEAR-1"/>
    <x v="2"/>
    <x v="1"/>
    <x v="8"/>
    <x v="3"/>
    <x v="1"/>
    <n v="1000"/>
    <n v="0"/>
    <n v="0"/>
    <n v="1000"/>
    <n v="1"/>
    <n v="0"/>
    <n v="0"/>
    <n v="500"/>
    <n v="0"/>
    <n v="0"/>
    <n v="500"/>
    <n v="1"/>
    <n v="1"/>
    <n v="1"/>
    <n v="0"/>
    <n v="0"/>
    <n v="0"/>
    <n v="0"/>
    <n v="0"/>
    <n v="0"/>
    <n v="0"/>
    <n v="0"/>
    <n v="0"/>
    <n v="0"/>
    <n v="0"/>
    <n v="0"/>
    <n v="0"/>
    <n v="0"/>
    <n v="0"/>
    <n v="0"/>
    <n v="0"/>
    <m/>
    <s v="PRODUIT 08  |  VOLUME"/>
    <b v="1"/>
  </r>
  <r>
    <n v="298"/>
    <x v="0"/>
    <n v="1"/>
    <s v="CURRENT YEAR"/>
    <x v="3"/>
    <x v="1"/>
    <x v="8"/>
    <x v="3"/>
    <x v="1"/>
    <n v="1000"/>
    <n v="0"/>
    <n v="0"/>
    <n v="1000"/>
    <n v="1"/>
    <n v="0"/>
    <n v="0"/>
    <n v="500"/>
    <n v="0"/>
    <n v="0"/>
    <n v="500"/>
    <n v="1"/>
    <n v="1"/>
    <n v="1"/>
    <n v="0"/>
    <n v="0"/>
    <n v="0"/>
    <n v="0"/>
    <n v="0"/>
    <n v="0"/>
    <n v="0"/>
    <n v="0"/>
    <n v="0"/>
    <n v="0"/>
    <n v="0"/>
    <n v="0"/>
    <n v="0"/>
    <n v="0"/>
    <n v="0"/>
    <n v="0"/>
    <n v="0"/>
    <m/>
    <s v="PRODUIT 08  |  VOLUME"/>
    <b v="1"/>
  </r>
  <r>
    <n v="299"/>
    <x v="0"/>
    <n v="1"/>
    <s v="YEAR2"/>
    <x v="4"/>
    <x v="1"/>
    <x v="8"/>
    <x v="3"/>
    <x v="1"/>
    <n v="1000"/>
    <n v="0"/>
    <n v="0"/>
    <n v="1000"/>
    <n v="1"/>
    <n v="0"/>
    <n v="0"/>
    <n v="500"/>
    <n v="0"/>
    <n v="0"/>
    <n v="500"/>
    <n v="1"/>
    <n v="1"/>
    <n v="1"/>
    <n v="0"/>
    <n v="0"/>
    <n v="0"/>
    <n v="0"/>
    <n v="0"/>
    <n v="0"/>
    <n v="0"/>
    <n v="0"/>
    <n v="0"/>
    <n v="0"/>
    <n v="0"/>
    <n v="0"/>
    <n v="0"/>
    <n v="0"/>
    <n v="0"/>
    <n v="0"/>
    <n v="0"/>
    <m/>
    <s v="PRODUIT 08  |  VOLUME"/>
    <b v="1"/>
  </r>
  <r>
    <n v="300"/>
    <x v="0"/>
    <n v="1"/>
    <s v="YEAR3"/>
    <x v="5"/>
    <x v="1"/>
    <x v="8"/>
    <x v="3"/>
    <x v="1"/>
    <n v="1000"/>
    <n v="0"/>
    <n v="0"/>
    <n v="1000"/>
    <n v="1"/>
    <n v="0"/>
    <n v="0"/>
    <n v="500"/>
    <n v="0"/>
    <n v="0"/>
    <n v="500"/>
    <n v="1"/>
    <n v="1"/>
    <n v="1"/>
    <n v="0"/>
    <n v="0"/>
    <n v="0"/>
    <n v="0"/>
    <n v="0"/>
    <n v="0"/>
    <n v="0"/>
    <n v="0"/>
    <n v="0"/>
    <n v="0"/>
    <n v="0"/>
    <n v="0"/>
    <n v="0"/>
    <n v="0"/>
    <n v="0"/>
    <n v="0"/>
    <n v="0"/>
    <m/>
    <s v="PRODUIT 08  |  VOLUME"/>
    <b v="1"/>
  </r>
  <r>
    <n v="301"/>
    <x v="0"/>
    <n v="1"/>
    <s v="YEAR4"/>
    <x v="6"/>
    <x v="1"/>
    <x v="8"/>
    <x v="3"/>
    <x v="1"/>
    <n v="1000"/>
    <n v="0"/>
    <n v="0"/>
    <n v="1000"/>
    <n v="1"/>
    <n v="0"/>
    <n v="0"/>
    <n v="500"/>
    <n v="0"/>
    <n v="0"/>
    <n v="500"/>
    <n v="1"/>
    <n v="1"/>
    <n v="1"/>
    <n v="0"/>
    <n v="0"/>
    <n v="0"/>
    <n v="0"/>
    <n v="0"/>
    <n v="0"/>
    <n v="0"/>
    <n v="0"/>
    <n v="0"/>
    <n v="0"/>
    <n v="0"/>
    <n v="0"/>
    <n v="0"/>
    <n v="0"/>
    <n v="0"/>
    <n v="0"/>
    <n v="0"/>
    <m/>
    <s v="PRODUIT 08  |  VOLUME"/>
    <b v="1"/>
  </r>
  <r>
    <n v="302"/>
    <x v="0"/>
    <n v="1"/>
    <s v="YEAR5"/>
    <x v="7"/>
    <x v="1"/>
    <x v="8"/>
    <x v="3"/>
    <x v="1"/>
    <n v="1000"/>
    <n v="0"/>
    <n v="0"/>
    <n v="1000"/>
    <n v="1"/>
    <n v="0"/>
    <n v="0"/>
    <n v="500"/>
    <n v="0"/>
    <n v="0"/>
    <n v="500"/>
    <n v="1"/>
    <n v="1"/>
    <n v="1"/>
    <n v="0"/>
    <n v="0"/>
    <n v="0"/>
    <n v="0"/>
    <n v="0"/>
    <n v="0"/>
    <n v="0"/>
    <n v="0"/>
    <n v="0"/>
    <n v="0"/>
    <n v="0"/>
    <n v="0"/>
    <n v="0"/>
    <n v="0"/>
    <n v="0"/>
    <n v="0"/>
    <n v="0"/>
    <m/>
    <s v="PRODUIT 08  |  VOLUME"/>
    <b v="1"/>
  </r>
  <r>
    <n v="303"/>
    <x v="0"/>
    <n v="1"/>
    <s v="YEAR6"/>
    <x v="8"/>
    <x v="1"/>
    <x v="8"/>
    <x v="3"/>
    <x v="1"/>
    <n v="1000"/>
    <n v="0"/>
    <n v="0"/>
    <n v="1000"/>
    <n v="1"/>
    <n v="0"/>
    <n v="0"/>
    <n v="500"/>
    <n v="0"/>
    <n v="0"/>
    <n v="500"/>
    <n v="1"/>
    <n v="1"/>
    <n v="1"/>
    <n v="0"/>
    <n v="0"/>
    <n v="0"/>
    <n v="0"/>
    <n v="0"/>
    <n v="0"/>
    <n v="0"/>
    <n v="0"/>
    <n v="0"/>
    <n v="0"/>
    <n v="0"/>
    <n v="0"/>
    <n v="0"/>
    <n v="0"/>
    <n v="0"/>
    <n v="0"/>
    <n v="0"/>
    <m/>
    <s v="PRODUIT 08  |  VOLUME"/>
    <b v="1"/>
  </r>
  <r>
    <n v="304"/>
    <x v="0"/>
    <m/>
    <s v="YEAR-2"/>
    <x v="1"/>
    <x v="1"/>
    <x v="8"/>
    <x v="3"/>
    <x v="2"/>
    <m/>
    <m/>
    <m/>
    <m/>
    <m/>
    <m/>
    <m/>
    <m/>
    <m/>
    <m/>
    <m/>
    <m/>
    <m/>
    <m/>
    <m/>
    <m/>
    <m/>
    <m/>
    <m/>
    <n v="0"/>
    <n v="0"/>
    <n v="0"/>
    <n v="0"/>
    <n v="0"/>
    <n v="0"/>
    <n v="0"/>
    <n v="0"/>
    <n v="0"/>
    <n v="0"/>
    <n v="0"/>
    <n v="0"/>
    <m/>
    <s v="PRODUIT 08  |  CHIFFRE D'AFFAIRES"/>
    <b v="1"/>
  </r>
  <r>
    <n v="305"/>
    <x v="0"/>
    <m/>
    <s v="YEAR-1"/>
    <x v="2"/>
    <x v="1"/>
    <x v="8"/>
    <x v="3"/>
    <x v="2"/>
    <m/>
    <m/>
    <m/>
    <m/>
    <m/>
    <m/>
    <m/>
    <m/>
    <m/>
    <m/>
    <m/>
    <m/>
    <m/>
    <m/>
    <m/>
    <m/>
    <m/>
    <m/>
    <m/>
    <n v="0"/>
    <n v="0"/>
    <n v="0"/>
    <n v="0"/>
    <n v="0"/>
    <n v="0"/>
    <n v="0"/>
    <n v="0"/>
    <n v="0"/>
    <n v="0"/>
    <n v="0"/>
    <n v="0"/>
    <m/>
    <s v="PRODUIT 08  |  CHIFFRE D'AFFAIRES"/>
    <b v="1"/>
  </r>
  <r>
    <n v="306"/>
    <x v="0"/>
    <m/>
    <s v="CURRENT YEAR"/>
    <x v="3"/>
    <x v="1"/>
    <x v="8"/>
    <x v="3"/>
    <x v="2"/>
    <m/>
    <m/>
    <m/>
    <m/>
    <m/>
    <m/>
    <m/>
    <m/>
    <m/>
    <m/>
    <m/>
    <m/>
    <m/>
    <m/>
    <m/>
    <m/>
    <m/>
    <m/>
    <m/>
    <n v="0"/>
    <n v="0"/>
    <n v="0"/>
    <n v="0"/>
    <n v="0"/>
    <n v="0"/>
    <n v="0"/>
    <n v="0"/>
    <n v="0"/>
    <n v="0"/>
    <n v="0"/>
    <n v="0"/>
    <m/>
    <s v="PRODUIT 08  |  CHIFFRE D'AFFAIRES"/>
    <b v="1"/>
  </r>
  <r>
    <n v="307"/>
    <x v="0"/>
    <m/>
    <s v="YEAR2"/>
    <x v="4"/>
    <x v="1"/>
    <x v="8"/>
    <x v="3"/>
    <x v="2"/>
    <m/>
    <m/>
    <m/>
    <m/>
    <m/>
    <m/>
    <m/>
    <m/>
    <m/>
    <m/>
    <m/>
    <m/>
    <m/>
    <m/>
    <m/>
    <m/>
    <m/>
    <m/>
    <m/>
    <n v="0"/>
    <n v="0"/>
    <n v="0"/>
    <n v="0"/>
    <n v="0"/>
    <n v="0"/>
    <n v="0"/>
    <n v="0"/>
    <n v="0"/>
    <n v="0"/>
    <n v="0"/>
    <n v="0"/>
    <m/>
    <s v="PRODUIT 08  |  CHIFFRE D'AFFAIRES"/>
    <b v="1"/>
  </r>
  <r>
    <n v="308"/>
    <x v="0"/>
    <m/>
    <s v="YEAR3"/>
    <x v="5"/>
    <x v="1"/>
    <x v="8"/>
    <x v="3"/>
    <x v="2"/>
    <m/>
    <m/>
    <m/>
    <m/>
    <m/>
    <m/>
    <m/>
    <m/>
    <m/>
    <m/>
    <m/>
    <m/>
    <m/>
    <m/>
    <m/>
    <m/>
    <m/>
    <m/>
    <m/>
    <n v="0"/>
    <n v="0"/>
    <n v="0"/>
    <n v="0"/>
    <n v="0"/>
    <n v="0"/>
    <n v="0"/>
    <n v="0"/>
    <n v="0"/>
    <n v="0"/>
    <n v="0"/>
    <n v="0"/>
    <m/>
    <s v="PRODUIT 08  |  CHIFFRE D'AFFAIRES"/>
    <b v="1"/>
  </r>
  <r>
    <n v="309"/>
    <x v="0"/>
    <m/>
    <s v="YEAR4"/>
    <x v="6"/>
    <x v="1"/>
    <x v="8"/>
    <x v="3"/>
    <x v="2"/>
    <m/>
    <m/>
    <m/>
    <m/>
    <m/>
    <m/>
    <m/>
    <m/>
    <m/>
    <m/>
    <m/>
    <m/>
    <m/>
    <m/>
    <m/>
    <m/>
    <m/>
    <m/>
    <m/>
    <n v="0"/>
    <n v="0"/>
    <n v="0"/>
    <n v="0"/>
    <n v="0"/>
    <n v="0"/>
    <n v="0"/>
    <n v="0"/>
    <n v="0"/>
    <n v="0"/>
    <n v="0"/>
    <n v="0"/>
    <m/>
    <s v="PRODUIT 08  |  CHIFFRE D'AFFAIRES"/>
    <b v="1"/>
  </r>
  <r>
    <n v="310"/>
    <x v="0"/>
    <m/>
    <s v="YEAR5"/>
    <x v="7"/>
    <x v="1"/>
    <x v="8"/>
    <x v="3"/>
    <x v="2"/>
    <m/>
    <m/>
    <m/>
    <m/>
    <m/>
    <m/>
    <m/>
    <m/>
    <m/>
    <m/>
    <m/>
    <m/>
    <m/>
    <m/>
    <m/>
    <m/>
    <m/>
    <m/>
    <m/>
    <n v="0"/>
    <n v="0"/>
    <n v="0"/>
    <n v="0"/>
    <n v="0"/>
    <n v="0"/>
    <n v="0"/>
    <n v="0"/>
    <n v="0"/>
    <n v="0"/>
    <n v="0"/>
    <n v="0"/>
    <m/>
    <s v="PRODUIT 08  |  CHIFFRE D'AFFAIRES"/>
    <b v="1"/>
  </r>
  <r>
    <n v="311"/>
    <x v="0"/>
    <m/>
    <s v="YEAR6"/>
    <x v="8"/>
    <x v="1"/>
    <x v="8"/>
    <x v="3"/>
    <x v="2"/>
    <m/>
    <m/>
    <m/>
    <m/>
    <m/>
    <m/>
    <m/>
    <m/>
    <m/>
    <m/>
    <m/>
    <m/>
    <m/>
    <m/>
    <m/>
    <m/>
    <m/>
    <m/>
    <m/>
    <n v="0"/>
    <n v="0"/>
    <n v="0"/>
    <n v="0"/>
    <n v="0"/>
    <n v="0"/>
    <n v="0"/>
    <n v="0"/>
    <n v="0"/>
    <n v="0"/>
    <n v="0"/>
    <n v="0"/>
    <m/>
    <s v="PRODUIT 08  |  CHIFFRE D'AFFAIRES"/>
    <b v="1"/>
  </r>
  <r>
    <n v="312"/>
    <x v="0"/>
    <m/>
    <s v="YEAR-2"/>
    <x v="1"/>
    <x v="1"/>
    <x v="8"/>
    <x v="3"/>
    <x v="3"/>
    <m/>
    <m/>
    <m/>
    <m/>
    <m/>
    <m/>
    <m/>
    <m/>
    <m/>
    <m/>
    <m/>
    <m/>
    <m/>
    <m/>
    <m/>
    <m/>
    <m/>
    <m/>
    <m/>
    <n v="0"/>
    <n v="0"/>
    <n v="0"/>
    <n v="0"/>
    <n v="0"/>
    <n v="0"/>
    <n v="0"/>
    <n v="0"/>
    <n v="0"/>
    <m/>
    <n v="0"/>
    <m/>
    <m/>
    <s v="PRODUIT 08  |  PRIX MOYEN DE VENTE PAR PRODUIT/SERVICE"/>
    <m/>
  </r>
  <r>
    <n v="313"/>
    <x v="0"/>
    <m/>
    <s v="YEAR-1"/>
    <x v="2"/>
    <x v="1"/>
    <x v="8"/>
    <x v="3"/>
    <x v="3"/>
    <m/>
    <m/>
    <m/>
    <m/>
    <m/>
    <m/>
    <m/>
    <m/>
    <m/>
    <m/>
    <m/>
    <m/>
    <m/>
    <m/>
    <m/>
    <m/>
    <m/>
    <m/>
    <m/>
    <n v="0"/>
    <n v="0"/>
    <n v="0"/>
    <n v="0"/>
    <n v="0"/>
    <n v="0"/>
    <n v="0"/>
    <n v="0"/>
    <n v="0"/>
    <m/>
    <n v="0"/>
    <m/>
    <m/>
    <s v="PRODUIT 08  |  PRIX MOYEN DE VENTE PAR PRODUIT/SERVICE"/>
    <m/>
  </r>
  <r>
    <n v="314"/>
    <x v="0"/>
    <m/>
    <s v="CURRENT YEAR"/>
    <x v="3"/>
    <x v="1"/>
    <x v="8"/>
    <x v="3"/>
    <x v="3"/>
    <m/>
    <m/>
    <m/>
    <m/>
    <m/>
    <m/>
    <m/>
    <m/>
    <m/>
    <m/>
    <m/>
    <m/>
    <m/>
    <m/>
    <m/>
    <m/>
    <m/>
    <m/>
    <m/>
    <n v="0"/>
    <n v="0"/>
    <n v="0"/>
    <n v="0"/>
    <n v="0"/>
    <n v="0"/>
    <n v="0"/>
    <n v="0"/>
    <n v="0"/>
    <m/>
    <n v="0"/>
    <m/>
    <m/>
    <s v="PRODUIT 08  |  PRIX MOYEN DE VENTE PAR PRODUIT/SERVICE"/>
    <m/>
  </r>
  <r>
    <n v="315"/>
    <x v="0"/>
    <m/>
    <s v="YEAR2"/>
    <x v="4"/>
    <x v="1"/>
    <x v="8"/>
    <x v="3"/>
    <x v="3"/>
    <m/>
    <m/>
    <m/>
    <m/>
    <m/>
    <m/>
    <m/>
    <m/>
    <m/>
    <m/>
    <m/>
    <m/>
    <m/>
    <m/>
    <m/>
    <m/>
    <m/>
    <m/>
    <m/>
    <n v="0"/>
    <n v="0"/>
    <n v="0"/>
    <n v="0"/>
    <n v="0"/>
    <n v="0"/>
    <n v="0"/>
    <n v="0"/>
    <n v="0"/>
    <m/>
    <n v="0"/>
    <m/>
    <m/>
    <s v="PRODUIT 08  |  PRIX MOYEN DE VENTE PAR PRODUIT/SERVICE"/>
    <m/>
  </r>
  <r>
    <n v="316"/>
    <x v="0"/>
    <m/>
    <s v="YEAR3"/>
    <x v="5"/>
    <x v="1"/>
    <x v="8"/>
    <x v="3"/>
    <x v="3"/>
    <m/>
    <m/>
    <m/>
    <m/>
    <m/>
    <m/>
    <m/>
    <m/>
    <m/>
    <m/>
    <m/>
    <m/>
    <m/>
    <m/>
    <m/>
    <m/>
    <m/>
    <m/>
    <m/>
    <n v="0"/>
    <n v="0"/>
    <n v="0"/>
    <n v="0"/>
    <n v="0"/>
    <n v="0"/>
    <n v="0"/>
    <n v="0"/>
    <n v="0"/>
    <m/>
    <n v="0"/>
    <m/>
    <m/>
    <s v="PRODUIT 08  |  PRIX MOYEN DE VENTE PAR PRODUIT/SERVICE"/>
    <m/>
  </r>
  <r>
    <n v="317"/>
    <x v="0"/>
    <m/>
    <s v="YEAR4"/>
    <x v="6"/>
    <x v="1"/>
    <x v="8"/>
    <x v="3"/>
    <x v="3"/>
    <m/>
    <m/>
    <m/>
    <m/>
    <m/>
    <m/>
    <m/>
    <m/>
    <m/>
    <m/>
    <m/>
    <m/>
    <m/>
    <m/>
    <m/>
    <m/>
    <m/>
    <m/>
    <m/>
    <n v="0"/>
    <n v="0"/>
    <n v="0"/>
    <n v="0"/>
    <n v="0"/>
    <n v="0"/>
    <n v="0"/>
    <n v="0"/>
    <n v="0"/>
    <m/>
    <n v="0"/>
    <m/>
    <m/>
    <s v="PRODUIT 08  |  PRIX MOYEN DE VENTE PAR PRODUIT/SERVICE"/>
    <m/>
  </r>
  <r>
    <n v="318"/>
    <x v="0"/>
    <m/>
    <s v="YEAR5"/>
    <x v="7"/>
    <x v="1"/>
    <x v="8"/>
    <x v="3"/>
    <x v="3"/>
    <m/>
    <m/>
    <m/>
    <m/>
    <m/>
    <m/>
    <m/>
    <m/>
    <m/>
    <m/>
    <m/>
    <m/>
    <m/>
    <m/>
    <m/>
    <m/>
    <m/>
    <m/>
    <m/>
    <n v="0"/>
    <n v="0"/>
    <n v="0"/>
    <n v="0"/>
    <n v="0"/>
    <n v="0"/>
    <n v="0"/>
    <n v="0"/>
    <n v="0"/>
    <m/>
    <n v="0"/>
    <m/>
    <m/>
    <s v="PRODUIT 08  |  PRIX MOYEN DE VENTE PAR PRODUIT/SERVICE"/>
    <m/>
  </r>
  <r>
    <n v="319"/>
    <x v="0"/>
    <m/>
    <s v="YEAR6"/>
    <x v="8"/>
    <x v="1"/>
    <x v="8"/>
    <x v="3"/>
    <x v="3"/>
    <m/>
    <m/>
    <m/>
    <m/>
    <m/>
    <m/>
    <m/>
    <m/>
    <m/>
    <m/>
    <m/>
    <m/>
    <m/>
    <m/>
    <m/>
    <m/>
    <m/>
    <m/>
    <m/>
    <n v="0"/>
    <n v="0"/>
    <n v="0"/>
    <n v="0"/>
    <n v="0"/>
    <n v="0"/>
    <n v="0"/>
    <n v="0"/>
    <n v="0"/>
    <m/>
    <n v="0"/>
    <m/>
    <m/>
    <s v="PRODUIT 08  |  PRIX MOYEN DE VENTE PAR PRODUIT/SERVICE"/>
    <m/>
  </r>
  <r>
    <n v="320"/>
    <x v="0"/>
    <m/>
    <s v="YEAR-2"/>
    <x v="1"/>
    <x v="1"/>
    <x v="8"/>
    <x v="3"/>
    <x v="4"/>
    <m/>
    <m/>
    <m/>
    <m/>
    <m/>
    <m/>
    <m/>
    <m/>
    <m/>
    <m/>
    <m/>
    <m/>
    <m/>
    <m/>
    <m/>
    <m/>
    <m/>
    <m/>
    <m/>
    <n v="0"/>
    <n v="0"/>
    <n v="0"/>
    <n v="0"/>
    <n v="0"/>
    <n v="0"/>
    <n v="0"/>
    <n v="0"/>
    <n v="0"/>
    <n v="0"/>
    <n v="0"/>
    <n v="0"/>
    <m/>
    <s v="PRODUIT 08  |  DEPENSES SUR ACHATS"/>
    <b v="1"/>
  </r>
  <r>
    <n v="321"/>
    <x v="0"/>
    <m/>
    <s v="YEAR-1"/>
    <x v="2"/>
    <x v="1"/>
    <x v="8"/>
    <x v="3"/>
    <x v="4"/>
    <m/>
    <m/>
    <m/>
    <m/>
    <m/>
    <m/>
    <m/>
    <m/>
    <m/>
    <m/>
    <m/>
    <m/>
    <m/>
    <m/>
    <m/>
    <m/>
    <m/>
    <m/>
    <m/>
    <n v="0"/>
    <n v="0"/>
    <n v="0"/>
    <n v="0"/>
    <n v="0"/>
    <n v="0"/>
    <n v="0"/>
    <n v="0"/>
    <n v="0"/>
    <n v="0"/>
    <n v="0"/>
    <n v="0"/>
    <m/>
    <s v="PRODUIT 08  |  DEPENSES SUR ACHATS"/>
    <b v="1"/>
  </r>
  <r>
    <n v="322"/>
    <x v="0"/>
    <m/>
    <s v="CURRENT YEAR"/>
    <x v="3"/>
    <x v="1"/>
    <x v="8"/>
    <x v="3"/>
    <x v="4"/>
    <m/>
    <m/>
    <m/>
    <m/>
    <m/>
    <m/>
    <m/>
    <m/>
    <m/>
    <m/>
    <m/>
    <m/>
    <m/>
    <m/>
    <m/>
    <m/>
    <m/>
    <m/>
    <m/>
    <n v="0"/>
    <n v="0"/>
    <n v="0"/>
    <n v="0"/>
    <n v="0"/>
    <n v="0"/>
    <n v="0"/>
    <n v="0"/>
    <n v="0"/>
    <n v="0"/>
    <n v="0"/>
    <n v="0"/>
    <m/>
    <s v="PRODUIT 08  |  DEPENSES SUR ACHATS"/>
    <b v="1"/>
  </r>
  <r>
    <n v="323"/>
    <x v="0"/>
    <m/>
    <s v="YEAR2"/>
    <x v="4"/>
    <x v="1"/>
    <x v="8"/>
    <x v="3"/>
    <x v="4"/>
    <m/>
    <m/>
    <m/>
    <m/>
    <m/>
    <m/>
    <m/>
    <m/>
    <m/>
    <m/>
    <m/>
    <m/>
    <m/>
    <m/>
    <m/>
    <m/>
    <m/>
    <m/>
    <m/>
    <n v="0"/>
    <n v="0"/>
    <n v="0"/>
    <n v="0"/>
    <n v="0"/>
    <n v="0"/>
    <n v="0"/>
    <n v="0"/>
    <n v="0"/>
    <n v="0"/>
    <n v="0"/>
    <n v="0"/>
    <m/>
    <s v="PRODUIT 08  |  DEPENSES SUR ACHATS"/>
    <b v="1"/>
  </r>
  <r>
    <n v="324"/>
    <x v="0"/>
    <m/>
    <s v="YEAR3"/>
    <x v="5"/>
    <x v="1"/>
    <x v="8"/>
    <x v="3"/>
    <x v="4"/>
    <m/>
    <m/>
    <m/>
    <m/>
    <m/>
    <m/>
    <m/>
    <m/>
    <m/>
    <m/>
    <m/>
    <m/>
    <m/>
    <m/>
    <m/>
    <m/>
    <m/>
    <m/>
    <m/>
    <n v="0"/>
    <n v="0"/>
    <n v="0"/>
    <n v="0"/>
    <n v="0"/>
    <n v="0"/>
    <n v="0"/>
    <n v="0"/>
    <n v="0"/>
    <n v="0"/>
    <n v="0"/>
    <n v="0"/>
    <m/>
    <s v="PRODUIT 08  |  DEPENSES SUR ACHATS"/>
    <b v="1"/>
  </r>
  <r>
    <n v="325"/>
    <x v="0"/>
    <m/>
    <s v="YEAR4"/>
    <x v="6"/>
    <x v="1"/>
    <x v="8"/>
    <x v="3"/>
    <x v="4"/>
    <m/>
    <m/>
    <m/>
    <m/>
    <m/>
    <m/>
    <m/>
    <m/>
    <m/>
    <m/>
    <m/>
    <m/>
    <m/>
    <m/>
    <m/>
    <m/>
    <m/>
    <m/>
    <m/>
    <n v="0"/>
    <n v="0"/>
    <n v="0"/>
    <n v="0"/>
    <n v="0"/>
    <n v="0"/>
    <n v="0"/>
    <n v="0"/>
    <n v="0"/>
    <n v="0"/>
    <n v="0"/>
    <n v="0"/>
    <m/>
    <s v="PRODUIT 08  |  DEPENSES SUR ACHATS"/>
    <b v="1"/>
  </r>
  <r>
    <n v="326"/>
    <x v="0"/>
    <m/>
    <s v="YEAR5"/>
    <x v="7"/>
    <x v="1"/>
    <x v="8"/>
    <x v="3"/>
    <x v="4"/>
    <m/>
    <m/>
    <m/>
    <m/>
    <m/>
    <m/>
    <m/>
    <m/>
    <m/>
    <m/>
    <m/>
    <m/>
    <m/>
    <m/>
    <m/>
    <m/>
    <m/>
    <m/>
    <m/>
    <n v="0"/>
    <n v="0"/>
    <n v="0"/>
    <n v="0"/>
    <n v="0"/>
    <n v="0"/>
    <n v="0"/>
    <n v="0"/>
    <n v="0"/>
    <n v="0"/>
    <n v="0"/>
    <n v="0"/>
    <m/>
    <s v="PRODUIT 08  |  DEPENSES SUR ACHATS"/>
    <b v="1"/>
  </r>
  <r>
    <n v="327"/>
    <x v="0"/>
    <m/>
    <s v="YEAR6"/>
    <x v="8"/>
    <x v="1"/>
    <x v="8"/>
    <x v="3"/>
    <x v="4"/>
    <m/>
    <m/>
    <m/>
    <m/>
    <m/>
    <m/>
    <m/>
    <m/>
    <m/>
    <m/>
    <m/>
    <m/>
    <m/>
    <m/>
    <m/>
    <m/>
    <m/>
    <m/>
    <m/>
    <n v="0"/>
    <n v="0"/>
    <n v="0"/>
    <n v="0"/>
    <n v="0"/>
    <n v="0"/>
    <n v="0"/>
    <n v="0"/>
    <n v="0"/>
    <n v="0"/>
    <n v="0"/>
    <n v="0"/>
    <m/>
    <s v="PRODUIT 08  |  DEPENSES SUR ACHATS"/>
    <b v="1"/>
  </r>
  <r>
    <n v="328"/>
    <x v="0"/>
    <m/>
    <s v="YEAR-2"/>
    <x v="1"/>
    <x v="1"/>
    <x v="8"/>
    <x v="3"/>
    <x v="5"/>
    <m/>
    <m/>
    <m/>
    <m/>
    <m/>
    <m/>
    <m/>
    <m/>
    <m/>
    <m/>
    <m/>
    <m/>
    <m/>
    <m/>
    <m/>
    <m/>
    <m/>
    <m/>
    <m/>
    <n v="0"/>
    <n v="0"/>
    <n v="0"/>
    <n v="0"/>
    <n v="0"/>
    <n v="0"/>
    <n v="0"/>
    <n v="0"/>
    <n v="0"/>
    <m/>
    <n v="0"/>
    <m/>
    <m/>
    <s v="PRODUIT 08  |  PRIX MOYEN D'ACHAT PAR PRODUIT/SERVICE"/>
    <m/>
  </r>
  <r>
    <n v="329"/>
    <x v="0"/>
    <m/>
    <s v="YEAR-1"/>
    <x v="2"/>
    <x v="1"/>
    <x v="8"/>
    <x v="3"/>
    <x v="5"/>
    <m/>
    <m/>
    <m/>
    <m/>
    <m/>
    <m/>
    <m/>
    <m/>
    <m/>
    <m/>
    <m/>
    <m/>
    <m/>
    <m/>
    <m/>
    <m/>
    <m/>
    <m/>
    <m/>
    <n v="0"/>
    <n v="0"/>
    <n v="0"/>
    <n v="0"/>
    <n v="0"/>
    <n v="0"/>
    <n v="0"/>
    <n v="0"/>
    <n v="0"/>
    <m/>
    <n v="0"/>
    <m/>
    <m/>
    <s v="PRODUIT 08  |  PRIX MOYEN D'ACHAT PAR PRODUIT/SERVICE"/>
    <m/>
  </r>
  <r>
    <n v="330"/>
    <x v="0"/>
    <m/>
    <s v="CURRENT YEAR"/>
    <x v="3"/>
    <x v="1"/>
    <x v="8"/>
    <x v="3"/>
    <x v="5"/>
    <m/>
    <m/>
    <m/>
    <m/>
    <m/>
    <m/>
    <m/>
    <m/>
    <m/>
    <m/>
    <m/>
    <m/>
    <m/>
    <m/>
    <m/>
    <m/>
    <m/>
    <m/>
    <m/>
    <n v="0"/>
    <n v="0"/>
    <n v="0"/>
    <n v="0"/>
    <n v="0"/>
    <n v="0"/>
    <n v="0"/>
    <n v="0"/>
    <n v="0"/>
    <m/>
    <n v="0"/>
    <m/>
    <m/>
    <s v="PRODUIT 08  |  PRIX MOYEN D'ACHAT PAR PRODUIT/SERVICE"/>
    <m/>
  </r>
  <r>
    <n v="331"/>
    <x v="0"/>
    <m/>
    <s v="YEAR2"/>
    <x v="4"/>
    <x v="1"/>
    <x v="8"/>
    <x v="3"/>
    <x v="5"/>
    <m/>
    <m/>
    <m/>
    <m/>
    <m/>
    <m/>
    <m/>
    <m/>
    <m/>
    <m/>
    <m/>
    <m/>
    <m/>
    <m/>
    <m/>
    <m/>
    <m/>
    <m/>
    <m/>
    <n v="0"/>
    <n v="0"/>
    <n v="0"/>
    <n v="0"/>
    <n v="0"/>
    <n v="0"/>
    <n v="0"/>
    <n v="0"/>
    <n v="0"/>
    <m/>
    <n v="0"/>
    <m/>
    <m/>
    <s v="PRODUIT 08  |  PRIX MOYEN D'ACHAT PAR PRODUIT/SERVICE"/>
    <m/>
  </r>
  <r>
    <n v="332"/>
    <x v="0"/>
    <m/>
    <s v="YEAR3"/>
    <x v="5"/>
    <x v="1"/>
    <x v="8"/>
    <x v="3"/>
    <x v="5"/>
    <m/>
    <m/>
    <m/>
    <m/>
    <m/>
    <m/>
    <m/>
    <m/>
    <m/>
    <m/>
    <m/>
    <m/>
    <m/>
    <m/>
    <m/>
    <m/>
    <m/>
    <m/>
    <m/>
    <n v="0"/>
    <n v="0"/>
    <n v="0"/>
    <n v="0"/>
    <n v="0"/>
    <n v="0"/>
    <n v="0"/>
    <n v="0"/>
    <n v="0"/>
    <m/>
    <n v="0"/>
    <m/>
    <m/>
    <s v="PRODUIT 08  |  PRIX MOYEN D'ACHAT PAR PRODUIT/SERVICE"/>
    <m/>
  </r>
  <r>
    <n v="333"/>
    <x v="0"/>
    <m/>
    <s v="YEAR4"/>
    <x v="6"/>
    <x v="1"/>
    <x v="8"/>
    <x v="3"/>
    <x v="5"/>
    <m/>
    <m/>
    <m/>
    <m/>
    <m/>
    <m/>
    <m/>
    <m/>
    <m/>
    <m/>
    <m/>
    <m/>
    <m/>
    <m/>
    <m/>
    <m/>
    <m/>
    <m/>
    <m/>
    <n v="0"/>
    <n v="0"/>
    <n v="0"/>
    <n v="0"/>
    <n v="0"/>
    <n v="0"/>
    <n v="0"/>
    <n v="0"/>
    <n v="0"/>
    <m/>
    <n v="0"/>
    <m/>
    <m/>
    <s v="PRODUIT 08  |  PRIX MOYEN D'ACHAT PAR PRODUIT/SERVICE"/>
    <m/>
  </r>
  <r>
    <n v="334"/>
    <x v="0"/>
    <m/>
    <s v="YEAR5"/>
    <x v="7"/>
    <x v="1"/>
    <x v="8"/>
    <x v="3"/>
    <x v="5"/>
    <m/>
    <m/>
    <m/>
    <m/>
    <m/>
    <m/>
    <m/>
    <m/>
    <m/>
    <m/>
    <m/>
    <m/>
    <m/>
    <m/>
    <m/>
    <m/>
    <m/>
    <m/>
    <m/>
    <n v="0"/>
    <n v="0"/>
    <n v="0"/>
    <n v="0"/>
    <n v="0"/>
    <n v="0"/>
    <n v="0"/>
    <n v="0"/>
    <n v="0"/>
    <m/>
    <n v="0"/>
    <m/>
    <m/>
    <s v="PRODUIT 08  |  PRIX MOYEN D'ACHAT PAR PRODUIT/SERVICE"/>
    <m/>
  </r>
  <r>
    <n v="335"/>
    <x v="0"/>
    <m/>
    <s v="YEAR6"/>
    <x v="8"/>
    <x v="1"/>
    <x v="8"/>
    <x v="3"/>
    <x v="5"/>
    <m/>
    <m/>
    <m/>
    <m/>
    <m/>
    <m/>
    <m/>
    <m/>
    <m/>
    <m/>
    <m/>
    <m/>
    <m/>
    <m/>
    <m/>
    <m/>
    <m/>
    <m/>
    <m/>
    <n v="0"/>
    <n v="0"/>
    <n v="0"/>
    <n v="0"/>
    <n v="0"/>
    <n v="0"/>
    <n v="0"/>
    <n v="0"/>
    <n v="0"/>
    <m/>
    <n v="0"/>
    <m/>
    <m/>
    <s v="PRODUIT 08  |  PRIX MOYEN D'ACHAT PAR PRODUIT/SERVICE"/>
    <m/>
  </r>
  <r>
    <n v="336"/>
    <x v="0"/>
    <n v="1"/>
    <m/>
    <x v="0"/>
    <x v="0"/>
    <x v="0"/>
    <x v="0"/>
    <x v="0"/>
    <m/>
    <m/>
    <m/>
    <m/>
    <m/>
    <m/>
    <m/>
    <m/>
    <m/>
    <m/>
    <m/>
    <m/>
    <m/>
    <m/>
    <m/>
    <m/>
    <m/>
    <m/>
    <m/>
    <m/>
    <m/>
    <m/>
    <m/>
    <m/>
    <m/>
    <m/>
    <m/>
    <m/>
    <m/>
    <m/>
    <m/>
    <m/>
    <m/>
    <m/>
  </r>
  <r>
    <n v="337"/>
    <x v="0"/>
    <m/>
    <m/>
    <x v="0"/>
    <x v="0"/>
    <x v="0"/>
    <x v="0"/>
    <x v="0"/>
    <m/>
    <m/>
    <m/>
    <m/>
    <m/>
    <m/>
    <m/>
    <m/>
    <m/>
    <m/>
    <m/>
    <m/>
    <m/>
    <m/>
    <m/>
    <m/>
    <m/>
    <m/>
    <m/>
    <m/>
    <m/>
    <m/>
    <m/>
    <m/>
    <m/>
    <m/>
    <m/>
    <m/>
    <m/>
    <m/>
    <m/>
    <m/>
    <m/>
    <m/>
  </r>
  <r>
    <n v="338"/>
    <x v="0"/>
    <n v="1"/>
    <s v="YEAR-2"/>
    <x v="1"/>
    <x v="1"/>
    <x v="9"/>
    <x v="3"/>
    <x v="1"/>
    <n v="1000"/>
    <n v="0"/>
    <n v="0"/>
    <n v="1000"/>
    <n v="1"/>
    <n v="0"/>
    <n v="0"/>
    <n v="500"/>
    <n v="0"/>
    <n v="0"/>
    <n v="500"/>
    <n v="1"/>
    <n v="1"/>
    <n v="1"/>
    <n v="0"/>
    <n v="0"/>
    <n v="0"/>
    <n v="0"/>
    <n v="0"/>
    <n v="0"/>
    <n v="0"/>
    <n v="0"/>
    <n v="0"/>
    <n v="0"/>
    <n v="0"/>
    <n v="0"/>
    <n v="0"/>
    <n v="0"/>
    <n v="0"/>
    <n v="0"/>
    <n v="0"/>
    <s v="GAMME # : 1 + CANAL DE DISTRIBUTION # : 1"/>
    <s v="PRODUIT 09  |  VOLUME"/>
    <b v="1"/>
  </r>
  <r>
    <n v="339"/>
    <x v="0"/>
    <n v="1"/>
    <s v="YEAR-1"/>
    <x v="2"/>
    <x v="1"/>
    <x v="9"/>
    <x v="3"/>
    <x v="1"/>
    <n v="1000"/>
    <n v="0"/>
    <n v="0"/>
    <n v="1000"/>
    <n v="1"/>
    <n v="0"/>
    <n v="0"/>
    <n v="500"/>
    <n v="0"/>
    <n v="0"/>
    <n v="500"/>
    <n v="1"/>
    <n v="1"/>
    <n v="1"/>
    <n v="0"/>
    <n v="0"/>
    <n v="0"/>
    <n v="0"/>
    <n v="0"/>
    <n v="0"/>
    <n v="0"/>
    <n v="0"/>
    <n v="0"/>
    <n v="0"/>
    <n v="0"/>
    <n v="0"/>
    <n v="0"/>
    <n v="0"/>
    <n v="0"/>
    <n v="0"/>
    <n v="0"/>
    <m/>
    <s v="PRODUIT 09  |  VOLUME"/>
    <b v="1"/>
  </r>
  <r>
    <n v="340"/>
    <x v="0"/>
    <n v="1"/>
    <s v="CURRENT YEAR"/>
    <x v="3"/>
    <x v="1"/>
    <x v="9"/>
    <x v="3"/>
    <x v="1"/>
    <n v="1000"/>
    <n v="0"/>
    <n v="0"/>
    <n v="1000"/>
    <n v="1"/>
    <n v="0"/>
    <n v="0"/>
    <n v="500"/>
    <n v="0"/>
    <n v="0"/>
    <n v="500"/>
    <n v="1"/>
    <n v="1"/>
    <n v="1"/>
    <n v="0"/>
    <n v="0"/>
    <n v="0"/>
    <n v="0"/>
    <n v="0"/>
    <n v="0"/>
    <n v="0"/>
    <n v="0"/>
    <n v="0"/>
    <n v="0"/>
    <n v="0"/>
    <n v="0"/>
    <n v="0"/>
    <n v="0"/>
    <n v="0"/>
    <n v="0"/>
    <n v="0"/>
    <m/>
    <s v="PRODUIT 09  |  VOLUME"/>
    <b v="1"/>
  </r>
  <r>
    <n v="341"/>
    <x v="0"/>
    <n v="1"/>
    <s v="YEAR2"/>
    <x v="4"/>
    <x v="1"/>
    <x v="9"/>
    <x v="3"/>
    <x v="1"/>
    <n v="1000"/>
    <n v="0"/>
    <n v="0"/>
    <n v="1000"/>
    <n v="1"/>
    <n v="0"/>
    <n v="0"/>
    <n v="500"/>
    <n v="0"/>
    <n v="0"/>
    <n v="500"/>
    <n v="1"/>
    <n v="1"/>
    <n v="1"/>
    <n v="0"/>
    <n v="0"/>
    <n v="0"/>
    <n v="0"/>
    <n v="0"/>
    <n v="0"/>
    <n v="0"/>
    <n v="0"/>
    <n v="0"/>
    <n v="0"/>
    <n v="0"/>
    <n v="0"/>
    <n v="0"/>
    <n v="0"/>
    <n v="0"/>
    <n v="0"/>
    <n v="0"/>
    <m/>
    <s v="PRODUIT 09  |  VOLUME"/>
    <b v="1"/>
  </r>
  <r>
    <n v="342"/>
    <x v="0"/>
    <n v="1"/>
    <s v="YEAR3"/>
    <x v="5"/>
    <x v="1"/>
    <x v="9"/>
    <x v="3"/>
    <x v="1"/>
    <n v="1000"/>
    <n v="0"/>
    <n v="0"/>
    <n v="1000"/>
    <n v="1"/>
    <n v="0"/>
    <n v="0"/>
    <n v="500"/>
    <n v="0"/>
    <n v="0"/>
    <n v="500"/>
    <n v="1"/>
    <n v="1"/>
    <n v="1"/>
    <n v="0"/>
    <n v="0"/>
    <n v="0"/>
    <n v="0"/>
    <n v="0"/>
    <n v="0"/>
    <n v="0"/>
    <n v="0"/>
    <n v="0"/>
    <n v="0"/>
    <n v="0"/>
    <n v="0"/>
    <n v="0"/>
    <n v="0"/>
    <n v="0"/>
    <n v="0"/>
    <n v="0"/>
    <m/>
    <s v="PRODUIT 09  |  VOLUME"/>
    <b v="1"/>
  </r>
  <r>
    <n v="343"/>
    <x v="0"/>
    <n v="1"/>
    <s v="YEAR4"/>
    <x v="6"/>
    <x v="1"/>
    <x v="9"/>
    <x v="3"/>
    <x v="1"/>
    <n v="1000"/>
    <n v="0"/>
    <n v="0"/>
    <n v="1000"/>
    <n v="1"/>
    <n v="0"/>
    <n v="0"/>
    <n v="500"/>
    <n v="0"/>
    <n v="0"/>
    <n v="500"/>
    <n v="1"/>
    <n v="1"/>
    <n v="1"/>
    <n v="0"/>
    <n v="0"/>
    <n v="0"/>
    <n v="0"/>
    <n v="0"/>
    <n v="0"/>
    <n v="0"/>
    <n v="0"/>
    <n v="0"/>
    <n v="0"/>
    <n v="0"/>
    <n v="0"/>
    <n v="0"/>
    <n v="0"/>
    <n v="0"/>
    <n v="0"/>
    <n v="0"/>
    <m/>
    <s v="PRODUIT 09  |  VOLUME"/>
    <b v="1"/>
  </r>
  <r>
    <n v="344"/>
    <x v="0"/>
    <n v="1"/>
    <s v="YEAR5"/>
    <x v="7"/>
    <x v="1"/>
    <x v="9"/>
    <x v="3"/>
    <x v="1"/>
    <n v="1000"/>
    <n v="0"/>
    <n v="0"/>
    <n v="1000"/>
    <n v="1"/>
    <n v="0"/>
    <n v="0"/>
    <n v="500"/>
    <n v="0"/>
    <n v="0"/>
    <n v="500"/>
    <n v="1"/>
    <n v="1"/>
    <n v="1"/>
    <n v="0"/>
    <n v="0"/>
    <n v="0"/>
    <n v="0"/>
    <n v="0"/>
    <n v="0"/>
    <n v="0"/>
    <n v="0"/>
    <n v="0"/>
    <n v="0"/>
    <n v="0"/>
    <n v="0"/>
    <n v="0"/>
    <n v="0"/>
    <n v="0"/>
    <n v="0"/>
    <n v="0"/>
    <m/>
    <s v="PRODUIT 09  |  VOLUME"/>
    <b v="1"/>
  </r>
  <r>
    <n v="345"/>
    <x v="0"/>
    <n v="1"/>
    <s v="YEAR6"/>
    <x v="8"/>
    <x v="1"/>
    <x v="9"/>
    <x v="3"/>
    <x v="1"/>
    <n v="1000"/>
    <n v="0"/>
    <n v="0"/>
    <n v="1000"/>
    <n v="1"/>
    <n v="0"/>
    <n v="0"/>
    <n v="500"/>
    <n v="0"/>
    <n v="0"/>
    <n v="500"/>
    <n v="1"/>
    <n v="1"/>
    <n v="1"/>
    <n v="0"/>
    <n v="0"/>
    <n v="0"/>
    <n v="0"/>
    <n v="0"/>
    <n v="0"/>
    <n v="0"/>
    <n v="0"/>
    <n v="0"/>
    <n v="0"/>
    <n v="0"/>
    <n v="0"/>
    <n v="0"/>
    <n v="0"/>
    <n v="0"/>
    <n v="0"/>
    <n v="0"/>
    <m/>
    <s v="PRODUIT 09  |  VOLUME"/>
    <b v="1"/>
  </r>
  <r>
    <n v="346"/>
    <x v="0"/>
    <m/>
    <s v="YEAR-2"/>
    <x v="1"/>
    <x v="1"/>
    <x v="9"/>
    <x v="3"/>
    <x v="2"/>
    <m/>
    <m/>
    <m/>
    <m/>
    <m/>
    <m/>
    <m/>
    <m/>
    <m/>
    <m/>
    <m/>
    <m/>
    <m/>
    <m/>
    <m/>
    <m/>
    <m/>
    <m/>
    <m/>
    <n v="0"/>
    <n v="0"/>
    <n v="0"/>
    <n v="0"/>
    <n v="0"/>
    <n v="0"/>
    <n v="0"/>
    <n v="0"/>
    <n v="0"/>
    <n v="0"/>
    <n v="0"/>
    <n v="0"/>
    <m/>
    <s v="PRODUIT 09  |  CHIFFRE D'AFFAIRES"/>
    <b v="1"/>
  </r>
  <r>
    <n v="347"/>
    <x v="0"/>
    <m/>
    <s v="YEAR-1"/>
    <x v="2"/>
    <x v="1"/>
    <x v="9"/>
    <x v="3"/>
    <x v="2"/>
    <m/>
    <m/>
    <m/>
    <m/>
    <m/>
    <m/>
    <m/>
    <m/>
    <m/>
    <m/>
    <m/>
    <m/>
    <m/>
    <m/>
    <m/>
    <m/>
    <m/>
    <m/>
    <m/>
    <n v="0"/>
    <n v="0"/>
    <n v="0"/>
    <n v="0"/>
    <n v="0"/>
    <n v="0"/>
    <n v="0"/>
    <n v="0"/>
    <n v="0"/>
    <n v="0"/>
    <n v="0"/>
    <n v="0"/>
    <m/>
    <s v="PRODUIT 09  |  CHIFFRE D'AFFAIRES"/>
    <b v="1"/>
  </r>
  <r>
    <n v="348"/>
    <x v="0"/>
    <m/>
    <s v="CURRENT YEAR"/>
    <x v="3"/>
    <x v="1"/>
    <x v="9"/>
    <x v="3"/>
    <x v="2"/>
    <m/>
    <m/>
    <m/>
    <m/>
    <m/>
    <m/>
    <m/>
    <m/>
    <m/>
    <m/>
    <m/>
    <m/>
    <m/>
    <m/>
    <m/>
    <m/>
    <m/>
    <m/>
    <m/>
    <n v="0"/>
    <n v="0"/>
    <n v="0"/>
    <n v="0"/>
    <n v="0"/>
    <n v="0"/>
    <n v="0"/>
    <n v="0"/>
    <n v="0"/>
    <n v="0"/>
    <n v="0"/>
    <n v="0"/>
    <m/>
    <s v="PRODUIT 09  |  CHIFFRE D'AFFAIRES"/>
    <b v="1"/>
  </r>
  <r>
    <n v="349"/>
    <x v="0"/>
    <m/>
    <s v="YEAR2"/>
    <x v="4"/>
    <x v="1"/>
    <x v="9"/>
    <x v="3"/>
    <x v="2"/>
    <m/>
    <m/>
    <m/>
    <m/>
    <m/>
    <m/>
    <m/>
    <m/>
    <m/>
    <m/>
    <m/>
    <m/>
    <m/>
    <m/>
    <m/>
    <m/>
    <m/>
    <m/>
    <m/>
    <n v="0"/>
    <n v="0"/>
    <n v="0"/>
    <n v="0"/>
    <n v="0"/>
    <n v="0"/>
    <n v="0"/>
    <n v="0"/>
    <n v="0"/>
    <n v="0"/>
    <n v="0"/>
    <n v="0"/>
    <m/>
    <s v="PRODUIT 09  |  CHIFFRE D'AFFAIRES"/>
    <b v="1"/>
  </r>
  <r>
    <n v="350"/>
    <x v="0"/>
    <m/>
    <s v="YEAR3"/>
    <x v="5"/>
    <x v="1"/>
    <x v="9"/>
    <x v="3"/>
    <x v="2"/>
    <m/>
    <m/>
    <m/>
    <m/>
    <m/>
    <m/>
    <m/>
    <m/>
    <m/>
    <m/>
    <m/>
    <m/>
    <m/>
    <m/>
    <m/>
    <m/>
    <m/>
    <m/>
    <m/>
    <n v="0"/>
    <n v="0"/>
    <n v="0"/>
    <n v="0"/>
    <n v="0"/>
    <n v="0"/>
    <n v="0"/>
    <n v="0"/>
    <n v="0"/>
    <n v="0"/>
    <n v="0"/>
    <n v="0"/>
    <m/>
    <s v="PRODUIT 09  |  CHIFFRE D'AFFAIRES"/>
    <b v="1"/>
  </r>
  <r>
    <n v="351"/>
    <x v="0"/>
    <m/>
    <s v="YEAR4"/>
    <x v="6"/>
    <x v="1"/>
    <x v="9"/>
    <x v="3"/>
    <x v="2"/>
    <m/>
    <m/>
    <m/>
    <m/>
    <m/>
    <m/>
    <m/>
    <m/>
    <m/>
    <m/>
    <m/>
    <m/>
    <m/>
    <m/>
    <m/>
    <m/>
    <m/>
    <m/>
    <m/>
    <n v="0"/>
    <n v="0"/>
    <n v="0"/>
    <n v="0"/>
    <n v="0"/>
    <n v="0"/>
    <n v="0"/>
    <n v="0"/>
    <n v="0"/>
    <n v="0"/>
    <n v="0"/>
    <n v="0"/>
    <m/>
    <s v="PRODUIT 09  |  CHIFFRE D'AFFAIRES"/>
    <b v="1"/>
  </r>
  <r>
    <n v="352"/>
    <x v="0"/>
    <m/>
    <s v="YEAR5"/>
    <x v="7"/>
    <x v="1"/>
    <x v="9"/>
    <x v="3"/>
    <x v="2"/>
    <m/>
    <m/>
    <m/>
    <m/>
    <m/>
    <m/>
    <m/>
    <m/>
    <m/>
    <m/>
    <m/>
    <m/>
    <m/>
    <m/>
    <m/>
    <m/>
    <m/>
    <m/>
    <m/>
    <n v="0"/>
    <n v="0"/>
    <n v="0"/>
    <n v="0"/>
    <n v="0"/>
    <n v="0"/>
    <n v="0"/>
    <n v="0"/>
    <n v="0"/>
    <n v="0"/>
    <n v="0"/>
    <n v="0"/>
    <m/>
    <s v="PRODUIT 09  |  CHIFFRE D'AFFAIRES"/>
    <b v="1"/>
  </r>
  <r>
    <n v="353"/>
    <x v="0"/>
    <m/>
    <s v="YEAR6"/>
    <x v="8"/>
    <x v="1"/>
    <x v="9"/>
    <x v="3"/>
    <x v="2"/>
    <m/>
    <m/>
    <m/>
    <m/>
    <m/>
    <m/>
    <m/>
    <m/>
    <m/>
    <m/>
    <m/>
    <m/>
    <m/>
    <m/>
    <m/>
    <m/>
    <m/>
    <m/>
    <m/>
    <n v="0"/>
    <n v="0"/>
    <n v="0"/>
    <n v="0"/>
    <n v="0"/>
    <n v="0"/>
    <n v="0"/>
    <n v="0"/>
    <n v="0"/>
    <n v="0"/>
    <n v="0"/>
    <n v="0"/>
    <m/>
    <s v="PRODUIT 09  |  CHIFFRE D'AFFAIRES"/>
    <b v="1"/>
  </r>
  <r>
    <n v="354"/>
    <x v="0"/>
    <m/>
    <s v="YEAR-2"/>
    <x v="1"/>
    <x v="1"/>
    <x v="9"/>
    <x v="3"/>
    <x v="3"/>
    <m/>
    <m/>
    <m/>
    <m/>
    <m/>
    <m/>
    <m/>
    <m/>
    <m/>
    <m/>
    <m/>
    <m/>
    <m/>
    <m/>
    <m/>
    <m/>
    <m/>
    <m/>
    <m/>
    <n v="0"/>
    <n v="0"/>
    <n v="0"/>
    <n v="0"/>
    <n v="0"/>
    <n v="0"/>
    <n v="0"/>
    <n v="0"/>
    <n v="0"/>
    <m/>
    <n v="0"/>
    <m/>
    <m/>
    <s v="PRODUIT 09  |  PRIX MOYEN DE VENTE PAR PRODUIT/SERVICE"/>
    <m/>
  </r>
  <r>
    <n v="355"/>
    <x v="0"/>
    <m/>
    <s v="YEAR-1"/>
    <x v="2"/>
    <x v="1"/>
    <x v="9"/>
    <x v="3"/>
    <x v="3"/>
    <m/>
    <m/>
    <m/>
    <m/>
    <m/>
    <m/>
    <m/>
    <m/>
    <m/>
    <m/>
    <m/>
    <m/>
    <m/>
    <m/>
    <m/>
    <m/>
    <m/>
    <m/>
    <m/>
    <n v="0"/>
    <n v="0"/>
    <n v="0"/>
    <n v="0"/>
    <n v="0"/>
    <n v="0"/>
    <n v="0"/>
    <n v="0"/>
    <n v="0"/>
    <m/>
    <n v="0"/>
    <m/>
    <m/>
    <s v="PRODUIT 09  |  PRIX MOYEN DE VENTE PAR PRODUIT/SERVICE"/>
    <m/>
  </r>
  <r>
    <n v="356"/>
    <x v="0"/>
    <m/>
    <s v="CURRENT YEAR"/>
    <x v="3"/>
    <x v="1"/>
    <x v="9"/>
    <x v="3"/>
    <x v="3"/>
    <m/>
    <m/>
    <m/>
    <m/>
    <m/>
    <m/>
    <m/>
    <m/>
    <m/>
    <m/>
    <m/>
    <m/>
    <m/>
    <m/>
    <m/>
    <m/>
    <m/>
    <m/>
    <m/>
    <n v="0"/>
    <n v="0"/>
    <n v="0"/>
    <n v="0"/>
    <n v="0"/>
    <n v="0"/>
    <n v="0"/>
    <n v="0"/>
    <n v="0"/>
    <m/>
    <n v="0"/>
    <m/>
    <m/>
    <s v="PRODUIT 09  |  PRIX MOYEN DE VENTE PAR PRODUIT/SERVICE"/>
    <m/>
  </r>
  <r>
    <n v="357"/>
    <x v="0"/>
    <m/>
    <s v="YEAR2"/>
    <x v="4"/>
    <x v="1"/>
    <x v="9"/>
    <x v="3"/>
    <x v="3"/>
    <m/>
    <m/>
    <m/>
    <m/>
    <m/>
    <m/>
    <m/>
    <m/>
    <m/>
    <m/>
    <m/>
    <m/>
    <m/>
    <m/>
    <m/>
    <m/>
    <m/>
    <m/>
    <m/>
    <n v="0"/>
    <n v="0"/>
    <n v="0"/>
    <n v="0"/>
    <n v="0"/>
    <n v="0"/>
    <n v="0"/>
    <n v="0"/>
    <n v="0"/>
    <m/>
    <n v="0"/>
    <m/>
    <m/>
    <s v="PRODUIT 09  |  PRIX MOYEN DE VENTE PAR PRODUIT/SERVICE"/>
    <m/>
  </r>
  <r>
    <n v="358"/>
    <x v="0"/>
    <m/>
    <s v="YEAR3"/>
    <x v="5"/>
    <x v="1"/>
    <x v="9"/>
    <x v="3"/>
    <x v="3"/>
    <m/>
    <m/>
    <m/>
    <m/>
    <m/>
    <m/>
    <m/>
    <m/>
    <m/>
    <m/>
    <m/>
    <m/>
    <m/>
    <m/>
    <m/>
    <m/>
    <m/>
    <m/>
    <m/>
    <n v="0"/>
    <n v="0"/>
    <n v="0"/>
    <n v="0"/>
    <n v="0"/>
    <n v="0"/>
    <n v="0"/>
    <n v="0"/>
    <n v="0"/>
    <m/>
    <n v="0"/>
    <m/>
    <m/>
    <s v="PRODUIT 09  |  PRIX MOYEN DE VENTE PAR PRODUIT/SERVICE"/>
    <m/>
  </r>
  <r>
    <n v="359"/>
    <x v="0"/>
    <m/>
    <s v="YEAR4"/>
    <x v="6"/>
    <x v="1"/>
    <x v="9"/>
    <x v="3"/>
    <x v="3"/>
    <m/>
    <m/>
    <m/>
    <m/>
    <m/>
    <m/>
    <m/>
    <m/>
    <m/>
    <m/>
    <m/>
    <m/>
    <m/>
    <m/>
    <m/>
    <m/>
    <m/>
    <m/>
    <m/>
    <n v="0"/>
    <n v="0"/>
    <n v="0"/>
    <n v="0"/>
    <n v="0"/>
    <n v="0"/>
    <n v="0"/>
    <n v="0"/>
    <n v="0"/>
    <m/>
    <n v="0"/>
    <m/>
    <m/>
    <s v="PRODUIT 09  |  PRIX MOYEN DE VENTE PAR PRODUIT/SERVICE"/>
    <m/>
  </r>
  <r>
    <n v="360"/>
    <x v="0"/>
    <m/>
    <s v="YEAR5"/>
    <x v="7"/>
    <x v="1"/>
    <x v="9"/>
    <x v="3"/>
    <x v="3"/>
    <m/>
    <m/>
    <m/>
    <m/>
    <m/>
    <m/>
    <m/>
    <m/>
    <m/>
    <m/>
    <m/>
    <m/>
    <m/>
    <m/>
    <m/>
    <m/>
    <m/>
    <m/>
    <m/>
    <n v="0"/>
    <n v="0"/>
    <n v="0"/>
    <n v="0"/>
    <n v="0"/>
    <n v="0"/>
    <n v="0"/>
    <n v="0"/>
    <n v="0"/>
    <m/>
    <n v="0"/>
    <m/>
    <m/>
    <s v="PRODUIT 09  |  PRIX MOYEN DE VENTE PAR PRODUIT/SERVICE"/>
    <m/>
  </r>
  <r>
    <n v="361"/>
    <x v="0"/>
    <m/>
    <s v="YEAR6"/>
    <x v="8"/>
    <x v="1"/>
    <x v="9"/>
    <x v="3"/>
    <x v="3"/>
    <m/>
    <m/>
    <m/>
    <m/>
    <m/>
    <m/>
    <m/>
    <m/>
    <m/>
    <m/>
    <m/>
    <m/>
    <m/>
    <m/>
    <m/>
    <m/>
    <m/>
    <m/>
    <m/>
    <n v="0"/>
    <n v="0"/>
    <n v="0"/>
    <n v="0"/>
    <n v="0"/>
    <n v="0"/>
    <n v="0"/>
    <n v="0"/>
    <n v="0"/>
    <m/>
    <n v="0"/>
    <m/>
    <m/>
    <s v="PRODUIT 09  |  PRIX MOYEN DE VENTE PAR PRODUIT/SERVICE"/>
    <m/>
  </r>
  <r>
    <n v="362"/>
    <x v="0"/>
    <m/>
    <s v="YEAR-2"/>
    <x v="1"/>
    <x v="1"/>
    <x v="9"/>
    <x v="3"/>
    <x v="4"/>
    <m/>
    <m/>
    <m/>
    <m/>
    <m/>
    <m/>
    <m/>
    <m/>
    <m/>
    <m/>
    <m/>
    <m/>
    <m/>
    <m/>
    <m/>
    <m/>
    <m/>
    <m/>
    <m/>
    <n v="0"/>
    <n v="0"/>
    <n v="0"/>
    <n v="0"/>
    <n v="0"/>
    <n v="0"/>
    <n v="0"/>
    <n v="0"/>
    <n v="0"/>
    <n v="0"/>
    <n v="0"/>
    <n v="0"/>
    <m/>
    <s v="PRODUIT 09  |  DEPENSES SUR ACHATS"/>
    <b v="1"/>
  </r>
  <r>
    <n v="363"/>
    <x v="0"/>
    <m/>
    <s v="YEAR-1"/>
    <x v="2"/>
    <x v="1"/>
    <x v="9"/>
    <x v="3"/>
    <x v="4"/>
    <m/>
    <m/>
    <m/>
    <m/>
    <m/>
    <m/>
    <m/>
    <m/>
    <m/>
    <m/>
    <m/>
    <m/>
    <m/>
    <m/>
    <m/>
    <m/>
    <m/>
    <m/>
    <m/>
    <n v="0"/>
    <n v="0"/>
    <n v="0"/>
    <n v="0"/>
    <n v="0"/>
    <n v="0"/>
    <n v="0"/>
    <n v="0"/>
    <n v="0"/>
    <n v="0"/>
    <n v="0"/>
    <n v="0"/>
    <m/>
    <s v="PRODUIT 09  |  DEPENSES SUR ACHATS"/>
    <b v="1"/>
  </r>
  <r>
    <n v="364"/>
    <x v="0"/>
    <m/>
    <s v="CURRENT YEAR"/>
    <x v="3"/>
    <x v="1"/>
    <x v="9"/>
    <x v="3"/>
    <x v="4"/>
    <m/>
    <m/>
    <m/>
    <m/>
    <m/>
    <m/>
    <m/>
    <m/>
    <m/>
    <m/>
    <m/>
    <m/>
    <m/>
    <m/>
    <m/>
    <m/>
    <m/>
    <m/>
    <m/>
    <n v="0"/>
    <n v="0"/>
    <n v="0"/>
    <n v="0"/>
    <n v="0"/>
    <n v="0"/>
    <n v="0"/>
    <n v="0"/>
    <n v="0"/>
    <n v="0"/>
    <n v="0"/>
    <n v="0"/>
    <m/>
    <s v="PRODUIT 09  |  DEPENSES SUR ACHATS"/>
    <b v="1"/>
  </r>
  <r>
    <n v="365"/>
    <x v="0"/>
    <m/>
    <s v="YEAR2"/>
    <x v="4"/>
    <x v="1"/>
    <x v="9"/>
    <x v="3"/>
    <x v="4"/>
    <m/>
    <m/>
    <m/>
    <m/>
    <m/>
    <m/>
    <m/>
    <m/>
    <m/>
    <m/>
    <m/>
    <m/>
    <m/>
    <m/>
    <m/>
    <m/>
    <m/>
    <m/>
    <m/>
    <n v="0"/>
    <n v="0"/>
    <n v="0"/>
    <n v="0"/>
    <n v="0"/>
    <n v="0"/>
    <n v="0"/>
    <n v="0"/>
    <n v="0"/>
    <n v="0"/>
    <n v="0"/>
    <n v="0"/>
    <m/>
    <s v="PRODUIT 09  |  DEPENSES SUR ACHATS"/>
    <b v="1"/>
  </r>
  <r>
    <n v="366"/>
    <x v="0"/>
    <m/>
    <s v="YEAR3"/>
    <x v="5"/>
    <x v="1"/>
    <x v="9"/>
    <x v="3"/>
    <x v="4"/>
    <m/>
    <m/>
    <m/>
    <m/>
    <m/>
    <m/>
    <m/>
    <m/>
    <m/>
    <m/>
    <m/>
    <m/>
    <m/>
    <m/>
    <m/>
    <m/>
    <m/>
    <m/>
    <m/>
    <n v="0"/>
    <n v="0"/>
    <n v="0"/>
    <n v="0"/>
    <n v="0"/>
    <n v="0"/>
    <n v="0"/>
    <n v="0"/>
    <n v="0"/>
    <n v="0"/>
    <n v="0"/>
    <n v="0"/>
    <m/>
    <s v="PRODUIT 09  |  DEPENSES SUR ACHATS"/>
    <b v="1"/>
  </r>
  <r>
    <n v="367"/>
    <x v="0"/>
    <m/>
    <s v="YEAR4"/>
    <x v="6"/>
    <x v="1"/>
    <x v="9"/>
    <x v="3"/>
    <x v="4"/>
    <m/>
    <m/>
    <m/>
    <m/>
    <m/>
    <m/>
    <m/>
    <m/>
    <m/>
    <m/>
    <m/>
    <m/>
    <m/>
    <m/>
    <m/>
    <m/>
    <m/>
    <m/>
    <m/>
    <n v="0"/>
    <n v="0"/>
    <n v="0"/>
    <n v="0"/>
    <n v="0"/>
    <n v="0"/>
    <n v="0"/>
    <n v="0"/>
    <n v="0"/>
    <n v="0"/>
    <n v="0"/>
    <n v="0"/>
    <m/>
    <s v="PRODUIT 09  |  DEPENSES SUR ACHATS"/>
    <b v="1"/>
  </r>
  <r>
    <n v="368"/>
    <x v="0"/>
    <m/>
    <s v="YEAR5"/>
    <x v="7"/>
    <x v="1"/>
    <x v="9"/>
    <x v="3"/>
    <x v="4"/>
    <m/>
    <m/>
    <m/>
    <m/>
    <m/>
    <m/>
    <m/>
    <m/>
    <m/>
    <m/>
    <m/>
    <m/>
    <m/>
    <m/>
    <m/>
    <m/>
    <m/>
    <m/>
    <m/>
    <n v="0"/>
    <n v="0"/>
    <n v="0"/>
    <n v="0"/>
    <n v="0"/>
    <n v="0"/>
    <n v="0"/>
    <n v="0"/>
    <n v="0"/>
    <n v="0"/>
    <n v="0"/>
    <n v="0"/>
    <m/>
    <s v="PRODUIT 09  |  DEPENSES SUR ACHATS"/>
    <b v="1"/>
  </r>
  <r>
    <n v="369"/>
    <x v="0"/>
    <m/>
    <s v="YEAR6"/>
    <x v="8"/>
    <x v="1"/>
    <x v="9"/>
    <x v="3"/>
    <x v="4"/>
    <m/>
    <m/>
    <m/>
    <m/>
    <m/>
    <m/>
    <m/>
    <m/>
    <m/>
    <m/>
    <m/>
    <m/>
    <m/>
    <m/>
    <m/>
    <m/>
    <m/>
    <m/>
    <m/>
    <n v="0"/>
    <n v="0"/>
    <n v="0"/>
    <n v="0"/>
    <n v="0"/>
    <n v="0"/>
    <n v="0"/>
    <n v="0"/>
    <n v="0"/>
    <n v="0"/>
    <n v="0"/>
    <n v="0"/>
    <m/>
    <s v="PRODUIT 09  |  DEPENSES SUR ACHATS"/>
    <b v="1"/>
  </r>
  <r>
    <n v="370"/>
    <x v="0"/>
    <m/>
    <s v="YEAR-2"/>
    <x v="1"/>
    <x v="1"/>
    <x v="9"/>
    <x v="3"/>
    <x v="5"/>
    <m/>
    <m/>
    <m/>
    <m/>
    <m/>
    <m/>
    <m/>
    <m/>
    <m/>
    <m/>
    <m/>
    <m/>
    <m/>
    <m/>
    <m/>
    <m/>
    <m/>
    <m/>
    <m/>
    <n v="0"/>
    <n v="0"/>
    <n v="0"/>
    <n v="0"/>
    <n v="0"/>
    <n v="0"/>
    <n v="0"/>
    <n v="0"/>
    <n v="0"/>
    <m/>
    <n v="0"/>
    <m/>
    <m/>
    <s v="PRODUIT 09  |  PRIX MOYEN D'ACHAT PAR PRODUIT/SERVICE"/>
    <m/>
  </r>
  <r>
    <n v="371"/>
    <x v="0"/>
    <m/>
    <s v="YEAR-1"/>
    <x v="2"/>
    <x v="1"/>
    <x v="9"/>
    <x v="3"/>
    <x v="5"/>
    <m/>
    <m/>
    <m/>
    <m/>
    <m/>
    <m/>
    <m/>
    <m/>
    <m/>
    <m/>
    <m/>
    <m/>
    <m/>
    <m/>
    <m/>
    <m/>
    <m/>
    <m/>
    <m/>
    <n v="0"/>
    <n v="0"/>
    <n v="0"/>
    <n v="0"/>
    <n v="0"/>
    <n v="0"/>
    <n v="0"/>
    <n v="0"/>
    <n v="0"/>
    <m/>
    <n v="0"/>
    <m/>
    <m/>
    <s v="PRODUIT 09  |  PRIX MOYEN D'ACHAT PAR PRODUIT/SERVICE"/>
    <m/>
  </r>
  <r>
    <n v="372"/>
    <x v="0"/>
    <m/>
    <s v="CURRENT YEAR"/>
    <x v="3"/>
    <x v="1"/>
    <x v="9"/>
    <x v="3"/>
    <x v="5"/>
    <m/>
    <m/>
    <m/>
    <m/>
    <m/>
    <m/>
    <m/>
    <m/>
    <m/>
    <m/>
    <m/>
    <m/>
    <m/>
    <m/>
    <m/>
    <m/>
    <m/>
    <m/>
    <m/>
    <n v="0"/>
    <n v="0"/>
    <n v="0"/>
    <n v="0"/>
    <n v="0"/>
    <n v="0"/>
    <n v="0"/>
    <n v="0"/>
    <n v="0"/>
    <m/>
    <n v="0"/>
    <m/>
    <m/>
    <s v="PRODUIT 09  |  PRIX MOYEN D'ACHAT PAR PRODUIT/SERVICE"/>
    <m/>
  </r>
  <r>
    <n v="373"/>
    <x v="0"/>
    <m/>
    <s v="YEAR2"/>
    <x v="4"/>
    <x v="1"/>
    <x v="9"/>
    <x v="3"/>
    <x v="5"/>
    <m/>
    <m/>
    <m/>
    <m/>
    <m/>
    <m/>
    <m/>
    <m/>
    <m/>
    <m/>
    <m/>
    <m/>
    <m/>
    <m/>
    <m/>
    <m/>
    <m/>
    <m/>
    <m/>
    <n v="0"/>
    <n v="0"/>
    <n v="0"/>
    <n v="0"/>
    <n v="0"/>
    <n v="0"/>
    <n v="0"/>
    <n v="0"/>
    <n v="0"/>
    <m/>
    <n v="0"/>
    <m/>
    <m/>
    <s v="PRODUIT 09  |  PRIX MOYEN D'ACHAT PAR PRODUIT/SERVICE"/>
    <m/>
  </r>
  <r>
    <n v="374"/>
    <x v="0"/>
    <m/>
    <s v="YEAR3"/>
    <x v="5"/>
    <x v="1"/>
    <x v="9"/>
    <x v="3"/>
    <x v="5"/>
    <m/>
    <m/>
    <m/>
    <m/>
    <m/>
    <m/>
    <m/>
    <m/>
    <m/>
    <m/>
    <m/>
    <m/>
    <m/>
    <m/>
    <m/>
    <m/>
    <m/>
    <m/>
    <m/>
    <n v="0"/>
    <n v="0"/>
    <n v="0"/>
    <n v="0"/>
    <n v="0"/>
    <n v="0"/>
    <n v="0"/>
    <n v="0"/>
    <n v="0"/>
    <m/>
    <n v="0"/>
    <m/>
    <m/>
    <s v="PRODUIT 09  |  PRIX MOYEN D'ACHAT PAR PRODUIT/SERVICE"/>
    <m/>
  </r>
  <r>
    <n v="375"/>
    <x v="0"/>
    <m/>
    <s v="YEAR4"/>
    <x v="6"/>
    <x v="1"/>
    <x v="9"/>
    <x v="3"/>
    <x v="5"/>
    <m/>
    <m/>
    <m/>
    <m/>
    <m/>
    <m/>
    <m/>
    <m/>
    <m/>
    <m/>
    <m/>
    <m/>
    <m/>
    <m/>
    <m/>
    <m/>
    <m/>
    <m/>
    <m/>
    <n v="0"/>
    <n v="0"/>
    <n v="0"/>
    <n v="0"/>
    <n v="0"/>
    <n v="0"/>
    <n v="0"/>
    <n v="0"/>
    <n v="0"/>
    <m/>
    <n v="0"/>
    <m/>
    <m/>
    <s v="PRODUIT 09  |  PRIX MOYEN D'ACHAT PAR PRODUIT/SERVICE"/>
    <m/>
  </r>
  <r>
    <n v="376"/>
    <x v="0"/>
    <m/>
    <s v="YEAR5"/>
    <x v="7"/>
    <x v="1"/>
    <x v="9"/>
    <x v="3"/>
    <x v="5"/>
    <m/>
    <m/>
    <m/>
    <m/>
    <m/>
    <m/>
    <m/>
    <m/>
    <m/>
    <m/>
    <m/>
    <m/>
    <m/>
    <m/>
    <m/>
    <m/>
    <m/>
    <m/>
    <m/>
    <n v="0"/>
    <n v="0"/>
    <n v="0"/>
    <n v="0"/>
    <n v="0"/>
    <n v="0"/>
    <n v="0"/>
    <n v="0"/>
    <n v="0"/>
    <m/>
    <n v="0"/>
    <m/>
    <m/>
    <s v="PRODUIT 09  |  PRIX MOYEN D'ACHAT PAR PRODUIT/SERVICE"/>
    <m/>
  </r>
  <r>
    <n v="377"/>
    <x v="0"/>
    <m/>
    <s v="YEAR6"/>
    <x v="8"/>
    <x v="1"/>
    <x v="9"/>
    <x v="3"/>
    <x v="5"/>
    <m/>
    <m/>
    <m/>
    <m/>
    <m/>
    <m/>
    <m/>
    <m/>
    <m/>
    <m/>
    <m/>
    <m/>
    <m/>
    <m/>
    <m/>
    <m/>
    <m/>
    <m/>
    <m/>
    <n v="0"/>
    <n v="0"/>
    <n v="0"/>
    <n v="0"/>
    <n v="0"/>
    <n v="0"/>
    <n v="0"/>
    <n v="0"/>
    <n v="0"/>
    <m/>
    <n v="0"/>
    <m/>
    <m/>
    <s v="PRODUIT 09  |  PRIX MOYEN D'ACHAT PAR PRODUIT/SERVICE"/>
    <m/>
  </r>
  <r>
    <n v="378"/>
    <x v="0"/>
    <n v="1"/>
    <m/>
    <x v="0"/>
    <x v="0"/>
    <x v="0"/>
    <x v="0"/>
    <x v="0"/>
    <m/>
    <m/>
    <m/>
    <m/>
    <m/>
    <m/>
    <m/>
    <m/>
    <m/>
    <m/>
    <m/>
    <m/>
    <m/>
    <m/>
    <m/>
    <m/>
    <m/>
    <m/>
    <m/>
    <m/>
    <m/>
    <m/>
    <m/>
    <m/>
    <m/>
    <m/>
    <m/>
    <m/>
    <m/>
    <m/>
    <m/>
    <m/>
    <m/>
    <m/>
  </r>
  <r>
    <n v="379"/>
    <x v="0"/>
    <m/>
    <m/>
    <x v="0"/>
    <x v="0"/>
    <x v="0"/>
    <x v="0"/>
    <x v="0"/>
    <m/>
    <m/>
    <m/>
    <m/>
    <m/>
    <m/>
    <m/>
    <m/>
    <m/>
    <m/>
    <m/>
    <m/>
    <m/>
    <m/>
    <m/>
    <m/>
    <m/>
    <m/>
    <m/>
    <m/>
    <m/>
    <m/>
    <m/>
    <m/>
    <m/>
    <m/>
    <m/>
    <m/>
    <m/>
    <m/>
    <m/>
    <m/>
    <m/>
    <m/>
  </r>
  <r>
    <n v="380"/>
    <x v="0"/>
    <n v="1"/>
    <s v="YEAR-2"/>
    <x v="1"/>
    <x v="1"/>
    <x v="10"/>
    <x v="3"/>
    <x v="1"/>
    <n v="1000"/>
    <n v="0"/>
    <n v="0"/>
    <n v="1000"/>
    <n v="1"/>
    <n v="0"/>
    <n v="0"/>
    <n v="500"/>
    <n v="0"/>
    <n v="0"/>
    <n v="500"/>
    <n v="1"/>
    <n v="1"/>
    <n v="1"/>
    <n v="0"/>
    <n v="0"/>
    <n v="0"/>
    <n v="0"/>
    <n v="0"/>
    <n v="0"/>
    <n v="0"/>
    <n v="0"/>
    <n v="0"/>
    <n v="0"/>
    <n v="0"/>
    <n v="0"/>
    <n v="0"/>
    <n v="0"/>
    <n v="0"/>
    <n v="0"/>
    <n v="0"/>
    <s v="GAMME # : 1 + CANAL DE DISTRIBUTION # : 1"/>
    <s v="PRODUIT 10  |  VOLUME"/>
    <b v="1"/>
  </r>
  <r>
    <n v="381"/>
    <x v="0"/>
    <n v="1"/>
    <s v="YEAR-1"/>
    <x v="2"/>
    <x v="1"/>
    <x v="10"/>
    <x v="3"/>
    <x v="1"/>
    <n v="1000"/>
    <n v="0"/>
    <n v="0"/>
    <n v="1000"/>
    <n v="1"/>
    <n v="0"/>
    <n v="0"/>
    <n v="500"/>
    <n v="0"/>
    <n v="0"/>
    <n v="500"/>
    <n v="1"/>
    <n v="1"/>
    <n v="1"/>
    <n v="0"/>
    <n v="0"/>
    <n v="0"/>
    <n v="0"/>
    <n v="0"/>
    <n v="0"/>
    <n v="0"/>
    <n v="0"/>
    <n v="0"/>
    <n v="0"/>
    <n v="0"/>
    <n v="0"/>
    <n v="0"/>
    <n v="0"/>
    <n v="0"/>
    <n v="0"/>
    <n v="0"/>
    <m/>
    <s v="PRODUIT 10  |  VOLUME"/>
    <b v="1"/>
  </r>
  <r>
    <n v="382"/>
    <x v="0"/>
    <n v="1"/>
    <s v="CURRENT YEAR"/>
    <x v="3"/>
    <x v="1"/>
    <x v="10"/>
    <x v="3"/>
    <x v="1"/>
    <n v="1000"/>
    <n v="0"/>
    <n v="0"/>
    <n v="1000"/>
    <n v="1"/>
    <n v="0"/>
    <n v="0"/>
    <n v="500"/>
    <n v="0"/>
    <n v="0"/>
    <n v="500"/>
    <n v="1"/>
    <n v="1"/>
    <n v="1"/>
    <n v="0"/>
    <n v="0"/>
    <n v="0"/>
    <n v="0"/>
    <n v="0"/>
    <n v="0"/>
    <n v="0"/>
    <n v="0"/>
    <n v="0"/>
    <n v="0"/>
    <n v="0"/>
    <n v="0"/>
    <n v="0"/>
    <n v="0"/>
    <n v="0"/>
    <n v="0"/>
    <n v="0"/>
    <m/>
    <s v="PRODUIT 10  |  VOLUME"/>
    <b v="1"/>
  </r>
  <r>
    <n v="383"/>
    <x v="0"/>
    <n v="1"/>
    <s v="YEAR2"/>
    <x v="4"/>
    <x v="1"/>
    <x v="10"/>
    <x v="3"/>
    <x v="1"/>
    <n v="1000"/>
    <n v="0"/>
    <n v="0"/>
    <n v="1000"/>
    <n v="1"/>
    <n v="0"/>
    <n v="0"/>
    <n v="500"/>
    <n v="0"/>
    <n v="0"/>
    <n v="500"/>
    <n v="1"/>
    <n v="1"/>
    <n v="1"/>
    <n v="0"/>
    <n v="0"/>
    <n v="0"/>
    <n v="0"/>
    <n v="0"/>
    <n v="0"/>
    <n v="0"/>
    <n v="0"/>
    <n v="0"/>
    <n v="0"/>
    <n v="0"/>
    <n v="0"/>
    <n v="0"/>
    <n v="0"/>
    <n v="0"/>
    <n v="0"/>
    <n v="0"/>
    <m/>
    <s v="PRODUIT 10  |  VOLUME"/>
    <b v="1"/>
  </r>
  <r>
    <n v="384"/>
    <x v="0"/>
    <n v="1"/>
    <s v="YEAR3"/>
    <x v="5"/>
    <x v="1"/>
    <x v="10"/>
    <x v="3"/>
    <x v="1"/>
    <n v="1000"/>
    <n v="0"/>
    <n v="0"/>
    <n v="1000"/>
    <n v="1"/>
    <n v="0"/>
    <n v="0"/>
    <n v="500"/>
    <n v="0"/>
    <n v="0"/>
    <n v="500"/>
    <n v="1"/>
    <n v="1"/>
    <n v="1"/>
    <n v="0"/>
    <n v="0"/>
    <n v="0"/>
    <n v="0"/>
    <n v="0"/>
    <n v="0"/>
    <n v="0"/>
    <n v="0"/>
    <n v="0"/>
    <n v="0"/>
    <n v="0"/>
    <n v="0"/>
    <n v="0"/>
    <n v="0"/>
    <n v="0"/>
    <n v="0"/>
    <n v="0"/>
    <m/>
    <s v="PRODUIT 10  |  VOLUME"/>
    <b v="1"/>
  </r>
  <r>
    <n v="385"/>
    <x v="0"/>
    <n v="1"/>
    <s v="YEAR4"/>
    <x v="6"/>
    <x v="1"/>
    <x v="10"/>
    <x v="3"/>
    <x v="1"/>
    <n v="1000"/>
    <n v="0"/>
    <n v="0"/>
    <n v="1000"/>
    <n v="1"/>
    <n v="0"/>
    <n v="0"/>
    <n v="500"/>
    <n v="0"/>
    <n v="0"/>
    <n v="500"/>
    <n v="1"/>
    <n v="1"/>
    <n v="1"/>
    <n v="0"/>
    <n v="0"/>
    <n v="0"/>
    <n v="0"/>
    <n v="0"/>
    <n v="0"/>
    <n v="0"/>
    <n v="0"/>
    <n v="0"/>
    <n v="0"/>
    <n v="0"/>
    <n v="0"/>
    <n v="0"/>
    <n v="0"/>
    <n v="0"/>
    <n v="0"/>
    <n v="0"/>
    <m/>
    <s v="PRODUIT 10  |  VOLUME"/>
    <b v="1"/>
  </r>
  <r>
    <n v="386"/>
    <x v="0"/>
    <n v="1"/>
    <s v="YEAR5"/>
    <x v="7"/>
    <x v="1"/>
    <x v="10"/>
    <x v="3"/>
    <x v="1"/>
    <n v="1000"/>
    <n v="0"/>
    <n v="0"/>
    <n v="1000"/>
    <n v="1"/>
    <n v="0"/>
    <n v="0"/>
    <n v="500"/>
    <n v="0"/>
    <n v="0"/>
    <n v="500"/>
    <n v="1"/>
    <n v="1"/>
    <n v="1"/>
    <n v="0"/>
    <n v="0"/>
    <n v="0"/>
    <n v="0"/>
    <n v="0"/>
    <n v="0"/>
    <n v="0"/>
    <n v="0"/>
    <n v="0"/>
    <n v="0"/>
    <n v="0"/>
    <n v="0"/>
    <n v="0"/>
    <n v="0"/>
    <n v="0"/>
    <n v="0"/>
    <n v="0"/>
    <m/>
    <s v="PRODUIT 10  |  VOLUME"/>
    <b v="1"/>
  </r>
  <r>
    <n v="387"/>
    <x v="0"/>
    <n v="1"/>
    <s v="YEAR6"/>
    <x v="8"/>
    <x v="1"/>
    <x v="10"/>
    <x v="3"/>
    <x v="1"/>
    <n v="1000"/>
    <n v="0"/>
    <n v="0"/>
    <n v="1000"/>
    <n v="1"/>
    <n v="0"/>
    <n v="0"/>
    <n v="500"/>
    <n v="0"/>
    <n v="0"/>
    <n v="500"/>
    <n v="1"/>
    <n v="1"/>
    <n v="1"/>
    <n v="0"/>
    <n v="0"/>
    <n v="0"/>
    <n v="0"/>
    <n v="0"/>
    <n v="0"/>
    <n v="0"/>
    <n v="0"/>
    <n v="0"/>
    <n v="0"/>
    <n v="0"/>
    <n v="0"/>
    <n v="0"/>
    <n v="0"/>
    <n v="0"/>
    <n v="0"/>
    <n v="0"/>
    <m/>
    <s v="PRODUIT 10  |  VOLUME"/>
    <b v="1"/>
  </r>
  <r>
    <n v="388"/>
    <x v="0"/>
    <m/>
    <s v="YEAR-2"/>
    <x v="1"/>
    <x v="1"/>
    <x v="10"/>
    <x v="3"/>
    <x v="2"/>
    <m/>
    <m/>
    <m/>
    <m/>
    <m/>
    <m/>
    <m/>
    <m/>
    <m/>
    <m/>
    <m/>
    <m/>
    <m/>
    <m/>
    <m/>
    <m/>
    <m/>
    <m/>
    <m/>
    <n v="0"/>
    <n v="0"/>
    <n v="0"/>
    <n v="0"/>
    <n v="0"/>
    <n v="0"/>
    <n v="0"/>
    <n v="0"/>
    <n v="0"/>
    <n v="0"/>
    <n v="0"/>
    <n v="0"/>
    <m/>
    <s v="PRODUIT 10  |  CHIFFRE D'AFFAIRES"/>
    <b v="1"/>
  </r>
  <r>
    <n v="389"/>
    <x v="0"/>
    <m/>
    <s v="YEAR-1"/>
    <x v="2"/>
    <x v="1"/>
    <x v="10"/>
    <x v="3"/>
    <x v="2"/>
    <m/>
    <m/>
    <m/>
    <m/>
    <m/>
    <m/>
    <m/>
    <m/>
    <m/>
    <m/>
    <m/>
    <m/>
    <m/>
    <m/>
    <m/>
    <m/>
    <m/>
    <m/>
    <m/>
    <n v="0"/>
    <n v="0"/>
    <n v="0"/>
    <n v="0"/>
    <n v="0"/>
    <n v="0"/>
    <n v="0"/>
    <n v="0"/>
    <n v="0"/>
    <n v="0"/>
    <n v="0"/>
    <n v="0"/>
    <m/>
    <s v="PRODUIT 10  |  CHIFFRE D'AFFAIRES"/>
    <b v="1"/>
  </r>
  <r>
    <n v="390"/>
    <x v="0"/>
    <m/>
    <s v="CURRENT YEAR"/>
    <x v="3"/>
    <x v="1"/>
    <x v="10"/>
    <x v="3"/>
    <x v="2"/>
    <m/>
    <m/>
    <m/>
    <m/>
    <m/>
    <m/>
    <m/>
    <m/>
    <m/>
    <m/>
    <m/>
    <m/>
    <m/>
    <m/>
    <m/>
    <m/>
    <m/>
    <m/>
    <m/>
    <n v="0"/>
    <n v="0"/>
    <n v="0"/>
    <n v="0"/>
    <n v="0"/>
    <n v="0"/>
    <n v="0"/>
    <n v="0"/>
    <n v="0"/>
    <n v="0"/>
    <n v="0"/>
    <n v="0"/>
    <m/>
    <s v="PRODUIT 10  |  CHIFFRE D'AFFAIRES"/>
    <b v="1"/>
  </r>
  <r>
    <n v="391"/>
    <x v="0"/>
    <m/>
    <s v="YEAR2"/>
    <x v="4"/>
    <x v="1"/>
    <x v="10"/>
    <x v="3"/>
    <x v="2"/>
    <m/>
    <m/>
    <m/>
    <m/>
    <m/>
    <m/>
    <m/>
    <m/>
    <m/>
    <m/>
    <m/>
    <m/>
    <m/>
    <m/>
    <m/>
    <m/>
    <m/>
    <m/>
    <m/>
    <n v="0"/>
    <n v="0"/>
    <n v="0"/>
    <n v="0"/>
    <n v="0"/>
    <n v="0"/>
    <n v="0"/>
    <n v="0"/>
    <n v="0"/>
    <n v="0"/>
    <n v="0"/>
    <n v="0"/>
    <m/>
    <s v="PRODUIT 10  |  CHIFFRE D'AFFAIRES"/>
    <b v="1"/>
  </r>
  <r>
    <n v="392"/>
    <x v="0"/>
    <m/>
    <s v="YEAR3"/>
    <x v="5"/>
    <x v="1"/>
    <x v="10"/>
    <x v="3"/>
    <x v="2"/>
    <m/>
    <m/>
    <m/>
    <m/>
    <m/>
    <m/>
    <m/>
    <m/>
    <m/>
    <m/>
    <m/>
    <m/>
    <m/>
    <m/>
    <m/>
    <m/>
    <m/>
    <m/>
    <m/>
    <n v="0"/>
    <n v="0"/>
    <n v="0"/>
    <n v="0"/>
    <n v="0"/>
    <n v="0"/>
    <n v="0"/>
    <n v="0"/>
    <n v="0"/>
    <n v="0"/>
    <n v="0"/>
    <n v="0"/>
    <m/>
    <s v="PRODUIT 10  |  CHIFFRE D'AFFAIRES"/>
    <b v="1"/>
  </r>
  <r>
    <n v="393"/>
    <x v="0"/>
    <m/>
    <s v="YEAR4"/>
    <x v="6"/>
    <x v="1"/>
    <x v="10"/>
    <x v="3"/>
    <x v="2"/>
    <m/>
    <m/>
    <m/>
    <m/>
    <m/>
    <m/>
    <m/>
    <m/>
    <m/>
    <m/>
    <m/>
    <m/>
    <m/>
    <m/>
    <m/>
    <m/>
    <m/>
    <m/>
    <m/>
    <n v="0"/>
    <n v="0"/>
    <n v="0"/>
    <n v="0"/>
    <n v="0"/>
    <n v="0"/>
    <n v="0"/>
    <n v="0"/>
    <n v="0"/>
    <n v="0"/>
    <n v="0"/>
    <n v="0"/>
    <m/>
    <s v="PRODUIT 10  |  CHIFFRE D'AFFAIRES"/>
    <b v="1"/>
  </r>
  <r>
    <n v="394"/>
    <x v="0"/>
    <m/>
    <s v="YEAR5"/>
    <x v="7"/>
    <x v="1"/>
    <x v="10"/>
    <x v="3"/>
    <x v="2"/>
    <m/>
    <m/>
    <m/>
    <m/>
    <m/>
    <m/>
    <m/>
    <m/>
    <m/>
    <m/>
    <m/>
    <m/>
    <m/>
    <m/>
    <m/>
    <m/>
    <m/>
    <m/>
    <m/>
    <n v="0"/>
    <n v="0"/>
    <n v="0"/>
    <n v="0"/>
    <n v="0"/>
    <n v="0"/>
    <n v="0"/>
    <n v="0"/>
    <n v="0"/>
    <n v="0"/>
    <n v="0"/>
    <n v="0"/>
    <m/>
    <s v="PRODUIT 10  |  CHIFFRE D'AFFAIRES"/>
    <b v="1"/>
  </r>
  <r>
    <n v="395"/>
    <x v="0"/>
    <m/>
    <s v="YEAR6"/>
    <x v="8"/>
    <x v="1"/>
    <x v="10"/>
    <x v="3"/>
    <x v="2"/>
    <m/>
    <m/>
    <m/>
    <m/>
    <m/>
    <m/>
    <m/>
    <m/>
    <m/>
    <m/>
    <m/>
    <m/>
    <m/>
    <m/>
    <m/>
    <m/>
    <m/>
    <m/>
    <m/>
    <n v="0"/>
    <n v="0"/>
    <n v="0"/>
    <n v="0"/>
    <n v="0"/>
    <n v="0"/>
    <n v="0"/>
    <n v="0"/>
    <n v="0"/>
    <n v="0"/>
    <n v="0"/>
    <n v="0"/>
    <m/>
    <s v="PRODUIT 10  |  CHIFFRE D'AFFAIRES"/>
    <b v="1"/>
  </r>
  <r>
    <n v="396"/>
    <x v="0"/>
    <m/>
    <s v="YEAR-2"/>
    <x v="1"/>
    <x v="1"/>
    <x v="10"/>
    <x v="3"/>
    <x v="3"/>
    <m/>
    <m/>
    <m/>
    <m/>
    <m/>
    <m/>
    <m/>
    <m/>
    <m/>
    <m/>
    <m/>
    <m/>
    <m/>
    <m/>
    <m/>
    <m/>
    <m/>
    <m/>
    <m/>
    <n v="0"/>
    <n v="0"/>
    <n v="0"/>
    <n v="0"/>
    <n v="0"/>
    <n v="0"/>
    <n v="0"/>
    <n v="0"/>
    <n v="0"/>
    <m/>
    <n v="0"/>
    <m/>
    <m/>
    <s v="PRODUIT 10  |  PRIX MOYEN DE VENTE PAR PRODUIT/SERVICE"/>
    <m/>
  </r>
  <r>
    <n v="397"/>
    <x v="0"/>
    <m/>
    <s v="YEAR-1"/>
    <x v="2"/>
    <x v="1"/>
    <x v="10"/>
    <x v="3"/>
    <x v="3"/>
    <m/>
    <m/>
    <m/>
    <m/>
    <m/>
    <m/>
    <m/>
    <m/>
    <m/>
    <m/>
    <m/>
    <m/>
    <m/>
    <m/>
    <m/>
    <m/>
    <m/>
    <m/>
    <m/>
    <n v="0"/>
    <n v="0"/>
    <n v="0"/>
    <n v="0"/>
    <n v="0"/>
    <n v="0"/>
    <n v="0"/>
    <n v="0"/>
    <n v="0"/>
    <m/>
    <n v="0"/>
    <m/>
    <m/>
    <s v="PRODUIT 10  |  PRIX MOYEN DE VENTE PAR PRODUIT/SERVICE"/>
    <m/>
  </r>
  <r>
    <n v="398"/>
    <x v="0"/>
    <m/>
    <s v="CURRENT YEAR"/>
    <x v="3"/>
    <x v="1"/>
    <x v="10"/>
    <x v="3"/>
    <x v="3"/>
    <m/>
    <m/>
    <m/>
    <m/>
    <m/>
    <m/>
    <m/>
    <m/>
    <m/>
    <m/>
    <m/>
    <m/>
    <m/>
    <m/>
    <m/>
    <m/>
    <m/>
    <m/>
    <m/>
    <n v="0"/>
    <n v="0"/>
    <n v="0"/>
    <n v="0"/>
    <n v="0"/>
    <n v="0"/>
    <n v="0"/>
    <n v="0"/>
    <n v="0"/>
    <m/>
    <n v="0"/>
    <m/>
    <m/>
    <s v="PRODUIT 10  |  PRIX MOYEN DE VENTE PAR PRODUIT/SERVICE"/>
    <m/>
  </r>
  <r>
    <n v="399"/>
    <x v="0"/>
    <m/>
    <s v="YEAR2"/>
    <x v="4"/>
    <x v="1"/>
    <x v="10"/>
    <x v="3"/>
    <x v="3"/>
    <m/>
    <m/>
    <m/>
    <m/>
    <m/>
    <m/>
    <m/>
    <m/>
    <m/>
    <m/>
    <m/>
    <m/>
    <m/>
    <m/>
    <m/>
    <m/>
    <m/>
    <m/>
    <m/>
    <n v="0"/>
    <n v="0"/>
    <n v="0"/>
    <n v="0"/>
    <n v="0"/>
    <n v="0"/>
    <n v="0"/>
    <n v="0"/>
    <n v="0"/>
    <m/>
    <n v="0"/>
    <m/>
    <m/>
    <s v="PRODUIT 10  |  PRIX MOYEN DE VENTE PAR PRODUIT/SERVICE"/>
    <m/>
  </r>
  <r>
    <n v="400"/>
    <x v="0"/>
    <m/>
    <s v="YEAR3"/>
    <x v="5"/>
    <x v="1"/>
    <x v="10"/>
    <x v="3"/>
    <x v="3"/>
    <m/>
    <m/>
    <m/>
    <m/>
    <m/>
    <m/>
    <m/>
    <m/>
    <m/>
    <m/>
    <m/>
    <m/>
    <m/>
    <m/>
    <m/>
    <m/>
    <m/>
    <m/>
    <m/>
    <n v="0"/>
    <n v="0"/>
    <n v="0"/>
    <n v="0"/>
    <n v="0"/>
    <n v="0"/>
    <n v="0"/>
    <n v="0"/>
    <n v="0"/>
    <m/>
    <n v="0"/>
    <m/>
    <m/>
    <s v="PRODUIT 10  |  PRIX MOYEN DE VENTE PAR PRODUIT/SERVICE"/>
    <m/>
  </r>
  <r>
    <n v="401"/>
    <x v="0"/>
    <m/>
    <s v="YEAR4"/>
    <x v="6"/>
    <x v="1"/>
    <x v="10"/>
    <x v="3"/>
    <x v="3"/>
    <m/>
    <m/>
    <m/>
    <m/>
    <m/>
    <m/>
    <m/>
    <m/>
    <m/>
    <m/>
    <m/>
    <m/>
    <m/>
    <m/>
    <m/>
    <m/>
    <m/>
    <m/>
    <m/>
    <n v="0"/>
    <n v="0"/>
    <n v="0"/>
    <n v="0"/>
    <n v="0"/>
    <n v="0"/>
    <n v="0"/>
    <n v="0"/>
    <n v="0"/>
    <m/>
    <n v="0"/>
    <m/>
    <m/>
    <s v="PRODUIT 10  |  PRIX MOYEN DE VENTE PAR PRODUIT/SERVICE"/>
    <m/>
  </r>
  <r>
    <n v="402"/>
    <x v="0"/>
    <m/>
    <s v="YEAR5"/>
    <x v="7"/>
    <x v="1"/>
    <x v="10"/>
    <x v="3"/>
    <x v="3"/>
    <m/>
    <m/>
    <m/>
    <m/>
    <m/>
    <m/>
    <m/>
    <m/>
    <m/>
    <m/>
    <m/>
    <m/>
    <m/>
    <m/>
    <m/>
    <m/>
    <m/>
    <m/>
    <m/>
    <n v="0"/>
    <n v="0"/>
    <n v="0"/>
    <n v="0"/>
    <n v="0"/>
    <n v="0"/>
    <n v="0"/>
    <n v="0"/>
    <n v="0"/>
    <m/>
    <n v="0"/>
    <m/>
    <m/>
    <s v="PRODUIT 10  |  PRIX MOYEN DE VENTE PAR PRODUIT/SERVICE"/>
    <m/>
  </r>
  <r>
    <n v="403"/>
    <x v="0"/>
    <m/>
    <s v="YEAR6"/>
    <x v="8"/>
    <x v="1"/>
    <x v="10"/>
    <x v="3"/>
    <x v="3"/>
    <m/>
    <m/>
    <m/>
    <m/>
    <m/>
    <m/>
    <m/>
    <m/>
    <m/>
    <m/>
    <m/>
    <m/>
    <m/>
    <m/>
    <m/>
    <m/>
    <m/>
    <m/>
    <m/>
    <n v="0"/>
    <n v="0"/>
    <n v="0"/>
    <n v="0"/>
    <n v="0"/>
    <n v="0"/>
    <n v="0"/>
    <n v="0"/>
    <n v="0"/>
    <m/>
    <n v="0"/>
    <m/>
    <m/>
    <s v="PRODUIT 10  |  PRIX MOYEN DE VENTE PAR PRODUIT/SERVICE"/>
    <m/>
  </r>
  <r>
    <n v="404"/>
    <x v="0"/>
    <m/>
    <s v="YEAR-2"/>
    <x v="1"/>
    <x v="1"/>
    <x v="10"/>
    <x v="3"/>
    <x v="4"/>
    <m/>
    <m/>
    <m/>
    <m/>
    <m/>
    <m/>
    <m/>
    <m/>
    <m/>
    <m/>
    <m/>
    <m/>
    <m/>
    <m/>
    <m/>
    <m/>
    <m/>
    <m/>
    <m/>
    <n v="0"/>
    <n v="0"/>
    <n v="0"/>
    <n v="0"/>
    <n v="0"/>
    <n v="0"/>
    <n v="0"/>
    <n v="0"/>
    <n v="0"/>
    <n v="0"/>
    <n v="0"/>
    <n v="0"/>
    <m/>
    <s v="PRODUIT 10  |  DEPENSES SUR ACHATS"/>
    <b v="1"/>
  </r>
  <r>
    <n v="405"/>
    <x v="0"/>
    <m/>
    <s v="YEAR-1"/>
    <x v="2"/>
    <x v="1"/>
    <x v="10"/>
    <x v="3"/>
    <x v="4"/>
    <m/>
    <m/>
    <m/>
    <m/>
    <m/>
    <m/>
    <m/>
    <m/>
    <m/>
    <m/>
    <m/>
    <m/>
    <m/>
    <m/>
    <m/>
    <m/>
    <m/>
    <m/>
    <m/>
    <n v="0"/>
    <n v="0"/>
    <n v="0"/>
    <n v="0"/>
    <n v="0"/>
    <n v="0"/>
    <n v="0"/>
    <n v="0"/>
    <n v="0"/>
    <n v="0"/>
    <n v="0"/>
    <n v="0"/>
    <m/>
    <s v="PRODUIT 10  |  DEPENSES SUR ACHATS"/>
    <b v="1"/>
  </r>
  <r>
    <n v="406"/>
    <x v="0"/>
    <m/>
    <s v="CURRENT YEAR"/>
    <x v="3"/>
    <x v="1"/>
    <x v="10"/>
    <x v="3"/>
    <x v="4"/>
    <m/>
    <m/>
    <m/>
    <m/>
    <m/>
    <m/>
    <m/>
    <m/>
    <m/>
    <m/>
    <m/>
    <m/>
    <m/>
    <m/>
    <m/>
    <m/>
    <m/>
    <m/>
    <m/>
    <n v="0"/>
    <n v="0"/>
    <n v="0"/>
    <n v="0"/>
    <n v="0"/>
    <n v="0"/>
    <n v="0"/>
    <n v="0"/>
    <n v="0"/>
    <n v="0"/>
    <n v="0"/>
    <n v="0"/>
    <m/>
    <s v="PRODUIT 10  |  DEPENSES SUR ACHATS"/>
    <b v="1"/>
  </r>
  <r>
    <n v="407"/>
    <x v="0"/>
    <m/>
    <s v="YEAR2"/>
    <x v="4"/>
    <x v="1"/>
    <x v="10"/>
    <x v="3"/>
    <x v="4"/>
    <m/>
    <m/>
    <m/>
    <m/>
    <m/>
    <m/>
    <m/>
    <m/>
    <m/>
    <m/>
    <m/>
    <m/>
    <m/>
    <m/>
    <m/>
    <m/>
    <m/>
    <m/>
    <m/>
    <n v="0"/>
    <n v="0"/>
    <n v="0"/>
    <n v="0"/>
    <n v="0"/>
    <n v="0"/>
    <n v="0"/>
    <n v="0"/>
    <n v="0"/>
    <n v="0"/>
    <n v="0"/>
    <n v="0"/>
    <m/>
    <s v="PRODUIT 10  |  DEPENSES SUR ACHATS"/>
    <b v="1"/>
  </r>
  <r>
    <n v="408"/>
    <x v="0"/>
    <m/>
    <s v="YEAR3"/>
    <x v="5"/>
    <x v="1"/>
    <x v="10"/>
    <x v="3"/>
    <x v="4"/>
    <m/>
    <m/>
    <m/>
    <m/>
    <m/>
    <m/>
    <m/>
    <m/>
    <m/>
    <m/>
    <m/>
    <m/>
    <m/>
    <m/>
    <m/>
    <m/>
    <m/>
    <m/>
    <m/>
    <n v="0"/>
    <n v="0"/>
    <n v="0"/>
    <n v="0"/>
    <n v="0"/>
    <n v="0"/>
    <n v="0"/>
    <n v="0"/>
    <n v="0"/>
    <n v="0"/>
    <n v="0"/>
    <n v="0"/>
    <m/>
    <s v="PRODUIT 10  |  DEPENSES SUR ACHATS"/>
    <b v="1"/>
  </r>
  <r>
    <n v="409"/>
    <x v="0"/>
    <m/>
    <s v="YEAR4"/>
    <x v="6"/>
    <x v="1"/>
    <x v="10"/>
    <x v="3"/>
    <x v="4"/>
    <m/>
    <m/>
    <m/>
    <m/>
    <m/>
    <m/>
    <m/>
    <m/>
    <m/>
    <m/>
    <m/>
    <m/>
    <m/>
    <m/>
    <m/>
    <m/>
    <m/>
    <m/>
    <m/>
    <n v="0"/>
    <n v="0"/>
    <n v="0"/>
    <n v="0"/>
    <n v="0"/>
    <n v="0"/>
    <n v="0"/>
    <n v="0"/>
    <n v="0"/>
    <n v="0"/>
    <n v="0"/>
    <n v="0"/>
    <m/>
    <s v="PRODUIT 10  |  DEPENSES SUR ACHATS"/>
    <b v="1"/>
  </r>
  <r>
    <n v="410"/>
    <x v="0"/>
    <m/>
    <s v="YEAR5"/>
    <x v="7"/>
    <x v="1"/>
    <x v="10"/>
    <x v="3"/>
    <x v="4"/>
    <m/>
    <m/>
    <m/>
    <m/>
    <m/>
    <m/>
    <m/>
    <m/>
    <m/>
    <m/>
    <m/>
    <m/>
    <m/>
    <m/>
    <m/>
    <m/>
    <m/>
    <m/>
    <m/>
    <n v="0"/>
    <n v="0"/>
    <n v="0"/>
    <n v="0"/>
    <n v="0"/>
    <n v="0"/>
    <n v="0"/>
    <n v="0"/>
    <n v="0"/>
    <n v="0"/>
    <n v="0"/>
    <n v="0"/>
    <m/>
    <s v="PRODUIT 10  |  DEPENSES SUR ACHATS"/>
    <b v="1"/>
  </r>
  <r>
    <n v="411"/>
    <x v="0"/>
    <m/>
    <s v="YEAR6"/>
    <x v="8"/>
    <x v="1"/>
    <x v="10"/>
    <x v="3"/>
    <x v="4"/>
    <m/>
    <m/>
    <m/>
    <m/>
    <m/>
    <m/>
    <m/>
    <m/>
    <m/>
    <m/>
    <m/>
    <m/>
    <m/>
    <m/>
    <m/>
    <m/>
    <m/>
    <m/>
    <m/>
    <n v="0"/>
    <n v="0"/>
    <n v="0"/>
    <n v="0"/>
    <n v="0"/>
    <n v="0"/>
    <n v="0"/>
    <n v="0"/>
    <n v="0"/>
    <n v="0"/>
    <n v="0"/>
    <n v="0"/>
    <m/>
    <s v="PRODUIT 10  |  DEPENSES SUR ACHATS"/>
    <b v="1"/>
  </r>
  <r>
    <n v="412"/>
    <x v="0"/>
    <m/>
    <s v="YEAR-2"/>
    <x v="1"/>
    <x v="1"/>
    <x v="10"/>
    <x v="3"/>
    <x v="5"/>
    <m/>
    <m/>
    <m/>
    <m/>
    <m/>
    <m/>
    <m/>
    <m/>
    <m/>
    <m/>
    <m/>
    <m/>
    <m/>
    <m/>
    <m/>
    <m/>
    <m/>
    <m/>
    <m/>
    <n v="0"/>
    <n v="0"/>
    <n v="0"/>
    <n v="0"/>
    <n v="0"/>
    <n v="0"/>
    <n v="0"/>
    <n v="0"/>
    <n v="0"/>
    <m/>
    <n v="0"/>
    <m/>
    <m/>
    <s v="PRODUIT 10  |  PRIX MOYEN D'ACHAT PAR PRODUIT/SERVICE"/>
    <m/>
  </r>
  <r>
    <n v="413"/>
    <x v="0"/>
    <m/>
    <s v="YEAR-1"/>
    <x v="2"/>
    <x v="1"/>
    <x v="10"/>
    <x v="3"/>
    <x v="5"/>
    <m/>
    <m/>
    <m/>
    <m/>
    <m/>
    <m/>
    <m/>
    <m/>
    <m/>
    <m/>
    <m/>
    <m/>
    <m/>
    <m/>
    <m/>
    <m/>
    <m/>
    <m/>
    <m/>
    <n v="0"/>
    <n v="0"/>
    <n v="0"/>
    <n v="0"/>
    <n v="0"/>
    <n v="0"/>
    <n v="0"/>
    <n v="0"/>
    <n v="0"/>
    <m/>
    <n v="0"/>
    <m/>
    <m/>
    <s v="PRODUIT 10  |  PRIX MOYEN D'ACHAT PAR PRODUIT/SERVICE"/>
    <m/>
  </r>
  <r>
    <n v="414"/>
    <x v="0"/>
    <m/>
    <s v="CURRENT YEAR"/>
    <x v="3"/>
    <x v="1"/>
    <x v="10"/>
    <x v="3"/>
    <x v="5"/>
    <m/>
    <m/>
    <m/>
    <m/>
    <m/>
    <m/>
    <m/>
    <m/>
    <m/>
    <m/>
    <m/>
    <m/>
    <m/>
    <m/>
    <m/>
    <m/>
    <m/>
    <m/>
    <m/>
    <n v="0"/>
    <n v="0"/>
    <n v="0"/>
    <n v="0"/>
    <n v="0"/>
    <n v="0"/>
    <n v="0"/>
    <n v="0"/>
    <n v="0"/>
    <m/>
    <n v="0"/>
    <m/>
    <m/>
    <s v="PRODUIT 10  |  PRIX MOYEN D'ACHAT PAR PRODUIT/SERVICE"/>
    <m/>
  </r>
  <r>
    <n v="415"/>
    <x v="0"/>
    <m/>
    <s v="YEAR2"/>
    <x v="4"/>
    <x v="1"/>
    <x v="10"/>
    <x v="3"/>
    <x v="5"/>
    <m/>
    <m/>
    <m/>
    <m/>
    <m/>
    <m/>
    <m/>
    <m/>
    <m/>
    <m/>
    <m/>
    <m/>
    <m/>
    <m/>
    <m/>
    <m/>
    <m/>
    <m/>
    <m/>
    <n v="0"/>
    <n v="0"/>
    <n v="0"/>
    <n v="0"/>
    <n v="0"/>
    <n v="0"/>
    <n v="0"/>
    <n v="0"/>
    <n v="0"/>
    <m/>
    <n v="0"/>
    <m/>
    <m/>
    <s v="PRODUIT 10  |  PRIX MOYEN D'ACHAT PAR PRODUIT/SERVICE"/>
    <m/>
  </r>
  <r>
    <n v="416"/>
    <x v="0"/>
    <m/>
    <s v="YEAR3"/>
    <x v="5"/>
    <x v="1"/>
    <x v="10"/>
    <x v="3"/>
    <x v="5"/>
    <m/>
    <m/>
    <m/>
    <m/>
    <m/>
    <m/>
    <m/>
    <m/>
    <m/>
    <m/>
    <m/>
    <m/>
    <m/>
    <m/>
    <m/>
    <m/>
    <m/>
    <m/>
    <m/>
    <n v="0"/>
    <n v="0"/>
    <n v="0"/>
    <n v="0"/>
    <n v="0"/>
    <n v="0"/>
    <n v="0"/>
    <n v="0"/>
    <n v="0"/>
    <m/>
    <n v="0"/>
    <m/>
    <m/>
    <s v="PRODUIT 10  |  PRIX MOYEN D'ACHAT PAR PRODUIT/SERVICE"/>
    <m/>
  </r>
  <r>
    <n v="417"/>
    <x v="0"/>
    <m/>
    <s v="YEAR4"/>
    <x v="6"/>
    <x v="1"/>
    <x v="10"/>
    <x v="3"/>
    <x v="5"/>
    <m/>
    <m/>
    <m/>
    <m/>
    <m/>
    <m/>
    <m/>
    <m/>
    <m/>
    <m/>
    <m/>
    <m/>
    <m/>
    <m/>
    <m/>
    <m/>
    <m/>
    <m/>
    <m/>
    <n v="0"/>
    <n v="0"/>
    <n v="0"/>
    <n v="0"/>
    <n v="0"/>
    <n v="0"/>
    <n v="0"/>
    <n v="0"/>
    <n v="0"/>
    <m/>
    <n v="0"/>
    <m/>
    <m/>
    <s v="PRODUIT 10  |  PRIX MOYEN D'ACHAT PAR PRODUIT/SERVICE"/>
    <m/>
  </r>
  <r>
    <n v="418"/>
    <x v="0"/>
    <m/>
    <s v="YEAR5"/>
    <x v="7"/>
    <x v="1"/>
    <x v="10"/>
    <x v="3"/>
    <x v="5"/>
    <m/>
    <m/>
    <m/>
    <m/>
    <m/>
    <m/>
    <m/>
    <m/>
    <m/>
    <m/>
    <m/>
    <m/>
    <m/>
    <m/>
    <m/>
    <m/>
    <m/>
    <m/>
    <m/>
    <n v="0"/>
    <n v="0"/>
    <n v="0"/>
    <n v="0"/>
    <n v="0"/>
    <n v="0"/>
    <n v="0"/>
    <n v="0"/>
    <n v="0"/>
    <m/>
    <n v="0"/>
    <m/>
    <m/>
    <s v="PRODUIT 10  |  PRIX MOYEN D'ACHAT PAR PRODUIT/SERVICE"/>
    <m/>
  </r>
  <r>
    <n v="419"/>
    <x v="0"/>
    <m/>
    <s v="YEAR6"/>
    <x v="8"/>
    <x v="1"/>
    <x v="10"/>
    <x v="3"/>
    <x v="5"/>
    <m/>
    <m/>
    <m/>
    <m/>
    <m/>
    <m/>
    <m/>
    <m/>
    <m/>
    <m/>
    <m/>
    <m/>
    <m/>
    <m/>
    <m/>
    <m/>
    <m/>
    <m/>
    <m/>
    <n v="0"/>
    <n v="0"/>
    <n v="0"/>
    <n v="0"/>
    <n v="0"/>
    <n v="0"/>
    <n v="0"/>
    <n v="0"/>
    <n v="0"/>
    <m/>
    <n v="0"/>
    <m/>
    <m/>
    <s v="PRODUIT 10  |  PRIX MOYEN D'ACHAT PAR PRODUIT/SERVICE"/>
    <m/>
  </r>
  <r>
    <n v="420"/>
    <x v="0"/>
    <n v="1"/>
    <m/>
    <x v="0"/>
    <x v="0"/>
    <x v="0"/>
    <x v="0"/>
    <x v="0"/>
    <m/>
    <m/>
    <m/>
    <m/>
    <m/>
    <m/>
    <m/>
    <m/>
    <m/>
    <m/>
    <m/>
    <m/>
    <m/>
    <m/>
    <m/>
    <m/>
    <m/>
    <m/>
    <m/>
    <m/>
    <m/>
    <m/>
    <m/>
    <m/>
    <m/>
    <m/>
    <m/>
    <m/>
    <m/>
    <m/>
    <m/>
    <m/>
    <m/>
    <m/>
  </r>
  <r>
    <n v="421"/>
    <x v="0"/>
    <m/>
    <m/>
    <x v="0"/>
    <x v="0"/>
    <x v="0"/>
    <x v="0"/>
    <x v="0"/>
    <m/>
    <m/>
    <m/>
    <m/>
    <m/>
    <m/>
    <m/>
    <m/>
    <m/>
    <m/>
    <m/>
    <m/>
    <m/>
    <m/>
    <m/>
    <m/>
    <m/>
    <m/>
    <m/>
    <m/>
    <m/>
    <m/>
    <m/>
    <m/>
    <m/>
    <m/>
    <m/>
    <m/>
    <m/>
    <m/>
    <m/>
    <m/>
    <m/>
    <m/>
  </r>
  <r>
    <n v="422"/>
    <x v="0"/>
    <n v="1"/>
    <s v="YEAR-2"/>
    <x v="1"/>
    <x v="1"/>
    <x v="11"/>
    <x v="3"/>
    <x v="1"/>
    <n v="1000"/>
    <n v="0"/>
    <n v="0"/>
    <n v="1000"/>
    <n v="1"/>
    <n v="0"/>
    <n v="0"/>
    <n v="500"/>
    <n v="0"/>
    <n v="0"/>
    <n v="500"/>
    <n v="1"/>
    <n v="1"/>
    <n v="1"/>
    <n v="0"/>
    <n v="0"/>
    <n v="0"/>
    <n v="0"/>
    <n v="0"/>
    <n v="0"/>
    <n v="0"/>
    <n v="0"/>
    <n v="0"/>
    <n v="0"/>
    <n v="0"/>
    <n v="0"/>
    <n v="0"/>
    <n v="0"/>
    <n v="0"/>
    <n v="0"/>
    <n v="0"/>
    <s v="GAMME # : 1 + CANAL DE DISTRIBUTION # : 1"/>
    <s v="PRODUIT 11  |  VOLUME"/>
    <b v="1"/>
  </r>
  <r>
    <n v="423"/>
    <x v="0"/>
    <n v="1"/>
    <s v="YEAR-1"/>
    <x v="2"/>
    <x v="1"/>
    <x v="11"/>
    <x v="3"/>
    <x v="1"/>
    <n v="1000"/>
    <n v="0"/>
    <n v="0"/>
    <n v="1000"/>
    <n v="1"/>
    <n v="0"/>
    <n v="0"/>
    <n v="500"/>
    <n v="0"/>
    <n v="0"/>
    <n v="500"/>
    <n v="1"/>
    <n v="1"/>
    <n v="1"/>
    <n v="0"/>
    <n v="0"/>
    <n v="0"/>
    <n v="0"/>
    <n v="0"/>
    <n v="0"/>
    <n v="0"/>
    <n v="0"/>
    <n v="0"/>
    <n v="0"/>
    <n v="0"/>
    <n v="0"/>
    <n v="0"/>
    <n v="0"/>
    <n v="0"/>
    <n v="0"/>
    <n v="0"/>
    <m/>
    <s v="PRODUIT 11  |  VOLUME"/>
    <b v="1"/>
  </r>
  <r>
    <n v="424"/>
    <x v="0"/>
    <n v="1"/>
    <s v="CURRENT YEAR"/>
    <x v="3"/>
    <x v="1"/>
    <x v="11"/>
    <x v="3"/>
    <x v="1"/>
    <n v="1000"/>
    <n v="0"/>
    <n v="0"/>
    <n v="1000"/>
    <n v="1"/>
    <n v="0"/>
    <n v="0"/>
    <n v="500"/>
    <n v="0"/>
    <n v="0"/>
    <n v="500"/>
    <n v="1"/>
    <n v="1"/>
    <n v="1"/>
    <n v="0"/>
    <n v="0"/>
    <n v="0"/>
    <n v="0"/>
    <n v="0"/>
    <n v="0"/>
    <n v="0"/>
    <n v="0"/>
    <n v="0"/>
    <n v="0"/>
    <n v="0"/>
    <n v="0"/>
    <n v="0"/>
    <n v="0"/>
    <n v="0"/>
    <n v="0"/>
    <n v="0"/>
    <m/>
    <s v="PRODUIT 11  |  VOLUME"/>
    <b v="1"/>
  </r>
  <r>
    <n v="425"/>
    <x v="0"/>
    <n v="1"/>
    <s v="YEAR2"/>
    <x v="4"/>
    <x v="1"/>
    <x v="11"/>
    <x v="3"/>
    <x v="1"/>
    <n v="1000"/>
    <n v="0"/>
    <n v="0"/>
    <n v="1000"/>
    <n v="1"/>
    <n v="0"/>
    <n v="0"/>
    <n v="500"/>
    <n v="0"/>
    <n v="0"/>
    <n v="500"/>
    <n v="1"/>
    <n v="1"/>
    <n v="1"/>
    <n v="0"/>
    <n v="0"/>
    <n v="0"/>
    <n v="0"/>
    <n v="0"/>
    <n v="0"/>
    <n v="0"/>
    <n v="0"/>
    <n v="0"/>
    <n v="0"/>
    <n v="0"/>
    <n v="0"/>
    <n v="0"/>
    <n v="0"/>
    <n v="0"/>
    <n v="0"/>
    <n v="0"/>
    <m/>
    <s v="PRODUIT 11  |  VOLUME"/>
    <b v="1"/>
  </r>
  <r>
    <n v="426"/>
    <x v="0"/>
    <n v="1"/>
    <s v="YEAR3"/>
    <x v="5"/>
    <x v="1"/>
    <x v="11"/>
    <x v="3"/>
    <x v="1"/>
    <n v="1000"/>
    <n v="0"/>
    <n v="0"/>
    <n v="1000"/>
    <n v="1"/>
    <n v="0"/>
    <n v="0"/>
    <n v="500"/>
    <n v="0"/>
    <n v="0"/>
    <n v="500"/>
    <n v="1"/>
    <n v="1"/>
    <n v="1"/>
    <n v="0"/>
    <n v="0"/>
    <n v="0"/>
    <n v="0"/>
    <n v="0"/>
    <n v="0"/>
    <n v="0"/>
    <n v="0"/>
    <n v="0"/>
    <n v="0"/>
    <n v="0"/>
    <n v="0"/>
    <n v="0"/>
    <n v="0"/>
    <n v="0"/>
    <n v="0"/>
    <n v="0"/>
    <m/>
    <s v="PRODUIT 11  |  VOLUME"/>
    <b v="1"/>
  </r>
  <r>
    <n v="427"/>
    <x v="0"/>
    <n v="1"/>
    <s v="YEAR4"/>
    <x v="6"/>
    <x v="1"/>
    <x v="11"/>
    <x v="3"/>
    <x v="1"/>
    <n v="1000"/>
    <n v="0"/>
    <n v="0"/>
    <n v="1000"/>
    <n v="1"/>
    <n v="0"/>
    <n v="0"/>
    <n v="500"/>
    <n v="0"/>
    <n v="0"/>
    <n v="500"/>
    <n v="1"/>
    <n v="1"/>
    <n v="1"/>
    <n v="0"/>
    <n v="0"/>
    <n v="0"/>
    <n v="0"/>
    <n v="0"/>
    <n v="0"/>
    <n v="0"/>
    <n v="0"/>
    <n v="0"/>
    <n v="0"/>
    <n v="0"/>
    <n v="0"/>
    <n v="0"/>
    <n v="0"/>
    <n v="0"/>
    <n v="0"/>
    <n v="0"/>
    <m/>
    <s v="PRODUIT 11  |  VOLUME"/>
    <b v="1"/>
  </r>
  <r>
    <n v="428"/>
    <x v="0"/>
    <n v="1"/>
    <s v="YEAR5"/>
    <x v="7"/>
    <x v="1"/>
    <x v="11"/>
    <x v="3"/>
    <x v="1"/>
    <n v="1000"/>
    <n v="0"/>
    <n v="0"/>
    <n v="1000"/>
    <n v="1"/>
    <n v="0"/>
    <n v="0"/>
    <n v="500"/>
    <n v="0"/>
    <n v="0"/>
    <n v="500"/>
    <n v="1"/>
    <n v="1"/>
    <n v="1"/>
    <n v="0"/>
    <n v="0"/>
    <n v="0"/>
    <n v="0"/>
    <n v="0"/>
    <n v="0"/>
    <n v="0"/>
    <n v="0"/>
    <n v="0"/>
    <n v="0"/>
    <n v="0"/>
    <n v="0"/>
    <n v="0"/>
    <n v="0"/>
    <n v="0"/>
    <n v="0"/>
    <n v="0"/>
    <m/>
    <s v="PRODUIT 11  |  VOLUME"/>
    <b v="1"/>
  </r>
  <r>
    <n v="429"/>
    <x v="0"/>
    <n v="1"/>
    <s v="YEAR6"/>
    <x v="8"/>
    <x v="1"/>
    <x v="11"/>
    <x v="3"/>
    <x v="1"/>
    <n v="1000"/>
    <n v="0"/>
    <n v="0"/>
    <n v="1000"/>
    <n v="1"/>
    <n v="0"/>
    <n v="0"/>
    <n v="500"/>
    <n v="0"/>
    <n v="0"/>
    <n v="500"/>
    <n v="1"/>
    <n v="1"/>
    <n v="1"/>
    <n v="0"/>
    <n v="0"/>
    <n v="0"/>
    <n v="0"/>
    <n v="0"/>
    <n v="0"/>
    <n v="0"/>
    <n v="0"/>
    <n v="0"/>
    <n v="0"/>
    <n v="0"/>
    <n v="0"/>
    <n v="0"/>
    <n v="0"/>
    <n v="0"/>
    <n v="0"/>
    <n v="0"/>
    <m/>
    <s v="PRODUIT 11  |  VOLUME"/>
    <b v="1"/>
  </r>
  <r>
    <n v="430"/>
    <x v="0"/>
    <m/>
    <s v="YEAR-2"/>
    <x v="1"/>
    <x v="1"/>
    <x v="11"/>
    <x v="3"/>
    <x v="2"/>
    <m/>
    <m/>
    <m/>
    <m/>
    <m/>
    <m/>
    <m/>
    <m/>
    <m/>
    <m/>
    <m/>
    <m/>
    <m/>
    <m/>
    <m/>
    <m/>
    <m/>
    <m/>
    <m/>
    <n v="0"/>
    <n v="0"/>
    <n v="0"/>
    <n v="0"/>
    <n v="0"/>
    <n v="0"/>
    <n v="0"/>
    <n v="0"/>
    <n v="0"/>
    <n v="0"/>
    <n v="0"/>
    <n v="0"/>
    <m/>
    <s v="PRODUIT 11  |  CHIFFRE D'AFFAIRES"/>
    <b v="1"/>
  </r>
  <r>
    <n v="431"/>
    <x v="0"/>
    <m/>
    <s v="YEAR-1"/>
    <x v="2"/>
    <x v="1"/>
    <x v="11"/>
    <x v="3"/>
    <x v="2"/>
    <m/>
    <m/>
    <m/>
    <m/>
    <m/>
    <m/>
    <m/>
    <m/>
    <m/>
    <m/>
    <m/>
    <m/>
    <m/>
    <m/>
    <m/>
    <m/>
    <m/>
    <m/>
    <m/>
    <n v="0"/>
    <n v="0"/>
    <n v="0"/>
    <n v="0"/>
    <n v="0"/>
    <n v="0"/>
    <n v="0"/>
    <n v="0"/>
    <n v="0"/>
    <n v="0"/>
    <n v="0"/>
    <n v="0"/>
    <m/>
    <s v="PRODUIT 11  |  CHIFFRE D'AFFAIRES"/>
    <b v="1"/>
  </r>
  <r>
    <n v="432"/>
    <x v="0"/>
    <m/>
    <s v="CURRENT YEAR"/>
    <x v="3"/>
    <x v="1"/>
    <x v="11"/>
    <x v="3"/>
    <x v="2"/>
    <m/>
    <m/>
    <m/>
    <m/>
    <m/>
    <m/>
    <m/>
    <m/>
    <m/>
    <m/>
    <m/>
    <m/>
    <m/>
    <m/>
    <m/>
    <m/>
    <m/>
    <m/>
    <m/>
    <n v="0"/>
    <n v="0"/>
    <n v="0"/>
    <n v="0"/>
    <n v="0"/>
    <n v="0"/>
    <n v="0"/>
    <n v="0"/>
    <n v="0"/>
    <n v="0"/>
    <n v="0"/>
    <n v="0"/>
    <m/>
    <s v="PRODUIT 11  |  CHIFFRE D'AFFAIRES"/>
    <b v="1"/>
  </r>
  <r>
    <n v="433"/>
    <x v="0"/>
    <m/>
    <s v="YEAR2"/>
    <x v="4"/>
    <x v="1"/>
    <x v="11"/>
    <x v="3"/>
    <x v="2"/>
    <m/>
    <m/>
    <m/>
    <m/>
    <m/>
    <m/>
    <m/>
    <m/>
    <m/>
    <m/>
    <m/>
    <m/>
    <m/>
    <m/>
    <m/>
    <m/>
    <m/>
    <m/>
    <m/>
    <n v="0"/>
    <n v="0"/>
    <n v="0"/>
    <n v="0"/>
    <n v="0"/>
    <n v="0"/>
    <n v="0"/>
    <n v="0"/>
    <n v="0"/>
    <n v="0"/>
    <n v="0"/>
    <n v="0"/>
    <m/>
    <s v="PRODUIT 11  |  CHIFFRE D'AFFAIRES"/>
    <b v="1"/>
  </r>
  <r>
    <n v="434"/>
    <x v="0"/>
    <m/>
    <s v="YEAR3"/>
    <x v="5"/>
    <x v="1"/>
    <x v="11"/>
    <x v="3"/>
    <x v="2"/>
    <m/>
    <m/>
    <m/>
    <m/>
    <m/>
    <m/>
    <m/>
    <m/>
    <m/>
    <m/>
    <m/>
    <m/>
    <m/>
    <m/>
    <m/>
    <m/>
    <m/>
    <m/>
    <m/>
    <n v="0"/>
    <n v="0"/>
    <n v="0"/>
    <n v="0"/>
    <n v="0"/>
    <n v="0"/>
    <n v="0"/>
    <n v="0"/>
    <n v="0"/>
    <n v="0"/>
    <n v="0"/>
    <n v="0"/>
    <m/>
    <s v="PRODUIT 11  |  CHIFFRE D'AFFAIRES"/>
    <b v="1"/>
  </r>
  <r>
    <n v="435"/>
    <x v="0"/>
    <m/>
    <s v="YEAR4"/>
    <x v="6"/>
    <x v="1"/>
    <x v="11"/>
    <x v="3"/>
    <x v="2"/>
    <m/>
    <m/>
    <m/>
    <m/>
    <m/>
    <m/>
    <m/>
    <m/>
    <m/>
    <m/>
    <m/>
    <m/>
    <m/>
    <m/>
    <m/>
    <m/>
    <m/>
    <m/>
    <m/>
    <n v="0"/>
    <n v="0"/>
    <n v="0"/>
    <n v="0"/>
    <n v="0"/>
    <n v="0"/>
    <n v="0"/>
    <n v="0"/>
    <n v="0"/>
    <n v="0"/>
    <n v="0"/>
    <n v="0"/>
    <m/>
    <s v="PRODUIT 11  |  CHIFFRE D'AFFAIRES"/>
    <b v="1"/>
  </r>
  <r>
    <n v="436"/>
    <x v="0"/>
    <m/>
    <s v="YEAR5"/>
    <x v="7"/>
    <x v="1"/>
    <x v="11"/>
    <x v="3"/>
    <x v="2"/>
    <m/>
    <m/>
    <m/>
    <m/>
    <m/>
    <m/>
    <m/>
    <m/>
    <m/>
    <m/>
    <m/>
    <m/>
    <m/>
    <m/>
    <m/>
    <m/>
    <m/>
    <m/>
    <m/>
    <n v="0"/>
    <n v="0"/>
    <n v="0"/>
    <n v="0"/>
    <n v="0"/>
    <n v="0"/>
    <n v="0"/>
    <n v="0"/>
    <n v="0"/>
    <n v="0"/>
    <n v="0"/>
    <n v="0"/>
    <m/>
    <s v="PRODUIT 11  |  CHIFFRE D'AFFAIRES"/>
    <b v="1"/>
  </r>
  <r>
    <n v="437"/>
    <x v="0"/>
    <m/>
    <s v="YEAR6"/>
    <x v="8"/>
    <x v="1"/>
    <x v="11"/>
    <x v="3"/>
    <x v="2"/>
    <m/>
    <m/>
    <m/>
    <m/>
    <m/>
    <m/>
    <m/>
    <m/>
    <m/>
    <m/>
    <m/>
    <m/>
    <m/>
    <m/>
    <m/>
    <m/>
    <m/>
    <m/>
    <m/>
    <n v="0"/>
    <n v="0"/>
    <n v="0"/>
    <n v="0"/>
    <n v="0"/>
    <n v="0"/>
    <n v="0"/>
    <n v="0"/>
    <n v="0"/>
    <n v="0"/>
    <n v="0"/>
    <n v="0"/>
    <m/>
    <s v="PRODUIT 11  |  CHIFFRE D'AFFAIRES"/>
    <b v="1"/>
  </r>
  <r>
    <n v="438"/>
    <x v="0"/>
    <m/>
    <s v="YEAR-2"/>
    <x v="1"/>
    <x v="1"/>
    <x v="11"/>
    <x v="3"/>
    <x v="3"/>
    <m/>
    <m/>
    <m/>
    <m/>
    <m/>
    <m/>
    <m/>
    <m/>
    <m/>
    <m/>
    <m/>
    <m/>
    <m/>
    <m/>
    <m/>
    <m/>
    <m/>
    <m/>
    <m/>
    <n v="0"/>
    <n v="0"/>
    <n v="0"/>
    <n v="0"/>
    <n v="0"/>
    <n v="0"/>
    <n v="0"/>
    <n v="0"/>
    <n v="0"/>
    <m/>
    <n v="0"/>
    <m/>
    <m/>
    <s v="PRODUIT 11  |  PRIX MOYEN DE VENTE PAR PRODUIT/SERVICE"/>
    <m/>
  </r>
  <r>
    <n v="439"/>
    <x v="0"/>
    <m/>
    <s v="YEAR-1"/>
    <x v="2"/>
    <x v="1"/>
    <x v="11"/>
    <x v="3"/>
    <x v="3"/>
    <m/>
    <m/>
    <m/>
    <m/>
    <m/>
    <m/>
    <m/>
    <m/>
    <m/>
    <m/>
    <m/>
    <m/>
    <m/>
    <m/>
    <m/>
    <m/>
    <m/>
    <m/>
    <m/>
    <n v="0"/>
    <n v="0"/>
    <n v="0"/>
    <n v="0"/>
    <n v="0"/>
    <n v="0"/>
    <n v="0"/>
    <n v="0"/>
    <n v="0"/>
    <m/>
    <n v="0"/>
    <m/>
    <m/>
    <s v="PRODUIT 11  |  PRIX MOYEN DE VENTE PAR PRODUIT/SERVICE"/>
    <m/>
  </r>
  <r>
    <n v="440"/>
    <x v="0"/>
    <m/>
    <s v="CURRENT YEAR"/>
    <x v="3"/>
    <x v="1"/>
    <x v="11"/>
    <x v="3"/>
    <x v="3"/>
    <m/>
    <m/>
    <m/>
    <m/>
    <m/>
    <m/>
    <m/>
    <m/>
    <m/>
    <m/>
    <m/>
    <m/>
    <m/>
    <m/>
    <m/>
    <m/>
    <m/>
    <m/>
    <m/>
    <n v="0"/>
    <n v="0"/>
    <n v="0"/>
    <n v="0"/>
    <n v="0"/>
    <n v="0"/>
    <n v="0"/>
    <n v="0"/>
    <n v="0"/>
    <m/>
    <n v="0"/>
    <m/>
    <m/>
    <s v="PRODUIT 11  |  PRIX MOYEN DE VENTE PAR PRODUIT/SERVICE"/>
    <m/>
  </r>
  <r>
    <n v="441"/>
    <x v="0"/>
    <m/>
    <s v="YEAR2"/>
    <x v="4"/>
    <x v="1"/>
    <x v="11"/>
    <x v="3"/>
    <x v="3"/>
    <m/>
    <m/>
    <m/>
    <m/>
    <m/>
    <m/>
    <m/>
    <m/>
    <m/>
    <m/>
    <m/>
    <m/>
    <m/>
    <m/>
    <m/>
    <m/>
    <m/>
    <m/>
    <m/>
    <n v="0"/>
    <n v="0"/>
    <n v="0"/>
    <n v="0"/>
    <n v="0"/>
    <n v="0"/>
    <n v="0"/>
    <n v="0"/>
    <n v="0"/>
    <m/>
    <n v="0"/>
    <m/>
    <m/>
    <s v="PRODUIT 11  |  PRIX MOYEN DE VENTE PAR PRODUIT/SERVICE"/>
    <m/>
  </r>
  <r>
    <n v="442"/>
    <x v="0"/>
    <m/>
    <s v="YEAR3"/>
    <x v="5"/>
    <x v="1"/>
    <x v="11"/>
    <x v="3"/>
    <x v="3"/>
    <m/>
    <m/>
    <m/>
    <m/>
    <m/>
    <m/>
    <m/>
    <m/>
    <m/>
    <m/>
    <m/>
    <m/>
    <m/>
    <m/>
    <m/>
    <m/>
    <m/>
    <m/>
    <m/>
    <n v="0"/>
    <n v="0"/>
    <n v="0"/>
    <n v="0"/>
    <n v="0"/>
    <n v="0"/>
    <n v="0"/>
    <n v="0"/>
    <n v="0"/>
    <m/>
    <n v="0"/>
    <m/>
    <m/>
    <s v="PRODUIT 11  |  PRIX MOYEN DE VENTE PAR PRODUIT/SERVICE"/>
    <m/>
  </r>
  <r>
    <n v="443"/>
    <x v="0"/>
    <m/>
    <s v="YEAR4"/>
    <x v="6"/>
    <x v="1"/>
    <x v="11"/>
    <x v="3"/>
    <x v="3"/>
    <m/>
    <m/>
    <m/>
    <m/>
    <m/>
    <m/>
    <m/>
    <m/>
    <m/>
    <m/>
    <m/>
    <m/>
    <m/>
    <m/>
    <m/>
    <m/>
    <m/>
    <m/>
    <m/>
    <n v="0"/>
    <n v="0"/>
    <n v="0"/>
    <n v="0"/>
    <n v="0"/>
    <n v="0"/>
    <n v="0"/>
    <n v="0"/>
    <n v="0"/>
    <m/>
    <n v="0"/>
    <m/>
    <m/>
    <s v="PRODUIT 11  |  PRIX MOYEN DE VENTE PAR PRODUIT/SERVICE"/>
    <m/>
  </r>
  <r>
    <n v="444"/>
    <x v="0"/>
    <m/>
    <s v="YEAR5"/>
    <x v="7"/>
    <x v="1"/>
    <x v="11"/>
    <x v="3"/>
    <x v="3"/>
    <m/>
    <m/>
    <m/>
    <m/>
    <m/>
    <m/>
    <m/>
    <m/>
    <m/>
    <m/>
    <m/>
    <m/>
    <m/>
    <m/>
    <m/>
    <m/>
    <m/>
    <m/>
    <m/>
    <n v="0"/>
    <n v="0"/>
    <n v="0"/>
    <n v="0"/>
    <n v="0"/>
    <n v="0"/>
    <n v="0"/>
    <n v="0"/>
    <n v="0"/>
    <m/>
    <n v="0"/>
    <m/>
    <m/>
    <s v="PRODUIT 11  |  PRIX MOYEN DE VENTE PAR PRODUIT/SERVICE"/>
    <m/>
  </r>
  <r>
    <n v="445"/>
    <x v="0"/>
    <m/>
    <s v="YEAR6"/>
    <x v="8"/>
    <x v="1"/>
    <x v="11"/>
    <x v="3"/>
    <x v="3"/>
    <m/>
    <m/>
    <m/>
    <m/>
    <m/>
    <m/>
    <m/>
    <m/>
    <m/>
    <m/>
    <m/>
    <m/>
    <m/>
    <m/>
    <m/>
    <m/>
    <m/>
    <m/>
    <m/>
    <n v="0"/>
    <n v="0"/>
    <n v="0"/>
    <n v="0"/>
    <n v="0"/>
    <n v="0"/>
    <n v="0"/>
    <n v="0"/>
    <n v="0"/>
    <m/>
    <n v="0"/>
    <m/>
    <m/>
    <s v="PRODUIT 11  |  PRIX MOYEN DE VENTE PAR PRODUIT/SERVICE"/>
    <m/>
  </r>
  <r>
    <n v="446"/>
    <x v="0"/>
    <m/>
    <s v="YEAR-2"/>
    <x v="1"/>
    <x v="1"/>
    <x v="11"/>
    <x v="3"/>
    <x v="4"/>
    <m/>
    <m/>
    <m/>
    <m/>
    <m/>
    <m/>
    <m/>
    <m/>
    <m/>
    <m/>
    <m/>
    <m/>
    <m/>
    <m/>
    <m/>
    <m/>
    <m/>
    <m/>
    <m/>
    <n v="0"/>
    <n v="0"/>
    <n v="0"/>
    <n v="0"/>
    <n v="0"/>
    <n v="0"/>
    <n v="0"/>
    <n v="0"/>
    <n v="0"/>
    <n v="0"/>
    <n v="0"/>
    <n v="0"/>
    <m/>
    <s v="PRODUIT 11  |  DEPENSES SUR ACHATS"/>
    <b v="1"/>
  </r>
  <r>
    <n v="447"/>
    <x v="0"/>
    <m/>
    <s v="YEAR-1"/>
    <x v="2"/>
    <x v="1"/>
    <x v="11"/>
    <x v="3"/>
    <x v="4"/>
    <m/>
    <m/>
    <m/>
    <m/>
    <m/>
    <m/>
    <m/>
    <m/>
    <m/>
    <m/>
    <m/>
    <m/>
    <m/>
    <m/>
    <m/>
    <m/>
    <m/>
    <m/>
    <m/>
    <n v="0"/>
    <n v="0"/>
    <n v="0"/>
    <n v="0"/>
    <n v="0"/>
    <n v="0"/>
    <n v="0"/>
    <n v="0"/>
    <n v="0"/>
    <n v="0"/>
    <n v="0"/>
    <n v="0"/>
    <m/>
    <s v="PRODUIT 11  |  DEPENSES SUR ACHATS"/>
    <b v="1"/>
  </r>
  <r>
    <n v="448"/>
    <x v="0"/>
    <m/>
    <s v="CURRENT YEAR"/>
    <x v="3"/>
    <x v="1"/>
    <x v="11"/>
    <x v="3"/>
    <x v="4"/>
    <m/>
    <m/>
    <m/>
    <m/>
    <m/>
    <m/>
    <m/>
    <m/>
    <m/>
    <m/>
    <m/>
    <m/>
    <m/>
    <m/>
    <m/>
    <m/>
    <m/>
    <m/>
    <m/>
    <n v="0"/>
    <n v="0"/>
    <n v="0"/>
    <n v="0"/>
    <n v="0"/>
    <n v="0"/>
    <n v="0"/>
    <n v="0"/>
    <n v="0"/>
    <n v="0"/>
    <n v="0"/>
    <n v="0"/>
    <m/>
    <s v="PRODUIT 11  |  DEPENSES SUR ACHATS"/>
    <b v="1"/>
  </r>
  <r>
    <n v="449"/>
    <x v="0"/>
    <m/>
    <s v="YEAR2"/>
    <x v="4"/>
    <x v="1"/>
    <x v="11"/>
    <x v="3"/>
    <x v="4"/>
    <m/>
    <m/>
    <m/>
    <m/>
    <m/>
    <m/>
    <m/>
    <m/>
    <m/>
    <m/>
    <m/>
    <m/>
    <m/>
    <m/>
    <m/>
    <m/>
    <m/>
    <m/>
    <m/>
    <n v="0"/>
    <n v="0"/>
    <n v="0"/>
    <n v="0"/>
    <n v="0"/>
    <n v="0"/>
    <n v="0"/>
    <n v="0"/>
    <n v="0"/>
    <n v="0"/>
    <n v="0"/>
    <n v="0"/>
    <m/>
    <s v="PRODUIT 11  |  DEPENSES SUR ACHATS"/>
    <b v="1"/>
  </r>
  <r>
    <n v="450"/>
    <x v="0"/>
    <m/>
    <s v="YEAR3"/>
    <x v="5"/>
    <x v="1"/>
    <x v="11"/>
    <x v="3"/>
    <x v="4"/>
    <m/>
    <m/>
    <m/>
    <m/>
    <m/>
    <m/>
    <m/>
    <m/>
    <m/>
    <m/>
    <m/>
    <m/>
    <m/>
    <m/>
    <m/>
    <m/>
    <m/>
    <m/>
    <m/>
    <n v="0"/>
    <n v="0"/>
    <n v="0"/>
    <n v="0"/>
    <n v="0"/>
    <n v="0"/>
    <n v="0"/>
    <n v="0"/>
    <n v="0"/>
    <n v="0"/>
    <n v="0"/>
    <n v="0"/>
    <m/>
    <s v="PRODUIT 11  |  DEPENSES SUR ACHATS"/>
    <b v="1"/>
  </r>
  <r>
    <n v="451"/>
    <x v="0"/>
    <m/>
    <s v="YEAR4"/>
    <x v="6"/>
    <x v="1"/>
    <x v="11"/>
    <x v="3"/>
    <x v="4"/>
    <m/>
    <m/>
    <m/>
    <m/>
    <m/>
    <m/>
    <m/>
    <m/>
    <m/>
    <m/>
    <m/>
    <m/>
    <m/>
    <m/>
    <m/>
    <m/>
    <m/>
    <m/>
    <m/>
    <n v="0"/>
    <n v="0"/>
    <n v="0"/>
    <n v="0"/>
    <n v="0"/>
    <n v="0"/>
    <n v="0"/>
    <n v="0"/>
    <n v="0"/>
    <n v="0"/>
    <n v="0"/>
    <n v="0"/>
    <m/>
    <s v="PRODUIT 11  |  DEPENSES SUR ACHATS"/>
    <b v="1"/>
  </r>
  <r>
    <n v="452"/>
    <x v="0"/>
    <m/>
    <s v="YEAR5"/>
    <x v="7"/>
    <x v="1"/>
    <x v="11"/>
    <x v="3"/>
    <x v="4"/>
    <m/>
    <m/>
    <m/>
    <m/>
    <m/>
    <m/>
    <m/>
    <m/>
    <m/>
    <m/>
    <m/>
    <m/>
    <m/>
    <m/>
    <m/>
    <m/>
    <m/>
    <m/>
    <m/>
    <n v="0"/>
    <n v="0"/>
    <n v="0"/>
    <n v="0"/>
    <n v="0"/>
    <n v="0"/>
    <n v="0"/>
    <n v="0"/>
    <n v="0"/>
    <n v="0"/>
    <n v="0"/>
    <n v="0"/>
    <m/>
    <s v="PRODUIT 11  |  DEPENSES SUR ACHATS"/>
    <b v="1"/>
  </r>
  <r>
    <n v="453"/>
    <x v="0"/>
    <m/>
    <s v="YEAR6"/>
    <x v="8"/>
    <x v="1"/>
    <x v="11"/>
    <x v="3"/>
    <x v="4"/>
    <m/>
    <m/>
    <m/>
    <m/>
    <m/>
    <m/>
    <m/>
    <m/>
    <m/>
    <m/>
    <m/>
    <m/>
    <m/>
    <m/>
    <m/>
    <m/>
    <m/>
    <m/>
    <m/>
    <n v="0"/>
    <n v="0"/>
    <n v="0"/>
    <n v="0"/>
    <n v="0"/>
    <n v="0"/>
    <n v="0"/>
    <n v="0"/>
    <n v="0"/>
    <n v="0"/>
    <n v="0"/>
    <n v="0"/>
    <m/>
    <s v="PRODUIT 11  |  DEPENSES SUR ACHATS"/>
    <b v="1"/>
  </r>
  <r>
    <n v="454"/>
    <x v="0"/>
    <m/>
    <s v="YEAR-2"/>
    <x v="1"/>
    <x v="1"/>
    <x v="11"/>
    <x v="3"/>
    <x v="5"/>
    <m/>
    <m/>
    <m/>
    <m/>
    <m/>
    <m/>
    <m/>
    <m/>
    <m/>
    <m/>
    <m/>
    <m/>
    <m/>
    <m/>
    <m/>
    <m/>
    <m/>
    <m/>
    <m/>
    <n v="0"/>
    <n v="0"/>
    <n v="0"/>
    <n v="0"/>
    <n v="0"/>
    <n v="0"/>
    <n v="0"/>
    <n v="0"/>
    <n v="0"/>
    <m/>
    <n v="0"/>
    <m/>
    <m/>
    <s v="PRODUIT 11  |  PRIX MOYEN D'ACHAT PAR PRODUIT/SERVICE"/>
    <m/>
  </r>
  <r>
    <n v="455"/>
    <x v="0"/>
    <m/>
    <s v="YEAR-1"/>
    <x v="2"/>
    <x v="1"/>
    <x v="11"/>
    <x v="3"/>
    <x v="5"/>
    <m/>
    <m/>
    <m/>
    <m/>
    <m/>
    <m/>
    <m/>
    <m/>
    <m/>
    <m/>
    <m/>
    <m/>
    <m/>
    <m/>
    <m/>
    <m/>
    <m/>
    <m/>
    <m/>
    <n v="0"/>
    <n v="0"/>
    <n v="0"/>
    <n v="0"/>
    <n v="0"/>
    <n v="0"/>
    <n v="0"/>
    <n v="0"/>
    <n v="0"/>
    <m/>
    <n v="0"/>
    <m/>
    <m/>
    <s v="PRODUIT 11  |  PRIX MOYEN D'ACHAT PAR PRODUIT/SERVICE"/>
    <m/>
  </r>
  <r>
    <n v="456"/>
    <x v="0"/>
    <m/>
    <s v="CURRENT YEAR"/>
    <x v="3"/>
    <x v="1"/>
    <x v="11"/>
    <x v="3"/>
    <x v="5"/>
    <m/>
    <m/>
    <m/>
    <m/>
    <m/>
    <m/>
    <m/>
    <m/>
    <m/>
    <m/>
    <m/>
    <m/>
    <m/>
    <m/>
    <m/>
    <m/>
    <m/>
    <m/>
    <m/>
    <n v="0"/>
    <n v="0"/>
    <n v="0"/>
    <n v="0"/>
    <n v="0"/>
    <n v="0"/>
    <n v="0"/>
    <n v="0"/>
    <n v="0"/>
    <m/>
    <n v="0"/>
    <m/>
    <m/>
    <s v="PRODUIT 11  |  PRIX MOYEN D'ACHAT PAR PRODUIT/SERVICE"/>
    <m/>
  </r>
  <r>
    <n v="457"/>
    <x v="0"/>
    <m/>
    <s v="YEAR2"/>
    <x v="4"/>
    <x v="1"/>
    <x v="11"/>
    <x v="3"/>
    <x v="5"/>
    <m/>
    <m/>
    <m/>
    <m/>
    <m/>
    <m/>
    <m/>
    <m/>
    <m/>
    <m/>
    <m/>
    <m/>
    <m/>
    <m/>
    <m/>
    <m/>
    <m/>
    <m/>
    <m/>
    <n v="0"/>
    <n v="0"/>
    <n v="0"/>
    <n v="0"/>
    <n v="0"/>
    <n v="0"/>
    <n v="0"/>
    <n v="0"/>
    <n v="0"/>
    <m/>
    <n v="0"/>
    <m/>
    <m/>
    <s v="PRODUIT 11  |  PRIX MOYEN D'ACHAT PAR PRODUIT/SERVICE"/>
    <m/>
  </r>
  <r>
    <n v="458"/>
    <x v="0"/>
    <m/>
    <s v="YEAR3"/>
    <x v="5"/>
    <x v="1"/>
    <x v="11"/>
    <x v="3"/>
    <x v="5"/>
    <m/>
    <m/>
    <m/>
    <m/>
    <m/>
    <m/>
    <m/>
    <m/>
    <m/>
    <m/>
    <m/>
    <m/>
    <m/>
    <m/>
    <m/>
    <m/>
    <m/>
    <m/>
    <m/>
    <n v="0"/>
    <n v="0"/>
    <n v="0"/>
    <n v="0"/>
    <n v="0"/>
    <n v="0"/>
    <n v="0"/>
    <n v="0"/>
    <n v="0"/>
    <m/>
    <n v="0"/>
    <m/>
    <m/>
    <s v="PRODUIT 11  |  PRIX MOYEN D'ACHAT PAR PRODUIT/SERVICE"/>
    <m/>
  </r>
  <r>
    <n v="459"/>
    <x v="0"/>
    <m/>
    <s v="YEAR4"/>
    <x v="6"/>
    <x v="1"/>
    <x v="11"/>
    <x v="3"/>
    <x v="5"/>
    <m/>
    <m/>
    <m/>
    <m/>
    <m/>
    <m/>
    <m/>
    <m/>
    <m/>
    <m/>
    <m/>
    <m/>
    <m/>
    <m/>
    <m/>
    <m/>
    <m/>
    <m/>
    <m/>
    <n v="0"/>
    <n v="0"/>
    <n v="0"/>
    <n v="0"/>
    <n v="0"/>
    <n v="0"/>
    <n v="0"/>
    <n v="0"/>
    <n v="0"/>
    <m/>
    <n v="0"/>
    <m/>
    <m/>
    <s v="PRODUIT 11  |  PRIX MOYEN D'ACHAT PAR PRODUIT/SERVICE"/>
    <m/>
  </r>
  <r>
    <n v="460"/>
    <x v="0"/>
    <m/>
    <s v="YEAR5"/>
    <x v="7"/>
    <x v="1"/>
    <x v="11"/>
    <x v="3"/>
    <x v="5"/>
    <m/>
    <m/>
    <m/>
    <m/>
    <m/>
    <m/>
    <m/>
    <m/>
    <m/>
    <m/>
    <m/>
    <m/>
    <m/>
    <m/>
    <m/>
    <m/>
    <m/>
    <m/>
    <m/>
    <n v="0"/>
    <n v="0"/>
    <n v="0"/>
    <n v="0"/>
    <n v="0"/>
    <n v="0"/>
    <n v="0"/>
    <n v="0"/>
    <n v="0"/>
    <m/>
    <n v="0"/>
    <m/>
    <m/>
    <s v="PRODUIT 11  |  PRIX MOYEN D'ACHAT PAR PRODUIT/SERVICE"/>
    <m/>
  </r>
  <r>
    <n v="461"/>
    <x v="0"/>
    <m/>
    <s v="YEAR6"/>
    <x v="8"/>
    <x v="1"/>
    <x v="11"/>
    <x v="3"/>
    <x v="5"/>
    <m/>
    <m/>
    <m/>
    <m/>
    <m/>
    <m/>
    <m/>
    <m/>
    <m/>
    <m/>
    <m/>
    <m/>
    <m/>
    <m/>
    <m/>
    <m/>
    <m/>
    <m/>
    <m/>
    <n v="0"/>
    <n v="0"/>
    <n v="0"/>
    <n v="0"/>
    <n v="0"/>
    <n v="0"/>
    <n v="0"/>
    <n v="0"/>
    <n v="0"/>
    <m/>
    <n v="0"/>
    <m/>
    <m/>
    <s v="PRODUIT 11  |  PRIX MOYEN D'ACHAT PAR PRODUIT/SERVICE"/>
    <m/>
  </r>
  <r>
    <n v="462"/>
    <x v="0"/>
    <n v="1"/>
    <m/>
    <x v="0"/>
    <x v="0"/>
    <x v="0"/>
    <x v="0"/>
    <x v="0"/>
    <m/>
    <m/>
    <m/>
    <m/>
    <m/>
    <m/>
    <m/>
    <m/>
    <m/>
    <m/>
    <m/>
    <m/>
    <m/>
    <m/>
    <m/>
    <m/>
    <m/>
    <m/>
    <m/>
    <m/>
    <m/>
    <m/>
    <m/>
    <m/>
    <m/>
    <m/>
    <m/>
    <m/>
    <m/>
    <m/>
    <m/>
    <m/>
    <m/>
    <m/>
  </r>
  <r>
    <n v="463"/>
    <x v="0"/>
    <m/>
    <m/>
    <x v="0"/>
    <x v="0"/>
    <x v="0"/>
    <x v="0"/>
    <x v="0"/>
    <m/>
    <m/>
    <m/>
    <m/>
    <m/>
    <m/>
    <m/>
    <m/>
    <m/>
    <m/>
    <m/>
    <m/>
    <m/>
    <m/>
    <m/>
    <m/>
    <m/>
    <m/>
    <m/>
    <m/>
    <m/>
    <m/>
    <m/>
    <m/>
    <m/>
    <m/>
    <m/>
    <m/>
    <m/>
    <m/>
    <m/>
    <m/>
    <m/>
    <m/>
  </r>
  <r>
    <n v="464"/>
    <x v="0"/>
    <n v="1"/>
    <s v="YEAR-2"/>
    <x v="1"/>
    <x v="1"/>
    <x v="12"/>
    <x v="3"/>
    <x v="1"/>
    <n v="1000"/>
    <n v="0"/>
    <n v="0"/>
    <n v="1000"/>
    <n v="1"/>
    <n v="0"/>
    <n v="0"/>
    <n v="500"/>
    <n v="0"/>
    <n v="0"/>
    <n v="500"/>
    <n v="1"/>
    <n v="1"/>
    <n v="1"/>
    <n v="0"/>
    <n v="0"/>
    <n v="0"/>
    <n v="0"/>
    <n v="0"/>
    <n v="0"/>
    <n v="0"/>
    <n v="0"/>
    <n v="0"/>
    <n v="0"/>
    <n v="0"/>
    <n v="0"/>
    <n v="0"/>
    <n v="0"/>
    <n v="0"/>
    <n v="0"/>
    <n v="0"/>
    <s v="GAMME # : 1 + CANAL DE DISTRIBUTION # : 1"/>
    <s v="PRODUIT 12  |  VOLUME"/>
    <b v="1"/>
  </r>
  <r>
    <n v="465"/>
    <x v="0"/>
    <n v="1"/>
    <s v="YEAR-1"/>
    <x v="2"/>
    <x v="1"/>
    <x v="12"/>
    <x v="3"/>
    <x v="1"/>
    <n v="1000"/>
    <n v="0"/>
    <n v="0"/>
    <n v="1000"/>
    <n v="1"/>
    <n v="0"/>
    <n v="0"/>
    <n v="500"/>
    <n v="0"/>
    <n v="0"/>
    <n v="500"/>
    <n v="1"/>
    <n v="1"/>
    <n v="1"/>
    <n v="0"/>
    <n v="0"/>
    <n v="0"/>
    <n v="0"/>
    <n v="0"/>
    <n v="0"/>
    <n v="0"/>
    <n v="0"/>
    <n v="0"/>
    <n v="0"/>
    <n v="0"/>
    <n v="0"/>
    <n v="0"/>
    <n v="0"/>
    <n v="0"/>
    <n v="0"/>
    <n v="0"/>
    <m/>
    <s v="PRODUIT 12  |  VOLUME"/>
    <b v="1"/>
  </r>
  <r>
    <n v="466"/>
    <x v="0"/>
    <n v="1"/>
    <s v="CURRENT YEAR"/>
    <x v="3"/>
    <x v="1"/>
    <x v="12"/>
    <x v="3"/>
    <x v="1"/>
    <n v="1000"/>
    <n v="0"/>
    <n v="0"/>
    <n v="1000"/>
    <n v="1"/>
    <n v="0"/>
    <n v="0"/>
    <n v="500"/>
    <n v="0"/>
    <n v="0"/>
    <n v="500"/>
    <n v="1"/>
    <n v="1"/>
    <n v="1"/>
    <n v="0"/>
    <n v="0"/>
    <n v="0"/>
    <n v="0"/>
    <n v="0"/>
    <n v="0"/>
    <n v="0"/>
    <n v="0"/>
    <n v="0"/>
    <n v="0"/>
    <n v="0"/>
    <n v="0"/>
    <n v="0"/>
    <n v="0"/>
    <n v="0"/>
    <n v="0"/>
    <n v="0"/>
    <m/>
    <s v="PRODUIT 12  |  VOLUME"/>
    <b v="1"/>
  </r>
  <r>
    <n v="467"/>
    <x v="0"/>
    <n v="1"/>
    <s v="YEAR2"/>
    <x v="4"/>
    <x v="1"/>
    <x v="12"/>
    <x v="3"/>
    <x v="1"/>
    <n v="1000"/>
    <n v="0"/>
    <n v="0"/>
    <n v="1000"/>
    <n v="1"/>
    <n v="0"/>
    <n v="0"/>
    <n v="500"/>
    <n v="0"/>
    <n v="0"/>
    <n v="500"/>
    <n v="1"/>
    <n v="1"/>
    <n v="1"/>
    <n v="0"/>
    <n v="0"/>
    <n v="0"/>
    <n v="0"/>
    <n v="0"/>
    <n v="0"/>
    <n v="0"/>
    <n v="0"/>
    <n v="0"/>
    <n v="0"/>
    <n v="0"/>
    <n v="0"/>
    <n v="0"/>
    <n v="0"/>
    <n v="0"/>
    <n v="0"/>
    <n v="0"/>
    <m/>
    <s v="PRODUIT 12  |  VOLUME"/>
    <b v="1"/>
  </r>
  <r>
    <n v="468"/>
    <x v="0"/>
    <n v="1"/>
    <s v="YEAR3"/>
    <x v="5"/>
    <x v="1"/>
    <x v="12"/>
    <x v="3"/>
    <x v="1"/>
    <n v="1000"/>
    <n v="0"/>
    <n v="0"/>
    <n v="1000"/>
    <n v="1"/>
    <n v="0"/>
    <n v="0"/>
    <n v="500"/>
    <n v="0"/>
    <n v="0"/>
    <n v="500"/>
    <n v="1"/>
    <n v="1"/>
    <n v="1"/>
    <n v="0"/>
    <n v="0"/>
    <n v="0"/>
    <n v="0"/>
    <n v="0"/>
    <n v="0"/>
    <n v="0"/>
    <n v="0"/>
    <n v="0"/>
    <n v="0"/>
    <n v="0"/>
    <n v="0"/>
    <n v="0"/>
    <n v="0"/>
    <n v="0"/>
    <n v="0"/>
    <n v="0"/>
    <m/>
    <s v="PRODUIT 12  |  VOLUME"/>
    <b v="1"/>
  </r>
  <r>
    <n v="469"/>
    <x v="0"/>
    <n v="1"/>
    <s v="YEAR4"/>
    <x v="6"/>
    <x v="1"/>
    <x v="12"/>
    <x v="3"/>
    <x v="1"/>
    <n v="1000"/>
    <n v="0"/>
    <n v="0"/>
    <n v="1000"/>
    <n v="1"/>
    <n v="0"/>
    <n v="0"/>
    <n v="500"/>
    <n v="0"/>
    <n v="0"/>
    <n v="500"/>
    <n v="1"/>
    <n v="1"/>
    <n v="1"/>
    <n v="0"/>
    <n v="0"/>
    <n v="0"/>
    <n v="0"/>
    <n v="0"/>
    <n v="0"/>
    <n v="0"/>
    <n v="0"/>
    <n v="0"/>
    <n v="0"/>
    <n v="0"/>
    <n v="0"/>
    <n v="0"/>
    <n v="0"/>
    <n v="0"/>
    <n v="0"/>
    <n v="0"/>
    <m/>
    <s v="PRODUIT 12  |  VOLUME"/>
    <b v="1"/>
  </r>
  <r>
    <n v="470"/>
    <x v="0"/>
    <n v="1"/>
    <s v="YEAR5"/>
    <x v="7"/>
    <x v="1"/>
    <x v="12"/>
    <x v="3"/>
    <x v="1"/>
    <n v="1000"/>
    <n v="0"/>
    <n v="0"/>
    <n v="1000"/>
    <n v="1"/>
    <n v="0"/>
    <n v="0"/>
    <n v="500"/>
    <n v="0"/>
    <n v="0"/>
    <n v="500"/>
    <n v="1"/>
    <n v="1"/>
    <n v="1"/>
    <n v="0"/>
    <n v="0"/>
    <n v="0"/>
    <n v="0"/>
    <n v="0"/>
    <n v="0"/>
    <n v="0"/>
    <n v="0"/>
    <n v="0"/>
    <n v="0"/>
    <n v="0"/>
    <n v="0"/>
    <n v="0"/>
    <n v="0"/>
    <n v="0"/>
    <n v="0"/>
    <n v="0"/>
    <m/>
    <s v="PRODUIT 12  |  VOLUME"/>
    <b v="1"/>
  </r>
  <r>
    <n v="471"/>
    <x v="0"/>
    <n v="1"/>
    <s v="YEAR6"/>
    <x v="8"/>
    <x v="1"/>
    <x v="12"/>
    <x v="3"/>
    <x v="1"/>
    <n v="1000"/>
    <n v="0"/>
    <n v="0"/>
    <n v="1000"/>
    <n v="1"/>
    <n v="0"/>
    <n v="0"/>
    <n v="500"/>
    <n v="0"/>
    <n v="0"/>
    <n v="500"/>
    <n v="1"/>
    <n v="1"/>
    <n v="1"/>
    <n v="0"/>
    <n v="0"/>
    <n v="0"/>
    <n v="0"/>
    <n v="0"/>
    <n v="0"/>
    <n v="0"/>
    <n v="0"/>
    <n v="0"/>
    <n v="0"/>
    <n v="0"/>
    <n v="0"/>
    <n v="0"/>
    <n v="0"/>
    <n v="0"/>
    <n v="0"/>
    <n v="0"/>
    <m/>
    <s v="PRODUIT 12  |  VOLUME"/>
    <b v="1"/>
  </r>
  <r>
    <n v="472"/>
    <x v="0"/>
    <m/>
    <s v="YEAR-2"/>
    <x v="1"/>
    <x v="1"/>
    <x v="12"/>
    <x v="3"/>
    <x v="2"/>
    <m/>
    <m/>
    <m/>
    <m/>
    <m/>
    <m/>
    <m/>
    <m/>
    <m/>
    <m/>
    <m/>
    <m/>
    <m/>
    <m/>
    <m/>
    <m/>
    <m/>
    <m/>
    <m/>
    <n v="0"/>
    <n v="0"/>
    <n v="0"/>
    <n v="0"/>
    <n v="0"/>
    <n v="0"/>
    <n v="0"/>
    <n v="0"/>
    <n v="0"/>
    <n v="0"/>
    <n v="0"/>
    <n v="0"/>
    <m/>
    <s v="PRODUIT 12  |  CHIFFRE D'AFFAIRES"/>
    <b v="1"/>
  </r>
  <r>
    <n v="473"/>
    <x v="0"/>
    <m/>
    <s v="YEAR-1"/>
    <x v="2"/>
    <x v="1"/>
    <x v="12"/>
    <x v="3"/>
    <x v="2"/>
    <m/>
    <m/>
    <m/>
    <m/>
    <m/>
    <m/>
    <m/>
    <m/>
    <m/>
    <m/>
    <m/>
    <m/>
    <m/>
    <m/>
    <m/>
    <m/>
    <m/>
    <m/>
    <m/>
    <n v="0"/>
    <n v="0"/>
    <n v="0"/>
    <n v="0"/>
    <n v="0"/>
    <n v="0"/>
    <n v="0"/>
    <n v="0"/>
    <n v="0"/>
    <n v="0"/>
    <n v="0"/>
    <n v="0"/>
    <m/>
    <s v="PRODUIT 12  |  CHIFFRE D'AFFAIRES"/>
    <b v="1"/>
  </r>
  <r>
    <n v="474"/>
    <x v="0"/>
    <m/>
    <s v="CURRENT YEAR"/>
    <x v="3"/>
    <x v="1"/>
    <x v="12"/>
    <x v="3"/>
    <x v="2"/>
    <m/>
    <m/>
    <m/>
    <m/>
    <m/>
    <m/>
    <m/>
    <m/>
    <m/>
    <m/>
    <m/>
    <m/>
    <m/>
    <m/>
    <m/>
    <m/>
    <m/>
    <m/>
    <m/>
    <n v="0"/>
    <n v="0"/>
    <n v="0"/>
    <n v="0"/>
    <n v="0"/>
    <n v="0"/>
    <n v="0"/>
    <n v="0"/>
    <n v="0"/>
    <n v="0"/>
    <n v="0"/>
    <n v="0"/>
    <m/>
    <s v="PRODUIT 12  |  CHIFFRE D'AFFAIRES"/>
    <b v="1"/>
  </r>
  <r>
    <n v="475"/>
    <x v="0"/>
    <m/>
    <s v="YEAR2"/>
    <x v="4"/>
    <x v="1"/>
    <x v="12"/>
    <x v="3"/>
    <x v="2"/>
    <m/>
    <m/>
    <m/>
    <m/>
    <m/>
    <m/>
    <m/>
    <m/>
    <m/>
    <m/>
    <m/>
    <m/>
    <m/>
    <m/>
    <m/>
    <m/>
    <m/>
    <m/>
    <m/>
    <n v="0"/>
    <n v="0"/>
    <n v="0"/>
    <n v="0"/>
    <n v="0"/>
    <n v="0"/>
    <n v="0"/>
    <n v="0"/>
    <n v="0"/>
    <n v="0"/>
    <n v="0"/>
    <n v="0"/>
    <m/>
    <s v="PRODUIT 12  |  CHIFFRE D'AFFAIRES"/>
    <b v="1"/>
  </r>
  <r>
    <n v="476"/>
    <x v="0"/>
    <m/>
    <s v="YEAR3"/>
    <x v="5"/>
    <x v="1"/>
    <x v="12"/>
    <x v="3"/>
    <x v="2"/>
    <m/>
    <m/>
    <m/>
    <m/>
    <m/>
    <m/>
    <m/>
    <m/>
    <m/>
    <m/>
    <m/>
    <m/>
    <m/>
    <m/>
    <m/>
    <m/>
    <m/>
    <m/>
    <m/>
    <n v="0"/>
    <n v="0"/>
    <n v="0"/>
    <n v="0"/>
    <n v="0"/>
    <n v="0"/>
    <n v="0"/>
    <n v="0"/>
    <n v="0"/>
    <n v="0"/>
    <n v="0"/>
    <n v="0"/>
    <m/>
    <s v="PRODUIT 12  |  CHIFFRE D'AFFAIRES"/>
    <b v="1"/>
  </r>
  <r>
    <n v="477"/>
    <x v="0"/>
    <m/>
    <s v="YEAR4"/>
    <x v="6"/>
    <x v="1"/>
    <x v="12"/>
    <x v="3"/>
    <x v="2"/>
    <m/>
    <m/>
    <m/>
    <m/>
    <m/>
    <m/>
    <m/>
    <m/>
    <m/>
    <m/>
    <m/>
    <m/>
    <m/>
    <m/>
    <m/>
    <m/>
    <m/>
    <m/>
    <m/>
    <n v="0"/>
    <n v="0"/>
    <n v="0"/>
    <n v="0"/>
    <n v="0"/>
    <n v="0"/>
    <n v="0"/>
    <n v="0"/>
    <n v="0"/>
    <n v="0"/>
    <n v="0"/>
    <n v="0"/>
    <m/>
    <s v="PRODUIT 12  |  CHIFFRE D'AFFAIRES"/>
    <b v="1"/>
  </r>
  <r>
    <n v="478"/>
    <x v="0"/>
    <m/>
    <s v="YEAR5"/>
    <x v="7"/>
    <x v="1"/>
    <x v="12"/>
    <x v="3"/>
    <x v="2"/>
    <m/>
    <m/>
    <m/>
    <m/>
    <m/>
    <m/>
    <m/>
    <m/>
    <m/>
    <m/>
    <m/>
    <m/>
    <m/>
    <m/>
    <m/>
    <m/>
    <m/>
    <m/>
    <m/>
    <n v="0"/>
    <n v="0"/>
    <n v="0"/>
    <n v="0"/>
    <n v="0"/>
    <n v="0"/>
    <n v="0"/>
    <n v="0"/>
    <n v="0"/>
    <n v="0"/>
    <n v="0"/>
    <n v="0"/>
    <m/>
    <s v="PRODUIT 12  |  CHIFFRE D'AFFAIRES"/>
    <b v="1"/>
  </r>
  <r>
    <n v="479"/>
    <x v="0"/>
    <m/>
    <s v="YEAR6"/>
    <x v="8"/>
    <x v="1"/>
    <x v="12"/>
    <x v="3"/>
    <x v="2"/>
    <m/>
    <m/>
    <m/>
    <m/>
    <m/>
    <m/>
    <m/>
    <m/>
    <m/>
    <m/>
    <m/>
    <m/>
    <m/>
    <m/>
    <m/>
    <m/>
    <m/>
    <m/>
    <m/>
    <n v="0"/>
    <n v="0"/>
    <n v="0"/>
    <n v="0"/>
    <n v="0"/>
    <n v="0"/>
    <n v="0"/>
    <n v="0"/>
    <n v="0"/>
    <n v="0"/>
    <n v="0"/>
    <n v="0"/>
    <m/>
    <s v="PRODUIT 12  |  CHIFFRE D'AFFAIRES"/>
    <b v="1"/>
  </r>
  <r>
    <n v="480"/>
    <x v="0"/>
    <m/>
    <s v="YEAR-2"/>
    <x v="1"/>
    <x v="1"/>
    <x v="12"/>
    <x v="3"/>
    <x v="3"/>
    <m/>
    <m/>
    <m/>
    <m/>
    <m/>
    <m/>
    <m/>
    <m/>
    <m/>
    <m/>
    <m/>
    <m/>
    <m/>
    <m/>
    <m/>
    <m/>
    <m/>
    <m/>
    <m/>
    <n v="0"/>
    <n v="0"/>
    <n v="0"/>
    <n v="0"/>
    <n v="0"/>
    <n v="0"/>
    <n v="0"/>
    <n v="0"/>
    <n v="0"/>
    <m/>
    <n v="0"/>
    <m/>
    <m/>
    <s v="PRODUIT 12  |  PRIX MOYEN DE VENTE PAR PRODUIT/SERVICE"/>
    <m/>
  </r>
  <r>
    <n v="481"/>
    <x v="0"/>
    <m/>
    <s v="YEAR-1"/>
    <x v="2"/>
    <x v="1"/>
    <x v="12"/>
    <x v="3"/>
    <x v="3"/>
    <m/>
    <m/>
    <m/>
    <m/>
    <m/>
    <m/>
    <m/>
    <m/>
    <m/>
    <m/>
    <m/>
    <m/>
    <m/>
    <m/>
    <m/>
    <m/>
    <m/>
    <m/>
    <m/>
    <n v="0"/>
    <n v="0"/>
    <n v="0"/>
    <n v="0"/>
    <n v="0"/>
    <n v="0"/>
    <n v="0"/>
    <n v="0"/>
    <n v="0"/>
    <m/>
    <n v="0"/>
    <m/>
    <m/>
    <s v="PRODUIT 12  |  PRIX MOYEN DE VENTE PAR PRODUIT/SERVICE"/>
    <m/>
  </r>
  <r>
    <n v="482"/>
    <x v="0"/>
    <m/>
    <s v="CURRENT YEAR"/>
    <x v="3"/>
    <x v="1"/>
    <x v="12"/>
    <x v="3"/>
    <x v="3"/>
    <m/>
    <m/>
    <m/>
    <m/>
    <m/>
    <m/>
    <m/>
    <m/>
    <m/>
    <m/>
    <m/>
    <m/>
    <m/>
    <m/>
    <m/>
    <m/>
    <m/>
    <m/>
    <m/>
    <n v="0"/>
    <n v="0"/>
    <n v="0"/>
    <n v="0"/>
    <n v="0"/>
    <n v="0"/>
    <n v="0"/>
    <n v="0"/>
    <n v="0"/>
    <m/>
    <n v="0"/>
    <m/>
    <m/>
    <s v="PRODUIT 12  |  PRIX MOYEN DE VENTE PAR PRODUIT/SERVICE"/>
    <m/>
  </r>
  <r>
    <n v="483"/>
    <x v="0"/>
    <m/>
    <s v="YEAR2"/>
    <x v="4"/>
    <x v="1"/>
    <x v="12"/>
    <x v="3"/>
    <x v="3"/>
    <m/>
    <m/>
    <m/>
    <m/>
    <m/>
    <m/>
    <m/>
    <m/>
    <m/>
    <m/>
    <m/>
    <m/>
    <m/>
    <m/>
    <m/>
    <m/>
    <m/>
    <m/>
    <m/>
    <n v="0"/>
    <n v="0"/>
    <n v="0"/>
    <n v="0"/>
    <n v="0"/>
    <n v="0"/>
    <n v="0"/>
    <n v="0"/>
    <n v="0"/>
    <m/>
    <n v="0"/>
    <m/>
    <m/>
    <s v="PRODUIT 12  |  PRIX MOYEN DE VENTE PAR PRODUIT/SERVICE"/>
    <m/>
  </r>
  <r>
    <n v="484"/>
    <x v="0"/>
    <m/>
    <s v="YEAR3"/>
    <x v="5"/>
    <x v="1"/>
    <x v="12"/>
    <x v="3"/>
    <x v="3"/>
    <m/>
    <m/>
    <m/>
    <m/>
    <m/>
    <m/>
    <m/>
    <m/>
    <m/>
    <m/>
    <m/>
    <m/>
    <m/>
    <m/>
    <m/>
    <m/>
    <m/>
    <m/>
    <m/>
    <n v="0"/>
    <n v="0"/>
    <n v="0"/>
    <n v="0"/>
    <n v="0"/>
    <n v="0"/>
    <n v="0"/>
    <n v="0"/>
    <n v="0"/>
    <m/>
    <n v="0"/>
    <m/>
    <m/>
    <s v="PRODUIT 12  |  PRIX MOYEN DE VENTE PAR PRODUIT/SERVICE"/>
    <m/>
  </r>
  <r>
    <n v="485"/>
    <x v="0"/>
    <m/>
    <s v="YEAR4"/>
    <x v="6"/>
    <x v="1"/>
    <x v="12"/>
    <x v="3"/>
    <x v="3"/>
    <m/>
    <m/>
    <m/>
    <m/>
    <m/>
    <m/>
    <m/>
    <m/>
    <m/>
    <m/>
    <m/>
    <m/>
    <m/>
    <m/>
    <m/>
    <m/>
    <m/>
    <m/>
    <m/>
    <n v="0"/>
    <n v="0"/>
    <n v="0"/>
    <n v="0"/>
    <n v="0"/>
    <n v="0"/>
    <n v="0"/>
    <n v="0"/>
    <n v="0"/>
    <m/>
    <n v="0"/>
    <m/>
    <m/>
    <s v="PRODUIT 12  |  PRIX MOYEN DE VENTE PAR PRODUIT/SERVICE"/>
    <m/>
  </r>
  <r>
    <n v="486"/>
    <x v="0"/>
    <m/>
    <s v="YEAR5"/>
    <x v="7"/>
    <x v="1"/>
    <x v="12"/>
    <x v="3"/>
    <x v="3"/>
    <m/>
    <m/>
    <m/>
    <m/>
    <m/>
    <m/>
    <m/>
    <m/>
    <m/>
    <m/>
    <m/>
    <m/>
    <m/>
    <m/>
    <m/>
    <m/>
    <m/>
    <m/>
    <m/>
    <n v="0"/>
    <n v="0"/>
    <n v="0"/>
    <n v="0"/>
    <n v="0"/>
    <n v="0"/>
    <n v="0"/>
    <n v="0"/>
    <n v="0"/>
    <m/>
    <n v="0"/>
    <m/>
    <m/>
    <s v="PRODUIT 12  |  PRIX MOYEN DE VENTE PAR PRODUIT/SERVICE"/>
    <m/>
  </r>
  <r>
    <n v="487"/>
    <x v="0"/>
    <m/>
    <s v="YEAR6"/>
    <x v="8"/>
    <x v="1"/>
    <x v="12"/>
    <x v="3"/>
    <x v="3"/>
    <m/>
    <m/>
    <m/>
    <m/>
    <m/>
    <m/>
    <m/>
    <m/>
    <m/>
    <m/>
    <m/>
    <m/>
    <m/>
    <m/>
    <m/>
    <m/>
    <m/>
    <m/>
    <m/>
    <n v="0"/>
    <n v="0"/>
    <n v="0"/>
    <n v="0"/>
    <n v="0"/>
    <n v="0"/>
    <n v="0"/>
    <n v="0"/>
    <n v="0"/>
    <m/>
    <n v="0"/>
    <m/>
    <m/>
    <s v="PRODUIT 12  |  PRIX MOYEN DE VENTE PAR PRODUIT/SERVICE"/>
    <m/>
  </r>
  <r>
    <n v="488"/>
    <x v="0"/>
    <m/>
    <s v="YEAR-2"/>
    <x v="1"/>
    <x v="1"/>
    <x v="12"/>
    <x v="3"/>
    <x v="4"/>
    <m/>
    <m/>
    <m/>
    <m/>
    <m/>
    <m/>
    <m/>
    <m/>
    <m/>
    <m/>
    <m/>
    <m/>
    <m/>
    <m/>
    <m/>
    <m/>
    <m/>
    <m/>
    <m/>
    <n v="0"/>
    <n v="0"/>
    <n v="0"/>
    <n v="0"/>
    <n v="0"/>
    <n v="0"/>
    <n v="0"/>
    <n v="0"/>
    <n v="0"/>
    <n v="0"/>
    <n v="0"/>
    <n v="0"/>
    <m/>
    <s v="PRODUIT 12  |  DEPENSES SUR ACHATS"/>
    <b v="1"/>
  </r>
  <r>
    <n v="489"/>
    <x v="0"/>
    <m/>
    <s v="YEAR-1"/>
    <x v="2"/>
    <x v="1"/>
    <x v="12"/>
    <x v="3"/>
    <x v="4"/>
    <m/>
    <m/>
    <m/>
    <m/>
    <m/>
    <m/>
    <m/>
    <m/>
    <m/>
    <m/>
    <m/>
    <m/>
    <m/>
    <m/>
    <m/>
    <m/>
    <m/>
    <m/>
    <m/>
    <n v="0"/>
    <n v="0"/>
    <n v="0"/>
    <n v="0"/>
    <n v="0"/>
    <n v="0"/>
    <n v="0"/>
    <n v="0"/>
    <n v="0"/>
    <n v="0"/>
    <n v="0"/>
    <n v="0"/>
    <m/>
    <s v="PRODUIT 12  |  DEPENSES SUR ACHATS"/>
    <b v="1"/>
  </r>
  <r>
    <n v="490"/>
    <x v="0"/>
    <m/>
    <s v="CURRENT YEAR"/>
    <x v="3"/>
    <x v="1"/>
    <x v="12"/>
    <x v="3"/>
    <x v="4"/>
    <m/>
    <m/>
    <m/>
    <m/>
    <m/>
    <m/>
    <m/>
    <m/>
    <m/>
    <m/>
    <m/>
    <m/>
    <m/>
    <m/>
    <m/>
    <m/>
    <m/>
    <m/>
    <m/>
    <n v="0"/>
    <n v="0"/>
    <n v="0"/>
    <n v="0"/>
    <n v="0"/>
    <n v="0"/>
    <n v="0"/>
    <n v="0"/>
    <n v="0"/>
    <n v="0"/>
    <n v="0"/>
    <n v="0"/>
    <m/>
    <s v="PRODUIT 12  |  DEPENSES SUR ACHATS"/>
    <b v="1"/>
  </r>
  <r>
    <n v="491"/>
    <x v="0"/>
    <m/>
    <s v="YEAR2"/>
    <x v="4"/>
    <x v="1"/>
    <x v="12"/>
    <x v="3"/>
    <x v="4"/>
    <m/>
    <m/>
    <m/>
    <m/>
    <m/>
    <m/>
    <m/>
    <m/>
    <m/>
    <m/>
    <m/>
    <m/>
    <m/>
    <m/>
    <m/>
    <m/>
    <m/>
    <m/>
    <m/>
    <n v="0"/>
    <n v="0"/>
    <n v="0"/>
    <n v="0"/>
    <n v="0"/>
    <n v="0"/>
    <n v="0"/>
    <n v="0"/>
    <n v="0"/>
    <n v="0"/>
    <n v="0"/>
    <n v="0"/>
    <m/>
    <s v="PRODUIT 12  |  DEPENSES SUR ACHATS"/>
    <b v="1"/>
  </r>
  <r>
    <n v="492"/>
    <x v="0"/>
    <m/>
    <s v="YEAR3"/>
    <x v="5"/>
    <x v="1"/>
    <x v="12"/>
    <x v="3"/>
    <x v="4"/>
    <m/>
    <m/>
    <m/>
    <m/>
    <m/>
    <m/>
    <m/>
    <m/>
    <m/>
    <m/>
    <m/>
    <m/>
    <m/>
    <m/>
    <m/>
    <m/>
    <m/>
    <m/>
    <m/>
    <n v="0"/>
    <n v="0"/>
    <n v="0"/>
    <n v="0"/>
    <n v="0"/>
    <n v="0"/>
    <n v="0"/>
    <n v="0"/>
    <n v="0"/>
    <n v="0"/>
    <n v="0"/>
    <n v="0"/>
    <m/>
    <s v="PRODUIT 12  |  DEPENSES SUR ACHATS"/>
    <b v="1"/>
  </r>
  <r>
    <n v="493"/>
    <x v="0"/>
    <m/>
    <s v="YEAR4"/>
    <x v="6"/>
    <x v="1"/>
    <x v="12"/>
    <x v="3"/>
    <x v="4"/>
    <m/>
    <m/>
    <m/>
    <m/>
    <m/>
    <m/>
    <m/>
    <m/>
    <m/>
    <m/>
    <m/>
    <m/>
    <m/>
    <m/>
    <m/>
    <m/>
    <m/>
    <m/>
    <m/>
    <n v="0"/>
    <n v="0"/>
    <n v="0"/>
    <n v="0"/>
    <n v="0"/>
    <n v="0"/>
    <n v="0"/>
    <n v="0"/>
    <n v="0"/>
    <n v="0"/>
    <n v="0"/>
    <n v="0"/>
    <m/>
    <s v="PRODUIT 12  |  DEPENSES SUR ACHATS"/>
    <b v="1"/>
  </r>
  <r>
    <n v="494"/>
    <x v="0"/>
    <m/>
    <s v="YEAR5"/>
    <x v="7"/>
    <x v="1"/>
    <x v="12"/>
    <x v="3"/>
    <x v="4"/>
    <m/>
    <m/>
    <m/>
    <m/>
    <m/>
    <m/>
    <m/>
    <m/>
    <m/>
    <m/>
    <m/>
    <m/>
    <m/>
    <m/>
    <m/>
    <m/>
    <m/>
    <m/>
    <m/>
    <n v="0"/>
    <n v="0"/>
    <n v="0"/>
    <n v="0"/>
    <n v="0"/>
    <n v="0"/>
    <n v="0"/>
    <n v="0"/>
    <n v="0"/>
    <n v="0"/>
    <n v="0"/>
    <n v="0"/>
    <m/>
    <s v="PRODUIT 12  |  DEPENSES SUR ACHATS"/>
    <b v="1"/>
  </r>
  <r>
    <n v="495"/>
    <x v="0"/>
    <m/>
    <s v="YEAR6"/>
    <x v="8"/>
    <x v="1"/>
    <x v="12"/>
    <x v="3"/>
    <x v="4"/>
    <m/>
    <m/>
    <m/>
    <m/>
    <m/>
    <m/>
    <m/>
    <m/>
    <m/>
    <m/>
    <m/>
    <m/>
    <m/>
    <m/>
    <m/>
    <m/>
    <m/>
    <m/>
    <m/>
    <n v="0"/>
    <n v="0"/>
    <n v="0"/>
    <n v="0"/>
    <n v="0"/>
    <n v="0"/>
    <n v="0"/>
    <n v="0"/>
    <n v="0"/>
    <n v="0"/>
    <n v="0"/>
    <n v="0"/>
    <m/>
    <s v="PRODUIT 12  |  DEPENSES SUR ACHATS"/>
    <b v="1"/>
  </r>
  <r>
    <n v="496"/>
    <x v="0"/>
    <m/>
    <s v="YEAR-2"/>
    <x v="1"/>
    <x v="1"/>
    <x v="12"/>
    <x v="3"/>
    <x v="5"/>
    <m/>
    <m/>
    <m/>
    <m/>
    <m/>
    <m/>
    <m/>
    <m/>
    <m/>
    <m/>
    <m/>
    <m/>
    <m/>
    <m/>
    <m/>
    <m/>
    <m/>
    <m/>
    <m/>
    <n v="0"/>
    <n v="0"/>
    <n v="0"/>
    <n v="0"/>
    <n v="0"/>
    <n v="0"/>
    <n v="0"/>
    <n v="0"/>
    <n v="0"/>
    <m/>
    <n v="0"/>
    <m/>
    <m/>
    <s v="PRODUIT 12  |  PRIX MOYEN D'ACHAT PAR PRODUIT/SERVICE"/>
    <m/>
  </r>
  <r>
    <n v="497"/>
    <x v="0"/>
    <m/>
    <s v="YEAR-1"/>
    <x v="2"/>
    <x v="1"/>
    <x v="12"/>
    <x v="3"/>
    <x v="5"/>
    <m/>
    <m/>
    <m/>
    <m/>
    <m/>
    <m/>
    <m/>
    <m/>
    <m/>
    <m/>
    <m/>
    <m/>
    <m/>
    <m/>
    <m/>
    <m/>
    <m/>
    <m/>
    <m/>
    <n v="0"/>
    <n v="0"/>
    <n v="0"/>
    <n v="0"/>
    <n v="0"/>
    <n v="0"/>
    <n v="0"/>
    <n v="0"/>
    <n v="0"/>
    <m/>
    <n v="0"/>
    <m/>
    <m/>
    <s v="PRODUIT 12  |  PRIX MOYEN D'ACHAT PAR PRODUIT/SERVICE"/>
    <m/>
  </r>
  <r>
    <n v="498"/>
    <x v="0"/>
    <m/>
    <s v="CURRENT YEAR"/>
    <x v="3"/>
    <x v="1"/>
    <x v="12"/>
    <x v="3"/>
    <x v="5"/>
    <m/>
    <m/>
    <m/>
    <m/>
    <m/>
    <m/>
    <m/>
    <m/>
    <m/>
    <m/>
    <m/>
    <m/>
    <m/>
    <m/>
    <m/>
    <m/>
    <m/>
    <m/>
    <m/>
    <n v="0"/>
    <n v="0"/>
    <n v="0"/>
    <n v="0"/>
    <n v="0"/>
    <n v="0"/>
    <n v="0"/>
    <n v="0"/>
    <n v="0"/>
    <m/>
    <n v="0"/>
    <m/>
    <m/>
    <s v="PRODUIT 12  |  PRIX MOYEN D'ACHAT PAR PRODUIT/SERVICE"/>
    <m/>
  </r>
  <r>
    <n v="499"/>
    <x v="0"/>
    <m/>
    <s v="YEAR2"/>
    <x v="4"/>
    <x v="1"/>
    <x v="12"/>
    <x v="3"/>
    <x v="5"/>
    <m/>
    <m/>
    <m/>
    <m/>
    <m/>
    <m/>
    <m/>
    <m/>
    <m/>
    <m/>
    <m/>
    <m/>
    <m/>
    <m/>
    <m/>
    <m/>
    <m/>
    <m/>
    <m/>
    <n v="0"/>
    <n v="0"/>
    <n v="0"/>
    <n v="0"/>
    <n v="0"/>
    <n v="0"/>
    <n v="0"/>
    <n v="0"/>
    <n v="0"/>
    <m/>
    <n v="0"/>
    <m/>
    <m/>
    <s v="PRODUIT 12  |  PRIX MOYEN D'ACHAT PAR PRODUIT/SERVICE"/>
    <m/>
  </r>
  <r>
    <n v="500"/>
    <x v="0"/>
    <m/>
    <s v="YEAR3"/>
    <x v="5"/>
    <x v="1"/>
    <x v="12"/>
    <x v="3"/>
    <x v="5"/>
    <m/>
    <m/>
    <m/>
    <m/>
    <m/>
    <m/>
    <m/>
    <m/>
    <m/>
    <m/>
    <m/>
    <m/>
    <m/>
    <m/>
    <m/>
    <m/>
    <m/>
    <m/>
    <m/>
    <n v="0"/>
    <n v="0"/>
    <n v="0"/>
    <n v="0"/>
    <n v="0"/>
    <n v="0"/>
    <n v="0"/>
    <n v="0"/>
    <n v="0"/>
    <m/>
    <n v="0"/>
    <m/>
    <m/>
    <s v="PRODUIT 12  |  PRIX MOYEN D'ACHAT PAR PRODUIT/SERVICE"/>
    <m/>
  </r>
  <r>
    <n v="501"/>
    <x v="0"/>
    <m/>
    <s v="YEAR4"/>
    <x v="6"/>
    <x v="1"/>
    <x v="12"/>
    <x v="3"/>
    <x v="5"/>
    <m/>
    <m/>
    <m/>
    <m/>
    <m/>
    <m/>
    <m/>
    <m/>
    <m/>
    <m/>
    <m/>
    <m/>
    <m/>
    <m/>
    <m/>
    <m/>
    <m/>
    <m/>
    <m/>
    <n v="0"/>
    <n v="0"/>
    <n v="0"/>
    <n v="0"/>
    <n v="0"/>
    <n v="0"/>
    <n v="0"/>
    <n v="0"/>
    <n v="0"/>
    <m/>
    <n v="0"/>
    <m/>
    <m/>
    <s v="PRODUIT 12  |  PRIX MOYEN D'ACHAT PAR PRODUIT/SERVICE"/>
    <m/>
  </r>
  <r>
    <n v="502"/>
    <x v="0"/>
    <m/>
    <s v="YEAR5"/>
    <x v="7"/>
    <x v="1"/>
    <x v="12"/>
    <x v="3"/>
    <x v="5"/>
    <m/>
    <m/>
    <m/>
    <m/>
    <m/>
    <m/>
    <m/>
    <m/>
    <m/>
    <m/>
    <m/>
    <m/>
    <m/>
    <m/>
    <m/>
    <m/>
    <m/>
    <m/>
    <m/>
    <n v="0"/>
    <n v="0"/>
    <n v="0"/>
    <n v="0"/>
    <n v="0"/>
    <n v="0"/>
    <n v="0"/>
    <n v="0"/>
    <n v="0"/>
    <m/>
    <n v="0"/>
    <m/>
    <m/>
    <s v="PRODUIT 12  |  PRIX MOYEN D'ACHAT PAR PRODUIT/SERVICE"/>
    <m/>
  </r>
  <r>
    <n v="503"/>
    <x v="0"/>
    <m/>
    <s v="YEAR6"/>
    <x v="8"/>
    <x v="1"/>
    <x v="12"/>
    <x v="3"/>
    <x v="5"/>
    <m/>
    <m/>
    <m/>
    <m/>
    <m/>
    <m/>
    <m/>
    <m/>
    <m/>
    <m/>
    <m/>
    <m/>
    <m/>
    <m/>
    <m/>
    <m/>
    <m/>
    <m/>
    <m/>
    <n v="0"/>
    <n v="0"/>
    <n v="0"/>
    <n v="0"/>
    <n v="0"/>
    <n v="0"/>
    <n v="0"/>
    <n v="0"/>
    <n v="0"/>
    <m/>
    <n v="0"/>
    <m/>
    <m/>
    <s v="PRODUIT 12  |  PRIX MOYEN D'ACHAT PAR PRODUIT/SERVICE"/>
    <m/>
  </r>
  <r>
    <n v="504"/>
    <x v="0"/>
    <n v="1"/>
    <m/>
    <x v="0"/>
    <x v="0"/>
    <x v="0"/>
    <x v="0"/>
    <x v="0"/>
    <m/>
    <m/>
    <m/>
    <m/>
    <m/>
    <m/>
    <m/>
    <m/>
    <m/>
    <m/>
    <m/>
    <m/>
    <m/>
    <m/>
    <m/>
    <m/>
    <m/>
    <m/>
    <m/>
    <m/>
    <m/>
    <m/>
    <m/>
    <m/>
    <m/>
    <m/>
    <m/>
    <m/>
    <m/>
    <m/>
    <m/>
    <m/>
    <m/>
    <m/>
  </r>
  <r>
    <n v="505"/>
    <x v="0"/>
    <m/>
    <m/>
    <x v="0"/>
    <x v="0"/>
    <x v="0"/>
    <x v="0"/>
    <x v="0"/>
    <m/>
    <m/>
    <m/>
    <m/>
    <m/>
    <m/>
    <m/>
    <m/>
    <m/>
    <m/>
    <m/>
    <m/>
    <m/>
    <m/>
    <m/>
    <m/>
    <m/>
    <m/>
    <m/>
    <m/>
    <m/>
    <m/>
    <m/>
    <m/>
    <m/>
    <m/>
    <m/>
    <m/>
    <m/>
    <m/>
    <m/>
    <m/>
    <m/>
    <m/>
  </r>
  <r>
    <n v="506"/>
    <x v="0"/>
    <n v="1"/>
    <s v="YEAR-2"/>
    <x v="1"/>
    <x v="1"/>
    <x v="13"/>
    <x v="3"/>
    <x v="1"/>
    <n v="1000"/>
    <n v="0"/>
    <n v="0"/>
    <n v="1000"/>
    <n v="1"/>
    <n v="0"/>
    <n v="0"/>
    <n v="500"/>
    <n v="0"/>
    <n v="0"/>
    <n v="500"/>
    <n v="1"/>
    <n v="1"/>
    <n v="1"/>
    <n v="0"/>
    <n v="0"/>
    <n v="0"/>
    <n v="0"/>
    <n v="0"/>
    <n v="0"/>
    <n v="0"/>
    <n v="0"/>
    <n v="0"/>
    <n v="0"/>
    <n v="0"/>
    <n v="0"/>
    <n v="0"/>
    <n v="0"/>
    <n v="0"/>
    <n v="0"/>
    <n v="0"/>
    <s v="GAMME # : 1 + CANAL DE DISTRIBUTION # : 1"/>
    <s v="PRODUIT 13  |  VOLUME"/>
    <b v="1"/>
  </r>
  <r>
    <n v="507"/>
    <x v="0"/>
    <n v="1"/>
    <s v="YEAR-1"/>
    <x v="2"/>
    <x v="1"/>
    <x v="13"/>
    <x v="3"/>
    <x v="1"/>
    <n v="1000"/>
    <n v="0"/>
    <n v="0"/>
    <n v="1000"/>
    <n v="1"/>
    <n v="0"/>
    <n v="0"/>
    <n v="500"/>
    <n v="0"/>
    <n v="0"/>
    <n v="500"/>
    <n v="1"/>
    <n v="1"/>
    <n v="1"/>
    <n v="0"/>
    <n v="0"/>
    <n v="0"/>
    <n v="0"/>
    <n v="0"/>
    <n v="0"/>
    <n v="0"/>
    <n v="0"/>
    <n v="0"/>
    <n v="0"/>
    <n v="0"/>
    <n v="0"/>
    <n v="0"/>
    <n v="0"/>
    <n v="0"/>
    <n v="0"/>
    <n v="0"/>
    <m/>
    <s v="PRODUIT 13  |  VOLUME"/>
    <b v="1"/>
  </r>
  <r>
    <n v="508"/>
    <x v="0"/>
    <n v="1"/>
    <s v="CURRENT YEAR"/>
    <x v="3"/>
    <x v="1"/>
    <x v="13"/>
    <x v="3"/>
    <x v="1"/>
    <n v="1000"/>
    <n v="0"/>
    <n v="0"/>
    <n v="1000"/>
    <n v="1"/>
    <n v="0"/>
    <n v="0"/>
    <n v="500"/>
    <n v="0"/>
    <n v="0"/>
    <n v="500"/>
    <n v="1"/>
    <n v="1"/>
    <n v="1"/>
    <n v="0"/>
    <n v="0"/>
    <n v="0"/>
    <n v="0"/>
    <n v="0"/>
    <n v="0"/>
    <n v="0"/>
    <n v="0"/>
    <n v="0"/>
    <n v="0"/>
    <n v="0"/>
    <n v="0"/>
    <n v="0"/>
    <n v="0"/>
    <n v="0"/>
    <n v="0"/>
    <n v="0"/>
    <m/>
    <s v="PRODUIT 13  |  VOLUME"/>
    <b v="1"/>
  </r>
  <r>
    <n v="509"/>
    <x v="0"/>
    <n v="1"/>
    <s v="YEAR2"/>
    <x v="4"/>
    <x v="1"/>
    <x v="13"/>
    <x v="3"/>
    <x v="1"/>
    <n v="1000"/>
    <n v="0"/>
    <n v="0"/>
    <n v="1000"/>
    <n v="1"/>
    <n v="0"/>
    <n v="0"/>
    <n v="500"/>
    <n v="0"/>
    <n v="0"/>
    <n v="500"/>
    <n v="1"/>
    <n v="1"/>
    <n v="1"/>
    <n v="0"/>
    <n v="0"/>
    <n v="0"/>
    <n v="0"/>
    <n v="0"/>
    <n v="0"/>
    <n v="0"/>
    <n v="0"/>
    <n v="0"/>
    <n v="0"/>
    <n v="0"/>
    <n v="0"/>
    <n v="0"/>
    <n v="0"/>
    <n v="0"/>
    <n v="0"/>
    <n v="0"/>
    <m/>
    <s v="PRODUIT 13  |  VOLUME"/>
    <b v="1"/>
  </r>
  <r>
    <n v="510"/>
    <x v="0"/>
    <n v="1"/>
    <s v="YEAR3"/>
    <x v="5"/>
    <x v="1"/>
    <x v="13"/>
    <x v="3"/>
    <x v="1"/>
    <n v="1000"/>
    <n v="0"/>
    <n v="0"/>
    <n v="1000"/>
    <n v="1"/>
    <n v="0"/>
    <n v="0"/>
    <n v="500"/>
    <n v="0"/>
    <n v="0"/>
    <n v="500"/>
    <n v="1"/>
    <n v="1"/>
    <n v="1"/>
    <n v="0"/>
    <n v="0"/>
    <n v="0"/>
    <n v="0"/>
    <n v="0"/>
    <n v="0"/>
    <n v="0"/>
    <n v="0"/>
    <n v="0"/>
    <n v="0"/>
    <n v="0"/>
    <n v="0"/>
    <n v="0"/>
    <n v="0"/>
    <n v="0"/>
    <n v="0"/>
    <n v="0"/>
    <m/>
    <s v="PRODUIT 13  |  VOLUME"/>
    <b v="1"/>
  </r>
  <r>
    <n v="511"/>
    <x v="0"/>
    <n v="1"/>
    <s v="YEAR4"/>
    <x v="6"/>
    <x v="1"/>
    <x v="13"/>
    <x v="3"/>
    <x v="1"/>
    <n v="1000"/>
    <n v="0"/>
    <n v="0"/>
    <n v="1000"/>
    <n v="1"/>
    <n v="0"/>
    <n v="0"/>
    <n v="500"/>
    <n v="0"/>
    <n v="0"/>
    <n v="500"/>
    <n v="1"/>
    <n v="1"/>
    <n v="1"/>
    <n v="0"/>
    <n v="0"/>
    <n v="0"/>
    <n v="0"/>
    <n v="0"/>
    <n v="0"/>
    <n v="0"/>
    <n v="0"/>
    <n v="0"/>
    <n v="0"/>
    <n v="0"/>
    <n v="0"/>
    <n v="0"/>
    <n v="0"/>
    <n v="0"/>
    <n v="0"/>
    <n v="0"/>
    <m/>
    <s v="PRODUIT 13  |  VOLUME"/>
    <b v="1"/>
  </r>
  <r>
    <n v="512"/>
    <x v="0"/>
    <n v="1"/>
    <s v="YEAR5"/>
    <x v="7"/>
    <x v="1"/>
    <x v="13"/>
    <x v="3"/>
    <x v="1"/>
    <n v="1000"/>
    <n v="0"/>
    <n v="0"/>
    <n v="1000"/>
    <n v="1"/>
    <n v="0"/>
    <n v="0"/>
    <n v="500"/>
    <n v="0"/>
    <n v="0"/>
    <n v="500"/>
    <n v="1"/>
    <n v="1"/>
    <n v="1"/>
    <n v="0"/>
    <n v="0"/>
    <n v="0"/>
    <n v="0"/>
    <n v="0"/>
    <n v="0"/>
    <n v="0"/>
    <n v="0"/>
    <n v="0"/>
    <n v="0"/>
    <n v="0"/>
    <n v="0"/>
    <n v="0"/>
    <n v="0"/>
    <n v="0"/>
    <n v="0"/>
    <n v="0"/>
    <m/>
    <s v="PRODUIT 13  |  VOLUME"/>
    <b v="1"/>
  </r>
  <r>
    <n v="513"/>
    <x v="0"/>
    <n v="1"/>
    <s v="YEAR6"/>
    <x v="8"/>
    <x v="1"/>
    <x v="13"/>
    <x v="3"/>
    <x v="1"/>
    <n v="1000"/>
    <n v="0"/>
    <n v="0"/>
    <n v="1000"/>
    <n v="1"/>
    <n v="0"/>
    <n v="0"/>
    <n v="500"/>
    <n v="0"/>
    <n v="0"/>
    <n v="500"/>
    <n v="1"/>
    <n v="1"/>
    <n v="1"/>
    <n v="0"/>
    <n v="0"/>
    <n v="0"/>
    <n v="0"/>
    <n v="0"/>
    <n v="0"/>
    <n v="0"/>
    <n v="0"/>
    <n v="0"/>
    <n v="0"/>
    <n v="0"/>
    <n v="0"/>
    <n v="0"/>
    <n v="0"/>
    <n v="0"/>
    <n v="0"/>
    <n v="0"/>
    <m/>
    <s v="PRODUIT 13  |  VOLUME"/>
    <b v="1"/>
  </r>
  <r>
    <n v="514"/>
    <x v="0"/>
    <m/>
    <s v="YEAR-2"/>
    <x v="1"/>
    <x v="1"/>
    <x v="13"/>
    <x v="3"/>
    <x v="2"/>
    <m/>
    <m/>
    <m/>
    <m/>
    <m/>
    <m/>
    <m/>
    <m/>
    <m/>
    <m/>
    <m/>
    <m/>
    <m/>
    <m/>
    <m/>
    <m/>
    <m/>
    <m/>
    <m/>
    <n v="0"/>
    <n v="0"/>
    <n v="0"/>
    <n v="0"/>
    <n v="0"/>
    <n v="0"/>
    <n v="0"/>
    <n v="0"/>
    <n v="0"/>
    <n v="0"/>
    <n v="0"/>
    <n v="0"/>
    <m/>
    <s v="PRODUIT 13  |  CHIFFRE D'AFFAIRES"/>
    <b v="1"/>
  </r>
  <r>
    <n v="515"/>
    <x v="0"/>
    <m/>
    <s v="YEAR-1"/>
    <x v="2"/>
    <x v="1"/>
    <x v="13"/>
    <x v="3"/>
    <x v="2"/>
    <m/>
    <m/>
    <m/>
    <m/>
    <m/>
    <m/>
    <m/>
    <m/>
    <m/>
    <m/>
    <m/>
    <m/>
    <m/>
    <m/>
    <m/>
    <m/>
    <m/>
    <m/>
    <m/>
    <n v="0"/>
    <n v="0"/>
    <n v="0"/>
    <n v="0"/>
    <n v="0"/>
    <n v="0"/>
    <n v="0"/>
    <n v="0"/>
    <n v="0"/>
    <n v="0"/>
    <n v="0"/>
    <n v="0"/>
    <m/>
    <s v="PRODUIT 13  |  CHIFFRE D'AFFAIRES"/>
    <b v="1"/>
  </r>
  <r>
    <n v="516"/>
    <x v="0"/>
    <m/>
    <s v="CURRENT YEAR"/>
    <x v="3"/>
    <x v="1"/>
    <x v="13"/>
    <x v="3"/>
    <x v="2"/>
    <m/>
    <m/>
    <m/>
    <m/>
    <m/>
    <m/>
    <m/>
    <m/>
    <m/>
    <m/>
    <m/>
    <m/>
    <m/>
    <m/>
    <m/>
    <m/>
    <m/>
    <m/>
    <m/>
    <n v="0"/>
    <n v="0"/>
    <n v="0"/>
    <n v="0"/>
    <n v="0"/>
    <n v="0"/>
    <n v="0"/>
    <n v="0"/>
    <n v="0"/>
    <n v="0"/>
    <n v="0"/>
    <n v="0"/>
    <m/>
    <s v="PRODUIT 13  |  CHIFFRE D'AFFAIRES"/>
    <b v="1"/>
  </r>
  <r>
    <n v="517"/>
    <x v="0"/>
    <m/>
    <s v="YEAR2"/>
    <x v="4"/>
    <x v="1"/>
    <x v="13"/>
    <x v="3"/>
    <x v="2"/>
    <m/>
    <m/>
    <m/>
    <m/>
    <m/>
    <m/>
    <m/>
    <m/>
    <m/>
    <m/>
    <m/>
    <m/>
    <m/>
    <m/>
    <m/>
    <m/>
    <m/>
    <m/>
    <m/>
    <n v="0"/>
    <n v="0"/>
    <n v="0"/>
    <n v="0"/>
    <n v="0"/>
    <n v="0"/>
    <n v="0"/>
    <n v="0"/>
    <n v="0"/>
    <n v="0"/>
    <n v="0"/>
    <n v="0"/>
    <m/>
    <s v="PRODUIT 13  |  CHIFFRE D'AFFAIRES"/>
    <b v="1"/>
  </r>
  <r>
    <n v="518"/>
    <x v="0"/>
    <m/>
    <s v="YEAR3"/>
    <x v="5"/>
    <x v="1"/>
    <x v="13"/>
    <x v="3"/>
    <x v="2"/>
    <m/>
    <m/>
    <m/>
    <m/>
    <m/>
    <m/>
    <m/>
    <m/>
    <m/>
    <m/>
    <m/>
    <m/>
    <m/>
    <m/>
    <m/>
    <m/>
    <m/>
    <m/>
    <m/>
    <n v="0"/>
    <n v="0"/>
    <n v="0"/>
    <n v="0"/>
    <n v="0"/>
    <n v="0"/>
    <n v="0"/>
    <n v="0"/>
    <n v="0"/>
    <n v="0"/>
    <n v="0"/>
    <n v="0"/>
    <m/>
    <s v="PRODUIT 13  |  CHIFFRE D'AFFAIRES"/>
    <b v="1"/>
  </r>
  <r>
    <n v="519"/>
    <x v="0"/>
    <m/>
    <s v="YEAR4"/>
    <x v="6"/>
    <x v="1"/>
    <x v="13"/>
    <x v="3"/>
    <x v="2"/>
    <m/>
    <m/>
    <m/>
    <m/>
    <m/>
    <m/>
    <m/>
    <m/>
    <m/>
    <m/>
    <m/>
    <m/>
    <m/>
    <m/>
    <m/>
    <m/>
    <m/>
    <m/>
    <m/>
    <n v="0"/>
    <n v="0"/>
    <n v="0"/>
    <n v="0"/>
    <n v="0"/>
    <n v="0"/>
    <n v="0"/>
    <n v="0"/>
    <n v="0"/>
    <n v="0"/>
    <n v="0"/>
    <n v="0"/>
    <m/>
    <s v="PRODUIT 13  |  CHIFFRE D'AFFAIRES"/>
    <b v="1"/>
  </r>
  <r>
    <n v="520"/>
    <x v="0"/>
    <m/>
    <s v="YEAR5"/>
    <x v="7"/>
    <x v="1"/>
    <x v="13"/>
    <x v="3"/>
    <x v="2"/>
    <m/>
    <m/>
    <m/>
    <m/>
    <m/>
    <m/>
    <m/>
    <m/>
    <m/>
    <m/>
    <m/>
    <m/>
    <m/>
    <m/>
    <m/>
    <m/>
    <m/>
    <m/>
    <m/>
    <n v="0"/>
    <n v="0"/>
    <n v="0"/>
    <n v="0"/>
    <n v="0"/>
    <n v="0"/>
    <n v="0"/>
    <n v="0"/>
    <n v="0"/>
    <n v="0"/>
    <n v="0"/>
    <n v="0"/>
    <m/>
    <s v="PRODUIT 13  |  CHIFFRE D'AFFAIRES"/>
    <b v="1"/>
  </r>
  <r>
    <n v="521"/>
    <x v="0"/>
    <m/>
    <s v="YEAR6"/>
    <x v="8"/>
    <x v="1"/>
    <x v="13"/>
    <x v="3"/>
    <x v="2"/>
    <m/>
    <m/>
    <m/>
    <m/>
    <m/>
    <m/>
    <m/>
    <m/>
    <m/>
    <m/>
    <m/>
    <m/>
    <m/>
    <m/>
    <m/>
    <m/>
    <m/>
    <m/>
    <m/>
    <n v="0"/>
    <n v="0"/>
    <n v="0"/>
    <n v="0"/>
    <n v="0"/>
    <n v="0"/>
    <n v="0"/>
    <n v="0"/>
    <n v="0"/>
    <n v="0"/>
    <n v="0"/>
    <n v="0"/>
    <m/>
    <s v="PRODUIT 13  |  CHIFFRE D'AFFAIRES"/>
    <b v="1"/>
  </r>
  <r>
    <n v="522"/>
    <x v="0"/>
    <m/>
    <s v="YEAR-2"/>
    <x v="1"/>
    <x v="1"/>
    <x v="13"/>
    <x v="3"/>
    <x v="3"/>
    <m/>
    <m/>
    <m/>
    <m/>
    <m/>
    <m/>
    <m/>
    <m/>
    <m/>
    <m/>
    <m/>
    <m/>
    <m/>
    <m/>
    <m/>
    <m/>
    <m/>
    <m/>
    <m/>
    <n v="0"/>
    <n v="0"/>
    <n v="0"/>
    <n v="0"/>
    <n v="0"/>
    <n v="0"/>
    <n v="0"/>
    <n v="0"/>
    <n v="0"/>
    <m/>
    <n v="0"/>
    <m/>
    <m/>
    <s v="PRODUIT 13  |  PRIX MOYEN DE VENTE PAR PRODUIT/SERVICE"/>
    <m/>
  </r>
  <r>
    <n v="523"/>
    <x v="0"/>
    <m/>
    <s v="YEAR-1"/>
    <x v="2"/>
    <x v="1"/>
    <x v="13"/>
    <x v="3"/>
    <x v="3"/>
    <m/>
    <m/>
    <m/>
    <m/>
    <m/>
    <m/>
    <m/>
    <m/>
    <m/>
    <m/>
    <m/>
    <m/>
    <m/>
    <m/>
    <m/>
    <m/>
    <m/>
    <m/>
    <m/>
    <n v="0"/>
    <n v="0"/>
    <n v="0"/>
    <n v="0"/>
    <n v="0"/>
    <n v="0"/>
    <n v="0"/>
    <n v="0"/>
    <n v="0"/>
    <m/>
    <n v="0"/>
    <m/>
    <m/>
    <s v="PRODUIT 13  |  PRIX MOYEN DE VENTE PAR PRODUIT/SERVICE"/>
    <m/>
  </r>
  <r>
    <n v="524"/>
    <x v="0"/>
    <m/>
    <s v="CURRENT YEAR"/>
    <x v="3"/>
    <x v="1"/>
    <x v="13"/>
    <x v="3"/>
    <x v="3"/>
    <m/>
    <m/>
    <m/>
    <m/>
    <m/>
    <m/>
    <m/>
    <m/>
    <m/>
    <m/>
    <m/>
    <m/>
    <m/>
    <m/>
    <m/>
    <m/>
    <m/>
    <m/>
    <m/>
    <n v="0"/>
    <n v="0"/>
    <n v="0"/>
    <n v="0"/>
    <n v="0"/>
    <n v="0"/>
    <n v="0"/>
    <n v="0"/>
    <n v="0"/>
    <m/>
    <n v="0"/>
    <m/>
    <m/>
    <s v="PRODUIT 13  |  PRIX MOYEN DE VENTE PAR PRODUIT/SERVICE"/>
    <m/>
  </r>
  <r>
    <n v="525"/>
    <x v="0"/>
    <m/>
    <s v="YEAR2"/>
    <x v="4"/>
    <x v="1"/>
    <x v="13"/>
    <x v="3"/>
    <x v="3"/>
    <m/>
    <m/>
    <m/>
    <m/>
    <m/>
    <m/>
    <m/>
    <m/>
    <m/>
    <m/>
    <m/>
    <m/>
    <m/>
    <m/>
    <m/>
    <m/>
    <m/>
    <m/>
    <m/>
    <n v="0"/>
    <n v="0"/>
    <n v="0"/>
    <n v="0"/>
    <n v="0"/>
    <n v="0"/>
    <n v="0"/>
    <n v="0"/>
    <n v="0"/>
    <m/>
    <n v="0"/>
    <m/>
    <m/>
    <s v="PRODUIT 13  |  PRIX MOYEN DE VENTE PAR PRODUIT/SERVICE"/>
    <m/>
  </r>
  <r>
    <n v="526"/>
    <x v="0"/>
    <m/>
    <s v="YEAR3"/>
    <x v="5"/>
    <x v="1"/>
    <x v="13"/>
    <x v="3"/>
    <x v="3"/>
    <m/>
    <m/>
    <m/>
    <m/>
    <m/>
    <m/>
    <m/>
    <m/>
    <m/>
    <m/>
    <m/>
    <m/>
    <m/>
    <m/>
    <m/>
    <m/>
    <m/>
    <m/>
    <m/>
    <n v="0"/>
    <n v="0"/>
    <n v="0"/>
    <n v="0"/>
    <n v="0"/>
    <n v="0"/>
    <n v="0"/>
    <n v="0"/>
    <n v="0"/>
    <m/>
    <n v="0"/>
    <m/>
    <m/>
    <s v="PRODUIT 13  |  PRIX MOYEN DE VENTE PAR PRODUIT/SERVICE"/>
    <m/>
  </r>
  <r>
    <n v="527"/>
    <x v="0"/>
    <m/>
    <s v="YEAR4"/>
    <x v="6"/>
    <x v="1"/>
    <x v="13"/>
    <x v="3"/>
    <x v="3"/>
    <m/>
    <m/>
    <m/>
    <m/>
    <m/>
    <m/>
    <m/>
    <m/>
    <m/>
    <m/>
    <m/>
    <m/>
    <m/>
    <m/>
    <m/>
    <m/>
    <m/>
    <m/>
    <m/>
    <n v="0"/>
    <n v="0"/>
    <n v="0"/>
    <n v="0"/>
    <n v="0"/>
    <n v="0"/>
    <n v="0"/>
    <n v="0"/>
    <n v="0"/>
    <m/>
    <n v="0"/>
    <m/>
    <m/>
    <s v="PRODUIT 13  |  PRIX MOYEN DE VENTE PAR PRODUIT/SERVICE"/>
    <m/>
  </r>
  <r>
    <n v="528"/>
    <x v="0"/>
    <m/>
    <s v="YEAR5"/>
    <x v="7"/>
    <x v="1"/>
    <x v="13"/>
    <x v="3"/>
    <x v="3"/>
    <m/>
    <m/>
    <m/>
    <m/>
    <m/>
    <m/>
    <m/>
    <m/>
    <m/>
    <m/>
    <m/>
    <m/>
    <m/>
    <m/>
    <m/>
    <m/>
    <m/>
    <m/>
    <m/>
    <n v="0"/>
    <n v="0"/>
    <n v="0"/>
    <n v="0"/>
    <n v="0"/>
    <n v="0"/>
    <n v="0"/>
    <n v="0"/>
    <n v="0"/>
    <m/>
    <n v="0"/>
    <m/>
    <m/>
    <s v="PRODUIT 13  |  PRIX MOYEN DE VENTE PAR PRODUIT/SERVICE"/>
    <m/>
  </r>
  <r>
    <n v="529"/>
    <x v="0"/>
    <m/>
    <s v="YEAR6"/>
    <x v="8"/>
    <x v="1"/>
    <x v="13"/>
    <x v="3"/>
    <x v="3"/>
    <m/>
    <m/>
    <m/>
    <m/>
    <m/>
    <m/>
    <m/>
    <m/>
    <m/>
    <m/>
    <m/>
    <m/>
    <m/>
    <m/>
    <m/>
    <m/>
    <m/>
    <m/>
    <m/>
    <n v="0"/>
    <n v="0"/>
    <n v="0"/>
    <n v="0"/>
    <n v="0"/>
    <n v="0"/>
    <n v="0"/>
    <n v="0"/>
    <n v="0"/>
    <m/>
    <n v="0"/>
    <m/>
    <m/>
    <s v="PRODUIT 13  |  PRIX MOYEN DE VENTE PAR PRODUIT/SERVICE"/>
    <m/>
  </r>
  <r>
    <n v="530"/>
    <x v="0"/>
    <m/>
    <s v="YEAR-2"/>
    <x v="1"/>
    <x v="1"/>
    <x v="13"/>
    <x v="3"/>
    <x v="4"/>
    <m/>
    <m/>
    <m/>
    <m/>
    <m/>
    <m/>
    <m/>
    <m/>
    <m/>
    <m/>
    <m/>
    <m/>
    <m/>
    <m/>
    <m/>
    <m/>
    <m/>
    <m/>
    <m/>
    <n v="0"/>
    <n v="0"/>
    <n v="0"/>
    <n v="0"/>
    <n v="0"/>
    <n v="0"/>
    <n v="0"/>
    <n v="0"/>
    <n v="0"/>
    <n v="0"/>
    <n v="0"/>
    <n v="0"/>
    <m/>
    <s v="PRODUIT 13  |  DEPENSES SUR ACHATS"/>
    <b v="1"/>
  </r>
  <r>
    <n v="531"/>
    <x v="0"/>
    <m/>
    <s v="YEAR-1"/>
    <x v="2"/>
    <x v="1"/>
    <x v="13"/>
    <x v="3"/>
    <x v="4"/>
    <m/>
    <m/>
    <m/>
    <m/>
    <m/>
    <m/>
    <m/>
    <m/>
    <m/>
    <m/>
    <m/>
    <m/>
    <m/>
    <m/>
    <m/>
    <m/>
    <m/>
    <m/>
    <m/>
    <n v="0"/>
    <n v="0"/>
    <n v="0"/>
    <n v="0"/>
    <n v="0"/>
    <n v="0"/>
    <n v="0"/>
    <n v="0"/>
    <n v="0"/>
    <n v="0"/>
    <n v="0"/>
    <n v="0"/>
    <m/>
    <s v="PRODUIT 13  |  DEPENSES SUR ACHATS"/>
    <b v="1"/>
  </r>
  <r>
    <n v="532"/>
    <x v="0"/>
    <m/>
    <s v="CURRENT YEAR"/>
    <x v="3"/>
    <x v="1"/>
    <x v="13"/>
    <x v="3"/>
    <x v="4"/>
    <m/>
    <m/>
    <m/>
    <m/>
    <m/>
    <m/>
    <m/>
    <m/>
    <m/>
    <m/>
    <m/>
    <m/>
    <m/>
    <m/>
    <m/>
    <m/>
    <m/>
    <m/>
    <m/>
    <n v="0"/>
    <n v="0"/>
    <n v="0"/>
    <n v="0"/>
    <n v="0"/>
    <n v="0"/>
    <n v="0"/>
    <n v="0"/>
    <n v="0"/>
    <n v="0"/>
    <n v="0"/>
    <n v="0"/>
    <m/>
    <s v="PRODUIT 13  |  DEPENSES SUR ACHATS"/>
    <b v="1"/>
  </r>
  <r>
    <n v="533"/>
    <x v="0"/>
    <m/>
    <s v="YEAR2"/>
    <x v="4"/>
    <x v="1"/>
    <x v="13"/>
    <x v="3"/>
    <x v="4"/>
    <m/>
    <m/>
    <m/>
    <m/>
    <m/>
    <m/>
    <m/>
    <m/>
    <m/>
    <m/>
    <m/>
    <m/>
    <m/>
    <m/>
    <m/>
    <m/>
    <m/>
    <m/>
    <m/>
    <n v="0"/>
    <n v="0"/>
    <n v="0"/>
    <n v="0"/>
    <n v="0"/>
    <n v="0"/>
    <n v="0"/>
    <n v="0"/>
    <n v="0"/>
    <n v="0"/>
    <n v="0"/>
    <n v="0"/>
    <m/>
    <s v="PRODUIT 13  |  DEPENSES SUR ACHATS"/>
    <b v="1"/>
  </r>
  <r>
    <n v="534"/>
    <x v="0"/>
    <m/>
    <s v="YEAR3"/>
    <x v="5"/>
    <x v="1"/>
    <x v="13"/>
    <x v="3"/>
    <x v="4"/>
    <m/>
    <m/>
    <m/>
    <m/>
    <m/>
    <m/>
    <m/>
    <m/>
    <m/>
    <m/>
    <m/>
    <m/>
    <m/>
    <m/>
    <m/>
    <m/>
    <m/>
    <m/>
    <m/>
    <n v="0"/>
    <n v="0"/>
    <n v="0"/>
    <n v="0"/>
    <n v="0"/>
    <n v="0"/>
    <n v="0"/>
    <n v="0"/>
    <n v="0"/>
    <n v="0"/>
    <n v="0"/>
    <n v="0"/>
    <m/>
    <s v="PRODUIT 13  |  DEPENSES SUR ACHATS"/>
    <b v="1"/>
  </r>
  <r>
    <n v="535"/>
    <x v="0"/>
    <m/>
    <s v="YEAR4"/>
    <x v="6"/>
    <x v="1"/>
    <x v="13"/>
    <x v="3"/>
    <x v="4"/>
    <m/>
    <m/>
    <m/>
    <m/>
    <m/>
    <m/>
    <m/>
    <m/>
    <m/>
    <m/>
    <m/>
    <m/>
    <m/>
    <m/>
    <m/>
    <m/>
    <m/>
    <m/>
    <m/>
    <n v="0"/>
    <n v="0"/>
    <n v="0"/>
    <n v="0"/>
    <n v="0"/>
    <n v="0"/>
    <n v="0"/>
    <n v="0"/>
    <n v="0"/>
    <n v="0"/>
    <n v="0"/>
    <n v="0"/>
    <m/>
    <s v="PRODUIT 13  |  DEPENSES SUR ACHATS"/>
    <b v="1"/>
  </r>
  <r>
    <n v="536"/>
    <x v="0"/>
    <m/>
    <s v="YEAR5"/>
    <x v="7"/>
    <x v="1"/>
    <x v="13"/>
    <x v="3"/>
    <x v="4"/>
    <m/>
    <m/>
    <m/>
    <m/>
    <m/>
    <m/>
    <m/>
    <m/>
    <m/>
    <m/>
    <m/>
    <m/>
    <m/>
    <m/>
    <m/>
    <m/>
    <m/>
    <m/>
    <m/>
    <n v="0"/>
    <n v="0"/>
    <n v="0"/>
    <n v="0"/>
    <n v="0"/>
    <n v="0"/>
    <n v="0"/>
    <n v="0"/>
    <n v="0"/>
    <n v="0"/>
    <n v="0"/>
    <n v="0"/>
    <m/>
    <s v="PRODUIT 13  |  DEPENSES SUR ACHATS"/>
    <b v="1"/>
  </r>
  <r>
    <n v="537"/>
    <x v="0"/>
    <m/>
    <s v="YEAR6"/>
    <x v="8"/>
    <x v="1"/>
    <x v="13"/>
    <x v="3"/>
    <x v="4"/>
    <m/>
    <m/>
    <m/>
    <m/>
    <m/>
    <m/>
    <m/>
    <m/>
    <m/>
    <m/>
    <m/>
    <m/>
    <m/>
    <m/>
    <m/>
    <m/>
    <m/>
    <m/>
    <m/>
    <n v="0"/>
    <n v="0"/>
    <n v="0"/>
    <n v="0"/>
    <n v="0"/>
    <n v="0"/>
    <n v="0"/>
    <n v="0"/>
    <n v="0"/>
    <n v="0"/>
    <n v="0"/>
    <n v="0"/>
    <m/>
    <s v="PRODUIT 13  |  DEPENSES SUR ACHATS"/>
    <b v="1"/>
  </r>
  <r>
    <n v="538"/>
    <x v="0"/>
    <m/>
    <s v="YEAR-2"/>
    <x v="1"/>
    <x v="1"/>
    <x v="13"/>
    <x v="3"/>
    <x v="5"/>
    <m/>
    <m/>
    <m/>
    <m/>
    <m/>
    <m/>
    <m/>
    <m/>
    <m/>
    <m/>
    <m/>
    <m/>
    <m/>
    <m/>
    <m/>
    <m/>
    <m/>
    <m/>
    <m/>
    <n v="0"/>
    <n v="0"/>
    <n v="0"/>
    <n v="0"/>
    <n v="0"/>
    <n v="0"/>
    <n v="0"/>
    <n v="0"/>
    <n v="0"/>
    <m/>
    <n v="0"/>
    <m/>
    <m/>
    <s v="PRODUIT 13  |  PRIX MOYEN D'ACHAT PAR PRODUIT/SERVICE"/>
    <m/>
  </r>
  <r>
    <n v="539"/>
    <x v="0"/>
    <m/>
    <s v="YEAR-1"/>
    <x v="2"/>
    <x v="1"/>
    <x v="13"/>
    <x v="3"/>
    <x v="5"/>
    <m/>
    <m/>
    <m/>
    <m/>
    <m/>
    <m/>
    <m/>
    <m/>
    <m/>
    <m/>
    <m/>
    <m/>
    <m/>
    <m/>
    <m/>
    <m/>
    <m/>
    <m/>
    <m/>
    <n v="0"/>
    <n v="0"/>
    <n v="0"/>
    <n v="0"/>
    <n v="0"/>
    <n v="0"/>
    <n v="0"/>
    <n v="0"/>
    <n v="0"/>
    <m/>
    <n v="0"/>
    <m/>
    <m/>
    <s v="PRODUIT 13  |  PRIX MOYEN D'ACHAT PAR PRODUIT/SERVICE"/>
    <m/>
  </r>
  <r>
    <n v="540"/>
    <x v="0"/>
    <m/>
    <s v="CURRENT YEAR"/>
    <x v="3"/>
    <x v="1"/>
    <x v="13"/>
    <x v="3"/>
    <x v="5"/>
    <m/>
    <m/>
    <m/>
    <m/>
    <m/>
    <m/>
    <m/>
    <m/>
    <m/>
    <m/>
    <m/>
    <m/>
    <m/>
    <m/>
    <m/>
    <m/>
    <m/>
    <m/>
    <m/>
    <n v="0"/>
    <n v="0"/>
    <n v="0"/>
    <n v="0"/>
    <n v="0"/>
    <n v="0"/>
    <n v="0"/>
    <n v="0"/>
    <n v="0"/>
    <m/>
    <n v="0"/>
    <m/>
    <m/>
    <s v="PRODUIT 13  |  PRIX MOYEN D'ACHAT PAR PRODUIT/SERVICE"/>
    <m/>
  </r>
  <r>
    <n v="541"/>
    <x v="0"/>
    <m/>
    <s v="YEAR2"/>
    <x v="4"/>
    <x v="1"/>
    <x v="13"/>
    <x v="3"/>
    <x v="5"/>
    <m/>
    <m/>
    <m/>
    <m/>
    <m/>
    <m/>
    <m/>
    <m/>
    <m/>
    <m/>
    <m/>
    <m/>
    <m/>
    <m/>
    <m/>
    <m/>
    <m/>
    <m/>
    <m/>
    <n v="0"/>
    <n v="0"/>
    <n v="0"/>
    <n v="0"/>
    <n v="0"/>
    <n v="0"/>
    <n v="0"/>
    <n v="0"/>
    <n v="0"/>
    <m/>
    <n v="0"/>
    <m/>
    <m/>
    <s v="PRODUIT 13  |  PRIX MOYEN D'ACHAT PAR PRODUIT/SERVICE"/>
    <m/>
  </r>
  <r>
    <n v="542"/>
    <x v="0"/>
    <m/>
    <s v="YEAR3"/>
    <x v="5"/>
    <x v="1"/>
    <x v="13"/>
    <x v="3"/>
    <x v="5"/>
    <m/>
    <m/>
    <m/>
    <m/>
    <m/>
    <m/>
    <m/>
    <m/>
    <m/>
    <m/>
    <m/>
    <m/>
    <m/>
    <m/>
    <m/>
    <m/>
    <m/>
    <m/>
    <m/>
    <n v="0"/>
    <n v="0"/>
    <n v="0"/>
    <n v="0"/>
    <n v="0"/>
    <n v="0"/>
    <n v="0"/>
    <n v="0"/>
    <n v="0"/>
    <m/>
    <n v="0"/>
    <m/>
    <m/>
    <s v="PRODUIT 13  |  PRIX MOYEN D'ACHAT PAR PRODUIT/SERVICE"/>
    <m/>
  </r>
  <r>
    <n v="543"/>
    <x v="0"/>
    <m/>
    <s v="YEAR4"/>
    <x v="6"/>
    <x v="1"/>
    <x v="13"/>
    <x v="3"/>
    <x v="5"/>
    <m/>
    <m/>
    <m/>
    <m/>
    <m/>
    <m/>
    <m/>
    <m/>
    <m/>
    <m/>
    <m/>
    <m/>
    <m/>
    <m/>
    <m/>
    <m/>
    <m/>
    <m/>
    <m/>
    <n v="0"/>
    <n v="0"/>
    <n v="0"/>
    <n v="0"/>
    <n v="0"/>
    <n v="0"/>
    <n v="0"/>
    <n v="0"/>
    <n v="0"/>
    <m/>
    <n v="0"/>
    <m/>
    <m/>
    <s v="PRODUIT 13  |  PRIX MOYEN D'ACHAT PAR PRODUIT/SERVICE"/>
    <m/>
  </r>
  <r>
    <n v="544"/>
    <x v="0"/>
    <m/>
    <s v="YEAR5"/>
    <x v="7"/>
    <x v="1"/>
    <x v="13"/>
    <x v="3"/>
    <x v="5"/>
    <m/>
    <m/>
    <m/>
    <m/>
    <m/>
    <m/>
    <m/>
    <m/>
    <m/>
    <m/>
    <m/>
    <m/>
    <m/>
    <m/>
    <m/>
    <m/>
    <m/>
    <m/>
    <m/>
    <n v="0"/>
    <n v="0"/>
    <n v="0"/>
    <n v="0"/>
    <n v="0"/>
    <n v="0"/>
    <n v="0"/>
    <n v="0"/>
    <n v="0"/>
    <m/>
    <n v="0"/>
    <m/>
    <m/>
    <s v="PRODUIT 13  |  PRIX MOYEN D'ACHAT PAR PRODUIT/SERVICE"/>
    <m/>
  </r>
  <r>
    <n v="545"/>
    <x v="0"/>
    <m/>
    <s v="YEAR6"/>
    <x v="8"/>
    <x v="1"/>
    <x v="13"/>
    <x v="3"/>
    <x v="5"/>
    <m/>
    <m/>
    <m/>
    <m/>
    <m/>
    <m/>
    <m/>
    <m/>
    <m/>
    <m/>
    <m/>
    <m/>
    <m/>
    <m/>
    <m/>
    <m/>
    <m/>
    <m/>
    <m/>
    <n v="0"/>
    <n v="0"/>
    <n v="0"/>
    <n v="0"/>
    <n v="0"/>
    <n v="0"/>
    <n v="0"/>
    <n v="0"/>
    <n v="0"/>
    <m/>
    <n v="0"/>
    <m/>
    <m/>
    <s v="PRODUIT 13  |  PRIX MOYEN D'ACHAT PAR PRODUIT/SERVICE"/>
    <m/>
  </r>
  <r>
    <n v="546"/>
    <x v="0"/>
    <n v="1"/>
    <m/>
    <x v="0"/>
    <x v="0"/>
    <x v="0"/>
    <x v="0"/>
    <x v="0"/>
    <m/>
    <m/>
    <m/>
    <m/>
    <m/>
    <m/>
    <m/>
    <m/>
    <m/>
    <m/>
    <m/>
    <m/>
    <m/>
    <m/>
    <m/>
    <m/>
    <m/>
    <m/>
    <m/>
    <m/>
    <m/>
    <m/>
    <m/>
    <m/>
    <m/>
    <m/>
    <m/>
    <m/>
    <m/>
    <m/>
    <m/>
    <m/>
    <m/>
    <m/>
  </r>
  <r>
    <n v="547"/>
    <x v="0"/>
    <m/>
    <m/>
    <x v="0"/>
    <x v="0"/>
    <x v="0"/>
    <x v="0"/>
    <x v="0"/>
    <m/>
    <m/>
    <m/>
    <m/>
    <m/>
    <m/>
    <m/>
    <m/>
    <m/>
    <m/>
    <m/>
    <m/>
    <m/>
    <m/>
    <m/>
    <m/>
    <m/>
    <m/>
    <m/>
    <m/>
    <m/>
    <m/>
    <m/>
    <m/>
    <m/>
    <m/>
    <m/>
    <m/>
    <m/>
    <m/>
    <m/>
    <m/>
    <m/>
    <m/>
  </r>
  <r>
    <n v="548"/>
    <x v="0"/>
    <n v="1"/>
    <s v="YEAR-2"/>
    <x v="1"/>
    <x v="1"/>
    <x v="14"/>
    <x v="3"/>
    <x v="1"/>
    <n v="1000"/>
    <n v="0"/>
    <n v="0"/>
    <n v="1000"/>
    <n v="1"/>
    <n v="0"/>
    <n v="0"/>
    <n v="500"/>
    <n v="0"/>
    <n v="0"/>
    <n v="500"/>
    <n v="1"/>
    <n v="1"/>
    <n v="1"/>
    <n v="0"/>
    <n v="0"/>
    <n v="0"/>
    <n v="0"/>
    <n v="0"/>
    <n v="0"/>
    <n v="0"/>
    <n v="0"/>
    <n v="0"/>
    <n v="0"/>
    <n v="0"/>
    <n v="0"/>
    <n v="0"/>
    <n v="0"/>
    <n v="0"/>
    <n v="0"/>
    <n v="0"/>
    <s v="GAMME # : 1 + CANAL DE DISTRIBUTION # : 1"/>
    <s v="PRODUIT 14  |  VOLUME"/>
    <b v="1"/>
  </r>
  <r>
    <n v="549"/>
    <x v="0"/>
    <n v="1"/>
    <s v="YEAR-1"/>
    <x v="2"/>
    <x v="1"/>
    <x v="14"/>
    <x v="3"/>
    <x v="1"/>
    <n v="1000"/>
    <n v="0"/>
    <n v="0"/>
    <n v="1000"/>
    <n v="1"/>
    <n v="0"/>
    <n v="0"/>
    <n v="500"/>
    <n v="0"/>
    <n v="0"/>
    <n v="500"/>
    <n v="1"/>
    <n v="1"/>
    <n v="1"/>
    <n v="0"/>
    <n v="0"/>
    <n v="0"/>
    <n v="0"/>
    <n v="0"/>
    <n v="0"/>
    <n v="0"/>
    <n v="0"/>
    <n v="0"/>
    <n v="0"/>
    <n v="0"/>
    <n v="0"/>
    <n v="0"/>
    <n v="0"/>
    <n v="0"/>
    <n v="0"/>
    <n v="0"/>
    <m/>
    <s v="PRODUIT 14  |  VOLUME"/>
    <b v="1"/>
  </r>
  <r>
    <n v="550"/>
    <x v="0"/>
    <n v="1"/>
    <s v="CURRENT YEAR"/>
    <x v="3"/>
    <x v="1"/>
    <x v="14"/>
    <x v="3"/>
    <x v="1"/>
    <n v="1000"/>
    <n v="0"/>
    <n v="0"/>
    <n v="1000"/>
    <n v="1"/>
    <n v="0"/>
    <n v="0"/>
    <n v="500"/>
    <n v="0"/>
    <n v="0"/>
    <n v="500"/>
    <n v="1"/>
    <n v="1"/>
    <n v="1"/>
    <n v="0"/>
    <n v="0"/>
    <n v="0"/>
    <n v="0"/>
    <n v="0"/>
    <n v="0"/>
    <n v="0"/>
    <n v="0"/>
    <n v="0"/>
    <n v="0"/>
    <n v="0"/>
    <n v="0"/>
    <n v="0"/>
    <n v="0"/>
    <n v="0"/>
    <n v="0"/>
    <n v="0"/>
    <m/>
    <s v="PRODUIT 14  |  VOLUME"/>
    <b v="1"/>
  </r>
  <r>
    <n v="551"/>
    <x v="0"/>
    <n v="1"/>
    <s v="YEAR2"/>
    <x v="4"/>
    <x v="1"/>
    <x v="14"/>
    <x v="3"/>
    <x v="1"/>
    <n v="1000"/>
    <n v="0"/>
    <n v="0"/>
    <n v="1000"/>
    <n v="1"/>
    <n v="0"/>
    <n v="0"/>
    <n v="500"/>
    <n v="0"/>
    <n v="0"/>
    <n v="500"/>
    <n v="1"/>
    <n v="1"/>
    <n v="1"/>
    <n v="0"/>
    <n v="0"/>
    <n v="0"/>
    <n v="0"/>
    <n v="0"/>
    <n v="0"/>
    <n v="0"/>
    <n v="0"/>
    <n v="0"/>
    <n v="0"/>
    <n v="0"/>
    <n v="0"/>
    <n v="0"/>
    <n v="0"/>
    <n v="0"/>
    <n v="0"/>
    <n v="0"/>
    <m/>
    <s v="PRODUIT 14  |  VOLUME"/>
    <b v="1"/>
  </r>
  <r>
    <n v="552"/>
    <x v="0"/>
    <n v="1"/>
    <s v="YEAR3"/>
    <x v="5"/>
    <x v="1"/>
    <x v="14"/>
    <x v="3"/>
    <x v="1"/>
    <n v="1000"/>
    <n v="0"/>
    <n v="0"/>
    <n v="1000"/>
    <n v="1"/>
    <n v="0"/>
    <n v="0"/>
    <n v="500"/>
    <n v="0"/>
    <n v="0"/>
    <n v="500"/>
    <n v="1"/>
    <n v="1"/>
    <n v="1"/>
    <n v="0"/>
    <n v="0"/>
    <n v="0"/>
    <n v="0"/>
    <n v="0"/>
    <n v="0"/>
    <n v="0"/>
    <n v="0"/>
    <n v="0"/>
    <n v="0"/>
    <n v="0"/>
    <n v="0"/>
    <n v="0"/>
    <n v="0"/>
    <n v="0"/>
    <n v="0"/>
    <n v="0"/>
    <m/>
    <s v="PRODUIT 14  |  VOLUME"/>
    <b v="1"/>
  </r>
  <r>
    <n v="553"/>
    <x v="0"/>
    <n v="1"/>
    <s v="YEAR4"/>
    <x v="6"/>
    <x v="1"/>
    <x v="14"/>
    <x v="3"/>
    <x v="1"/>
    <n v="1000"/>
    <n v="0"/>
    <n v="0"/>
    <n v="1000"/>
    <n v="1"/>
    <n v="0"/>
    <n v="0"/>
    <n v="500"/>
    <n v="0"/>
    <n v="0"/>
    <n v="500"/>
    <n v="1"/>
    <n v="1"/>
    <n v="1"/>
    <n v="0"/>
    <n v="0"/>
    <n v="0"/>
    <n v="0"/>
    <n v="0"/>
    <n v="0"/>
    <n v="0"/>
    <n v="0"/>
    <n v="0"/>
    <n v="0"/>
    <n v="0"/>
    <n v="0"/>
    <n v="0"/>
    <n v="0"/>
    <n v="0"/>
    <n v="0"/>
    <n v="0"/>
    <m/>
    <s v="PRODUIT 14  |  VOLUME"/>
    <b v="1"/>
  </r>
  <r>
    <n v="554"/>
    <x v="0"/>
    <n v="1"/>
    <s v="YEAR5"/>
    <x v="7"/>
    <x v="1"/>
    <x v="14"/>
    <x v="3"/>
    <x v="1"/>
    <n v="1000"/>
    <n v="0"/>
    <n v="0"/>
    <n v="1000"/>
    <n v="1"/>
    <n v="0"/>
    <n v="0"/>
    <n v="500"/>
    <n v="0"/>
    <n v="0"/>
    <n v="500"/>
    <n v="1"/>
    <n v="1"/>
    <n v="1"/>
    <n v="0"/>
    <n v="0"/>
    <n v="0"/>
    <n v="0"/>
    <n v="0"/>
    <n v="0"/>
    <n v="0"/>
    <n v="0"/>
    <n v="0"/>
    <n v="0"/>
    <n v="0"/>
    <n v="0"/>
    <n v="0"/>
    <n v="0"/>
    <n v="0"/>
    <n v="0"/>
    <n v="0"/>
    <m/>
    <s v="PRODUIT 14  |  VOLUME"/>
    <b v="1"/>
  </r>
  <r>
    <n v="555"/>
    <x v="0"/>
    <n v="1"/>
    <s v="YEAR6"/>
    <x v="8"/>
    <x v="1"/>
    <x v="14"/>
    <x v="3"/>
    <x v="1"/>
    <n v="1000"/>
    <n v="0"/>
    <n v="0"/>
    <n v="1000"/>
    <n v="1"/>
    <n v="0"/>
    <n v="0"/>
    <n v="500"/>
    <n v="0"/>
    <n v="0"/>
    <n v="500"/>
    <n v="1"/>
    <n v="1"/>
    <n v="1"/>
    <n v="0"/>
    <n v="0"/>
    <n v="0"/>
    <n v="0"/>
    <n v="0"/>
    <n v="0"/>
    <n v="0"/>
    <n v="0"/>
    <n v="0"/>
    <n v="0"/>
    <n v="0"/>
    <n v="0"/>
    <n v="0"/>
    <n v="0"/>
    <n v="0"/>
    <n v="0"/>
    <n v="0"/>
    <m/>
    <s v="PRODUIT 14  |  VOLUME"/>
    <b v="1"/>
  </r>
  <r>
    <n v="556"/>
    <x v="0"/>
    <m/>
    <s v="YEAR-2"/>
    <x v="1"/>
    <x v="1"/>
    <x v="14"/>
    <x v="3"/>
    <x v="2"/>
    <m/>
    <m/>
    <m/>
    <m/>
    <m/>
    <m/>
    <m/>
    <m/>
    <m/>
    <m/>
    <m/>
    <m/>
    <m/>
    <m/>
    <m/>
    <m/>
    <m/>
    <m/>
    <m/>
    <n v="0"/>
    <n v="0"/>
    <n v="0"/>
    <n v="0"/>
    <n v="0"/>
    <n v="0"/>
    <n v="0"/>
    <n v="0"/>
    <n v="0"/>
    <n v="0"/>
    <n v="0"/>
    <n v="0"/>
    <m/>
    <s v="PRODUIT 14  |  CHIFFRE D'AFFAIRES"/>
    <b v="1"/>
  </r>
  <r>
    <n v="557"/>
    <x v="0"/>
    <m/>
    <s v="YEAR-1"/>
    <x v="2"/>
    <x v="1"/>
    <x v="14"/>
    <x v="3"/>
    <x v="2"/>
    <m/>
    <m/>
    <m/>
    <m/>
    <m/>
    <m/>
    <m/>
    <m/>
    <m/>
    <m/>
    <m/>
    <m/>
    <m/>
    <m/>
    <m/>
    <m/>
    <m/>
    <m/>
    <m/>
    <n v="0"/>
    <n v="0"/>
    <n v="0"/>
    <n v="0"/>
    <n v="0"/>
    <n v="0"/>
    <n v="0"/>
    <n v="0"/>
    <n v="0"/>
    <n v="0"/>
    <n v="0"/>
    <n v="0"/>
    <m/>
    <s v="PRODUIT 14  |  CHIFFRE D'AFFAIRES"/>
    <b v="1"/>
  </r>
  <r>
    <n v="558"/>
    <x v="0"/>
    <m/>
    <s v="CURRENT YEAR"/>
    <x v="3"/>
    <x v="1"/>
    <x v="14"/>
    <x v="3"/>
    <x v="2"/>
    <m/>
    <m/>
    <m/>
    <m/>
    <m/>
    <m/>
    <m/>
    <m/>
    <m/>
    <m/>
    <m/>
    <m/>
    <m/>
    <m/>
    <m/>
    <m/>
    <m/>
    <m/>
    <m/>
    <n v="0"/>
    <n v="0"/>
    <n v="0"/>
    <n v="0"/>
    <n v="0"/>
    <n v="0"/>
    <n v="0"/>
    <n v="0"/>
    <n v="0"/>
    <n v="0"/>
    <n v="0"/>
    <n v="0"/>
    <m/>
    <s v="PRODUIT 14  |  CHIFFRE D'AFFAIRES"/>
    <b v="1"/>
  </r>
  <r>
    <n v="559"/>
    <x v="0"/>
    <m/>
    <s v="YEAR2"/>
    <x v="4"/>
    <x v="1"/>
    <x v="14"/>
    <x v="3"/>
    <x v="2"/>
    <m/>
    <m/>
    <m/>
    <m/>
    <m/>
    <m/>
    <m/>
    <m/>
    <m/>
    <m/>
    <m/>
    <m/>
    <m/>
    <m/>
    <m/>
    <m/>
    <m/>
    <m/>
    <m/>
    <n v="0"/>
    <n v="0"/>
    <n v="0"/>
    <n v="0"/>
    <n v="0"/>
    <n v="0"/>
    <n v="0"/>
    <n v="0"/>
    <n v="0"/>
    <n v="0"/>
    <n v="0"/>
    <n v="0"/>
    <m/>
    <s v="PRODUIT 14  |  CHIFFRE D'AFFAIRES"/>
    <b v="1"/>
  </r>
  <r>
    <n v="560"/>
    <x v="0"/>
    <m/>
    <s v="YEAR3"/>
    <x v="5"/>
    <x v="1"/>
    <x v="14"/>
    <x v="3"/>
    <x v="2"/>
    <m/>
    <m/>
    <m/>
    <m/>
    <m/>
    <m/>
    <m/>
    <m/>
    <m/>
    <m/>
    <m/>
    <m/>
    <m/>
    <m/>
    <m/>
    <m/>
    <m/>
    <m/>
    <m/>
    <n v="0"/>
    <n v="0"/>
    <n v="0"/>
    <n v="0"/>
    <n v="0"/>
    <n v="0"/>
    <n v="0"/>
    <n v="0"/>
    <n v="0"/>
    <n v="0"/>
    <n v="0"/>
    <n v="0"/>
    <m/>
    <s v="PRODUIT 14  |  CHIFFRE D'AFFAIRES"/>
    <b v="1"/>
  </r>
  <r>
    <n v="561"/>
    <x v="0"/>
    <m/>
    <s v="YEAR4"/>
    <x v="6"/>
    <x v="1"/>
    <x v="14"/>
    <x v="3"/>
    <x v="2"/>
    <m/>
    <m/>
    <m/>
    <m/>
    <m/>
    <m/>
    <m/>
    <m/>
    <m/>
    <m/>
    <m/>
    <m/>
    <m/>
    <m/>
    <m/>
    <m/>
    <m/>
    <m/>
    <m/>
    <n v="0"/>
    <n v="0"/>
    <n v="0"/>
    <n v="0"/>
    <n v="0"/>
    <n v="0"/>
    <n v="0"/>
    <n v="0"/>
    <n v="0"/>
    <n v="0"/>
    <n v="0"/>
    <n v="0"/>
    <m/>
    <s v="PRODUIT 14  |  CHIFFRE D'AFFAIRES"/>
    <b v="1"/>
  </r>
  <r>
    <n v="562"/>
    <x v="0"/>
    <m/>
    <s v="YEAR5"/>
    <x v="7"/>
    <x v="1"/>
    <x v="14"/>
    <x v="3"/>
    <x v="2"/>
    <m/>
    <m/>
    <m/>
    <m/>
    <m/>
    <m/>
    <m/>
    <m/>
    <m/>
    <m/>
    <m/>
    <m/>
    <m/>
    <m/>
    <m/>
    <m/>
    <m/>
    <m/>
    <m/>
    <n v="0"/>
    <n v="0"/>
    <n v="0"/>
    <n v="0"/>
    <n v="0"/>
    <n v="0"/>
    <n v="0"/>
    <n v="0"/>
    <n v="0"/>
    <n v="0"/>
    <n v="0"/>
    <n v="0"/>
    <m/>
    <s v="PRODUIT 14  |  CHIFFRE D'AFFAIRES"/>
    <b v="1"/>
  </r>
  <r>
    <n v="563"/>
    <x v="0"/>
    <m/>
    <s v="YEAR6"/>
    <x v="8"/>
    <x v="1"/>
    <x v="14"/>
    <x v="3"/>
    <x v="2"/>
    <m/>
    <m/>
    <m/>
    <m/>
    <m/>
    <m/>
    <m/>
    <m/>
    <m/>
    <m/>
    <m/>
    <m/>
    <m/>
    <m/>
    <m/>
    <m/>
    <m/>
    <m/>
    <m/>
    <n v="0"/>
    <n v="0"/>
    <n v="0"/>
    <n v="0"/>
    <n v="0"/>
    <n v="0"/>
    <n v="0"/>
    <n v="0"/>
    <n v="0"/>
    <n v="0"/>
    <n v="0"/>
    <n v="0"/>
    <m/>
    <s v="PRODUIT 14  |  CHIFFRE D'AFFAIRES"/>
    <b v="1"/>
  </r>
  <r>
    <n v="564"/>
    <x v="0"/>
    <m/>
    <s v="YEAR-2"/>
    <x v="1"/>
    <x v="1"/>
    <x v="14"/>
    <x v="3"/>
    <x v="3"/>
    <m/>
    <m/>
    <m/>
    <m/>
    <m/>
    <m/>
    <m/>
    <m/>
    <m/>
    <m/>
    <m/>
    <m/>
    <m/>
    <m/>
    <m/>
    <m/>
    <m/>
    <m/>
    <m/>
    <n v="0"/>
    <n v="0"/>
    <n v="0"/>
    <n v="0"/>
    <n v="0"/>
    <n v="0"/>
    <n v="0"/>
    <n v="0"/>
    <n v="0"/>
    <m/>
    <n v="0"/>
    <m/>
    <m/>
    <s v="PRODUIT 14  |  PRIX MOYEN DE VENTE PAR PRODUIT/SERVICE"/>
    <m/>
  </r>
  <r>
    <n v="565"/>
    <x v="0"/>
    <m/>
    <s v="YEAR-1"/>
    <x v="2"/>
    <x v="1"/>
    <x v="14"/>
    <x v="3"/>
    <x v="3"/>
    <m/>
    <m/>
    <m/>
    <m/>
    <m/>
    <m/>
    <m/>
    <m/>
    <m/>
    <m/>
    <m/>
    <m/>
    <m/>
    <m/>
    <m/>
    <m/>
    <m/>
    <m/>
    <m/>
    <n v="0"/>
    <n v="0"/>
    <n v="0"/>
    <n v="0"/>
    <n v="0"/>
    <n v="0"/>
    <n v="0"/>
    <n v="0"/>
    <n v="0"/>
    <m/>
    <n v="0"/>
    <m/>
    <m/>
    <s v="PRODUIT 14  |  PRIX MOYEN DE VENTE PAR PRODUIT/SERVICE"/>
    <m/>
  </r>
  <r>
    <n v="566"/>
    <x v="0"/>
    <m/>
    <s v="CURRENT YEAR"/>
    <x v="3"/>
    <x v="1"/>
    <x v="14"/>
    <x v="3"/>
    <x v="3"/>
    <m/>
    <m/>
    <m/>
    <m/>
    <m/>
    <m/>
    <m/>
    <m/>
    <m/>
    <m/>
    <m/>
    <m/>
    <m/>
    <m/>
    <m/>
    <m/>
    <m/>
    <m/>
    <m/>
    <n v="0"/>
    <n v="0"/>
    <n v="0"/>
    <n v="0"/>
    <n v="0"/>
    <n v="0"/>
    <n v="0"/>
    <n v="0"/>
    <n v="0"/>
    <m/>
    <n v="0"/>
    <m/>
    <m/>
    <s v="PRODUIT 14  |  PRIX MOYEN DE VENTE PAR PRODUIT/SERVICE"/>
    <m/>
  </r>
  <r>
    <n v="567"/>
    <x v="0"/>
    <m/>
    <s v="YEAR2"/>
    <x v="4"/>
    <x v="1"/>
    <x v="14"/>
    <x v="3"/>
    <x v="3"/>
    <m/>
    <m/>
    <m/>
    <m/>
    <m/>
    <m/>
    <m/>
    <m/>
    <m/>
    <m/>
    <m/>
    <m/>
    <m/>
    <m/>
    <m/>
    <m/>
    <m/>
    <m/>
    <m/>
    <n v="0"/>
    <n v="0"/>
    <n v="0"/>
    <n v="0"/>
    <n v="0"/>
    <n v="0"/>
    <n v="0"/>
    <n v="0"/>
    <n v="0"/>
    <m/>
    <n v="0"/>
    <m/>
    <m/>
    <s v="PRODUIT 14  |  PRIX MOYEN DE VENTE PAR PRODUIT/SERVICE"/>
    <m/>
  </r>
  <r>
    <n v="568"/>
    <x v="0"/>
    <m/>
    <s v="YEAR3"/>
    <x v="5"/>
    <x v="1"/>
    <x v="14"/>
    <x v="3"/>
    <x v="3"/>
    <m/>
    <m/>
    <m/>
    <m/>
    <m/>
    <m/>
    <m/>
    <m/>
    <m/>
    <m/>
    <m/>
    <m/>
    <m/>
    <m/>
    <m/>
    <m/>
    <m/>
    <m/>
    <m/>
    <n v="0"/>
    <n v="0"/>
    <n v="0"/>
    <n v="0"/>
    <n v="0"/>
    <n v="0"/>
    <n v="0"/>
    <n v="0"/>
    <n v="0"/>
    <m/>
    <n v="0"/>
    <m/>
    <m/>
    <s v="PRODUIT 14  |  PRIX MOYEN DE VENTE PAR PRODUIT/SERVICE"/>
    <m/>
  </r>
  <r>
    <n v="569"/>
    <x v="0"/>
    <m/>
    <s v="YEAR4"/>
    <x v="6"/>
    <x v="1"/>
    <x v="14"/>
    <x v="3"/>
    <x v="3"/>
    <m/>
    <m/>
    <m/>
    <m/>
    <m/>
    <m/>
    <m/>
    <m/>
    <m/>
    <m/>
    <m/>
    <m/>
    <m/>
    <m/>
    <m/>
    <m/>
    <m/>
    <m/>
    <m/>
    <n v="0"/>
    <n v="0"/>
    <n v="0"/>
    <n v="0"/>
    <n v="0"/>
    <n v="0"/>
    <n v="0"/>
    <n v="0"/>
    <n v="0"/>
    <m/>
    <n v="0"/>
    <m/>
    <m/>
    <s v="PRODUIT 14  |  PRIX MOYEN DE VENTE PAR PRODUIT/SERVICE"/>
    <m/>
  </r>
  <r>
    <n v="570"/>
    <x v="0"/>
    <m/>
    <s v="YEAR5"/>
    <x v="7"/>
    <x v="1"/>
    <x v="14"/>
    <x v="3"/>
    <x v="3"/>
    <m/>
    <m/>
    <m/>
    <m/>
    <m/>
    <m/>
    <m/>
    <m/>
    <m/>
    <m/>
    <m/>
    <m/>
    <m/>
    <m/>
    <m/>
    <m/>
    <m/>
    <m/>
    <m/>
    <n v="0"/>
    <n v="0"/>
    <n v="0"/>
    <n v="0"/>
    <n v="0"/>
    <n v="0"/>
    <n v="0"/>
    <n v="0"/>
    <n v="0"/>
    <m/>
    <n v="0"/>
    <m/>
    <m/>
    <s v="PRODUIT 14  |  PRIX MOYEN DE VENTE PAR PRODUIT/SERVICE"/>
    <m/>
  </r>
  <r>
    <n v="571"/>
    <x v="0"/>
    <m/>
    <s v="YEAR6"/>
    <x v="8"/>
    <x v="1"/>
    <x v="14"/>
    <x v="3"/>
    <x v="3"/>
    <m/>
    <m/>
    <m/>
    <m/>
    <m/>
    <m/>
    <m/>
    <m/>
    <m/>
    <m/>
    <m/>
    <m/>
    <m/>
    <m/>
    <m/>
    <m/>
    <m/>
    <m/>
    <m/>
    <n v="0"/>
    <n v="0"/>
    <n v="0"/>
    <n v="0"/>
    <n v="0"/>
    <n v="0"/>
    <n v="0"/>
    <n v="0"/>
    <n v="0"/>
    <m/>
    <n v="0"/>
    <m/>
    <m/>
    <s v="PRODUIT 14  |  PRIX MOYEN DE VENTE PAR PRODUIT/SERVICE"/>
    <m/>
  </r>
  <r>
    <n v="572"/>
    <x v="0"/>
    <m/>
    <s v="YEAR-2"/>
    <x v="1"/>
    <x v="1"/>
    <x v="14"/>
    <x v="3"/>
    <x v="4"/>
    <m/>
    <m/>
    <m/>
    <m/>
    <m/>
    <m/>
    <m/>
    <m/>
    <m/>
    <m/>
    <m/>
    <m/>
    <m/>
    <m/>
    <m/>
    <m/>
    <m/>
    <m/>
    <m/>
    <n v="0"/>
    <n v="0"/>
    <n v="0"/>
    <n v="0"/>
    <n v="0"/>
    <n v="0"/>
    <n v="0"/>
    <n v="0"/>
    <n v="0"/>
    <n v="0"/>
    <n v="0"/>
    <n v="0"/>
    <m/>
    <s v="PRODUIT 14  |  DEPENSES SUR ACHATS"/>
    <b v="1"/>
  </r>
  <r>
    <n v="573"/>
    <x v="0"/>
    <m/>
    <s v="YEAR-1"/>
    <x v="2"/>
    <x v="1"/>
    <x v="14"/>
    <x v="3"/>
    <x v="4"/>
    <m/>
    <m/>
    <m/>
    <m/>
    <m/>
    <m/>
    <m/>
    <m/>
    <m/>
    <m/>
    <m/>
    <m/>
    <m/>
    <m/>
    <m/>
    <m/>
    <m/>
    <m/>
    <m/>
    <n v="0"/>
    <n v="0"/>
    <n v="0"/>
    <n v="0"/>
    <n v="0"/>
    <n v="0"/>
    <n v="0"/>
    <n v="0"/>
    <n v="0"/>
    <n v="0"/>
    <n v="0"/>
    <n v="0"/>
    <m/>
    <s v="PRODUIT 14  |  DEPENSES SUR ACHATS"/>
    <b v="1"/>
  </r>
  <r>
    <n v="574"/>
    <x v="0"/>
    <m/>
    <s v="CURRENT YEAR"/>
    <x v="3"/>
    <x v="1"/>
    <x v="14"/>
    <x v="3"/>
    <x v="4"/>
    <m/>
    <m/>
    <m/>
    <m/>
    <m/>
    <m/>
    <m/>
    <m/>
    <m/>
    <m/>
    <m/>
    <m/>
    <m/>
    <m/>
    <m/>
    <m/>
    <m/>
    <m/>
    <m/>
    <n v="0"/>
    <n v="0"/>
    <n v="0"/>
    <n v="0"/>
    <n v="0"/>
    <n v="0"/>
    <n v="0"/>
    <n v="0"/>
    <n v="0"/>
    <n v="0"/>
    <n v="0"/>
    <n v="0"/>
    <m/>
    <s v="PRODUIT 14  |  DEPENSES SUR ACHATS"/>
    <b v="1"/>
  </r>
  <r>
    <n v="575"/>
    <x v="0"/>
    <m/>
    <s v="YEAR2"/>
    <x v="4"/>
    <x v="1"/>
    <x v="14"/>
    <x v="3"/>
    <x v="4"/>
    <m/>
    <m/>
    <m/>
    <m/>
    <m/>
    <m/>
    <m/>
    <m/>
    <m/>
    <m/>
    <m/>
    <m/>
    <m/>
    <m/>
    <m/>
    <m/>
    <m/>
    <m/>
    <m/>
    <n v="0"/>
    <n v="0"/>
    <n v="0"/>
    <n v="0"/>
    <n v="0"/>
    <n v="0"/>
    <n v="0"/>
    <n v="0"/>
    <n v="0"/>
    <n v="0"/>
    <n v="0"/>
    <n v="0"/>
    <m/>
    <s v="PRODUIT 14  |  DEPENSES SUR ACHATS"/>
    <b v="1"/>
  </r>
  <r>
    <n v="576"/>
    <x v="0"/>
    <m/>
    <s v="YEAR3"/>
    <x v="5"/>
    <x v="1"/>
    <x v="14"/>
    <x v="3"/>
    <x v="4"/>
    <m/>
    <m/>
    <m/>
    <m/>
    <m/>
    <m/>
    <m/>
    <m/>
    <m/>
    <m/>
    <m/>
    <m/>
    <m/>
    <m/>
    <m/>
    <m/>
    <m/>
    <m/>
    <m/>
    <n v="0"/>
    <n v="0"/>
    <n v="0"/>
    <n v="0"/>
    <n v="0"/>
    <n v="0"/>
    <n v="0"/>
    <n v="0"/>
    <n v="0"/>
    <n v="0"/>
    <n v="0"/>
    <n v="0"/>
    <m/>
    <s v="PRODUIT 14  |  DEPENSES SUR ACHATS"/>
    <b v="1"/>
  </r>
  <r>
    <n v="577"/>
    <x v="0"/>
    <m/>
    <s v="YEAR4"/>
    <x v="6"/>
    <x v="1"/>
    <x v="14"/>
    <x v="3"/>
    <x v="4"/>
    <m/>
    <m/>
    <m/>
    <m/>
    <m/>
    <m/>
    <m/>
    <m/>
    <m/>
    <m/>
    <m/>
    <m/>
    <m/>
    <m/>
    <m/>
    <m/>
    <m/>
    <m/>
    <m/>
    <n v="0"/>
    <n v="0"/>
    <n v="0"/>
    <n v="0"/>
    <n v="0"/>
    <n v="0"/>
    <n v="0"/>
    <n v="0"/>
    <n v="0"/>
    <n v="0"/>
    <n v="0"/>
    <n v="0"/>
    <m/>
    <s v="PRODUIT 14  |  DEPENSES SUR ACHATS"/>
    <b v="1"/>
  </r>
  <r>
    <n v="578"/>
    <x v="0"/>
    <m/>
    <s v="YEAR5"/>
    <x v="7"/>
    <x v="1"/>
    <x v="14"/>
    <x v="3"/>
    <x v="4"/>
    <m/>
    <m/>
    <m/>
    <m/>
    <m/>
    <m/>
    <m/>
    <m/>
    <m/>
    <m/>
    <m/>
    <m/>
    <m/>
    <m/>
    <m/>
    <m/>
    <m/>
    <m/>
    <m/>
    <n v="0"/>
    <n v="0"/>
    <n v="0"/>
    <n v="0"/>
    <n v="0"/>
    <n v="0"/>
    <n v="0"/>
    <n v="0"/>
    <n v="0"/>
    <n v="0"/>
    <n v="0"/>
    <n v="0"/>
    <m/>
    <s v="PRODUIT 14  |  DEPENSES SUR ACHATS"/>
    <b v="1"/>
  </r>
  <r>
    <n v="579"/>
    <x v="0"/>
    <m/>
    <s v="YEAR6"/>
    <x v="8"/>
    <x v="1"/>
    <x v="14"/>
    <x v="3"/>
    <x v="4"/>
    <m/>
    <m/>
    <m/>
    <m/>
    <m/>
    <m/>
    <m/>
    <m/>
    <m/>
    <m/>
    <m/>
    <m/>
    <m/>
    <m/>
    <m/>
    <m/>
    <m/>
    <m/>
    <m/>
    <n v="0"/>
    <n v="0"/>
    <n v="0"/>
    <n v="0"/>
    <n v="0"/>
    <n v="0"/>
    <n v="0"/>
    <n v="0"/>
    <n v="0"/>
    <n v="0"/>
    <n v="0"/>
    <n v="0"/>
    <m/>
    <s v="PRODUIT 14  |  DEPENSES SUR ACHATS"/>
    <b v="1"/>
  </r>
  <r>
    <n v="580"/>
    <x v="0"/>
    <m/>
    <s v="YEAR-2"/>
    <x v="1"/>
    <x v="1"/>
    <x v="14"/>
    <x v="3"/>
    <x v="5"/>
    <m/>
    <m/>
    <m/>
    <m/>
    <m/>
    <m/>
    <m/>
    <m/>
    <m/>
    <m/>
    <m/>
    <m/>
    <m/>
    <m/>
    <m/>
    <m/>
    <m/>
    <m/>
    <m/>
    <n v="0"/>
    <n v="0"/>
    <n v="0"/>
    <n v="0"/>
    <n v="0"/>
    <n v="0"/>
    <n v="0"/>
    <n v="0"/>
    <n v="0"/>
    <m/>
    <n v="0"/>
    <m/>
    <m/>
    <s v="PRODUIT 14  |  PRIX MOYEN D'ACHAT PAR PRODUIT/SERVICE"/>
    <m/>
  </r>
  <r>
    <n v="581"/>
    <x v="0"/>
    <m/>
    <s v="YEAR-1"/>
    <x v="2"/>
    <x v="1"/>
    <x v="14"/>
    <x v="3"/>
    <x v="5"/>
    <m/>
    <m/>
    <m/>
    <m/>
    <m/>
    <m/>
    <m/>
    <m/>
    <m/>
    <m/>
    <m/>
    <m/>
    <m/>
    <m/>
    <m/>
    <m/>
    <m/>
    <m/>
    <m/>
    <n v="0"/>
    <n v="0"/>
    <n v="0"/>
    <n v="0"/>
    <n v="0"/>
    <n v="0"/>
    <n v="0"/>
    <n v="0"/>
    <n v="0"/>
    <m/>
    <n v="0"/>
    <m/>
    <m/>
    <s v="PRODUIT 14  |  PRIX MOYEN D'ACHAT PAR PRODUIT/SERVICE"/>
    <m/>
  </r>
  <r>
    <n v="582"/>
    <x v="0"/>
    <m/>
    <s v="CURRENT YEAR"/>
    <x v="3"/>
    <x v="1"/>
    <x v="14"/>
    <x v="3"/>
    <x v="5"/>
    <m/>
    <m/>
    <m/>
    <m/>
    <m/>
    <m/>
    <m/>
    <m/>
    <m/>
    <m/>
    <m/>
    <m/>
    <m/>
    <m/>
    <m/>
    <m/>
    <m/>
    <m/>
    <m/>
    <n v="0"/>
    <n v="0"/>
    <n v="0"/>
    <n v="0"/>
    <n v="0"/>
    <n v="0"/>
    <n v="0"/>
    <n v="0"/>
    <n v="0"/>
    <m/>
    <n v="0"/>
    <m/>
    <m/>
    <s v="PRODUIT 14  |  PRIX MOYEN D'ACHAT PAR PRODUIT/SERVICE"/>
    <m/>
  </r>
  <r>
    <n v="583"/>
    <x v="0"/>
    <m/>
    <s v="YEAR2"/>
    <x v="4"/>
    <x v="1"/>
    <x v="14"/>
    <x v="3"/>
    <x v="5"/>
    <m/>
    <m/>
    <m/>
    <m/>
    <m/>
    <m/>
    <m/>
    <m/>
    <m/>
    <m/>
    <m/>
    <m/>
    <m/>
    <m/>
    <m/>
    <m/>
    <m/>
    <m/>
    <m/>
    <n v="0"/>
    <n v="0"/>
    <n v="0"/>
    <n v="0"/>
    <n v="0"/>
    <n v="0"/>
    <n v="0"/>
    <n v="0"/>
    <n v="0"/>
    <m/>
    <n v="0"/>
    <m/>
    <m/>
    <s v="PRODUIT 14  |  PRIX MOYEN D'ACHAT PAR PRODUIT/SERVICE"/>
    <m/>
  </r>
  <r>
    <n v="584"/>
    <x v="0"/>
    <m/>
    <s v="YEAR3"/>
    <x v="5"/>
    <x v="1"/>
    <x v="14"/>
    <x v="3"/>
    <x v="5"/>
    <m/>
    <m/>
    <m/>
    <m/>
    <m/>
    <m/>
    <m/>
    <m/>
    <m/>
    <m/>
    <m/>
    <m/>
    <m/>
    <m/>
    <m/>
    <m/>
    <m/>
    <m/>
    <m/>
    <n v="0"/>
    <n v="0"/>
    <n v="0"/>
    <n v="0"/>
    <n v="0"/>
    <n v="0"/>
    <n v="0"/>
    <n v="0"/>
    <n v="0"/>
    <m/>
    <n v="0"/>
    <m/>
    <m/>
    <s v="PRODUIT 14  |  PRIX MOYEN D'ACHAT PAR PRODUIT/SERVICE"/>
    <m/>
  </r>
  <r>
    <n v="585"/>
    <x v="0"/>
    <m/>
    <s v="YEAR4"/>
    <x v="6"/>
    <x v="1"/>
    <x v="14"/>
    <x v="3"/>
    <x v="5"/>
    <m/>
    <m/>
    <m/>
    <m/>
    <m/>
    <m/>
    <m/>
    <m/>
    <m/>
    <m/>
    <m/>
    <m/>
    <m/>
    <m/>
    <m/>
    <m/>
    <m/>
    <m/>
    <m/>
    <n v="0"/>
    <n v="0"/>
    <n v="0"/>
    <n v="0"/>
    <n v="0"/>
    <n v="0"/>
    <n v="0"/>
    <n v="0"/>
    <n v="0"/>
    <m/>
    <n v="0"/>
    <m/>
    <m/>
    <s v="PRODUIT 14  |  PRIX MOYEN D'ACHAT PAR PRODUIT/SERVICE"/>
    <m/>
  </r>
  <r>
    <n v="586"/>
    <x v="0"/>
    <m/>
    <s v="YEAR5"/>
    <x v="7"/>
    <x v="1"/>
    <x v="14"/>
    <x v="3"/>
    <x v="5"/>
    <m/>
    <m/>
    <m/>
    <m/>
    <m/>
    <m/>
    <m/>
    <m/>
    <m/>
    <m/>
    <m/>
    <m/>
    <m/>
    <m/>
    <m/>
    <m/>
    <m/>
    <m/>
    <m/>
    <n v="0"/>
    <n v="0"/>
    <n v="0"/>
    <n v="0"/>
    <n v="0"/>
    <n v="0"/>
    <n v="0"/>
    <n v="0"/>
    <n v="0"/>
    <m/>
    <n v="0"/>
    <m/>
    <m/>
    <s v="PRODUIT 14  |  PRIX MOYEN D'ACHAT PAR PRODUIT/SERVICE"/>
    <m/>
  </r>
  <r>
    <n v="587"/>
    <x v="0"/>
    <m/>
    <s v="YEAR6"/>
    <x v="8"/>
    <x v="1"/>
    <x v="14"/>
    <x v="3"/>
    <x v="5"/>
    <m/>
    <m/>
    <m/>
    <m/>
    <m/>
    <m/>
    <m/>
    <m/>
    <m/>
    <m/>
    <m/>
    <m/>
    <m/>
    <m/>
    <m/>
    <m/>
    <m/>
    <m/>
    <m/>
    <n v="0"/>
    <n v="0"/>
    <n v="0"/>
    <n v="0"/>
    <n v="0"/>
    <n v="0"/>
    <n v="0"/>
    <n v="0"/>
    <n v="0"/>
    <m/>
    <n v="0"/>
    <m/>
    <m/>
    <s v="PRODUIT 14  |  PRIX MOYEN D'ACHAT PAR PRODUIT/SERVICE"/>
    <m/>
  </r>
  <r>
    <n v="588"/>
    <x v="0"/>
    <n v="1"/>
    <m/>
    <x v="0"/>
    <x v="0"/>
    <x v="0"/>
    <x v="0"/>
    <x v="0"/>
    <m/>
    <m/>
    <m/>
    <m/>
    <m/>
    <m/>
    <m/>
    <m/>
    <m/>
    <m/>
    <m/>
    <m/>
    <m/>
    <m/>
    <m/>
    <m/>
    <m/>
    <m/>
    <m/>
    <m/>
    <m/>
    <m/>
    <m/>
    <m/>
    <m/>
    <m/>
    <m/>
    <m/>
    <m/>
    <m/>
    <m/>
    <m/>
    <m/>
    <m/>
  </r>
  <r>
    <n v="589"/>
    <x v="0"/>
    <m/>
    <m/>
    <x v="0"/>
    <x v="0"/>
    <x v="0"/>
    <x v="0"/>
    <x v="0"/>
    <m/>
    <m/>
    <m/>
    <m/>
    <m/>
    <m/>
    <m/>
    <m/>
    <m/>
    <m/>
    <m/>
    <m/>
    <m/>
    <m/>
    <m/>
    <m/>
    <m/>
    <m/>
    <m/>
    <m/>
    <m/>
    <m/>
    <m/>
    <m/>
    <m/>
    <m/>
    <m/>
    <m/>
    <m/>
    <m/>
    <m/>
    <m/>
    <m/>
    <m/>
  </r>
  <r>
    <n v="590"/>
    <x v="0"/>
    <n v="1"/>
    <s v="YEAR-2"/>
    <x v="1"/>
    <x v="1"/>
    <x v="15"/>
    <x v="3"/>
    <x v="1"/>
    <n v="1000"/>
    <n v="0"/>
    <n v="0"/>
    <n v="1000"/>
    <n v="1"/>
    <n v="0"/>
    <n v="0"/>
    <n v="500"/>
    <n v="0"/>
    <n v="0"/>
    <n v="500"/>
    <n v="1"/>
    <n v="1"/>
    <n v="1"/>
    <n v="0"/>
    <n v="0"/>
    <n v="0"/>
    <n v="0"/>
    <n v="0"/>
    <n v="0"/>
    <n v="0"/>
    <n v="0"/>
    <n v="0"/>
    <n v="0"/>
    <n v="0"/>
    <n v="0"/>
    <n v="0"/>
    <n v="0"/>
    <n v="0"/>
    <n v="0"/>
    <n v="0"/>
    <s v="GAMME # : 1 + CANAL DE DISTRIBUTION # : 1"/>
    <s v="PRODUIT 15  |  VOLUME"/>
    <b v="1"/>
  </r>
  <r>
    <n v="591"/>
    <x v="0"/>
    <n v="1"/>
    <s v="YEAR-1"/>
    <x v="2"/>
    <x v="1"/>
    <x v="15"/>
    <x v="3"/>
    <x v="1"/>
    <n v="1000"/>
    <n v="0"/>
    <n v="0"/>
    <n v="1000"/>
    <n v="1"/>
    <n v="0"/>
    <n v="0"/>
    <n v="500"/>
    <n v="0"/>
    <n v="0"/>
    <n v="500"/>
    <n v="1"/>
    <n v="1"/>
    <n v="1"/>
    <n v="0"/>
    <n v="0"/>
    <n v="0"/>
    <n v="0"/>
    <n v="0"/>
    <n v="0"/>
    <n v="0"/>
    <n v="0"/>
    <n v="0"/>
    <n v="0"/>
    <n v="0"/>
    <n v="0"/>
    <n v="0"/>
    <n v="0"/>
    <n v="0"/>
    <n v="0"/>
    <n v="0"/>
    <m/>
    <s v="PRODUIT 15  |  VOLUME"/>
    <b v="1"/>
  </r>
  <r>
    <n v="592"/>
    <x v="0"/>
    <n v="1"/>
    <s v="CURRENT YEAR"/>
    <x v="3"/>
    <x v="1"/>
    <x v="15"/>
    <x v="3"/>
    <x v="1"/>
    <n v="1000"/>
    <n v="0"/>
    <n v="0"/>
    <n v="1000"/>
    <n v="1"/>
    <n v="0"/>
    <n v="0"/>
    <n v="500"/>
    <n v="0"/>
    <n v="0"/>
    <n v="500"/>
    <n v="1"/>
    <n v="1"/>
    <n v="1"/>
    <n v="0"/>
    <n v="0"/>
    <n v="0"/>
    <n v="0"/>
    <n v="0"/>
    <n v="0"/>
    <n v="0"/>
    <n v="0"/>
    <n v="0"/>
    <n v="0"/>
    <n v="0"/>
    <n v="0"/>
    <n v="0"/>
    <n v="0"/>
    <n v="0"/>
    <n v="0"/>
    <n v="0"/>
    <m/>
    <s v="PRODUIT 15  |  VOLUME"/>
    <b v="1"/>
  </r>
  <r>
    <n v="593"/>
    <x v="0"/>
    <n v="1"/>
    <s v="YEAR2"/>
    <x v="4"/>
    <x v="1"/>
    <x v="15"/>
    <x v="3"/>
    <x v="1"/>
    <n v="1000"/>
    <n v="0"/>
    <n v="0"/>
    <n v="1000"/>
    <n v="1"/>
    <n v="0"/>
    <n v="0"/>
    <n v="500"/>
    <n v="0"/>
    <n v="0"/>
    <n v="500"/>
    <n v="1"/>
    <n v="1"/>
    <n v="1"/>
    <n v="0"/>
    <n v="0"/>
    <n v="0"/>
    <n v="0"/>
    <n v="0"/>
    <n v="0"/>
    <n v="0"/>
    <n v="0"/>
    <n v="0"/>
    <n v="0"/>
    <n v="0"/>
    <n v="0"/>
    <n v="0"/>
    <n v="0"/>
    <n v="0"/>
    <n v="0"/>
    <n v="0"/>
    <m/>
    <s v="PRODUIT 15  |  VOLUME"/>
    <b v="1"/>
  </r>
  <r>
    <n v="594"/>
    <x v="0"/>
    <n v="1"/>
    <s v="YEAR3"/>
    <x v="5"/>
    <x v="1"/>
    <x v="15"/>
    <x v="3"/>
    <x v="1"/>
    <n v="1000"/>
    <n v="0"/>
    <n v="0"/>
    <n v="1000"/>
    <n v="1"/>
    <n v="0"/>
    <n v="0"/>
    <n v="500"/>
    <n v="0"/>
    <n v="0"/>
    <n v="500"/>
    <n v="1"/>
    <n v="1"/>
    <n v="1"/>
    <n v="0"/>
    <n v="0"/>
    <n v="0"/>
    <n v="0"/>
    <n v="0"/>
    <n v="0"/>
    <n v="0"/>
    <n v="0"/>
    <n v="0"/>
    <n v="0"/>
    <n v="0"/>
    <n v="0"/>
    <n v="0"/>
    <n v="0"/>
    <n v="0"/>
    <n v="0"/>
    <n v="0"/>
    <m/>
    <s v="PRODUIT 15  |  VOLUME"/>
    <b v="1"/>
  </r>
  <r>
    <n v="595"/>
    <x v="0"/>
    <n v="1"/>
    <s v="YEAR4"/>
    <x v="6"/>
    <x v="1"/>
    <x v="15"/>
    <x v="3"/>
    <x v="1"/>
    <n v="1000"/>
    <n v="0"/>
    <n v="0"/>
    <n v="1000"/>
    <n v="1"/>
    <n v="0"/>
    <n v="0"/>
    <n v="500"/>
    <n v="0"/>
    <n v="0"/>
    <n v="500"/>
    <n v="1"/>
    <n v="1"/>
    <n v="1"/>
    <n v="0"/>
    <n v="0"/>
    <n v="0"/>
    <n v="0"/>
    <n v="0"/>
    <n v="0"/>
    <n v="0"/>
    <n v="0"/>
    <n v="0"/>
    <n v="0"/>
    <n v="0"/>
    <n v="0"/>
    <n v="0"/>
    <n v="0"/>
    <n v="0"/>
    <n v="0"/>
    <n v="0"/>
    <m/>
    <s v="PRODUIT 15  |  VOLUME"/>
    <b v="1"/>
  </r>
  <r>
    <n v="596"/>
    <x v="0"/>
    <n v="1"/>
    <s v="YEAR5"/>
    <x v="7"/>
    <x v="1"/>
    <x v="15"/>
    <x v="3"/>
    <x v="1"/>
    <n v="1000"/>
    <n v="0"/>
    <n v="0"/>
    <n v="1000"/>
    <n v="1"/>
    <n v="0"/>
    <n v="0"/>
    <n v="500"/>
    <n v="0"/>
    <n v="0"/>
    <n v="500"/>
    <n v="1"/>
    <n v="1"/>
    <n v="1"/>
    <n v="0"/>
    <n v="0"/>
    <n v="0"/>
    <n v="0"/>
    <n v="0"/>
    <n v="0"/>
    <n v="0"/>
    <n v="0"/>
    <n v="0"/>
    <n v="0"/>
    <n v="0"/>
    <n v="0"/>
    <n v="0"/>
    <n v="0"/>
    <n v="0"/>
    <n v="0"/>
    <n v="0"/>
    <m/>
    <s v="PRODUIT 15  |  VOLUME"/>
    <b v="1"/>
  </r>
  <r>
    <n v="597"/>
    <x v="0"/>
    <n v="1"/>
    <s v="YEAR6"/>
    <x v="8"/>
    <x v="1"/>
    <x v="15"/>
    <x v="3"/>
    <x v="1"/>
    <n v="1000"/>
    <n v="0"/>
    <n v="0"/>
    <n v="1000"/>
    <n v="1"/>
    <n v="0"/>
    <n v="0"/>
    <n v="500"/>
    <n v="0"/>
    <n v="0"/>
    <n v="500"/>
    <n v="1"/>
    <n v="1"/>
    <n v="1"/>
    <n v="0"/>
    <n v="0"/>
    <n v="0"/>
    <n v="0"/>
    <n v="0"/>
    <n v="0"/>
    <n v="0"/>
    <n v="0"/>
    <n v="0"/>
    <n v="0"/>
    <n v="0"/>
    <n v="0"/>
    <n v="0"/>
    <n v="0"/>
    <n v="0"/>
    <n v="0"/>
    <n v="0"/>
    <m/>
    <s v="PRODUIT 15  |  VOLUME"/>
    <b v="1"/>
  </r>
  <r>
    <n v="598"/>
    <x v="0"/>
    <m/>
    <s v="YEAR-2"/>
    <x v="1"/>
    <x v="1"/>
    <x v="15"/>
    <x v="3"/>
    <x v="2"/>
    <m/>
    <m/>
    <m/>
    <m/>
    <m/>
    <m/>
    <m/>
    <m/>
    <m/>
    <m/>
    <m/>
    <m/>
    <m/>
    <m/>
    <m/>
    <m/>
    <m/>
    <m/>
    <m/>
    <n v="0"/>
    <n v="0"/>
    <n v="0"/>
    <n v="0"/>
    <n v="0"/>
    <n v="0"/>
    <n v="0"/>
    <n v="0"/>
    <n v="0"/>
    <n v="0"/>
    <n v="0"/>
    <n v="0"/>
    <m/>
    <s v="PRODUIT 15  |  CHIFFRE D'AFFAIRES"/>
    <b v="1"/>
  </r>
  <r>
    <n v="599"/>
    <x v="0"/>
    <m/>
    <s v="YEAR-1"/>
    <x v="2"/>
    <x v="1"/>
    <x v="15"/>
    <x v="3"/>
    <x v="2"/>
    <m/>
    <m/>
    <m/>
    <m/>
    <m/>
    <m/>
    <m/>
    <m/>
    <m/>
    <m/>
    <m/>
    <m/>
    <m/>
    <m/>
    <m/>
    <m/>
    <m/>
    <m/>
    <m/>
    <n v="0"/>
    <n v="0"/>
    <n v="0"/>
    <n v="0"/>
    <n v="0"/>
    <n v="0"/>
    <n v="0"/>
    <n v="0"/>
    <n v="0"/>
    <n v="0"/>
    <n v="0"/>
    <n v="0"/>
    <m/>
    <s v="PRODUIT 15  |  CHIFFRE D'AFFAIRES"/>
    <b v="1"/>
  </r>
  <r>
    <n v="600"/>
    <x v="0"/>
    <m/>
    <s v="CURRENT YEAR"/>
    <x v="3"/>
    <x v="1"/>
    <x v="15"/>
    <x v="3"/>
    <x v="2"/>
    <m/>
    <m/>
    <m/>
    <m/>
    <m/>
    <m/>
    <m/>
    <m/>
    <m/>
    <m/>
    <m/>
    <m/>
    <m/>
    <m/>
    <m/>
    <m/>
    <m/>
    <m/>
    <m/>
    <n v="0"/>
    <n v="0"/>
    <n v="0"/>
    <n v="0"/>
    <n v="0"/>
    <n v="0"/>
    <n v="0"/>
    <n v="0"/>
    <n v="0"/>
    <n v="0"/>
    <n v="0"/>
    <n v="0"/>
    <m/>
    <s v="PRODUIT 15  |  CHIFFRE D'AFFAIRES"/>
    <b v="1"/>
  </r>
  <r>
    <n v="601"/>
    <x v="0"/>
    <m/>
    <s v="YEAR2"/>
    <x v="4"/>
    <x v="1"/>
    <x v="15"/>
    <x v="3"/>
    <x v="2"/>
    <m/>
    <m/>
    <m/>
    <m/>
    <m/>
    <m/>
    <m/>
    <m/>
    <m/>
    <m/>
    <m/>
    <m/>
    <m/>
    <m/>
    <m/>
    <m/>
    <m/>
    <m/>
    <m/>
    <n v="0"/>
    <n v="0"/>
    <n v="0"/>
    <n v="0"/>
    <n v="0"/>
    <n v="0"/>
    <n v="0"/>
    <n v="0"/>
    <n v="0"/>
    <n v="0"/>
    <n v="0"/>
    <n v="0"/>
    <m/>
    <s v="PRODUIT 15  |  CHIFFRE D'AFFAIRES"/>
    <b v="1"/>
  </r>
  <r>
    <n v="602"/>
    <x v="0"/>
    <m/>
    <s v="YEAR3"/>
    <x v="5"/>
    <x v="1"/>
    <x v="15"/>
    <x v="3"/>
    <x v="2"/>
    <m/>
    <m/>
    <m/>
    <m/>
    <m/>
    <m/>
    <m/>
    <m/>
    <m/>
    <m/>
    <m/>
    <m/>
    <m/>
    <m/>
    <m/>
    <m/>
    <m/>
    <m/>
    <m/>
    <n v="0"/>
    <n v="0"/>
    <n v="0"/>
    <n v="0"/>
    <n v="0"/>
    <n v="0"/>
    <n v="0"/>
    <n v="0"/>
    <n v="0"/>
    <n v="0"/>
    <n v="0"/>
    <n v="0"/>
    <m/>
    <s v="PRODUIT 15  |  CHIFFRE D'AFFAIRES"/>
    <b v="1"/>
  </r>
  <r>
    <n v="603"/>
    <x v="0"/>
    <m/>
    <s v="YEAR4"/>
    <x v="6"/>
    <x v="1"/>
    <x v="15"/>
    <x v="3"/>
    <x v="2"/>
    <m/>
    <m/>
    <m/>
    <m/>
    <m/>
    <m/>
    <m/>
    <m/>
    <m/>
    <m/>
    <m/>
    <m/>
    <m/>
    <m/>
    <m/>
    <m/>
    <m/>
    <m/>
    <m/>
    <n v="0"/>
    <n v="0"/>
    <n v="0"/>
    <n v="0"/>
    <n v="0"/>
    <n v="0"/>
    <n v="0"/>
    <n v="0"/>
    <n v="0"/>
    <n v="0"/>
    <n v="0"/>
    <n v="0"/>
    <m/>
    <s v="PRODUIT 15  |  CHIFFRE D'AFFAIRES"/>
    <b v="1"/>
  </r>
  <r>
    <n v="604"/>
    <x v="0"/>
    <m/>
    <s v="YEAR5"/>
    <x v="7"/>
    <x v="1"/>
    <x v="15"/>
    <x v="3"/>
    <x v="2"/>
    <m/>
    <m/>
    <m/>
    <m/>
    <m/>
    <m/>
    <m/>
    <m/>
    <m/>
    <m/>
    <m/>
    <m/>
    <m/>
    <m/>
    <m/>
    <m/>
    <m/>
    <m/>
    <m/>
    <n v="0"/>
    <n v="0"/>
    <n v="0"/>
    <n v="0"/>
    <n v="0"/>
    <n v="0"/>
    <n v="0"/>
    <n v="0"/>
    <n v="0"/>
    <n v="0"/>
    <n v="0"/>
    <n v="0"/>
    <m/>
    <s v="PRODUIT 15  |  CHIFFRE D'AFFAIRES"/>
    <b v="1"/>
  </r>
  <r>
    <n v="605"/>
    <x v="0"/>
    <m/>
    <s v="YEAR6"/>
    <x v="8"/>
    <x v="1"/>
    <x v="15"/>
    <x v="3"/>
    <x v="2"/>
    <m/>
    <m/>
    <m/>
    <m/>
    <m/>
    <m/>
    <m/>
    <m/>
    <m/>
    <m/>
    <m/>
    <m/>
    <m/>
    <m/>
    <m/>
    <m/>
    <m/>
    <m/>
    <m/>
    <n v="0"/>
    <n v="0"/>
    <n v="0"/>
    <n v="0"/>
    <n v="0"/>
    <n v="0"/>
    <n v="0"/>
    <n v="0"/>
    <n v="0"/>
    <n v="0"/>
    <n v="0"/>
    <n v="0"/>
    <m/>
    <s v="PRODUIT 15  |  CHIFFRE D'AFFAIRES"/>
    <b v="1"/>
  </r>
  <r>
    <n v="606"/>
    <x v="0"/>
    <m/>
    <s v="YEAR-2"/>
    <x v="1"/>
    <x v="1"/>
    <x v="15"/>
    <x v="3"/>
    <x v="3"/>
    <m/>
    <m/>
    <m/>
    <m/>
    <m/>
    <m/>
    <m/>
    <m/>
    <m/>
    <m/>
    <m/>
    <m/>
    <m/>
    <m/>
    <m/>
    <m/>
    <m/>
    <m/>
    <m/>
    <n v="0"/>
    <n v="0"/>
    <n v="0"/>
    <n v="0"/>
    <n v="0"/>
    <n v="0"/>
    <n v="0"/>
    <n v="0"/>
    <n v="0"/>
    <m/>
    <n v="0"/>
    <m/>
    <m/>
    <s v="PRODUIT 15  |  PRIX MOYEN DE VENTE PAR PRODUIT/SERVICE"/>
    <m/>
  </r>
  <r>
    <n v="607"/>
    <x v="0"/>
    <m/>
    <s v="YEAR-1"/>
    <x v="2"/>
    <x v="1"/>
    <x v="15"/>
    <x v="3"/>
    <x v="3"/>
    <m/>
    <m/>
    <m/>
    <m/>
    <m/>
    <m/>
    <m/>
    <m/>
    <m/>
    <m/>
    <m/>
    <m/>
    <m/>
    <m/>
    <m/>
    <m/>
    <m/>
    <m/>
    <m/>
    <n v="0"/>
    <n v="0"/>
    <n v="0"/>
    <n v="0"/>
    <n v="0"/>
    <n v="0"/>
    <n v="0"/>
    <n v="0"/>
    <n v="0"/>
    <m/>
    <n v="0"/>
    <m/>
    <m/>
    <s v="PRODUIT 15  |  PRIX MOYEN DE VENTE PAR PRODUIT/SERVICE"/>
    <m/>
  </r>
  <r>
    <n v="608"/>
    <x v="0"/>
    <m/>
    <s v="CURRENT YEAR"/>
    <x v="3"/>
    <x v="1"/>
    <x v="15"/>
    <x v="3"/>
    <x v="3"/>
    <m/>
    <m/>
    <m/>
    <m/>
    <m/>
    <m/>
    <m/>
    <m/>
    <m/>
    <m/>
    <m/>
    <m/>
    <m/>
    <m/>
    <m/>
    <m/>
    <m/>
    <m/>
    <m/>
    <n v="0"/>
    <n v="0"/>
    <n v="0"/>
    <n v="0"/>
    <n v="0"/>
    <n v="0"/>
    <n v="0"/>
    <n v="0"/>
    <n v="0"/>
    <m/>
    <n v="0"/>
    <m/>
    <m/>
    <s v="PRODUIT 15  |  PRIX MOYEN DE VENTE PAR PRODUIT/SERVICE"/>
    <m/>
  </r>
  <r>
    <n v="609"/>
    <x v="0"/>
    <m/>
    <s v="YEAR2"/>
    <x v="4"/>
    <x v="1"/>
    <x v="15"/>
    <x v="3"/>
    <x v="3"/>
    <m/>
    <m/>
    <m/>
    <m/>
    <m/>
    <m/>
    <m/>
    <m/>
    <m/>
    <m/>
    <m/>
    <m/>
    <m/>
    <m/>
    <m/>
    <m/>
    <m/>
    <m/>
    <m/>
    <n v="0"/>
    <n v="0"/>
    <n v="0"/>
    <n v="0"/>
    <n v="0"/>
    <n v="0"/>
    <n v="0"/>
    <n v="0"/>
    <n v="0"/>
    <m/>
    <n v="0"/>
    <m/>
    <m/>
    <s v="PRODUIT 15  |  PRIX MOYEN DE VENTE PAR PRODUIT/SERVICE"/>
    <m/>
  </r>
  <r>
    <n v="610"/>
    <x v="0"/>
    <m/>
    <s v="YEAR3"/>
    <x v="5"/>
    <x v="1"/>
    <x v="15"/>
    <x v="3"/>
    <x v="3"/>
    <m/>
    <m/>
    <m/>
    <m/>
    <m/>
    <m/>
    <m/>
    <m/>
    <m/>
    <m/>
    <m/>
    <m/>
    <m/>
    <m/>
    <m/>
    <m/>
    <m/>
    <m/>
    <m/>
    <n v="0"/>
    <n v="0"/>
    <n v="0"/>
    <n v="0"/>
    <n v="0"/>
    <n v="0"/>
    <n v="0"/>
    <n v="0"/>
    <n v="0"/>
    <m/>
    <n v="0"/>
    <m/>
    <m/>
    <s v="PRODUIT 15  |  PRIX MOYEN DE VENTE PAR PRODUIT/SERVICE"/>
    <m/>
  </r>
  <r>
    <n v="611"/>
    <x v="0"/>
    <m/>
    <s v="YEAR4"/>
    <x v="6"/>
    <x v="1"/>
    <x v="15"/>
    <x v="3"/>
    <x v="3"/>
    <m/>
    <m/>
    <m/>
    <m/>
    <m/>
    <m/>
    <m/>
    <m/>
    <m/>
    <m/>
    <m/>
    <m/>
    <m/>
    <m/>
    <m/>
    <m/>
    <m/>
    <m/>
    <m/>
    <n v="0"/>
    <n v="0"/>
    <n v="0"/>
    <n v="0"/>
    <n v="0"/>
    <n v="0"/>
    <n v="0"/>
    <n v="0"/>
    <n v="0"/>
    <m/>
    <n v="0"/>
    <m/>
    <m/>
    <s v="PRODUIT 15  |  PRIX MOYEN DE VENTE PAR PRODUIT/SERVICE"/>
    <m/>
  </r>
  <r>
    <n v="612"/>
    <x v="0"/>
    <m/>
    <s v="YEAR5"/>
    <x v="7"/>
    <x v="1"/>
    <x v="15"/>
    <x v="3"/>
    <x v="3"/>
    <m/>
    <m/>
    <m/>
    <m/>
    <m/>
    <m/>
    <m/>
    <m/>
    <m/>
    <m/>
    <m/>
    <m/>
    <m/>
    <m/>
    <m/>
    <m/>
    <m/>
    <m/>
    <m/>
    <n v="0"/>
    <n v="0"/>
    <n v="0"/>
    <n v="0"/>
    <n v="0"/>
    <n v="0"/>
    <n v="0"/>
    <n v="0"/>
    <n v="0"/>
    <m/>
    <n v="0"/>
    <m/>
    <m/>
    <s v="PRODUIT 15  |  PRIX MOYEN DE VENTE PAR PRODUIT/SERVICE"/>
    <m/>
  </r>
  <r>
    <n v="613"/>
    <x v="0"/>
    <m/>
    <s v="YEAR6"/>
    <x v="8"/>
    <x v="1"/>
    <x v="15"/>
    <x v="3"/>
    <x v="3"/>
    <m/>
    <m/>
    <m/>
    <m/>
    <m/>
    <m/>
    <m/>
    <m/>
    <m/>
    <m/>
    <m/>
    <m/>
    <m/>
    <m/>
    <m/>
    <m/>
    <m/>
    <m/>
    <m/>
    <n v="0"/>
    <n v="0"/>
    <n v="0"/>
    <n v="0"/>
    <n v="0"/>
    <n v="0"/>
    <n v="0"/>
    <n v="0"/>
    <n v="0"/>
    <m/>
    <n v="0"/>
    <m/>
    <m/>
    <s v="PRODUIT 15  |  PRIX MOYEN DE VENTE PAR PRODUIT/SERVICE"/>
    <m/>
  </r>
  <r>
    <n v="614"/>
    <x v="0"/>
    <m/>
    <s v="YEAR-2"/>
    <x v="1"/>
    <x v="1"/>
    <x v="15"/>
    <x v="3"/>
    <x v="4"/>
    <m/>
    <m/>
    <m/>
    <m/>
    <m/>
    <m/>
    <m/>
    <m/>
    <m/>
    <m/>
    <m/>
    <m/>
    <m/>
    <m/>
    <m/>
    <m/>
    <m/>
    <m/>
    <m/>
    <n v="0"/>
    <n v="0"/>
    <n v="0"/>
    <n v="0"/>
    <n v="0"/>
    <n v="0"/>
    <n v="0"/>
    <n v="0"/>
    <n v="0"/>
    <n v="0"/>
    <n v="0"/>
    <n v="0"/>
    <m/>
    <s v="PRODUIT 15  |  DEPENSES SUR ACHATS"/>
    <b v="1"/>
  </r>
  <r>
    <n v="615"/>
    <x v="0"/>
    <m/>
    <s v="YEAR-1"/>
    <x v="2"/>
    <x v="1"/>
    <x v="15"/>
    <x v="3"/>
    <x v="4"/>
    <m/>
    <m/>
    <m/>
    <m/>
    <m/>
    <m/>
    <m/>
    <m/>
    <m/>
    <m/>
    <m/>
    <m/>
    <m/>
    <m/>
    <m/>
    <m/>
    <m/>
    <m/>
    <m/>
    <n v="0"/>
    <n v="0"/>
    <n v="0"/>
    <n v="0"/>
    <n v="0"/>
    <n v="0"/>
    <n v="0"/>
    <n v="0"/>
    <n v="0"/>
    <n v="0"/>
    <n v="0"/>
    <n v="0"/>
    <m/>
    <s v="PRODUIT 15  |  DEPENSES SUR ACHATS"/>
    <b v="1"/>
  </r>
  <r>
    <n v="616"/>
    <x v="0"/>
    <m/>
    <s v="CURRENT YEAR"/>
    <x v="3"/>
    <x v="1"/>
    <x v="15"/>
    <x v="3"/>
    <x v="4"/>
    <m/>
    <m/>
    <m/>
    <m/>
    <m/>
    <m/>
    <m/>
    <m/>
    <m/>
    <m/>
    <m/>
    <m/>
    <m/>
    <m/>
    <m/>
    <m/>
    <m/>
    <m/>
    <m/>
    <n v="0"/>
    <n v="0"/>
    <n v="0"/>
    <n v="0"/>
    <n v="0"/>
    <n v="0"/>
    <n v="0"/>
    <n v="0"/>
    <n v="0"/>
    <n v="0"/>
    <n v="0"/>
    <n v="0"/>
    <m/>
    <s v="PRODUIT 15  |  DEPENSES SUR ACHATS"/>
    <b v="1"/>
  </r>
  <r>
    <n v="617"/>
    <x v="0"/>
    <m/>
    <s v="YEAR2"/>
    <x v="4"/>
    <x v="1"/>
    <x v="15"/>
    <x v="3"/>
    <x v="4"/>
    <m/>
    <m/>
    <m/>
    <m/>
    <m/>
    <m/>
    <m/>
    <m/>
    <m/>
    <m/>
    <m/>
    <m/>
    <m/>
    <m/>
    <m/>
    <m/>
    <m/>
    <m/>
    <m/>
    <n v="0"/>
    <n v="0"/>
    <n v="0"/>
    <n v="0"/>
    <n v="0"/>
    <n v="0"/>
    <n v="0"/>
    <n v="0"/>
    <n v="0"/>
    <n v="0"/>
    <n v="0"/>
    <n v="0"/>
    <m/>
    <s v="PRODUIT 15  |  DEPENSES SUR ACHATS"/>
    <b v="1"/>
  </r>
  <r>
    <n v="618"/>
    <x v="0"/>
    <m/>
    <s v="YEAR3"/>
    <x v="5"/>
    <x v="1"/>
    <x v="15"/>
    <x v="3"/>
    <x v="4"/>
    <m/>
    <m/>
    <m/>
    <m/>
    <m/>
    <m/>
    <m/>
    <m/>
    <m/>
    <m/>
    <m/>
    <m/>
    <m/>
    <m/>
    <m/>
    <m/>
    <m/>
    <m/>
    <m/>
    <n v="0"/>
    <n v="0"/>
    <n v="0"/>
    <n v="0"/>
    <n v="0"/>
    <n v="0"/>
    <n v="0"/>
    <n v="0"/>
    <n v="0"/>
    <n v="0"/>
    <n v="0"/>
    <n v="0"/>
    <m/>
    <s v="PRODUIT 15  |  DEPENSES SUR ACHATS"/>
    <b v="1"/>
  </r>
  <r>
    <n v="619"/>
    <x v="0"/>
    <m/>
    <s v="YEAR4"/>
    <x v="6"/>
    <x v="1"/>
    <x v="15"/>
    <x v="3"/>
    <x v="4"/>
    <m/>
    <m/>
    <m/>
    <m/>
    <m/>
    <m/>
    <m/>
    <m/>
    <m/>
    <m/>
    <m/>
    <m/>
    <m/>
    <m/>
    <m/>
    <m/>
    <m/>
    <m/>
    <m/>
    <n v="0"/>
    <n v="0"/>
    <n v="0"/>
    <n v="0"/>
    <n v="0"/>
    <n v="0"/>
    <n v="0"/>
    <n v="0"/>
    <n v="0"/>
    <n v="0"/>
    <n v="0"/>
    <n v="0"/>
    <m/>
    <s v="PRODUIT 15  |  DEPENSES SUR ACHATS"/>
    <b v="1"/>
  </r>
  <r>
    <n v="620"/>
    <x v="0"/>
    <m/>
    <s v="YEAR5"/>
    <x v="7"/>
    <x v="1"/>
    <x v="15"/>
    <x v="3"/>
    <x v="4"/>
    <m/>
    <m/>
    <m/>
    <m/>
    <m/>
    <m/>
    <m/>
    <m/>
    <m/>
    <m/>
    <m/>
    <m/>
    <m/>
    <m/>
    <m/>
    <m/>
    <m/>
    <m/>
    <m/>
    <n v="0"/>
    <n v="0"/>
    <n v="0"/>
    <n v="0"/>
    <n v="0"/>
    <n v="0"/>
    <n v="0"/>
    <n v="0"/>
    <n v="0"/>
    <n v="0"/>
    <n v="0"/>
    <n v="0"/>
    <m/>
    <s v="PRODUIT 15  |  DEPENSES SUR ACHATS"/>
    <b v="1"/>
  </r>
  <r>
    <n v="621"/>
    <x v="0"/>
    <m/>
    <s v="YEAR6"/>
    <x v="8"/>
    <x v="1"/>
    <x v="15"/>
    <x v="3"/>
    <x v="4"/>
    <m/>
    <m/>
    <m/>
    <m/>
    <m/>
    <m/>
    <m/>
    <m/>
    <m/>
    <m/>
    <m/>
    <m/>
    <m/>
    <m/>
    <m/>
    <m/>
    <m/>
    <m/>
    <m/>
    <n v="0"/>
    <n v="0"/>
    <n v="0"/>
    <n v="0"/>
    <n v="0"/>
    <n v="0"/>
    <n v="0"/>
    <n v="0"/>
    <n v="0"/>
    <n v="0"/>
    <n v="0"/>
    <n v="0"/>
    <m/>
    <s v="PRODUIT 15  |  DEPENSES SUR ACHATS"/>
    <b v="1"/>
  </r>
  <r>
    <n v="622"/>
    <x v="0"/>
    <m/>
    <s v="YEAR-2"/>
    <x v="1"/>
    <x v="1"/>
    <x v="15"/>
    <x v="3"/>
    <x v="5"/>
    <m/>
    <m/>
    <m/>
    <m/>
    <m/>
    <m/>
    <m/>
    <m/>
    <m/>
    <m/>
    <m/>
    <m/>
    <m/>
    <m/>
    <m/>
    <m/>
    <m/>
    <m/>
    <m/>
    <n v="0"/>
    <n v="0"/>
    <n v="0"/>
    <n v="0"/>
    <n v="0"/>
    <n v="0"/>
    <n v="0"/>
    <n v="0"/>
    <n v="0"/>
    <m/>
    <n v="0"/>
    <m/>
    <m/>
    <s v="PRODUIT 15  |  PRIX MOYEN D'ACHAT PAR PRODUIT/SERVICE"/>
    <m/>
  </r>
  <r>
    <n v="623"/>
    <x v="0"/>
    <m/>
    <s v="YEAR-1"/>
    <x v="2"/>
    <x v="1"/>
    <x v="15"/>
    <x v="3"/>
    <x v="5"/>
    <m/>
    <m/>
    <m/>
    <m/>
    <m/>
    <m/>
    <m/>
    <m/>
    <m/>
    <m/>
    <m/>
    <m/>
    <m/>
    <m/>
    <m/>
    <m/>
    <m/>
    <m/>
    <m/>
    <n v="0"/>
    <n v="0"/>
    <n v="0"/>
    <n v="0"/>
    <n v="0"/>
    <n v="0"/>
    <n v="0"/>
    <n v="0"/>
    <n v="0"/>
    <m/>
    <n v="0"/>
    <m/>
    <m/>
    <s v="PRODUIT 15  |  PRIX MOYEN D'ACHAT PAR PRODUIT/SERVICE"/>
    <m/>
  </r>
  <r>
    <n v="624"/>
    <x v="0"/>
    <m/>
    <s v="CURRENT YEAR"/>
    <x v="3"/>
    <x v="1"/>
    <x v="15"/>
    <x v="3"/>
    <x v="5"/>
    <m/>
    <m/>
    <m/>
    <m/>
    <m/>
    <m/>
    <m/>
    <m/>
    <m/>
    <m/>
    <m/>
    <m/>
    <m/>
    <m/>
    <m/>
    <m/>
    <m/>
    <m/>
    <m/>
    <n v="0"/>
    <n v="0"/>
    <n v="0"/>
    <n v="0"/>
    <n v="0"/>
    <n v="0"/>
    <n v="0"/>
    <n v="0"/>
    <n v="0"/>
    <m/>
    <n v="0"/>
    <m/>
    <m/>
    <s v="PRODUIT 15  |  PRIX MOYEN D'ACHAT PAR PRODUIT/SERVICE"/>
    <m/>
  </r>
  <r>
    <n v="625"/>
    <x v="0"/>
    <m/>
    <s v="YEAR2"/>
    <x v="4"/>
    <x v="1"/>
    <x v="15"/>
    <x v="3"/>
    <x v="5"/>
    <m/>
    <m/>
    <m/>
    <m/>
    <m/>
    <m/>
    <m/>
    <m/>
    <m/>
    <m/>
    <m/>
    <m/>
    <m/>
    <m/>
    <m/>
    <m/>
    <m/>
    <m/>
    <m/>
    <n v="0"/>
    <n v="0"/>
    <n v="0"/>
    <n v="0"/>
    <n v="0"/>
    <n v="0"/>
    <n v="0"/>
    <n v="0"/>
    <n v="0"/>
    <m/>
    <n v="0"/>
    <m/>
    <m/>
    <s v="PRODUIT 15  |  PRIX MOYEN D'ACHAT PAR PRODUIT/SERVICE"/>
    <m/>
  </r>
  <r>
    <n v="626"/>
    <x v="0"/>
    <m/>
    <s v="YEAR3"/>
    <x v="5"/>
    <x v="1"/>
    <x v="15"/>
    <x v="3"/>
    <x v="5"/>
    <m/>
    <m/>
    <m/>
    <m/>
    <m/>
    <m/>
    <m/>
    <m/>
    <m/>
    <m/>
    <m/>
    <m/>
    <m/>
    <m/>
    <m/>
    <m/>
    <m/>
    <m/>
    <m/>
    <n v="0"/>
    <n v="0"/>
    <n v="0"/>
    <n v="0"/>
    <n v="0"/>
    <n v="0"/>
    <n v="0"/>
    <n v="0"/>
    <n v="0"/>
    <m/>
    <n v="0"/>
    <m/>
    <m/>
    <s v="PRODUIT 15  |  PRIX MOYEN D'ACHAT PAR PRODUIT/SERVICE"/>
    <m/>
  </r>
  <r>
    <n v="627"/>
    <x v="0"/>
    <m/>
    <s v="YEAR4"/>
    <x v="6"/>
    <x v="1"/>
    <x v="15"/>
    <x v="3"/>
    <x v="5"/>
    <m/>
    <m/>
    <m/>
    <m/>
    <m/>
    <m/>
    <m/>
    <m/>
    <m/>
    <m/>
    <m/>
    <m/>
    <m/>
    <m/>
    <m/>
    <m/>
    <m/>
    <m/>
    <m/>
    <n v="0"/>
    <n v="0"/>
    <n v="0"/>
    <n v="0"/>
    <n v="0"/>
    <n v="0"/>
    <n v="0"/>
    <n v="0"/>
    <n v="0"/>
    <m/>
    <n v="0"/>
    <m/>
    <m/>
    <s v="PRODUIT 15  |  PRIX MOYEN D'ACHAT PAR PRODUIT/SERVICE"/>
    <m/>
  </r>
  <r>
    <n v="628"/>
    <x v="0"/>
    <m/>
    <s v="YEAR5"/>
    <x v="7"/>
    <x v="1"/>
    <x v="15"/>
    <x v="3"/>
    <x v="5"/>
    <m/>
    <m/>
    <m/>
    <m/>
    <m/>
    <m/>
    <m/>
    <m/>
    <m/>
    <m/>
    <m/>
    <m/>
    <m/>
    <m/>
    <m/>
    <m/>
    <m/>
    <m/>
    <m/>
    <n v="0"/>
    <n v="0"/>
    <n v="0"/>
    <n v="0"/>
    <n v="0"/>
    <n v="0"/>
    <n v="0"/>
    <n v="0"/>
    <n v="0"/>
    <m/>
    <n v="0"/>
    <m/>
    <m/>
    <s v="PRODUIT 15  |  PRIX MOYEN D'ACHAT PAR PRODUIT/SERVICE"/>
    <m/>
  </r>
  <r>
    <n v="629"/>
    <x v="0"/>
    <m/>
    <s v="YEAR6"/>
    <x v="8"/>
    <x v="1"/>
    <x v="15"/>
    <x v="3"/>
    <x v="5"/>
    <m/>
    <m/>
    <m/>
    <m/>
    <m/>
    <m/>
    <m/>
    <m/>
    <m/>
    <m/>
    <m/>
    <m/>
    <m/>
    <m/>
    <m/>
    <m/>
    <m/>
    <m/>
    <m/>
    <n v="0"/>
    <n v="0"/>
    <n v="0"/>
    <n v="0"/>
    <n v="0"/>
    <n v="0"/>
    <n v="0"/>
    <n v="0"/>
    <n v="0"/>
    <m/>
    <n v="0"/>
    <m/>
    <m/>
    <s v="PRODUIT 15  |  PRIX MOYEN D'ACHAT PAR PRODUIT/SERVICE"/>
    <m/>
  </r>
  <r>
    <n v="630"/>
    <x v="0"/>
    <n v="1"/>
    <m/>
    <x v="0"/>
    <x v="0"/>
    <x v="0"/>
    <x v="0"/>
    <x v="0"/>
    <m/>
    <m/>
    <m/>
    <m/>
    <m/>
    <m/>
    <m/>
    <m/>
    <m/>
    <m/>
    <m/>
    <m/>
    <m/>
    <m/>
    <m/>
    <m/>
    <m/>
    <m/>
    <m/>
    <m/>
    <m/>
    <m/>
    <m/>
    <m/>
    <m/>
    <m/>
    <m/>
    <m/>
    <m/>
    <m/>
    <m/>
    <m/>
    <m/>
    <m/>
  </r>
  <r>
    <n v="631"/>
    <x v="0"/>
    <m/>
    <m/>
    <x v="0"/>
    <x v="0"/>
    <x v="0"/>
    <x v="0"/>
    <x v="0"/>
    <m/>
    <m/>
    <m/>
    <m/>
    <m/>
    <m/>
    <m/>
    <m/>
    <m/>
    <m/>
    <m/>
    <m/>
    <m/>
    <m/>
    <m/>
    <m/>
    <m/>
    <m/>
    <m/>
    <m/>
    <m/>
    <m/>
    <m/>
    <m/>
    <m/>
    <m/>
    <m/>
    <m/>
    <m/>
    <m/>
    <m/>
    <m/>
    <m/>
    <m/>
  </r>
  <r>
    <n v="632"/>
    <x v="0"/>
    <n v="1"/>
    <s v="YEAR-2"/>
    <x v="1"/>
    <x v="1"/>
    <x v="16"/>
    <x v="3"/>
    <x v="1"/>
    <n v="1000"/>
    <n v="0"/>
    <n v="0"/>
    <n v="1000"/>
    <n v="1"/>
    <n v="0"/>
    <n v="0"/>
    <n v="500"/>
    <n v="0"/>
    <n v="0"/>
    <n v="500"/>
    <n v="1"/>
    <n v="1"/>
    <n v="1"/>
    <n v="0"/>
    <n v="0"/>
    <n v="0"/>
    <n v="0"/>
    <n v="0"/>
    <n v="0"/>
    <n v="0"/>
    <n v="0"/>
    <n v="0"/>
    <n v="0"/>
    <n v="0"/>
    <n v="0"/>
    <n v="0"/>
    <n v="0"/>
    <n v="0"/>
    <n v="0"/>
    <n v="0"/>
    <s v="GAMME # : 1 + CANAL DE DISTRIBUTION # : 1"/>
    <s v="PRODUIT 16  |  VOLUME"/>
    <b v="1"/>
  </r>
  <r>
    <n v="633"/>
    <x v="0"/>
    <n v="1"/>
    <s v="YEAR-1"/>
    <x v="2"/>
    <x v="1"/>
    <x v="16"/>
    <x v="3"/>
    <x v="1"/>
    <n v="1000"/>
    <n v="0"/>
    <n v="0"/>
    <n v="1000"/>
    <n v="1"/>
    <n v="0"/>
    <n v="0"/>
    <n v="500"/>
    <n v="0"/>
    <n v="0"/>
    <n v="500"/>
    <n v="1"/>
    <n v="1"/>
    <n v="1"/>
    <n v="0"/>
    <n v="0"/>
    <n v="0"/>
    <n v="0"/>
    <n v="0"/>
    <n v="0"/>
    <n v="0"/>
    <n v="0"/>
    <n v="0"/>
    <n v="0"/>
    <n v="0"/>
    <n v="0"/>
    <n v="0"/>
    <n v="0"/>
    <n v="0"/>
    <n v="0"/>
    <n v="0"/>
    <m/>
    <s v="PRODUIT 16  |  VOLUME"/>
    <b v="1"/>
  </r>
  <r>
    <n v="634"/>
    <x v="0"/>
    <n v="1"/>
    <s v="CURRENT YEAR"/>
    <x v="3"/>
    <x v="1"/>
    <x v="16"/>
    <x v="3"/>
    <x v="1"/>
    <n v="1000"/>
    <n v="0"/>
    <n v="0"/>
    <n v="1000"/>
    <n v="1"/>
    <n v="0"/>
    <n v="0"/>
    <n v="500"/>
    <n v="0"/>
    <n v="0"/>
    <n v="500"/>
    <n v="1"/>
    <n v="1"/>
    <n v="1"/>
    <n v="0"/>
    <n v="0"/>
    <n v="0"/>
    <n v="0"/>
    <n v="0"/>
    <n v="0"/>
    <n v="0"/>
    <n v="0"/>
    <n v="0"/>
    <n v="0"/>
    <n v="0"/>
    <n v="0"/>
    <n v="0"/>
    <n v="0"/>
    <n v="0"/>
    <n v="0"/>
    <n v="0"/>
    <m/>
    <s v="PRODUIT 16  |  VOLUME"/>
    <b v="1"/>
  </r>
  <r>
    <n v="635"/>
    <x v="0"/>
    <n v="1"/>
    <s v="YEAR2"/>
    <x v="4"/>
    <x v="1"/>
    <x v="16"/>
    <x v="3"/>
    <x v="1"/>
    <n v="1000"/>
    <n v="0"/>
    <n v="0"/>
    <n v="1000"/>
    <n v="1"/>
    <n v="0"/>
    <n v="0"/>
    <n v="500"/>
    <n v="0"/>
    <n v="0"/>
    <n v="500"/>
    <n v="1"/>
    <n v="1"/>
    <n v="1"/>
    <n v="0"/>
    <n v="0"/>
    <n v="0"/>
    <n v="0"/>
    <n v="0"/>
    <n v="0"/>
    <n v="0"/>
    <n v="0"/>
    <n v="0"/>
    <n v="0"/>
    <n v="0"/>
    <n v="0"/>
    <n v="0"/>
    <n v="0"/>
    <n v="0"/>
    <n v="0"/>
    <n v="0"/>
    <m/>
    <s v="PRODUIT 16  |  VOLUME"/>
    <b v="1"/>
  </r>
  <r>
    <n v="636"/>
    <x v="0"/>
    <n v="1"/>
    <s v="YEAR3"/>
    <x v="5"/>
    <x v="1"/>
    <x v="16"/>
    <x v="3"/>
    <x v="1"/>
    <n v="1000"/>
    <n v="0"/>
    <n v="0"/>
    <n v="1000"/>
    <n v="1"/>
    <n v="0"/>
    <n v="0"/>
    <n v="500"/>
    <n v="0"/>
    <n v="0"/>
    <n v="500"/>
    <n v="1"/>
    <n v="1"/>
    <n v="1"/>
    <n v="0"/>
    <n v="0"/>
    <n v="0"/>
    <n v="0"/>
    <n v="0"/>
    <n v="0"/>
    <n v="0"/>
    <n v="0"/>
    <n v="0"/>
    <n v="0"/>
    <n v="0"/>
    <n v="0"/>
    <n v="0"/>
    <n v="0"/>
    <n v="0"/>
    <n v="0"/>
    <n v="0"/>
    <m/>
    <s v="PRODUIT 16  |  VOLUME"/>
    <b v="1"/>
  </r>
  <r>
    <n v="637"/>
    <x v="0"/>
    <n v="1"/>
    <s v="YEAR4"/>
    <x v="6"/>
    <x v="1"/>
    <x v="16"/>
    <x v="3"/>
    <x v="1"/>
    <n v="1000"/>
    <n v="0"/>
    <n v="0"/>
    <n v="1000"/>
    <n v="1"/>
    <n v="0"/>
    <n v="0"/>
    <n v="500"/>
    <n v="0"/>
    <n v="0"/>
    <n v="500"/>
    <n v="1"/>
    <n v="1"/>
    <n v="1"/>
    <n v="0"/>
    <n v="0"/>
    <n v="0"/>
    <n v="0"/>
    <n v="0"/>
    <n v="0"/>
    <n v="0"/>
    <n v="0"/>
    <n v="0"/>
    <n v="0"/>
    <n v="0"/>
    <n v="0"/>
    <n v="0"/>
    <n v="0"/>
    <n v="0"/>
    <n v="0"/>
    <n v="0"/>
    <m/>
    <s v="PRODUIT 16  |  VOLUME"/>
    <b v="1"/>
  </r>
  <r>
    <n v="638"/>
    <x v="0"/>
    <n v="1"/>
    <s v="YEAR5"/>
    <x v="7"/>
    <x v="1"/>
    <x v="16"/>
    <x v="3"/>
    <x v="1"/>
    <n v="1000"/>
    <n v="0"/>
    <n v="0"/>
    <n v="1000"/>
    <n v="1"/>
    <n v="0"/>
    <n v="0"/>
    <n v="500"/>
    <n v="0"/>
    <n v="0"/>
    <n v="500"/>
    <n v="1"/>
    <n v="1"/>
    <n v="1"/>
    <n v="0"/>
    <n v="0"/>
    <n v="0"/>
    <n v="0"/>
    <n v="0"/>
    <n v="0"/>
    <n v="0"/>
    <n v="0"/>
    <n v="0"/>
    <n v="0"/>
    <n v="0"/>
    <n v="0"/>
    <n v="0"/>
    <n v="0"/>
    <n v="0"/>
    <n v="0"/>
    <n v="0"/>
    <m/>
    <s v="PRODUIT 16  |  VOLUME"/>
    <b v="1"/>
  </r>
  <r>
    <n v="639"/>
    <x v="0"/>
    <n v="1"/>
    <s v="YEAR6"/>
    <x v="8"/>
    <x v="1"/>
    <x v="16"/>
    <x v="3"/>
    <x v="1"/>
    <n v="1000"/>
    <n v="0"/>
    <n v="0"/>
    <n v="1000"/>
    <n v="1"/>
    <n v="0"/>
    <n v="0"/>
    <n v="500"/>
    <n v="0"/>
    <n v="0"/>
    <n v="500"/>
    <n v="1"/>
    <n v="1"/>
    <n v="1"/>
    <n v="0"/>
    <n v="0"/>
    <n v="0"/>
    <n v="0"/>
    <n v="0"/>
    <n v="0"/>
    <n v="0"/>
    <n v="0"/>
    <n v="0"/>
    <n v="0"/>
    <n v="0"/>
    <n v="0"/>
    <n v="0"/>
    <n v="0"/>
    <n v="0"/>
    <n v="0"/>
    <n v="0"/>
    <m/>
    <s v="PRODUIT 16  |  VOLUME"/>
    <b v="1"/>
  </r>
  <r>
    <n v="640"/>
    <x v="0"/>
    <m/>
    <s v="YEAR-2"/>
    <x v="1"/>
    <x v="1"/>
    <x v="16"/>
    <x v="3"/>
    <x v="2"/>
    <m/>
    <m/>
    <m/>
    <m/>
    <m/>
    <m/>
    <m/>
    <m/>
    <m/>
    <m/>
    <m/>
    <m/>
    <m/>
    <m/>
    <m/>
    <m/>
    <m/>
    <m/>
    <m/>
    <n v="0"/>
    <n v="0"/>
    <n v="0"/>
    <n v="0"/>
    <n v="0"/>
    <n v="0"/>
    <n v="0"/>
    <n v="0"/>
    <n v="0"/>
    <n v="0"/>
    <n v="0"/>
    <n v="0"/>
    <m/>
    <s v="PRODUIT 16  |  CHIFFRE D'AFFAIRES"/>
    <b v="1"/>
  </r>
  <r>
    <n v="641"/>
    <x v="0"/>
    <m/>
    <s v="YEAR-1"/>
    <x v="2"/>
    <x v="1"/>
    <x v="16"/>
    <x v="3"/>
    <x v="2"/>
    <m/>
    <m/>
    <m/>
    <m/>
    <m/>
    <m/>
    <m/>
    <m/>
    <m/>
    <m/>
    <m/>
    <m/>
    <m/>
    <m/>
    <m/>
    <m/>
    <m/>
    <m/>
    <m/>
    <n v="0"/>
    <n v="0"/>
    <n v="0"/>
    <n v="0"/>
    <n v="0"/>
    <n v="0"/>
    <n v="0"/>
    <n v="0"/>
    <n v="0"/>
    <n v="0"/>
    <n v="0"/>
    <n v="0"/>
    <m/>
    <s v="PRODUIT 16  |  CHIFFRE D'AFFAIRES"/>
    <b v="1"/>
  </r>
  <r>
    <n v="642"/>
    <x v="0"/>
    <m/>
    <s v="CURRENT YEAR"/>
    <x v="3"/>
    <x v="1"/>
    <x v="16"/>
    <x v="3"/>
    <x v="2"/>
    <m/>
    <m/>
    <m/>
    <m/>
    <m/>
    <m/>
    <m/>
    <m/>
    <m/>
    <m/>
    <m/>
    <m/>
    <m/>
    <m/>
    <m/>
    <m/>
    <m/>
    <m/>
    <m/>
    <n v="0"/>
    <n v="0"/>
    <n v="0"/>
    <n v="0"/>
    <n v="0"/>
    <n v="0"/>
    <n v="0"/>
    <n v="0"/>
    <n v="0"/>
    <n v="0"/>
    <n v="0"/>
    <n v="0"/>
    <m/>
    <s v="PRODUIT 16  |  CHIFFRE D'AFFAIRES"/>
    <b v="1"/>
  </r>
  <r>
    <n v="643"/>
    <x v="0"/>
    <m/>
    <s v="YEAR2"/>
    <x v="4"/>
    <x v="1"/>
    <x v="16"/>
    <x v="3"/>
    <x v="2"/>
    <m/>
    <m/>
    <m/>
    <m/>
    <m/>
    <m/>
    <m/>
    <m/>
    <m/>
    <m/>
    <m/>
    <m/>
    <m/>
    <m/>
    <m/>
    <m/>
    <m/>
    <m/>
    <m/>
    <n v="0"/>
    <n v="0"/>
    <n v="0"/>
    <n v="0"/>
    <n v="0"/>
    <n v="0"/>
    <n v="0"/>
    <n v="0"/>
    <n v="0"/>
    <n v="0"/>
    <n v="0"/>
    <n v="0"/>
    <m/>
    <s v="PRODUIT 16  |  CHIFFRE D'AFFAIRES"/>
    <b v="1"/>
  </r>
  <r>
    <n v="644"/>
    <x v="0"/>
    <m/>
    <s v="YEAR3"/>
    <x v="5"/>
    <x v="1"/>
    <x v="16"/>
    <x v="3"/>
    <x v="2"/>
    <m/>
    <m/>
    <m/>
    <m/>
    <m/>
    <m/>
    <m/>
    <m/>
    <m/>
    <m/>
    <m/>
    <m/>
    <m/>
    <m/>
    <m/>
    <m/>
    <m/>
    <m/>
    <m/>
    <n v="0"/>
    <n v="0"/>
    <n v="0"/>
    <n v="0"/>
    <n v="0"/>
    <n v="0"/>
    <n v="0"/>
    <n v="0"/>
    <n v="0"/>
    <n v="0"/>
    <n v="0"/>
    <n v="0"/>
    <m/>
    <s v="PRODUIT 16  |  CHIFFRE D'AFFAIRES"/>
    <b v="1"/>
  </r>
  <r>
    <n v="645"/>
    <x v="0"/>
    <m/>
    <s v="YEAR4"/>
    <x v="6"/>
    <x v="1"/>
    <x v="16"/>
    <x v="3"/>
    <x v="2"/>
    <m/>
    <m/>
    <m/>
    <m/>
    <m/>
    <m/>
    <m/>
    <m/>
    <m/>
    <m/>
    <m/>
    <m/>
    <m/>
    <m/>
    <m/>
    <m/>
    <m/>
    <m/>
    <m/>
    <n v="0"/>
    <n v="0"/>
    <n v="0"/>
    <n v="0"/>
    <n v="0"/>
    <n v="0"/>
    <n v="0"/>
    <n v="0"/>
    <n v="0"/>
    <n v="0"/>
    <n v="0"/>
    <n v="0"/>
    <m/>
    <s v="PRODUIT 16  |  CHIFFRE D'AFFAIRES"/>
    <b v="1"/>
  </r>
  <r>
    <n v="646"/>
    <x v="0"/>
    <m/>
    <s v="YEAR5"/>
    <x v="7"/>
    <x v="1"/>
    <x v="16"/>
    <x v="3"/>
    <x v="2"/>
    <m/>
    <m/>
    <m/>
    <m/>
    <m/>
    <m/>
    <m/>
    <m/>
    <m/>
    <m/>
    <m/>
    <m/>
    <m/>
    <m/>
    <m/>
    <m/>
    <m/>
    <m/>
    <m/>
    <n v="0"/>
    <n v="0"/>
    <n v="0"/>
    <n v="0"/>
    <n v="0"/>
    <n v="0"/>
    <n v="0"/>
    <n v="0"/>
    <n v="0"/>
    <n v="0"/>
    <n v="0"/>
    <n v="0"/>
    <m/>
    <s v="PRODUIT 16  |  CHIFFRE D'AFFAIRES"/>
    <b v="1"/>
  </r>
  <r>
    <n v="647"/>
    <x v="0"/>
    <m/>
    <s v="YEAR6"/>
    <x v="8"/>
    <x v="1"/>
    <x v="16"/>
    <x v="3"/>
    <x v="2"/>
    <m/>
    <m/>
    <m/>
    <m/>
    <m/>
    <m/>
    <m/>
    <m/>
    <m/>
    <m/>
    <m/>
    <m/>
    <m/>
    <m/>
    <m/>
    <m/>
    <m/>
    <m/>
    <m/>
    <n v="0"/>
    <n v="0"/>
    <n v="0"/>
    <n v="0"/>
    <n v="0"/>
    <n v="0"/>
    <n v="0"/>
    <n v="0"/>
    <n v="0"/>
    <n v="0"/>
    <n v="0"/>
    <n v="0"/>
    <m/>
    <s v="PRODUIT 16  |  CHIFFRE D'AFFAIRES"/>
    <b v="1"/>
  </r>
  <r>
    <n v="648"/>
    <x v="0"/>
    <m/>
    <s v="YEAR-2"/>
    <x v="1"/>
    <x v="1"/>
    <x v="16"/>
    <x v="3"/>
    <x v="3"/>
    <m/>
    <m/>
    <m/>
    <m/>
    <m/>
    <m/>
    <m/>
    <m/>
    <m/>
    <m/>
    <m/>
    <m/>
    <m/>
    <m/>
    <m/>
    <m/>
    <m/>
    <m/>
    <m/>
    <n v="0"/>
    <n v="0"/>
    <n v="0"/>
    <n v="0"/>
    <n v="0"/>
    <n v="0"/>
    <n v="0"/>
    <n v="0"/>
    <n v="0"/>
    <m/>
    <n v="0"/>
    <m/>
    <m/>
    <s v="PRODUIT 16  |  PRIX MOYEN DE VENTE PAR PRODUIT/SERVICE"/>
    <m/>
  </r>
  <r>
    <n v="649"/>
    <x v="0"/>
    <m/>
    <s v="YEAR-1"/>
    <x v="2"/>
    <x v="1"/>
    <x v="16"/>
    <x v="3"/>
    <x v="3"/>
    <m/>
    <m/>
    <m/>
    <m/>
    <m/>
    <m/>
    <m/>
    <m/>
    <m/>
    <m/>
    <m/>
    <m/>
    <m/>
    <m/>
    <m/>
    <m/>
    <m/>
    <m/>
    <m/>
    <n v="0"/>
    <n v="0"/>
    <n v="0"/>
    <n v="0"/>
    <n v="0"/>
    <n v="0"/>
    <n v="0"/>
    <n v="0"/>
    <n v="0"/>
    <m/>
    <n v="0"/>
    <m/>
    <m/>
    <s v="PRODUIT 16  |  PRIX MOYEN DE VENTE PAR PRODUIT/SERVICE"/>
    <m/>
  </r>
  <r>
    <n v="650"/>
    <x v="0"/>
    <m/>
    <s v="CURRENT YEAR"/>
    <x v="3"/>
    <x v="1"/>
    <x v="16"/>
    <x v="3"/>
    <x v="3"/>
    <m/>
    <m/>
    <m/>
    <m/>
    <m/>
    <m/>
    <m/>
    <m/>
    <m/>
    <m/>
    <m/>
    <m/>
    <m/>
    <m/>
    <m/>
    <m/>
    <m/>
    <m/>
    <m/>
    <n v="0"/>
    <n v="0"/>
    <n v="0"/>
    <n v="0"/>
    <n v="0"/>
    <n v="0"/>
    <n v="0"/>
    <n v="0"/>
    <n v="0"/>
    <m/>
    <n v="0"/>
    <m/>
    <m/>
    <s v="PRODUIT 16  |  PRIX MOYEN DE VENTE PAR PRODUIT/SERVICE"/>
    <m/>
  </r>
  <r>
    <n v="651"/>
    <x v="0"/>
    <m/>
    <s v="YEAR2"/>
    <x v="4"/>
    <x v="1"/>
    <x v="16"/>
    <x v="3"/>
    <x v="3"/>
    <m/>
    <m/>
    <m/>
    <m/>
    <m/>
    <m/>
    <m/>
    <m/>
    <m/>
    <m/>
    <m/>
    <m/>
    <m/>
    <m/>
    <m/>
    <m/>
    <m/>
    <m/>
    <m/>
    <n v="0"/>
    <n v="0"/>
    <n v="0"/>
    <n v="0"/>
    <n v="0"/>
    <n v="0"/>
    <n v="0"/>
    <n v="0"/>
    <n v="0"/>
    <m/>
    <n v="0"/>
    <m/>
    <m/>
    <s v="PRODUIT 16  |  PRIX MOYEN DE VENTE PAR PRODUIT/SERVICE"/>
    <m/>
  </r>
  <r>
    <n v="652"/>
    <x v="0"/>
    <m/>
    <s v="YEAR3"/>
    <x v="5"/>
    <x v="1"/>
    <x v="16"/>
    <x v="3"/>
    <x v="3"/>
    <m/>
    <m/>
    <m/>
    <m/>
    <m/>
    <m/>
    <m/>
    <m/>
    <m/>
    <m/>
    <m/>
    <m/>
    <m/>
    <m/>
    <m/>
    <m/>
    <m/>
    <m/>
    <m/>
    <n v="0"/>
    <n v="0"/>
    <n v="0"/>
    <n v="0"/>
    <n v="0"/>
    <n v="0"/>
    <n v="0"/>
    <n v="0"/>
    <n v="0"/>
    <m/>
    <n v="0"/>
    <m/>
    <m/>
    <s v="PRODUIT 16  |  PRIX MOYEN DE VENTE PAR PRODUIT/SERVICE"/>
    <m/>
  </r>
  <r>
    <n v="653"/>
    <x v="0"/>
    <m/>
    <s v="YEAR4"/>
    <x v="6"/>
    <x v="1"/>
    <x v="16"/>
    <x v="3"/>
    <x v="3"/>
    <m/>
    <m/>
    <m/>
    <m/>
    <m/>
    <m/>
    <m/>
    <m/>
    <m/>
    <m/>
    <m/>
    <m/>
    <m/>
    <m/>
    <m/>
    <m/>
    <m/>
    <m/>
    <m/>
    <n v="0"/>
    <n v="0"/>
    <n v="0"/>
    <n v="0"/>
    <n v="0"/>
    <n v="0"/>
    <n v="0"/>
    <n v="0"/>
    <n v="0"/>
    <m/>
    <n v="0"/>
    <m/>
    <m/>
    <s v="PRODUIT 16  |  PRIX MOYEN DE VENTE PAR PRODUIT/SERVICE"/>
    <m/>
  </r>
  <r>
    <n v="654"/>
    <x v="0"/>
    <m/>
    <s v="YEAR5"/>
    <x v="7"/>
    <x v="1"/>
    <x v="16"/>
    <x v="3"/>
    <x v="3"/>
    <m/>
    <m/>
    <m/>
    <m/>
    <m/>
    <m/>
    <m/>
    <m/>
    <m/>
    <m/>
    <m/>
    <m/>
    <m/>
    <m/>
    <m/>
    <m/>
    <m/>
    <m/>
    <m/>
    <n v="0"/>
    <n v="0"/>
    <n v="0"/>
    <n v="0"/>
    <n v="0"/>
    <n v="0"/>
    <n v="0"/>
    <n v="0"/>
    <n v="0"/>
    <m/>
    <n v="0"/>
    <m/>
    <m/>
    <s v="PRODUIT 16  |  PRIX MOYEN DE VENTE PAR PRODUIT/SERVICE"/>
    <m/>
  </r>
  <r>
    <n v="655"/>
    <x v="0"/>
    <m/>
    <s v="YEAR6"/>
    <x v="8"/>
    <x v="1"/>
    <x v="16"/>
    <x v="3"/>
    <x v="3"/>
    <m/>
    <m/>
    <m/>
    <m/>
    <m/>
    <m/>
    <m/>
    <m/>
    <m/>
    <m/>
    <m/>
    <m/>
    <m/>
    <m/>
    <m/>
    <m/>
    <m/>
    <m/>
    <m/>
    <n v="0"/>
    <n v="0"/>
    <n v="0"/>
    <n v="0"/>
    <n v="0"/>
    <n v="0"/>
    <n v="0"/>
    <n v="0"/>
    <n v="0"/>
    <m/>
    <n v="0"/>
    <m/>
    <m/>
    <s v="PRODUIT 16  |  PRIX MOYEN DE VENTE PAR PRODUIT/SERVICE"/>
    <m/>
  </r>
  <r>
    <n v="656"/>
    <x v="0"/>
    <m/>
    <s v="YEAR-2"/>
    <x v="1"/>
    <x v="1"/>
    <x v="16"/>
    <x v="3"/>
    <x v="4"/>
    <m/>
    <m/>
    <m/>
    <m/>
    <m/>
    <m/>
    <m/>
    <m/>
    <m/>
    <m/>
    <m/>
    <m/>
    <m/>
    <m/>
    <m/>
    <m/>
    <m/>
    <m/>
    <m/>
    <n v="0"/>
    <n v="0"/>
    <n v="0"/>
    <n v="0"/>
    <n v="0"/>
    <n v="0"/>
    <n v="0"/>
    <n v="0"/>
    <n v="0"/>
    <n v="0"/>
    <n v="0"/>
    <n v="0"/>
    <m/>
    <s v="PRODUIT 16  |  DEPENSES SUR ACHATS"/>
    <b v="1"/>
  </r>
  <r>
    <n v="657"/>
    <x v="0"/>
    <m/>
    <s v="YEAR-1"/>
    <x v="2"/>
    <x v="1"/>
    <x v="16"/>
    <x v="3"/>
    <x v="4"/>
    <m/>
    <m/>
    <m/>
    <m/>
    <m/>
    <m/>
    <m/>
    <m/>
    <m/>
    <m/>
    <m/>
    <m/>
    <m/>
    <m/>
    <m/>
    <m/>
    <m/>
    <m/>
    <m/>
    <n v="0"/>
    <n v="0"/>
    <n v="0"/>
    <n v="0"/>
    <n v="0"/>
    <n v="0"/>
    <n v="0"/>
    <n v="0"/>
    <n v="0"/>
    <n v="0"/>
    <n v="0"/>
    <n v="0"/>
    <m/>
    <s v="PRODUIT 16  |  DEPENSES SUR ACHATS"/>
    <b v="1"/>
  </r>
  <r>
    <n v="658"/>
    <x v="0"/>
    <m/>
    <s v="CURRENT YEAR"/>
    <x v="3"/>
    <x v="1"/>
    <x v="16"/>
    <x v="3"/>
    <x v="4"/>
    <m/>
    <m/>
    <m/>
    <m/>
    <m/>
    <m/>
    <m/>
    <m/>
    <m/>
    <m/>
    <m/>
    <m/>
    <m/>
    <m/>
    <m/>
    <m/>
    <m/>
    <m/>
    <m/>
    <n v="0"/>
    <n v="0"/>
    <n v="0"/>
    <n v="0"/>
    <n v="0"/>
    <n v="0"/>
    <n v="0"/>
    <n v="0"/>
    <n v="0"/>
    <n v="0"/>
    <n v="0"/>
    <n v="0"/>
    <m/>
    <s v="PRODUIT 16  |  DEPENSES SUR ACHATS"/>
    <b v="1"/>
  </r>
  <r>
    <n v="659"/>
    <x v="0"/>
    <m/>
    <s v="YEAR2"/>
    <x v="4"/>
    <x v="1"/>
    <x v="16"/>
    <x v="3"/>
    <x v="4"/>
    <m/>
    <m/>
    <m/>
    <m/>
    <m/>
    <m/>
    <m/>
    <m/>
    <m/>
    <m/>
    <m/>
    <m/>
    <m/>
    <m/>
    <m/>
    <m/>
    <m/>
    <m/>
    <m/>
    <n v="0"/>
    <n v="0"/>
    <n v="0"/>
    <n v="0"/>
    <n v="0"/>
    <n v="0"/>
    <n v="0"/>
    <n v="0"/>
    <n v="0"/>
    <n v="0"/>
    <n v="0"/>
    <n v="0"/>
    <m/>
    <s v="PRODUIT 16  |  DEPENSES SUR ACHATS"/>
    <b v="1"/>
  </r>
  <r>
    <n v="660"/>
    <x v="0"/>
    <m/>
    <s v="YEAR3"/>
    <x v="5"/>
    <x v="1"/>
    <x v="16"/>
    <x v="3"/>
    <x v="4"/>
    <m/>
    <m/>
    <m/>
    <m/>
    <m/>
    <m/>
    <m/>
    <m/>
    <m/>
    <m/>
    <m/>
    <m/>
    <m/>
    <m/>
    <m/>
    <m/>
    <m/>
    <m/>
    <m/>
    <n v="0"/>
    <n v="0"/>
    <n v="0"/>
    <n v="0"/>
    <n v="0"/>
    <n v="0"/>
    <n v="0"/>
    <n v="0"/>
    <n v="0"/>
    <n v="0"/>
    <n v="0"/>
    <n v="0"/>
    <m/>
    <s v="PRODUIT 16  |  DEPENSES SUR ACHATS"/>
    <b v="1"/>
  </r>
  <r>
    <n v="661"/>
    <x v="0"/>
    <m/>
    <s v="YEAR4"/>
    <x v="6"/>
    <x v="1"/>
    <x v="16"/>
    <x v="3"/>
    <x v="4"/>
    <m/>
    <m/>
    <m/>
    <m/>
    <m/>
    <m/>
    <m/>
    <m/>
    <m/>
    <m/>
    <m/>
    <m/>
    <m/>
    <m/>
    <m/>
    <m/>
    <m/>
    <m/>
    <m/>
    <n v="0"/>
    <n v="0"/>
    <n v="0"/>
    <n v="0"/>
    <n v="0"/>
    <n v="0"/>
    <n v="0"/>
    <n v="0"/>
    <n v="0"/>
    <n v="0"/>
    <n v="0"/>
    <n v="0"/>
    <m/>
    <s v="PRODUIT 16  |  DEPENSES SUR ACHATS"/>
    <b v="1"/>
  </r>
  <r>
    <n v="662"/>
    <x v="0"/>
    <m/>
    <s v="YEAR5"/>
    <x v="7"/>
    <x v="1"/>
    <x v="16"/>
    <x v="3"/>
    <x v="4"/>
    <m/>
    <m/>
    <m/>
    <m/>
    <m/>
    <m/>
    <m/>
    <m/>
    <m/>
    <m/>
    <m/>
    <m/>
    <m/>
    <m/>
    <m/>
    <m/>
    <m/>
    <m/>
    <m/>
    <n v="0"/>
    <n v="0"/>
    <n v="0"/>
    <n v="0"/>
    <n v="0"/>
    <n v="0"/>
    <n v="0"/>
    <n v="0"/>
    <n v="0"/>
    <n v="0"/>
    <n v="0"/>
    <n v="0"/>
    <m/>
    <s v="PRODUIT 16  |  DEPENSES SUR ACHATS"/>
    <b v="1"/>
  </r>
  <r>
    <n v="663"/>
    <x v="0"/>
    <m/>
    <s v="YEAR6"/>
    <x v="8"/>
    <x v="1"/>
    <x v="16"/>
    <x v="3"/>
    <x v="4"/>
    <m/>
    <m/>
    <m/>
    <m/>
    <m/>
    <m/>
    <m/>
    <m/>
    <m/>
    <m/>
    <m/>
    <m/>
    <m/>
    <m/>
    <m/>
    <m/>
    <m/>
    <m/>
    <m/>
    <n v="0"/>
    <n v="0"/>
    <n v="0"/>
    <n v="0"/>
    <n v="0"/>
    <n v="0"/>
    <n v="0"/>
    <n v="0"/>
    <n v="0"/>
    <n v="0"/>
    <n v="0"/>
    <n v="0"/>
    <m/>
    <s v="PRODUIT 16  |  DEPENSES SUR ACHATS"/>
    <b v="1"/>
  </r>
  <r>
    <n v="664"/>
    <x v="0"/>
    <m/>
    <s v="YEAR-2"/>
    <x v="1"/>
    <x v="1"/>
    <x v="16"/>
    <x v="3"/>
    <x v="5"/>
    <m/>
    <m/>
    <m/>
    <m/>
    <m/>
    <m/>
    <m/>
    <m/>
    <m/>
    <m/>
    <m/>
    <m/>
    <m/>
    <m/>
    <m/>
    <m/>
    <m/>
    <m/>
    <m/>
    <n v="0"/>
    <n v="0"/>
    <n v="0"/>
    <n v="0"/>
    <n v="0"/>
    <n v="0"/>
    <n v="0"/>
    <n v="0"/>
    <n v="0"/>
    <m/>
    <n v="0"/>
    <m/>
    <m/>
    <s v="PRODUIT 16  |  PRIX MOYEN D'ACHAT PAR PRODUIT/SERVICE"/>
    <m/>
  </r>
  <r>
    <n v="665"/>
    <x v="0"/>
    <m/>
    <s v="YEAR-1"/>
    <x v="2"/>
    <x v="1"/>
    <x v="16"/>
    <x v="3"/>
    <x v="5"/>
    <m/>
    <m/>
    <m/>
    <m/>
    <m/>
    <m/>
    <m/>
    <m/>
    <m/>
    <m/>
    <m/>
    <m/>
    <m/>
    <m/>
    <m/>
    <m/>
    <m/>
    <m/>
    <m/>
    <n v="0"/>
    <n v="0"/>
    <n v="0"/>
    <n v="0"/>
    <n v="0"/>
    <n v="0"/>
    <n v="0"/>
    <n v="0"/>
    <n v="0"/>
    <m/>
    <n v="0"/>
    <m/>
    <m/>
    <s v="PRODUIT 16  |  PRIX MOYEN D'ACHAT PAR PRODUIT/SERVICE"/>
    <m/>
  </r>
  <r>
    <n v="666"/>
    <x v="0"/>
    <m/>
    <s v="CURRENT YEAR"/>
    <x v="3"/>
    <x v="1"/>
    <x v="16"/>
    <x v="3"/>
    <x v="5"/>
    <m/>
    <m/>
    <m/>
    <m/>
    <m/>
    <m/>
    <m/>
    <m/>
    <m/>
    <m/>
    <m/>
    <m/>
    <m/>
    <m/>
    <m/>
    <m/>
    <m/>
    <m/>
    <m/>
    <n v="0"/>
    <n v="0"/>
    <n v="0"/>
    <n v="0"/>
    <n v="0"/>
    <n v="0"/>
    <n v="0"/>
    <n v="0"/>
    <n v="0"/>
    <m/>
    <n v="0"/>
    <m/>
    <m/>
    <s v="PRODUIT 16  |  PRIX MOYEN D'ACHAT PAR PRODUIT/SERVICE"/>
    <m/>
  </r>
  <r>
    <n v="667"/>
    <x v="0"/>
    <m/>
    <s v="YEAR2"/>
    <x v="4"/>
    <x v="1"/>
    <x v="16"/>
    <x v="3"/>
    <x v="5"/>
    <m/>
    <m/>
    <m/>
    <m/>
    <m/>
    <m/>
    <m/>
    <m/>
    <m/>
    <m/>
    <m/>
    <m/>
    <m/>
    <m/>
    <m/>
    <m/>
    <m/>
    <m/>
    <m/>
    <n v="0"/>
    <n v="0"/>
    <n v="0"/>
    <n v="0"/>
    <n v="0"/>
    <n v="0"/>
    <n v="0"/>
    <n v="0"/>
    <n v="0"/>
    <m/>
    <n v="0"/>
    <m/>
    <m/>
    <s v="PRODUIT 16  |  PRIX MOYEN D'ACHAT PAR PRODUIT/SERVICE"/>
    <m/>
  </r>
  <r>
    <n v="668"/>
    <x v="0"/>
    <m/>
    <s v="YEAR3"/>
    <x v="5"/>
    <x v="1"/>
    <x v="16"/>
    <x v="3"/>
    <x v="5"/>
    <m/>
    <m/>
    <m/>
    <m/>
    <m/>
    <m/>
    <m/>
    <m/>
    <m/>
    <m/>
    <m/>
    <m/>
    <m/>
    <m/>
    <m/>
    <m/>
    <m/>
    <m/>
    <m/>
    <n v="0"/>
    <n v="0"/>
    <n v="0"/>
    <n v="0"/>
    <n v="0"/>
    <n v="0"/>
    <n v="0"/>
    <n v="0"/>
    <n v="0"/>
    <m/>
    <n v="0"/>
    <m/>
    <m/>
    <s v="PRODUIT 16  |  PRIX MOYEN D'ACHAT PAR PRODUIT/SERVICE"/>
    <m/>
  </r>
  <r>
    <n v="669"/>
    <x v="0"/>
    <m/>
    <s v="YEAR4"/>
    <x v="6"/>
    <x v="1"/>
    <x v="16"/>
    <x v="3"/>
    <x v="5"/>
    <m/>
    <m/>
    <m/>
    <m/>
    <m/>
    <m/>
    <m/>
    <m/>
    <m/>
    <m/>
    <m/>
    <m/>
    <m/>
    <m/>
    <m/>
    <m/>
    <m/>
    <m/>
    <m/>
    <n v="0"/>
    <n v="0"/>
    <n v="0"/>
    <n v="0"/>
    <n v="0"/>
    <n v="0"/>
    <n v="0"/>
    <n v="0"/>
    <n v="0"/>
    <m/>
    <n v="0"/>
    <m/>
    <m/>
    <s v="PRODUIT 16  |  PRIX MOYEN D'ACHAT PAR PRODUIT/SERVICE"/>
    <m/>
  </r>
  <r>
    <n v="670"/>
    <x v="0"/>
    <m/>
    <s v="YEAR5"/>
    <x v="7"/>
    <x v="1"/>
    <x v="16"/>
    <x v="3"/>
    <x v="5"/>
    <m/>
    <m/>
    <m/>
    <m/>
    <m/>
    <m/>
    <m/>
    <m/>
    <m/>
    <m/>
    <m/>
    <m/>
    <m/>
    <m/>
    <m/>
    <m/>
    <m/>
    <m/>
    <m/>
    <n v="0"/>
    <n v="0"/>
    <n v="0"/>
    <n v="0"/>
    <n v="0"/>
    <n v="0"/>
    <n v="0"/>
    <n v="0"/>
    <n v="0"/>
    <m/>
    <n v="0"/>
    <m/>
    <m/>
    <s v="PRODUIT 16  |  PRIX MOYEN D'ACHAT PAR PRODUIT/SERVICE"/>
    <m/>
  </r>
  <r>
    <n v="671"/>
    <x v="0"/>
    <m/>
    <s v="YEAR6"/>
    <x v="8"/>
    <x v="1"/>
    <x v="16"/>
    <x v="3"/>
    <x v="5"/>
    <m/>
    <m/>
    <m/>
    <m/>
    <m/>
    <m/>
    <m/>
    <m/>
    <m/>
    <m/>
    <m/>
    <m/>
    <m/>
    <m/>
    <m/>
    <m/>
    <m/>
    <m/>
    <m/>
    <n v="0"/>
    <n v="0"/>
    <n v="0"/>
    <n v="0"/>
    <n v="0"/>
    <n v="0"/>
    <n v="0"/>
    <n v="0"/>
    <n v="0"/>
    <m/>
    <n v="0"/>
    <m/>
    <m/>
    <s v="PRODUIT 16  |  PRIX MOYEN D'ACHAT PAR PRODUIT/SERVICE"/>
    <m/>
  </r>
  <r>
    <n v="672"/>
    <x v="0"/>
    <n v="1"/>
    <m/>
    <x v="0"/>
    <x v="0"/>
    <x v="0"/>
    <x v="0"/>
    <x v="0"/>
    <m/>
    <m/>
    <m/>
    <m/>
    <m/>
    <m/>
    <m/>
    <m/>
    <m/>
    <m/>
    <m/>
    <m/>
    <m/>
    <m/>
    <m/>
    <m/>
    <m/>
    <m/>
    <m/>
    <m/>
    <m/>
    <m/>
    <m/>
    <m/>
    <m/>
    <m/>
    <m/>
    <m/>
    <m/>
    <m/>
    <m/>
    <m/>
    <m/>
    <m/>
  </r>
  <r>
    <n v="673"/>
    <x v="0"/>
    <m/>
    <m/>
    <x v="0"/>
    <x v="0"/>
    <x v="0"/>
    <x v="0"/>
    <x v="0"/>
    <m/>
    <m/>
    <m/>
    <m/>
    <m/>
    <m/>
    <m/>
    <m/>
    <m/>
    <m/>
    <m/>
    <m/>
    <m/>
    <m/>
    <m/>
    <m/>
    <m/>
    <m/>
    <m/>
    <m/>
    <m/>
    <m/>
    <m/>
    <m/>
    <m/>
    <m/>
    <m/>
    <m/>
    <m/>
    <m/>
    <m/>
    <m/>
    <m/>
    <m/>
  </r>
  <r>
    <n v="674"/>
    <x v="0"/>
    <n v="1"/>
    <s v="YEAR-2"/>
    <x v="1"/>
    <x v="1"/>
    <x v="17"/>
    <x v="3"/>
    <x v="1"/>
    <n v="1000"/>
    <n v="0"/>
    <n v="0"/>
    <n v="1000"/>
    <n v="1"/>
    <n v="0"/>
    <n v="0"/>
    <n v="500"/>
    <n v="0"/>
    <n v="0"/>
    <n v="500"/>
    <n v="1"/>
    <n v="1"/>
    <n v="1"/>
    <n v="0"/>
    <n v="0"/>
    <n v="0"/>
    <n v="0"/>
    <n v="0"/>
    <n v="0"/>
    <n v="0"/>
    <n v="0"/>
    <n v="0"/>
    <n v="0"/>
    <n v="0"/>
    <n v="0"/>
    <n v="0"/>
    <n v="0"/>
    <n v="0"/>
    <n v="0"/>
    <n v="0"/>
    <s v="GAMME # : 1 + CANAL DE DISTRIBUTION # : 1"/>
    <s v="PRODUIT 17  |  VOLUME"/>
    <b v="1"/>
  </r>
  <r>
    <n v="675"/>
    <x v="0"/>
    <n v="1"/>
    <s v="YEAR-1"/>
    <x v="2"/>
    <x v="1"/>
    <x v="17"/>
    <x v="3"/>
    <x v="1"/>
    <n v="1000"/>
    <n v="0"/>
    <n v="0"/>
    <n v="1000"/>
    <n v="1"/>
    <n v="0"/>
    <n v="0"/>
    <n v="500"/>
    <n v="0"/>
    <n v="0"/>
    <n v="500"/>
    <n v="1"/>
    <n v="1"/>
    <n v="1"/>
    <n v="0"/>
    <n v="0"/>
    <n v="0"/>
    <n v="0"/>
    <n v="0"/>
    <n v="0"/>
    <n v="0"/>
    <n v="0"/>
    <n v="0"/>
    <n v="0"/>
    <n v="0"/>
    <n v="0"/>
    <n v="0"/>
    <n v="0"/>
    <n v="0"/>
    <n v="0"/>
    <n v="0"/>
    <m/>
    <s v="PRODUIT 17  |  VOLUME"/>
    <b v="1"/>
  </r>
  <r>
    <n v="676"/>
    <x v="0"/>
    <n v="1"/>
    <s v="CURRENT YEAR"/>
    <x v="3"/>
    <x v="1"/>
    <x v="17"/>
    <x v="3"/>
    <x v="1"/>
    <n v="1000"/>
    <n v="0"/>
    <n v="0"/>
    <n v="1000"/>
    <n v="1"/>
    <n v="0"/>
    <n v="0"/>
    <n v="500"/>
    <n v="0"/>
    <n v="0"/>
    <n v="500"/>
    <n v="1"/>
    <n v="1"/>
    <n v="1"/>
    <n v="0"/>
    <n v="0"/>
    <n v="0"/>
    <n v="0"/>
    <n v="0"/>
    <n v="0"/>
    <n v="0"/>
    <n v="0"/>
    <n v="0"/>
    <n v="0"/>
    <n v="0"/>
    <n v="0"/>
    <n v="0"/>
    <n v="0"/>
    <n v="0"/>
    <n v="0"/>
    <n v="0"/>
    <m/>
    <s v="PRODUIT 17  |  VOLUME"/>
    <b v="1"/>
  </r>
  <r>
    <n v="677"/>
    <x v="0"/>
    <n v="1"/>
    <s v="YEAR2"/>
    <x v="4"/>
    <x v="1"/>
    <x v="17"/>
    <x v="3"/>
    <x v="1"/>
    <n v="1000"/>
    <n v="0"/>
    <n v="0"/>
    <n v="1000"/>
    <n v="1"/>
    <n v="0"/>
    <n v="0"/>
    <n v="500"/>
    <n v="0"/>
    <n v="0"/>
    <n v="500"/>
    <n v="1"/>
    <n v="1"/>
    <n v="1"/>
    <n v="0"/>
    <n v="0"/>
    <n v="0"/>
    <n v="0"/>
    <n v="0"/>
    <n v="0"/>
    <n v="0"/>
    <n v="0"/>
    <n v="0"/>
    <n v="0"/>
    <n v="0"/>
    <n v="0"/>
    <n v="0"/>
    <n v="0"/>
    <n v="0"/>
    <n v="0"/>
    <n v="0"/>
    <m/>
    <s v="PRODUIT 17  |  VOLUME"/>
    <b v="1"/>
  </r>
  <r>
    <n v="678"/>
    <x v="0"/>
    <n v="1"/>
    <s v="YEAR3"/>
    <x v="5"/>
    <x v="1"/>
    <x v="17"/>
    <x v="3"/>
    <x v="1"/>
    <n v="1000"/>
    <n v="0"/>
    <n v="0"/>
    <n v="1000"/>
    <n v="1"/>
    <n v="0"/>
    <n v="0"/>
    <n v="500"/>
    <n v="0"/>
    <n v="0"/>
    <n v="500"/>
    <n v="1"/>
    <n v="1"/>
    <n v="1"/>
    <n v="0"/>
    <n v="0"/>
    <n v="0"/>
    <n v="0"/>
    <n v="0"/>
    <n v="0"/>
    <n v="0"/>
    <n v="0"/>
    <n v="0"/>
    <n v="0"/>
    <n v="0"/>
    <n v="0"/>
    <n v="0"/>
    <n v="0"/>
    <n v="0"/>
    <n v="0"/>
    <n v="0"/>
    <m/>
    <s v="PRODUIT 17  |  VOLUME"/>
    <b v="1"/>
  </r>
  <r>
    <n v="679"/>
    <x v="0"/>
    <n v="1"/>
    <s v="YEAR4"/>
    <x v="6"/>
    <x v="1"/>
    <x v="17"/>
    <x v="3"/>
    <x v="1"/>
    <n v="1000"/>
    <n v="0"/>
    <n v="0"/>
    <n v="1000"/>
    <n v="1"/>
    <n v="0"/>
    <n v="0"/>
    <n v="500"/>
    <n v="0"/>
    <n v="0"/>
    <n v="500"/>
    <n v="1"/>
    <n v="1"/>
    <n v="1"/>
    <n v="0"/>
    <n v="0"/>
    <n v="0"/>
    <n v="0"/>
    <n v="0"/>
    <n v="0"/>
    <n v="0"/>
    <n v="0"/>
    <n v="0"/>
    <n v="0"/>
    <n v="0"/>
    <n v="0"/>
    <n v="0"/>
    <n v="0"/>
    <n v="0"/>
    <n v="0"/>
    <n v="0"/>
    <m/>
    <s v="PRODUIT 17  |  VOLUME"/>
    <b v="1"/>
  </r>
  <r>
    <n v="680"/>
    <x v="0"/>
    <n v="1"/>
    <s v="YEAR5"/>
    <x v="7"/>
    <x v="1"/>
    <x v="17"/>
    <x v="3"/>
    <x v="1"/>
    <n v="1000"/>
    <n v="0"/>
    <n v="0"/>
    <n v="1000"/>
    <n v="1"/>
    <n v="0"/>
    <n v="0"/>
    <n v="500"/>
    <n v="0"/>
    <n v="0"/>
    <n v="500"/>
    <n v="1"/>
    <n v="1"/>
    <n v="1"/>
    <n v="0"/>
    <n v="0"/>
    <n v="0"/>
    <n v="0"/>
    <n v="0"/>
    <n v="0"/>
    <n v="0"/>
    <n v="0"/>
    <n v="0"/>
    <n v="0"/>
    <n v="0"/>
    <n v="0"/>
    <n v="0"/>
    <n v="0"/>
    <n v="0"/>
    <n v="0"/>
    <n v="0"/>
    <m/>
    <s v="PRODUIT 17  |  VOLUME"/>
    <b v="1"/>
  </r>
  <r>
    <n v="681"/>
    <x v="0"/>
    <n v="1"/>
    <s v="YEAR6"/>
    <x v="8"/>
    <x v="1"/>
    <x v="17"/>
    <x v="3"/>
    <x v="1"/>
    <n v="1000"/>
    <n v="0"/>
    <n v="0"/>
    <n v="1000"/>
    <n v="1"/>
    <n v="0"/>
    <n v="0"/>
    <n v="500"/>
    <n v="0"/>
    <n v="0"/>
    <n v="500"/>
    <n v="1"/>
    <n v="1"/>
    <n v="1"/>
    <n v="0"/>
    <n v="0"/>
    <n v="0"/>
    <n v="0"/>
    <n v="0"/>
    <n v="0"/>
    <n v="0"/>
    <n v="0"/>
    <n v="0"/>
    <n v="0"/>
    <n v="0"/>
    <n v="0"/>
    <n v="0"/>
    <n v="0"/>
    <n v="0"/>
    <n v="0"/>
    <n v="0"/>
    <m/>
    <s v="PRODUIT 17  |  VOLUME"/>
    <b v="1"/>
  </r>
  <r>
    <n v="682"/>
    <x v="0"/>
    <m/>
    <s v="YEAR-2"/>
    <x v="1"/>
    <x v="1"/>
    <x v="17"/>
    <x v="3"/>
    <x v="2"/>
    <m/>
    <m/>
    <m/>
    <m/>
    <m/>
    <m/>
    <m/>
    <m/>
    <m/>
    <m/>
    <m/>
    <m/>
    <m/>
    <m/>
    <m/>
    <m/>
    <m/>
    <m/>
    <m/>
    <n v="0"/>
    <n v="0"/>
    <n v="0"/>
    <n v="0"/>
    <n v="0"/>
    <n v="0"/>
    <n v="0"/>
    <n v="0"/>
    <n v="0"/>
    <n v="0"/>
    <n v="0"/>
    <n v="0"/>
    <m/>
    <s v="PRODUIT 17  |  CHIFFRE D'AFFAIRES"/>
    <b v="1"/>
  </r>
  <r>
    <n v="683"/>
    <x v="0"/>
    <m/>
    <s v="YEAR-1"/>
    <x v="2"/>
    <x v="1"/>
    <x v="17"/>
    <x v="3"/>
    <x v="2"/>
    <m/>
    <m/>
    <m/>
    <m/>
    <m/>
    <m/>
    <m/>
    <m/>
    <m/>
    <m/>
    <m/>
    <m/>
    <m/>
    <m/>
    <m/>
    <m/>
    <m/>
    <m/>
    <m/>
    <n v="0"/>
    <n v="0"/>
    <n v="0"/>
    <n v="0"/>
    <n v="0"/>
    <n v="0"/>
    <n v="0"/>
    <n v="0"/>
    <n v="0"/>
    <n v="0"/>
    <n v="0"/>
    <n v="0"/>
    <m/>
    <s v="PRODUIT 17  |  CHIFFRE D'AFFAIRES"/>
    <b v="1"/>
  </r>
  <r>
    <n v="684"/>
    <x v="0"/>
    <m/>
    <s v="CURRENT YEAR"/>
    <x v="3"/>
    <x v="1"/>
    <x v="17"/>
    <x v="3"/>
    <x v="2"/>
    <m/>
    <m/>
    <m/>
    <m/>
    <m/>
    <m/>
    <m/>
    <m/>
    <m/>
    <m/>
    <m/>
    <m/>
    <m/>
    <m/>
    <m/>
    <m/>
    <m/>
    <m/>
    <m/>
    <n v="0"/>
    <n v="0"/>
    <n v="0"/>
    <n v="0"/>
    <n v="0"/>
    <n v="0"/>
    <n v="0"/>
    <n v="0"/>
    <n v="0"/>
    <n v="0"/>
    <n v="0"/>
    <n v="0"/>
    <m/>
    <s v="PRODUIT 17  |  CHIFFRE D'AFFAIRES"/>
    <b v="1"/>
  </r>
  <r>
    <n v="685"/>
    <x v="0"/>
    <m/>
    <s v="YEAR2"/>
    <x v="4"/>
    <x v="1"/>
    <x v="17"/>
    <x v="3"/>
    <x v="2"/>
    <m/>
    <m/>
    <m/>
    <m/>
    <m/>
    <m/>
    <m/>
    <m/>
    <m/>
    <m/>
    <m/>
    <m/>
    <m/>
    <m/>
    <m/>
    <m/>
    <m/>
    <m/>
    <m/>
    <n v="0"/>
    <n v="0"/>
    <n v="0"/>
    <n v="0"/>
    <n v="0"/>
    <n v="0"/>
    <n v="0"/>
    <n v="0"/>
    <n v="0"/>
    <n v="0"/>
    <n v="0"/>
    <n v="0"/>
    <m/>
    <s v="PRODUIT 17  |  CHIFFRE D'AFFAIRES"/>
    <b v="1"/>
  </r>
  <r>
    <n v="686"/>
    <x v="0"/>
    <m/>
    <s v="YEAR3"/>
    <x v="5"/>
    <x v="1"/>
    <x v="17"/>
    <x v="3"/>
    <x v="2"/>
    <m/>
    <m/>
    <m/>
    <m/>
    <m/>
    <m/>
    <m/>
    <m/>
    <m/>
    <m/>
    <m/>
    <m/>
    <m/>
    <m/>
    <m/>
    <m/>
    <m/>
    <m/>
    <m/>
    <n v="0"/>
    <n v="0"/>
    <n v="0"/>
    <n v="0"/>
    <n v="0"/>
    <n v="0"/>
    <n v="0"/>
    <n v="0"/>
    <n v="0"/>
    <n v="0"/>
    <n v="0"/>
    <n v="0"/>
    <m/>
    <s v="PRODUIT 17  |  CHIFFRE D'AFFAIRES"/>
    <b v="1"/>
  </r>
  <r>
    <n v="687"/>
    <x v="0"/>
    <m/>
    <s v="YEAR4"/>
    <x v="6"/>
    <x v="1"/>
    <x v="17"/>
    <x v="3"/>
    <x v="2"/>
    <m/>
    <m/>
    <m/>
    <m/>
    <m/>
    <m/>
    <m/>
    <m/>
    <m/>
    <m/>
    <m/>
    <m/>
    <m/>
    <m/>
    <m/>
    <m/>
    <m/>
    <m/>
    <m/>
    <n v="0"/>
    <n v="0"/>
    <n v="0"/>
    <n v="0"/>
    <n v="0"/>
    <n v="0"/>
    <n v="0"/>
    <n v="0"/>
    <n v="0"/>
    <n v="0"/>
    <n v="0"/>
    <n v="0"/>
    <m/>
    <s v="PRODUIT 17  |  CHIFFRE D'AFFAIRES"/>
    <b v="1"/>
  </r>
  <r>
    <n v="688"/>
    <x v="0"/>
    <m/>
    <s v="YEAR5"/>
    <x v="7"/>
    <x v="1"/>
    <x v="17"/>
    <x v="3"/>
    <x v="2"/>
    <m/>
    <m/>
    <m/>
    <m/>
    <m/>
    <m/>
    <m/>
    <m/>
    <m/>
    <m/>
    <m/>
    <m/>
    <m/>
    <m/>
    <m/>
    <m/>
    <m/>
    <m/>
    <m/>
    <n v="0"/>
    <n v="0"/>
    <n v="0"/>
    <n v="0"/>
    <n v="0"/>
    <n v="0"/>
    <n v="0"/>
    <n v="0"/>
    <n v="0"/>
    <n v="0"/>
    <n v="0"/>
    <n v="0"/>
    <m/>
    <s v="PRODUIT 17  |  CHIFFRE D'AFFAIRES"/>
    <b v="1"/>
  </r>
  <r>
    <n v="689"/>
    <x v="0"/>
    <m/>
    <s v="YEAR6"/>
    <x v="8"/>
    <x v="1"/>
    <x v="17"/>
    <x v="3"/>
    <x v="2"/>
    <m/>
    <m/>
    <m/>
    <m/>
    <m/>
    <m/>
    <m/>
    <m/>
    <m/>
    <m/>
    <m/>
    <m/>
    <m/>
    <m/>
    <m/>
    <m/>
    <m/>
    <m/>
    <m/>
    <n v="0"/>
    <n v="0"/>
    <n v="0"/>
    <n v="0"/>
    <n v="0"/>
    <n v="0"/>
    <n v="0"/>
    <n v="0"/>
    <n v="0"/>
    <n v="0"/>
    <n v="0"/>
    <n v="0"/>
    <m/>
    <s v="PRODUIT 17  |  CHIFFRE D'AFFAIRES"/>
    <b v="1"/>
  </r>
  <r>
    <n v="690"/>
    <x v="0"/>
    <m/>
    <s v="YEAR-2"/>
    <x v="1"/>
    <x v="1"/>
    <x v="17"/>
    <x v="3"/>
    <x v="3"/>
    <m/>
    <m/>
    <m/>
    <m/>
    <m/>
    <m/>
    <m/>
    <m/>
    <m/>
    <m/>
    <m/>
    <m/>
    <m/>
    <m/>
    <m/>
    <m/>
    <m/>
    <m/>
    <m/>
    <n v="0"/>
    <n v="0"/>
    <n v="0"/>
    <n v="0"/>
    <n v="0"/>
    <n v="0"/>
    <n v="0"/>
    <n v="0"/>
    <n v="0"/>
    <m/>
    <n v="0"/>
    <m/>
    <m/>
    <s v="PRODUIT 17  |  PRIX MOYEN DE VENTE PAR PRODUIT/SERVICE"/>
    <m/>
  </r>
  <r>
    <n v="691"/>
    <x v="0"/>
    <m/>
    <s v="YEAR-1"/>
    <x v="2"/>
    <x v="1"/>
    <x v="17"/>
    <x v="3"/>
    <x v="3"/>
    <m/>
    <m/>
    <m/>
    <m/>
    <m/>
    <m/>
    <m/>
    <m/>
    <m/>
    <m/>
    <m/>
    <m/>
    <m/>
    <m/>
    <m/>
    <m/>
    <m/>
    <m/>
    <m/>
    <n v="0"/>
    <n v="0"/>
    <n v="0"/>
    <n v="0"/>
    <n v="0"/>
    <n v="0"/>
    <n v="0"/>
    <n v="0"/>
    <n v="0"/>
    <m/>
    <n v="0"/>
    <m/>
    <m/>
    <s v="PRODUIT 17  |  PRIX MOYEN DE VENTE PAR PRODUIT/SERVICE"/>
    <m/>
  </r>
  <r>
    <n v="692"/>
    <x v="0"/>
    <m/>
    <s v="CURRENT YEAR"/>
    <x v="3"/>
    <x v="1"/>
    <x v="17"/>
    <x v="3"/>
    <x v="3"/>
    <m/>
    <m/>
    <m/>
    <m/>
    <m/>
    <m/>
    <m/>
    <m/>
    <m/>
    <m/>
    <m/>
    <m/>
    <m/>
    <m/>
    <m/>
    <m/>
    <m/>
    <m/>
    <m/>
    <n v="0"/>
    <n v="0"/>
    <n v="0"/>
    <n v="0"/>
    <n v="0"/>
    <n v="0"/>
    <n v="0"/>
    <n v="0"/>
    <n v="0"/>
    <m/>
    <n v="0"/>
    <m/>
    <m/>
    <s v="PRODUIT 17  |  PRIX MOYEN DE VENTE PAR PRODUIT/SERVICE"/>
    <m/>
  </r>
  <r>
    <n v="693"/>
    <x v="0"/>
    <m/>
    <s v="YEAR2"/>
    <x v="4"/>
    <x v="1"/>
    <x v="17"/>
    <x v="3"/>
    <x v="3"/>
    <m/>
    <m/>
    <m/>
    <m/>
    <m/>
    <m/>
    <m/>
    <m/>
    <m/>
    <m/>
    <m/>
    <m/>
    <m/>
    <m/>
    <m/>
    <m/>
    <m/>
    <m/>
    <m/>
    <n v="0"/>
    <n v="0"/>
    <n v="0"/>
    <n v="0"/>
    <n v="0"/>
    <n v="0"/>
    <n v="0"/>
    <n v="0"/>
    <n v="0"/>
    <m/>
    <n v="0"/>
    <m/>
    <m/>
    <s v="PRODUIT 17  |  PRIX MOYEN DE VENTE PAR PRODUIT/SERVICE"/>
    <m/>
  </r>
  <r>
    <n v="694"/>
    <x v="0"/>
    <m/>
    <s v="YEAR3"/>
    <x v="5"/>
    <x v="1"/>
    <x v="17"/>
    <x v="3"/>
    <x v="3"/>
    <m/>
    <m/>
    <m/>
    <m/>
    <m/>
    <m/>
    <m/>
    <m/>
    <m/>
    <m/>
    <m/>
    <m/>
    <m/>
    <m/>
    <m/>
    <m/>
    <m/>
    <m/>
    <m/>
    <n v="0"/>
    <n v="0"/>
    <n v="0"/>
    <n v="0"/>
    <n v="0"/>
    <n v="0"/>
    <n v="0"/>
    <n v="0"/>
    <n v="0"/>
    <m/>
    <n v="0"/>
    <m/>
    <m/>
    <s v="PRODUIT 17  |  PRIX MOYEN DE VENTE PAR PRODUIT/SERVICE"/>
    <m/>
  </r>
  <r>
    <n v="695"/>
    <x v="0"/>
    <m/>
    <s v="YEAR4"/>
    <x v="6"/>
    <x v="1"/>
    <x v="17"/>
    <x v="3"/>
    <x v="3"/>
    <m/>
    <m/>
    <m/>
    <m/>
    <m/>
    <m/>
    <m/>
    <m/>
    <m/>
    <m/>
    <m/>
    <m/>
    <m/>
    <m/>
    <m/>
    <m/>
    <m/>
    <m/>
    <m/>
    <n v="0"/>
    <n v="0"/>
    <n v="0"/>
    <n v="0"/>
    <n v="0"/>
    <n v="0"/>
    <n v="0"/>
    <n v="0"/>
    <n v="0"/>
    <m/>
    <n v="0"/>
    <m/>
    <m/>
    <s v="PRODUIT 17  |  PRIX MOYEN DE VENTE PAR PRODUIT/SERVICE"/>
    <m/>
  </r>
  <r>
    <n v="696"/>
    <x v="0"/>
    <m/>
    <s v="YEAR5"/>
    <x v="7"/>
    <x v="1"/>
    <x v="17"/>
    <x v="3"/>
    <x v="3"/>
    <m/>
    <m/>
    <m/>
    <m/>
    <m/>
    <m/>
    <m/>
    <m/>
    <m/>
    <m/>
    <m/>
    <m/>
    <m/>
    <m/>
    <m/>
    <m/>
    <m/>
    <m/>
    <m/>
    <n v="0"/>
    <n v="0"/>
    <n v="0"/>
    <n v="0"/>
    <n v="0"/>
    <n v="0"/>
    <n v="0"/>
    <n v="0"/>
    <n v="0"/>
    <m/>
    <n v="0"/>
    <m/>
    <m/>
    <s v="PRODUIT 17  |  PRIX MOYEN DE VENTE PAR PRODUIT/SERVICE"/>
    <m/>
  </r>
  <r>
    <n v="697"/>
    <x v="0"/>
    <m/>
    <s v="YEAR6"/>
    <x v="8"/>
    <x v="1"/>
    <x v="17"/>
    <x v="3"/>
    <x v="3"/>
    <m/>
    <m/>
    <m/>
    <m/>
    <m/>
    <m/>
    <m/>
    <m/>
    <m/>
    <m/>
    <m/>
    <m/>
    <m/>
    <m/>
    <m/>
    <m/>
    <m/>
    <m/>
    <m/>
    <n v="0"/>
    <n v="0"/>
    <n v="0"/>
    <n v="0"/>
    <n v="0"/>
    <n v="0"/>
    <n v="0"/>
    <n v="0"/>
    <n v="0"/>
    <m/>
    <n v="0"/>
    <m/>
    <m/>
    <s v="PRODUIT 17  |  PRIX MOYEN DE VENTE PAR PRODUIT/SERVICE"/>
    <m/>
  </r>
  <r>
    <n v="698"/>
    <x v="0"/>
    <m/>
    <s v="YEAR-2"/>
    <x v="1"/>
    <x v="1"/>
    <x v="17"/>
    <x v="3"/>
    <x v="4"/>
    <m/>
    <m/>
    <m/>
    <m/>
    <m/>
    <m/>
    <m/>
    <m/>
    <m/>
    <m/>
    <m/>
    <m/>
    <m/>
    <m/>
    <m/>
    <m/>
    <m/>
    <m/>
    <m/>
    <n v="0"/>
    <n v="0"/>
    <n v="0"/>
    <n v="0"/>
    <n v="0"/>
    <n v="0"/>
    <n v="0"/>
    <n v="0"/>
    <n v="0"/>
    <n v="0"/>
    <n v="0"/>
    <n v="0"/>
    <m/>
    <s v="PRODUIT 17  |  DEPENSES SUR ACHATS"/>
    <b v="1"/>
  </r>
  <r>
    <n v="699"/>
    <x v="0"/>
    <m/>
    <s v="YEAR-1"/>
    <x v="2"/>
    <x v="1"/>
    <x v="17"/>
    <x v="3"/>
    <x v="4"/>
    <m/>
    <m/>
    <m/>
    <m/>
    <m/>
    <m/>
    <m/>
    <m/>
    <m/>
    <m/>
    <m/>
    <m/>
    <m/>
    <m/>
    <m/>
    <m/>
    <m/>
    <m/>
    <m/>
    <n v="0"/>
    <n v="0"/>
    <n v="0"/>
    <n v="0"/>
    <n v="0"/>
    <n v="0"/>
    <n v="0"/>
    <n v="0"/>
    <n v="0"/>
    <n v="0"/>
    <n v="0"/>
    <n v="0"/>
    <m/>
    <s v="PRODUIT 17  |  DEPENSES SUR ACHATS"/>
    <b v="1"/>
  </r>
  <r>
    <n v="700"/>
    <x v="0"/>
    <m/>
    <s v="CURRENT YEAR"/>
    <x v="3"/>
    <x v="1"/>
    <x v="17"/>
    <x v="3"/>
    <x v="4"/>
    <m/>
    <m/>
    <m/>
    <m/>
    <m/>
    <m/>
    <m/>
    <m/>
    <m/>
    <m/>
    <m/>
    <m/>
    <m/>
    <m/>
    <m/>
    <m/>
    <m/>
    <m/>
    <m/>
    <n v="0"/>
    <n v="0"/>
    <n v="0"/>
    <n v="0"/>
    <n v="0"/>
    <n v="0"/>
    <n v="0"/>
    <n v="0"/>
    <n v="0"/>
    <n v="0"/>
    <n v="0"/>
    <n v="0"/>
    <m/>
    <s v="PRODUIT 17  |  DEPENSES SUR ACHATS"/>
    <b v="1"/>
  </r>
  <r>
    <n v="701"/>
    <x v="0"/>
    <m/>
    <s v="YEAR2"/>
    <x v="4"/>
    <x v="1"/>
    <x v="17"/>
    <x v="3"/>
    <x v="4"/>
    <m/>
    <m/>
    <m/>
    <m/>
    <m/>
    <m/>
    <m/>
    <m/>
    <m/>
    <m/>
    <m/>
    <m/>
    <m/>
    <m/>
    <m/>
    <m/>
    <m/>
    <m/>
    <m/>
    <n v="0"/>
    <n v="0"/>
    <n v="0"/>
    <n v="0"/>
    <n v="0"/>
    <n v="0"/>
    <n v="0"/>
    <n v="0"/>
    <n v="0"/>
    <n v="0"/>
    <n v="0"/>
    <n v="0"/>
    <m/>
    <s v="PRODUIT 17  |  DEPENSES SUR ACHATS"/>
    <b v="1"/>
  </r>
  <r>
    <n v="702"/>
    <x v="0"/>
    <m/>
    <s v="YEAR3"/>
    <x v="5"/>
    <x v="1"/>
    <x v="17"/>
    <x v="3"/>
    <x v="4"/>
    <m/>
    <m/>
    <m/>
    <m/>
    <m/>
    <m/>
    <m/>
    <m/>
    <m/>
    <m/>
    <m/>
    <m/>
    <m/>
    <m/>
    <m/>
    <m/>
    <m/>
    <m/>
    <m/>
    <n v="0"/>
    <n v="0"/>
    <n v="0"/>
    <n v="0"/>
    <n v="0"/>
    <n v="0"/>
    <n v="0"/>
    <n v="0"/>
    <n v="0"/>
    <n v="0"/>
    <n v="0"/>
    <n v="0"/>
    <m/>
    <s v="PRODUIT 17  |  DEPENSES SUR ACHATS"/>
    <b v="1"/>
  </r>
  <r>
    <n v="703"/>
    <x v="0"/>
    <m/>
    <s v="YEAR4"/>
    <x v="6"/>
    <x v="1"/>
    <x v="17"/>
    <x v="3"/>
    <x v="4"/>
    <m/>
    <m/>
    <m/>
    <m/>
    <m/>
    <m/>
    <m/>
    <m/>
    <m/>
    <m/>
    <m/>
    <m/>
    <m/>
    <m/>
    <m/>
    <m/>
    <m/>
    <m/>
    <m/>
    <n v="0"/>
    <n v="0"/>
    <n v="0"/>
    <n v="0"/>
    <n v="0"/>
    <n v="0"/>
    <n v="0"/>
    <n v="0"/>
    <n v="0"/>
    <n v="0"/>
    <n v="0"/>
    <n v="0"/>
    <m/>
    <s v="PRODUIT 17  |  DEPENSES SUR ACHATS"/>
    <b v="1"/>
  </r>
  <r>
    <n v="704"/>
    <x v="0"/>
    <m/>
    <s v="YEAR5"/>
    <x v="7"/>
    <x v="1"/>
    <x v="17"/>
    <x v="3"/>
    <x v="4"/>
    <m/>
    <m/>
    <m/>
    <m/>
    <m/>
    <m/>
    <m/>
    <m/>
    <m/>
    <m/>
    <m/>
    <m/>
    <m/>
    <m/>
    <m/>
    <m/>
    <m/>
    <m/>
    <m/>
    <n v="0"/>
    <n v="0"/>
    <n v="0"/>
    <n v="0"/>
    <n v="0"/>
    <n v="0"/>
    <n v="0"/>
    <n v="0"/>
    <n v="0"/>
    <n v="0"/>
    <n v="0"/>
    <n v="0"/>
    <m/>
    <s v="PRODUIT 17  |  DEPENSES SUR ACHATS"/>
    <b v="1"/>
  </r>
  <r>
    <n v="705"/>
    <x v="0"/>
    <m/>
    <s v="YEAR6"/>
    <x v="8"/>
    <x v="1"/>
    <x v="17"/>
    <x v="3"/>
    <x v="4"/>
    <m/>
    <m/>
    <m/>
    <m/>
    <m/>
    <m/>
    <m/>
    <m/>
    <m/>
    <m/>
    <m/>
    <m/>
    <m/>
    <m/>
    <m/>
    <m/>
    <m/>
    <m/>
    <m/>
    <n v="0"/>
    <n v="0"/>
    <n v="0"/>
    <n v="0"/>
    <n v="0"/>
    <n v="0"/>
    <n v="0"/>
    <n v="0"/>
    <n v="0"/>
    <n v="0"/>
    <n v="0"/>
    <n v="0"/>
    <m/>
    <s v="PRODUIT 17  |  DEPENSES SUR ACHATS"/>
    <b v="1"/>
  </r>
  <r>
    <n v="706"/>
    <x v="0"/>
    <m/>
    <s v="YEAR-2"/>
    <x v="1"/>
    <x v="1"/>
    <x v="17"/>
    <x v="3"/>
    <x v="5"/>
    <m/>
    <m/>
    <m/>
    <m/>
    <m/>
    <m/>
    <m/>
    <m/>
    <m/>
    <m/>
    <m/>
    <m/>
    <m/>
    <m/>
    <m/>
    <m/>
    <m/>
    <m/>
    <m/>
    <n v="0"/>
    <n v="0"/>
    <n v="0"/>
    <n v="0"/>
    <n v="0"/>
    <n v="0"/>
    <n v="0"/>
    <n v="0"/>
    <n v="0"/>
    <m/>
    <n v="0"/>
    <m/>
    <m/>
    <s v="PRODUIT 17  |  PRIX MOYEN D'ACHAT PAR PRODUIT/SERVICE"/>
    <m/>
  </r>
  <r>
    <n v="707"/>
    <x v="0"/>
    <m/>
    <s v="YEAR-1"/>
    <x v="2"/>
    <x v="1"/>
    <x v="17"/>
    <x v="3"/>
    <x v="5"/>
    <m/>
    <m/>
    <m/>
    <m/>
    <m/>
    <m/>
    <m/>
    <m/>
    <m/>
    <m/>
    <m/>
    <m/>
    <m/>
    <m/>
    <m/>
    <m/>
    <m/>
    <m/>
    <m/>
    <n v="0"/>
    <n v="0"/>
    <n v="0"/>
    <n v="0"/>
    <n v="0"/>
    <n v="0"/>
    <n v="0"/>
    <n v="0"/>
    <n v="0"/>
    <m/>
    <n v="0"/>
    <m/>
    <m/>
    <s v="PRODUIT 17  |  PRIX MOYEN D'ACHAT PAR PRODUIT/SERVICE"/>
    <m/>
  </r>
  <r>
    <n v="708"/>
    <x v="0"/>
    <m/>
    <s v="CURRENT YEAR"/>
    <x v="3"/>
    <x v="1"/>
    <x v="17"/>
    <x v="3"/>
    <x v="5"/>
    <m/>
    <m/>
    <m/>
    <m/>
    <m/>
    <m/>
    <m/>
    <m/>
    <m/>
    <m/>
    <m/>
    <m/>
    <m/>
    <m/>
    <m/>
    <m/>
    <m/>
    <m/>
    <m/>
    <n v="0"/>
    <n v="0"/>
    <n v="0"/>
    <n v="0"/>
    <n v="0"/>
    <n v="0"/>
    <n v="0"/>
    <n v="0"/>
    <n v="0"/>
    <m/>
    <n v="0"/>
    <m/>
    <m/>
    <s v="PRODUIT 17  |  PRIX MOYEN D'ACHAT PAR PRODUIT/SERVICE"/>
    <m/>
  </r>
  <r>
    <n v="709"/>
    <x v="0"/>
    <m/>
    <s v="YEAR2"/>
    <x v="4"/>
    <x v="1"/>
    <x v="17"/>
    <x v="3"/>
    <x v="5"/>
    <m/>
    <m/>
    <m/>
    <m/>
    <m/>
    <m/>
    <m/>
    <m/>
    <m/>
    <m/>
    <m/>
    <m/>
    <m/>
    <m/>
    <m/>
    <m/>
    <m/>
    <m/>
    <m/>
    <n v="0"/>
    <n v="0"/>
    <n v="0"/>
    <n v="0"/>
    <n v="0"/>
    <n v="0"/>
    <n v="0"/>
    <n v="0"/>
    <n v="0"/>
    <m/>
    <n v="0"/>
    <m/>
    <m/>
    <s v="PRODUIT 17  |  PRIX MOYEN D'ACHAT PAR PRODUIT/SERVICE"/>
    <m/>
  </r>
  <r>
    <n v="710"/>
    <x v="0"/>
    <m/>
    <s v="YEAR3"/>
    <x v="5"/>
    <x v="1"/>
    <x v="17"/>
    <x v="3"/>
    <x v="5"/>
    <m/>
    <m/>
    <m/>
    <m/>
    <m/>
    <m/>
    <m/>
    <m/>
    <m/>
    <m/>
    <m/>
    <m/>
    <m/>
    <m/>
    <m/>
    <m/>
    <m/>
    <m/>
    <m/>
    <n v="0"/>
    <n v="0"/>
    <n v="0"/>
    <n v="0"/>
    <n v="0"/>
    <n v="0"/>
    <n v="0"/>
    <n v="0"/>
    <n v="0"/>
    <m/>
    <n v="0"/>
    <m/>
    <m/>
    <s v="PRODUIT 17  |  PRIX MOYEN D'ACHAT PAR PRODUIT/SERVICE"/>
    <m/>
  </r>
  <r>
    <n v="711"/>
    <x v="0"/>
    <m/>
    <s v="YEAR4"/>
    <x v="6"/>
    <x v="1"/>
    <x v="17"/>
    <x v="3"/>
    <x v="5"/>
    <m/>
    <m/>
    <m/>
    <m/>
    <m/>
    <m/>
    <m/>
    <m/>
    <m/>
    <m/>
    <m/>
    <m/>
    <m/>
    <m/>
    <m/>
    <m/>
    <m/>
    <m/>
    <m/>
    <n v="0"/>
    <n v="0"/>
    <n v="0"/>
    <n v="0"/>
    <n v="0"/>
    <n v="0"/>
    <n v="0"/>
    <n v="0"/>
    <n v="0"/>
    <m/>
    <n v="0"/>
    <m/>
    <m/>
    <s v="PRODUIT 17  |  PRIX MOYEN D'ACHAT PAR PRODUIT/SERVICE"/>
    <m/>
  </r>
  <r>
    <n v="712"/>
    <x v="0"/>
    <m/>
    <s v="YEAR5"/>
    <x v="7"/>
    <x v="1"/>
    <x v="17"/>
    <x v="3"/>
    <x v="5"/>
    <m/>
    <m/>
    <m/>
    <m/>
    <m/>
    <m/>
    <m/>
    <m/>
    <m/>
    <m/>
    <m/>
    <m/>
    <m/>
    <m/>
    <m/>
    <m/>
    <m/>
    <m/>
    <m/>
    <n v="0"/>
    <n v="0"/>
    <n v="0"/>
    <n v="0"/>
    <n v="0"/>
    <n v="0"/>
    <n v="0"/>
    <n v="0"/>
    <n v="0"/>
    <m/>
    <n v="0"/>
    <m/>
    <m/>
    <s v="PRODUIT 17  |  PRIX MOYEN D'ACHAT PAR PRODUIT/SERVICE"/>
    <m/>
  </r>
  <r>
    <n v="713"/>
    <x v="0"/>
    <m/>
    <s v="YEAR6"/>
    <x v="8"/>
    <x v="1"/>
    <x v="17"/>
    <x v="3"/>
    <x v="5"/>
    <m/>
    <m/>
    <m/>
    <m/>
    <m/>
    <m/>
    <m/>
    <m/>
    <m/>
    <m/>
    <m/>
    <m/>
    <m/>
    <m/>
    <m/>
    <m/>
    <m/>
    <m/>
    <m/>
    <n v="0"/>
    <n v="0"/>
    <n v="0"/>
    <n v="0"/>
    <n v="0"/>
    <n v="0"/>
    <n v="0"/>
    <n v="0"/>
    <n v="0"/>
    <m/>
    <n v="0"/>
    <m/>
    <m/>
    <s v="PRODUIT 17  |  PRIX MOYEN D'ACHAT PAR PRODUIT/SERVICE"/>
    <m/>
  </r>
  <r>
    <n v="714"/>
    <x v="0"/>
    <n v="1"/>
    <m/>
    <x v="0"/>
    <x v="0"/>
    <x v="0"/>
    <x v="0"/>
    <x v="0"/>
    <m/>
    <m/>
    <m/>
    <m/>
    <m/>
    <m/>
    <m/>
    <m/>
    <m/>
    <m/>
    <m/>
    <m/>
    <m/>
    <m/>
    <m/>
    <m/>
    <m/>
    <m/>
    <m/>
    <m/>
    <m/>
    <m/>
    <m/>
    <m/>
    <m/>
    <m/>
    <m/>
    <m/>
    <m/>
    <m/>
    <m/>
    <m/>
    <m/>
    <m/>
  </r>
  <r>
    <n v="715"/>
    <x v="0"/>
    <m/>
    <m/>
    <x v="0"/>
    <x v="0"/>
    <x v="0"/>
    <x v="0"/>
    <x v="0"/>
    <m/>
    <m/>
    <m/>
    <m/>
    <m/>
    <m/>
    <m/>
    <m/>
    <m/>
    <m/>
    <m/>
    <m/>
    <m/>
    <m/>
    <m/>
    <m/>
    <m/>
    <m/>
    <m/>
    <m/>
    <m/>
    <m/>
    <m/>
    <m/>
    <m/>
    <m/>
    <m/>
    <m/>
    <m/>
    <m/>
    <m/>
    <m/>
    <m/>
    <m/>
  </r>
  <r>
    <n v="716"/>
    <x v="0"/>
    <n v="1"/>
    <s v="YEAR-2"/>
    <x v="1"/>
    <x v="1"/>
    <x v="18"/>
    <x v="3"/>
    <x v="1"/>
    <n v="1000"/>
    <n v="0"/>
    <n v="0"/>
    <n v="1000"/>
    <n v="1"/>
    <n v="0"/>
    <n v="0"/>
    <n v="500"/>
    <n v="0"/>
    <n v="0"/>
    <n v="500"/>
    <n v="1"/>
    <n v="1"/>
    <n v="1"/>
    <n v="0"/>
    <n v="0"/>
    <n v="0"/>
    <n v="0"/>
    <n v="0"/>
    <n v="0"/>
    <n v="0"/>
    <n v="0"/>
    <n v="0"/>
    <n v="0"/>
    <n v="0"/>
    <n v="0"/>
    <n v="0"/>
    <n v="0"/>
    <n v="0"/>
    <n v="0"/>
    <n v="0"/>
    <s v="GAMME # : 1 + CANAL DE DISTRIBUTION # : 1"/>
    <s v="PRODUIT 18  |  VOLUME"/>
    <b v="1"/>
  </r>
  <r>
    <n v="717"/>
    <x v="0"/>
    <n v="1"/>
    <s v="YEAR-1"/>
    <x v="2"/>
    <x v="1"/>
    <x v="18"/>
    <x v="3"/>
    <x v="1"/>
    <n v="1000"/>
    <n v="0"/>
    <n v="0"/>
    <n v="1000"/>
    <n v="1"/>
    <n v="0"/>
    <n v="0"/>
    <n v="500"/>
    <n v="0"/>
    <n v="0"/>
    <n v="500"/>
    <n v="1"/>
    <n v="1"/>
    <n v="1"/>
    <n v="0"/>
    <n v="0"/>
    <n v="0"/>
    <n v="0"/>
    <n v="0"/>
    <n v="0"/>
    <n v="0"/>
    <n v="0"/>
    <n v="0"/>
    <n v="0"/>
    <n v="0"/>
    <n v="0"/>
    <n v="0"/>
    <n v="0"/>
    <n v="0"/>
    <n v="0"/>
    <n v="0"/>
    <m/>
    <s v="PRODUIT 18  |  VOLUME"/>
    <b v="1"/>
  </r>
  <r>
    <n v="718"/>
    <x v="0"/>
    <n v="1"/>
    <s v="CURRENT YEAR"/>
    <x v="3"/>
    <x v="1"/>
    <x v="18"/>
    <x v="3"/>
    <x v="1"/>
    <n v="1000"/>
    <n v="0"/>
    <n v="0"/>
    <n v="1000"/>
    <n v="1"/>
    <n v="0"/>
    <n v="0"/>
    <n v="500"/>
    <n v="0"/>
    <n v="0"/>
    <n v="500"/>
    <n v="1"/>
    <n v="1"/>
    <n v="1"/>
    <n v="0"/>
    <n v="0"/>
    <n v="0"/>
    <n v="0"/>
    <n v="0"/>
    <n v="0"/>
    <n v="0"/>
    <n v="0"/>
    <n v="0"/>
    <n v="0"/>
    <n v="0"/>
    <n v="0"/>
    <n v="0"/>
    <n v="0"/>
    <n v="0"/>
    <n v="0"/>
    <n v="0"/>
    <m/>
    <s v="PRODUIT 18  |  VOLUME"/>
    <b v="1"/>
  </r>
  <r>
    <n v="719"/>
    <x v="0"/>
    <n v="1"/>
    <s v="YEAR2"/>
    <x v="4"/>
    <x v="1"/>
    <x v="18"/>
    <x v="3"/>
    <x v="1"/>
    <n v="1000"/>
    <n v="0"/>
    <n v="0"/>
    <n v="1000"/>
    <n v="1"/>
    <n v="0"/>
    <n v="0"/>
    <n v="500"/>
    <n v="0"/>
    <n v="0"/>
    <n v="500"/>
    <n v="1"/>
    <n v="1"/>
    <n v="1"/>
    <n v="0"/>
    <n v="0"/>
    <n v="0"/>
    <n v="0"/>
    <n v="0"/>
    <n v="0"/>
    <n v="0"/>
    <n v="0"/>
    <n v="0"/>
    <n v="0"/>
    <n v="0"/>
    <n v="0"/>
    <n v="0"/>
    <n v="0"/>
    <n v="0"/>
    <n v="0"/>
    <n v="0"/>
    <m/>
    <s v="PRODUIT 18  |  VOLUME"/>
    <b v="1"/>
  </r>
  <r>
    <n v="720"/>
    <x v="0"/>
    <n v="1"/>
    <s v="YEAR3"/>
    <x v="5"/>
    <x v="1"/>
    <x v="18"/>
    <x v="3"/>
    <x v="1"/>
    <n v="1000"/>
    <n v="0"/>
    <n v="0"/>
    <n v="1000"/>
    <n v="1"/>
    <n v="0"/>
    <n v="0"/>
    <n v="500"/>
    <n v="0"/>
    <n v="0"/>
    <n v="500"/>
    <n v="1"/>
    <n v="1"/>
    <n v="1"/>
    <n v="0"/>
    <n v="0"/>
    <n v="0"/>
    <n v="0"/>
    <n v="0"/>
    <n v="0"/>
    <n v="0"/>
    <n v="0"/>
    <n v="0"/>
    <n v="0"/>
    <n v="0"/>
    <n v="0"/>
    <n v="0"/>
    <n v="0"/>
    <n v="0"/>
    <n v="0"/>
    <n v="0"/>
    <m/>
    <s v="PRODUIT 18  |  VOLUME"/>
    <b v="1"/>
  </r>
  <r>
    <n v="721"/>
    <x v="0"/>
    <n v="1"/>
    <s v="YEAR4"/>
    <x v="6"/>
    <x v="1"/>
    <x v="18"/>
    <x v="3"/>
    <x v="1"/>
    <n v="1000"/>
    <n v="0"/>
    <n v="0"/>
    <n v="1000"/>
    <n v="1"/>
    <n v="0"/>
    <n v="0"/>
    <n v="500"/>
    <n v="0"/>
    <n v="0"/>
    <n v="500"/>
    <n v="1"/>
    <n v="1"/>
    <n v="1"/>
    <n v="0"/>
    <n v="0"/>
    <n v="0"/>
    <n v="0"/>
    <n v="0"/>
    <n v="0"/>
    <n v="0"/>
    <n v="0"/>
    <n v="0"/>
    <n v="0"/>
    <n v="0"/>
    <n v="0"/>
    <n v="0"/>
    <n v="0"/>
    <n v="0"/>
    <n v="0"/>
    <n v="0"/>
    <m/>
    <s v="PRODUIT 18  |  VOLUME"/>
    <b v="1"/>
  </r>
  <r>
    <n v="722"/>
    <x v="0"/>
    <n v="1"/>
    <s v="YEAR5"/>
    <x v="7"/>
    <x v="1"/>
    <x v="18"/>
    <x v="3"/>
    <x v="1"/>
    <n v="1000"/>
    <n v="0"/>
    <n v="0"/>
    <n v="1000"/>
    <n v="1"/>
    <n v="0"/>
    <n v="0"/>
    <n v="500"/>
    <n v="0"/>
    <n v="0"/>
    <n v="500"/>
    <n v="1"/>
    <n v="1"/>
    <n v="1"/>
    <n v="0"/>
    <n v="0"/>
    <n v="0"/>
    <n v="0"/>
    <n v="0"/>
    <n v="0"/>
    <n v="0"/>
    <n v="0"/>
    <n v="0"/>
    <n v="0"/>
    <n v="0"/>
    <n v="0"/>
    <n v="0"/>
    <n v="0"/>
    <n v="0"/>
    <n v="0"/>
    <n v="0"/>
    <m/>
    <s v="PRODUIT 18  |  VOLUME"/>
    <b v="1"/>
  </r>
  <r>
    <n v="723"/>
    <x v="0"/>
    <n v="1"/>
    <s v="YEAR6"/>
    <x v="8"/>
    <x v="1"/>
    <x v="18"/>
    <x v="3"/>
    <x v="1"/>
    <n v="1000"/>
    <n v="0"/>
    <n v="0"/>
    <n v="1000"/>
    <n v="1"/>
    <n v="0"/>
    <n v="0"/>
    <n v="500"/>
    <n v="0"/>
    <n v="0"/>
    <n v="500"/>
    <n v="1"/>
    <n v="1"/>
    <n v="1"/>
    <n v="0"/>
    <n v="0"/>
    <n v="0"/>
    <n v="0"/>
    <n v="0"/>
    <n v="0"/>
    <n v="0"/>
    <n v="0"/>
    <n v="0"/>
    <n v="0"/>
    <n v="0"/>
    <n v="0"/>
    <n v="0"/>
    <n v="0"/>
    <n v="0"/>
    <n v="0"/>
    <n v="0"/>
    <m/>
    <s v="PRODUIT 18  |  VOLUME"/>
    <b v="1"/>
  </r>
  <r>
    <n v="724"/>
    <x v="0"/>
    <m/>
    <s v="YEAR-2"/>
    <x v="1"/>
    <x v="1"/>
    <x v="18"/>
    <x v="3"/>
    <x v="2"/>
    <m/>
    <m/>
    <m/>
    <m/>
    <m/>
    <m/>
    <m/>
    <m/>
    <m/>
    <m/>
    <m/>
    <m/>
    <m/>
    <m/>
    <m/>
    <m/>
    <m/>
    <m/>
    <m/>
    <n v="0"/>
    <n v="0"/>
    <n v="0"/>
    <n v="0"/>
    <n v="0"/>
    <n v="0"/>
    <n v="0"/>
    <n v="0"/>
    <n v="0"/>
    <n v="0"/>
    <n v="0"/>
    <n v="0"/>
    <m/>
    <s v="PRODUIT 18  |  CHIFFRE D'AFFAIRES"/>
    <b v="1"/>
  </r>
  <r>
    <n v="725"/>
    <x v="0"/>
    <m/>
    <s v="YEAR-1"/>
    <x v="2"/>
    <x v="1"/>
    <x v="18"/>
    <x v="3"/>
    <x v="2"/>
    <m/>
    <m/>
    <m/>
    <m/>
    <m/>
    <m/>
    <m/>
    <m/>
    <m/>
    <m/>
    <m/>
    <m/>
    <m/>
    <m/>
    <m/>
    <m/>
    <m/>
    <m/>
    <m/>
    <n v="0"/>
    <n v="0"/>
    <n v="0"/>
    <n v="0"/>
    <n v="0"/>
    <n v="0"/>
    <n v="0"/>
    <n v="0"/>
    <n v="0"/>
    <n v="0"/>
    <n v="0"/>
    <n v="0"/>
    <m/>
    <s v="PRODUIT 18  |  CHIFFRE D'AFFAIRES"/>
    <b v="1"/>
  </r>
  <r>
    <n v="726"/>
    <x v="0"/>
    <m/>
    <s v="CURRENT YEAR"/>
    <x v="3"/>
    <x v="1"/>
    <x v="18"/>
    <x v="3"/>
    <x v="2"/>
    <m/>
    <m/>
    <m/>
    <m/>
    <m/>
    <m/>
    <m/>
    <m/>
    <m/>
    <m/>
    <m/>
    <m/>
    <m/>
    <m/>
    <m/>
    <m/>
    <m/>
    <m/>
    <m/>
    <n v="0"/>
    <n v="0"/>
    <n v="0"/>
    <n v="0"/>
    <n v="0"/>
    <n v="0"/>
    <n v="0"/>
    <n v="0"/>
    <n v="0"/>
    <n v="0"/>
    <n v="0"/>
    <n v="0"/>
    <m/>
    <s v="PRODUIT 18  |  CHIFFRE D'AFFAIRES"/>
    <b v="1"/>
  </r>
  <r>
    <n v="727"/>
    <x v="0"/>
    <m/>
    <s v="YEAR2"/>
    <x v="4"/>
    <x v="1"/>
    <x v="18"/>
    <x v="3"/>
    <x v="2"/>
    <m/>
    <m/>
    <m/>
    <m/>
    <m/>
    <m/>
    <m/>
    <m/>
    <m/>
    <m/>
    <m/>
    <m/>
    <m/>
    <m/>
    <m/>
    <m/>
    <m/>
    <m/>
    <m/>
    <n v="0"/>
    <n v="0"/>
    <n v="0"/>
    <n v="0"/>
    <n v="0"/>
    <n v="0"/>
    <n v="0"/>
    <n v="0"/>
    <n v="0"/>
    <n v="0"/>
    <n v="0"/>
    <n v="0"/>
    <m/>
    <s v="PRODUIT 18  |  CHIFFRE D'AFFAIRES"/>
    <b v="1"/>
  </r>
  <r>
    <n v="728"/>
    <x v="0"/>
    <m/>
    <s v="YEAR3"/>
    <x v="5"/>
    <x v="1"/>
    <x v="18"/>
    <x v="3"/>
    <x v="2"/>
    <m/>
    <m/>
    <m/>
    <m/>
    <m/>
    <m/>
    <m/>
    <m/>
    <m/>
    <m/>
    <m/>
    <m/>
    <m/>
    <m/>
    <m/>
    <m/>
    <m/>
    <m/>
    <m/>
    <n v="0"/>
    <n v="0"/>
    <n v="0"/>
    <n v="0"/>
    <n v="0"/>
    <n v="0"/>
    <n v="0"/>
    <n v="0"/>
    <n v="0"/>
    <n v="0"/>
    <n v="0"/>
    <n v="0"/>
    <m/>
    <s v="PRODUIT 18  |  CHIFFRE D'AFFAIRES"/>
    <b v="1"/>
  </r>
  <r>
    <n v="729"/>
    <x v="0"/>
    <m/>
    <s v="YEAR4"/>
    <x v="6"/>
    <x v="1"/>
    <x v="18"/>
    <x v="3"/>
    <x v="2"/>
    <m/>
    <m/>
    <m/>
    <m/>
    <m/>
    <m/>
    <m/>
    <m/>
    <m/>
    <m/>
    <m/>
    <m/>
    <m/>
    <m/>
    <m/>
    <m/>
    <m/>
    <m/>
    <m/>
    <n v="0"/>
    <n v="0"/>
    <n v="0"/>
    <n v="0"/>
    <n v="0"/>
    <n v="0"/>
    <n v="0"/>
    <n v="0"/>
    <n v="0"/>
    <n v="0"/>
    <n v="0"/>
    <n v="0"/>
    <m/>
    <s v="PRODUIT 18  |  CHIFFRE D'AFFAIRES"/>
    <b v="1"/>
  </r>
  <r>
    <n v="730"/>
    <x v="0"/>
    <m/>
    <s v="YEAR5"/>
    <x v="7"/>
    <x v="1"/>
    <x v="18"/>
    <x v="3"/>
    <x v="2"/>
    <m/>
    <m/>
    <m/>
    <m/>
    <m/>
    <m/>
    <m/>
    <m/>
    <m/>
    <m/>
    <m/>
    <m/>
    <m/>
    <m/>
    <m/>
    <m/>
    <m/>
    <m/>
    <m/>
    <n v="0"/>
    <n v="0"/>
    <n v="0"/>
    <n v="0"/>
    <n v="0"/>
    <n v="0"/>
    <n v="0"/>
    <n v="0"/>
    <n v="0"/>
    <n v="0"/>
    <n v="0"/>
    <n v="0"/>
    <m/>
    <s v="PRODUIT 18  |  CHIFFRE D'AFFAIRES"/>
    <b v="1"/>
  </r>
  <r>
    <n v="731"/>
    <x v="0"/>
    <m/>
    <s v="YEAR6"/>
    <x v="8"/>
    <x v="1"/>
    <x v="18"/>
    <x v="3"/>
    <x v="2"/>
    <m/>
    <m/>
    <m/>
    <m/>
    <m/>
    <m/>
    <m/>
    <m/>
    <m/>
    <m/>
    <m/>
    <m/>
    <m/>
    <m/>
    <m/>
    <m/>
    <m/>
    <m/>
    <m/>
    <n v="0"/>
    <n v="0"/>
    <n v="0"/>
    <n v="0"/>
    <n v="0"/>
    <n v="0"/>
    <n v="0"/>
    <n v="0"/>
    <n v="0"/>
    <n v="0"/>
    <n v="0"/>
    <n v="0"/>
    <m/>
    <s v="PRODUIT 18  |  CHIFFRE D'AFFAIRES"/>
    <b v="1"/>
  </r>
  <r>
    <n v="732"/>
    <x v="0"/>
    <m/>
    <s v="YEAR-2"/>
    <x v="1"/>
    <x v="1"/>
    <x v="18"/>
    <x v="3"/>
    <x v="3"/>
    <m/>
    <m/>
    <m/>
    <m/>
    <m/>
    <m/>
    <m/>
    <m/>
    <m/>
    <m/>
    <m/>
    <m/>
    <m/>
    <m/>
    <m/>
    <m/>
    <m/>
    <m/>
    <m/>
    <n v="0"/>
    <n v="0"/>
    <n v="0"/>
    <n v="0"/>
    <n v="0"/>
    <n v="0"/>
    <n v="0"/>
    <n v="0"/>
    <n v="0"/>
    <m/>
    <n v="0"/>
    <m/>
    <m/>
    <s v="PRODUIT 18  |  PRIX MOYEN DE VENTE PAR PRODUIT/SERVICE"/>
    <m/>
  </r>
  <r>
    <n v="733"/>
    <x v="0"/>
    <m/>
    <s v="YEAR-1"/>
    <x v="2"/>
    <x v="1"/>
    <x v="18"/>
    <x v="3"/>
    <x v="3"/>
    <m/>
    <m/>
    <m/>
    <m/>
    <m/>
    <m/>
    <m/>
    <m/>
    <m/>
    <m/>
    <m/>
    <m/>
    <m/>
    <m/>
    <m/>
    <m/>
    <m/>
    <m/>
    <m/>
    <n v="0"/>
    <n v="0"/>
    <n v="0"/>
    <n v="0"/>
    <n v="0"/>
    <n v="0"/>
    <n v="0"/>
    <n v="0"/>
    <n v="0"/>
    <m/>
    <n v="0"/>
    <m/>
    <m/>
    <s v="PRODUIT 18  |  PRIX MOYEN DE VENTE PAR PRODUIT/SERVICE"/>
    <m/>
  </r>
  <r>
    <n v="734"/>
    <x v="0"/>
    <m/>
    <s v="CURRENT YEAR"/>
    <x v="3"/>
    <x v="1"/>
    <x v="18"/>
    <x v="3"/>
    <x v="3"/>
    <m/>
    <m/>
    <m/>
    <m/>
    <m/>
    <m/>
    <m/>
    <m/>
    <m/>
    <m/>
    <m/>
    <m/>
    <m/>
    <m/>
    <m/>
    <m/>
    <m/>
    <m/>
    <m/>
    <n v="0"/>
    <n v="0"/>
    <n v="0"/>
    <n v="0"/>
    <n v="0"/>
    <n v="0"/>
    <n v="0"/>
    <n v="0"/>
    <n v="0"/>
    <m/>
    <n v="0"/>
    <m/>
    <m/>
    <s v="PRODUIT 18  |  PRIX MOYEN DE VENTE PAR PRODUIT/SERVICE"/>
    <m/>
  </r>
  <r>
    <n v="735"/>
    <x v="0"/>
    <m/>
    <s v="YEAR2"/>
    <x v="4"/>
    <x v="1"/>
    <x v="18"/>
    <x v="3"/>
    <x v="3"/>
    <m/>
    <m/>
    <m/>
    <m/>
    <m/>
    <m/>
    <m/>
    <m/>
    <m/>
    <m/>
    <m/>
    <m/>
    <m/>
    <m/>
    <m/>
    <m/>
    <m/>
    <m/>
    <m/>
    <n v="0"/>
    <n v="0"/>
    <n v="0"/>
    <n v="0"/>
    <n v="0"/>
    <n v="0"/>
    <n v="0"/>
    <n v="0"/>
    <n v="0"/>
    <m/>
    <n v="0"/>
    <m/>
    <m/>
    <s v="PRODUIT 18  |  PRIX MOYEN DE VENTE PAR PRODUIT/SERVICE"/>
    <m/>
  </r>
  <r>
    <n v="736"/>
    <x v="0"/>
    <m/>
    <s v="YEAR3"/>
    <x v="5"/>
    <x v="1"/>
    <x v="18"/>
    <x v="3"/>
    <x v="3"/>
    <m/>
    <m/>
    <m/>
    <m/>
    <m/>
    <m/>
    <m/>
    <m/>
    <m/>
    <m/>
    <m/>
    <m/>
    <m/>
    <m/>
    <m/>
    <m/>
    <m/>
    <m/>
    <m/>
    <n v="0"/>
    <n v="0"/>
    <n v="0"/>
    <n v="0"/>
    <n v="0"/>
    <n v="0"/>
    <n v="0"/>
    <n v="0"/>
    <n v="0"/>
    <m/>
    <n v="0"/>
    <m/>
    <m/>
    <s v="PRODUIT 18  |  PRIX MOYEN DE VENTE PAR PRODUIT/SERVICE"/>
    <m/>
  </r>
  <r>
    <n v="737"/>
    <x v="0"/>
    <m/>
    <s v="YEAR4"/>
    <x v="6"/>
    <x v="1"/>
    <x v="18"/>
    <x v="3"/>
    <x v="3"/>
    <m/>
    <m/>
    <m/>
    <m/>
    <m/>
    <m/>
    <m/>
    <m/>
    <m/>
    <m/>
    <m/>
    <m/>
    <m/>
    <m/>
    <m/>
    <m/>
    <m/>
    <m/>
    <m/>
    <n v="0"/>
    <n v="0"/>
    <n v="0"/>
    <n v="0"/>
    <n v="0"/>
    <n v="0"/>
    <n v="0"/>
    <n v="0"/>
    <n v="0"/>
    <m/>
    <n v="0"/>
    <m/>
    <m/>
    <s v="PRODUIT 18  |  PRIX MOYEN DE VENTE PAR PRODUIT/SERVICE"/>
    <m/>
  </r>
  <r>
    <n v="738"/>
    <x v="0"/>
    <m/>
    <s v="YEAR5"/>
    <x v="7"/>
    <x v="1"/>
    <x v="18"/>
    <x v="3"/>
    <x v="3"/>
    <m/>
    <m/>
    <m/>
    <m/>
    <m/>
    <m/>
    <m/>
    <m/>
    <m/>
    <m/>
    <m/>
    <m/>
    <m/>
    <m/>
    <m/>
    <m/>
    <m/>
    <m/>
    <m/>
    <n v="0"/>
    <n v="0"/>
    <n v="0"/>
    <n v="0"/>
    <n v="0"/>
    <n v="0"/>
    <n v="0"/>
    <n v="0"/>
    <n v="0"/>
    <m/>
    <n v="0"/>
    <m/>
    <m/>
    <s v="PRODUIT 18  |  PRIX MOYEN DE VENTE PAR PRODUIT/SERVICE"/>
    <m/>
  </r>
  <r>
    <n v="739"/>
    <x v="0"/>
    <m/>
    <s v="YEAR6"/>
    <x v="8"/>
    <x v="1"/>
    <x v="18"/>
    <x v="3"/>
    <x v="3"/>
    <m/>
    <m/>
    <m/>
    <m/>
    <m/>
    <m/>
    <m/>
    <m/>
    <m/>
    <m/>
    <m/>
    <m/>
    <m/>
    <m/>
    <m/>
    <m/>
    <m/>
    <m/>
    <m/>
    <n v="0"/>
    <n v="0"/>
    <n v="0"/>
    <n v="0"/>
    <n v="0"/>
    <n v="0"/>
    <n v="0"/>
    <n v="0"/>
    <n v="0"/>
    <m/>
    <n v="0"/>
    <m/>
    <m/>
    <s v="PRODUIT 18  |  PRIX MOYEN DE VENTE PAR PRODUIT/SERVICE"/>
    <m/>
  </r>
  <r>
    <n v="740"/>
    <x v="0"/>
    <m/>
    <s v="YEAR-2"/>
    <x v="1"/>
    <x v="1"/>
    <x v="18"/>
    <x v="3"/>
    <x v="4"/>
    <m/>
    <m/>
    <m/>
    <m/>
    <m/>
    <m/>
    <m/>
    <m/>
    <m/>
    <m/>
    <m/>
    <m/>
    <m/>
    <m/>
    <m/>
    <m/>
    <m/>
    <m/>
    <m/>
    <n v="0"/>
    <n v="0"/>
    <n v="0"/>
    <n v="0"/>
    <n v="0"/>
    <n v="0"/>
    <n v="0"/>
    <n v="0"/>
    <n v="0"/>
    <n v="0"/>
    <n v="0"/>
    <n v="0"/>
    <m/>
    <s v="PRODUIT 18  |  DEPENSES SUR ACHATS"/>
    <b v="1"/>
  </r>
  <r>
    <n v="741"/>
    <x v="0"/>
    <m/>
    <s v="YEAR-1"/>
    <x v="2"/>
    <x v="1"/>
    <x v="18"/>
    <x v="3"/>
    <x v="4"/>
    <m/>
    <m/>
    <m/>
    <m/>
    <m/>
    <m/>
    <m/>
    <m/>
    <m/>
    <m/>
    <m/>
    <m/>
    <m/>
    <m/>
    <m/>
    <m/>
    <m/>
    <m/>
    <m/>
    <n v="0"/>
    <n v="0"/>
    <n v="0"/>
    <n v="0"/>
    <n v="0"/>
    <n v="0"/>
    <n v="0"/>
    <n v="0"/>
    <n v="0"/>
    <n v="0"/>
    <n v="0"/>
    <n v="0"/>
    <m/>
    <s v="PRODUIT 18  |  DEPENSES SUR ACHATS"/>
    <b v="1"/>
  </r>
  <r>
    <n v="742"/>
    <x v="0"/>
    <m/>
    <s v="CURRENT YEAR"/>
    <x v="3"/>
    <x v="1"/>
    <x v="18"/>
    <x v="3"/>
    <x v="4"/>
    <m/>
    <m/>
    <m/>
    <m/>
    <m/>
    <m/>
    <m/>
    <m/>
    <m/>
    <m/>
    <m/>
    <m/>
    <m/>
    <m/>
    <m/>
    <m/>
    <m/>
    <m/>
    <m/>
    <n v="0"/>
    <n v="0"/>
    <n v="0"/>
    <n v="0"/>
    <n v="0"/>
    <n v="0"/>
    <n v="0"/>
    <n v="0"/>
    <n v="0"/>
    <n v="0"/>
    <n v="0"/>
    <n v="0"/>
    <m/>
    <s v="PRODUIT 18  |  DEPENSES SUR ACHATS"/>
    <b v="1"/>
  </r>
  <r>
    <n v="743"/>
    <x v="0"/>
    <m/>
    <s v="YEAR2"/>
    <x v="4"/>
    <x v="1"/>
    <x v="18"/>
    <x v="3"/>
    <x v="4"/>
    <m/>
    <m/>
    <m/>
    <m/>
    <m/>
    <m/>
    <m/>
    <m/>
    <m/>
    <m/>
    <m/>
    <m/>
    <m/>
    <m/>
    <m/>
    <m/>
    <m/>
    <m/>
    <m/>
    <n v="0"/>
    <n v="0"/>
    <n v="0"/>
    <n v="0"/>
    <n v="0"/>
    <n v="0"/>
    <n v="0"/>
    <n v="0"/>
    <n v="0"/>
    <n v="0"/>
    <n v="0"/>
    <n v="0"/>
    <m/>
    <s v="PRODUIT 18  |  DEPENSES SUR ACHATS"/>
    <b v="1"/>
  </r>
  <r>
    <n v="744"/>
    <x v="0"/>
    <m/>
    <s v="YEAR3"/>
    <x v="5"/>
    <x v="1"/>
    <x v="18"/>
    <x v="3"/>
    <x v="4"/>
    <m/>
    <m/>
    <m/>
    <m/>
    <m/>
    <m/>
    <m/>
    <m/>
    <m/>
    <m/>
    <m/>
    <m/>
    <m/>
    <m/>
    <m/>
    <m/>
    <m/>
    <m/>
    <m/>
    <n v="0"/>
    <n v="0"/>
    <n v="0"/>
    <n v="0"/>
    <n v="0"/>
    <n v="0"/>
    <n v="0"/>
    <n v="0"/>
    <n v="0"/>
    <n v="0"/>
    <n v="0"/>
    <n v="0"/>
    <m/>
    <s v="PRODUIT 18  |  DEPENSES SUR ACHATS"/>
    <b v="1"/>
  </r>
  <r>
    <n v="745"/>
    <x v="0"/>
    <m/>
    <s v="YEAR4"/>
    <x v="6"/>
    <x v="1"/>
    <x v="18"/>
    <x v="3"/>
    <x v="4"/>
    <m/>
    <m/>
    <m/>
    <m/>
    <m/>
    <m/>
    <m/>
    <m/>
    <m/>
    <m/>
    <m/>
    <m/>
    <m/>
    <m/>
    <m/>
    <m/>
    <m/>
    <m/>
    <m/>
    <n v="0"/>
    <n v="0"/>
    <n v="0"/>
    <n v="0"/>
    <n v="0"/>
    <n v="0"/>
    <n v="0"/>
    <n v="0"/>
    <n v="0"/>
    <n v="0"/>
    <n v="0"/>
    <n v="0"/>
    <m/>
    <s v="PRODUIT 18  |  DEPENSES SUR ACHATS"/>
    <b v="1"/>
  </r>
  <r>
    <n v="746"/>
    <x v="0"/>
    <m/>
    <s v="YEAR5"/>
    <x v="7"/>
    <x v="1"/>
    <x v="18"/>
    <x v="3"/>
    <x v="4"/>
    <m/>
    <m/>
    <m/>
    <m/>
    <m/>
    <m/>
    <m/>
    <m/>
    <m/>
    <m/>
    <m/>
    <m/>
    <m/>
    <m/>
    <m/>
    <m/>
    <m/>
    <m/>
    <m/>
    <n v="0"/>
    <n v="0"/>
    <n v="0"/>
    <n v="0"/>
    <n v="0"/>
    <n v="0"/>
    <n v="0"/>
    <n v="0"/>
    <n v="0"/>
    <n v="0"/>
    <n v="0"/>
    <n v="0"/>
    <m/>
    <s v="PRODUIT 18  |  DEPENSES SUR ACHATS"/>
    <b v="1"/>
  </r>
  <r>
    <n v="747"/>
    <x v="0"/>
    <m/>
    <s v="YEAR6"/>
    <x v="8"/>
    <x v="1"/>
    <x v="18"/>
    <x v="3"/>
    <x v="4"/>
    <m/>
    <m/>
    <m/>
    <m/>
    <m/>
    <m/>
    <m/>
    <m/>
    <m/>
    <m/>
    <m/>
    <m/>
    <m/>
    <m/>
    <m/>
    <m/>
    <m/>
    <m/>
    <m/>
    <n v="0"/>
    <n v="0"/>
    <n v="0"/>
    <n v="0"/>
    <n v="0"/>
    <n v="0"/>
    <n v="0"/>
    <n v="0"/>
    <n v="0"/>
    <n v="0"/>
    <n v="0"/>
    <n v="0"/>
    <m/>
    <s v="PRODUIT 18  |  DEPENSES SUR ACHATS"/>
    <b v="1"/>
  </r>
  <r>
    <n v="748"/>
    <x v="0"/>
    <m/>
    <s v="YEAR-2"/>
    <x v="1"/>
    <x v="1"/>
    <x v="18"/>
    <x v="3"/>
    <x v="5"/>
    <m/>
    <m/>
    <m/>
    <m/>
    <m/>
    <m/>
    <m/>
    <m/>
    <m/>
    <m/>
    <m/>
    <m/>
    <m/>
    <m/>
    <m/>
    <m/>
    <m/>
    <m/>
    <m/>
    <n v="0"/>
    <n v="0"/>
    <n v="0"/>
    <n v="0"/>
    <n v="0"/>
    <n v="0"/>
    <n v="0"/>
    <n v="0"/>
    <n v="0"/>
    <m/>
    <n v="0"/>
    <m/>
    <m/>
    <s v="PRODUIT 18  |  PRIX MOYEN D'ACHAT PAR PRODUIT/SERVICE"/>
    <m/>
  </r>
  <r>
    <n v="749"/>
    <x v="0"/>
    <m/>
    <s v="YEAR-1"/>
    <x v="2"/>
    <x v="1"/>
    <x v="18"/>
    <x v="3"/>
    <x v="5"/>
    <m/>
    <m/>
    <m/>
    <m/>
    <m/>
    <m/>
    <m/>
    <m/>
    <m/>
    <m/>
    <m/>
    <m/>
    <m/>
    <m/>
    <m/>
    <m/>
    <m/>
    <m/>
    <m/>
    <n v="0"/>
    <n v="0"/>
    <n v="0"/>
    <n v="0"/>
    <n v="0"/>
    <n v="0"/>
    <n v="0"/>
    <n v="0"/>
    <n v="0"/>
    <m/>
    <n v="0"/>
    <m/>
    <m/>
    <s v="PRODUIT 18  |  PRIX MOYEN D'ACHAT PAR PRODUIT/SERVICE"/>
    <m/>
  </r>
  <r>
    <n v="750"/>
    <x v="0"/>
    <m/>
    <s v="CURRENT YEAR"/>
    <x v="3"/>
    <x v="1"/>
    <x v="18"/>
    <x v="3"/>
    <x v="5"/>
    <m/>
    <m/>
    <m/>
    <m/>
    <m/>
    <m/>
    <m/>
    <m/>
    <m/>
    <m/>
    <m/>
    <m/>
    <m/>
    <m/>
    <m/>
    <m/>
    <m/>
    <m/>
    <m/>
    <n v="0"/>
    <n v="0"/>
    <n v="0"/>
    <n v="0"/>
    <n v="0"/>
    <n v="0"/>
    <n v="0"/>
    <n v="0"/>
    <n v="0"/>
    <m/>
    <n v="0"/>
    <m/>
    <m/>
    <s v="PRODUIT 18  |  PRIX MOYEN D'ACHAT PAR PRODUIT/SERVICE"/>
    <m/>
  </r>
  <r>
    <n v="751"/>
    <x v="0"/>
    <m/>
    <s v="YEAR2"/>
    <x v="4"/>
    <x v="1"/>
    <x v="18"/>
    <x v="3"/>
    <x v="5"/>
    <m/>
    <m/>
    <m/>
    <m/>
    <m/>
    <m/>
    <m/>
    <m/>
    <m/>
    <m/>
    <m/>
    <m/>
    <m/>
    <m/>
    <m/>
    <m/>
    <m/>
    <m/>
    <m/>
    <n v="0"/>
    <n v="0"/>
    <n v="0"/>
    <n v="0"/>
    <n v="0"/>
    <n v="0"/>
    <n v="0"/>
    <n v="0"/>
    <n v="0"/>
    <m/>
    <n v="0"/>
    <m/>
    <m/>
    <s v="PRODUIT 18  |  PRIX MOYEN D'ACHAT PAR PRODUIT/SERVICE"/>
    <m/>
  </r>
  <r>
    <n v="752"/>
    <x v="0"/>
    <m/>
    <s v="YEAR3"/>
    <x v="5"/>
    <x v="1"/>
    <x v="18"/>
    <x v="3"/>
    <x v="5"/>
    <m/>
    <m/>
    <m/>
    <m/>
    <m/>
    <m/>
    <m/>
    <m/>
    <m/>
    <m/>
    <m/>
    <m/>
    <m/>
    <m/>
    <m/>
    <m/>
    <m/>
    <m/>
    <m/>
    <n v="0"/>
    <n v="0"/>
    <n v="0"/>
    <n v="0"/>
    <n v="0"/>
    <n v="0"/>
    <n v="0"/>
    <n v="0"/>
    <n v="0"/>
    <m/>
    <n v="0"/>
    <m/>
    <m/>
    <s v="PRODUIT 18  |  PRIX MOYEN D'ACHAT PAR PRODUIT/SERVICE"/>
    <m/>
  </r>
  <r>
    <n v="753"/>
    <x v="0"/>
    <m/>
    <s v="YEAR4"/>
    <x v="6"/>
    <x v="1"/>
    <x v="18"/>
    <x v="3"/>
    <x v="5"/>
    <m/>
    <m/>
    <m/>
    <m/>
    <m/>
    <m/>
    <m/>
    <m/>
    <m/>
    <m/>
    <m/>
    <m/>
    <m/>
    <m/>
    <m/>
    <m/>
    <m/>
    <m/>
    <m/>
    <n v="0"/>
    <n v="0"/>
    <n v="0"/>
    <n v="0"/>
    <n v="0"/>
    <n v="0"/>
    <n v="0"/>
    <n v="0"/>
    <n v="0"/>
    <m/>
    <n v="0"/>
    <m/>
    <m/>
    <s v="PRODUIT 18  |  PRIX MOYEN D'ACHAT PAR PRODUIT/SERVICE"/>
    <m/>
  </r>
  <r>
    <n v="754"/>
    <x v="0"/>
    <m/>
    <s v="YEAR5"/>
    <x v="7"/>
    <x v="1"/>
    <x v="18"/>
    <x v="3"/>
    <x v="5"/>
    <m/>
    <m/>
    <m/>
    <m/>
    <m/>
    <m/>
    <m/>
    <m/>
    <m/>
    <m/>
    <m/>
    <m/>
    <m/>
    <m/>
    <m/>
    <m/>
    <m/>
    <m/>
    <m/>
    <n v="0"/>
    <n v="0"/>
    <n v="0"/>
    <n v="0"/>
    <n v="0"/>
    <n v="0"/>
    <n v="0"/>
    <n v="0"/>
    <n v="0"/>
    <m/>
    <n v="0"/>
    <m/>
    <m/>
    <s v="PRODUIT 18  |  PRIX MOYEN D'ACHAT PAR PRODUIT/SERVICE"/>
    <m/>
  </r>
  <r>
    <n v="755"/>
    <x v="0"/>
    <m/>
    <s v="YEAR6"/>
    <x v="8"/>
    <x v="1"/>
    <x v="18"/>
    <x v="3"/>
    <x v="5"/>
    <m/>
    <m/>
    <m/>
    <m/>
    <m/>
    <m/>
    <m/>
    <m/>
    <m/>
    <m/>
    <m/>
    <m/>
    <m/>
    <m/>
    <m/>
    <m/>
    <m/>
    <m/>
    <m/>
    <n v="0"/>
    <n v="0"/>
    <n v="0"/>
    <n v="0"/>
    <n v="0"/>
    <n v="0"/>
    <n v="0"/>
    <n v="0"/>
    <n v="0"/>
    <m/>
    <n v="0"/>
    <m/>
    <m/>
    <s v="PRODUIT 18  |  PRIX MOYEN D'ACHAT PAR PRODUIT/SERVICE"/>
    <m/>
  </r>
  <r>
    <n v="756"/>
    <x v="0"/>
    <n v="1"/>
    <m/>
    <x v="0"/>
    <x v="0"/>
    <x v="0"/>
    <x v="0"/>
    <x v="0"/>
    <m/>
    <m/>
    <m/>
    <m/>
    <m/>
    <m/>
    <m/>
    <m/>
    <m/>
    <m/>
    <m/>
    <m/>
    <m/>
    <m/>
    <m/>
    <m/>
    <m/>
    <m/>
    <m/>
    <m/>
    <m/>
    <m/>
    <m/>
    <m/>
    <m/>
    <m/>
    <m/>
    <m/>
    <m/>
    <m/>
    <m/>
    <m/>
    <m/>
    <m/>
  </r>
  <r>
    <n v="757"/>
    <x v="0"/>
    <m/>
    <m/>
    <x v="0"/>
    <x v="0"/>
    <x v="0"/>
    <x v="0"/>
    <x v="0"/>
    <m/>
    <m/>
    <m/>
    <m/>
    <m/>
    <m/>
    <m/>
    <m/>
    <m/>
    <m/>
    <m/>
    <m/>
    <m/>
    <m/>
    <m/>
    <m/>
    <m/>
    <m/>
    <m/>
    <m/>
    <m/>
    <m/>
    <m/>
    <m/>
    <m/>
    <m/>
    <m/>
    <m/>
    <m/>
    <m/>
    <m/>
    <m/>
    <m/>
    <m/>
  </r>
  <r>
    <n v="758"/>
    <x v="0"/>
    <n v="1"/>
    <s v="YEAR-2"/>
    <x v="1"/>
    <x v="1"/>
    <x v="19"/>
    <x v="3"/>
    <x v="1"/>
    <n v="1000"/>
    <n v="0"/>
    <n v="0"/>
    <n v="1000"/>
    <n v="1"/>
    <n v="0"/>
    <n v="0"/>
    <n v="500"/>
    <n v="0"/>
    <n v="0"/>
    <n v="500"/>
    <n v="1"/>
    <n v="1"/>
    <n v="1"/>
    <n v="0"/>
    <n v="0"/>
    <n v="0"/>
    <n v="0"/>
    <n v="0"/>
    <n v="0"/>
    <n v="0"/>
    <n v="0"/>
    <n v="0"/>
    <n v="0"/>
    <n v="0"/>
    <n v="0"/>
    <n v="0"/>
    <n v="0"/>
    <n v="0"/>
    <n v="0"/>
    <n v="0"/>
    <s v="GAMME # : 1 + CANAL DE DISTRIBUTION # : 1"/>
    <s v="PRODUIT 19  |  VOLUME"/>
    <b v="1"/>
  </r>
  <r>
    <n v="759"/>
    <x v="0"/>
    <n v="1"/>
    <s v="YEAR-1"/>
    <x v="2"/>
    <x v="1"/>
    <x v="19"/>
    <x v="3"/>
    <x v="1"/>
    <n v="1000"/>
    <n v="0"/>
    <n v="0"/>
    <n v="1000"/>
    <n v="1"/>
    <n v="0"/>
    <n v="0"/>
    <n v="500"/>
    <n v="0"/>
    <n v="0"/>
    <n v="500"/>
    <n v="1"/>
    <n v="1"/>
    <n v="1"/>
    <n v="0"/>
    <n v="0"/>
    <n v="0"/>
    <n v="0"/>
    <n v="0"/>
    <n v="0"/>
    <n v="0"/>
    <n v="0"/>
    <n v="0"/>
    <n v="0"/>
    <n v="0"/>
    <n v="0"/>
    <n v="0"/>
    <n v="0"/>
    <n v="0"/>
    <n v="0"/>
    <n v="0"/>
    <m/>
    <s v="PRODUIT 19  |  VOLUME"/>
    <b v="1"/>
  </r>
  <r>
    <n v="760"/>
    <x v="0"/>
    <n v="1"/>
    <s v="CURRENT YEAR"/>
    <x v="3"/>
    <x v="1"/>
    <x v="19"/>
    <x v="3"/>
    <x v="1"/>
    <n v="1000"/>
    <n v="0"/>
    <n v="0"/>
    <n v="1000"/>
    <n v="1"/>
    <n v="0"/>
    <n v="0"/>
    <n v="500"/>
    <n v="0"/>
    <n v="0"/>
    <n v="500"/>
    <n v="1"/>
    <n v="1"/>
    <n v="1"/>
    <n v="0"/>
    <n v="0"/>
    <n v="0"/>
    <n v="0"/>
    <n v="0"/>
    <n v="0"/>
    <n v="0"/>
    <n v="0"/>
    <n v="0"/>
    <n v="0"/>
    <n v="0"/>
    <n v="0"/>
    <n v="0"/>
    <n v="0"/>
    <n v="0"/>
    <n v="0"/>
    <n v="0"/>
    <m/>
    <s v="PRODUIT 19  |  VOLUME"/>
    <b v="1"/>
  </r>
  <r>
    <n v="761"/>
    <x v="0"/>
    <n v="1"/>
    <s v="YEAR2"/>
    <x v="4"/>
    <x v="1"/>
    <x v="19"/>
    <x v="3"/>
    <x v="1"/>
    <n v="1000"/>
    <n v="0"/>
    <n v="0"/>
    <n v="1000"/>
    <n v="1"/>
    <n v="0"/>
    <n v="0"/>
    <n v="500"/>
    <n v="0"/>
    <n v="0"/>
    <n v="500"/>
    <n v="1"/>
    <n v="1"/>
    <n v="1"/>
    <n v="0"/>
    <n v="0"/>
    <n v="0"/>
    <n v="0"/>
    <n v="0"/>
    <n v="0"/>
    <n v="0"/>
    <n v="0"/>
    <n v="0"/>
    <n v="0"/>
    <n v="0"/>
    <n v="0"/>
    <n v="0"/>
    <n v="0"/>
    <n v="0"/>
    <n v="0"/>
    <n v="0"/>
    <m/>
    <s v="PRODUIT 19  |  VOLUME"/>
    <b v="1"/>
  </r>
  <r>
    <n v="762"/>
    <x v="0"/>
    <n v="1"/>
    <s v="YEAR3"/>
    <x v="5"/>
    <x v="1"/>
    <x v="19"/>
    <x v="3"/>
    <x v="1"/>
    <n v="1000"/>
    <n v="0"/>
    <n v="0"/>
    <n v="1000"/>
    <n v="1"/>
    <n v="0"/>
    <n v="0"/>
    <n v="500"/>
    <n v="0"/>
    <n v="0"/>
    <n v="500"/>
    <n v="1"/>
    <n v="1"/>
    <n v="1"/>
    <n v="0"/>
    <n v="0"/>
    <n v="0"/>
    <n v="0"/>
    <n v="0"/>
    <n v="0"/>
    <n v="0"/>
    <n v="0"/>
    <n v="0"/>
    <n v="0"/>
    <n v="0"/>
    <n v="0"/>
    <n v="0"/>
    <n v="0"/>
    <n v="0"/>
    <n v="0"/>
    <n v="0"/>
    <m/>
    <s v="PRODUIT 19  |  VOLUME"/>
    <b v="1"/>
  </r>
  <r>
    <n v="763"/>
    <x v="0"/>
    <n v="1"/>
    <s v="YEAR4"/>
    <x v="6"/>
    <x v="1"/>
    <x v="19"/>
    <x v="3"/>
    <x v="1"/>
    <n v="1000"/>
    <n v="0"/>
    <n v="0"/>
    <n v="1000"/>
    <n v="1"/>
    <n v="0"/>
    <n v="0"/>
    <n v="500"/>
    <n v="0"/>
    <n v="0"/>
    <n v="500"/>
    <n v="1"/>
    <n v="1"/>
    <n v="1"/>
    <n v="0"/>
    <n v="0"/>
    <n v="0"/>
    <n v="0"/>
    <n v="0"/>
    <n v="0"/>
    <n v="0"/>
    <n v="0"/>
    <n v="0"/>
    <n v="0"/>
    <n v="0"/>
    <n v="0"/>
    <n v="0"/>
    <n v="0"/>
    <n v="0"/>
    <n v="0"/>
    <n v="0"/>
    <m/>
    <s v="PRODUIT 19  |  VOLUME"/>
    <b v="1"/>
  </r>
  <r>
    <n v="764"/>
    <x v="0"/>
    <n v="1"/>
    <s v="YEAR5"/>
    <x v="7"/>
    <x v="1"/>
    <x v="19"/>
    <x v="3"/>
    <x v="1"/>
    <n v="1000"/>
    <n v="0"/>
    <n v="0"/>
    <n v="1000"/>
    <n v="1"/>
    <n v="0"/>
    <n v="0"/>
    <n v="500"/>
    <n v="0"/>
    <n v="0"/>
    <n v="500"/>
    <n v="1"/>
    <n v="1"/>
    <n v="1"/>
    <n v="0"/>
    <n v="0"/>
    <n v="0"/>
    <n v="0"/>
    <n v="0"/>
    <n v="0"/>
    <n v="0"/>
    <n v="0"/>
    <n v="0"/>
    <n v="0"/>
    <n v="0"/>
    <n v="0"/>
    <n v="0"/>
    <n v="0"/>
    <n v="0"/>
    <n v="0"/>
    <n v="0"/>
    <m/>
    <s v="PRODUIT 19  |  VOLUME"/>
    <b v="1"/>
  </r>
  <r>
    <n v="765"/>
    <x v="0"/>
    <n v="1"/>
    <s v="YEAR6"/>
    <x v="8"/>
    <x v="1"/>
    <x v="19"/>
    <x v="3"/>
    <x v="1"/>
    <n v="1000"/>
    <n v="0"/>
    <n v="0"/>
    <n v="1000"/>
    <n v="1"/>
    <n v="0"/>
    <n v="0"/>
    <n v="500"/>
    <n v="0"/>
    <n v="0"/>
    <n v="500"/>
    <n v="1"/>
    <n v="1"/>
    <n v="1"/>
    <n v="0"/>
    <n v="0"/>
    <n v="0"/>
    <n v="0"/>
    <n v="0"/>
    <n v="0"/>
    <n v="0"/>
    <n v="0"/>
    <n v="0"/>
    <n v="0"/>
    <n v="0"/>
    <n v="0"/>
    <n v="0"/>
    <n v="0"/>
    <n v="0"/>
    <n v="0"/>
    <n v="0"/>
    <m/>
    <s v="PRODUIT 19  |  VOLUME"/>
    <b v="1"/>
  </r>
  <r>
    <n v="766"/>
    <x v="0"/>
    <m/>
    <s v="YEAR-2"/>
    <x v="1"/>
    <x v="1"/>
    <x v="19"/>
    <x v="3"/>
    <x v="2"/>
    <m/>
    <m/>
    <m/>
    <m/>
    <m/>
    <m/>
    <m/>
    <m/>
    <m/>
    <m/>
    <m/>
    <m/>
    <m/>
    <m/>
    <m/>
    <m/>
    <m/>
    <m/>
    <m/>
    <n v="0"/>
    <n v="0"/>
    <n v="0"/>
    <n v="0"/>
    <n v="0"/>
    <n v="0"/>
    <n v="0"/>
    <n v="0"/>
    <n v="0"/>
    <n v="0"/>
    <n v="0"/>
    <n v="0"/>
    <m/>
    <s v="PRODUIT 19  |  CHIFFRE D'AFFAIRES"/>
    <b v="1"/>
  </r>
  <r>
    <n v="767"/>
    <x v="0"/>
    <m/>
    <s v="YEAR-1"/>
    <x v="2"/>
    <x v="1"/>
    <x v="19"/>
    <x v="3"/>
    <x v="2"/>
    <m/>
    <m/>
    <m/>
    <m/>
    <m/>
    <m/>
    <m/>
    <m/>
    <m/>
    <m/>
    <m/>
    <m/>
    <m/>
    <m/>
    <m/>
    <m/>
    <m/>
    <m/>
    <m/>
    <n v="0"/>
    <n v="0"/>
    <n v="0"/>
    <n v="0"/>
    <n v="0"/>
    <n v="0"/>
    <n v="0"/>
    <n v="0"/>
    <n v="0"/>
    <n v="0"/>
    <n v="0"/>
    <n v="0"/>
    <m/>
    <s v="PRODUIT 19  |  CHIFFRE D'AFFAIRES"/>
    <b v="1"/>
  </r>
  <r>
    <n v="768"/>
    <x v="0"/>
    <m/>
    <s v="CURRENT YEAR"/>
    <x v="3"/>
    <x v="1"/>
    <x v="19"/>
    <x v="3"/>
    <x v="2"/>
    <m/>
    <m/>
    <m/>
    <m/>
    <m/>
    <m/>
    <m/>
    <m/>
    <m/>
    <m/>
    <m/>
    <m/>
    <m/>
    <m/>
    <m/>
    <m/>
    <m/>
    <m/>
    <m/>
    <n v="0"/>
    <n v="0"/>
    <n v="0"/>
    <n v="0"/>
    <n v="0"/>
    <n v="0"/>
    <n v="0"/>
    <n v="0"/>
    <n v="0"/>
    <n v="0"/>
    <n v="0"/>
    <n v="0"/>
    <m/>
    <s v="PRODUIT 19  |  CHIFFRE D'AFFAIRES"/>
    <b v="1"/>
  </r>
  <r>
    <n v="769"/>
    <x v="0"/>
    <m/>
    <s v="YEAR2"/>
    <x v="4"/>
    <x v="1"/>
    <x v="19"/>
    <x v="3"/>
    <x v="2"/>
    <m/>
    <m/>
    <m/>
    <m/>
    <m/>
    <m/>
    <m/>
    <m/>
    <m/>
    <m/>
    <m/>
    <m/>
    <m/>
    <m/>
    <m/>
    <m/>
    <m/>
    <m/>
    <m/>
    <n v="0"/>
    <n v="0"/>
    <n v="0"/>
    <n v="0"/>
    <n v="0"/>
    <n v="0"/>
    <n v="0"/>
    <n v="0"/>
    <n v="0"/>
    <n v="0"/>
    <n v="0"/>
    <n v="0"/>
    <m/>
    <s v="PRODUIT 19  |  CHIFFRE D'AFFAIRES"/>
    <b v="1"/>
  </r>
  <r>
    <n v="770"/>
    <x v="0"/>
    <m/>
    <s v="YEAR3"/>
    <x v="5"/>
    <x v="1"/>
    <x v="19"/>
    <x v="3"/>
    <x v="2"/>
    <m/>
    <m/>
    <m/>
    <m/>
    <m/>
    <m/>
    <m/>
    <m/>
    <m/>
    <m/>
    <m/>
    <m/>
    <m/>
    <m/>
    <m/>
    <m/>
    <m/>
    <m/>
    <m/>
    <n v="0"/>
    <n v="0"/>
    <n v="0"/>
    <n v="0"/>
    <n v="0"/>
    <n v="0"/>
    <n v="0"/>
    <n v="0"/>
    <n v="0"/>
    <n v="0"/>
    <n v="0"/>
    <n v="0"/>
    <m/>
    <s v="PRODUIT 19  |  CHIFFRE D'AFFAIRES"/>
    <b v="1"/>
  </r>
  <r>
    <n v="771"/>
    <x v="0"/>
    <m/>
    <s v="YEAR4"/>
    <x v="6"/>
    <x v="1"/>
    <x v="19"/>
    <x v="3"/>
    <x v="2"/>
    <m/>
    <m/>
    <m/>
    <m/>
    <m/>
    <m/>
    <m/>
    <m/>
    <m/>
    <m/>
    <m/>
    <m/>
    <m/>
    <m/>
    <m/>
    <m/>
    <m/>
    <m/>
    <m/>
    <n v="0"/>
    <n v="0"/>
    <n v="0"/>
    <n v="0"/>
    <n v="0"/>
    <n v="0"/>
    <n v="0"/>
    <n v="0"/>
    <n v="0"/>
    <n v="0"/>
    <n v="0"/>
    <n v="0"/>
    <m/>
    <s v="PRODUIT 19  |  CHIFFRE D'AFFAIRES"/>
    <b v="1"/>
  </r>
  <r>
    <n v="772"/>
    <x v="0"/>
    <m/>
    <s v="YEAR5"/>
    <x v="7"/>
    <x v="1"/>
    <x v="19"/>
    <x v="3"/>
    <x v="2"/>
    <m/>
    <m/>
    <m/>
    <m/>
    <m/>
    <m/>
    <m/>
    <m/>
    <m/>
    <m/>
    <m/>
    <m/>
    <m/>
    <m/>
    <m/>
    <m/>
    <m/>
    <m/>
    <m/>
    <n v="0"/>
    <n v="0"/>
    <n v="0"/>
    <n v="0"/>
    <n v="0"/>
    <n v="0"/>
    <n v="0"/>
    <n v="0"/>
    <n v="0"/>
    <n v="0"/>
    <n v="0"/>
    <n v="0"/>
    <m/>
    <s v="PRODUIT 19  |  CHIFFRE D'AFFAIRES"/>
    <b v="1"/>
  </r>
  <r>
    <n v="773"/>
    <x v="0"/>
    <m/>
    <s v="YEAR6"/>
    <x v="8"/>
    <x v="1"/>
    <x v="19"/>
    <x v="3"/>
    <x v="2"/>
    <m/>
    <m/>
    <m/>
    <m/>
    <m/>
    <m/>
    <m/>
    <m/>
    <m/>
    <m/>
    <m/>
    <m/>
    <m/>
    <m/>
    <m/>
    <m/>
    <m/>
    <m/>
    <m/>
    <n v="0"/>
    <n v="0"/>
    <n v="0"/>
    <n v="0"/>
    <n v="0"/>
    <n v="0"/>
    <n v="0"/>
    <n v="0"/>
    <n v="0"/>
    <n v="0"/>
    <n v="0"/>
    <n v="0"/>
    <m/>
    <s v="PRODUIT 19  |  CHIFFRE D'AFFAIRES"/>
    <b v="1"/>
  </r>
  <r>
    <n v="774"/>
    <x v="0"/>
    <m/>
    <s v="YEAR-2"/>
    <x v="1"/>
    <x v="1"/>
    <x v="19"/>
    <x v="3"/>
    <x v="3"/>
    <m/>
    <m/>
    <m/>
    <m/>
    <m/>
    <m/>
    <m/>
    <m/>
    <m/>
    <m/>
    <m/>
    <m/>
    <m/>
    <m/>
    <m/>
    <m/>
    <m/>
    <m/>
    <m/>
    <n v="0"/>
    <n v="0"/>
    <n v="0"/>
    <n v="0"/>
    <n v="0"/>
    <n v="0"/>
    <n v="0"/>
    <n v="0"/>
    <n v="0"/>
    <m/>
    <n v="0"/>
    <m/>
    <m/>
    <s v="PRODUIT 19  |  PRIX MOYEN DE VENTE PAR PRODUIT/SERVICE"/>
    <m/>
  </r>
  <r>
    <n v="775"/>
    <x v="0"/>
    <m/>
    <s v="YEAR-1"/>
    <x v="2"/>
    <x v="1"/>
    <x v="19"/>
    <x v="3"/>
    <x v="3"/>
    <m/>
    <m/>
    <m/>
    <m/>
    <m/>
    <m/>
    <m/>
    <m/>
    <m/>
    <m/>
    <m/>
    <m/>
    <m/>
    <m/>
    <m/>
    <m/>
    <m/>
    <m/>
    <m/>
    <n v="0"/>
    <n v="0"/>
    <n v="0"/>
    <n v="0"/>
    <n v="0"/>
    <n v="0"/>
    <n v="0"/>
    <n v="0"/>
    <n v="0"/>
    <m/>
    <n v="0"/>
    <m/>
    <m/>
    <s v="PRODUIT 19  |  PRIX MOYEN DE VENTE PAR PRODUIT/SERVICE"/>
    <m/>
  </r>
  <r>
    <n v="776"/>
    <x v="0"/>
    <m/>
    <s v="CURRENT YEAR"/>
    <x v="3"/>
    <x v="1"/>
    <x v="19"/>
    <x v="3"/>
    <x v="3"/>
    <m/>
    <m/>
    <m/>
    <m/>
    <m/>
    <m/>
    <m/>
    <m/>
    <m/>
    <m/>
    <m/>
    <m/>
    <m/>
    <m/>
    <m/>
    <m/>
    <m/>
    <m/>
    <m/>
    <n v="0"/>
    <n v="0"/>
    <n v="0"/>
    <n v="0"/>
    <n v="0"/>
    <n v="0"/>
    <n v="0"/>
    <n v="0"/>
    <n v="0"/>
    <m/>
    <n v="0"/>
    <m/>
    <m/>
    <s v="PRODUIT 19  |  PRIX MOYEN DE VENTE PAR PRODUIT/SERVICE"/>
    <m/>
  </r>
  <r>
    <n v="777"/>
    <x v="0"/>
    <m/>
    <s v="YEAR2"/>
    <x v="4"/>
    <x v="1"/>
    <x v="19"/>
    <x v="3"/>
    <x v="3"/>
    <m/>
    <m/>
    <m/>
    <m/>
    <m/>
    <m/>
    <m/>
    <m/>
    <m/>
    <m/>
    <m/>
    <m/>
    <m/>
    <m/>
    <m/>
    <m/>
    <m/>
    <m/>
    <m/>
    <n v="0"/>
    <n v="0"/>
    <n v="0"/>
    <n v="0"/>
    <n v="0"/>
    <n v="0"/>
    <n v="0"/>
    <n v="0"/>
    <n v="0"/>
    <m/>
    <n v="0"/>
    <m/>
    <m/>
    <s v="PRODUIT 19  |  PRIX MOYEN DE VENTE PAR PRODUIT/SERVICE"/>
    <m/>
  </r>
  <r>
    <n v="778"/>
    <x v="0"/>
    <m/>
    <s v="YEAR3"/>
    <x v="5"/>
    <x v="1"/>
    <x v="19"/>
    <x v="3"/>
    <x v="3"/>
    <m/>
    <m/>
    <m/>
    <m/>
    <m/>
    <m/>
    <m/>
    <m/>
    <m/>
    <m/>
    <m/>
    <m/>
    <m/>
    <m/>
    <m/>
    <m/>
    <m/>
    <m/>
    <m/>
    <n v="0"/>
    <n v="0"/>
    <n v="0"/>
    <n v="0"/>
    <n v="0"/>
    <n v="0"/>
    <n v="0"/>
    <n v="0"/>
    <n v="0"/>
    <m/>
    <n v="0"/>
    <m/>
    <m/>
    <s v="PRODUIT 19  |  PRIX MOYEN DE VENTE PAR PRODUIT/SERVICE"/>
    <m/>
  </r>
  <r>
    <n v="779"/>
    <x v="0"/>
    <m/>
    <s v="YEAR4"/>
    <x v="6"/>
    <x v="1"/>
    <x v="19"/>
    <x v="3"/>
    <x v="3"/>
    <m/>
    <m/>
    <m/>
    <m/>
    <m/>
    <m/>
    <m/>
    <m/>
    <m/>
    <m/>
    <m/>
    <m/>
    <m/>
    <m/>
    <m/>
    <m/>
    <m/>
    <m/>
    <m/>
    <n v="0"/>
    <n v="0"/>
    <n v="0"/>
    <n v="0"/>
    <n v="0"/>
    <n v="0"/>
    <n v="0"/>
    <n v="0"/>
    <n v="0"/>
    <m/>
    <n v="0"/>
    <m/>
    <m/>
    <s v="PRODUIT 19  |  PRIX MOYEN DE VENTE PAR PRODUIT/SERVICE"/>
    <m/>
  </r>
  <r>
    <n v="780"/>
    <x v="0"/>
    <m/>
    <s v="YEAR5"/>
    <x v="7"/>
    <x v="1"/>
    <x v="19"/>
    <x v="3"/>
    <x v="3"/>
    <m/>
    <m/>
    <m/>
    <m/>
    <m/>
    <m/>
    <m/>
    <m/>
    <m/>
    <m/>
    <m/>
    <m/>
    <m/>
    <m/>
    <m/>
    <m/>
    <m/>
    <m/>
    <m/>
    <n v="0"/>
    <n v="0"/>
    <n v="0"/>
    <n v="0"/>
    <n v="0"/>
    <n v="0"/>
    <n v="0"/>
    <n v="0"/>
    <n v="0"/>
    <m/>
    <n v="0"/>
    <m/>
    <m/>
    <s v="PRODUIT 19  |  PRIX MOYEN DE VENTE PAR PRODUIT/SERVICE"/>
    <m/>
  </r>
  <r>
    <n v="781"/>
    <x v="0"/>
    <m/>
    <s v="YEAR6"/>
    <x v="8"/>
    <x v="1"/>
    <x v="19"/>
    <x v="3"/>
    <x v="3"/>
    <m/>
    <m/>
    <m/>
    <m/>
    <m/>
    <m/>
    <m/>
    <m/>
    <m/>
    <m/>
    <m/>
    <m/>
    <m/>
    <m/>
    <m/>
    <m/>
    <m/>
    <m/>
    <m/>
    <n v="0"/>
    <n v="0"/>
    <n v="0"/>
    <n v="0"/>
    <n v="0"/>
    <n v="0"/>
    <n v="0"/>
    <n v="0"/>
    <n v="0"/>
    <m/>
    <n v="0"/>
    <m/>
    <m/>
    <s v="PRODUIT 19  |  PRIX MOYEN DE VENTE PAR PRODUIT/SERVICE"/>
    <m/>
  </r>
  <r>
    <n v="782"/>
    <x v="0"/>
    <m/>
    <s v="YEAR-2"/>
    <x v="1"/>
    <x v="1"/>
    <x v="19"/>
    <x v="3"/>
    <x v="4"/>
    <m/>
    <m/>
    <m/>
    <m/>
    <m/>
    <m/>
    <m/>
    <m/>
    <m/>
    <m/>
    <m/>
    <m/>
    <m/>
    <m/>
    <m/>
    <m/>
    <m/>
    <m/>
    <m/>
    <n v="0"/>
    <n v="0"/>
    <n v="0"/>
    <n v="0"/>
    <n v="0"/>
    <n v="0"/>
    <n v="0"/>
    <n v="0"/>
    <n v="0"/>
    <n v="0"/>
    <n v="0"/>
    <n v="0"/>
    <m/>
    <s v="PRODUIT 19  |  DEPENSES SUR ACHATS"/>
    <b v="1"/>
  </r>
  <r>
    <n v="783"/>
    <x v="0"/>
    <m/>
    <s v="YEAR-1"/>
    <x v="2"/>
    <x v="1"/>
    <x v="19"/>
    <x v="3"/>
    <x v="4"/>
    <m/>
    <m/>
    <m/>
    <m/>
    <m/>
    <m/>
    <m/>
    <m/>
    <m/>
    <m/>
    <m/>
    <m/>
    <m/>
    <m/>
    <m/>
    <m/>
    <m/>
    <m/>
    <m/>
    <n v="0"/>
    <n v="0"/>
    <n v="0"/>
    <n v="0"/>
    <n v="0"/>
    <n v="0"/>
    <n v="0"/>
    <n v="0"/>
    <n v="0"/>
    <n v="0"/>
    <n v="0"/>
    <n v="0"/>
    <m/>
    <s v="PRODUIT 19  |  DEPENSES SUR ACHATS"/>
    <b v="1"/>
  </r>
  <r>
    <n v="784"/>
    <x v="0"/>
    <m/>
    <s v="CURRENT YEAR"/>
    <x v="3"/>
    <x v="1"/>
    <x v="19"/>
    <x v="3"/>
    <x v="4"/>
    <m/>
    <m/>
    <m/>
    <m/>
    <m/>
    <m/>
    <m/>
    <m/>
    <m/>
    <m/>
    <m/>
    <m/>
    <m/>
    <m/>
    <m/>
    <m/>
    <m/>
    <m/>
    <m/>
    <n v="0"/>
    <n v="0"/>
    <n v="0"/>
    <n v="0"/>
    <n v="0"/>
    <n v="0"/>
    <n v="0"/>
    <n v="0"/>
    <n v="0"/>
    <n v="0"/>
    <n v="0"/>
    <n v="0"/>
    <m/>
    <s v="PRODUIT 19  |  DEPENSES SUR ACHATS"/>
    <b v="1"/>
  </r>
  <r>
    <n v="785"/>
    <x v="0"/>
    <m/>
    <s v="YEAR2"/>
    <x v="4"/>
    <x v="1"/>
    <x v="19"/>
    <x v="3"/>
    <x v="4"/>
    <m/>
    <m/>
    <m/>
    <m/>
    <m/>
    <m/>
    <m/>
    <m/>
    <m/>
    <m/>
    <m/>
    <m/>
    <m/>
    <m/>
    <m/>
    <m/>
    <m/>
    <m/>
    <m/>
    <n v="0"/>
    <n v="0"/>
    <n v="0"/>
    <n v="0"/>
    <n v="0"/>
    <n v="0"/>
    <n v="0"/>
    <n v="0"/>
    <n v="0"/>
    <n v="0"/>
    <n v="0"/>
    <n v="0"/>
    <m/>
    <s v="PRODUIT 19  |  DEPENSES SUR ACHATS"/>
    <b v="1"/>
  </r>
  <r>
    <n v="786"/>
    <x v="0"/>
    <m/>
    <s v="YEAR3"/>
    <x v="5"/>
    <x v="1"/>
    <x v="19"/>
    <x v="3"/>
    <x v="4"/>
    <m/>
    <m/>
    <m/>
    <m/>
    <m/>
    <m/>
    <m/>
    <m/>
    <m/>
    <m/>
    <m/>
    <m/>
    <m/>
    <m/>
    <m/>
    <m/>
    <m/>
    <m/>
    <m/>
    <n v="0"/>
    <n v="0"/>
    <n v="0"/>
    <n v="0"/>
    <n v="0"/>
    <n v="0"/>
    <n v="0"/>
    <n v="0"/>
    <n v="0"/>
    <n v="0"/>
    <n v="0"/>
    <n v="0"/>
    <m/>
    <s v="PRODUIT 19  |  DEPENSES SUR ACHATS"/>
    <b v="1"/>
  </r>
  <r>
    <n v="787"/>
    <x v="0"/>
    <m/>
    <s v="YEAR4"/>
    <x v="6"/>
    <x v="1"/>
    <x v="19"/>
    <x v="3"/>
    <x v="4"/>
    <m/>
    <m/>
    <m/>
    <m/>
    <m/>
    <m/>
    <m/>
    <m/>
    <m/>
    <m/>
    <m/>
    <m/>
    <m/>
    <m/>
    <m/>
    <m/>
    <m/>
    <m/>
    <m/>
    <n v="0"/>
    <n v="0"/>
    <n v="0"/>
    <n v="0"/>
    <n v="0"/>
    <n v="0"/>
    <n v="0"/>
    <n v="0"/>
    <n v="0"/>
    <n v="0"/>
    <n v="0"/>
    <n v="0"/>
    <m/>
    <s v="PRODUIT 19  |  DEPENSES SUR ACHATS"/>
    <b v="1"/>
  </r>
  <r>
    <n v="788"/>
    <x v="0"/>
    <m/>
    <s v="YEAR5"/>
    <x v="7"/>
    <x v="1"/>
    <x v="19"/>
    <x v="3"/>
    <x v="4"/>
    <m/>
    <m/>
    <m/>
    <m/>
    <m/>
    <m/>
    <m/>
    <m/>
    <m/>
    <m/>
    <m/>
    <m/>
    <m/>
    <m/>
    <m/>
    <m/>
    <m/>
    <m/>
    <m/>
    <n v="0"/>
    <n v="0"/>
    <n v="0"/>
    <n v="0"/>
    <n v="0"/>
    <n v="0"/>
    <n v="0"/>
    <n v="0"/>
    <n v="0"/>
    <n v="0"/>
    <n v="0"/>
    <n v="0"/>
    <m/>
    <s v="PRODUIT 19  |  DEPENSES SUR ACHATS"/>
    <b v="1"/>
  </r>
  <r>
    <n v="789"/>
    <x v="0"/>
    <m/>
    <s v="YEAR6"/>
    <x v="8"/>
    <x v="1"/>
    <x v="19"/>
    <x v="3"/>
    <x v="4"/>
    <m/>
    <m/>
    <m/>
    <m/>
    <m/>
    <m/>
    <m/>
    <m/>
    <m/>
    <m/>
    <m/>
    <m/>
    <m/>
    <m/>
    <m/>
    <m/>
    <m/>
    <m/>
    <m/>
    <n v="0"/>
    <n v="0"/>
    <n v="0"/>
    <n v="0"/>
    <n v="0"/>
    <n v="0"/>
    <n v="0"/>
    <n v="0"/>
    <n v="0"/>
    <n v="0"/>
    <n v="0"/>
    <n v="0"/>
    <m/>
    <s v="PRODUIT 19  |  DEPENSES SUR ACHATS"/>
    <b v="1"/>
  </r>
  <r>
    <n v="790"/>
    <x v="0"/>
    <m/>
    <s v="YEAR-2"/>
    <x v="1"/>
    <x v="1"/>
    <x v="19"/>
    <x v="3"/>
    <x v="5"/>
    <m/>
    <m/>
    <m/>
    <m/>
    <m/>
    <m/>
    <m/>
    <m/>
    <m/>
    <m/>
    <m/>
    <m/>
    <m/>
    <m/>
    <m/>
    <m/>
    <m/>
    <m/>
    <m/>
    <n v="0"/>
    <n v="0"/>
    <n v="0"/>
    <n v="0"/>
    <n v="0"/>
    <n v="0"/>
    <n v="0"/>
    <n v="0"/>
    <n v="0"/>
    <m/>
    <n v="0"/>
    <m/>
    <m/>
    <s v="PRODUIT 19  |  PRIX MOYEN D'ACHAT PAR PRODUIT/SERVICE"/>
    <m/>
  </r>
  <r>
    <n v="791"/>
    <x v="0"/>
    <m/>
    <s v="YEAR-1"/>
    <x v="2"/>
    <x v="1"/>
    <x v="19"/>
    <x v="3"/>
    <x v="5"/>
    <m/>
    <m/>
    <m/>
    <m/>
    <m/>
    <m/>
    <m/>
    <m/>
    <m/>
    <m/>
    <m/>
    <m/>
    <m/>
    <m/>
    <m/>
    <m/>
    <m/>
    <m/>
    <m/>
    <n v="0"/>
    <n v="0"/>
    <n v="0"/>
    <n v="0"/>
    <n v="0"/>
    <n v="0"/>
    <n v="0"/>
    <n v="0"/>
    <n v="0"/>
    <m/>
    <n v="0"/>
    <m/>
    <m/>
    <s v="PRODUIT 19  |  PRIX MOYEN D'ACHAT PAR PRODUIT/SERVICE"/>
    <m/>
  </r>
  <r>
    <n v="792"/>
    <x v="0"/>
    <m/>
    <s v="CURRENT YEAR"/>
    <x v="3"/>
    <x v="1"/>
    <x v="19"/>
    <x v="3"/>
    <x v="5"/>
    <m/>
    <m/>
    <m/>
    <m/>
    <m/>
    <m/>
    <m/>
    <m/>
    <m/>
    <m/>
    <m/>
    <m/>
    <m/>
    <m/>
    <m/>
    <m/>
    <m/>
    <m/>
    <m/>
    <n v="0"/>
    <n v="0"/>
    <n v="0"/>
    <n v="0"/>
    <n v="0"/>
    <n v="0"/>
    <n v="0"/>
    <n v="0"/>
    <n v="0"/>
    <m/>
    <n v="0"/>
    <m/>
    <m/>
    <s v="PRODUIT 19  |  PRIX MOYEN D'ACHAT PAR PRODUIT/SERVICE"/>
    <m/>
  </r>
  <r>
    <n v="793"/>
    <x v="0"/>
    <m/>
    <s v="YEAR2"/>
    <x v="4"/>
    <x v="1"/>
    <x v="19"/>
    <x v="3"/>
    <x v="5"/>
    <m/>
    <m/>
    <m/>
    <m/>
    <m/>
    <m/>
    <m/>
    <m/>
    <m/>
    <m/>
    <m/>
    <m/>
    <m/>
    <m/>
    <m/>
    <m/>
    <m/>
    <m/>
    <m/>
    <n v="0"/>
    <n v="0"/>
    <n v="0"/>
    <n v="0"/>
    <n v="0"/>
    <n v="0"/>
    <n v="0"/>
    <n v="0"/>
    <n v="0"/>
    <m/>
    <n v="0"/>
    <m/>
    <m/>
    <s v="PRODUIT 19  |  PRIX MOYEN D'ACHAT PAR PRODUIT/SERVICE"/>
    <m/>
  </r>
  <r>
    <n v="794"/>
    <x v="0"/>
    <m/>
    <s v="YEAR3"/>
    <x v="5"/>
    <x v="1"/>
    <x v="19"/>
    <x v="3"/>
    <x v="5"/>
    <m/>
    <m/>
    <m/>
    <m/>
    <m/>
    <m/>
    <m/>
    <m/>
    <m/>
    <m/>
    <m/>
    <m/>
    <m/>
    <m/>
    <m/>
    <m/>
    <m/>
    <m/>
    <m/>
    <n v="0"/>
    <n v="0"/>
    <n v="0"/>
    <n v="0"/>
    <n v="0"/>
    <n v="0"/>
    <n v="0"/>
    <n v="0"/>
    <n v="0"/>
    <m/>
    <n v="0"/>
    <m/>
    <m/>
    <s v="PRODUIT 19  |  PRIX MOYEN D'ACHAT PAR PRODUIT/SERVICE"/>
    <m/>
  </r>
  <r>
    <n v="795"/>
    <x v="0"/>
    <m/>
    <s v="YEAR4"/>
    <x v="6"/>
    <x v="1"/>
    <x v="19"/>
    <x v="3"/>
    <x v="5"/>
    <m/>
    <m/>
    <m/>
    <m/>
    <m/>
    <m/>
    <m/>
    <m/>
    <m/>
    <m/>
    <m/>
    <m/>
    <m/>
    <m/>
    <m/>
    <m/>
    <m/>
    <m/>
    <m/>
    <n v="0"/>
    <n v="0"/>
    <n v="0"/>
    <n v="0"/>
    <n v="0"/>
    <n v="0"/>
    <n v="0"/>
    <n v="0"/>
    <n v="0"/>
    <m/>
    <n v="0"/>
    <m/>
    <m/>
    <s v="PRODUIT 19  |  PRIX MOYEN D'ACHAT PAR PRODUIT/SERVICE"/>
    <m/>
  </r>
  <r>
    <n v="796"/>
    <x v="0"/>
    <m/>
    <s v="YEAR5"/>
    <x v="7"/>
    <x v="1"/>
    <x v="19"/>
    <x v="3"/>
    <x v="5"/>
    <m/>
    <m/>
    <m/>
    <m/>
    <m/>
    <m/>
    <m/>
    <m/>
    <m/>
    <m/>
    <m/>
    <m/>
    <m/>
    <m/>
    <m/>
    <m/>
    <m/>
    <m/>
    <m/>
    <n v="0"/>
    <n v="0"/>
    <n v="0"/>
    <n v="0"/>
    <n v="0"/>
    <n v="0"/>
    <n v="0"/>
    <n v="0"/>
    <n v="0"/>
    <m/>
    <n v="0"/>
    <m/>
    <m/>
    <s v="PRODUIT 19  |  PRIX MOYEN D'ACHAT PAR PRODUIT/SERVICE"/>
    <m/>
  </r>
  <r>
    <n v="797"/>
    <x v="0"/>
    <m/>
    <s v="YEAR6"/>
    <x v="8"/>
    <x v="1"/>
    <x v="19"/>
    <x v="3"/>
    <x v="5"/>
    <m/>
    <m/>
    <m/>
    <m/>
    <m/>
    <m/>
    <m/>
    <m/>
    <m/>
    <m/>
    <m/>
    <m/>
    <m/>
    <m/>
    <m/>
    <m/>
    <m/>
    <m/>
    <m/>
    <n v="0"/>
    <n v="0"/>
    <n v="0"/>
    <n v="0"/>
    <n v="0"/>
    <n v="0"/>
    <n v="0"/>
    <n v="0"/>
    <n v="0"/>
    <m/>
    <n v="0"/>
    <m/>
    <m/>
    <s v="PRODUIT 19  |  PRIX MOYEN D'ACHAT PAR PRODUIT/SERVICE"/>
    <m/>
  </r>
  <r>
    <n v="798"/>
    <x v="0"/>
    <n v="1"/>
    <m/>
    <x v="0"/>
    <x v="0"/>
    <x v="0"/>
    <x v="0"/>
    <x v="0"/>
    <m/>
    <m/>
    <m/>
    <m/>
    <m/>
    <m/>
    <m/>
    <m/>
    <m/>
    <m/>
    <m/>
    <m/>
    <m/>
    <m/>
    <m/>
    <m/>
    <m/>
    <m/>
    <m/>
    <m/>
    <m/>
    <m/>
    <m/>
    <m/>
    <m/>
    <m/>
    <m/>
    <m/>
    <m/>
    <m/>
    <m/>
    <m/>
    <m/>
    <m/>
  </r>
  <r>
    <n v="799"/>
    <x v="0"/>
    <m/>
    <m/>
    <x v="0"/>
    <x v="0"/>
    <x v="0"/>
    <x v="0"/>
    <x v="0"/>
    <m/>
    <m/>
    <m/>
    <m/>
    <m/>
    <m/>
    <m/>
    <m/>
    <m/>
    <m/>
    <m/>
    <m/>
    <m/>
    <m/>
    <m/>
    <m/>
    <m/>
    <m/>
    <m/>
    <m/>
    <m/>
    <m/>
    <m/>
    <m/>
    <m/>
    <m/>
    <m/>
    <m/>
    <m/>
    <m/>
    <m/>
    <m/>
    <m/>
    <m/>
  </r>
  <r>
    <n v="800"/>
    <x v="0"/>
    <n v="1"/>
    <s v="YEAR-2"/>
    <x v="1"/>
    <x v="1"/>
    <x v="20"/>
    <x v="3"/>
    <x v="1"/>
    <n v="1000"/>
    <n v="0"/>
    <n v="0"/>
    <n v="1000"/>
    <n v="1"/>
    <n v="0"/>
    <n v="0"/>
    <n v="500"/>
    <n v="0"/>
    <n v="0"/>
    <n v="500"/>
    <n v="1"/>
    <n v="1"/>
    <n v="1"/>
    <n v="0"/>
    <n v="0"/>
    <n v="0"/>
    <n v="0"/>
    <n v="0"/>
    <n v="0"/>
    <n v="0"/>
    <n v="0"/>
    <n v="0"/>
    <n v="0"/>
    <n v="0"/>
    <n v="0"/>
    <n v="0"/>
    <n v="0"/>
    <n v="0"/>
    <n v="0"/>
    <n v="0"/>
    <s v="GAMME # : 1 + CANAL DE DISTRIBUTION # : 1"/>
    <s v="PRODUIT 20  |  VOLUME"/>
    <b v="1"/>
  </r>
  <r>
    <n v="801"/>
    <x v="0"/>
    <n v="1"/>
    <s v="YEAR-1"/>
    <x v="2"/>
    <x v="1"/>
    <x v="20"/>
    <x v="3"/>
    <x v="1"/>
    <n v="1000"/>
    <n v="0"/>
    <n v="0"/>
    <n v="1000"/>
    <n v="1"/>
    <n v="0"/>
    <n v="0"/>
    <n v="500"/>
    <n v="0"/>
    <n v="0"/>
    <n v="500"/>
    <n v="1"/>
    <n v="1"/>
    <n v="1"/>
    <n v="0"/>
    <n v="0"/>
    <n v="0"/>
    <n v="0"/>
    <n v="0"/>
    <n v="0"/>
    <n v="0"/>
    <n v="0"/>
    <n v="0"/>
    <n v="0"/>
    <n v="0"/>
    <n v="0"/>
    <n v="0"/>
    <n v="0"/>
    <n v="0"/>
    <n v="0"/>
    <n v="0"/>
    <m/>
    <s v="PRODUIT 20  |  VOLUME"/>
    <b v="1"/>
  </r>
  <r>
    <n v="802"/>
    <x v="0"/>
    <n v="1"/>
    <s v="CURRENT YEAR"/>
    <x v="3"/>
    <x v="1"/>
    <x v="20"/>
    <x v="3"/>
    <x v="1"/>
    <n v="1000"/>
    <n v="0"/>
    <n v="0"/>
    <n v="1000"/>
    <n v="1"/>
    <n v="0"/>
    <n v="0"/>
    <n v="500"/>
    <n v="0"/>
    <n v="0"/>
    <n v="500"/>
    <n v="1"/>
    <n v="1"/>
    <n v="1"/>
    <n v="0"/>
    <n v="0"/>
    <n v="0"/>
    <n v="0"/>
    <n v="0"/>
    <n v="0"/>
    <n v="0"/>
    <n v="0"/>
    <n v="0"/>
    <n v="0"/>
    <n v="0"/>
    <n v="0"/>
    <n v="0"/>
    <n v="0"/>
    <n v="0"/>
    <n v="0"/>
    <n v="0"/>
    <m/>
    <s v="PRODUIT 20  |  VOLUME"/>
    <b v="1"/>
  </r>
  <r>
    <n v="803"/>
    <x v="0"/>
    <n v="1"/>
    <s v="YEAR2"/>
    <x v="4"/>
    <x v="1"/>
    <x v="20"/>
    <x v="3"/>
    <x v="1"/>
    <n v="1000"/>
    <n v="0"/>
    <n v="0"/>
    <n v="1000"/>
    <n v="1"/>
    <n v="0"/>
    <n v="0"/>
    <n v="500"/>
    <n v="0"/>
    <n v="0"/>
    <n v="500"/>
    <n v="1"/>
    <n v="1"/>
    <n v="1"/>
    <n v="0"/>
    <n v="0"/>
    <n v="0"/>
    <n v="0"/>
    <n v="0"/>
    <n v="0"/>
    <n v="0"/>
    <n v="0"/>
    <n v="0"/>
    <n v="0"/>
    <n v="0"/>
    <n v="0"/>
    <n v="0"/>
    <n v="0"/>
    <n v="0"/>
    <n v="0"/>
    <n v="0"/>
    <m/>
    <s v="PRODUIT 20  |  VOLUME"/>
    <b v="1"/>
  </r>
  <r>
    <n v="804"/>
    <x v="0"/>
    <n v="1"/>
    <s v="YEAR3"/>
    <x v="5"/>
    <x v="1"/>
    <x v="20"/>
    <x v="3"/>
    <x v="1"/>
    <n v="1000"/>
    <n v="0"/>
    <n v="0"/>
    <n v="1000"/>
    <n v="1"/>
    <n v="0"/>
    <n v="0"/>
    <n v="500"/>
    <n v="0"/>
    <n v="0"/>
    <n v="500"/>
    <n v="1"/>
    <n v="1"/>
    <n v="1"/>
    <n v="0"/>
    <n v="0"/>
    <n v="0"/>
    <n v="0"/>
    <n v="0"/>
    <n v="0"/>
    <n v="0"/>
    <n v="0"/>
    <n v="0"/>
    <n v="0"/>
    <n v="0"/>
    <n v="0"/>
    <n v="0"/>
    <n v="0"/>
    <n v="0"/>
    <n v="0"/>
    <n v="0"/>
    <m/>
    <s v="PRODUIT 20  |  VOLUME"/>
    <b v="1"/>
  </r>
  <r>
    <n v="805"/>
    <x v="0"/>
    <n v="1"/>
    <s v="YEAR4"/>
    <x v="6"/>
    <x v="1"/>
    <x v="20"/>
    <x v="3"/>
    <x v="1"/>
    <n v="1000"/>
    <n v="0"/>
    <n v="0"/>
    <n v="1000"/>
    <n v="1"/>
    <n v="0"/>
    <n v="0"/>
    <n v="500"/>
    <n v="0"/>
    <n v="0"/>
    <n v="500"/>
    <n v="1"/>
    <n v="1"/>
    <n v="1"/>
    <n v="0"/>
    <n v="0"/>
    <n v="0"/>
    <n v="0"/>
    <n v="0"/>
    <n v="0"/>
    <n v="0"/>
    <n v="0"/>
    <n v="0"/>
    <n v="0"/>
    <n v="0"/>
    <n v="0"/>
    <n v="0"/>
    <n v="0"/>
    <n v="0"/>
    <n v="0"/>
    <n v="0"/>
    <m/>
    <s v="PRODUIT 20  |  VOLUME"/>
    <b v="1"/>
  </r>
  <r>
    <n v="806"/>
    <x v="0"/>
    <n v="1"/>
    <s v="YEAR5"/>
    <x v="7"/>
    <x v="1"/>
    <x v="20"/>
    <x v="3"/>
    <x v="1"/>
    <n v="1000"/>
    <n v="0"/>
    <n v="0"/>
    <n v="1000"/>
    <n v="1"/>
    <n v="0"/>
    <n v="0"/>
    <n v="500"/>
    <n v="0"/>
    <n v="0"/>
    <n v="500"/>
    <n v="1"/>
    <n v="1"/>
    <n v="1"/>
    <n v="0"/>
    <n v="0"/>
    <n v="0"/>
    <n v="0"/>
    <n v="0"/>
    <n v="0"/>
    <n v="0"/>
    <n v="0"/>
    <n v="0"/>
    <n v="0"/>
    <n v="0"/>
    <n v="0"/>
    <n v="0"/>
    <n v="0"/>
    <n v="0"/>
    <n v="0"/>
    <n v="0"/>
    <m/>
    <s v="PRODUIT 20  |  VOLUME"/>
    <b v="1"/>
  </r>
  <r>
    <n v="807"/>
    <x v="0"/>
    <n v="1"/>
    <s v="YEAR6"/>
    <x v="8"/>
    <x v="1"/>
    <x v="20"/>
    <x v="3"/>
    <x v="1"/>
    <n v="1000"/>
    <n v="0"/>
    <n v="0"/>
    <n v="1000"/>
    <n v="1"/>
    <n v="0"/>
    <n v="0"/>
    <n v="500"/>
    <n v="0"/>
    <n v="0"/>
    <n v="500"/>
    <n v="1"/>
    <n v="1"/>
    <n v="1"/>
    <n v="0"/>
    <n v="0"/>
    <n v="0"/>
    <n v="0"/>
    <n v="0"/>
    <n v="0"/>
    <n v="0"/>
    <n v="0"/>
    <n v="0"/>
    <n v="0"/>
    <n v="0"/>
    <n v="0"/>
    <n v="0"/>
    <n v="0"/>
    <n v="0"/>
    <n v="0"/>
    <n v="0"/>
    <m/>
    <s v="PRODUIT 20  |  VOLUME"/>
    <b v="1"/>
  </r>
  <r>
    <n v="808"/>
    <x v="0"/>
    <m/>
    <s v="YEAR-2"/>
    <x v="1"/>
    <x v="1"/>
    <x v="20"/>
    <x v="3"/>
    <x v="2"/>
    <m/>
    <m/>
    <m/>
    <m/>
    <m/>
    <m/>
    <m/>
    <m/>
    <m/>
    <m/>
    <m/>
    <m/>
    <m/>
    <m/>
    <m/>
    <m/>
    <m/>
    <m/>
    <m/>
    <n v="0"/>
    <n v="0"/>
    <n v="0"/>
    <n v="0"/>
    <n v="0"/>
    <n v="0"/>
    <n v="0"/>
    <n v="0"/>
    <n v="0"/>
    <n v="0"/>
    <n v="0"/>
    <n v="0"/>
    <m/>
    <s v="PRODUIT 20  |  CHIFFRE D'AFFAIRES"/>
    <b v="1"/>
  </r>
  <r>
    <n v="809"/>
    <x v="0"/>
    <m/>
    <s v="YEAR-1"/>
    <x v="2"/>
    <x v="1"/>
    <x v="20"/>
    <x v="3"/>
    <x v="2"/>
    <m/>
    <m/>
    <m/>
    <m/>
    <m/>
    <m/>
    <m/>
    <m/>
    <m/>
    <m/>
    <m/>
    <m/>
    <m/>
    <m/>
    <m/>
    <m/>
    <m/>
    <m/>
    <m/>
    <n v="0"/>
    <n v="0"/>
    <n v="0"/>
    <n v="0"/>
    <n v="0"/>
    <n v="0"/>
    <n v="0"/>
    <n v="0"/>
    <n v="0"/>
    <n v="0"/>
    <n v="0"/>
    <n v="0"/>
    <m/>
    <s v="PRODUIT 20  |  CHIFFRE D'AFFAIRES"/>
    <b v="1"/>
  </r>
  <r>
    <n v="810"/>
    <x v="0"/>
    <m/>
    <s v="CURRENT YEAR"/>
    <x v="3"/>
    <x v="1"/>
    <x v="20"/>
    <x v="3"/>
    <x v="2"/>
    <m/>
    <m/>
    <m/>
    <m/>
    <m/>
    <m/>
    <m/>
    <m/>
    <m/>
    <m/>
    <m/>
    <m/>
    <m/>
    <m/>
    <m/>
    <m/>
    <m/>
    <m/>
    <m/>
    <n v="0"/>
    <n v="0"/>
    <n v="0"/>
    <n v="0"/>
    <n v="0"/>
    <n v="0"/>
    <n v="0"/>
    <n v="0"/>
    <n v="0"/>
    <n v="0"/>
    <n v="0"/>
    <n v="0"/>
    <m/>
    <s v="PRODUIT 20  |  CHIFFRE D'AFFAIRES"/>
    <b v="1"/>
  </r>
  <r>
    <n v="811"/>
    <x v="0"/>
    <m/>
    <s v="YEAR2"/>
    <x v="4"/>
    <x v="1"/>
    <x v="20"/>
    <x v="3"/>
    <x v="2"/>
    <m/>
    <m/>
    <m/>
    <m/>
    <m/>
    <m/>
    <m/>
    <m/>
    <m/>
    <m/>
    <m/>
    <m/>
    <m/>
    <m/>
    <m/>
    <m/>
    <m/>
    <m/>
    <m/>
    <n v="0"/>
    <n v="0"/>
    <n v="0"/>
    <n v="0"/>
    <n v="0"/>
    <n v="0"/>
    <n v="0"/>
    <n v="0"/>
    <n v="0"/>
    <n v="0"/>
    <n v="0"/>
    <n v="0"/>
    <m/>
    <s v="PRODUIT 20  |  CHIFFRE D'AFFAIRES"/>
    <b v="1"/>
  </r>
  <r>
    <n v="812"/>
    <x v="0"/>
    <m/>
    <s v="YEAR3"/>
    <x v="5"/>
    <x v="1"/>
    <x v="20"/>
    <x v="3"/>
    <x v="2"/>
    <m/>
    <m/>
    <m/>
    <m/>
    <m/>
    <m/>
    <m/>
    <m/>
    <m/>
    <m/>
    <m/>
    <m/>
    <m/>
    <m/>
    <m/>
    <m/>
    <m/>
    <m/>
    <m/>
    <n v="0"/>
    <n v="0"/>
    <n v="0"/>
    <n v="0"/>
    <n v="0"/>
    <n v="0"/>
    <n v="0"/>
    <n v="0"/>
    <n v="0"/>
    <n v="0"/>
    <n v="0"/>
    <n v="0"/>
    <m/>
    <s v="PRODUIT 20  |  CHIFFRE D'AFFAIRES"/>
    <b v="1"/>
  </r>
  <r>
    <n v="813"/>
    <x v="0"/>
    <m/>
    <s v="YEAR4"/>
    <x v="6"/>
    <x v="1"/>
    <x v="20"/>
    <x v="3"/>
    <x v="2"/>
    <m/>
    <m/>
    <m/>
    <m/>
    <m/>
    <m/>
    <m/>
    <m/>
    <m/>
    <m/>
    <m/>
    <m/>
    <m/>
    <m/>
    <m/>
    <m/>
    <m/>
    <m/>
    <m/>
    <n v="0"/>
    <n v="0"/>
    <n v="0"/>
    <n v="0"/>
    <n v="0"/>
    <n v="0"/>
    <n v="0"/>
    <n v="0"/>
    <n v="0"/>
    <n v="0"/>
    <n v="0"/>
    <n v="0"/>
    <m/>
    <s v="PRODUIT 20  |  CHIFFRE D'AFFAIRES"/>
    <b v="1"/>
  </r>
  <r>
    <n v="814"/>
    <x v="0"/>
    <m/>
    <s v="YEAR5"/>
    <x v="7"/>
    <x v="1"/>
    <x v="20"/>
    <x v="3"/>
    <x v="2"/>
    <m/>
    <m/>
    <m/>
    <m/>
    <m/>
    <m/>
    <m/>
    <m/>
    <m/>
    <m/>
    <m/>
    <m/>
    <m/>
    <m/>
    <m/>
    <m/>
    <m/>
    <m/>
    <m/>
    <n v="0"/>
    <n v="0"/>
    <n v="0"/>
    <n v="0"/>
    <n v="0"/>
    <n v="0"/>
    <n v="0"/>
    <n v="0"/>
    <n v="0"/>
    <n v="0"/>
    <n v="0"/>
    <n v="0"/>
    <m/>
    <s v="PRODUIT 20  |  CHIFFRE D'AFFAIRES"/>
    <b v="1"/>
  </r>
  <r>
    <n v="815"/>
    <x v="0"/>
    <m/>
    <s v="YEAR6"/>
    <x v="8"/>
    <x v="1"/>
    <x v="20"/>
    <x v="3"/>
    <x v="2"/>
    <m/>
    <m/>
    <m/>
    <m/>
    <m/>
    <m/>
    <m/>
    <m/>
    <m/>
    <m/>
    <m/>
    <m/>
    <m/>
    <m/>
    <m/>
    <m/>
    <m/>
    <m/>
    <m/>
    <n v="0"/>
    <n v="0"/>
    <n v="0"/>
    <n v="0"/>
    <n v="0"/>
    <n v="0"/>
    <n v="0"/>
    <n v="0"/>
    <n v="0"/>
    <n v="0"/>
    <n v="0"/>
    <n v="0"/>
    <m/>
    <s v="PRODUIT 20  |  CHIFFRE D'AFFAIRES"/>
    <b v="1"/>
  </r>
  <r>
    <n v="816"/>
    <x v="0"/>
    <m/>
    <s v="YEAR-2"/>
    <x v="1"/>
    <x v="1"/>
    <x v="20"/>
    <x v="3"/>
    <x v="3"/>
    <m/>
    <m/>
    <m/>
    <m/>
    <m/>
    <m/>
    <m/>
    <m/>
    <m/>
    <m/>
    <m/>
    <m/>
    <m/>
    <m/>
    <m/>
    <m/>
    <m/>
    <m/>
    <m/>
    <n v="0"/>
    <n v="0"/>
    <n v="0"/>
    <n v="0"/>
    <n v="0"/>
    <n v="0"/>
    <n v="0"/>
    <n v="0"/>
    <n v="0"/>
    <m/>
    <n v="0"/>
    <m/>
    <m/>
    <s v="PRODUIT 20  |  PRIX MOYEN DE VENTE PAR PRODUIT/SERVICE"/>
    <m/>
  </r>
  <r>
    <n v="817"/>
    <x v="0"/>
    <m/>
    <s v="YEAR-1"/>
    <x v="2"/>
    <x v="1"/>
    <x v="20"/>
    <x v="3"/>
    <x v="3"/>
    <m/>
    <m/>
    <m/>
    <m/>
    <m/>
    <m/>
    <m/>
    <m/>
    <m/>
    <m/>
    <m/>
    <m/>
    <m/>
    <m/>
    <m/>
    <m/>
    <m/>
    <m/>
    <m/>
    <n v="0"/>
    <n v="0"/>
    <n v="0"/>
    <n v="0"/>
    <n v="0"/>
    <n v="0"/>
    <n v="0"/>
    <n v="0"/>
    <n v="0"/>
    <m/>
    <n v="0"/>
    <m/>
    <m/>
    <s v="PRODUIT 20  |  PRIX MOYEN DE VENTE PAR PRODUIT/SERVICE"/>
    <m/>
  </r>
  <r>
    <n v="818"/>
    <x v="0"/>
    <m/>
    <s v="CURRENT YEAR"/>
    <x v="3"/>
    <x v="1"/>
    <x v="20"/>
    <x v="3"/>
    <x v="3"/>
    <m/>
    <m/>
    <m/>
    <m/>
    <m/>
    <m/>
    <m/>
    <m/>
    <m/>
    <m/>
    <m/>
    <m/>
    <m/>
    <m/>
    <m/>
    <m/>
    <m/>
    <m/>
    <m/>
    <n v="0"/>
    <n v="0"/>
    <n v="0"/>
    <n v="0"/>
    <n v="0"/>
    <n v="0"/>
    <n v="0"/>
    <n v="0"/>
    <n v="0"/>
    <m/>
    <n v="0"/>
    <m/>
    <m/>
    <s v="PRODUIT 20  |  PRIX MOYEN DE VENTE PAR PRODUIT/SERVICE"/>
    <m/>
  </r>
  <r>
    <n v="819"/>
    <x v="0"/>
    <m/>
    <s v="YEAR2"/>
    <x v="4"/>
    <x v="1"/>
    <x v="20"/>
    <x v="3"/>
    <x v="3"/>
    <m/>
    <m/>
    <m/>
    <m/>
    <m/>
    <m/>
    <m/>
    <m/>
    <m/>
    <m/>
    <m/>
    <m/>
    <m/>
    <m/>
    <m/>
    <m/>
    <m/>
    <m/>
    <m/>
    <n v="0"/>
    <n v="0"/>
    <n v="0"/>
    <n v="0"/>
    <n v="0"/>
    <n v="0"/>
    <n v="0"/>
    <n v="0"/>
    <n v="0"/>
    <m/>
    <n v="0"/>
    <m/>
    <m/>
    <s v="PRODUIT 20  |  PRIX MOYEN DE VENTE PAR PRODUIT/SERVICE"/>
    <m/>
  </r>
  <r>
    <n v="820"/>
    <x v="0"/>
    <m/>
    <s v="YEAR3"/>
    <x v="5"/>
    <x v="1"/>
    <x v="20"/>
    <x v="3"/>
    <x v="3"/>
    <m/>
    <m/>
    <m/>
    <m/>
    <m/>
    <m/>
    <m/>
    <m/>
    <m/>
    <m/>
    <m/>
    <m/>
    <m/>
    <m/>
    <m/>
    <m/>
    <m/>
    <m/>
    <m/>
    <n v="0"/>
    <n v="0"/>
    <n v="0"/>
    <n v="0"/>
    <n v="0"/>
    <n v="0"/>
    <n v="0"/>
    <n v="0"/>
    <n v="0"/>
    <m/>
    <n v="0"/>
    <m/>
    <m/>
    <s v="PRODUIT 20  |  PRIX MOYEN DE VENTE PAR PRODUIT/SERVICE"/>
    <m/>
  </r>
  <r>
    <n v="821"/>
    <x v="0"/>
    <m/>
    <s v="YEAR4"/>
    <x v="6"/>
    <x v="1"/>
    <x v="20"/>
    <x v="3"/>
    <x v="3"/>
    <m/>
    <m/>
    <m/>
    <m/>
    <m/>
    <m/>
    <m/>
    <m/>
    <m/>
    <m/>
    <m/>
    <m/>
    <m/>
    <m/>
    <m/>
    <m/>
    <m/>
    <m/>
    <m/>
    <n v="0"/>
    <n v="0"/>
    <n v="0"/>
    <n v="0"/>
    <n v="0"/>
    <n v="0"/>
    <n v="0"/>
    <n v="0"/>
    <n v="0"/>
    <m/>
    <n v="0"/>
    <m/>
    <m/>
    <s v="PRODUIT 20  |  PRIX MOYEN DE VENTE PAR PRODUIT/SERVICE"/>
    <m/>
  </r>
  <r>
    <n v="822"/>
    <x v="0"/>
    <m/>
    <s v="YEAR5"/>
    <x v="7"/>
    <x v="1"/>
    <x v="20"/>
    <x v="3"/>
    <x v="3"/>
    <m/>
    <m/>
    <m/>
    <m/>
    <m/>
    <m/>
    <m/>
    <m/>
    <m/>
    <m/>
    <m/>
    <m/>
    <m/>
    <m/>
    <m/>
    <m/>
    <m/>
    <m/>
    <m/>
    <n v="0"/>
    <n v="0"/>
    <n v="0"/>
    <n v="0"/>
    <n v="0"/>
    <n v="0"/>
    <n v="0"/>
    <n v="0"/>
    <n v="0"/>
    <m/>
    <n v="0"/>
    <m/>
    <m/>
    <s v="PRODUIT 20  |  PRIX MOYEN DE VENTE PAR PRODUIT/SERVICE"/>
    <m/>
  </r>
  <r>
    <n v="823"/>
    <x v="0"/>
    <m/>
    <s v="YEAR6"/>
    <x v="8"/>
    <x v="1"/>
    <x v="20"/>
    <x v="3"/>
    <x v="3"/>
    <m/>
    <m/>
    <m/>
    <m/>
    <m/>
    <m/>
    <m/>
    <m/>
    <m/>
    <m/>
    <m/>
    <m/>
    <m/>
    <m/>
    <m/>
    <m/>
    <m/>
    <m/>
    <m/>
    <n v="0"/>
    <n v="0"/>
    <n v="0"/>
    <n v="0"/>
    <n v="0"/>
    <n v="0"/>
    <n v="0"/>
    <n v="0"/>
    <n v="0"/>
    <m/>
    <n v="0"/>
    <m/>
    <m/>
    <s v="PRODUIT 20  |  PRIX MOYEN DE VENTE PAR PRODUIT/SERVICE"/>
    <m/>
  </r>
  <r>
    <n v="824"/>
    <x v="0"/>
    <m/>
    <s v="YEAR-2"/>
    <x v="1"/>
    <x v="1"/>
    <x v="20"/>
    <x v="3"/>
    <x v="4"/>
    <m/>
    <m/>
    <m/>
    <m/>
    <m/>
    <m/>
    <m/>
    <m/>
    <m/>
    <m/>
    <m/>
    <m/>
    <m/>
    <m/>
    <m/>
    <m/>
    <m/>
    <m/>
    <m/>
    <n v="0"/>
    <n v="0"/>
    <n v="0"/>
    <n v="0"/>
    <n v="0"/>
    <n v="0"/>
    <n v="0"/>
    <n v="0"/>
    <n v="0"/>
    <n v="0"/>
    <n v="0"/>
    <n v="0"/>
    <m/>
    <s v="PRODUIT 20  |  DEPENSES SUR ACHATS"/>
    <b v="1"/>
  </r>
  <r>
    <n v="825"/>
    <x v="0"/>
    <m/>
    <s v="YEAR-1"/>
    <x v="2"/>
    <x v="1"/>
    <x v="20"/>
    <x v="3"/>
    <x v="4"/>
    <m/>
    <m/>
    <m/>
    <m/>
    <m/>
    <m/>
    <m/>
    <m/>
    <m/>
    <m/>
    <m/>
    <m/>
    <m/>
    <m/>
    <m/>
    <m/>
    <m/>
    <m/>
    <m/>
    <n v="0"/>
    <n v="0"/>
    <n v="0"/>
    <n v="0"/>
    <n v="0"/>
    <n v="0"/>
    <n v="0"/>
    <n v="0"/>
    <n v="0"/>
    <n v="0"/>
    <n v="0"/>
    <n v="0"/>
    <m/>
    <s v="PRODUIT 20  |  DEPENSES SUR ACHATS"/>
    <b v="1"/>
  </r>
  <r>
    <n v="826"/>
    <x v="0"/>
    <m/>
    <s v="CURRENT YEAR"/>
    <x v="3"/>
    <x v="1"/>
    <x v="20"/>
    <x v="3"/>
    <x v="4"/>
    <m/>
    <m/>
    <m/>
    <m/>
    <m/>
    <m/>
    <m/>
    <m/>
    <m/>
    <m/>
    <m/>
    <m/>
    <m/>
    <m/>
    <m/>
    <m/>
    <m/>
    <m/>
    <m/>
    <n v="0"/>
    <n v="0"/>
    <n v="0"/>
    <n v="0"/>
    <n v="0"/>
    <n v="0"/>
    <n v="0"/>
    <n v="0"/>
    <n v="0"/>
    <n v="0"/>
    <n v="0"/>
    <n v="0"/>
    <m/>
    <s v="PRODUIT 20  |  DEPENSES SUR ACHATS"/>
    <b v="1"/>
  </r>
  <r>
    <n v="827"/>
    <x v="0"/>
    <m/>
    <s v="YEAR2"/>
    <x v="4"/>
    <x v="1"/>
    <x v="20"/>
    <x v="3"/>
    <x v="4"/>
    <m/>
    <m/>
    <m/>
    <m/>
    <m/>
    <m/>
    <m/>
    <m/>
    <m/>
    <m/>
    <m/>
    <m/>
    <m/>
    <m/>
    <m/>
    <m/>
    <m/>
    <m/>
    <m/>
    <n v="0"/>
    <n v="0"/>
    <n v="0"/>
    <n v="0"/>
    <n v="0"/>
    <n v="0"/>
    <n v="0"/>
    <n v="0"/>
    <n v="0"/>
    <n v="0"/>
    <n v="0"/>
    <n v="0"/>
    <m/>
    <s v="PRODUIT 20  |  DEPENSES SUR ACHATS"/>
    <b v="1"/>
  </r>
  <r>
    <n v="828"/>
    <x v="0"/>
    <m/>
    <s v="YEAR3"/>
    <x v="5"/>
    <x v="1"/>
    <x v="20"/>
    <x v="3"/>
    <x v="4"/>
    <m/>
    <m/>
    <m/>
    <m/>
    <m/>
    <m/>
    <m/>
    <m/>
    <m/>
    <m/>
    <m/>
    <m/>
    <m/>
    <m/>
    <m/>
    <m/>
    <m/>
    <m/>
    <m/>
    <n v="0"/>
    <n v="0"/>
    <n v="0"/>
    <n v="0"/>
    <n v="0"/>
    <n v="0"/>
    <n v="0"/>
    <n v="0"/>
    <n v="0"/>
    <n v="0"/>
    <n v="0"/>
    <n v="0"/>
    <m/>
    <s v="PRODUIT 20  |  DEPENSES SUR ACHATS"/>
    <b v="1"/>
  </r>
  <r>
    <n v="829"/>
    <x v="0"/>
    <m/>
    <s v="YEAR4"/>
    <x v="6"/>
    <x v="1"/>
    <x v="20"/>
    <x v="3"/>
    <x v="4"/>
    <m/>
    <m/>
    <m/>
    <m/>
    <m/>
    <m/>
    <m/>
    <m/>
    <m/>
    <m/>
    <m/>
    <m/>
    <m/>
    <m/>
    <m/>
    <m/>
    <m/>
    <m/>
    <m/>
    <n v="0"/>
    <n v="0"/>
    <n v="0"/>
    <n v="0"/>
    <n v="0"/>
    <n v="0"/>
    <n v="0"/>
    <n v="0"/>
    <n v="0"/>
    <n v="0"/>
    <n v="0"/>
    <n v="0"/>
    <m/>
    <s v="PRODUIT 20  |  DEPENSES SUR ACHATS"/>
    <b v="1"/>
  </r>
  <r>
    <n v="830"/>
    <x v="0"/>
    <m/>
    <s v="YEAR5"/>
    <x v="7"/>
    <x v="1"/>
    <x v="20"/>
    <x v="3"/>
    <x v="4"/>
    <m/>
    <m/>
    <m/>
    <m/>
    <m/>
    <m/>
    <m/>
    <m/>
    <m/>
    <m/>
    <m/>
    <m/>
    <m/>
    <m/>
    <m/>
    <m/>
    <m/>
    <m/>
    <m/>
    <n v="0"/>
    <n v="0"/>
    <n v="0"/>
    <n v="0"/>
    <n v="0"/>
    <n v="0"/>
    <n v="0"/>
    <n v="0"/>
    <n v="0"/>
    <n v="0"/>
    <n v="0"/>
    <n v="0"/>
    <m/>
    <s v="PRODUIT 20  |  DEPENSES SUR ACHATS"/>
    <b v="1"/>
  </r>
  <r>
    <n v="831"/>
    <x v="0"/>
    <m/>
    <s v="YEAR6"/>
    <x v="8"/>
    <x v="1"/>
    <x v="20"/>
    <x v="3"/>
    <x v="4"/>
    <m/>
    <m/>
    <m/>
    <m/>
    <m/>
    <m/>
    <m/>
    <m/>
    <m/>
    <m/>
    <m/>
    <m/>
    <m/>
    <m/>
    <m/>
    <m/>
    <m/>
    <m/>
    <m/>
    <n v="0"/>
    <n v="0"/>
    <n v="0"/>
    <n v="0"/>
    <n v="0"/>
    <n v="0"/>
    <n v="0"/>
    <n v="0"/>
    <n v="0"/>
    <n v="0"/>
    <n v="0"/>
    <n v="0"/>
    <m/>
    <s v="PRODUIT 20  |  DEPENSES SUR ACHATS"/>
    <b v="1"/>
  </r>
  <r>
    <n v="832"/>
    <x v="0"/>
    <m/>
    <s v="YEAR-2"/>
    <x v="1"/>
    <x v="1"/>
    <x v="20"/>
    <x v="3"/>
    <x v="5"/>
    <m/>
    <m/>
    <m/>
    <m/>
    <m/>
    <m/>
    <m/>
    <m/>
    <m/>
    <m/>
    <m/>
    <m/>
    <m/>
    <m/>
    <m/>
    <m/>
    <m/>
    <m/>
    <m/>
    <n v="0"/>
    <n v="0"/>
    <n v="0"/>
    <n v="0"/>
    <n v="0"/>
    <n v="0"/>
    <n v="0"/>
    <n v="0"/>
    <n v="0"/>
    <m/>
    <n v="0"/>
    <m/>
    <m/>
    <s v="PRODUIT 20  |  PRIX MOYEN D'ACHAT PAR PRODUIT/SERVICE"/>
    <m/>
  </r>
  <r>
    <n v="833"/>
    <x v="0"/>
    <m/>
    <s v="YEAR-1"/>
    <x v="2"/>
    <x v="1"/>
    <x v="20"/>
    <x v="3"/>
    <x v="5"/>
    <m/>
    <m/>
    <m/>
    <m/>
    <m/>
    <m/>
    <m/>
    <m/>
    <m/>
    <m/>
    <m/>
    <m/>
    <m/>
    <m/>
    <m/>
    <m/>
    <m/>
    <m/>
    <m/>
    <n v="0"/>
    <n v="0"/>
    <n v="0"/>
    <n v="0"/>
    <n v="0"/>
    <n v="0"/>
    <n v="0"/>
    <n v="0"/>
    <n v="0"/>
    <m/>
    <n v="0"/>
    <m/>
    <m/>
    <s v="PRODUIT 20  |  PRIX MOYEN D'ACHAT PAR PRODUIT/SERVICE"/>
    <m/>
  </r>
  <r>
    <n v="834"/>
    <x v="0"/>
    <m/>
    <s v="CURRENT YEAR"/>
    <x v="3"/>
    <x v="1"/>
    <x v="20"/>
    <x v="3"/>
    <x v="5"/>
    <m/>
    <m/>
    <m/>
    <m/>
    <m/>
    <m/>
    <m/>
    <m/>
    <m/>
    <m/>
    <m/>
    <m/>
    <m/>
    <m/>
    <m/>
    <m/>
    <m/>
    <m/>
    <m/>
    <n v="0"/>
    <n v="0"/>
    <n v="0"/>
    <n v="0"/>
    <n v="0"/>
    <n v="0"/>
    <n v="0"/>
    <n v="0"/>
    <n v="0"/>
    <m/>
    <n v="0"/>
    <m/>
    <m/>
    <s v="PRODUIT 20  |  PRIX MOYEN D'ACHAT PAR PRODUIT/SERVICE"/>
    <m/>
  </r>
  <r>
    <n v="835"/>
    <x v="0"/>
    <m/>
    <s v="YEAR2"/>
    <x v="4"/>
    <x v="1"/>
    <x v="20"/>
    <x v="3"/>
    <x v="5"/>
    <m/>
    <m/>
    <m/>
    <m/>
    <m/>
    <m/>
    <m/>
    <m/>
    <m/>
    <m/>
    <m/>
    <m/>
    <m/>
    <m/>
    <m/>
    <m/>
    <m/>
    <m/>
    <m/>
    <n v="0"/>
    <n v="0"/>
    <n v="0"/>
    <n v="0"/>
    <n v="0"/>
    <n v="0"/>
    <n v="0"/>
    <n v="0"/>
    <n v="0"/>
    <m/>
    <n v="0"/>
    <m/>
    <m/>
    <s v="PRODUIT 20  |  PRIX MOYEN D'ACHAT PAR PRODUIT/SERVICE"/>
    <m/>
  </r>
  <r>
    <n v="836"/>
    <x v="0"/>
    <m/>
    <s v="YEAR3"/>
    <x v="5"/>
    <x v="1"/>
    <x v="20"/>
    <x v="3"/>
    <x v="5"/>
    <m/>
    <m/>
    <m/>
    <m/>
    <m/>
    <m/>
    <m/>
    <m/>
    <m/>
    <m/>
    <m/>
    <m/>
    <m/>
    <m/>
    <m/>
    <m/>
    <m/>
    <m/>
    <m/>
    <n v="0"/>
    <n v="0"/>
    <n v="0"/>
    <n v="0"/>
    <n v="0"/>
    <n v="0"/>
    <n v="0"/>
    <n v="0"/>
    <n v="0"/>
    <m/>
    <n v="0"/>
    <m/>
    <m/>
    <s v="PRODUIT 20  |  PRIX MOYEN D'ACHAT PAR PRODUIT/SERVICE"/>
    <m/>
  </r>
  <r>
    <n v="837"/>
    <x v="0"/>
    <m/>
    <s v="YEAR4"/>
    <x v="6"/>
    <x v="1"/>
    <x v="20"/>
    <x v="3"/>
    <x v="5"/>
    <m/>
    <m/>
    <m/>
    <m/>
    <m/>
    <m/>
    <m/>
    <m/>
    <m/>
    <m/>
    <m/>
    <m/>
    <m/>
    <m/>
    <m/>
    <m/>
    <m/>
    <m/>
    <m/>
    <n v="0"/>
    <n v="0"/>
    <n v="0"/>
    <n v="0"/>
    <n v="0"/>
    <n v="0"/>
    <n v="0"/>
    <n v="0"/>
    <n v="0"/>
    <m/>
    <n v="0"/>
    <m/>
    <m/>
    <s v="PRODUIT 20  |  PRIX MOYEN D'ACHAT PAR PRODUIT/SERVICE"/>
    <m/>
  </r>
  <r>
    <n v="838"/>
    <x v="0"/>
    <m/>
    <s v="YEAR5"/>
    <x v="7"/>
    <x v="1"/>
    <x v="20"/>
    <x v="3"/>
    <x v="5"/>
    <m/>
    <m/>
    <m/>
    <m/>
    <m/>
    <m/>
    <m/>
    <m/>
    <m/>
    <m/>
    <m/>
    <m/>
    <m/>
    <m/>
    <m/>
    <m/>
    <m/>
    <m/>
    <m/>
    <n v="0"/>
    <n v="0"/>
    <n v="0"/>
    <n v="0"/>
    <n v="0"/>
    <n v="0"/>
    <n v="0"/>
    <n v="0"/>
    <n v="0"/>
    <m/>
    <n v="0"/>
    <m/>
    <m/>
    <s v="PRODUIT 20  |  PRIX MOYEN D'ACHAT PAR PRODUIT/SERVICE"/>
    <m/>
  </r>
  <r>
    <n v="839"/>
    <x v="0"/>
    <m/>
    <s v="YEAR6"/>
    <x v="8"/>
    <x v="1"/>
    <x v="20"/>
    <x v="3"/>
    <x v="5"/>
    <m/>
    <m/>
    <m/>
    <m/>
    <m/>
    <m/>
    <m/>
    <m/>
    <m/>
    <m/>
    <m/>
    <m/>
    <m/>
    <m/>
    <m/>
    <m/>
    <m/>
    <m/>
    <m/>
    <n v="0"/>
    <n v="0"/>
    <n v="0"/>
    <n v="0"/>
    <n v="0"/>
    <n v="0"/>
    <n v="0"/>
    <n v="0"/>
    <n v="0"/>
    <m/>
    <n v="0"/>
    <m/>
    <m/>
    <s v="PRODUIT 20  |  PRIX MOYEN D'ACHAT PAR PRODUIT/SERVICE"/>
    <m/>
  </r>
  <r>
    <n v="840"/>
    <x v="0"/>
    <n v="1"/>
    <m/>
    <x v="0"/>
    <x v="0"/>
    <x v="0"/>
    <x v="0"/>
    <x v="0"/>
    <m/>
    <m/>
    <m/>
    <m/>
    <m/>
    <m/>
    <m/>
    <m/>
    <m/>
    <m/>
    <m/>
    <m/>
    <m/>
    <m/>
    <m/>
    <m/>
    <m/>
    <m/>
    <m/>
    <m/>
    <m/>
    <m/>
    <m/>
    <m/>
    <m/>
    <m/>
    <m/>
    <m/>
    <m/>
    <m/>
    <m/>
    <m/>
    <m/>
    <m/>
  </r>
  <r>
    <n v="841"/>
    <x v="0"/>
    <m/>
    <m/>
    <x v="0"/>
    <x v="0"/>
    <x v="0"/>
    <x v="0"/>
    <x v="0"/>
    <m/>
    <m/>
    <m/>
    <m/>
    <m/>
    <m/>
    <m/>
    <m/>
    <m/>
    <m/>
    <m/>
    <m/>
    <m/>
    <m/>
    <m/>
    <m/>
    <m/>
    <m/>
    <m/>
    <m/>
    <m/>
    <m/>
    <m/>
    <m/>
    <m/>
    <m/>
    <m/>
    <m/>
    <m/>
    <m/>
    <m/>
    <m/>
    <m/>
    <m/>
  </r>
  <r>
    <n v="842"/>
    <x v="0"/>
    <n v="1"/>
    <s v="YEAR-2"/>
    <x v="1"/>
    <x v="2"/>
    <x v="21"/>
    <x v="3"/>
    <x v="1"/>
    <n v="1000"/>
    <n v="0"/>
    <n v="0"/>
    <n v="1000"/>
    <n v="1"/>
    <n v="0"/>
    <n v="0"/>
    <n v="500"/>
    <n v="0"/>
    <n v="0"/>
    <n v="500"/>
    <n v="1"/>
    <n v="1"/>
    <n v="1"/>
    <n v="0"/>
    <n v="0"/>
    <n v="0"/>
    <n v="0"/>
    <n v="0"/>
    <n v="0"/>
    <n v="0"/>
    <n v="0"/>
    <n v="0"/>
    <n v="0"/>
    <n v="0"/>
    <n v="0"/>
    <n v="0"/>
    <n v="0"/>
    <n v="0"/>
    <n v="0"/>
    <n v="0"/>
    <s v="GAMME # : 1 + CANAL DE DISTRIBUTION # : 1"/>
    <s v="SERVICE 01  |  VOLUME"/>
    <b v="1"/>
  </r>
  <r>
    <n v="843"/>
    <x v="0"/>
    <n v="1"/>
    <s v="YEAR-1"/>
    <x v="2"/>
    <x v="2"/>
    <x v="21"/>
    <x v="3"/>
    <x v="1"/>
    <n v="1000"/>
    <n v="0"/>
    <n v="0"/>
    <n v="1000"/>
    <n v="1"/>
    <n v="0"/>
    <n v="0"/>
    <n v="500"/>
    <n v="0"/>
    <n v="0"/>
    <n v="500"/>
    <n v="1"/>
    <n v="1"/>
    <n v="1"/>
    <n v="0"/>
    <n v="0"/>
    <n v="0"/>
    <n v="0"/>
    <n v="0"/>
    <n v="0"/>
    <n v="0"/>
    <n v="0"/>
    <n v="0"/>
    <n v="0"/>
    <n v="0"/>
    <n v="0"/>
    <n v="0"/>
    <n v="0"/>
    <n v="0"/>
    <n v="0"/>
    <n v="0"/>
    <m/>
    <s v="SERVICE 01  |  VOLUME"/>
    <b v="1"/>
  </r>
  <r>
    <n v="844"/>
    <x v="0"/>
    <n v="1"/>
    <s v="CURRENT YEAR"/>
    <x v="3"/>
    <x v="2"/>
    <x v="21"/>
    <x v="3"/>
    <x v="1"/>
    <n v="1000"/>
    <n v="0"/>
    <n v="0"/>
    <n v="1000"/>
    <n v="1"/>
    <n v="0"/>
    <n v="0"/>
    <n v="500"/>
    <n v="0"/>
    <n v="0"/>
    <n v="500"/>
    <n v="1"/>
    <n v="1"/>
    <n v="1"/>
    <n v="0"/>
    <n v="0"/>
    <n v="0"/>
    <n v="0"/>
    <n v="0"/>
    <n v="0"/>
    <n v="0"/>
    <n v="0"/>
    <n v="0"/>
    <n v="0"/>
    <n v="0"/>
    <n v="0"/>
    <n v="0"/>
    <n v="0"/>
    <n v="0"/>
    <n v="0"/>
    <n v="0"/>
    <m/>
    <s v="SERVICE 01  |  VOLUME"/>
    <b v="1"/>
  </r>
  <r>
    <n v="845"/>
    <x v="0"/>
    <n v="1"/>
    <s v="YEAR2"/>
    <x v="4"/>
    <x v="2"/>
    <x v="21"/>
    <x v="3"/>
    <x v="1"/>
    <n v="1000"/>
    <n v="0"/>
    <n v="0"/>
    <n v="1000"/>
    <n v="1"/>
    <n v="0"/>
    <n v="0"/>
    <n v="500"/>
    <n v="0"/>
    <n v="0"/>
    <n v="500"/>
    <n v="1"/>
    <n v="1"/>
    <n v="1"/>
    <n v="0"/>
    <n v="0"/>
    <n v="0"/>
    <n v="0"/>
    <n v="0"/>
    <n v="0"/>
    <n v="0"/>
    <n v="0"/>
    <n v="0"/>
    <n v="0"/>
    <n v="0"/>
    <n v="0"/>
    <n v="0"/>
    <n v="0"/>
    <n v="0"/>
    <n v="0"/>
    <n v="0"/>
    <m/>
    <s v="SERVICE 01  |  VOLUME"/>
    <b v="1"/>
  </r>
  <r>
    <n v="846"/>
    <x v="0"/>
    <n v="1"/>
    <s v="YEAR3"/>
    <x v="5"/>
    <x v="2"/>
    <x v="21"/>
    <x v="3"/>
    <x v="1"/>
    <n v="1000"/>
    <n v="0"/>
    <n v="0"/>
    <n v="1000"/>
    <n v="1"/>
    <n v="0"/>
    <n v="0"/>
    <n v="500"/>
    <n v="0"/>
    <n v="0"/>
    <n v="500"/>
    <n v="1"/>
    <n v="1"/>
    <n v="1"/>
    <n v="0"/>
    <n v="0"/>
    <n v="0"/>
    <n v="0"/>
    <n v="0"/>
    <n v="0"/>
    <n v="0"/>
    <n v="0"/>
    <n v="0"/>
    <n v="0"/>
    <n v="0"/>
    <n v="0"/>
    <n v="0"/>
    <n v="0"/>
    <n v="0"/>
    <n v="0"/>
    <n v="0"/>
    <m/>
    <s v="SERVICE 01  |  VOLUME"/>
    <b v="1"/>
  </r>
  <r>
    <n v="847"/>
    <x v="0"/>
    <n v="1"/>
    <s v="YEAR4"/>
    <x v="6"/>
    <x v="2"/>
    <x v="21"/>
    <x v="3"/>
    <x v="1"/>
    <n v="1000"/>
    <n v="0"/>
    <n v="0"/>
    <n v="1000"/>
    <n v="1"/>
    <n v="0"/>
    <n v="0"/>
    <n v="500"/>
    <n v="0"/>
    <n v="0"/>
    <n v="500"/>
    <n v="1"/>
    <n v="1"/>
    <n v="1"/>
    <n v="0"/>
    <n v="0"/>
    <n v="0"/>
    <n v="0"/>
    <n v="0"/>
    <n v="0"/>
    <n v="0"/>
    <n v="0"/>
    <n v="0"/>
    <n v="0"/>
    <n v="0"/>
    <n v="0"/>
    <n v="0"/>
    <n v="0"/>
    <n v="0"/>
    <n v="0"/>
    <n v="0"/>
    <m/>
    <s v="SERVICE 01  |  VOLUME"/>
    <b v="1"/>
  </r>
  <r>
    <n v="848"/>
    <x v="0"/>
    <n v="1"/>
    <s v="YEAR5"/>
    <x v="7"/>
    <x v="2"/>
    <x v="21"/>
    <x v="3"/>
    <x v="1"/>
    <n v="1000"/>
    <n v="0"/>
    <n v="0"/>
    <n v="1000"/>
    <n v="1"/>
    <n v="0"/>
    <n v="0"/>
    <n v="500"/>
    <n v="0"/>
    <n v="0"/>
    <n v="500"/>
    <n v="1"/>
    <n v="1"/>
    <n v="1"/>
    <n v="0"/>
    <n v="0"/>
    <n v="0"/>
    <n v="0"/>
    <n v="0"/>
    <n v="0"/>
    <n v="0"/>
    <n v="0"/>
    <n v="0"/>
    <n v="0"/>
    <n v="0"/>
    <n v="0"/>
    <n v="0"/>
    <n v="0"/>
    <n v="0"/>
    <n v="0"/>
    <n v="0"/>
    <m/>
    <s v="SERVICE 01  |  VOLUME"/>
    <b v="1"/>
  </r>
  <r>
    <n v="849"/>
    <x v="0"/>
    <n v="1"/>
    <s v="YEAR6"/>
    <x v="8"/>
    <x v="2"/>
    <x v="21"/>
    <x v="3"/>
    <x v="1"/>
    <n v="1000"/>
    <n v="0"/>
    <n v="0"/>
    <n v="1000"/>
    <n v="1"/>
    <n v="0"/>
    <n v="0"/>
    <n v="500"/>
    <n v="0"/>
    <n v="0"/>
    <n v="500"/>
    <n v="1"/>
    <n v="1"/>
    <n v="1"/>
    <n v="0"/>
    <n v="0"/>
    <n v="0"/>
    <n v="0"/>
    <n v="0"/>
    <n v="0"/>
    <n v="0"/>
    <n v="0"/>
    <n v="0"/>
    <n v="0"/>
    <n v="0"/>
    <n v="0"/>
    <n v="0"/>
    <n v="0"/>
    <n v="0"/>
    <n v="0"/>
    <n v="0"/>
    <m/>
    <s v="SERVICE 01  |  VOLUME"/>
    <b v="1"/>
  </r>
  <r>
    <n v="850"/>
    <x v="0"/>
    <m/>
    <s v="YEAR-2"/>
    <x v="1"/>
    <x v="2"/>
    <x v="21"/>
    <x v="3"/>
    <x v="2"/>
    <m/>
    <m/>
    <m/>
    <m/>
    <m/>
    <m/>
    <m/>
    <m/>
    <m/>
    <m/>
    <m/>
    <m/>
    <m/>
    <m/>
    <m/>
    <m/>
    <m/>
    <m/>
    <m/>
    <n v="0"/>
    <n v="0"/>
    <n v="0"/>
    <n v="0"/>
    <n v="0"/>
    <n v="0"/>
    <n v="0"/>
    <n v="0"/>
    <n v="0"/>
    <n v="0"/>
    <n v="0"/>
    <n v="0"/>
    <m/>
    <s v="SERVICE 01  |  CHIFFRE D'AFFAIRES"/>
    <b v="1"/>
  </r>
  <r>
    <n v="851"/>
    <x v="0"/>
    <m/>
    <s v="YEAR-1"/>
    <x v="2"/>
    <x v="2"/>
    <x v="21"/>
    <x v="3"/>
    <x v="2"/>
    <m/>
    <m/>
    <m/>
    <m/>
    <m/>
    <m/>
    <m/>
    <m/>
    <m/>
    <m/>
    <m/>
    <m/>
    <m/>
    <m/>
    <m/>
    <m/>
    <m/>
    <m/>
    <m/>
    <n v="0"/>
    <n v="0"/>
    <n v="0"/>
    <n v="0"/>
    <n v="0"/>
    <n v="0"/>
    <n v="0"/>
    <n v="0"/>
    <n v="0"/>
    <n v="0"/>
    <n v="0"/>
    <n v="0"/>
    <m/>
    <s v="SERVICE 01  |  CHIFFRE D'AFFAIRES"/>
    <b v="1"/>
  </r>
  <r>
    <n v="852"/>
    <x v="0"/>
    <m/>
    <s v="CURRENT YEAR"/>
    <x v="3"/>
    <x v="2"/>
    <x v="21"/>
    <x v="3"/>
    <x v="2"/>
    <m/>
    <m/>
    <m/>
    <m/>
    <m/>
    <m/>
    <m/>
    <m/>
    <m/>
    <m/>
    <m/>
    <m/>
    <m/>
    <m/>
    <m/>
    <m/>
    <m/>
    <m/>
    <m/>
    <n v="0"/>
    <n v="0"/>
    <n v="0"/>
    <n v="0"/>
    <n v="0"/>
    <n v="0"/>
    <n v="0"/>
    <n v="0"/>
    <n v="0"/>
    <n v="0"/>
    <n v="0"/>
    <n v="0"/>
    <m/>
    <s v="SERVICE 01  |  CHIFFRE D'AFFAIRES"/>
    <b v="1"/>
  </r>
  <r>
    <n v="853"/>
    <x v="0"/>
    <m/>
    <s v="YEAR2"/>
    <x v="4"/>
    <x v="2"/>
    <x v="21"/>
    <x v="3"/>
    <x v="2"/>
    <m/>
    <m/>
    <m/>
    <m/>
    <m/>
    <m/>
    <m/>
    <m/>
    <m/>
    <m/>
    <m/>
    <m/>
    <m/>
    <m/>
    <m/>
    <m/>
    <m/>
    <m/>
    <m/>
    <n v="0"/>
    <n v="0"/>
    <n v="0"/>
    <n v="0"/>
    <n v="0"/>
    <n v="0"/>
    <n v="0"/>
    <n v="0"/>
    <n v="0"/>
    <n v="0"/>
    <n v="0"/>
    <n v="0"/>
    <m/>
    <s v="SERVICE 01  |  CHIFFRE D'AFFAIRES"/>
    <b v="1"/>
  </r>
  <r>
    <n v="854"/>
    <x v="0"/>
    <m/>
    <s v="YEAR3"/>
    <x v="5"/>
    <x v="2"/>
    <x v="21"/>
    <x v="3"/>
    <x v="2"/>
    <m/>
    <m/>
    <m/>
    <m/>
    <m/>
    <m/>
    <m/>
    <m/>
    <m/>
    <m/>
    <m/>
    <m/>
    <m/>
    <m/>
    <m/>
    <m/>
    <m/>
    <m/>
    <m/>
    <n v="0"/>
    <n v="0"/>
    <n v="0"/>
    <n v="0"/>
    <n v="0"/>
    <n v="0"/>
    <n v="0"/>
    <n v="0"/>
    <n v="0"/>
    <n v="0"/>
    <n v="0"/>
    <n v="0"/>
    <m/>
    <s v="SERVICE 01  |  CHIFFRE D'AFFAIRES"/>
    <b v="1"/>
  </r>
  <r>
    <n v="855"/>
    <x v="0"/>
    <m/>
    <s v="YEAR4"/>
    <x v="6"/>
    <x v="2"/>
    <x v="21"/>
    <x v="3"/>
    <x v="2"/>
    <m/>
    <m/>
    <m/>
    <m/>
    <m/>
    <m/>
    <m/>
    <m/>
    <m/>
    <m/>
    <m/>
    <m/>
    <m/>
    <m/>
    <m/>
    <m/>
    <m/>
    <m/>
    <m/>
    <n v="0"/>
    <n v="0"/>
    <n v="0"/>
    <n v="0"/>
    <n v="0"/>
    <n v="0"/>
    <n v="0"/>
    <n v="0"/>
    <n v="0"/>
    <n v="0"/>
    <n v="0"/>
    <n v="0"/>
    <m/>
    <s v="SERVICE 01  |  CHIFFRE D'AFFAIRES"/>
    <b v="1"/>
  </r>
  <r>
    <n v="856"/>
    <x v="0"/>
    <m/>
    <s v="YEAR5"/>
    <x v="7"/>
    <x v="2"/>
    <x v="21"/>
    <x v="3"/>
    <x v="2"/>
    <m/>
    <m/>
    <m/>
    <m/>
    <m/>
    <m/>
    <m/>
    <m/>
    <m/>
    <m/>
    <m/>
    <m/>
    <m/>
    <m/>
    <m/>
    <m/>
    <m/>
    <m/>
    <m/>
    <n v="0"/>
    <n v="0"/>
    <n v="0"/>
    <n v="0"/>
    <n v="0"/>
    <n v="0"/>
    <n v="0"/>
    <n v="0"/>
    <n v="0"/>
    <n v="0"/>
    <n v="0"/>
    <n v="0"/>
    <m/>
    <s v="SERVICE 01  |  CHIFFRE D'AFFAIRES"/>
    <b v="1"/>
  </r>
  <r>
    <n v="857"/>
    <x v="0"/>
    <m/>
    <s v="YEAR6"/>
    <x v="8"/>
    <x v="2"/>
    <x v="21"/>
    <x v="3"/>
    <x v="2"/>
    <m/>
    <m/>
    <m/>
    <m/>
    <m/>
    <m/>
    <m/>
    <m/>
    <m/>
    <m/>
    <m/>
    <m/>
    <m/>
    <m/>
    <m/>
    <m/>
    <m/>
    <m/>
    <m/>
    <n v="0"/>
    <n v="0"/>
    <n v="0"/>
    <n v="0"/>
    <n v="0"/>
    <n v="0"/>
    <n v="0"/>
    <n v="0"/>
    <n v="0"/>
    <n v="0"/>
    <n v="0"/>
    <n v="0"/>
    <m/>
    <s v="SERVICE 01  |  CHIFFRE D'AFFAIRES"/>
    <b v="1"/>
  </r>
  <r>
    <n v="858"/>
    <x v="0"/>
    <m/>
    <s v="YEAR-2"/>
    <x v="1"/>
    <x v="2"/>
    <x v="21"/>
    <x v="3"/>
    <x v="3"/>
    <m/>
    <m/>
    <m/>
    <m/>
    <m/>
    <m/>
    <m/>
    <m/>
    <m/>
    <m/>
    <m/>
    <m/>
    <m/>
    <m/>
    <m/>
    <m/>
    <m/>
    <m/>
    <m/>
    <n v="0"/>
    <n v="0"/>
    <n v="0"/>
    <n v="0"/>
    <n v="0"/>
    <n v="0"/>
    <n v="0"/>
    <n v="0"/>
    <n v="0"/>
    <m/>
    <n v="0"/>
    <m/>
    <m/>
    <s v="SERVICE 01  |  PRIX MOYEN DE VENTE PAR PRODUIT/SERVICE"/>
    <m/>
  </r>
  <r>
    <n v="859"/>
    <x v="0"/>
    <m/>
    <s v="YEAR-1"/>
    <x v="2"/>
    <x v="2"/>
    <x v="21"/>
    <x v="3"/>
    <x v="3"/>
    <m/>
    <m/>
    <m/>
    <m/>
    <m/>
    <m/>
    <m/>
    <m/>
    <m/>
    <m/>
    <m/>
    <m/>
    <m/>
    <m/>
    <m/>
    <m/>
    <m/>
    <m/>
    <m/>
    <n v="0"/>
    <n v="0"/>
    <n v="0"/>
    <n v="0"/>
    <n v="0"/>
    <n v="0"/>
    <n v="0"/>
    <n v="0"/>
    <n v="0"/>
    <m/>
    <n v="0"/>
    <m/>
    <m/>
    <s v="SERVICE 01  |  PRIX MOYEN DE VENTE PAR PRODUIT/SERVICE"/>
    <m/>
  </r>
  <r>
    <n v="860"/>
    <x v="0"/>
    <m/>
    <s v="CURRENT YEAR"/>
    <x v="3"/>
    <x v="2"/>
    <x v="21"/>
    <x v="3"/>
    <x v="3"/>
    <m/>
    <m/>
    <m/>
    <m/>
    <m/>
    <m/>
    <m/>
    <m/>
    <m/>
    <m/>
    <m/>
    <m/>
    <m/>
    <m/>
    <m/>
    <m/>
    <m/>
    <m/>
    <m/>
    <n v="0"/>
    <n v="0"/>
    <n v="0"/>
    <n v="0"/>
    <n v="0"/>
    <n v="0"/>
    <n v="0"/>
    <n v="0"/>
    <n v="0"/>
    <m/>
    <n v="0"/>
    <m/>
    <m/>
    <s v="SERVICE 01  |  PRIX MOYEN DE VENTE PAR PRODUIT/SERVICE"/>
    <m/>
  </r>
  <r>
    <n v="861"/>
    <x v="0"/>
    <m/>
    <s v="YEAR2"/>
    <x v="4"/>
    <x v="2"/>
    <x v="21"/>
    <x v="3"/>
    <x v="3"/>
    <m/>
    <m/>
    <m/>
    <m/>
    <m/>
    <m/>
    <m/>
    <m/>
    <m/>
    <m/>
    <m/>
    <m/>
    <m/>
    <m/>
    <m/>
    <m/>
    <m/>
    <m/>
    <m/>
    <n v="0"/>
    <n v="0"/>
    <n v="0"/>
    <n v="0"/>
    <n v="0"/>
    <n v="0"/>
    <n v="0"/>
    <n v="0"/>
    <n v="0"/>
    <m/>
    <n v="0"/>
    <m/>
    <m/>
    <s v="SERVICE 01  |  PRIX MOYEN DE VENTE PAR PRODUIT/SERVICE"/>
    <m/>
  </r>
  <r>
    <n v="862"/>
    <x v="0"/>
    <m/>
    <s v="YEAR3"/>
    <x v="5"/>
    <x v="2"/>
    <x v="21"/>
    <x v="3"/>
    <x v="3"/>
    <m/>
    <m/>
    <m/>
    <m/>
    <m/>
    <m/>
    <m/>
    <m/>
    <m/>
    <m/>
    <m/>
    <m/>
    <m/>
    <m/>
    <m/>
    <m/>
    <m/>
    <m/>
    <m/>
    <n v="0"/>
    <n v="0"/>
    <n v="0"/>
    <n v="0"/>
    <n v="0"/>
    <n v="0"/>
    <n v="0"/>
    <n v="0"/>
    <n v="0"/>
    <m/>
    <n v="0"/>
    <m/>
    <m/>
    <s v="SERVICE 01  |  PRIX MOYEN DE VENTE PAR PRODUIT/SERVICE"/>
    <m/>
  </r>
  <r>
    <n v="863"/>
    <x v="0"/>
    <m/>
    <s v="YEAR4"/>
    <x v="6"/>
    <x v="2"/>
    <x v="21"/>
    <x v="3"/>
    <x v="3"/>
    <m/>
    <m/>
    <m/>
    <m/>
    <m/>
    <m/>
    <m/>
    <m/>
    <m/>
    <m/>
    <m/>
    <m/>
    <m/>
    <m/>
    <m/>
    <m/>
    <m/>
    <m/>
    <m/>
    <n v="0"/>
    <n v="0"/>
    <n v="0"/>
    <n v="0"/>
    <n v="0"/>
    <n v="0"/>
    <n v="0"/>
    <n v="0"/>
    <n v="0"/>
    <m/>
    <n v="0"/>
    <m/>
    <m/>
    <s v="SERVICE 01  |  PRIX MOYEN DE VENTE PAR PRODUIT/SERVICE"/>
    <m/>
  </r>
  <r>
    <n v="864"/>
    <x v="0"/>
    <m/>
    <s v="YEAR5"/>
    <x v="7"/>
    <x v="2"/>
    <x v="21"/>
    <x v="3"/>
    <x v="3"/>
    <m/>
    <m/>
    <m/>
    <m/>
    <m/>
    <m/>
    <m/>
    <m/>
    <m/>
    <m/>
    <m/>
    <m/>
    <m/>
    <m/>
    <m/>
    <m/>
    <m/>
    <m/>
    <m/>
    <n v="0"/>
    <n v="0"/>
    <n v="0"/>
    <n v="0"/>
    <n v="0"/>
    <n v="0"/>
    <n v="0"/>
    <n v="0"/>
    <n v="0"/>
    <m/>
    <n v="0"/>
    <m/>
    <m/>
    <s v="SERVICE 01  |  PRIX MOYEN DE VENTE PAR PRODUIT/SERVICE"/>
    <m/>
  </r>
  <r>
    <n v="865"/>
    <x v="0"/>
    <m/>
    <s v="YEAR6"/>
    <x v="8"/>
    <x v="2"/>
    <x v="21"/>
    <x v="3"/>
    <x v="3"/>
    <m/>
    <m/>
    <m/>
    <m/>
    <m/>
    <m/>
    <m/>
    <m/>
    <m/>
    <m/>
    <m/>
    <m/>
    <m/>
    <m/>
    <m/>
    <m/>
    <m/>
    <m/>
    <m/>
    <n v="0"/>
    <n v="0"/>
    <n v="0"/>
    <n v="0"/>
    <n v="0"/>
    <n v="0"/>
    <n v="0"/>
    <n v="0"/>
    <n v="0"/>
    <m/>
    <n v="0"/>
    <m/>
    <m/>
    <s v="SERVICE 01  |  PRIX MOYEN DE VENTE PAR PRODUIT/SERVICE"/>
    <m/>
  </r>
  <r>
    <n v="866"/>
    <x v="0"/>
    <m/>
    <s v="YEAR-2"/>
    <x v="1"/>
    <x v="2"/>
    <x v="21"/>
    <x v="3"/>
    <x v="4"/>
    <m/>
    <m/>
    <m/>
    <m/>
    <m/>
    <m/>
    <m/>
    <m/>
    <m/>
    <m/>
    <m/>
    <m/>
    <m/>
    <m/>
    <m/>
    <m/>
    <m/>
    <m/>
    <m/>
    <n v="0"/>
    <n v="0"/>
    <n v="0"/>
    <n v="0"/>
    <n v="0"/>
    <n v="0"/>
    <n v="0"/>
    <n v="0"/>
    <n v="0"/>
    <n v="0"/>
    <n v="0"/>
    <n v="0"/>
    <m/>
    <s v="SERVICE 01  |  DEPENSES SUR ACHATS"/>
    <b v="1"/>
  </r>
  <r>
    <n v="867"/>
    <x v="0"/>
    <m/>
    <s v="YEAR-1"/>
    <x v="2"/>
    <x v="2"/>
    <x v="21"/>
    <x v="3"/>
    <x v="4"/>
    <m/>
    <m/>
    <m/>
    <m/>
    <m/>
    <m/>
    <m/>
    <m/>
    <m/>
    <m/>
    <m/>
    <m/>
    <m/>
    <m/>
    <m/>
    <m/>
    <m/>
    <m/>
    <m/>
    <n v="0"/>
    <n v="0"/>
    <n v="0"/>
    <n v="0"/>
    <n v="0"/>
    <n v="0"/>
    <n v="0"/>
    <n v="0"/>
    <n v="0"/>
    <n v="0"/>
    <n v="0"/>
    <n v="0"/>
    <m/>
    <s v="SERVICE 01  |  DEPENSES SUR ACHATS"/>
    <b v="1"/>
  </r>
  <r>
    <n v="868"/>
    <x v="0"/>
    <m/>
    <s v="CURRENT YEAR"/>
    <x v="3"/>
    <x v="2"/>
    <x v="21"/>
    <x v="3"/>
    <x v="4"/>
    <m/>
    <m/>
    <m/>
    <m/>
    <m/>
    <m/>
    <m/>
    <m/>
    <m/>
    <m/>
    <m/>
    <m/>
    <m/>
    <m/>
    <m/>
    <m/>
    <m/>
    <m/>
    <m/>
    <n v="0"/>
    <n v="0"/>
    <n v="0"/>
    <n v="0"/>
    <n v="0"/>
    <n v="0"/>
    <n v="0"/>
    <n v="0"/>
    <n v="0"/>
    <n v="0"/>
    <n v="0"/>
    <n v="0"/>
    <m/>
    <s v="SERVICE 01  |  DEPENSES SUR ACHATS"/>
    <b v="1"/>
  </r>
  <r>
    <n v="869"/>
    <x v="0"/>
    <m/>
    <s v="YEAR2"/>
    <x v="4"/>
    <x v="2"/>
    <x v="21"/>
    <x v="3"/>
    <x v="4"/>
    <m/>
    <m/>
    <m/>
    <m/>
    <m/>
    <m/>
    <m/>
    <m/>
    <m/>
    <m/>
    <m/>
    <m/>
    <m/>
    <m/>
    <m/>
    <m/>
    <m/>
    <m/>
    <m/>
    <n v="0"/>
    <n v="0"/>
    <n v="0"/>
    <n v="0"/>
    <n v="0"/>
    <n v="0"/>
    <n v="0"/>
    <n v="0"/>
    <n v="0"/>
    <n v="0"/>
    <n v="0"/>
    <n v="0"/>
    <m/>
    <s v="SERVICE 01  |  DEPENSES SUR ACHATS"/>
    <b v="1"/>
  </r>
  <r>
    <n v="870"/>
    <x v="0"/>
    <m/>
    <s v="YEAR3"/>
    <x v="5"/>
    <x v="2"/>
    <x v="21"/>
    <x v="3"/>
    <x v="4"/>
    <m/>
    <m/>
    <m/>
    <m/>
    <m/>
    <m/>
    <m/>
    <m/>
    <m/>
    <m/>
    <m/>
    <m/>
    <m/>
    <m/>
    <m/>
    <m/>
    <m/>
    <m/>
    <m/>
    <n v="0"/>
    <n v="0"/>
    <n v="0"/>
    <n v="0"/>
    <n v="0"/>
    <n v="0"/>
    <n v="0"/>
    <n v="0"/>
    <n v="0"/>
    <n v="0"/>
    <n v="0"/>
    <n v="0"/>
    <m/>
    <s v="SERVICE 01  |  DEPENSES SUR ACHATS"/>
    <b v="1"/>
  </r>
  <r>
    <n v="871"/>
    <x v="0"/>
    <m/>
    <s v="YEAR4"/>
    <x v="6"/>
    <x v="2"/>
    <x v="21"/>
    <x v="3"/>
    <x v="4"/>
    <m/>
    <m/>
    <m/>
    <m/>
    <m/>
    <m/>
    <m/>
    <m/>
    <m/>
    <m/>
    <m/>
    <m/>
    <m/>
    <m/>
    <m/>
    <m/>
    <m/>
    <m/>
    <m/>
    <n v="0"/>
    <n v="0"/>
    <n v="0"/>
    <n v="0"/>
    <n v="0"/>
    <n v="0"/>
    <n v="0"/>
    <n v="0"/>
    <n v="0"/>
    <n v="0"/>
    <n v="0"/>
    <n v="0"/>
    <m/>
    <s v="SERVICE 01  |  DEPENSES SUR ACHATS"/>
    <b v="1"/>
  </r>
  <r>
    <n v="872"/>
    <x v="0"/>
    <m/>
    <s v="YEAR5"/>
    <x v="7"/>
    <x v="2"/>
    <x v="21"/>
    <x v="3"/>
    <x v="4"/>
    <m/>
    <m/>
    <m/>
    <m/>
    <m/>
    <m/>
    <m/>
    <m/>
    <m/>
    <m/>
    <m/>
    <m/>
    <m/>
    <m/>
    <m/>
    <m/>
    <m/>
    <m/>
    <m/>
    <n v="0"/>
    <n v="0"/>
    <n v="0"/>
    <n v="0"/>
    <n v="0"/>
    <n v="0"/>
    <n v="0"/>
    <n v="0"/>
    <n v="0"/>
    <n v="0"/>
    <n v="0"/>
    <n v="0"/>
    <m/>
    <s v="SERVICE 01  |  DEPENSES SUR ACHATS"/>
    <b v="1"/>
  </r>
  <r>
    <n v="873"/>
    <x v="0"/>
    <m/>
    <s v="YEAR6"/>
    <x v="8"/>
    <x v="2"/>
    <x v="21"/>
    <x v="3"/>
    <x v="4"/>
    <m/>
    <m/>
    <m/>
    <m/>
    <m/>
    <m/>
    <m/>
    <m/>
    <m/>
    <m/>
    <m/>
    <m/>
    <m/>
    <m/>
    <m/>
    <m/>
    <m/>
    <m/>
    <m/>
    <n v="0"/>
    <n v="0"/>
    <n v="0"/>
    <n v="0"/>
    <n v="0"/>
    <n v="0"/>
    <n v="0"/>
    <n v="0"/>
    <n v="0"/>
    <n v="0"/>
    <n v="0"/>
    <n v="0"/>
    <m/>
    <s v="SERVICE 01  |  DEPENSES SUR ACHATS"/>
    <b v="1"/>
  </r>
  <r>
    <n v="874"/>
    <x v="0"/>
    <m/>
    <s v="YEAR-2"/>
    <x v="1"/>
    <x v="2"/>
    <x v="21"/>
    <x v="3"/>
    <x v="5"/>
    <m/>
    <m/>
    <m/>
    <m/>
    <m/>
    <m/>
    <m/>
    <m/>
    <m/>
    <m/>
    <m/>
    <m/>
    <m/>
    <m/>
    <m/>
    <m/>
    <m/>
    <m/>
    <m/>
    <n v="0"/>
    <n v="0"/>
    <n v="0"/>
    <n v="0"/>
    <n v="0"/>
    <n v="0"/>
    <n v="0"/>
    <n v="0"/>
    <n v="0"/>
    <m/>
    <n v="0"/>
    <m/>
    <m/>
    <s v="SERVICE 01  |  PRIX MOYEN D'ACHAT PAR PRODUIT/SERVICE"/>
    <m/>
  </r>
  <r>
    <n v="875"/>
    <x v="0"/>
    <m/>
    <s v="YEAR-1"/>
    <x v="2"/>
    <x v="2"/>
    <x v="21"/>
    <x v="3"/>
    <x v="5"/>
    <m/>
    <m/>
    <m/>
    <m/>
    <m/>
    <m/>
    <m/>
    <m/>
    <m/>
    <m/>
    <m/>
    <m/>
    <m/>
    <m/>
    <m/>
    <m/>
    <m/>
    <m/>
    <m/>
    <n v="0"/>
    <n v="0"/>
    <n v="0"/>
    <n v="0"/>
    <n v="0"/>
    <n v="0"/>
    <n v="0"/>
    <n v="0"/>
    <n v="0"/>
    <m/>
    <n v="0"/>
    <m/>
    <m/>
    <s v="SERVICE 01  |  PRIX MOYEN D'ACHAT PAR PRODUIT/SERVICE"/>
    <m/>
  </r>
  <r>
    <n v="876"/>
    <x v="0"/>
    <m/>
    <s v="CURRENT YEAR"/>
    <x v="3"/>
    <x v="2"/>
    <x v="21"/>
    <x v="3"/>
    <x v="5"/>
    <m/>
    <m/>
    <m/>
    <m/>
    <m/>
    <m/>
    <m/>
    <m/>
    <m/>
    <m/>
    <m/>
    <m/>
    <m/>
    <m/>
    <m/>
    <m/>
    <m/>
    <m/>
    <m/>
    <n v="0"/>
    <n v="0"/>
    <n v="0"/>
    <n v="0"/>
    <n v="0"/>
    <n v="0"/>
    <n v="0"/>
    <n v="0"/>
    <n v="0"/>
    <m/>
    <n v="0"/>
    <m/>
    <m/>
    <s v="SERVICE 01  |  PRIX MOYEN D'ACHAT PAR PRODUIT/SERVICE"/>
    <m/>
  </r>
  <r>
    <n v="877"/>
    <x v="0"/>
    <m/>
    <s v="YEAR2"/>
    <x v="4"/>
    <x v="2"/>
    <x v="21"/>
    <x v="3"/>
    <x v="5"/>
    <m/>
    <m/>
    <m/>
    <m/>
    <m/>
    <m/>
    <m/>
    <m/>
    <m/>
    <m/>
    <m/>
    <m/>
    <m/>
    <m/>
    <m/>
    <m/>
    <m/>
    <m/>
    <m/>
    <n v="0"/>
    <n v="0"/>
    <n v="0"/>
    <n v="0"/>
    <n v="0"/>
    <n v="0"/>
    <n v="0"/>
    <n v="0"/>
    <n v="0"/>
    <m/>
    <n v="0"/>
    <m/>
    <m/>
    <s v="SERVICE 01  |  PRIX MOYEN D'ACHAT PAR PRODUIT/SERVICE"/>
    <m/>
  </r>
  <r>
    <n v="878"/>
    <x v="0"/>
    <m/>
    <s v="YEAR3"/>
    <x v="5"/>
    <x v="2"/>
    <x v="21"/>
    <x v="3"/>
    <x v="5"/>
    <m/>
    <m/>
    <m/>
    <m/>
    <m/>
    <m/>
    <m/>
    <m/>
    <m/>
    <m/>
    <m/>
    <m/>
    <m/>
    <m/>
    <m/>
    <m/>
    <m/>
    <m/>
    <m/>
    <n v="0"/>
    <n v="0"/>
    <n v="0"/>
    <n v="0"/>
    <n v="0"/>
    <n v="0"/>
    <n v="0"/>
    <n v="0"/>
    <n v="0"/>
    <m/>
    <n v="0"/>
    <m/>
    <m/>
    <s v="SERVICE 01  |  PRIX MOYEN D'ACHAT PAR PRODUIT/SERVICE"/>
    <m/>
  </r>
  <r>
    <n v="879"/>
    <x v="0"/>
    <m/>
    <s v="YEAR4"/>
    <x v="6"/>
    <x v="2"/>
    <x v="21"/>
    <x v="3"/>
    <x v="5"/>
    <m/>
    <m/>
    <m/>
    <m/>
    <m/>
    <m/>
    <m/>
    <m/>
    <m/>
    <m/>
    <m/>
    <m/>
    <m/>
    <m/>
    <m/>
    <m/>
    <m/>
    <m/>
    <m/>
    <n v="0"/>
    <n v="0"/>
    <n v="0"/>
    <n v="0"/>
    <n v="0"/>
    <n v="0"/>
    <n v="0"/>
    <n v="0"/>
    <n v="0"/>
    <m/>
    <n v="0"/>
    <m/>
    <m/>
    <s v="SERVICE 01  |  PRIX MOYEN D'ACHAT PAR PRODUIT/SERVICE"/>
    <m/>
  </r>
  <r>
    <n v="880"/>
    <x v="0"/>
    <m/>
    <s v="YEAR5"/>
    <x v="7"/>
    <x v="2"/>
    <x v="21"/>
    <x v="3"/>
    <x v="5"/>
    <m/>
    <m/>
    <m/>
    <m/>
    <m/>
    <m/>
    <m/>
    <m/>
    <m/>
    <m/>
    <m/>
    <m/>
    <m/>
    <m/>
    <m/>
    <m/>
    <m/>
    <m/>
    <m/>
    <n v="0"/>
    <n v="0"/>
    <n v="0"/>
    <n v="0"/>
    <n v="0"/>
    <n v="0"/>
    <n v="0"/>
    <n v="0"/>
    <n v="0"/>
    <m/>
    <n v="0"/>
    <m/>
    <m/>
    <s v="SERVICE 01  |  PRIX MOYEN D'ACHAT PAR PRODUIT/SERVICE"/>
    <m/>
  </r>
  <r>
    <n v="881"/>
    <x v="0"/>
    <m/>
    <s v="YEAR6"/>
    <x v="8"/>
    <x v="2"/>
    <x v="21"/>
    <x v="3"/>
    <x v="5"/>
    <m/>
    <m/>
    <m/>
    <m/>
    <m/>
    <m/>
    <m/>
    <m/>
    <m/>
    <m/>
    <m/>
    <m/>
    <m/>
    <m/>
    <m/>
    <m/>
    <m/>
    <m/>
    <m/>
    <n v="0"/>
    <n v="0"/>
    <n v="0"/>
    <n v="0"/>
    <n v="0"/>
    <n v="0"/>
    <n v="0"/>
    <n v="0"/>
    <n v="0"/>
    <m/>
    <n v="0"/>
    <m/>
    <m/>
    <s v="SERVICE 01  |  PRIX MOYEN D'ACHAT PAR PRODUIT/SERVICE"/>
    <m/>
  </r>
  <r>
    <n v="882"/>
    <x v="0"/>
    <n v="1"/>
    <m/>
    <x v="0"/>
    <x v="0"/>
    <x v="0"/>
    <x v="0"/>
    <x v="0"/>
    <m/>
    <m/>
    <m/>
    <m/>
    <m/>
    <m/>
    <m/>
    <m/>
    <m/>
    <m/>
    <m/>
    <m/>
    <m/>
    <m/>
    <m/>
    <m/>
    <m/>
    <m/>
    <m/>
    <m/>
    <m/>
    <m/>
    <m/>
    <m/>
    <m/>
    <m/>
    <m/>
    <m/>
    <m/>
    <m/>
    <m/>
    <m/>
    <m/>
    <m/>
  </r>
  <r>
    <n v="883"/>
    <x v="0"/>
    <m/>
    <m/>
    <x v="0"/>
    <x v="0"/>
    <x v="0"/>
    <x v="0"/>
    <x v="0"/>
    <m/>
    <m/>
    <m/>
    <m/>
    <m/>
    <m/>
    <m/>
    <m/>
    <m/>
    <m/>
    <m/>
    <m/>
    <m/>
    <m/>
    <m/>
    <m/>
    <m/>
    <m/>
    <m/>
    <m/>
    <m/>
    <m/>
    <m/>
    <m/>
    <m/>
    <m/>
    <m/>
    <m/>
    <m/>
    <m/>
    <m/>
    <m/>
    <m/>
    <m/>
  </r>
  <r>
    <n v="884"/>
    <x v="0"/>
    <n v="1"/>
    <s v="YEAR-2"/>
    <x v="1"/>
    <x v="2"/>
    <x v="22"/>
    <x v="3"/>
    <x v="1"/>
    <n v="1000"/>
    <n v="0"/>
    <n v="0"/>
    <n v="1000"/>
    <n v="1"/>
    <n v="0"/>
    <n v="0"/>
    <n v="500"/>
    <n v="0"/>
    <n v="0"/>
    <n v="500"/>
    <n v="1"/>
    <n v="1"/>
    <n v="1"/>
    <n v="0"/>
    <n v="0"/>
    <n v="0"/>
    <n v="0"/>
    <n v="0"/>
    <n v="0"/>
    <n v="0"/>
    <n v="0"/>
    <n v="0"/>
    <n v="0"/>
    <n v="0"/>
    <n v="0"/>
    <n v="0"/>
    <n v="0"/>
    <n v="0"/>
    <n v="0"/>
    <n v="0"/>
    <s v="GAMME # : 1 + CANAL DE DISTRIBUTION # : 1"/>
    <s v="SERVICE 02  |  VOLUME"/>
    <b v="1"/>
  </r>
  <r>
    <n v="885"/>
    <x v="0"/>
    <n v="1"/>
    <s v="YEAR-1"/>
    <x v="2"/>
    <x v="2"/>
    <x v="22"/>
    <x v="3"/>
    <x v="1"/>
    <n v="1000"/>
    <n v="0"/>
    <n v="0"/>
    <n v="1000"/>
    <n v="1"/>
    <n v="0"/>
    <n v="0"/>
    <n v="500"/>
    <n v="0"/>
    <n v="0"/>
    <n v="500"/>
    <n v="1"/>
    <n v="1"/>
    <n v="1"/>
    <n v="0"/>
    <n v="0"/>
    <n v="0"/>
    <n v="0"/>
    <n v="0"/>
    <n v="0"/>
    <n v="0"/>
    <n v="0"/>
    <n v="0"/>
    <n v="0"/>
    <n v="0"/>
    <n v="0"/>
    <n v="0"/>
    <n v="0"/>
    <n v="0"/>
    <n v="0"/>
    <n v="0"/>
    <m/>
    <s v="SERVICE 02  |  VOLUME"/>
    <b v="1"/>
  </r>
  <r>
    <n v="886"/>
    <x v="0"/>
    <n v="1"/>
    <s v="CURRENT YEAR"/>
    <x v="3"/>
    <x v="2"/>
    <x v="22"/>
    <x v="3"/>
    <x v="1"/>
    <n v="1000"/>
    <n v="0"/>
    <n v="0"/>
    <n v="1000"/>
    <n v="1"/>
    <n v="0"/>
    <n v="0"/>
    <n v="500"/>
    <n v="0"/>
    <n v="0"/>
    <n v="500"/>
    <n v="1"/>
    <n v="1"/>
    <n v="1"/>
    <n v="0"/>
    <n v="0"/>
    <n v="0"/>
    <n v="0"/>
    <n v="0"/>
    <n v="0"/>
    <n v="0"/>
    <n v="0"/>
    <n v="0"/>
    <n v="0"/>
    <n v="0"/>
    <n v="0"/>
    <n v="0"/>
    <n v="0"/>
    <n v="0"/>
    <n v="0"/>
    <n v="0"/>
    <m/>
    <s v="SERVICE 02  |  VOLUME"/>
    <b v="1"/>
  </r>
  <r>
    <n v="887"/>
    <x v="0"/>
    <n v="1"/>
    <s v="YEAR2"/>
    <x v="4"/>
    <x v="2"/>
    <x v="22"/>
    <x v="3"/>
    <x v="1"/>
    <n v="1000"/>
    <n v="0"/>
    <n v="0"/>
    <n v="1000"/>
    <n v="1"/>
    <n v="0"/>
    <n v="0"/>
    <n v="500"/>
    <n v="0"/>
    <n v="0"/>
    <n v="500"/>
    <n v="1"/>
    <n v="1"/>
    <n v="1"/>
    <n v="0"/>
    <n v="0"/>
    <n v="0"/>
    <n v="0"/>
    <n v="0"/>
    <n v="0"/>
    <n v="0"/>
    <n v="0"/>
    <n v="0"/>
    <n v="0"/>
    <n v="0"/>
    <n v="0"/>
    <n v="0"/>
    <n v="0"/>
    <n v="0"/>
    <n v="0"/>
    <n v="0"/>
    <m/>
    <s v="SERVICE 02  |  VOLUME"/>
    <b v="1"/>
  </r>
  <r>
    <n v="888"/>
    <x v="0"/>
    <n v="1"/>
    <s v="YEAR3"/>
    <x v="5"/>
    <x v="2"/>
    <x v="22"/>
    <x v="3"/>
    <x v="1"/>
    <n v="1000"/>
    <n v="0"/>
    <n v="0"/>
    <n v="1000"/>
    <n v="1"/>
    <n v="0"/>
    <n v="0"/>
    <n v="500"/>
    <n v="0"/>
    <n v="0"/>
    <n v="500"/>
    <n v="1"/>
    <n v="1"/>
    <n v="1"/>
    <n v="0"/>
    <n v="0"/>
    <n v="0"/>
    <n v="0"/>
    <n v="0"/>
    <n v="0"/>
    <n v="0"/>
    <n v="0"/>
    <n v="0"/>
    <n v="0"/>
    <n v="0"/>
    <n v="0"/>
    <n v="0"/>
    <n v="0"/>
    <n v="0"/>
    <n v="0"/>
    <n v="0"/>
    <m/>
    <s v="SERVICE 02  |  VOLUME"/>
    <b v="1"/>
  </r>
  <r>
    <n v="889"/>
    <x v="0"/>
    <n v="1"/>
    <s v="YEAR4"/>
    <x v="6"/>
    <x v="2"/>
    <x v="22"/>
    <x v="3"/>
    <x v="1"/>
    <n v="1000"/>
    <n v="0"/>
    <n v="0"/>
    <n v="1000"/>
    <n v="1"/>
    <n v="0"/>
    <n v="0"/>
    <n v="500"/>
    <n v="0"/>
    <n v="0"/>
    <n v="500"/>
    <n v="1"/>
    <n v="1"/>
    <n v="1"/>
    <n v="0"/>
    <n v="0"/>
    <n v="0"/>
    <n v="0"/>
    <n v="0"/>
    <n v="0"/>
    <n v="0"/>
    <n v="0"/>
    <n v="0"/>
    <n v="0"/>
    <n v="0"/>
    <n v="0"/>
    <n v="0"/>
    <n v="0"/>
    <n v="0"/>
    <n v="0"/>
    <n v="0"/>
    <m/>
    <s v="SERVICE 02  |  VOLUME"/>
    <b v="1"/>
  </r>
  <r>
    <n v="890"/>
    <x v="0"/>
    <n v="1"/>
    <s v="YEAR5"/>
    <x v="7"/>
    <x v="2"/>
    <x v="22"/>
    <x v="3"/>
    <x v="1"/>
    <n v="1000"/>
    <n v="0"/>
    <n v="0"/>
    <n v="1000"/>
    <n v="1"/>
    <n v="0"/>
    <n v="0"/>
    <n v="500"/>
    <n v="0"/>
    <n v="0"/>
    <n v="500"/>
    <n v="1"/>
    <n v="1"/>
    <n v="1"/>
    <n v="0"/>
    <n v="0"/>
    <n v="0"/>
    <n v="0"/>
    <n v="0"/>
    <n v="0"/>
    <n v="0"/>
    <n v="0"/>
    <n v="0"/>
    <n v="0"/>
    <n v="0"/>
    <n v="0"/>
    <n v="0"/>
    <n v="0"/>
    <n v="0"/>
    <n v="0"/>
    <n v="0"/>
    <m/>
    <s v="SERVICE 02  |  VOLUME"/>
    <b v="1"/>
  </r>
  <r>
    <n v="891"/>
    <x v="0"/>
    <n v="1"/>
    <s v="YEAR6"/>
    <x v="8"/>
    <x v="2"/>
    <x v="22"/>
    <x v="3"/>
    <x v="1"/>
    <n v="1000"/>
    <n v="0"/>
    <n v="0"/>
    <n v="1000"/>
    <n v="1"/>
    <n v="0"/>
    <n v="0"/>
    <n v="500"/>
    <n v="0"/>
    <n v="0"/>
    <n v="500"/>
    <n v="1"/>
    <n v="1"/>
    <n v="1"/>
    <n v="0"/>
    <n v="0"/>
    <n v="0"/>
    <n v="0"/>
    <n v="0"/>
    <n v="0"/>
    <n v="0"/>
    <n v="0"/>
    <n v="0"/>
    <n v="0"/>
    <n v="0"/>
    <n v="0"/>
    <n v="0"/>
    <n v="0"/>
    <n v="0"/>
    <n v="0"/>
    <n v="0"/>
    <m/>
    <s v="SERVICE 02  |  VOLUME"/>
    <b v="1"/>
  </r>
  <r>
    <n v="892"/>
    <x v="0"/>
    <m/>
    <s v="YEAR-2"/>
    <x v="1"/>
    <x v="2"/>
    <x v="22"/>
    <x v="3"/>
    <x v="2"/>
    <m/>
    <m/>
    <m/>
    <m/>
    <m/>
    <m/>
    <m/>
    <m/>
    <m/>
    <m/>
    <m/>
    <m/>
    <m/>
    <m/>
    <m/>
    <m/>
    <m/>
    <m/>
    <m/>
    <n v="0"/>
    <n v="0"/>
    <n v="0"/>
    <n v="0"/>
    <n v="0"/>
    <n v="0"/>
    <n v="0"/>
    <n v="0"/>
    <n v="0"/>
    <n v="0"/>
    <n v="0"/>
    <n v="0"/>
    <m/>
    <s v="SERVICE 02  |  CHIFFRE D'AFFAIRES"/>
    <b v="1"/>
  </r>
  <r>
    <n v="893"/>
    <x v="0"/>
    <m/>
    <s v="YEAR-1"/>
    <x v="2"/>
    <x v="2"/>
    <x v="22"/>
    <x v="3"/>
    <x v="2"/>
    <m/>
    <m/>
    <m/>
    <m/>
    <m/>
    <m/>
    <m/>
    <m/>
    <m/>
    <m/>
    <m/>
    <m/>
    <m/>
    <m/>
    <m/>
    <m/>
    <m/>
    <m/>
    <m/>
    <n v="0"/>
    <n v="0"/>
    <n v="0"/>
    <n v="0"/>
    <n v="0"/>
    <n v="0"/>
    <n v="0"/>
    <n v="0"/>
    <n v="0"/>
    <n v="0"/>
    <n v="0"/>
    <n v="0"/>
    <m/>
    <s v="SERVICE 02  |  CHIFFRE D'AFFAIRES"/>
    <b v="1"/>
  </r>
  <r>
    <n v="894"/>
    <x v="0"/>
    <m/>
    <s v="CURRENT YEAR"/>
    <x v="3"/>
    <x v="2"/>
    <x v="22"/>
    <x v="3"/>
    <x v="2"/>
    <m/>
    <m/>
    <m/>
    <m/>
    <m/>
    <m/>
    <m/>
    <m/>
    <m/>
    <m/>
    <m/>
    <m/>
    <m/>
    <m/>
    <m/>
    <m/>
    <m/>
    <m/>
    <m/>
    <n v="0"/>
    <n v="0"/>
    <n v="0"/>
    <n v="0"/>
    <n v="0"/>
    <n v="0"/>
    <n v="0"/>
    <n v="0"/>
    <n v="0"/>
    <n v="0"/>
    <n v="0"/>
    <n v="0"/>
    <m/>
    <s v="SERVICE 02  |  CHIFFRE D'AFFAIRES"/>
    <b v="1"/>
  </r>
  <r>
    <n v="895"/>
    <x v="0"/>
    <m/>
    <s v="YEAR2"/>
    <x v="4"/>
    <x v="2"/>
    <x v="22"/>
    <x v="3"/>
    <x v="2"/>
    <m/>
    <m/>
    <m/>
    <m/>
    <m/>
    <m/>
    <m/>
    <m/>
    <m/>
    <m/>
    <m/>
    <m/>
    <m/>
    <m/>
    <m/>
    <m/>
    <m/>
    <m/>
    <m/>
    <n v="0"/>
    <n v="0"/>
    <n v="0"/>
    <n v="0"/>
    <n v="0"/>
    <n v="0"/>
    <n v="0"/>
    <n v="0"/>
    <n v="0"/>
    <n v="0"/>
    <n v="0"/>
    <n v="0"/>
    <m/>
    <s v="SERVICE 02  |  CHIFFRE D'AFFAIRES"/>
    <b v="1"/>
  </r>
  <r>
    <n v="896"/>
    <x v="0"/>
    <m/>
    <s v="YEAR3"/>
    <x v="5"/>
    <x v="2"/>
    <x v="22"/>
    <x v="3"/>
    <x v="2"/>
    <m/>
    <m/>
    <m/>
    <m/>
    <m/>
    <m/>
    <m/>
    <m/>
    <m/>
    <m/>
    <m/>
    <m/>
    <m/>
    <m/>
    <m/>
    <m/>
    <m/>
    <m/>
    <m/>
    <n v="0"/>
    <n v="0"/>
    <n v="0"/>
    <n v="0"/>
    <n v="0"/>
    <n v="0"/>
    <n v="0"/>
    <n v="0"/>
    <n v="0"/>
    <n v="0"/>
    <n v="0"/>
    <n v="0"/>
    <m/>
    <s v="SERVICE 02  |  CHIFFRE D'AFFAIRES"/>
    <b v="1"/>
  </r>
  <r>
    <n v="897"/>
    <x v="0"/>
    <m/>
    <s v="YEAR4"/>
    <x v="6"/>
    <x v="2"/>
    <x v="22"/>
    <x v="3"/>
    <x v="2"/>
    <m/>
    <m/>
    <m/>
    <m/>
    <m/>
    <m/>
    <m/>
    <m/>
    <m/>
    <m/>
    <m/>
    <m/>
    <m/>
    <m/>
    <m/>
    <m/>
    <m/>
    <m/>
    <m/>
    <n v="0"/>
    <n v="0"/>
    <n v="0"/>
    <n v="0"/>
    <n v="0"/>
    <n v="0"/>
    <n v="0"/>
    <n v="0"/>
    <n v="0"/>
    <n v="0"/>
    <n v="0"/>
    <n v="0"/>
    <m/>
    <s v="SERVICE 02  |  CHIFFRE D'AFFAIRES"/>
    <b v="1"/>
  </r>
  <r>
    <n v="898"/>
    <x v="0"/>
    <m/>
    <s v="YEAR5"/>
    <x v="7"/>
    <x v="2"/>
    <x v="22"/>
    <x v="3"/>
    <x v="2"/>
    <m/>
    <m/>
    <m/>
    <m/>
    <m/>
    <m/>
    <m/>
    <m/>
    <m/>
    <m/>
    <m/>
    <m/>
    <m/>
    <m/>
    <m/>
    <m/>
    <m/>
    <m/>
    <m/>
    <n v="0"/>
    <n v="0"/>
    <n v="0"/>
    <n v="0"/>
    <n v="0"/>
    <n v="0"/>
    <n v="0"/>
    <n v="0"/>
    <n v="0"/>
    <n v="0"/>
    <n v="0"/>
    <n v="0"/>
    <m/>
    <s v="SERVICE 02  |  CHIFFRE D'AFFAIRES"/>
    <b v="1"/>
  </r>
  <r>
    <n v="899"/>
    <x v="0"/>
    <m/>
    <s v="YEAR6"/>
    <x v="8"/>
    <x v="2"/>
    <x v="22"/>
    <x v="3"/>
    <x v="2"/>
    <m/>
    <m/>
    <m/>
    <m/>
    <m/>
    <m/>
    <m/>
    <m/>
    <m/>
    <m/>
    <m/>
    <m/>
    <m/>
    <m/>
    <m/>
    <m/>
    <m/>
    <m/>
    <m/>
    <n v="0"/>
    <n v="0"/>
    <n v="0"/>
    <n v="0"/>
    <n v="0"/>
    <n v="0"/>
    <n v="0"/>
    <n v="0"/>
    <n v="0"/>
    <n v="0"/>
    <n v="0"/>
    <n v="0"/>
    <m/>
    <s v="SERVICE 02  |  CHIFFRE D'AFFAIRES"/>
    <b v="1"/>
  </r>
  <r>
    <n v="900"/>
    <x v="0"/>
    <m/>
    <s v="YEAR-2"/>
    <x v="1"/>
    <x v="2"/>
    <x v="22"/>
    <x v="3"/>
    <x v="3"/>
    <m/>
    <m/>
    <m/>
    <m/>
    <m/>
    <m/>
    <m/>
    <m/>
    <m/>
    <m/>
    <m/>
    <m/>
    <m/>
    <m/>
    <m/>
    <m/>
    <m/>
    <m/>
    <m/>
    <n v="0"/>
    <n v="0"/>
    <n v="0"/>
    <n v="0"/>
    <n v="0"/>
    <n v="0"/>
    <n v="0"/>
    <n v="0"/>
    <n v="0"/>
    <m/>
    <n v="0"/>
    <m/>
    <m/>
    <s v="SERVICE 02  |  PRIX MOYEN DE VENTE PAR PRODUIT/SERVICE"/>
    <m/>
  </r>
  <r>
    <n v="901"/>
    <x v="0"/>
    <m/>
    <s v="YEAR-1"/>
    <x v="2"/>
    <x v="2"/>
    <x v="22"/>
    <x v="3"/>
    <x v="3"/>
    <m/>
    <m/>
    <m/>
    <m/>
    <m/>
    <m/>
    <m/>
    <m/>
    <m/>
    <m/>
    <m/>
    <m/>
    <m/>
    <m/>
    <m/>
    <m/>
    <m/>
    <m/>
    <m/>
    <n v="0"/>
    <n v="0"/>
    <n v="0"/>
    <n v="0"/>
    <n v="0"/>
    <n v="0"/>
    <n v="0"/>
    <n v="0"/>
    <n v="0"/>
    <m/>
    <n v="0"/>
    <m/>
    <m/>
    <s v="SERVICE 02  |  PRIX MOYEN DE VENTE PAR PRODUIT/SERVICE"/>
    <m/>
  </r>
  <r>
    <n v="902"/>
    <x v="0"/>
    <m/>
    <s v="CURRENT YEAR"/>
    <x v="3"/>
    <x v="2"/>
    <x v="22"/>
    <x v="3"/>
    <x v="3"/>
    <m/>
    <m/>
    <m/>
    <m/>
    <m/>
    <m/>
    <m/>
    <m/>
    <m/>
    <m/>
    <m/>
    <m/>
    <m/>
    <m/>
    <m/>
    <m/>
    <m/>
    <m/>
    <m/>
    <n v="0"/>
    <n v="0"/>
    <n v="0"/>
    <n v="0"/>
    <n v="0"/>
    <n v="0"/>
    <n v="0"/>
    <n v="0"/>
    <n v="0"/>
    <m/>
    <n v="0"/>
    <m/>
    <m/>
    <s v="SERVICE 02  |  PRIX MOYEN DE VENTE PAR PRODUIT/SERVICE"/>
    <m/>
  </r>
  <r>
    <n v="903"/>
    <x v="0"/>
    <m/>
    <s v="YEAR2"/>
    <x v="4"/>
    <x v="2"/>
    <x v="22"/>
    <x v="3"/>
    <x v="3"/>
    <m/>
    <m/>
    <m/>
    <m/>
    <m/>
    <m/>
    <m/>
    <m/>
    <m/>
    <m/>
    <m/>
    <m/>
    <m/>
    <m/>
    <m/>
    <m/>
    <m/>
    <m/>
    <m/>
    <n v="0"/>
    <n v="0"/>
    <n v="0"/>
    <n v="0"/>
    <n v="0"/>
    <n v="0"/>
    <n v="0"/>
    <n v="0"/>
    <n v="0"/>
    <m/>
    <n v="0"/>
    <m/>
    <m/>
    <s v="SERVICE 02  |  PRIX MOYEN DE VENTE PAR PRODUIT/SERVICE"/>
    <m/>
  </r>
  <r>
    <n v="904"/>
    <x v="0"/>
    <m/>
    <s v="YEAR3"/>
    <x v="5"/>
    <x v="2"/>
    <x v="22"/>
    <x v="3"/>
    <x v="3"/>
    <m/>
    <m/>
    <m/>
    <m/>
    <m/>
    <m/>
    <m/>
    <m/>
    <m/>
    <m/>
    <m/>
    <m/>
    <m/>
    <m/>
    <m/>
    <m/>
    <m/>
    <m/>
    <m/>
    <n v="0"/>
    <n v="0"/>
    <n v="0"/>
    <n v="0"/>
    <n v="0"/>
    <n v="0"/>
    <n v="0"/>
    <n v="0"/>
    <n v="0"/>
    <m/>
    <n v="0"/>
    <m/>
    <m/>
    <s v="SERVICE 02  |  PRIX MOYEN DE VENTE PAR PRODUIT/SERVICE"/>
    <m/>
  </r>
  <r>
    <n v="905"/>
    <x v="0"/>
    <m/>
    <s v="YEAR4"/>
    <x v="6"/>
    <x v="2"/>
    <x v="22"/>
    <x v="3"/>
    <x v="3"/>
    <m/>
    <m/>
    <m/>
    <m/>
    <m/>
    <m/>
    <m/>
    <m/>
    <m/>
    <m/>
    <m/>
    <m/>
    <m/>
    <m/>
    <m/>
    <m/>
    <m/>
    <m/>
    <m/>
    <n v="0"/>
    <n v="0"/>
    <n v="0"/>
    <n v="0"/>
    <n v="0"/>
    <n v="0"/>
    <n v="0"/>
    <n v="0"/>
    <n v="0"/>
    <m/>
    <n v="0"/>
    <m/>
    <m/>
    <s v="SERVICE 02  |  PRIX MOYEN DE VENTE PAR PRODUIT/SERVICE"/>
    <m/>
  </r>
  <r>
    <n v="906"/>
    <x v="0"/>
    <m/>
    <s v="YEAR5"/>
    <x v="7"/>
    <x v="2"/>
    <x v="22"/>
    <x v="3"/>
    <x v="3"/>
    <m/>
    <m/>
    <m/>
    <m/>
    <m/>
    <m/>
    <m/>
    <m/>
    <m/>
    <m/>
    <m/>
    <m/>
    <m/>
    <m/>
    <m/>
    <m/>
    <m/>
    <m/>
    <m/>
    <n v="0"/>
    <n v="0"/>
    <n v="0"/>
    <n v="0"/>
    <n v="0"/>
    <n v="0"/>
    <n v="0"/>
    <n v="0"/>
    <n v="0"/>
    <m/>
    <n v="0"/>
    <m/>
    <m/>
    <s v="SERVICE 02  |  PRIX MOYEN DE VENTE PAR PRODUIT/SERVICE"/>
    <m/>
  </r>
  <r>
    <n v="907"/>
    <x v="0"/>
    <m/>
    <s v="YEAR6"/>
    <x v="8"/>
    <x v="2"/>
    <x v="22"/>
    <x v="3"/>
    <x v="3"/>
    <m/>
    <m/>
    <m/>
    <m/>
    <m/>
    <m/>
    <m/>
    <m/>
    <m/>
    <m/>
    <m/>
    <m/>
    <m/>
    <m/>
    <m/>
    <m/>
    <m/>
    <m/>
    <m/>
    <n v="0"/>
    <n v="0"/>
    <n v="0"/>
    <n v="0"/>
    <n v="0"/>
    <n v="0"/>
    <n v="0"/>
    <n v="0"/>
    <n v="0"/>
    <m/>
    <n v="0"/>
    <m/>
    <m/>
    <s v="SERVICE 02  |  PRIX MOYEN DE VENTE PAR PRODUIT/SERVICE"/>
    <m/>
  </r>
  <r>
    <n v="908"/>
    <x v="0"/>
    <m/>
    <s v="YEAR-2"/>
    <x v="1"/>
    <x v="2"/>
    <x v="22"/>
    <x v="3"/>
    <x v="4"/>
    <m/>
    <m/>
    <m/>
    <m/>
    <m/>
    <m/>
    <m/>
    <m/>
    <m/>
    <m/>
    <m/>
    <m/>
    <m/>
    <m/>
    <m/>
    <m/>
    <m/>
    <m/>
    <m/>
    <n v="0"/>
    <n v="0"/>
    <n v="0"/>
    <n v="0"/>
    <n v="0"/>
    <n v="0"/>
    <n v="0"/>
    <n v="0"/>
    <n v="0"/>
    <n v="0"/>
    <n v="0"/>
    <n v="0"/>
    <m/>
    <s v="SERVICE 02  |  DEPENSES SUR ACHATS"/>
    <b v="1"/>
  </r>
  <r>
    <n v="909"/>
    <x v="0"/>
    <m/>
    <s v="YEAR-1"/>
    <x v="2"/>
    <x v="2"/>
    <x v="22"/>
    <x v="3"/>
    <x v="4"/>
    <m/>
    <m/>
    <m/>
    <m/>
    <m/>
    <m/>
    <m/>
    <m/>
    <m/>
    <m/>
    <m/>
    <m/>
    <m/>
    <m/>
    <m/>
    <m/>
    <m/>
    <m/>
    <m/>
    <n v="0"/>
    <n v="0"/>
    <n v="0"/>
    <n v="0"/>
    <n v="0"/>
    <n v="0"/>
    <n v="0"/>
    <n v="0"/>
    <n v="0"/>
    <n v="0"/>
    <n v="0"/>
    <n v="0"/>
    <m/>
    <s v="SERVICE 02  |  DEPENSES SUR ACHATS"/>
    <b v="1"/>
  </r>
  <r>
    <n v="910"/>
    <x v="0"/>
    <m/>
    <s v="CURRENT YEAR"/>
    <x v="3"/>
    <x v="2"/>
    <x v="22"/>
    <x v="3"/>
    <x v="4"/>
    <m/>
    <m/>
    <m/>
    <m/>
    <m/>
    <m/>
    <m/>
    <m/>
    <m/>
    <m/>
    <m/>
    <m/>
    <m/>
    <m/>
    <m/>
    <m/>
    <m/>
    <m/>
    <m/>
    <n v="0"/>
    <n v="0"/>
    <n v="0"/>
    <n v="0"/>
    <n v="0"/>
    <n v="0"/>
    <n v="0"/>
    <n v="0"/>
    <n v="0"/>
    <n v="0"/>
    <n v="0"/>
    <n v="0"/>
    <m/>
    <s v="SERVICE 02  |  DEPENSES SUR ACHATS"/>
    <b v="1"/>
  </r>
  <r>
    <n v="911"/>
    <x v="0"/>
    <m/>
    <s v="YEAR2"/>
    <x v="4"/>
    <x v="2"/>
    <x v="22"/>
    <x v="3"/>
    <x v="4"/>
    <m/>
    <m/>
    <m/>
    <m/>
    <m/>
    <m/>
    <m/>
    <m/>
    <m/>
    <m/>
    <m/>
    <m/>
    <m/>
    <m/>
    <m/>
    <m/>
    <m/>
    <m/>
    <m/>
    <n v="0"/>
    <n v="0"/>
    <n v="0"/>
    <n v="0"/>
    <n v="0"/>
    <n v="0"/>
    <n v="0"/>
    <n v="0"/>
    <n v="0"/>
    <n v="0"/>
    <n v="0"/>
    <n v="0"/>
    <m/>
    <s v="SERVICE 02  |  DEPENSES SUR ACHATS"/>
    <b v="1"/>
  </r>
  <r>
    <n v="912"/>
    <x v="0"/>
    <m/>
    <s v="YEAR3"/>
    <x v="5"/>
    <x v="2"/>
    <x v="22"/>
    <x v="3"/>
    <x v="4"/>
    <m/>
    <m/>
    <m/>
    <m/>
    <m/>
    <m/>
    <m/>
    <m/>
    <m/>
    <m/>
    <m/>
    <m/>
    <m/>
    <m/>
    <m/>
    <m/>
    <m/>
    <m/>
    <m/>
    <n v="0"/>
    <n v="0"/>
    <n v="0"/>
    <n v="0"/>
    <n v="0"/>
    <n v="0"/>
    <n v="0"/>
    <n v="0"/>
    <n v="0"/>
    <n v="0"/>
    <n v="0"/>
    <n v="0"/>
    <m/>
    <s v="SERVICE 02  |  DEPENSES SUR ACHATS"/>
    <b v="1"/>
  </r>
  <r>
    <n v="913"/>
    <x v="0"/>
    <m/>
    <s v="YEAR4"/>
    <x v="6"/>
    <x v="2"/>
    <x v="22"/>
    <x v="3"/>
    <x v="4"/>
    <m/>
    <m/>
    <m/>
    <m/>
    <m/>
    <m/>
    <m/>
    <m/>
    <m/>
    <m/>
    <m/>
    <m/>
    <m/>
    <m/>
    <m/>
    <m/>
    <m/>
    <m/>
    <m/>
    <n v="0"/>
    <n v="0"/>
    <n v="0"/>
    <n v="0"/>
    <n v="0"/>
    <n v="0"/>
    <n v="0"/>
    <n v="0"/>
    <n v="0"/>
    <n v="0"/>
    <n v="0"/>
    <n v="0"/>
    <m/>
    <s v="SERVICE 02  |  DEPENSES SUR ACHATS"/>
    <b v="1"/>
  </r>
  <r>
    <n v="914"/>
    <x v="0"/>
    <m/>
    <s v="YEAR5"/>
    <x v="7"/>
    <x v="2"/>
    <x v="22"/>
    <x v="3"/>
    <x v="4"/>
    <m/>
    <m/>
    <m/>
    <m/>
    <m/>
    <m/>
    <m/>
    <m/>
    <m/>
    <m/>
    <m/>
    <m/>
    <m/>
    <m/>
    <m/>
    <m/>
    <m/>
    <m/>
    <m/>
    <n v="0"/>
    <n v="0"/>
    <n v="0"/>
    <n v="0"/>
    <n v="0"/>
    <n v="0"/>
    <n v="0"/>
    <n v="0"/>
    <n v="0"/>
    <n v="0"/>
    <n v="0"/>
    <n v="0"/>
    <m/>
    <s v="SERVICE 02  |  DEPENSES SUR ACHATS"/>
    <b v="1"/>
  </r>
  <r>
    <n v="915"/>
    <x v="0"/>
    <m/>
    <s v="YEAR6"/>
    <x v="8"/>
    <x v="2"/>
    <x v="22"/>
    <x v="3"/>
    <x v="4"/>
    <m/>
    <m/>
    <m/>
    <m/>
    <m/>
    <m/>
    <m/>
    <m/>
    <m/>
    <m/>
    <m/>
    <m/>
    <m/>
    <m/>
    <m/>
    <m/>
    <m/>
    <m/>
    <m/>
    <n v="0"/>
    <n v="0"/>
    <n v="0"/>
    <n v="0"/>
    <n v="0"/>
    <n v="0"/>
    <n v="0"/>
    <n v="0"/>
    <n v="0"/>
    <n v="0"/>
    <n v="0"/>
    <n v="0"/>
    <m/>
    <s v="SERVICE 02  |  DEPENSES SUR ACHATS"/>
    <b v="1"/>
  </r>
  <r>
    <n v="916"/>
    <x v="0"/>
    <m/>
    <s v="YEAR-2"/>
    <x v="1"/>
    <x v="2"/>
    <x v="22"/>
    <x v="3"/>
    <x v="5"/>
    <m/>
    <m/>
    <m/>
    <m/>
    <m/>
    <m/>
    <m/>
    <m/>
    <m/>
    <m/>
    <m/>
    <m/>
    <m/>
    <m/>
    <m/>
    <m/>
    <m/>
    <m/>
    <m/>
    <n v="0"/>
    <n v="0"/>
    <n v="0"/>
    <n v="0"/>
    <n v="0"/>
    <n v="0"/>
    <n v="0"/>
    <n v="0"/>
    <n v="0"/>
    <m/>
    <n v="0"/>
    <m/>
    <m/>
    <s v="SERVICE 02  |  PRIX MOYEN D'ACHAT PAR PRODUIT/SERVICE"/>
    <m/>
  </r>
  <r>
    <n v="917"/>
    <x v="0"/>
    <m/>
    <s v="YEAR-1"/>
    <x v="2"/>
    <x v="2"/>
    <x v="22"/>
    <x v="3"/>
    <x v="5"/>
    <m/>
    <m/>
    <m/>
    <m/>
    <m/>
    <m/>
    <m/>
    <m/>
    <m/>
    <m/>
    <m/>
    <m/>
    <m/>
    <m/>
    <m/>
    <m/>
    <m/>
    <m/>
    <m/>
    <n v="0"/>
    <n v="0"/>
    <n v="0"/>
    <n v="0"/>
    <n v="0"/>
    <n v="0"/>
    <n v="0"/>
    <n v="0"/>
    <n v="0"/>
    <m/>
    <n v="0"/>
    <m/>
    <m/>
    <s v="SERVICE 02  |  PRIX MOYEN D'ACHAT PAR PRODUIT/SERVICE"/>
    <m/>
  </r>
  <r>
    <n v="918"/>
    <x v="0"/>
    <m/>
    <s v="CURRENT YEAR"/>
    <x v="3"/>
    <x v="2"/>
    <x v="22"/>
    <x v="3"/>
    <x v="5"/>
    <m/>
    <m/>
    <m/>
    <m/>
    <m/>
    <m/>
    <m/>
    <m/>
    <m/>
    <m/>
    <m/>
    <m/>
    <m/>
    <m/>
    <m/>
    <m/>
    <m/>
    <m/>
    <m/>
    <n v="0"/>
    <n v="0"/>
    <n v="0"/>
    <n v="0"/>
    <n v="0"/>
    <n v="0"/>
    <n v="0"/>
    <n v="0"/>
    <n v="0"/>
    <m/>
    <n v="0"/>
    <m/>
    <m/>
    <s v="SERVICE 02  |  PRIX MOYEN D'ACHAT PAR PRODUIT/SERVICE"/>
    <m/>
  </r>
  <r>
    <n v="919"/>
    <x v="0"/>
    <m/>
    <s v="YEAR2"/>
    <x v="4"/>
    <x v="2"/>
    <x v="22"/>
    <x v="3"/>
    <x v="5"/>
    <m/>
    <m/>
    <m/>
    <m/>
    <m/>
    <m/>
    <m/>
    <m/>
    <m/>
    <m/>
    <m/>
    <m/>
    <m/>
    <m/>
    <m/>
    <m/>
    <m/>
    <m/>
    <m/>
    <n v="0"/>
    <n v="0"/>
    <n v="0"/>
    <n v="0"/>
    <n v="0"/>
    <n v="0"/>
    <n v="0"/>
    <n v="0"/>
    <n v="0"/>
    <m/>
    <n v="0"/>
    <m/>
    <m/>
    <s v="SERVICE 02  |  PRIX MOYEN D'ACHAT PAR PRODUIT/SERVICE"/>
    <m/>
  </r>
  <r>
    <n v="920"/>
    <x v="0"/>
    <m/>
    <s v="YEAR3"/>
    <x v="5"/>
    <x v="2"/>
    <x v="22"/>
    <x v="3"/>
    <x v="5"/>
    <m/>
    <m/>
    <m/>
    <m/>
    <m/>
    <m/>
    <m/>
    <m/>
    <m/>
    <m/>
    <m/>
    <m/>
    <m/>
    <m/>
    <m/>
    <m/>
    <m/>
    <m/>
    <m/>
    <n v="0"/>
    <n v="0"/>
    <n v="0"/>
    <n v="0"/>
    <n v="0"/>
    <n v="0"/>
    <n v="0"/>
    <n v="0"/>
    <n v="0"/>
    <m/>
    <n v="0"/>
    <m/>
    <m/>
    <s v="SERVICE 02  |  PRIX MOYEN D'ACHAT PAR PRODUIT/SERVICE"/>
    <m/>
  </r>
  <r>
    <n v="921"/>
    <x v="0"/>
    <m/>
    <s v="YEAR4"/>
    <x v="6"/>
    <x v="2"/>
    <x v="22"/>
    <x v="3"/>
    <x v="5"/>
    <m/>
    <m/>
    <m/>
    <m/>
    <m/>
    <m/>
    <m/>
    <m/>
    <m/>
    <m/>
    <m/>
    <m/>
    <m/>
    <m/>
    <m/>
    <m/>
    <m/>
    <m/>
    <m/>
    <n v="0"/>
    <n v="0"/>
    <n v="0"/>
    <n v="0"/>
    <n v="0"/>
    <n v="0"/>
    <n v="0"/>
    <n v="0"/>
    <n v="0"/>
    <m/>
    <n v="0"/>
    <m/>
    <m/>
    <s v="SERVICE 02  |  PRIX MOYEN D'ACHAT PAR PRODUIT/SERVICE"/>
    <m/>
  </r>
  <r>
    <n v="922"/>
    <x v="0"/>
    <m/>
    <s v="YEAR5"/>
    <x v="7"/>
    <x v="2"/>
    <x v="22"/>
    <x v="3"/>
    <x v="5"/>
    <m/>
    <m/>
    <m/>
    <m/>
    <m/>
    <m/>
    <m/>
    <m/>
    <m/>
    <m/>
    <m/>
    <m/>
    <m/>
    <m/>
    <m/>
    <m/>
    <m/>
    <m/>
    <m/>
    <n v="0"/>
    <n v="0"/>
    <n v="0"/>
    <n v="0"/>
    <n v="0"/>
    <n v="0"/>
    <n v="0"/>
    <n v="0"/>
    <n v="0"/>
    <m/>
    <n v="0"/>
    <m/>
    <m/>
    <s v="SERVICE 02  |  PRIX MOYEN D'ACHAT PAR PRODUIT/SERVICE"/>
    <m/>
  </r>
  <r>
    <n v="923"/>
    <x v="0"/>
    <m/>
    <s v="YEAR6"/>
    <x v="8"/>
    <x v="2"/>
    <x v="22"/>
    <x v="3"/>
    <x v="5"/>
    <m/>
    <m/>
    <m/>
    <m/>
    <m/>
    <m/>
    <m/>
    <m/>
    <m/>
    <m/>
    <m/>
    <m/>
    <m/>
    <m/>
    <m/>
    <m/>
    <m/>
    <m/>
    <m/>
    <n v="0"/>
    <n v="0"/>
    <n v="0"/>
    <n v="0"/>
    <n v="0"/>
    <n v="0"/>
    <n v="0"/>
    <n v="0"/>
    <n v="0"/>
    <m/>
    <n v="0"/>
    <m/>
    <m/>
    <s v="SERVICE 02  |  PRIX MOYEN D'ACHAT PAR PRODUIT/SERVICE"/>
    <m/>
  </r>
  <r>
    <n v="924"/>
    <x v="0"/>
    <n v="1"/>
    <m/>
    <x v="0"/>
    <x v="0"/>
    <x v="0"/>
    <x v="0"/>
    <x v="0"/>
    <m/>
    <m/>
    <m/>
    <m/>
    <m/>
    <m/>
    <m/>
    <m/>
    <m/>
    <m/>
    <m/>
    <m/>
    <m/>
    <m/>
    <m/>
    <m/>
    <m/>
    <m/>
    <m/>
    <m/>
    <m/>
    <m/>
    <m/>
    <m/>
    <m/>
    <m/>
    <m/>
    <m/>
    <m/>
    <m/>
    <m/>
    <m/>
    <m/>
    <m/>
  </r>
  <r>
    <n v="925"/>
    <x v="0"/>
    <m/>
    <m/>
    <x v="0"/>
    <x v="0"/>
    <x v="0"/>
    <x v="0"/>
    <x v="0"/>
    <m/>
    <m/>
    <m/>
    <m/>
    <m/>
    <m/>
    <m/>
    <m/>
    <m/>
    <m/>
    <m/>
    <m/>
    <m/>
    <m/>
    <m/>
    <m/>
    <m/>
    <m/>
    <m/>
    <m/>
    <m/>
    <m/>
    <m/>
    <m/>
    <m/>
    <m/>
    <m/>
    <m/>
    <m/>
    <m/>
    <m/>
    <m/>
    <m/>
    <m/>
  </r>
  <r>
    <n v="926"/>
    <x v="0"/>
    <n v="1"/>
    <s v="YEAR-2"/>
    <x v="1"/>
    <x v="2"/>
    <x v="23"/>
    <x v="3"/>
    <x v="1"/>
    <n v="1000"/>
    <n v="0"/>
    <n v="0"/>
    <n v="1000"/>
    <n v="1"/>
    <n v="0"/>
    <n v="0"/>
    <n v="500"/>
    <n v="0"/>
    <n v="0"/>
    <n v="500"/>
    <n v="1"/>
    <n v="1"/>
    <n v="1"/>
    <n v="0"/>
    <n v="0"/>
    <n v="0"/>
    <n v="0"/>
    <n v="0"/>
    <n v="0"/>
    <n v="0"/>
    <n v="0"/>
    <n v="0"/>
    <n v="0"/>
    <n v="0"/>
    <n v="0"/>
    <n v="0"/>
    <n v="0"/>
    <n v="0"/>
    <n v="0"/>
    <n v="0"/>
    <s v="GAMME # : 1 + CANAL DE DISTRIBUTION # : 1"/>
    <s v="SERVICE 03  |  VOLUME"/>
    <b v="1"/>
  </r>
  <r>
    <n v="927"/>
    <x v="0"/>
    <n v="1"/>
    <s v="YEAR-1"/>
    <x v="2"/>
    <x v="2"/>
    <x v="23"/>
    <x v="3"/>
    <x v="1"/>
    <n v="1000"/>
    <n v="0"/>
    <n v="0"/>
    <n v="1000"/>
    <n v="1"/>
    <n v="0"/>
    <n v="0"/>
    <n v="500"/>
    <n v="0"/>
    <n v="0"/>
    <n v="500"/>
    <n v="1"/>
    <n v="1"/>
    <n v="1"/>
    <n v="0"/>
    <n v="0"/>
    <n v="0"/>
    <n v="0"/>
    <n v="0"/>
    <n v="0"/>
    <n v="0"/>
    <n v="0"/>
    <n v="0"/>
    <n v="0"/>
    <n v="0"/>
    <n v="0"/>
    <n v="0"/>
    <n v="0"/>
    <n v="0"/>
    <n v="0"/>
    <n v="0"/>
    <m/>
    <s v="SERVICE 03  |  VOLUME"/>
    <b v="1"/>
  </r>
  <r>
    <n v="928"/>
    <x v="0"/>
    <n v="1"/>
    <s v="CURRENT YEAR"/>
    <x v="3"/>
    <x v="2"/>
    <x v="23"/>
    <x v="3"/>
    <x v="1"/>
    <n v="1000"/>
    <n v="0"/>
    <n v="0"/>
    <n v="1000"/>
    <n v="1"/>
    <n v="0"/>
    <n v="0"/>
    <n v="500"/>
    <n v="0"/>
    <n v="0"/>
    <n v="500"/>
    <n v="1"/>
    <n v="1"/>
    <n v="1"/>
    <n v="0"/>
    <n v="0"/>
    <n v="0"/>
    <n v="0"/>
    <n v="0"/>
    <n v="0"/>
    <n v="0"/>
    <n v="0"/>
    <n v="0"/>
    <n v="0"/>
    <n v="0"/>
    <n v="0"/>
    <n v="0"/>
    <n v="0"/>
    <n v="0"/>
    <n v="0"/>
    <n v="0"/>
    <m/>
    <s v="SERVICE 03  |  VOLUME"/>
    <b v="1"/>
  </r>
  <r>
    <n v="929"/>
    <x v="0"/>
    <n v="1"/>
    <s v="YEAR2"/>
    <x v="4"/>
    <x v="2"/>
    <x v="23"/>
    <x v="3"/>
    <x v="1"/>
    <n v="1000"/>
    <n v="0"/>
    <n v="0"/>
    <n v="1000"/>
    <n v="1"/>
    <n v="0"/>
    <n v="0"/>
    <n v="500"/>
    <n v="0"/>
    <n v="0"/>
    <n v="500"/>
    <n v="1"/>
    <n v="1"/>
    <n v="1"/>
    <n v="0"/>
    <n v="0"/>
    <n v="0"/>
    <n v="0"/>
    <n v="0"/>
    <n v="0"/>
    <n v="0"/>
    <n v="0"/>
    <n v="0"/>
    <n v="0"/>
    <n v="0"/>
    <n v="0"/>
    <n v="0"/>
    <n v="0"/>
    <n v="0"/>
    <n v="0"/>
    <n v="0"/>
    <m/>
    <s v="SERVICE 03  |  VOLUME"/>
    <b v="1"/>
  </r>
  <r>
    <n v="930"/>
    <x v="0"/>
    <n v="1"/>
    <s v="YEAR3"/>
    <x v="5"/>
    <x v="2"/>
    <x v="23"/>
    <x v="3"/>
    <x v="1"/>
    <n v="1000"/>
    <n v="0"/>
    <n v="0"/>
    <n v="1000"/>
    <n v="1"/>
    <n v="0"/>
    <n v="0"/>
    <n v="500"/>
    <n v="0"/>
    <n v="0"/>
    <n v="500"/>
    <n v="1"/>
    <n v="1"/>
    <n v="1"/>
    <n v="0"/>
    <n v="0"/>
    <n v="0"/>
    <n v="0"/>
    <n v="0"/>
    <n v="0"/>
    <n v="0"/>
    <n v="0"/>
    <n v="0"/>
    <n v="0"/>
    <n v="0"/>
    <n v="0"/>
    <n v="0"/>
    <n v="0"/>
    <n v="0"/>
    <n v="0"/>
    <n v="0"/>
    <m/>
    <s v="SERVICE 03  |  VOLUME"/>
    <b v="1"/>
  </r>
  <r>
    <n v="931"/>
    <x v="0"/>
    <n v="1"/>
    <s v="YEAR4"/>
    <x v="6"/>
    <x v="2"/>
    <x v="23"/>
    <x v="3"/>
    <x v="1"/>
    <n v="1000"/>
    <n v="0"/>
    <n v="0"/>
    <n v="1000"/>
    <n v="1"/>
    <n v="0"/>
    <n v="0"/>
    <n v="500"/>
    <n v="0"/>
    <n v="0"/>
    <n v="500"/>
    <n v="1"/>
    <n v="1"/>
    <n v="1"/>
    <n v="0"/>
    <n v="0"/>
    <n v="0"/>
    <n v="0"/>
    <n v="0"/>
    <n v="0"/>
    <n v="0"/>
    <n v="0"/>
    <n v="0"/>
    <n v="0"/>
    <n v="0"/>
    <n v="0"/>
    <n v="0"/>
    <n v="0"/>
    <n v="0"/>
    <n v="0"/>
    <n v="0"/>
    <m/>
    <s v="SERVICE 03  |  VOLUME"/>
    <b v="1"/>
  </r>
  <r>
    <n v="932"/>
    <x v="0"/>
    <n v="1"/>
    <s v="YEAR5"/>
    <x v="7"/>
    <x v="2"/>
    <x v="23"/>
    <x v="3"/>
    <x v="1"/>
    <n v="1000"/>
    <n v="0"/>
    <n v="0"/>
    <n v="1000"/>
    <n v="1"/>
    <n v="0"/>
    <n v="0"/>
    <n v="500"/>
    <n v="0"/>
    <n v="0"/>
    <n v="500"/>
    <n v="1"/>
    <n v="1"/>
    <n v="1"/>
    <n v="0"/>
    <n v="0"/>
    <n v="0"/>
    <n v="0"/>
    <n v="0"/>
    <n v="0"/>
    <n v="0"/>
    <n v="0"/>
    <n v="0"/>
    <n v="0"/>
    <n v="0"/>
    <n v="0"/>
    <n v="0"/>
    <n v="0"/>
    <n v="0"/>
    <n v="0"/>
    <n v="0"/>
    <m/>
    <s v="SERVICE 03  |  VOLUME"/>
    <b v="1"/>
  </r>
  <r>
    <n v="933"/>
    <x v="0"/>
    <n v="1"/>
    <s v="YEAR6"/>
    <x v="8"/>
    <x v="2"/>
    <x v="23"/>
    <x v="3"/>
    <x v="1"/>
    <n v="1000"/>
    <n v="0"/>
    <n v="0"/>
    <n v="1000"/>
    <n v="1"/>
    <n v="0"/>
    <n v="0"/>
    <n v="500"/>
    <n v="0"/>
    <n v="0"/>
    <n v="500"/>
    <n v="1"/>
    <n v="1"/>
    <n v="1"/>
    <n v="0"/>
    <n v="0"/>
    <n v="0"/>
    <n v="0"/>
    <n v="0"/>
    <n v="0"/>
    <n v="0"/>
    <n v="0"/>
    <n v="0"/>
    <n v="0"/>
    <n v="0"/>
    <n v="0"/>
    <n v="0"/>
    <n v="0"/>
    <n v="0"/>
    <n v="0"/>
    <n v="0"/>
    <m/>
    <s v="SERVICE 03  |  VOLUME"/>
    <b v="1"/>
  </r>
  <r>
    <n v="934"/>
    <x v="0"/>
    <m/>
    <s v="YEAR-2"/>
    <x v="1"/>
    <x v="2"/>
    <x v="23"/>
    <x v="3"/>
    <x v="2"/>
    <m/>
    <m/>
    <m/>
    <m/>
    <m/>
    <m/>
    <m/>
    <m/>
    <m/>
    <m/>
    <m/>
    <m/>
    <m/>
    <m/>
    <m/>
    <m/>
    <m/>
    <m/>
    <m/>
    <n v="0"/>
    <n v="0"/>
    <n v="0"/>
    <n v="0"/>
    <n v="0"/>
    <n v="0"/>
    <n v="0"/>
    <n v="0"/>
    <n v="0"/>
    <n v="0"/>
    <n v="0"/>
    <n v="0"/>
    <m/>
    <s v="SERVICE 03  |  CHIFFRE D'AFFAIRES"/>
    <b v="1"/>
  </r>
  <r>
    <n v="935"/>
    <x v="0"/>
    <m/>
    <s v="YEAR-1"/>
    <x v="2"/>
    <x v="2"/>
    <x v="23"/>
    <x v="3"/>
    <x v="2"/>
    <m/>
    <m/>
    <m/>
    <m/>
    <m/>
    <m/>
    <m/>
    <m/>
    <m/>
    <m/>
    <m/>
    <m/>
    <m/>
    <m/>
    <m/>
    <m/>
    <m/>
    <m/>
    <m/>
    <n v="0"/>
    <n v="0"/>
    <n v="0"/>
    <n v="0"/>
    <n v="0"/>
    <n v="0"/>
    <n v="0"/>
    <n v="0"/>
    <n v="0"/>
    <n v="0"/>
    <n v="0"/>
    <n v="0"/>
    <m/>
    <s v="SERVICE 03  |  CHIFFRE D'AFFAIRES"/>
    <b v="1"/>
  </r>
  <r>
    <n v="936"/>
    <x v="0"/>
    <m/>
    <s v="CURRENT YEAR"/>
    <x v="3"/>
    <x v="2"/>
    <x v="23"/>
    <x v="3"/>
    <x v="2"/>
    <m/>
    <m/>
    <m/>
    <m/>
    <m/>
    <m/>
    <m/>
    <m/>
    <m/>
    <m/>
    <m/>
    <m/>
    <m/>
    <m/>
    <m/>
    <m/>
    <m/>
    <m/>
    <m/>
    <n v="0"/>
    <n v="0"/>
    <n v="0"/>
    <n v="0"/>
    <n v="0"/>
    <n v="0"/>
    <n v="0"/>
    <n v="0"/>
    <n v="0"/>
    <n v="0"/>
    <n v="0"/>
    <n v="0"/>
    <m/>
    <s v="SERVICE 03  |  CHIFFRE D'AFFAIRES"/>
    <b v="1"/>
  </r>
  <r>
    <n v="937"/>
    <x v="0"/>
    <m/>
    <s v="YEAR2"/>
    <x v="4"/>
    <x v="2"/>
    <x v="23"/>
    <x v="3"/>
    <x v="2"/>
    <m/>
    <m/>
    <m/>
    <m/>
    <m/>
    <m/>
    <m/>
    <m/>
    <m/>
    <m/>
    <m/>
    <m/>
    <m/>
    <m/>
    <m/>
    <m/>
    <m/>
    <m/>
    <m/>
    <n v="0"/>
    <n v="0"/>
    <n v="0"/>
    <n v="0"/>
    <n v="0"/>
    <n v="0"/>
    <n v="0"/>
    <n v="0"/>
    <n v="0"/>
    <n v="0"/>
    <n v="0"/>
    <n v="0"/>
    <m/>
    <s v="SERVICE 03  |  CHIFFRE D'AFFAIRES"/>
    <b v="1"/>
  </r>
  <r>
    <n v="938"/>
    <x v="0"/>
    <m/>
    <s v="YEAR3"/>
    <x v="5"/>
    <x v="2"/>
    <x v="23"/>
    <x v="3"/>
    <x v="2"/>
    <m/>
    <m/>
    <m/>
    <m/>
    <m/>
    <m/>
    <m/>
    <m/>
    <m/>
    <m/>
    <m/>
    <m/>
    <m/>
    <m/>
    <m/>
    <m/>
    <m/>
    <m/>
    <m/>
    <n v="0"/>
    <n v="0"/>
    <n v="0"/>
    <n v="0"/>
    <n v="0"/>
    <n v="0"/>
    <n v="0"/>
    <n v="0"/>
    <n v="0"/>
    <n v="0"/>
    <n v="0"/>
    <n v="0"/>
    <m/>
    <s v="SERVICE 03  |  CHIFFRE D'AFFAIRES"/>
    <b v="1"/>
  </r>
  <r>
    <n v="939"/>
    <x v="0"/>
    <m/>
    <s v="YEAR4"/>
    <x v="6"/>
    <x v="2"/>
    <x v="23"/>
    <x v="3"/>
    <x v="2"/>
    <m/>
    <m/>
    <m/>
    <m/>
    <m/>
    <m/>
    <m/>
    <m/>
    <m/>
    <m/>
    <m/>
    <m/>
    <m/>
    <m/>
    <m/>
    <m/>
    <m/>
    <m/>
    <m/>
    <n v="0"/>
    <n v="0"/>
    <n v="0"/>
    <n v="0"/>
    <n v="0"/>
    <n v="0"/>
    <n v="0"/>
    <n v="0"/>
    <n v="0"/>
    <n v="0"/>
    <n v="0"/>
    <n v="0"/>
    <m/>
    <s v="SERVICE 03  |  CHIFFRE D'AFFAIRES"/>
    <b v="1"/>
  </r>
  <r>
    <n v="940"/>
    <x v="0"/>
    <m/>
    <s v="YEAR5"/>
    <x v="7"/>
    <x v="2"/>
    <x v="23"/>
    <x v="3"/>
    <x v="2"/>
    <m/>
    <m/>
    <m/>
    <m/>
    <m/>
    <m/>
    <m/>
    <m/>
    <m/>
    <m/>
    <m/>
    <m/>
    <m/>
    <m/>
    <m/>
    <m/>
    <m/>
    <m/>
    <m/>
    <n v="0"/>
    <n v="0"/>
    <n v="0"/>
    <n v="0"/>
    <n v="0"/>
    <n v="0"/>
    <n v="0"/>
    <n v="0"/>
    <n v="0"/>
    <n v="0"/>
    <n v="0"/>
    <n v="0"/>
    <m/>
    <s v="SERVICE 03  |  CHIFFRE D'AFFAIRES"/>
    <b v="1"/>
  </r>
  <r>
    <n v="941"/>
    <x v="0"/>
    <m/>
    <s v="YEAR6"/>
    <x v="8"/>
    <x v="2"/>
    <x v="23"/>
    <x v="3"/>
    <x v="2"/>
    <m/>
    <m/>
    <m/>
    <m/>
    <m/>
    <m/>
    <m/>
    <m/>
    <m/>
    <m/>
    <m/>
    <m/>
    <m/>
    <m/>
    <m/>
    <m/>
    <m/>
    <m/>
    <m/>
    <n v="0"/>
    <n v="0"/>
    <n v="0"/>
    <n v="0"/>
    <n v="0"/>
    <n v="0"/>
    <n v="0"/>
    <n v="0"/>
    <n v="0"/>
    <n v="0"/>
    <n v="0"/>
    <n v="0"/>
    <m/>
    <s v="SERVICE 03  |  CHIFFRE D'AFFAIRES"/>
    <b v="1"/>
  </r>
  <r>
    <n v="942"/>
    <x v="0"/>
    <m/>
    <s v="YEAR-2"/>
    <x v="1"/>
    <x v="2"/>
    <x v="23"/>
    <x v="3"/>
    <x v="3"/>
    <m/>
    <m/>
    <m/>
    <m/>
    <m/>
    <m/>
    <m/>
    <m/>
    <m/>
    <m/>
    <m/>
    <m/>
    <m/>
    <m/>
    <m/>
    <m/>
    <m/>
    <m/>
    <m/>
    <n v="0"/>
    <n v="0"/>
    <n v="0"/>
    <n v="0"/>
    <n v="0"/>
    <n v="0"/>
    <n v="0"/>
    <n v="0"/>
    <n v="0"/>
    <m/>
    <n v="0"/>
    <m/>
    <m/>
    <s v="SERVICE 03  |  PRIX MOYEN DE VENTE PAR PRODUIT/SERVICE"/>
    <m/>
  </r>
  <r>
    <n v="943"/>
    <x v="0"/>
    <m/>
    <s v="YEAR-1"/>
    <x v="2"/>
    <x v="2"/>
    <x v="23"/>
    <x v="3"/>
    <x v="3"/>
    <m/>
    <m/>
    <m/>
    <m/>
    <m/>
    <m/>
    <m/>
    <m/>
    <m/>
    <m/>
    <m/>
    <m/>
    <m/>
    <m/>
    <m/>
    <m/>
    <m/>
    <m/>
    <m/>
    <n v="0"/>
    <n v="0"/>
    <n v="0"/>
    <n v="0"/>
    <n v="0"/>
    <n v="0"/>
    <n v="0"/>
    <n v="0"/>
    <n v="0"/>
    <m/>
    <n v="0"/>
    <m/>
    <m/>
    <s v="SERVICE 03  |  PRIX MOYEN DE VENTE PAR PRODUIT/SERVICE"/>
    <m/>
  </r>
  <r>
    <n v="944"/>
    <x v="0"/>
    <m/>
    <s v="CURRENT YEAR"/>
    <x v="3"/>
    <x v="2"/>
    <x v="23"/>
    <x v="3"/>
    <x v="3"/>
    <m/>
    <m/>
    <m/>
    <m/>
    <m/>
    <m/>
    <m/>
    <m/>
    <m/>
    <m/>
    <m/>
    <m/>
    <m/>
    <m/>
    <m/>
    <m/>
    <m/>
    <m/>
    <m/>
    <n v="0"/>
    <n v="0"/>
    <n v="0"/>
    <n v="0"/>
    <n v="0"/>
    <n v="0"/>
    <n v="0"/>
    <n v="0"/>
    <n v="0"/>
    <m/>
    <n v="0"/>
    <m/>
    <m/>
    <s v="SERVICE 03  |  PRIX MOYEN DE VENTE PAR PRODUIT/SERVICE"/>
    <m/>
  </r>
  <r>
    <n v="945"/>
    <x v="0"/>
    <m/>
    <s v="YEAR2"/>
    <x v="4"/>
    <x v="2"/>
    <x v="23"/>
    <x v="3"/>
    <x v="3"/>
    <m/>
    <m/>
    <m/>
    <m/>
    <m/>
    <m/>
    <m/>
    <m/>
    <m/>
    <m/>
    <m/>
    <m/>
    <m/>
    <m/>
    <m/>
    <m/>
    <m/>
    <m/>
    <m/>
    <n v="0"/>
    <n v="0"/>
    <n v="0"/>
    <n v="0"/>
    <n v="0"/>
    <n v="0"/>
    <n v="0"/>
    <n v="0"/>
    <n v="0"/>
    <m/>
    <n v="0"/>
    <m/>
    <m/>
    <s v="SERVICE 03  |  PRIX MOYEN DE VENTE PAR PRODUIT/SERVICE"/>
    <m/>
  </r>
  <r>
    <n v="946"/>
    <x v="0"/>
    <m/>
    <s v="YEAR3"/>
    <x v="5"/>
    <x v="2"/>
    <x v="23"/>
    <x v="3"/>
    <x v="3"/>
    <m/>
    <m/>
    <m/>
    <m/>
    <m/>
    <m/>
    <m/>
    <m/>
    <m/>
    <m/>
    <m/>
    <m/>
    <m/>
    <m/>
    <m/>
    <m/>
    <m/>
    <m/>
    <m/>
    <n v="0"/>
    <n v="0"/>
    <n v="0"/>
    <n v="0"/>
    <n v="0"/>
    <n v="0"/>
    <n v="0"/>
    <n v="0"/>
    <n v="0"/>
    <m/>
    <n v="0"/>
    <m/>
    <m/>
    <s v="SERVICE 03  |  PRIX MOYEN DE VENTE PAR PRODUIT/SERVICE"/>
    <m/>
  </r>
  <r>
    <n v="947"/>
    <x v="0"/>
    <m/>
    <s v="YEAR4"/>
    <x v="6"/>
    <x v="2"/>
    <x v="23"/>
    <x v="3"/>
    <x v="3"/>
    <m/>
    <m/>
    <m/>
    <m/>
    <m/>
    <m/>
    <m/>
    <m/>
    <m/>
    <m/>
    <m/>
    <m/>
    <m/>
    <m/>
    <m/>
    <m/>
    <m/>
    <m/>
    <m/>
    <n v="0"/>
    <n v="0"/>
    <n v="0"/>
    <n v="0"/>
    <n v="0"/>
    <n v="0"/>
    <n v="0"/>
    <n v="0"/>
    <n v="0"/>
    <m/>
    <n v="0"/>
    <m/>
    <m/>
    <s v="SERVICE 03  |  PRIX MOYEN DE VENTE PAR PRODUIT/SERVICE"/>
    <m/>
  </r>
  <r>
    <n v="948"/>
    <x v="0"/>
    <m/>
    <s v="YEAR5"/>
    <x v="7"/>
    <x v="2"/>
    <x v="23"/>
    <x v="3"/>
    <x v="3"/>
    <m/>
    <m/>
    <m/>
    <m/>
    <m/>
    <m/>
    <m/>
    <m/>
    <m/>
    <m/>
    <m/>
    <m/>
    <m/>
    <m/>
    <m/>
    <m/>
    <m/>
    <m/>
    <m/>
    <n v="0"/>
    <n v="0"/>
    <n v="0"/>
    <n v="0"/>
    <n v="0"/>
    <n v="0"/>
    <n v="0"/>
    <n v="0"/>
    <n v="0"/>
    <m/>
    <n v="0"/>
    <m/>
    <m/>
    <s v="SERVICE 03  |  PRIX MOYEN DE VENTE PAR PRODUIT/SERVICE"/>
    <m/>
  </r>
  <r>
    <n v="949"/>
    <x v="0"/>
    <m/>
    <s v="YEAR6"/>
    <x v="8"/>
    <x v="2"/>
    <x v="23"/>
    <x v="3"/>
    <x v="3"/>
    <m/>
    <m/>
    <m/>
    <m/>
    <m/>
    <m/>
    <m/>
    <m/>
    <m/>
    <m/>
    <m/>
    <m/>
    <m/>
    <m/>
    <m/>
    <m/>
    <m/>
    <m/>
    <m/>
    <n v="0"/>
    <n v="0"/>
    <n v="0"/>
    <n v="0"/>
    <n v="0"/>
    <n v="0"/>
    <n v="0"/>
    <n v="0"/>
    <n v="0"/>
    <m/>
    <n v="0"/>
    <m/>
    <m/>
    <s v="SERVICE 03  |  PRIX MOYEN DE VENTE PAR PRODUIT/SERVICE"/>
    <m/>
  </r>
  <r>
    <n v="950"/>
    <x v="0"/>
    <m/>
    <s v="YEAR-2"/>
    <x v="1"/>
    <x v="2"/>
    <x v="23"/>
    <x v="3"/>
    <x v="4"/>
    <m/>
    <m/>
    <m/>
    <m/>
    <m/>
    <m/>
    <m/>
    <m/>
    <m/>
    <m/>
    <m/>
    <m/>
    <m/>
    <m/>
    <m/>
    <m/>
    <m/>
    <m/>
    <m/>
    <n v="0"/>
    <n v="0"/>
    <n v="0"/>
    <n v="0"/>
    <n v="0"/>
    <n v="0"/>
    <n v="0"/>
    <n v="0"/>
    <n v="0"/>
    <n v="0"/>
    <n v="0"/>
    <n v="0"/>
    <m/>
    <s v="SERVICE 03  |  DEPENSES SUR ACHATS"/>
    <b v="1"/>
  </r>
  <r>
    <n v="951"/>
    <x v="0"/>
    <m/>
    <s v="YEAR-1"/>
    <x v="2"/>
    <x v="2"/>
    <x v="23"/>
    <x v="3"/>
    <x v="4"/>
    <m/>
    <m/>
    <m/>
    <m/>
    <m/>
    <m/>
    <m/>
    <m/>
    <m/>
    <m/>
    <m/>
    <m/>
    <m/>
    <m/>
    <m/>
    <m/>
    <m/>
    <m/>
    <m/>
    <n v="0"/>
    <n v="0"/>
    <n v="0"/>
    <n v="0"/>
    <n v="0"/>
    <n v="0"/>
    <n v="0"/>
    <n v="0"/>
    <n v="0"/>
    <n v="0"/>
    <n v="0"/>
    <n v="0"/>
    <m/>
    <s v="SERVICE 03  |  DEPENSES SUR ACHATS"/>
    <b v="1"/>
  </r>
  <r>
    <n v="952"/>
    <x v="0"/>
    <m/>
    <s v="CURRENT YEAR"/>
    <x v="3"/>
    <x v="2"/>
    <x v="23"/>
    <x v="3"/>
    <x v="4"/>
    <m/>
    <m/>
    <m/>
    <m/>
    <m/>
    <m/>
    <m/>
    <m/>
    <m/>
    <m/>
    <m/>
    <m/>
    <m/>
    <m/>
    <m/>
    <m/>
    <m/>
    <m/>
    <m/>
    <n v="0"/>
    <n v="0"/>
    <n v="0"/>
    <n v="0"/>
    <n v="0"/>
    <n v="0"/>
    <n v="0"/>
    <n v="0"/>
    <n v="0"/>
    <n v="0"/>
    <n v="0"/>
    <n v="0"/>
    <m/>
    <s v="SERVICE 03  |  DEPENSES SUR ACHATS"/>
    <b v="1"/>
  </r>
  <r>
    <n v="953"/>
    <x v="0"/>
    <m/>
    <s v="YEAR2"/>
    <x v="4"/>
    <x v="2"/>
    <x v="23"/>
    <x v="3"/>
    <x v="4"/>
    <m/>
    <m/>
    <m/>
    <m/>
    <m/>
    <m/>
    <m/>
    <m/>
    <m/>
    <m/>
    <m/>
    <m/>
    <m/>
    <m/>
    <m/>
    <m/>
    <m/>
    <m/>
    <m/>
    <n v="0"/>
    <n v="0"/>
    <n v="0"/>
    <n v="0"/>
    <n v="0"/>
    <n v="0"/>
    <n v="0"/>
    <n v="0"/>
    <n v="0"/>
    <n v="0"/>
    <n v="0"/>
    <n v="0"/>
    <m/>
    <s v="SERVICE 03  |  DEPENSES SUR ACHATS"/>
    <b v="1"/>
  </r>
  <r>
    <n v="954"/>
    <x v="0"/>
    <m/>
    <s v="YEAR3"/>
    <x v="5"/>
    <x v="2"/>
    <x v="23"/>
    <x v="3"/>
    <x v="4"/>
    <m/>
    <m/>
    <m/>
    <m/>
    <m/>
    <m/>
    <m/>
    <m/>
    <m/>
    <m/>
    <m/>
    <m/>
    <m/>
    <m/>
    <m/>
    <m/>
    <m/>
    <m/>
    <m/>
    <n v="0"/>
    <n v="0"/>
    <n v="0"/>
    <n v="0"/>
    <n v="0"/>
    <n v="0"/>
    <n v="0"/>
    <n v="0"/>
    <n v="0"/>
    <n v="0"/>
    <n v="0"/>
    <n v="0"/>
    <m/>
    <s v="SERVICE 03  |  DEPENSES SUR ACHATS"/>
    <b v="1"/>
  </r>
  <r>
    <n v="955"/>
    <x v="0"/>
    <m/>
    <s v="YEAR4"/>
    <x v="6"/>
    <x v="2"/>
    <x v="23"/>
    <x v="3"/>
    <x v="4"/>
    <m/>
    <m/>
    <m/>
    <m/>
    <m/>
    <m/>
    <m/>
    <m/>
    <m/>
    <m/>
    <m/>
    <m/>
    <m/>
    <m/>
    <m/>
    <m/>
    <m/>
    <m/>
    <m/>
    <n v="0"/>
    <n v="0"/>
    <n v="0"/>
    <n v="0"/>
    <n v="0"/>
    <n v="0"/>
    <n v="0"/>
    <n v="0"/>
    <n v="0"/>
    <n v="0"/>
    <n v="0"/>
    <n v="0"/>
    <m/>
    <s v="SERVICE 03  |  DEPENSES SUR ACHATS"/>
    <b v="1"/>
  </r>
  <r>
    <n v="956"/>
    <x v="0"/>
    <m/>
    <s v="YEAR5"/>
    <x v="7"/>
    <x v="2"/>
    <x v="23"/>
    <x v="3"/>
    <x v="4"/>
    <m/>
    <m/>
    <m/>
    <m/>
    <m/>
    <m/>
    <m/>
    <m/>
    <m/>
    <m/>
    <m/>
    <m/>
    <m/>
    <m/>
    <m/>
    <m/>
    <m/>
    <m/>
    <m/>
    <n v="0"/>
    <n v="0"/>
    <n v="0"/>
    <n v="0"/>
    <n v="0"/>
    <n v="0"/>
    <n v="0"/>
    <n v="0"/>
    <n v="0"/>
    <n v="0"/>
    <n v="0"/>
    <n v="0"/>
    <m/>
    <s v="SERVICE 03  |  DEPENSES SUR ACHATS"/>
    <b v="1"/>
  </r>
  <r>
    <n v="957"/>
    <x v="0"/>
    <m/>
    <s v="YEAR6"/>
    <x v="8"/>
    <x v="2"/>
    <x v="23"/>
    <x v="3"/>
    <x v="4"/>
    <m/>
    <m/>
    <m/>
    <m/>
    <m/>
    <m/>
    <m/>
    <m/>
    <m/>
    <m/>
    <m/>
    <m/>
    <m/>
    <m/>
    <m/>
    <m/>
    <m/>
    <m/>
    <m/>
    <n v="0"/>
    <n v="0"/>
    <n v="0"/>
    <n v="0"/>
    <n v="0"/>
    <n v="0"/>
    <n v="0"/>
    <n v="0"/>
    <n v="0"/>
    <n v="0"/>
    <n v="0"/>
    <n v="0"/>
    <m/>
    <s v="SERVICE 03  |  DEPENSES SUR ACHATS"/>
    <b v="1"/>
  </r>
  <r>
    <n v="958"/>
    <x v="0"/>
    <m/>
    <s v="YEAR-2"/>
    <x v="1"/>
    <x v="2"/>
    <x v="23"/>
    <x v="3"/>
    <x v="5"/>
    <m/>
    <m/>
    <m/>
    <m/>
    <m/>
    <m/>
    <m/>
    <m/>
    <m/>
    <m/>
    <m/>
    <m/>
    <m/>
    <m/>
    <m/>
    <m/>
    <m/>
    <m/>
    <m/>
    <n v="0"/>
    <n v="0"/>
    <n v="0"/>
    <n v="0"/>
    <n v="0"/>
    <n v="0"/>
    <n v="0"/>
    <n v="0"/>
    <n v="0"/>
    <m/>
    <n v="0"/>
    <m/>
    <m/>
    <s v="SERVICE 03  |  PRIX MOYEN D'ACHAT PAR PRODUIT/SERVICE"/>
    <m/>
  </r>
  <r>
    <n v="959"/>
    <x v="0"/>
    <m/>
    <s v="YEAR-1"/>
    <x v="2"/>
    <x v="2"/>
    <x v="23"/>
    <x v="3"/>
    <x v="5"/>
    <m/>
    <m/>
    <m/>
    <m/>
    <m/>
    <m/>
    <m/>
    <m/>
    <m/>
    <m/>
    <m/>
    <m/>
    <m/>
    <m/>
    <m/>
    <m/>
    <m/>
    <m/>
    <m/>
    <n v="0"/>
    <n v="0"/>
    <n v="0"/>
    <n v="0"/>
    <n v="0"/>
    <n v="0"/>
    <n v="0"/>
    <n v="0"/>
    <n v="0"/>
    <m/>
    <n v="0"/>
    <m/>
    <m/>
    <s v="SERVICE 03  |  PRIX MOYEN D'ACHAT PAR PRODUIT/SERVICE"/>
    <m/>
  </r>
  <r>
    <n v="960"/>
    <x v="0"/>
    <m/>
    <s v="CURRENT YEAR"/>
    <x v="3"/>
    <x v="2"/>
    <x v="23"/>
    <x v="3"/>
    <x v="5"/>
    <m/>
    <m/>
    <m/>
    <m/>
    <m/>
    <m/>
    <m/>
    <m/>
    <m/>
    <m/>
    <m/>
    <m/>
    <m/>
    <m/>
    <m/>
    <m/>
    <m/>
    <m/>
    <m/>
    <n v="0"/>
    <n v="0"/>
    <n v="0"/>
    <n v="0"/>
    <n v="0"/>
    <n v="0"/>
    <n v="0"/>
    <n v="0"/>
    <n v="0"/>
    <m/>
    <n v="0"/>
    <m/>
    <m/>
    <s v="SERVICE 03  |  PRIX MOYEN D'ACHAT PAR PRODUIT/SERVICE"/>
    <m/>
  </r>
  <r>
    <n v="961"/>
    <x v="0"/>
    <m/>
    <s v="YEAR2"/>
    <x v="4"/>
    <x v="2"/>
    <x v="23"/>
    <x v="3"/>
    <x v="5"/>
    <m/>
    <m/>
    <m/>
    <m/>
    <m/>
    <m/>
    <m/>
    <m/>
    <m/>
    <m/>
    <m/>
    <m/>
    <m/>
    <m/>
    <m/>
    <m/>
    <m/>
    <m/>
    <m/>
    <n v="0"/>
    <n v="0"/>
    <n v="0"/>
    <n v="0"/>
    <n v="0"/>
    <n v="0"/>
    <n v="0"/>
    <n v="0"/>
    <n v="0"/>
    <m/>
    <n v="0"/>
    <m/>
    <m/>
    <s v="SERVICE 03  |  PRIX MOYEN D'ACHAT PAR PRODUIT/SERVICE"/>
    <m/>
  </r>
  <r>
    <n v="962"/>
    <x v="0"/>
    <m/>
    <s v="YEAR3"/>
    <x v="5"/>
    <x v="2"/>
    <x v="23"/>
    <x v="3"/>
    <x v="5"/>
    <m/>
    <m/>
    <m/>
    <m/>
    <m/>
    <m/>
    <m/>
    <m/>
    <m/>
    <m/>
    <m/>
    <m/>
    <m/>
    <m/>
    <m/>
    <m/>
    <m/>
    <m/>
    <m/>
    <n v="0"/>
    <n v="0"/>
    <n v="0"/>
    <n v="0"/>
    <n v="0"/>
    <n v="0"/>
    <n v="0"/>
    <n v="0"/>
    <n v="0"/>
    <m/>
    <n v="0"/>
    <m/>
    <m/>
    <s v="SERVICE 03  |  PRIX MOYEN D'ACHAT PAR PRODUIT/SERVICE"/>
    <m/>
  </r>
  <r>
    <n v="963"/>
    <x v="0"/>
    <m/>
    <s v="YEAR4"/>
    <x v="6"/>
    <x v="2"/>
    <x v="23"/>
    <x v="3"/>
    <x v="5"/>
    <m/>
    <m/>
    <m/>
    <m/>
    <m/>
    <m/>
    <m/>
    <m/>
    <m/>
    <m/>
    <m/>
    <m/>
    <m/>
    <m/>
    <m/>
    <m/>
    <m/>
    <m/>
    <m/>
    <n v="0"/>
    <n v="0"/>
    <n v="0"/>
    <n v="0"/>
    <n v="0"/>
    <n v="0"/>
    <n v="0"/>
    <n v="0"/>
    <n v="0"/>
    <m/>
    <n v="0"/>
    <m/>
    <m/>
    <s v="SERVICE 03  |  PRIX MOYEN D'ACHAT PAR PRODUIT/SERVICE"/>
    <m/>
  </r>
  <r>
    <n v="964"/>
    <x v="0"/>
    <m/>
    <s v="YEAR5"/>
    <x v="7"/>
    <x v="2"/>
    <x v="23"/>
    <x v="3"/>
    <x v="5"/>
    <m/>
    <m/>
    <m/>
    <m/>
    <m/>
    <m/>
    <m/>
    <m/>
    <m/>
    <m/>
    <m/>
    <m/>
    <m/>
    <m/>
    <m/>
    <m/>
    <m/>
    <m/>
    <m/>
    <n v="0"/>
    <n v="0"/>
    <n v="0"/>
    <n v="0"/>
    <n v="0"/>
    <n v="0"/>
    <n v="0"/>
    <n v="0"/>
    <n v="0"/>
    <m/>
    <n v="0"/>
    <m/>
    <m/>
    <s v="SERVICE 03  |  PRIX MOYEN D'ACHAT PAR PRODUIT/SERVICE"/>
    <m/>
  </r>
  <r>
    <n v="965"/>
    <x v="0"/>
    <m/>
    <s v="YEAR6"/>
    <x v="8"/>
    <x v="2"/>
    <x v="23"/>
    <x v="3"/>
    <x v="5"/>
    <m/>
    <m/>
    <m/>
    <m/>
    <m/>
    <m/>
    <m/>
    <m/>
    <m/>
    <m/>
    <m/>
    <m/>
    <m/>
    <m/>
    <m/>
    <m/>
    <m/>
    <m/>
    <m/>
    <n v="0"/>
    <n v="0"/>
    <n v="0"/>
    <n v="0"/>
    <n v="0"/>
    <n v="0"/>
    <n v="0"/>
    <n v="0"/>
    <n v="0"/>
    <m/>
    <n v="0"/>
    <m/>
    <m/>
    <s v="SERVICE 03  |  PRIX MOYEN D'ACHAT PAR PRODUIT/SERVICE"/>
    <m/>
  </r>
  <r>
    <n v="966"/>
    <x v="0"/>
    <n v="1"/>
    <m/>
    <x v="0"/>
    <x v="0"/>
    <x v="0"/>
    <x v="0"/>
    <x v="0"/>
    <m/>
    <m/>
    <m/>
    <m/>
    <m/>
    <m/>
    <m/>
    <m/>
    <m/>
    <m/>
    <m/>
    <m/>
    <m/>
    <m/>
    <m/>
    <m/>
    <m/>
    <m/>
    <m/>
    <m/>
    <m/>
    <m/>
    <m/>
    <m/>
    <m/>
    <m/>
    <m/>
    <m/>
    <m/>
    <m/>
    <m/>
    <m/>
    <m/>
    <m/>
  </r>
  <r>
    <n v="967"/>
    <x v="0"/>
    <m/>
    <m/>
    <x v="0"/>
    <x v="0"/>
    <x v="0"/>
    <x v="0"/>
    <x v="0"/>
    <m/>
    <m/>
    <m/>
    <m/>
    <m/>
    <m/>
    <m/>
    <m/>
    <m/>
    <m/>
    <m/>
    <m/>
    <m/>
    <m/>
    <m/>
    <m/>
    <m/>
    <m/>
    <m/>
    <m/>
    <m/>
    <m/>
    <m/>
    <m/>
    <m/>
    <m/>
    <m/>
    <m/>
    <m/>
    <m/>
    <m/>
    <m/>
    <m/>
    <m/>
  </r>
  <r>
    <n v="968"/>
    <x v="0"/>
    <n v="1"/>
    <s v="YEAR-2"/>
    <x v="1"/>
    <x v="2"/>
    <x v="24"/>
    <x v="3"/>
    <x v="1"/>
    <n v="1000"/>
    <n v="0"/>
    <n v="0"/>
    <n v="1000"/>
    <n v="1"/>
    <n v="0"/>
    <n v="0"/>
    <n v="500"/>
    <n v="0"/>
    <n v="0"/>
    <n v="500"/>
    <n v="1"/>
    <n v="1"/>
    <n v="1"/>
    <n v="0"/>
    <n v="0"/>
    <n v="0"/>
    <n v="0"/>
    <n v="0"/>
    <n v="0"/>
    <n v="0"/>
    <n v="0"/>
    <n v="0"/>
    <n v="0"/>
    <n v="0"/>
    <n v="0"/>
    <n v="0"/>
    <n v="0"/>
    <n v="0"/>
    <n v="0"/>
    <n v="0"/>
    <s v="GAMME # : 1 + CANAL DE DISTRIBUTION # : 1"/>
    <s v="SERVICE 04  |  VOLUME"/>
    <b v="1"/>
  </r>
  <r>
    <n v="969"/>
    <x v="0"/>
    <n v="1"/>
    <s v="YEAR-1"/>
    <x v="2"/>
    <x v="2"/>
    <x v="24"/>
    <x v="3"/>
    <x v="1"/>
    <n v="1000"/>
    <n v="0"/>
    <n v="0"/>
    <n v="1000"/>
    <n v="1"/>
    <n v="0"/>
    <n v="0"/>
    <n v="500"/>
    <n v="0"/>
    <n v="0"/>
    <n v="500"/>
    <n v="1"/>
    <n v="1"/>
    <n v="1"/>
    <n v="0"/>
    <n v="0"/>
    <n v="0"/>
    <n v="0"/>
    <n v="0"/>
    <n v="0"/>
    <n v="0"/>
    <n v="0"/>
    <n v="0"/>
    <n v="0"/>
    <n v="0"/>
    <n v="0"/>
    <n v="0"/>
    <n v="0"/>
    <n v="0"/>
    <n v="0"/>
    <n v="0"/>
    <m/>
    <s v="SERVICE 04  |  VOLUME"/>
    <b v="1"/>
  </r>
  <r>
    <n v="970"/>
    <x v="0"/>
    <n v="1"/>
    <s v="CURRENT YEAR"/>
    <x v="3"/>
    <x v="2"/>
    <x v="24"/>
    <x v="3"/>
    <x v="1"/>
    <n v="1000"/>
    <n v="0"/>
    <n v="0"/>
    <n v="1000"/>
    <n v="1"/>
    <n v="0"/>
    <n v="0"/>
    <n v="500"/>
    <n v="0"/>
    <n v="0"/>
    <n v="500"/>
    <n v="1"/>
    <n v="1"/>
    <n v="1"/>
    <n v="0"/>
    <n v="0"/>
    <n v="0"/>
    <n v="0"/>
    <n v="0"/>
    <n v="0"/>
    <n v="0"/>
    <n v="0"/>
    <n v="0"/>
    <n v="0"/>
    <n v="0"/>
    <n v="0"/>
    <n v="0"/>
    <n v="0"/>
    <n v="0"/>
    <n v="0"/>
    <n v="0"/>
    <m/>
    <s v="SERVICE 04  |  VOLUME"/>
    <b v="1"/>
  </r>
  <r>
    <n v="971"/>
    <x v="0"/>
    <n v="1"/>
    <s v="YEAR2"/>
    <x v="4"/>
    <x v="2"/>
    <x v="24"/>
    <x v="3"/>
    <x v="1"/>
    <n v="1000"/>
    <n v="0"/>
    <n v="0"/>
    <n v="1000"/>
    <n v="1"/>
    <n v="0"/>
    <n v="0"/>
    <n v="500"/>
    <n v="0"/>
    <n v="0"/>
    <n v="500"/>
    <n v="1"/>
    <n v="1"/>
    <n v="1"/>
    <n v="0"/>
    <n v="0"/>
    <n v="0"/>
    <n v="0"/>
    <n v="0"/>
    <n v="0"/>
    <n v="0"/>
    <n v="0"/>
    <n v="0"/>
    <n v="0"/>
    <n v="0"/>
    <n v="0"/>
    <n v="0"/>
    <n v="0"/>
    <n v="0"/>
    <n v="0"/>
    <n v="0"/>
    <m/>
    <s v="SERVICE 04  |  VOLUME"/>
    <b v="1"/>
  </r>
  <r>
    <n v="972"/>
    <x v="0"/>
    <n v="1"/>
    <s v="YEAR3"/>
    <x v="5"/>
    <x v="2"/>
    <x v="24"/>
    <x v="3"/>
    <x v="1"/>
    <n v="1000"/>
    <n v="0"/>
    <n v="0"/>
    <n v="1000"/>
    <n v="1"/>
    <n v="0"/>
    <n v="0"/>
    <n v="500"/>
    <n v="0"/>
    <n v="0"/>
    <n v="500"/>
    <n v="1"/>
    <n v="1"/>
    <n v="1"/>
    <n v="0"/>
    <n v="0"/>
    <n v="0"/>
    <n v="0"/>
    <n v="0"/>
    <n v="0"/>
    <n v="0"/>
    <n v="0"/>
    <n v="0"/>
    <n v="0"/>
    <n v="0"/>
    <n v="0"/>
    <n v="0"/>
    <n v="0"/>
    <n v="0"/>
    <n v="0"/>
    <n v="0"/>
    <m/>
    <s v="SERVICE 04  |  VOLUME"/>
    <b v="1"/>
  </r>
  <r>
    <n v="973"/>
    <x v="0"/>
    <n v="1"/>
    <s v="YEAR4"/>
    <x v="6"/>
    <x v="2"/>
    <x v="24"/>
    <x v="3"/>
    <x v="1"/>
    <n v="1000"/>
    <n v="0"/>
    <n v="0"/>
    <n v="1000"/>
    <n v="1"/>
    <n v="0"/>
    <n v="0"/>
    <n v="500"/>
    <n v="0"/>
    <n v="0"/>
    <n v="500"/>
    <n v="1"/>
    <n v="1"/>
    <n v="1"/>
    <n v="0"/>
    <n v="0"/>
    <n v="0"/>
    <n v="0"/>
    <n v="0"/>
    <n v="0"/>
    <n v="0"/>
    <n v="0"/>
    <n v="0"/>
    <n v="0"/>
    <n v="0"/>
    <n v="0"/>
    <n v="0"/>
    <n v="0"/>
    <n v="0"/>
    <n v="0"/>
    <n v="0"/>
    <m/>
    <s v="SERVICE 04  |  VOLUME"/>
    <b v="1"/>
  </r>
  <r>
    <n v="974"/>
    <x v="0"/>
    <n v="1"/>
    <s v="YEAR5"/>
    <x v="7"/>
    <x v="2"/>
    <x v="24"/>
    <x v="3"/>
    <x v="1"/>
    <n v="1000"/>
    <n v="0"/>
    <n v="0"/>
    <n v="1000"/>
    <n v="1"/>
    <n v="0"/>
    <n v="0"/>
    <n v="500"/>
    <n v="0"/>
    <n v="0"/>
    <n v="500"/>
    <n v="1"/>
    <n v="1"/>
    <n v="1"/>
    <n v="0"/>
    <n v="0"/>
    <n v="0"/>
    <n v="0"/>
    <n v="0"/>
    <n v="0"/>
    <n v="0"/>
    <n v="0"/>
    <n v="0"/>
    <n v="0"/>
    <n v="0"/>
    <n v="0"/>
    <n v="0"/>
    <n v="0"/>
    <n v="0"/>
    <n v="0"/>
    <n v="0"/>
    <m/>
    <s v="SERVICE 04  |  VOLUME"/>
    <b v="1"/>
  </r>
  <r>
    <n v="975"/>
    <x v="0"/>
    <n v="1"/>
    <s v="YEAR6"/>
    <x v="8"/>
    <x v="2"/>
    <x v="24"/>
    <x v="3"/>
    <x v="1"/>
    <n v="1000"/>
    <n v="0"/>
    <n v="0"/>
    <n v="1000"/>
    <n v="1"/>
    <n v="0"/>
    <n v="0"/>
    <n v="500"/>
    <n v="0"/>
    <n v="0"/>
    <n v="500"/>
    <n v="1"/>
    <n v="1"/>
    <n v="1"/>
    <n v="0"/>
    <n v="0"/>
    <n v="0"/>
    <n v="0"/>
    <n v="0"/>
    <n v="0"/>
    <n v="0"/>
    <n v="0"/>
    <n v="0"/>
    <n v="0"/>
    <n v="0"/>
    <n v="0"/>
    <n v="0"/>
    <n v="0"/>
    <n v="0"/>
    <n v="0"/>
    <n v="0"/>
    <m/>
    <s v="SERVICE 04  |  VOLUME"/>
    <b v="1"/>
  </r>
  <r>
    <n v="976"/>
    <x v="0"/>
    <m/>
    <s v="YEAR-2"/>
    <x v="1"/>
    <x v="2"/>
    <x v="24"/>
    <x v="3"/>
    <x v="2"/>
    <m/>
    <m/>
    <m/>
    <m/>
    <m/>
    <m/>
    <m/>
    <m/>
    <m/>
    <m/>
    <m/>
    <m/>
    <m/>
    <m/>
    <m/>
    <m/>
    <m/>
    <m/>
    <m/>
    <n v="0"/>
    <n v="0"/>
    <n v="0"/>
    <n v="0"/>
    <n v="0"/>
    <n v="0"/>
    <n v="0"/>
    <n v="0"/>
    <n v="0"/>
    <n v="0"/>
    <n v="0"/>
    <n v="0"/>
    <m/>
    <s v="SERVICE 04  |  CHIFFRE D'AFFAIRES"/>
    <b v="1"/>
  </r>
  <r>
    <n v="977"/>
    <x v="0"/>
    <m/>
    <s v="YEAR-1"/>
    <x v="2"/>
    <x v="2"/>
    <x v="24"/>
    <x v="3"/>
    <x v="2"/>
    <m/>
    <m/>
    <m/>
    <m/>
    <m/>
    <m/>
    <m/>
    <m/>
    <m/>
    <m/>
    <m/>
    <m/>
    <m/>
    <m/>
    <m/>
    <m/>
    <m/>
    <m/>
    <m/>
    <n v="0"/>
    <n v="0"/>
    <n v="0"/>
    <n v="0"/>
    <n v="0"/>
    <n v="0"/>
    <n v="0"/>
    <n v="0"/>
    <n v="0"/>
    <n v="0"/>
    <n v="0"/>
    <n v="0"/>
    <m/>
    <s v="SERVICE 04  |  CHIFFRE D'AFFAIRES"/>
    <b v="1"/>
  </r>
  <r>
    <n v="978"/>
    <x v="0"/>
    <m/>
    <s v="CURRENT YEAR"/>
    <x v="3"/>
    <x v="2"/>
    <x v="24"/>
    <x v="3"/>
    <x v="2"/>
    <m/>
    <m/>
    <m/>
    <m/>
    <m/>
    <m/>
    <m/>
    <m/>
    <m/>
    <m/>
    <m/>
    <m/>
    <m/>
    <m/>
    <m/>
    <m/>
    <m/>
    <m/>
    <m/>
    <n v="0"/>
    <n v="0"/>
    <n v="0"/>
    <n v="0"/>
    <n v="0"/>
    <n v="0"/>
    <n v="0"/>
    <n v="0"/>
    <n v="0"/>
    <n v="0"/>
    <n v="0"/>
    <n v="0"/>
    <m/>
    <s v="SERVICE 04  |  CHIFFRE D'AFFAIRES"/>
    <b v="1"/>
  </r>
  <r>
    <n v="979"/>
    <x v="0"/>
    <m/>
    <s v="YEAR2"/>
    <x v="4"/>
    <x v="2"/>
    <x v="24"/>
    <x v="3"/>
    <x v="2"/>
    <m/>
    <m/>
    <m/>
    <m/>
    <m/>
    <m/>
    <m/>
    <m/>
    <m/>
    <m/>
    <m/>
    <m/>
    <m/>
    <m/>
    <m/>
    <m/>
    <m/>
    <m/>
    <m/>
    <n v="0"/>
    <n v="0"/>
    <n v="0"/>
    <n v="0"/>
    <n v="0"/>
    <n v="0"/>
    <n v="0"/>
    <n v="0"/>
    <n v="0"/>
    <n v="0"/>
    <n v="0"/>
    <n v="0"/>
    <m/>
    <s v="SERVICE 04  |  CHIFFRE D'AFFAIRES"/>
    <b v="1"/>
  </r>
  <r>
    <n v="980"/>
    <x v="0"/>
    <m/>
    <s v="YEAR3"/>
    <x v="5"/>
    <x v="2"/>
    <x v="24"/>
    <x v="3"/>
    <x v="2"/>
    <m/>
    <m/>
    <m/>
    <m/>
    <m/>
    <m/>
    <m/>
    <m/>
    <m/>
    <m/>
    <m/>
    <m/>
    <m/>
    <m/>
    <m/>
    <m/>
    <m/>
    <m/>
    <m/>
    <n v="0"/>
    <n v="0"/>
    <n v="0"/>
    <n v="0"/>
    <n v="0"/>
    <n v="0"/>
    <n v="0"/>
    <n v="0"/>
    <n v="0"/>
    <n v="0"/>
    <n v="0"/>
    <n v="0"/>
    <m/>
    <s v="SERVICE 04  |  CHIFFRE D'AFFAIRES"/>
    <b v="1"/>
  </r>
  <r>
    <n v="981"/>
    <x v="0"/>
    <m/>
    <s v="YEAR4"/>
    <x v="6"/>
    <x v="2"/>
    <x v="24"/>
    <x v="3"/>
    <x v="2"/>
    <m/>
    <m/>
    <m/>
    <m/>
    <m/>
    <m/>
    <m/>
    <m/>
    <m/>
    <m/>
    <m/>
    <m/>
    <m/>
    <m/>
    <m/>
    <m/>
    <m/>
    <m/>
    <m/>
    <n v="0"/>
    <n v="0"/>
    <n v="0"/>
    <n v="0"/>
    <n v="0"/>
    <n v="0"/>
    <n v="0"/>
    <n v="0"/>
    <n v="0"/>
    <n v="0"/>
    <n v="0"/>
    <n v="0"/>
    <m/>
    <s v="SERVICE 04  |  CHIFFRE D'AFFAIRES"/>
    <b v="1"/>
  </r>
  <r>
    <n v="982"/>
    <x v="0"/>
    <m/>
    <s v="YEAR5"/>
    <x v="7"/>
    <x v="2"/>
    <x v="24"/>
    <x v="3"/>
    <x v="2"/>
    <m/>
    <m/>
    <m/>
    <m/>
    <m/>
    <m/>
    <m/>
    <m/>
    <m/>
    <m/>
    <m/>
    <m/>
    <m/>
    <m/>
    <m/>
    <m/>
    <m/>
    <m/>
    <m/>
    <n v="0"/>
    <n v="0"/>
    <n v="0"/>
    <n v="0"/>
    <n v="0"/>
    <n v="0"/>
    <n v="0"/>
    <n v="0"/>
    <n v="0"/>
    <n v="0"/>
    <n v="0"/>
    <n v="0"/>
    <m/>
    <s v="SERVICE 04  |  CHIFFRE D'AFFAIRES"/>
    <b v="1"/>
  </r>
  <r>
    <n v="983"/>
    <x v="0"/>
    <m/>
    <s v="YEAR6"/>
    <x v="8"/>
    <x v="2"/>
    <x v="24"/>
    <x v="3"/>
    <x v="2"/>
    <m/>
    <m/>
    <m/>
    <m/>
    <m/>
    <m/>
    <m/>
    <m/>
    <m/>
    <m/>
    <m/>
    <m/>
    <m/>
    <m/>
    <m/>
    <m/>
    <m/>
    <m/>
    <m/>
    <n v="0"/>
    <n v="0"/>
    <n v="0"/>
    <n v="0"/>
    <n v="0"/>
    <n v="0"/>
    <n v="0"/>
    <n v="0"/>
    <n v="0"/>
    <n v="0"/>
    <n v="0"/>
    <n v="0"/>
    <m/>
    <s v="SERVICE 04  |  CHIFFRE D'AFFAIRES"/>
    <b v="1"/>
  </r>
  <r>
    <n v="984"/>
    <x v="0"/>
    <m/>
    <s v="YEAR-2"/>
    <x v="1"/>
    <x v="2"/>
    <x v="24"/>
    <x v="3"/>
    <x v="3"/>
    <m/>
    <m/>
    <m/>
    <m/>
    <m/>
    <m/>
    <m/>
    <m/>
    <m/>
    <m/>
    <m/>
    <m/>
    <m/>
    <m/>
    <m/>
    <m/>
    <m/>
    <m/>
    <m/>
    <n v="0"/>
    <n v="0"/>
    <n v="0"/>
    <n v="0"/>
    <n v="0"/>
    <n v="0"/>
    <n v="0"/>
    <n v="0"/>
    <n v="0"/>
    <m/>
    <n v="0"/>
    <m/>
    <m/>
    <s v="SERVICE 04  |  PRIX MOYEN DE VENTE PAR PRODUIT/SERVICE"/>
    <m/>
  </r>
  <r>
    <n v="985"/>
    <x v="0"/>
    <m/>
    <s v="YEAR-1"/>
    <x v="2"/>
    <x v="2"/>
    <x v="24"/>
    <x v="3"/>
    <x v="3"/>
    <m/>
    <m/>
    <m/>
    <m/>
    <m/>
    <m/>
    <m/>
    <m/>
    <m/>
    <m/>
    <m/>
    <m/>
    <m/>
    <m/>
    <m/>
    <m/>
    <m/>
    <m/>
    <m/>
    <n v="0"/>
    <n v="0"/>
    <n v="0"/>
    <n v="0"/>
    <n v="0"/>
    <n v="0"/>
    <n v="0"/>
    <n v="0"/>
    <n v="0"/>
    <m/>
    <n v="0"/>
    <m/>
    <m/>
    <s v="SERVICE 04  |  PRIX MOYEN DE VENTE PAR PRODUIT/SERVICE"/>
    <m/>
  </r>
  <r>
    <n v="986"/>
    <x v="0"/>
    <m/>
    <s v="CURRENT YEAR"/>
    <x v="3"/>
    <x v="2"/>
    <x v="24"/>
    <x v="3"/>
    <x v="3"/>
    <m/>
    <m/>
    <m/>
    <m/>
    <m/>
    <m/>
    <m/>
    <m/>
    <m/>
    <m/>
    <m/>
    <m/>
    <m/>
    <m/>
    <m/>
    <m/>
    <m/>
    <m/>
    <m/>
    <n v="0"/>
    <n v="0"/>
    <n v="0"/>
    <n v="0"/>
    <n v="0"/>
    <n v="0"/>
    <n v="0"/>
    <n v="0"/>
    <n v="0"/>
    <m/>
    <n v="0"/>
    <m/>
    <m/>
    <s v="SERVICE 04  |  PRIX MOYEN DE VENTE PAR PRODUIT/SERVICE"/>
    <m/>
  </r>
  <r>
    <n v="987"/>
    <x v="0"/>
    <m/>
    <s v="YEAR2"/>
    <x v="4"/>
    <x v="2"/>
    <x v="24"/>
    <x v="3"/>
    <x v="3"/>
    <m/>
    <m/>
    <m/>
    <m/>
    <m/>
    <m/>
    <m/>
    <m/>
    <m/>
    <m/>
    <m/>
    <m/>
    <m/>
    <m/>
    <m/>
    <m/>
    <m/>
    <m/>
    <m/>
    <n v="0"/>
    <n v="0"/>
    <n v="0"/>
    <n v="0"/>
    <n v="0"/>
    <n v="0"/>
    <n v="0"/>
    <n v="0"/>
    <n v="0"/>
    <m/>
    <n v="0"/>
    <m/>
    <m/>
    <s v="SERVICE 04  |  PRIX MOYEN DE VENTE PAR PRODUIT/SERVICE"/>
    <m/>
  </r>
  <r>
    <n v="988"/>
    <x v="0"/>
    <m/>
    <s v="YEAR3"/>
    <x v="5"/>
    <x v="2"/>
    <x v="24"/>
    <x v="3"/>
    <x v="3"/>
    <m/>
    <m/>
    <m/>
    <m/>
    <m/>
    <m/>
    <m/>
    <m/>
    <m/>
    <m/>
    <m/>
    <m/>
    <m/>
    <m/>
    <m/>
    <m/>
    <m/>
    <m/>
    <m/>
    <n v="0"/>
    <n v="0"/>
    <n v="0"/>
    <n v="0"/>
    <n v="0"/>
    <n v="0"/>
    <n v="0"/>
    <n v="0"/>
    <n v="0"/>
    <m/>
    <n v="0"/>
    <m/>
    <m/>
    <s v="SERVICE 04  |  PRIX MOYEN DE VENTE PAR PRODUIT/SERVICE"/>
    <m/>
  </r>
  <r>
    <n v="989"/>
    <x v="0"/>
    <m/>
    <s v="YEAR4"/>
    <x v="6"/>
    <x v="2"/>
    <x v="24"/>
    <x v="3"/>
    <x v="3"/>
    <m/>
    <m/>
    <m/>
    <m/>
    <m/>
    <m/>
    <m/>
    <m/>
    <m/>
    <m/>
    <m/>
    <m/>
    <m/>
    <m/>
    <m/>
    <m/>
    <m/>
    <m/>
    <m/>
    <n v="0"/>
    <n v="0"/>
    <n v="0"/>
    <n v="0"/>
    <n v="0"/>
    <n v="0"/>
    <n v="0"/>
    <n v="0"/>
    <n v="0"/>
    <m/>
    <n v="0"/>
    <m/>
    <m/>
    <s v="SERVICE 04  |  PRIX MOYEN DE VENTE PAR PRODUIT/SERVICE"/>
    <m/>
  </r>
  <r>
    <n v="990"/>
    <x v="0"/>
    <m/>
    <s v="YEAR5"/>
    <x v="7"/>
    <x v="2"/>
    <x v="24"/>
    <x v="3"/>
    <x v="3"/>
    <m/>
    <m/>
    <m/>
    <m/>
    <m/>
    <m/>
    <m/>
    <m/>
    <m/>
    <m/>
    <m/>
    <m/>
    <m/>
    <m/>
    <m/>
    <m/>
    <m/>
    <m/>
    <m/>
    <n v="0"/>
    <n v="0"/>
    <n v="0"/>
    <n v="0"/>
    <n v="0"/>
    <n v="0"/>
    <n v="0"/>
    <n v="0"/>
    <n v="0"/>
    <m/>
    <n v="0"/>
    <m/>
    <m/>
    <s v="SERVICE 04  |  PRIX MOYEN DE VENTE PAR PRODUIT/SERVICE"/>
    <m/>
  </r>
  <r>
    <n v="991"/>
    <x v="0"/>
    <m/>
    <s v="YEAR6"/>
    <x v="8"/>
    <x v="2"/>
    <x v="24"/>
    <x v="3"/>
    <x v="3"/>
    <m/>
    <m/>
    <m/>
    <m/>
    <m/>
    <m/>
    <m/>
    <m/>
    <m/>
    <m/>
    <m/>
    <m/>
    <m/>
    <m/>
    <m/>
    <m/>
    <m/>
    <m/>
    <m/>
    <n v="0"/>
    <n v="0"/>
    <n v="0"/>
    <n v="0"/>
    <n v="0"/>
    <n v="0"/>
    <n v="0"/>
    <n v="0"/>
    <n v="0"/>
    <m/>
    <n v="0"/>
    <m/>
    <m/>
    <s v="SERVICE 04  |  PRIX MOYEN DE VENTE PAR PRODUIT/SERVICE"/>
    <m/>
  </r>
  <r>
    <n v="992"/>
    <x v="0"/>
    <m/>
    <s v="YEAR-2"/>
    <x v="1"/>
    <x v="2"/>
    <x v="24"/>
    <x v="3"/>
    <x v="4"/>
    <m/>
    <m/>
    <m/>
    <m/>
    <m/>
    <m/>
    <m/>
    <m/>
    <m/>
    <m/>
    <m/>
    <m/>
    <m/>
    <m/>
    <m/>
    <m/>
    <m/>
    <m/>
    <m/>
    <n v="0"/>
    <n v="0"/>
    <n v="0"/>
    <n v="0"/>
    <n v="0"/>
    <n v="0"/>
    <n v="0"/>
    <n v="0"/>
    <n v="0"/>
    <n v="0"/>
    <n v="0"/>
    <n v="0"/>
    <m/>
    <s v="SERVICE 04  |  DEPENSES SUR ACHATS"/>
    <b v="1"/>
  </r>
  <r>
    <n v="993"/>
    <x v="0"/>
    <m/>
    <s v="YEAR-1"/>
    <x v="2"/>
    <x v="2"/>
    <x v="24"/>
    <x v="3"/>
    <x v="4"/>
    <m/>
    <m/>
    <m/>
    <m/>
    <m/>
    <m/>
    <m/>
    <m/>
    <m/>
    <m/>
    <m/>
    <m/>
    <m/>
    <m/>
    <m/>
    <m/>
    <m/>
    <m/>
    <m/>
    <n v="0"/>
    <n v="0"/>
    <n v="0"/>
    <n v="0"/>
    <n v="0"/>
    <n v="0"/>
    <n v="0"/>
    <n v="0"/>
    <n v="0"/>
    <n v="0"/>
    <n v="0"/>
    <n v="0"/>
    <m/>
    <s v="SERVICE 04  |  DEPENSES SUR ACHATS"/>
    <b v="1"/>
  </r>
  <r>
    <n v="994"/>
    <x v="0"/>
    <m/>
    <s v="CURRENT YEAR"/>
    <x v="3"/>
    <x v="2"/>
    <x v="24"/>
    <x v="3"/>
    <x v="4"/>
    <m/>
    <m/>
    <m/>
    <m/>
    <m/>
    <m/>
    <m/>
    <m/>
    <m/>
    <m/>
    <m/>
    <m/>
    <m/>
    <m/>
    <m/>
    <m/>
    <m/>
    <m/>
    <m/>
    <n v="0"/>
    <n v="0"/>
    <n v="0"/>
    <n v="0"/>
    <n v="0"/>
    <n v="0"/>
    <n v="0"/>
    <n v="0"/>
    <n v="0"/>
    <n v="0"/>
    <n v="0"/>
    <n v="0"/>
    <m/>
    <s v="SERVICE 04  |  DEPENSES SUR ACHATS"/>
    <b v="1"/>
  </r>
  <r>
    <n v="995"/>
    <x v="0"/>
    <m/>
    <s v="YEAR2"/>
    <x v="4"/>
    <x v="2"/>
    <x v="24"/>
    <x v="3"/>
    <x v="4"/>
    <m/>
    <m/>
    <m/>
    <m/>
    <m/>
    <m/>
    <m/>
    <m/>
    <m/>
    <m/>
    <m/>
    <m/>
    <m/>
    <m/>
    <m/>
    <m/>
    <m/>
    <m/>
    <m/>
    <n v="0"/>
    <n v="0"/>
    <n v="0"/>
    <n v="0"/>
    <n v="0"/>
    <n v="0"/>
    <n v="0"/>
    <n v="0"/>
    <n v="0"/>
    <n v="0"/>
    <n v="0"/>
    <n v="0"/>
    <m/>
    <s v="SERVICE 04  |  DEPENSES SUR ACHATS"/>
    <b v="1"/>
  </r>
  <r>
    <n v="996"/>
    <x v="0"/>
    <m/>
    <s v="YEAR3"/>
    <x v="5"/>
    <x v="2"/>
    <x v="24"/>
    <x v="3"/>
    <x v="4"/>
    <m/>
    <m/>
    <m/>
    <m/>
    <m/>
    <m/>
    <m/>
    <m/>
    <m/>
    <m/>
    <m/>
    <m/>
    <m/>
    <m/>
    <m/>
    <m/>
    <m/>
    <m/>
    <m/>
    <n v="0"/>
    <n v="0"/>
    <n v="0"/>
    <n v="0"/>
    <n v="0"/>
    <n v="0"/>
    <n v="0"/>
    <n v="0"/>
    <n v="0"/>
    <n v="0"/>
    <n v="0"/>
    <n v="0"/>
    <m/>
    <s v="SERVICE 04  |  DEPENSES SUR ACHATS"/>
    <b v="1"/>
  </r>
  <r>
    <n v="997"/>
    <x v="0"/>
    <m/>
    <s v="YEAR4"/>
    <x v="6"/>
    <x v="2"/>
    <x v="24"/>
    <x v="3"/>
    <x v="4"/>
    <m/>
    <m/>
    <m/>
    <m/>
    <m/>
    <m/>
    <m/>
    <m/>
    <m/>
    <m/>
    <m/>
    <m/>
    <m/>
    <m/>
    <m/>
    <m/>
    <m/>
    <m/>
    <m/>
    <n v="0"/>
    <n v="0"/>
    <n v="0"/>
    <n v="0"/>
    <n v="0"/>
    <n v="0"/>
    <n v="0"/>
    <n v="0"/>
    <n v="0"/>
    <n v="0"/>
    <n v="0"/>
    <n v="0"/>
    <m/>
    <s v="SERVICE 04  |  DEPENSES SUR ACHATS"/>
    <b v="1"/>
  </r>
  <r>
    <n v="998"/>
    <x v="0"/>
    <m/>
    <s v="YEAR5"/>
    <x v="7"/>
    <x v="2"/>
    <x v="24"/>
    <x v="3"/>
    <x v="4"/>
    <m/>
    <m/>
    <m/>
    <m/>
    <m/>
    <m/>
    <m/>
    <m/>
    <m/>
    <m/>
    <m/>
    <m/>
    <m/>
    <m/>
    <m/>
    <m/>
    <m/>
    <m/>
    <m/>
    <n v="0"/>
    <n v="0"/>
    <n v="0"/>
    <n v="0"/>
    <n v="0"/>
    <n v="0"/>
    <n v="0"/>
    <n v="0"/>
    <n v="0"/>
    <n v="0"/>
    <n v="0"/>
    <n v="0"/>
    <m/>
    <s v="SERVICE 04  |  DEPENSES SUR ACHATS"/>
    <b v="1"/>
  </r>
  <r>
    <n v="999"/>
    <x v="0"/>
    <m/>
    <s v="YEAR6"/>
    <x v="8"/>
    <x v="2"/>
    <x v="24"/>
    <x v="3"/>
    <x v="4"/>
    <m/>
    <m/>
    <m/>
    <m/>
    <m/>
    <m/>
    <m/>
    <m/>
    <m/>
    <m/>
    <m/>
    <m/>
    <m/>
    <m/>
    <m/>
    <m/>
    <m/>
    <m/>
    <m/>
    <n v="0"/>
    <n v="0"/>
    <n v="0"/>
    <n v="0"/>
    <n v="0"/>
    <n v="0"/>
    <n v="0"/>
    <n v="0"/>
    <n v="0"/>
    <n v="0"/>
    <n v="0"/>
    <n v="0"/>
    <m/>
    <s v="SERVICE 04  |  DEPENSES SUR ACHATS"/>
    <b v="1"/>
  </r>
  <r>
    <n v="1000"/>
    <x v="0"/>
    <m/>
    <s v="YEAR-2"/>
    <x v="1"/>
    <x v="2"/>
    <x v="24"/>
    <x v="3"/>
    <x v="5"/>
    <m/>
    <m/>
    <m/>
    <m/>
    <m/>
    <m/>
    <m/>
    <m/>
    <m/>
    <m/>
    <m/>
    <m/>
    <m/>
    <m/>
    <m/>
    <m/>
    <m/>
    <m/>
    <m/>
    <n v="0"/>
    <n v="0"/>
    <n v="0"/>
    <n v="0"/>
    <n v="0"/>
    <n v="0"/>
    <n v="0"/>
    <n v="0"/>
    <n v="0"/>
    <m/>
    <n v="0"/>
    <m/>
    <m/>
    <s v="SERVICE 04  |  PRIX MOYEN D'ACHAT PAR PRODUIT/SERVICE"/>
    <m/>
  </r>
  <r>
    <n v="1001"/>
    <x v="0"/>
    <m/>
    <s v="YEAR-1"/>
    <x v="2"/>
    <x v="2"/>
    <x v="24"/>
    <x v="3"/>
    <x v="5"/>
    <m/>
    <m/>
    <m/>
    <m/>
    <m/>
    <m/>
    <m/>
    <m/>
    <m/>
    <m/>
    <m/>
    <m/>
    <m/>
    <m/>
    <m/>
    <m/>
    <m/>
    <m/>
    <m/>
    <n v="0"/>
    <n v="0"/>
    <n v="0"/>
    <n v="0"/>
    <n v="0"/>
    <n v="0"/>
    <n v="0"/>
    <n v="0"/>
    <n v="0"/>
    <m/>
    <n v="0"/>
    <m/>
    <m/>
    <s v="SERVICE 04  |  PRIX MOYEN D'ACHAT PAR PRODUIT/SERVICE"/>
    <m/>
  </r>
  <r>
    <n v="1002"/>
    <x v="0"/>
    <m/>
    <s v="CURRENT YEAR"/>
    <x v="3"/>
    <x v="2"/>
    <x v="24"/>
    <x v="3"/>
    <x v="5"/>
    <m/>
    <m/>
    <m/>
    <m/>
    <m/>
    <m/>
    <m/>
    <m/>
    <m/>
    <m/>
    <m/>
    <m/>
    <m/>
    <m/>
    <m/>
    <m/>
    <m/>
    <m/>
    <m/>
    <n v="0"/>
    <n v="0"/>
    <n v="0"/>
    <n v="0"/>
    <n v="0"/>
    <n v="0"/>
    <n v="0"/>
    <n v="0"/>
    <n v="0"/>
    <m/>
    <n v="0"/>
    <m/>
    <m/>
    <s v="SERVICE 04  |  PRIX MOYEN D'ACHAT PAR PRODUIT/SERVICE"/>
    <m/>
  </r>
  <r>
    <n v="1003"/>
    <x v="0"/>
    <m/>
    <s v="YEAR2"/>
    <x v="4"/>
    <x v="2"/>
    <x v="24"/>
    <x v="3"/>
    <x v="5"/>
    <m/>
    <m/>
    <m/>
    <m/>
    <m/>
    <m/>
    <m/>
    <m/>
    <m/>
    <m/>
    <m/>
    <m/>
    <m/>
    <m/>
    <m/>
    <m/>
    <m/>
    <m/>
    <m/>
    <n v="0"/>
    <n v="0"/>
    <n v="0"/>
    <n v="0"/>
    <n v="0"/>
    <n v="0"/>
    <n v="0"/>
    <n v="0"/>
    <n v="0"/>
    <m/>
    <n v="0"/>
    <m/>
    <m/>
    <s v="SERVICE 04  |  PRIX MOYEN D'ACHAT PAR PRODUIT/SERVICE"/>
    <m/>
  </r>
  <r>
    <n v="1004"/>
    <x v="0"/>
    <m/>
    <s v="YEAR3"/>
    <x v="5"/>
    <x v="2"/>
    <x v="24"/>
    <x v="3"/>
    <x v="5"/>
    <m/>
    <m/>
    <m/>
    <m/>
    <m/>
    <m/>
    <m/>
    <m/>
    <m/>
    <m/>
    <m/>
    <m/>
    <m/>
    <m/>
    <m/>
    <m/>
    <m/>
    <m/>
    <m/>
    <n v="0"/>
    <n v="0"/>
    <n v="0"/>
    <n v="0"/>
    <n v="0"/>
    <n v="0"/>
    <n v="0"/>
    <n v="0"/>
    <n v="0"/>
    <m/>
    <n v="0"/>
    <m/>
    <m/>
    <s v="SERVICE 04  |  PRIX MOYEN D'ACHAT PAR PRODUIT/SERVICE"/>
    <m/>
  </r>
  <r>
    <n v="1005"/>
    <x v="0"/>
    <m/>
    <s v="YEAR4"/>
    <x v="6"/>
    <x v="2"/>
    <x v="24"/>
    <x v="3"/>
    <x v="5"/>
    <m/>
    <m/>
    <m/>
    <m/>
    <m/>
    <m/>
    <m/>
    <m/>
    <m/>
    <m/>
    <m/>
    <m/>
    <m/>
    <m/>
    <m/>
    <m/>
    <m/>
    <m/>
    <m/>
    <n v="0"/>
    <n v="0"/>
    <n v="0"/>
    <n v="0"/>
    <n v="0"/>
    <n v="0"/>
    <n v="0"/>
    <n v="0"/>
    <n v="0"/>
    <m/>
    <n v="0"/>
    <m/>
    <m/>
    <s v="SERVICE 04  |  PRIX MOYEN D'ACHAT PAR PRODUIT/SERVICE"/>
    <m/>
  </r>
  <r>
    <n v="1006"/>
    <x v="0"/>
    <m/>
    <s v="YEAR5"/>
    <x v="7"/>
    <x v="2"/>
    <x v="24"/>
    <x v="3"/>
    <x v="5"/>
    <m/>
    <m/>
    <m/>
    <m/>
    <m/>
    <m/>
    <m/>
    <m/>
    <m/>
    <m/>
    <m/>
    <m/>
    <m/>
    <m/>
    <m/>
    <m/>
    <m/>
    <m/>
    <m/>
    <n v="0"/>
    <n v="0"/>
    <n v="0"/>
    <n v="0"/>
    <n v="0"/>
    <n v="0"/>
    <n v="0"/>
    <n v="0"/>
    <n v="0"/>
    <m/>
    <n v="0"/>
    <m/>
    <m/>
    <s v="SERVICE 04  |  PRIX MOYEN D'ACHAT PAR PRODUIT/SERVICE"/>
    <m/>
  </r>
  <r>
    <n v="1007"/>
    <x v="0"/>
    <m/>
    <s v="YEAR6"/>
    <x v="8"/>
    <x v="2"/>
    <x v="24"/>
    <x v="3"/>
    <x v="5"/>
    <m/>
    <m/>
    <m/>
    <m/>
    <m/>
    <m/>
    <m/>
    <m/>
    <m/>
    <m/>
    <m/>
    <m/>
    <m/>
    <m/>
    <m/>
    <m/>
    <m/>
    <m/>
    <m/>
    <n v="0"/>
    <n v="0"/>
    <n v="0"/>
    <n v="0"/>
    <n v="0"/>
    <n v="0"/>
    <n v="0"/>
    <n v="0"/>
    <n v="0"/>
    <m/>
    <n v="0"/>
    <m/>
    <m/>
    <s v="SERVICE 04  |  PRIX MOYEN D'ACHAT PAR PRODUIT/SERVICE"/>
    <m/>
  </r>
  <r>
    <n v="1008"/>
    <x v="0"/>
    <n v="1"/>
    <m/>
    <x v="0"/>
    <x v="0"/>
    <x v="0"/>
    <x v="0"/>
    <x v="0"/>
    <m/>
    <m/>
    <m/>
    <m/>
    <m/>
    <m/>
    <m/>
    <m/>
    <m/>
    <m/>
    <m/>
    <m/>
    <m/>
    <m/>
    <m/>
    <m/>
    <m/>
    <m/>
    <m/>
    <m/>
    <m/>
    <m/>
    <m/>
    <m/>
    <m/>
    <m/>
    <m/>
    <m/>
    <m/>
    <m/>
    <m/>
    <m/>
    <m/>
    <m/>
  </r>
  <r>
    <n v="1009"/>
    <x v="0"/>
    <m/>
    <m/>
    <x v="0"/>
    <x v="0"/>
    <x v="0"/>
    <x v="0"/>
    <x v="0"/>
    <m/>
    <m/>
    <m/>
    <m/>
    <m/>
    <m/>
    <m/>
    <m/>
    <m/>
    <m/>
    <m/>
    <m/>
    <m/>
    <m/>
    <m/>
    <m/>
    <m/>
    <m/>
    <m/>
    <m/>
    <m/>
    <m/>
    <m/>
    <m/>
    <m/>
    <m/>
    <m/>
    <m/>
    <m/>
    <m/>
    <m/>
    <m/>
    <m/>
    <m/>
  </r>
  <r>
    <n v="1010"/>
    <x v="0"/>
    <n v="1"/>
    <s v="YEAR-2"/>
    <x v="1"/>
    <x v="2"/>
    <x v="25"/>
    <x v="3"/>
    <x v="1"/>
    <n v="1000"/>
    <n v="0"/>
    <n v="0"/>
    <n v="1000"/>
    <n v="1"/>
    <n v="0"/>
    <n v="0"/>
    <n v="500"/>
    <n v="0"/>
    <n v="0"/>
    <n v="500"/>
    <n v="1"/>
    <n v="1"/>
    <n v="1"/>
    <n v="0"/>
    <n v="0"/>
    <n v="0"/>
    <n v="0"/>
    <n v="0"/>
    <n v="0"/>
    <n v="0"/>
    <n v="0"/>
    <n v="0"/>
    <n v="0"/>
    <n v="0"/>
    <n v="0"/>
    <n v="0"/>
    <n v="0"/>
    <n v="0"/>
    <n v="0"/>
    <n v="0"/>
    <s v="GAMME # : 1 + CANAL DE DISTRIBUTION # : 1"/>
    <s v="SERVICE 05  |  VOLUME"/>
    <b v="1"/>
  </r>
  <r>
    <n v="1011"/>
    <x v="0"/>
    <n v="1"/>
    <s v="YEAR-1"/>
    <x v="2"/>
    <x v="2"/>
    <x v="25"/>
    <x v="3"/>
    <x v="1"/>
    <n v="1000"/>
    <n v="0"/>
    <n v="0"/>
    <n v="1000"/>
    <n v="1"/>
    <n v="0"/>
    <n v="0"/>
    <n v="500"/>
    <n v="0"/>
    <n v="0"/>
    <n v="500"/>
    <n v="1"/>
    <n v="1"/>
    <n v="1"/>
    <n v="0"/>
    <n v="0"/>
    <n v="0"/>
    <n v="0"/>
    <n v="0"/>
    <n v="0"/>
    <n v="0"/>
    <n v="0"/>
    <n v="0"/>
    <n v="0"/>
    <n v="0"/>
    <n v="0"/>
    <n v="0"/>
    <n v="0"/>
    <n v="0"/>
    <n v="0"/>
    <n v="0"/>
    <m/>
    <s v="SERVICE 05  |  VOLUME"/>
    <b v="1"/>
  </r>
  <r>
    <n v="1012"/>
    <x v="0"/>
    <n v="1"/>
    <s v="CURRENT YEAR"/>
    <x v="3"/>
    <x v="2"/>
    <x v="25"/>
    <x v="3"/>
    <x v="1"/>
    <n v="1000"/>
    <n v="0"/>
    <n v="0"/>
    <n v="1000"/>
    <n v="1"/>
    <n v="0"/>
    <n v="0"/>
    <n v="500"/>
    <n v="0"/>
    <n v="0"/>
    <n v="500"/>
    <n v="1"/>
    <n v="1"/>
    <n v="1"/>
    <n v="0"/>
    <n v="0"/>
    <n v="0"/>
    <n v="0"/>
    <n v="0"/>
    <n v="0"/>
    <n v="0"/>
    <n v="0"/>
    <n v="0"/>
    <n v="0"/>
    <n v="0"/>
    <n v="0"/>
    <n v="0"/>
    <n v="0"/>
    <n v="0"/>
    <n v="0"/>
    <n v="0"/>
    <m/>
    <s v="SERVICE 05  |  VOLUME"/>
    <b v="1"/>
  </r>
  <r>
    <n v="1013"/>
    <x v="0"/>
    <n v="1"/>
    <s v="YEAR2"/>
    <x v="4"/>
    <x v="2"/>
    <x v="25"/>
    <x v="3"/>
    <x v="1"/>
    <n v="1000"/>
    <n v="0"/>
    <n v="0"/>
    <n v="1000"/>
    <n v="1"/>
    <n v="0"/>
    <n v="0"/>
    <n v="500"/>
    <n v="0"/>
    <n v="0"/>
    <n v="500"/>
    <n v="1"/>
    <n v="1"/>
    <n v="1"/>
    <n v="0"/>
    <n v="0"/>
    <n v="0"/>
    <n v="0"/>
    <n v="0"/>
    <n v="0"/>
    <n v="0"/>
    <n v="0"/>
    <n v="0"/>
    <n v="0"/>
    <n v="0"/>
    <n v="0"/>
    <n v="0"/>
    <n v="0"/>
    <n v="0"/>
    <n v="0"/>
    <n v="0"/>
    <m/>
    <s v="SERVICE 05  |  VOLUME"/>
    <b v="1"/>
  </r>
  <r>
    <n v="1014"/>
    <x v="0"/>
    <n v="1"/>
    <s v="YEAR3"/>
    <x v="5"/>
    <x v="2"/>
    <x v="25"/>
    <x v="3"/>
    <x v="1"/>
    <n v="1000"/>
    <n v="0"/>
    <n v="0"/>
    <n v="1000"/>
    <n v="1"/>
    <n v="0"/>
    <n v="0"/>
    <n v="500"/>
    <n v="0"/>
    <n v="0"/>
    <n v="500"/>
    <n v="1"/>
    <n v="1"/>
    <n v="1"/>
    <n v="0"/>
    <n v="0"/>
    <n v="0"/>
    <n v="0"/>
    <n v="0"/>
    <n v="0"/>
    <n v="0"/>
    <n v="0"/>
    <n v="0"/>
    <n v="0"/>
    <n v="0"/>
    <n v="0"/>
    <n v="0"/>
    <n v="0"/>
    <n v="0"/>
    <n v="0"/>
    <n v="0"/>
    <m/>
    <s v="SERVICE 05  |  VOLUME"/>
    <b v="1"/>
  </r>
  <r>
    <n v="1015"/>
    <x v="0"/>
    <n v="1"/>
    <s v="YEAR4"/>
    <x v="6"/>
    <x v="2"/>
    <x v="25"/>
    <x v="3"/>
    <x v="1"/>
    <n v="1000"/>
    <n v="0"/>
    <n v="0"/>
    <n v="1000"/>
    <n v="1"/>
    <n v="0"/>
    <n v="0"/>
    <n v="500"/>
    <n v="0"/>
    <n v="0"/>
    <n v="500"/>
    <n v="1"/>
    <n v="1"/>
    <n v="1"/>
    <n v="0"/>
    <n v="0"/>
    <n v="0"/>
    <n v="0"/>
    <n v="0"/>
    <n v="0"/>
    <n v="0"/>
    <n v="0"/>
    <n v="0"/>
    <n v="0"/>
    <n v="0"/>
    <n v="0"/>
    <n v="0"/>
    <n v="0"/>
    <n v="0"/>
    <n v="0"/>
    <n v="0"/>
    <m/>
    <s v="SERVICE 05  |  VOLUME"/>
    <b v="1"/>
  </r>
  <r>
    <n v="1016"/>
    <x v="0"/>
    <n v="1"/>
    <s v="YEAR5"/>
    <x v="7"/>
    <x v="2"/>
    <x v="25"/>
    <x v="3"/>
    <x v="1"/>
    <n v="1000"/>
    <n v="0"/>
    <n v="0"/>
    <n v="1000"/>
    <n v="1"/>
    <n v="0"/>
    <n v="0"/>
    <n v="500"/>
    <n v="0"/>
    <n v="0"/>
    <n v="500"/>
    <n v="1"/>
    <n v="1"/>
    <n v="1"/>
    <n v="0"/>
    <n v="0"/>
    <n v="0"/>
    <n v="0"/>
    <n v="0"/>
    <n v="0"/>
    <n v="0"/>
    <n v="0"/>
    <n v="0"/>
    <n v="0"/>
    <n v="0"/>
    <n v="0"/>
    <n v="0"/>
    <n v="0"/>
    <n v="0"/>
    <n v="0"/>
    <n v="0"/>
    <m/>
    <s v="SERVICE 05  |  VOLUME"/>
    <b v="1"/>
  </r>
  <r>
    <n v="1017"/>
    <x v="0"/>
    <n v="1"/>
    <s v="YEAR6"/>
    <x v="8"/>
    <x v="2"/>
    <x v="25"/>
    <x v="3"/>
    <x v="1"/>
    <n v="1000"/>
    <n v="0"/>
    <n v="0"/>
    <n v="1000"/>
    <n v="1"/>
    <n v="0"/>
    <n v="0"/>
    <n v="500"/>
    <n v="0"/>
    <n v="0"/>
    <n v="500"/>
    <n v="1"/>
    <n v="1"/>
    <n v="1"/>
    <n v="0"/>
    <n v="0"/>
    <n v="0"/>
    <n v="0"/>
    <n v="0"/>
    <n v="0"/>
    <n v="0"/>
    <n v="0"/>
    <n v="0"/>
    <n v="0"/>
    <n v="0"/>
    <n v="0"/>
    <n v="0"/>
    <n v="0"/>
    <n v="0"/>
    <n v="0"/>
    <n v="0"/>
    <m/>
    <s v="SERVICE 05  |  VOLUME"/>
    <b v="1"/>
  </r>
  <r>
    <n v="1018"/>
    <x v="0"/>
    <m/>
    <s v="YEAR-2"/>
    <x v="1"/>
    <x v="2"/>
    <x v="25"/>
    <x v="3"/>
    <x v="2"/>
    <m/>
    <m/>
    <m/>
    <m/>
    <m/>
    <m/>
    <m/>
    <m/>
    <m/>
    <m/>
    <m/>
    <m/>
    <m/>
    <m/>
    <m/>
    <m/>
    <m/>
    <m/>
    <m/>
    <n v="0"/>
    <n v="0"/>
    <n v="0"/>
    <n v="0"/>
    <n v="0"/>
    <n v="0"/>
    <n v="0"/>
    <n v="0"/>
    <n v="0"/>
    <n v="0"/>
    <n v="0"/>
    <n v="0"/>
    <m/>
    <s v="SERVICE 05  |  CHIFFRE D'AFFAIRES"/>
    <b v="1"/>
  </r>
  <r>
    <n v="1019"/>
    <x v="0"/>
    <m/>
    <s v="YEAR-1"/>
    <x v="2"/>
    <x v="2"/>
    <x v="25"/>
    <x v="3"/>
    <x v="2"/>
    <m/>
    <m/>
    <m/>
    <m/>
    <m/>
    <m/>
    <m/>
    <m/>
    <m/>
    <m/>
    <m/>
    <m/>
    <m/>
    <m/>
    <m/>
    <m/>
    <m/>
    <m/>
    <m/>
    <n v="0"/>
    <n v="0"/>
    <n v="0"/>
    <n v="0"/>
    <n v="0"/>
    <n v="0"/>
    <n v="0"/>
    <n v="0"/>
    <n v="0"/>
    <n v="0"/>
    <n v="0"/>
    <n v="0"/>
    <m/>
    <s v="SERVICE 05  |  CHIFFRE D'AFFAIRES"/>
    <b v="1"/>
  </r>
  <r>
    <n v="1020"/>
    <x v="0"/>
    <m/>
    <s v="CURRENT YEAR"/>
    <x v="3"/>
    <x v="2"/>
    <x v="25"/>
    <x v="3"/>
    <x v="2"/>
    <m/>
    <m/>
    <m/>
    <m/>
    <m/>
    <m/>
    <m/>
    <m/>
    <m/>
    <m/>
    <m/>
    <m/>
    <m/>
    <m/>
    <m/>
    <m/>
    <m/>
    <m/>
    <m/>
    <n v="0"/>
    <n v="0"/>
    <n v="0"/>
    <n v="0"/>
    <n v="0"/>
    <n v="0"/>
    <n v="0"/>
    <n v="0"/>
    <n v="0"/>
    <n v="0"/>
    <n v="0"/>
    <n v="0"/>
    <m/>
    <s v="SERVICE 05  |  CHIFFRE D'AFFAIRES"/>
    <b v="1"/>
  </r>
  <r>
    <n v="1021"/>
    <x v="0"/>
    <m/>
    <s v="YEAR2"/>
    <x v="4"/>
    <x v="2"/>
    <x v="25"/>
    <x v="3"/>
    <x v="2"/>
    <m/>
    <m/>
    <m/>
    <m/>
    <m/>
    <m/>
    <m/>
    <m/>
    <m/>
    <m/>
    <m/>
    <m/>
    <m/>
    <m/>
    <m/>
    <m/>
    <m/>
    <m/>
    <m/>
    <n v="0"/>
    <n v="0"/>
    <n v="0"/>
    <n v="0"/>
    <n v="0"/>
    <n v="0"/>
    <n v="0"/>
    <n v="0"/>
    <n v="0"/>
    <n v="0"/>
    <n v="0"/>
    <n v="0"/>
    <m/>
    <s v="SERVICE 05  |  CHIFFRE D'AFFAIRES"/>
    <b v="1"/>
  </r>
  <r>
    <n v="1022"/>
    <x v="0"/>
    <m/>
    <s v="YEAR3"/>
    <x v="5"/>
    <x v="2"/>
    <x v="25"/>
    <x v="3"/>
    <x v="2"/>
    <m/>
    <m/>
    <m/>
    <m/>
    <m/>
    <m/>
    <m/>
    <m/>
    <m/>
    <m/>
    <m/>
    <m/>
    <m/>
    <m/>
    <m/>
    <m/>
    <m/>
    <m/>
    <m/>
    <n v="0"/>
    <n v="0"/>
    <n v="0"/>
    <n v="0"/>
    <n v="0"/>
    <n v="0"/>
    <n v="0"/>
    <n v="0"/>
    <n v="0"/>
    <n v="0"/>
    <n v="0"/>
    <n v="0"/>
    <m/>
    <s v="SERVICE 05  |  CHIFFRE D'AFFAIRES"/>
    <b v="1"/>
  </r>
  <r>
    <n v="1023"/>
    <x v="0"/>
    <m/>
    <s v="YEAR4"/>
    <x v="6"/>
    <x v="2"/>
    <x v="25"/>
    <x v="3"/>
    <x v="2"/>
    <m/>
    <m/>
    <m/>
    <m/>
    <m/>
    <m/>
    <m/>
    <m/>
    <m/>
    <m/>
    <m/>
    <m/>
    <m/>
    <m/>
    <m/>
    <m/>
    <m/>
    <m/>
    <m/>
    <n v="0"/>
    <n v="0"/>
    <n v="0"/>
    <n v="0"/>
    <n v="0"/>
    <n v="0"/>
    <n v="0"/>
    <n v="0"/>
    <n v="0"/>
    <n v="0"/>
    <n v="0"/>
    <n v="0"/>
    <m/>
    <s v="SERVICE 05  |  CHIFFRE D'AFFAIRES"/>
    <b v="1"/>
  </r>
  <r>
    <n v="1024"/>
    <x v="0"/>
    <m/>
    <s v="YEAR5"/>
    <x v="7"/>
    <x v="2"/>
    <x v="25"/>
    <x v="3"/>
    <x v="2"/>
    <m/>
    <m/>
    <m/>
    <m/>
    <m/>
    <m/>
    <m/>
    <m/>
    <m/>
    <m/>
    <m/>
    <m/>
    <m/>
    <m/>
    <m/>
    <m/>
    <m/>
    <m/>
    <m/>
    <n v="0"/>
    <n v="0"/>
    <n v="0"/>
    <n v="0"/>
    <n v="0"/>
    <n v="0"/>
    <n v="0"/>
    <n v="0"/>
    <n v="0"/>
    <n v="0"/>
    <n v="0"/>
    <n v="0"/>
    <m/>
    <s v="SERVICE 05  |  CHIFFRE D'AFFAIRES"/>
    <b v="1"/>
  </r>
  <r>
    <n v="1025"/>
    <x v="0"/>
    <m/>
    <s v="YEAR6"/>
    <x v="8"/>
    <x v="2"/>
    <x v="25"/>
    <x v="3"/>
    <x v="2"/>
    <m/>
    <m/>
    <m/>
    <m/>
    <m/>
    <m/>
    <m/>
    <m/>
    <m/>
    <m/>
    <m/>
    <m/>
    <m/>
    <m/>
    <m/>
    <m/>
    <m/>
    <m/>
    <m/>
    <n v="0"/>
    <n v="0"/>
    <n v="0"/>
    <n v="0"/>
    <n v="0"/>
    <n v="0"/>
    <n v="0"/>
    <n v="0"/>
    <n v="0"/>
    <n v="0"/>
    <n v="0"/>
    <n v="0"/>
    <m/>
    <s v="SERVICE 05  |  CHIFFRE D'AFFAIRES"/>
    <b v="1"/>
  </r>
  <r>
    <n v="1026"/>
    <x v="0"/>
    <m/>
    <s v="YEAR-2"/>
    <x v="1"/>
    <x v="2"/>
    <x v="25"/>
    <x v="3"/>
    <x v="3"/>
    <m/>
    <m/>
    <m/>
    <m/>
    <m/>
    <m/>
    <m/>
    <m/>
    <m/>
    <m/>
    <m/>
    <m/>
    <m/>
    <m/>
    <m/>
    <m/>
    <m/>
    <m/>
    <m/>
    <n v="0"/>
    <n v="0"/>
    <n v="0"/>
    <n v="0"/>
    <n v="0"/>
    <n v="0"/>
    <n v="0"/>
    <n v="0"/>
    <n v="0"/>
    <m/>
    <n v="0"/>
    <m/>
    <m/>
    <s v="SERVICE 05  |  PRIX MOYEN DE VENTE PAR PRODUIT/SERVICE"/>
    <m/>
  </r>
  <r>
    <n v="1027"/>
    <x v="0"/>
    <m/>
    <s v="YEAR-1"/>
    <x v="2"/>
    <x v="2"/>
    <x v="25"/>
    <x v="3"/>
    <x v="3"/>
    <m/>
    <m/>
    <m/>
    <m/>
    <m/>
    <m/>
    <m/>
    <m/>
    <m/>
    <m/>
    <m/>
    <m/>
    <m/>
    <m/>
    <m/>
    <m/>
    <m/>
    <m/>
    <m/>
    <n v="0"/>
    <n v="0"/>
    <n v="0"/>
    <n v="0"/>
    <n v="0"/>
    <n v="0"/>
    <n v="0"/>
    <n v="0"/>
    <n v="0"/>
    <m/>
    <n v="0"/>
    <m/>
    <m/>
    <s v="SERVICE 05  |  PRIX MOYEN DE VENTE PAR PRODUIT/SERVICE"/>
    <m/>
  </r>
  <r>
    <n v="1028"/>
    <x v="0"/>
    <m/>
    <s v="CURRENT YEAR"/>
    <x v="3"/>
    <x v="2"/>
    <x v="25"/>
    <x v="3"/>
    <x v="3"/>
    <m/>
    <m/>
    <m/>
    <m/>
    <m/>
    <m/>
    <m/>
    <m/>
    <m/>
    <m/>
    <m/>
    <m/>
    <m/>
    <m/>
    <m/>
    <m/>
    <m/>
    <m/>
    <m/>
    <n v="0"/>
    <n v="0"/>
    <n v="0"/>
    <n v="0"/>
    <n v="0"/>
    <n v="0"/>
    <n v="0"/>
    <n v="0"/>
    <n v="0"/>
    <m/>
    <n v="0"/>
    <m/>
    <m/>
    <s v="SERVICE 05  |  PRIX MOYEN DE VENTE PAR PRODUIT/SERVICE"/>
    <m/>
  </r>
  <r>
    <n v="1029"/>
    <x v="0"/>
    <m/>
    <s v="YEAR2"/>
    <x v="4"/>
    <x v="2"/>
    <x v="25"/>
    <x v="3"/>
    <x v="3"/>
    <m/>
    <m/>
    <m/>
    <m/>
    <m/>
    <m/>
    <m/>
    <m/>
    <m/>
    <m/>
    <m/>
    <m/>
    <m/>
    <m/>
    <m/>
    <m/>
    <m/>
    <m/>
    <m/>
    <n v="0"/>
    <n v="0"/>
    <n v="0"/>
    <n v="0"/>
    <n v="0"/>
    <n v="0"/>
    <n v="0"/>
    <n v="0"/>
    <n v="0"/>
    <m/>
    <n v="0"/>
    <m/>
    <m/>
    <s v="SERVICE 05  |  PRIX MOYEN DE VENTE PAR PRODUIT/SERVICE"/>
    <m/>
  </r>
  <r>
    <n v="1030"/>
    <x v="0"/>
    <m/>
    <s v="YEAR3"/>
    <x v="5"/>
    <x v="2"/>
    <x v="25"/>
    <x v="3"/>
    <x v="3"/>
    <m/>
    <m/>
    <m/>
    <m/>
    <m/>
    <m/>
    <m/>
    <m/>
    <m/>
    <m/>
    <m/>
    <m/>
    <m/>
    <m/>
    <m/>
    <m/>
    <m/>
    <m/>
    <m/>
    <n v="0"/>
    <n v="0"/>
    <n v="0"/>
    <n v="0"/>
    <n v="0"/>
    <n v="0"/>
    <n v="0"/>
    <n v="0"/>
    <n v="0"/>
    <m/>
    <n v="0"/>
    <m/>
    <m/>
    <s v="SERVICE 05  |  PRIX MOYEN DE VENTE PAR PRODUIT/SERVICE"/>
    <m/>
  </r>
  <r>
    <n v="1031"/>
    <x v="0"/>
    <m/>
    <s v="YEAR4"/>
    <x v="6"/>
    <x v="2"/>
    <x v="25"/>
    <x v="3"/>
    <x v="3"/>
    <m/>
    <m/>
    <m/>
    <m/>
    <m/>
    <m/>
    <m/>
    <m/>
    <m/>
    <m/>
    <m/>
    <m/>
    <m/>
    <m/>
    <m/>
    <m/>
    <m/>
    <m/>
    <m/>
    <n v="0"/>
    <n v="0"/>
    <n v="0"/>
    <n v="0"/>
    <n v="0"/>
    <n v="0"/>
    <n v="0"/>
    <n v="0"/>
    <n v="0"/>
    <m/>
    <n v="0"/>
    <m/>
    <m/>
    <s v="SERVICE 05  |  PRIX MOYEN DE VENTE PAR PRODUIT/SERVICE"/>
    <m/>
  </r>
  <r>
    <n v="1032"/>
    <x v="0"/>
    <m/>
    <s v="YEAR5"/>
    <x v="7"/>
    <x v="2"/>
    <x v="25"/>
    <x v="3"/>
    <x v="3"/>
    <m/>
    <m/>
    <m/>
    <m/>
    <m/>
    <m/>
    <m/>
    <m/>
    <m/>
    <m/>
    <m/>
    <m/>
    <m/>
    <m/>
    <m/>
    <m/>
    <m/>
    <m/>
    <m/>
    <n v="0"/>
    <n v="0"/>
    <n v="0"/>
    <n v="0"/>
    <n v="0"/>
    <n v="0"/>
    <n v="0"/>
    <n v="0"/>
    <n v="0"/>
    <m/>
    <n v="0"/>
    <m/>
    <m/>
    <s v="SERVICE 05  |  PRIX MOYEN DE VENTE PAR PRODUIT/SERVICE"/>
    <m/>
  </r>
  <r>
    <n v="1033"/>
    <x v="0"/>
    <m/>
    <s v="YEAR6"/>
    <x v="8"/>
    <x v="2"/>
    <x v="25"/>
    <x v="3"/>
    <x v="3"/>
    <m/>
    <m/>
    <m/>
    <m/>
    <m/>
    <m/>
    <m/>
    <m/>
    <m/>
    <m/>
    <m/>
    <m/>
    <m/>
    <m/>
    <m/>
    <m/>
    <m/>
    <m/>
    <m/>
    <n v="0"/>
    <n v="0"/>
    <n v="0"/>
    <n v="0"/>
    <n v="0"/>
    <n v="0"/>
    <n v="0"/>
    <n v="0"/>
    <n v="0"/>
    <m/>
    <n v="0"/>
    <m/>
    <m/>
    <s v="SERVICE 05  |  PRIX MOYEN DE VENTE PAR PRODUIT/SERVICE"/>
    <m/>
  </r>
  <r>
    <n v="1034"/>
    <x v="0"/>
    <m/>
    <s v="YEAR-2"/>
    <x v="1"/>
    <x v="2"/>
    <x v="25"/>
    <x v="3"/>
    <x v="4"/>
    <m/>
    <m/>
    <m/>
    <m/>
    <m/>
    <m/>
    <m/>
    <m/>
    <m/>
    <m/>
    <m/>
    <m/>
    <m/>
    <m/>
    <m/>
    <m/>
    <m/>
    <m/>
    <m/>
    <n v="0"/>
    <n v="0"/>
    <n v="0"/>
    <n v="0"/>
    <n v="0"/>
    <n v="0"/>
    <n v="0"/>
    <n v="0"/>
    <n v="0"/>
    <n v="0"/>
    <n v="0"/>
    <n v="0"/>
    <m/>
    <s v="SERVICE 05  |  DEPENSES SUR ACHATS"/>
    <b v="1"/>
  </r>
  <r>
    <n v="1035"/>
    <x v="0"/>
    <m/>
    <s v="YEAR-1"/>
    <x v="2"/>
    <x v="2"/>
    <x v="25"/>
    <x v="3"/>
    <x v="4"/>
    <m/>
    <m/>
    <m/>
    <m/>
    <m/>
    <m/>
    <m/>
    <m/>
    <m/>
    <m/>
    <m/>
    <m/>
    <m/>
    <m/>
    <m/>
    <m/>
    <m/>
    <m/>
    <m/>
    <n v="0"/>
    <n v="0"/>
    <n v="0"/>
    <n v="0"/>
    <n v="0"/>
    <n v="0"/>
    <n v="0"/>
    <n v="0"/>
    <n v="0"/>
    <n v="0"/>
    <n v="0"/>
    <n v="0"/>
    <m/>
    <s v="SERVICE 05  |  DEPENSES SUR ACHATS"/>
    <b v="1"/>
  </r>
  <r>
    <n v="1036"/>
    <x v="0"/>
    <m/>
    <s v="CURRENT YEAR"/>
    <x v="3"/>
    <x v="2"/>
    <x v="25"/>
    <x v="3"/>
    <x v="4"/>
    <m/>
    <m/>
    <m/>
    <m/>
    <m/>
    <m/>
    <m/>
    <m/>
    <m/>
    <m/>
    <m/>
    <m/>
    <m/>
    <m/>
    <m/>
    <m/>
    <m/>
    <m/>
    <m/>
    <n v="0"/>
    <n v="0"/>
    <n v="0"/>
    <n v="0"/>
    <n v="0"/>
    <n v="0"/>
    <n v="0"/>
    <n v="0"/>
    <n v="0"/>
    <n v="0"/>
    <n v="0"/>
    <n v="0"/>
    <m/>
    <s v="SERVICE 05  |  DEPENSES SUR ACHATS"/>
    <b v="1"/>
  </r>
  <r>
    <n v="1037"/>
    <x v="0"/>
    <m/>
    <s v="YEAR2"/>
    <x v="4"/>
    <x v="2"/>
    <x v="25"/>
    <x v="3"/>
    <x v="4"/>
    <m/>
    <m/>
    <m/>
    <m/>
    <m/>
    <m/>
    <m/>
    <m/>
    <m/>
    <m/>
    <m/>
    <m/>
    <m/>
    <m/>
    <m/>
    <m/>
    <m/>
    <m/>
    <m/>
    <n v="0"/>
    <n v="0"/>
    <n v="0"/>
    <n v="0"/>
    <n v="0"/>
    <n v="0"/>
    <n v="0"/>
    <n v="0"/>
    <n v="0"/>
    <n v="0"/>
    <n v="0"/>
    <n v="0"/>
    <m/>
    <s v="SERVICE 05  |  DEPENSES SUR ACHATS"/>
    <b v="1"/>
  </r>
  <r>
    <n v="1038"/>
    <x v="0"/>
    <m/>
    <s v="YEAR3"/>
    <x v="5"/>
    <x v="2"/>
    <x v="25"/>
    <x v="3"/>
    <x v="4"/>
    <m/>
    <m/>
    <m/>
    <m/>
    <m/>
    <m/>
    <m/>
    <m/>
    <m/>
    <m/>
    <m/>
    <m/>
    <m/>
    <m/>
    <m/>
    <m/>
    <m/>
    <m/>
    <m/>
    <n v="0"/>
    <n v="0"/>
    <n v="0"/>
    <n v="0"/>
    <n v="0"/>
    <n v="0"/>
    <n v="0"/>
    <n v="0"/>
    <n v="0"/>
    <n v="0"/>
    <n v="0"/>
    <n v="0"/>
    <m/>
    <s v="SERVICE 05  |  DEPENSES SUR ACHATS"/>
    <b v="1"/>
  </r>
  <r>
    <n v="1039"/>
    <x v="0"/>
    <m/>
    <s v="YEAR4"/>
    <x v="6"/>
    <x v="2"/>
    <x v="25"/>
    <x v="3"/>
    <x v="4"/>
    <m/>
    <m/>
    <m/>
    <m/>
    <m/>
    <m/>
    <m/>
    <m/>
    <m/>
    <m/>
    <m/>
    <m/>
    <m/>
    <m/>
    <m/>
    <m/>
    <m/>
    <m/>
    <m/>
    <n v="0"/>
    <n v="0"/>
    <n v="0"/>
    <n v="0"/>
    <n v="0"/>
    <n v="0"/>
    <n v="0"/>
    <n v="0"/>
    <n v="0"/>
    <n v="0"/>
    <n v="0"/>
    <n v="0"/>
    <m/>
    <s v="SERVICE 05  |  DEPENSES SUR ACHATS"/>
    <b v="1"/>
  </r>
  <r>
    <n v="1040"/>
    <x v="0"/>
    <m/>
    <s v="YEAR5"/>
    <x v="7"/>
    <x v="2"/>
    <x v="25"/>
    <x v="3"/>
    <x v="4"/>
    <m/>
    <m/>
    <m/>
    <m/>
    <m/>
    <m/>
    <m/>
    <m/>
    <m/>
    <m/>
    <m/>
    <m/>
    <m/>
    <m/>
    <m/>
    <m/>
    <m/>
    <m/>
    <m/>
    <n v="0"/>
    <n v="0"/>
    <n v="0"/>
    <n v="0"/>
    <n v="0"/>
    <n v="0"/>
    <n v="0"/>
    <n v="0"/>
    <n v="0"/>
    <n v="0"/>
    <n v="0"/>
    <n v="0"/>
    <m/>
    <s v="SERVICE 05  |  DEPENSES SUR ACHATS"/>
    <b v="1"/>
  </r>
  <r>
    <n v="1041"/>
    <x v="0"/>
    <m/>
    <s v="YEAR6"/>
    <x v="8"/>
    <x v="2"/>
    <x v="25"/>
    <x v="3"/>
    <x v="4"/>
    <m/>
    <m/>
    <m/>
    <m/>
    <m/>
    <m/>
    <m/>
    <m/>
    <m/>
    <m/>
    <m/>
    <m/>
    <m/>
    <m/>
    <m/>
    <m/>
    <m/>
    <m/>
    <m/>
    <n v="0"/>
    <n v="0"/>
    <n v="0"/>
    <n v="0"/>
    <n v="0"/>
    <n v="0"/>
    <n v="0"/>
    <n v="0"/>
    <n v="0"/>
    <n v="0"/>
    <n v="0"/>
    <n v="0"/>
    <m/>
    <s v="SERVICE 05  |  DEPENSES SUR ACHATS"/>
    <b v="1"/>
  </r>
  <r>
    <n v="1042"/>
    <x v="0"/>
    <m/>
    <s v="YEAR-2"/>
    <x v="1"/>
    <x v="2"/>
    <x v="25"/>
    <x v="3"/>
    <x v="5"/>
    <m/>
    <m/>
    <m/>
    <m/>
    <m/>
    <m/>
    <m/>
    <m/>
    <m/>
    <m/>
    <m/>
    <m/>
    <m/>
    <m/>
    <m/>
    <m/>
    <m/>
    <m/>
    <m/>
    <n v="0"/>
    <n v="0"/>
    <n v="0"/>
    <n v="0"/>
    <n v="0"/>
    <n v="0"/>
    <n v="0"/>
    <n v="0"/>
    <n v="0"/>
    <m/>
    <n v="0"/>
    <m/>
    <m/>
    <s v="SERVICE 05  |  PRIX MOYEN D'ACHAT PAR PRODUIT/SERVICE"/>
    <m/>
  </r>
  <r>
    <n v="1043"/>
    <x v="0"/>
    <m/>
    <s v="YEAR-1"/>
    <x v="2"/>
    <x v="2"/>
    <x v="25"/>
    <x v="3"/>
    <x v="5"/>
    <m/>
    <m/>
    <m/>
    <m/>
    <m/>
    <m/>
    <m/>
    <m/>
    <m/>
    <m/>
    <m/>
    <m/>
    <m/>
    <m/>
    <m/>
    <m/>
    <m/>
    <m/>
    <m/>
    <n v="0"/>
    <n v="0"/>
    <n v="0"/>
    <n v="0"/>
    <n v="0"/>
    <n v="0"/>
    <n v="0"/>
    <n v="0"/>
    <n v="0"/>
    <m/>
    <n v="0"/>
    <m/>
    <m/>
    <s v="SERVICE 05  |  PRIX MOYEN D'ACHAT PAR PRODUIT/SERVICE"/>
    <m/>
  </r>
  <r>
    <n v="1044"/>
    <x v="0"/>
    <m/>
    <s v="CURRENT YEAR"/>
    <x v="3"/>
    <x v="2"/>
    <x v="25"/>
    <x v="3"/>
    <x v="5"/>
    <m/>
    <m/>
    <m/>
    <m/>
    <m/>
    <m/>
    <m/>
    <m/>
    <m/>
    <m/>
    <m/>
    <m/>
    <m/>
    <m/>
    <m/>
    <m/>
    <m/>
    <m/>
    <m/>
    <n v="0"/>
    <n v="0"/>
    <n v="0"/>
    <n v="0"/>
    <n v="0"/>
    <n v="0"/>
    <n v="0"/>
    <n v="0"/>
    <n v="0"/>
    <m/>
    <n v="0"/>
    <m/>
    <m/>
    <s v="SERVICE 05  |  PRIX MOYEN D'ACHAT PAR PRODUIT/SERVICE"/>
    <m/>
  </r>
  <r>
    <n v="1045"/>
    <x v="0"/>
    <m/>
    <s v="YEAR2"/>
    <x v="4"/>
    <x v="2"/>
    <x v="25"/>
    <x v="3"/>
    <x v="5"/>
    <m/>
    <m/>
    <m/>
    <m/>
    <m/>
    <m/>
    <m/>
    <m/>
    <m/>
    <m/>
    <m/>
    <m/>
    <m/>
    <m/>
    <m/>
    <m/>
    <m/>
    <m/>
    <m/>
    <n v="0"/>
    <n v="0"/>
    <n v="0"/>
    <n v="0"/>
    <n v="0"/>
    <n v="0"/>
    <n v="0"/>
    <n v="0"/>
    <n v="0"/>
    <m/>
    <n v="0"/>
    <m/>
    <m/>
    <s v="SERVICE 05  |  PRIX MOYEN D'ACHAT PAR PRODUIT/SERVICE"/>
    <m/>
  </r>
  <r>
    <n v="1046"/>
    <x v="0"/>
    <m/>
    <s v="YEAR3"/>
    <x v="5"/>
    <x v="2"/>
    <x v="25"/>
    <x v="3"/>
    <x v="5"/>
    <m/>
    <m/>
    <m/>
    <m/>
    <m/>
    <m/>
    <m/>
    <m/>
    <m/>
    <m/>
    <m/>
    <m/>
    <m/>
    <m/>
    <m/>
    <m/>
    <m/>
    <m/>
    <m/>
    <n v="0"/>
    <n v="0"/>
    <n v="0"/>
    <n v="0"/>
    <n v="0"/>
    <n v="0"/>
    <n v="0"/>
    <n v="0"/>
    <n v="0"/>
    <m/>
    <n v="0"/>
    <m/>
    <m/>
    <s v="SERVICE 05  |  PRIX MOYEN D'ACHAT PAR PRODUIT/SERVICE"/>
    <m/>
  </r>
  <r>
    <n v="1047"/>
    <x v="0"/>
    <m/>
    <s v="YEAR4"/>
    <x v="6"/>
    <x v="2"/>
    <x v="25"/>
    <x v="3"/>
    <x v="5"/>
    <m/>
    <m/>
    <m/>
    <m/>
    <m/>
    <m/>
    <m/>
    <m/>
    <m/>
    <m/>
    <m/>
    <m/>
    <m/>
    <m/>
    <m/>
    <m/>
    <m/>
    <m/>
    <m/>
    <n v="0"/>
    <n v="0"/>
    <n v="0"/>
    <n v="0"/>
    <n v="0"/>
    <n v="0"/>
    <n v="0"/>
    <n v="0"/>
    <n v="0"/>
    <m/>
    <n v="0"/>
    <m/>
    <m/>
    <s v="SERVICE 05  |  PRIX MOYEN D'ACHAT PAR PRODUIT/SERVICE"/>
    <m/>
  </r>
  <r>
    <n v="1048"/>
    <x v="0"/>
    <m/>
    <s v="YEAR5"/>
    <x v="7"/>
    <x v="2"/>
    <x v="25"/>
    <x v="3"/>
    <x v="5"/>
    <m/>
    <m/>
    <m/>
    <m/>
    <m/>
    <m/>
    <m/>
    <m/>
    <m/>
    <m/>
    <m/>
    <m/>
    <m/>
    <m/>
    <m/>
    <m/>
    <m/>
    <m/>
    <m/>
    <n v="0"/>
    <n v="0"/>
    <n v="0"/>
    <n v="0"/>
    <n v="0"/>
    <n v="0"/>
    <n v="0"/>
    <n v="0"/>
    <n v="0"/>
    <m/>
    <n v="0"/>
    <m/>
    <m/>
    <s v="SERVICE 05  |  PRIX MOYEN D'ACHAT PAR PRODUIT/SERVICE"/>
    <m/>
  </r>
  <r>
    <n v="1049"/>
    <x v="0"/>
    <m/>
    <s v="YEAR6"/>
    <x v="8"/>
    <x v="2"/>
    <x v="25"/>
    <x v="3"/>
    <x v="5"/>
    <m/>
    <m/>
    <m/>
    <m/>
    <m/>
    <m/>
    <m/>
    <m/>
    <m/>
    <m/>
    <m/>
    <m/>
    <m/>
    <m/>
    <m/>
    <m/>
    <m/>
    <m/>
    <m/>
    <n v="0"/>
    <n v="0"/>
    <n v="0"/>
    <n v="0"/>
    <n v="0"/>
    <n v="0"/>
    <n v="0"/>
    <n v="0"/>
    <n v="0"/>
    <m/>
    <n v="0"/>
    <m/>
    <m/>
    <s v="SERVICE 05  |  PRIX MOYEN D'ACHAT PAR PRODUIT/SERVICE"/>
    <m/>
  </r>
  <r>
    <n v="1050"/>
    <x v="0"/>
    <n v="1"/>
    <m/>
    <x v="0"/>
    <x v="0"/>
    <x v="0"/>
    <x v="0"/>
    <x v="0"/>
    <m/>
    <m/>
    <m/>
    <m/>
    <m/>
    <m/>
    <m/>
    <m/>
    <m/>
    <m/>
    <m/>
    <m/>
    <m/>
    <m/>
    <m/>
    <m/>
    <m/>
    <m/>
    <m/>
    <m/>
    <m/>
    <m/>
    <m/>
    <m/>
    <m/>
    <m/>
    <m/>
    <m/>
    <m/>
    <m/>
    <m/>
    <m/>
    <m/>
    <m/>
  </r>
  <r>
    <n v="1051"/>
    <x v="0"/>
    <m/>
    <m/>
    <x v="0"/>
    <x v="0"/>
    <x v="0"/>
    <x v="0"/>
    <x v="0"/>
    <m/>
    <m/>
    <m/>
    <m/>
    <m/>
    <m/>
    <m/>
    <m/>
    <m/>
    <m/>
    <m/>
    <m/>
    <m/>
    <m/>
    <m/>
    <m/>
    <m/>
    <m/>
    <m/>
    <m/>
    <m/>
    <m/>
    <m/>
    <m/>
    <m/>
    <m/>
    <m/>
    <m/>
    <m/>
    <m/>
    <m/>
    <m/>
    <m/>
    <m/>
  </r>
  <r>
    <n v="1052"/>
    <x v="0"/>
    <n v="1"/>
    <s v="YEAR-2"/>
    <x v="1"/>
    <x v="2"/>
    <x v="26"/>
    <x v="3"/>
    <x v="1"/>
    <n v="1000"/>
    <n v="0"/>
    <n v="0"/>
    <n v="1000"/>
    <n v="1"/>
    <n v="0"/>
    <n v="0"/>
    <n v="500"/>
    <n v="0"/>
    <n v="0"/>
    <n v="500"/>
    <n v="1"/>
    <n v="1"/>
    <n v="1"/>
    <n v="0"/>
    <n v="0"/>
    <n v="0"/>
    <n v="0"/>
    <n v="0"/>
    <n v="0"/>
    <n v="0"/>
    <n v="0"/>
    <n v="0"/>
    <n v="0"/>
    <n v="0"/>
    <n v="0"/>
    <n v="0"/>
    <n v="0"/>
    <n v="0"/>
    <n v="0"/>
    <n v="0"/>
    <s v="GAMME # : 1 + CANAL DE DISTRIBUTION # : 1"/>
    <s v="SERVICE 06  |  VOLUME"/>
    <b v="1"/>
  </r>
  <r>
    <n v="1053"/>
    <x v="0"/>
    <n v="1"/>
    <s v="YEAR-1"/>
    <x v="2"/>
    <x v="2"/>
    <x v="26"/>
    <x v="3"/>
    <x v="1"/>
    <n v="1000"/>
    <n v="0"/>
    <n v="0"/>
    <n v="1000"/>
    <n v="1"/>
    <n v="0"/>
    <n v="0"/>
    <n v="500"/>
    <n v="0"/>
    <n v="0"/>
    <n v="500"/>
    <n v="1"/>
    <n v="1"/>
    <n v="1"/>
    <n v="0"/>
    <n v="0"/>
    <n v="0"/>
    <n v="0"/>
    <n v="0"/>
    <n v="0"/>
    <n v="0"/>
    <n v="0"/>
    <n v="0"/>
    <n v="0"/>
    <n v="0"/>
    <n v="0"/>
    <n v="0"/>
    <n v="0"/>
    <n v="0"/>
    <n v="0"/>
    <n v="0"/>
    <m/>
    <s v="SERVICE 06  |  VOLUME"/>
    <b v="1"/>
  </r>
  <r>
    <n v="1054"/>
    <x v="0"/>
    <n v="1"/>
    <s v="CURRENT YEAR"/>
    <x v="3"/>
    <x v="2"/>
    <x v="26"/>
    <x v="3"/>
    <x v="1"/>
    <n v="1000"/>
    <n v="0"/>
    <n v="0"/>
    <n v="1000"/>
    <n v="1"/>
    <n v="0"/>
    <n v="0"/>
    <n v="500"/>
    <n v="0"/>
    <n v="0"/>
    <n v="500"/>
    <n v="1"/>
    <n v="1"/>
    <n v="1"/>
    <n v="0"/>
    <n v="0"/>
    <n v="0"/>
    <n v="0"/>
    <n v="0"/>
    <n v="0"/>
    <n v="0"/>
    <n v="0"/>
    <n v="0"/>
    <n v="0"/>
    <n v="0"/>
    <n v="0"/>
    <n v="0"/>
    <n v="0"/>
    <n v="0"/>
    <n v="0"/>
    <n v="0"/>
    <m/>
    <s v="SERVICE 06  |  VOLUME"/>
    <b v="1"/>
  </r>
  <r>
    <n v="1055"/>
    <x v="0"/>
    <n v="1"/>
    <s v="YEAR2"/>
    <x v="4"/>
    <x v="2"/>
    <x v="26"/>
    <x v="3"/>
    <x v="1"/>
    <n v="1000"/>
    <n v="0"/>
    <n v="0"/>
    <n v="1000"/>
    <n v="1"/>
    <n v="0"/>
    <n v="0"/>
    <n v="500"/>
    <n v="0"/>
    <n v="0"/>
    <n v="500"/>
    <n v="1"/>
    <n v="1"/>
    <n v="1"/>
    <n v="0"/>
    <n v="0"/>
    <n v="0"/>
    <n v="0"/>
    <n v="0"/>
    <n v="0"/>
    <n v="0"/>
    <n v="0"/>
    <n v="0"/>
    <n v="0"/>
    <n v="0"/>
    <n v="0"/>
    <n v="0"/>
    <n v="0"/>
    <n v="0"/>
    <n v="0"/>
    <n v="0"/>
    <m/>
    <s v="SERVICE 06  |  VOLUME"/>
    <b v="1"/>
  </r>
  <r>
    <n v="1056"/>
    <x v="0"/>
    <n v="1"/>
    <s v="YEAR3"/>
    <x v="5"/>
    <x v="2"/>
    <x v="26"/>
    <x v="3"/>
    <x v="1"/>
    <n v="1000"/>
    <n v="0"/>
    <n v="0"/>
    <n v="1000"/>
    <n v="1"/>
    <n v="0"/>
    <n v="0"/>
    <n v="500"/>
    <n v="0"/>
    <n v="0"/>
    <n v="500"/>
    <n v="1"/>
    <n v="1"/>
    <n v="1"/>
    <n v="0"/>
    <n v="0"/>
    <n v="0"/>
    <n v="0"/>
    <n v="0"/>
    <n v="0"/>
    <n v="0"/>
    <n v="0"/>
    <n v="0"/>
    <n v="0"/>
    <n v="0"/>
    <n v="0"/>
    <n v="0"/>
    <n v="0"/>
    <n v="0"/>
    <n v="0"/>
    <n v="0"/>
    <m/>
    <s v="SERVICE 06  |  VOLUME"/>
    <b v="1"/>
  </r>
  <r>
    <n v="1057"/>
    <x v="0"/>
    <n v="1"/>
    <s v="YEAR4"/>
    <x v="6"/>
    <x v="2"/>
    <x v="26"/>
    <x v="3"/>
    <x v="1"/>
    <n v="1000"/>
    <n v="0"/>
    <n v="0"/>
    <n v="1000"/>
    <n v="1"/>
    <n v="0"/>
    <n v="0"/>
    <n v="500"/>
    <n v="0"/>
    <n v="0"/>
    <n v="500"/>
    <n v="1"/>
    <n v="1"/>
    <n v="1"/>
    <n v="0"/>
    <n v="0"/>
    <n v="0"/>
    <n v="0"/>
    <n v="0"/>
    <n v="0"/>
    <n v="0"/>
    <n v="0"/>
    <n v="0"/>
    <n v="0"/>
    <n v="0"/>
    <n v="0"/>
    <n v="0"/>
    <n v="0"/>
    <n v="0"/>
    <n v="0"/>
    <n v="0"/>
    <m/>
    <s v="SERVICE 06  |  VOLUME"/>
    <b v="1"/>
  </r>
  <r>
    <n v="1058"/>
    <x v="0"/>
    <n v="1"/>
    <s v="YEAR5"/>
    <x v="7"/>
    <x v="2"/>
    <x v="26"/>
    <x v="3"/>
    <x v="1"/>
    <n v="1000"/>
    <n v="0"/>
    <n v="0"/>
    <n v="1000"/>
    <n v="1"/>
    <n v="0"/>
    <n v="0"/>
    <n v="500"/>
    <n v="0"/>
    <n v="0"/>
    <n v="500"/>
    <n v="1"/>
    <n v="1"/>
    <n v="1"/>
    <n v="0"/>
    <n v="0"/>
    <n v="0"/>
    <n v="0"/>
    <n v="0"/>
    <n v="0"/>
    <n v="0"/>
    <n v="0"/>
    <n v="0"/>
    <n v="0"/>
    <n v="0"/>
    <n v="0"/>
    <n v="0"/>
    <n v="0"/>
    <n v="0"/>
    <n v="0"/>
    <n v="0"/>
    <m/>
    <s v="SERVICE 06  |  VOLUME"/>
    <b v="1"/>
  </r>
  <r>
    <n v="1059"/>
    <x v="0"/>
    <n v="1"/>
    <s v="YEAR6"/>
    <x v="8"/>
    <x v="2"/>
    <x v="26"/>
    <x v="3"/>
    <x v="1"/>
    <n v="1000"/>
    <n v="0"/>
    <n v="0"/>
    <n v="1000"/>
    <n v="1"/>
    <n v="0"/>
    <n v="0"/>
    <n v="500"/>
    <n v="0"/>
    <n v="0"/>
    <n v="500"/>
    <n v="1"/>
    <n v="1"/>
    <n v="1"/>
    <n v="0"/>
    <n v="0"/>
    <n v="0"/>
    <n v="0"/>
    <n v="0"/>
    <n v="0"/>
    <n v="0"/>
    <n v="0"/>
    <n v="0"/>
    <n v="0"/>
    <n v="0"/>
    <n v="0"/>
    <n v="0"/>
    <n v="0"/>
    <n v="0"/>
    <n v="0"/>
    <n v="0"/>
    <m/>
    <s v="SERVICE 06  |  VOLUME"/>
    <b v="1"/>
  </r>
  <r>
    <n v="1060"/>
    <x v="0"/>
    <m/>
    <s v="YEAR-2"/>
    <x v="1"/>
    <x v="2"/>
    <x v="26"/>
    <x v="3"/>
    <x v="2"/>
    <m/>
    <m/>
    <m/>
    <m/>
    <m/>
    <m/>
    <m/>
    <m/>
    <m/>
    <m/>
    <m/>
    <m/>
    <m/>
    <m/>
    <m/>
    <m/>
    <m/>
    <m/>
    <m/>
    <n v="0"/>
    <n v="0"/>
    <n v="0"/>
    <n v="0"/>
    <n v="0"/>
    <n v="0"/>
    <n v="0"/>
    <n v="0"/>
    <n v="0"/>
    <n v="0"/>
    <n v="0"/>
    <n v="0"/>
    <m/>
    <s v="SERVICE 06  |  CHIFFRE D'AFFAIRES"/>
    <b v="1"/>
  </r>
  <r>
    <n v="1061"/>
    <x v="0"/>
    <m/>
    <s v="YEAR-1"/>
    <x v="2"/>
    <x v="2"/>
    <x v="26"/>
    <x v="3"/>
    <x v="2"/>
    <m/>
    <m/>
    <m/>
    <m/>
    <m/>
    <m/>
    <m/>
    <m/>
    <m/>
    <m/>
    <m/>
    <m/>
    <m/>
    <m/>
    <m/>
    <m/>
    <m/>
    <m/>
    <m/>
    <n v="0"/>
    <n v="0"/>
    <n v="0"/>
    <n v="0"/>
    <n v="0"/>
    <n v="0"/>
    <n v="0"/>
    <n v="0"/>
    <n v="0"/>
    <n v="0"/>
    <n v="0"/>
    <n v="0"/>
    <m/>
    <s v="SERVICE 06  |  CHIFFRE D'AFFAIRES"/>
    <b v="1"/>
  </r>
  <r>
    <n v="1062"/>
    <x v="0"/>
    <m/>
    <s v="CURRENT YEAR"/>
    <x v="3"/>
    <x v="2"/>
    <x v="26"/>
    <x v="3"/>
    <x v="2"/>
    <m/>
    <m/>
    <m/>
    <m/>
    <m/>
    <m/>
    <m/>
    <m/>
    <m/>
    <m/>
    <m/>
    <m/>
    <m/>
    <m/>
    <m/>
    <m/>
    <m/>
    <m/>
    <m/>
    <n v="0"/>
    <n v="0"/>
    <n v="0"/>
    <n v="0"/>
    <n v="0"/>
    <n v="0"/>
    <n v="0"/>
    <n v="0"/>
    <n v="0"/>
    <n v="0"/>
    <n v="0"/>
    <n v="0"/>
    <m/>
    <s v="SERVICE 06  |  CHIFFRE D'AFFAIRES"/>
    <b v="1"/>
  </r>
  <r>
    <n v="1063"/>
    <x v="0"/>
    <m/>
    <s v="YEAR2"/>
    <x v="4"/>
    <x v="2"/>
    <x v="26"/>
    <x v="3"/>
    <x v="2"/>
    <m/>
    <m/>
    <m/>
    <m/>
    <m/>
    <m/>
    <m/>
    <m/>
    <m/>
    <m/>
    <m/>
    <m/>
    <m/>
    <m/>
    <m/>
    <m/>
    <m/>
    <m/>
    <m/>
    <n v="0"/>
    <n v="0"/>
    <n v="0"/>
    <n v="0"/>
    <n v="0"/>
    <n v="0"/>
    <n v="0"/>
    <n v="0"/>
    <n v="0"/>
    <n v="0"/>
    <n v="0"/>
    <n v="0"/>
    <m/>
    <s v="SERVICE 06  |  CHIFFRE D'AFFAIRES"/>
    <b v="1"/>
  </r>
  <r>
    <n v="1064"/>
    <x v="0"/>
    <m/>
    <s v="YEAR3"/>
    <x v="5"/>
    <x v="2"/>
    <x v="26"/>
    <x v="3"/>
    <x v="2"/>
    <m/>
    <m/>
    <m/>
    <m/>
    <m/>
    <m/>
    <m/>
    <m/>
    <m/>
    <m/>
    <m/>
    <m/>
    <m/>
    <m/>
    <m/>
    <m/>
    <m/>
    <m/>
    <m/>
    <n v="0"/>
    <n v="0"/>
    <n v="0"/>
    <n v="0"/>
    <n v="0"/>
    <n v="0"/>
    <n v="0"/>
    <n v="0"/>
    <n v="0"/>
    <n v="0"/>
    <n v="0"/>
    <n v="0"/>
    <m/>
    <s v="SERVICE 06  |  CHIFFRE D'AFFAIRES"/>
    <b v="1"/>
  </r>
  <r>
    <n v="1065"/>
    <x v="0"/>
    <m/>
    <s v="YEAR4"/>
    <x v="6"/>
    <x v="2"/>
    <x v="26"/>
    <x v="3"/>
    <x v="2"/>
    <m/>
    <m/>
    <m/>
    <m/>
    <m/>
    <m/>
    <m/>
    <m/>
    <m/>
    <m/>
    <m/>
    <m/>
    <m/>
    <m/>
    <m/>
    <m/>
    <m/>
    <m/>
    <m/>
    <n v="0"/>
    <n v="0"/>
    <n v="0"/>
    <n v="0"/>
    <n v="0"/>
    <n v="0"/>
    <n v="0"/>
    <n v="0"/>
    <n v="0"/>
    <n v="0"/>
    <n v="0"/>
    <n v="0"/>
    <m/>
    <s v="SERVICE 06  |  CHIFFRE D'AFFAIRES"/>
    <b v="1"/>
  </r>
  <r>
    <n v="1066"/>
    <x v="0"/>
    <m/>
    <s v="YEAR5"/>
    <x v="7"/>
    <x v="2"/>
    <x v="26"/>
    <x v="3"/>
    <x v="2"/>
    <m/>
    <m/>
    <m/>
    <m/>
    <m/>
    <m/>
    <m/>
    <m/>
    <m/>
    <m/>
    <m/>
    <m/>
    <m/>
    <m/>
    <m/>
    <m/>
    <m/>
    <m/>
    <m/>
    <n v="0"/>
    <n v="0"/>
    <n v="0"/>
    <n v="0"/>
    <n v="0"/>
    <n v="0"/>
    <n v="0"/>
    <n v="0"/>
    <n v="0"/>
    <n v="0"/>
    <n v="0"/>
    <n v="0"/>
    <m/>
    <s v="SERVICE 06  |  CHIFFRE D'AFFAIRES"/>
    <b v="1"/>
  </r>
  <r>
    <n v="1067"/>
    <x v="0"/>
    <m/>
    <s v="YEAR6"/>
    <x v="8"/>
    <x v="2"/>
    <x v="26"/>
    <x v="3"/>
    <x v="2"/>
    <m/>
    <m/>
    <m/>
    <m/>
    <m/>
    <m/>
    <m/>
    <m/>
    <m/>
    <m/>
    <m/>
    <m/>
    <m/>
    <m/>
    <m/>
    <m/>
    <m/>
    <m/>
    <m/>
    <n v="0"/>
    <n v="0"/>
    <n v="0"/>
    <n v="0"/>
    <n v="0"/>
    <n v="0"/>
    <n v="0"/>
    <n v="0"/>
    <n v="0"/>
    <n v="0"/>
    <n v="0"/>
    <n v="0"/>
    <m/>
    <s v="SERVICE 06  |  CHIFFRE D'AFFAIRES"/>
    <b v="1"/>
  </r>
  <r>
    <n v="1068"/>
    <x v="0"/>
    <m/>
    <s v="YEAR-2"/>
    <x v="1"/>
    <x v="2"/>
    <x v="26"/>
    <x v="3"/>
    <x v="3"/>
    <m/>
    <m/>
    <m/>
    <m/>
    <m/>
    <m/>
    <m/>
    <m/>
    <m/>
    <m/>
    <m/>
    <m/>
    <m/>
    <m/>
    <m/>
    <m/>
    <m/>
    <m/>
    <m/>
    <n v="0"/>
    <n v="0"/>
    <n v="0"/>
    <n v="0"/>
    <n v="0"/>
    <n v="0"/>
    <n v="0"/>
    <n v="0"/>
    <n v="0"/>
    <m/>
    <n v="0"/>
    <m/>
    <m/>
    <s v="SERVICE 06  |  PRIX MOYEN DE VENTE PAR PRODUIT/SERVICE"/>
    <m/>
  </r>
  <r>
    <n v="1069"/>
    <x v="0"/>
    <m/>
    <s v="YEAR-1"/>
    <x v="2"/>
    <x v="2"/>
    <x v="26"/>
    <x v="3"/>
    <x v="3"/>
    <m/>
    <m/>
    <m/>
    <m/>
    <m/>
    <m/>
    <m/>
    <m/>
    <m/>
    <m/>
    <m/>
    <m/>
    <m/>
    <m/>
    <m/>
    <m/>
    <m/>
    <m/>
    <m/>
    <n v="0"/>
    <n v="0"/>
    <n v="0"/>
    <n v="0"/>
    <n v="0"/>
    <n v="0"/>
    <n v="0"/>
    <n v="0"/>
    <n v="0"/>
    <m/>
    <n v="0"/>
    <m/>
    <m/>
    <s v="SERVICE 06  |  PRIX MOYEN DE VENTE PAR PRODUIT/SERVICE"/>
    <m/>
  </r>
  <r>
    <n v="1070"/>
    <x v="0"/>
    <m/>
    <s v="CURRENT YEAR"/>
    <x v="3"/>
    <x v="2"/>
    <x v="26"/>
    <x v="3"/>
    <x v="3"/>
    <m/>
    <m/>
    <m/>
    <m/>
    <m/>
    <m/>
    <m/>
    <m/>
    <m/>
    <m/>
    <m/>
    <m/>
    <m/>
    <m/>
    <m/>
    <m/>
    <m/>
    <m/>
    <m/>
    <n v="0"/>
    <n v="0"/>
    <n v="0"/>
    <n v="0"/>
    <n v="0"/>
    <n v="0"/>
    <n v="0"/>
    <n v="0"/>
    <n v="0"/>
    <m/>
    <n v="0"/>
    <m/>
    <m/>
    <s v="SERVICE 06  |  PRIX MOYEN DE VENTE PAR PRODUIT/SERVICE"/>
    <m/>
  </r>
  <r>
    <n v="1071"/>
    <x v="0"/>
    <m/>
    <s v="YEAR2"/>
    <x v="4"/>
    <x v="2"/>
    <x v="26"/>
    <x v="3"/>
    <x v="3"/>
    <m/>
    <m/>
    <m/>
    <m/>
    <m/>
    <m/>
    <m/>
    <m/>
    <m/>
    <m/>
    <m/>
    <m/>
    <m/>
    <m/>
    <m/>
    <m/>
    <m/>
    <m/>
    <m/>
    <n v="0"/>
    <n v="0"/>
    <n v="0"/>
    <n v="0"/>
    <n v="0"/>
    <n v="0"/>
    <n v="0"/>
    <n v="0"/>
    <n v="0"/>
    <m/>
    <n v="0"/>
    <m/>
    <m/>
    <s v="SERVICE 06  |  PRIX MOYEN DE VENTE PAR PRODUIT/SERVICE"/>
    <m/>
  </r>
  <r>
    <n v="1072"/>
    <x v="0"/>
    <m/>
    <s v="YEAR3"/>
    <x v="5"/>
    <x v="2"/>
    <x v="26"/>
    <x v="3"/>
    <x v="3"/>
    <m/>
    <m/>
    <m/>
    <m/>
    <m/>
    <m/>
    <m/>
    <m/>
    <m/>
    <m/>
    <m/>
    <m/>
    <m/>
    <m/>
    <m/>
    <m/>
    <m/>
    <m/>
    <m/>
    <n v="0"/>
    <n v="0"/>
    <n v="0"/>
    <n v="0"/>
    <n v="0"/>
    <n v="0"/>
    <n v="0"/>
    <n v="0"/>
    <n v="0"/>
    <m/>
    <n v="0"/>
    <m/>
    <m/>
    <s v="SERVICE 06  |  PRIX MOYEN DE VENTE PAR PRODUIT/SERVICE"/>
    <m/>
  </r>
  <r>
    <n v="1073"/>
    <x v="0"/>
    <m/>
    <s v="YEAR4"/>
    <x v="6"/>
    <x v="2"/>
    <x v="26"/>
    <x v="3"/>
    <x v="3"/>
    <m/>
    <m/>
    <m/>
    <m/>
    <m/>
    <m/>
    <m/>
    <m/>
    <m/>
    <m/>
    <m/>
    <m/>
    <m/>
    <m/>
    <m/>
    <m/>
    <m/>
    <m/>
    <m/>
    <n v="0"/>
    <n v="0"/>
    <n v="0"/>
    <n v="0"/>
    <n v="0"/>
    <n v="0"/>
    <n v="0"/>
    <n v="0"/>
    <n v="0"/>
    <m/>
    <n v="0"/>
    <m/>
    <m/>
    <s v="SERVICE 06  |  PRIX MOYEN DE VENTE PAR PRODUIT/SERVICE"/>
    <m/>
  </r>
  <r>
    <n v="1074"/>
    <x v="0"/>
    <m/>
    <s v="YEAR5"/>
    <x v="7"/>
    <x v="2"/>
    <x v="26"/>
    <x v="3"/>
    <x v="3"/>
    <m/>
    <m/>
    <m/>
    <m/>
    <m/>
    <m/>
    <m/>
    <m/>
    <m/>
    <m/>
    <m/>
    <m/>
    <m/>
    <m/>
    <m/>
    <m/>
    <m/>
    <m/>
    <m/>
    <n v="0"/>
    <n v="0"/>
    <n v="0"/>
    <n v="0"/>
    <n v="0"/>
    <n v="0"/>
    <n v="0"/>
    <n v="0"/>
    <n v="0"/>
    <m/>
    <n v="0"/>
    <m/>
    <m/>
    <s v="SERVICE 06  |  PRIX MOYEN DE VENTE PAR PRODUIT/SERVICE"/>
    <m/>
  </r>
  <r>
    <n v="1075"/>
    <x v="0"/>
    <m/>
    <s v="YEAR6"/>
    <x v="8"/>
    <x v="2"/>
    <x v="26"/>
    <x v="3"/>
    <x v="3"/>
    <m/>
    <m/>
    <m/>
    <m/>
    <m/>
    <m/>
    <m/>
    <m/>
    <m/>
    <m/>
    <m/>
    <m/>
    <m/>
    <m/>
    <m/>
    <m/>
    <m/>
    <m/>
    <m/>
    <n v="0"/>
    <n v="0"/>
    <n v="0"/>
    <n v="0"/>
    <n v="0"/>
    <n v="0"/>
    <n v="0"/>
    <n v="0"/>
    <n v="0"/>
    <m/>
    <n v="0"/>
    <m/>
    <m/>
    <s v="SERVICE 06  |  PRIX MOYEN DE VENTE PAR PRODUIT/SERVICE"/>
    <m/>
  </r>
  <r>
    <n v="1076"/>
    <x v="0"/>
    <m/>
    <s v="YEAR-2"/>
    <x v="1"/>
    <x v="2"/>
    <x v="26"/>
    <x v="3"/>
    <x v="4"/>
    <m/>
    <m/>
    <m/>
    <m/>
    <m/>
    <m/>
    <m/>
    <m/>
    <m/>
    <m/>
    <m/>
    <m/>
    <m/>
    <m/>
    <m/>
    <m/>
    <m/>
    <m/>
    <m/>
    <n v="0"/>
    <n v="0"/>
    <n v="0"/>
    <n v="0"/>
    <n v="0"/>
    <n v="0"/>
    <n v="0"/>
    <n v="0"/>
    <n v="0"/>
    <n v="0"/>
    <n v="0"/>
    <n v="0"/>
    <m/>
    <s v="SERVICE 06  |  DEPENSES SUR ACHATS"/>
    <b v="1"/>
  </r>
  <r>
    <n v="1077"/>
    <x v="0"/>
    <m/>
    <s v="YEAR-1"/>
    <x v="2"/>
    <x v="2"/>
    <x v="26"/>
    <x v="3"/>
    <x v="4"/>
    <m/>
    <m/>
    <m/>
    <m/>
    <m/>
    <m/>
    <m/>
    <m/>
    <m/>
    <m/>
    <m/>
    <m/>
    <m/>
    <m/>
    <m/>
    <m/>
    <m/>
    <m/>
    <m/>
    <n v="0"/>
    <n v="0"/>
    <n v="0"/>
    <n v="0"/>
    <n v="0"/>
    <n v="0"/>
    <n v="0"/>
    <n v="0"/>
    <n v="0"/>
    <n v="0"/>
    <n v="0"/>
    <n v="0"/>
    <m/>
    <s v="SERVICE 06  |  DEPENSES SUR ACHATS"/>
    <b v="1"/>
  </r>
  <r>
    <n v="1078"/>
    <x v="0"/>
    <m/>
    <s v="CURRENT YEAR"/>
    <x v="3"/>
    <x v="2"/>
    <x v="26"/>
    <x v="3"/>
    <x v="4"/>
    <m/>
    <m/>
    <m/>
    <m/>
    <m/>
    <m/>
    <m/>
    <m/>
    <m/>
    <m/>
    <m/>
    <m/>
    <m/>
    <m/>
    <m/>
    <m/>
    <m/>
    <m/>
    <m/>
    <n v="0"/>
    <n v="0"/>
    <n v="0"/>
    <n v="0"/>
    <n v="0"/>
    <n v="0"/>
    <n v="0"/>
    <n v="0"/>
    <n v="0"/>
    <n v="0"/>
    <n v="0"/>
    <n v="0"/>
    <m/>
    <s v="SERVICE 06  |  DEPENSES SUR ACHATS"/>
    <b v="1"/>
  </r>
  <r>
    <n v="1079"/>
    <x v="0"/>
    <m/>
    <s v="YEAR2"/>
    <x v="4"/>
    <x v="2"/>
    <x v="26"/>
    <x v="3"/>
    <x v="4"/>
    <m/>
    <m/>
    <m/>
    <m/>
    <m/>
    <m/>
    <m/>
    <m/>
    <m/>
    <m/>
    <m/>
    <m/>
    <m/>
    <m/>
    <m/>
    <m/>
    <m/>
    <m/>
    <m/>
    <n v="0"/>
    <n v="0"/>
    <n v="0"/>
    <n v="0"/>
    <n v="0"/>
    <n v="0"/>
    <n v="0"/>
    <n v="0"/>
    <n v="0"/>
    <n v="0"/>
    <n v="0"/>
    <n v="0"/>
    <m/>
    <s v="SERVICE 06  |  DEPENSES SUR ACHATS"/>
    <b v="1"/>
  </r>
  <r>
    <n v="1080"/>
    <x v="0"/>
    <m/>
    <s v="YEAR3"/>
    <x v="5"/>
    <x v="2"/>
    <x v="26"/>
    <x v="3"/>
    <x v="4"/>
    <m/>
    <m/>
    <m/>
    <m/>
    <m/>
    <m/>
    <m/>
    <m/>
    <m/>
    <m/>
    <m/>
    <m/>
    <m/>
    <m/>
    <m/>
    <m/>
    <m/>
    <m/>
    <m/>
    <n v="0"/>
    <n v="0"/>
    <n v="0"/>
    <n v="0"/>
    <n v="0"/>
    <n v="0"/>
    <n v="0"/>
    <n v="0"/>
    <n v="0"/>
    <n v="0"/>
    <n v="0"/>
    <n v="0"/>
    <m/>
    <s v="SERVICE 06  |  DEPENSES SUR ACHATS"/>
    <b v="1"/>
  </r>
  <r>
    <n v="1081"/>
    <x v="0"/>
    <m/>
    <s v="YEAR4"/>
    <x v="6"/>
    <x v="2"/>
    <x v="26"/>
    <x v="3"/>
    <x v="4"/>
    <m/>
    <m/>
    <m/>
    <m/>
    <m/>
    <m/>
    <m/>
    <m/>
    <m/>
    <m/>
    <m/>
    <m/>
    <m/>
    <m/>
    <m/>
    <m/>
    <m/>
    <m/>
    <m/>
    <n v="0"/>
    <n v="0"/>
    <n v="0"/>
    <n v="0"/>
    <n v="0"/>
    <n v="0"/>
    <n v="0"/>
    <n v="0"/>
    <n v="0"/>
    <n v="0"/>
    <n v="0"/>
    <n v="0"/>
    <m/>
    <s v="SERVICE 06  |  DEPENSES SUR ACHATS"/>
    <b v="1"/>
  </r>
  <r>
    <n v="1082"/>
    <x v="0"/>
    <m/>
    <s v="YEAR5"/>
    <x v="7"/>
    <x v="2"/>
    <x v="26"/>
    <x v="3"/>
    <x v="4"/>
    <m/>
    <m/>
    <m/>
    <m/>
    <m/>
    <m/>
    <m/>
    <m/>
    <m/>
    <m/>
    <m/>
    <m/>
    <m/>
    <m/>
    <m/>
    <m/>
    <m/>
    <m/>
    <m/>
    <n v="0"/>
    <n v="0"/>
    <n v="0"/>
    <n v="0"/>
    <n v="0"/>
    <n v="0"/>
    <n v="0"/>
    <n v="0"/>
    <n v="0"/>
    <n v="0"/>
    <n v="0"/>
    <n v="0"/>
    <m/>
    <s v="SERVICE 06  |  DEPENSES SUR ACHATS"/>
    <b v="1"/>
  </r>
  <r>
    <n v="1083"/>
    <x v="0"/>
    <m/>
    <s v="YEAR6"/>
    <x v="8"/>
    <x v="2"/>
    <x v="26"/>
    <x v="3"/>
    <x v="4"/>
    <m/>
    <m/>
    <m/>
    <m/>
    <m/>
    <m/>
    <m/>
    <m/>
    <m/>
    <m/>
    <m/>
    <m/>
    <m/>
    <m/>
    <m/>
    <m/>
    <m/>
    <m/>
    <m/>
    <n v="0"/>
    <n v="0"/>
    <n v="0"/>
    <n v="0"/>
    <n v="0"/>
    <n v="0"/>
    <n v="0"/>
    <n v="0"/>
    <n v="0"/>
    <n v="0"/>
    <n v="0"/>
    <n v="0"/>
    <m/>
    <s v="SERVICE 06  |  DEPENSES SUR ACHATS"/>
    <b v="1"/>
  </r>
  <r>
    <n v="1084"/>
    <x v="0"/>
    <m/>
    <s v="YEAR-2"/>
    <x v="1"/>
    <x v="2"/>
    <x v="26"/>
    <x v="3"/>
    <x v="5"/>
    <m/>
    <m/>
    <m/>
    <m/>
    <m/>
    <m/>
    <m/>
    <m/>
    <m/>
    <m/>
    <m/>
    <m/>
    <m/>
    <m/>
    <m/>
    <m/>
    <m/>
    <m/>
    <m/>
    <n v="0"/>
    <n v="0"/>
    <n v="0"/>
    <n v="0"/>
    <n v="0"/>
    <n v="0"/>
    <n v="0"/>
    <n v="0"/>
    <n v="0"/>
    <m/>
    <n v="0"/>
    <m/>
    <m/>
    <s v="SERVICE 06  |  PRIX MOYEN D'ACHAT PAR PRODUIT/SERVICE"/>
    <m/>
  </r>
  <r>
    <n v="1085"/>
    <x v="0"/>
    <m/>
    <s v="YEAR-1"/>
    <x v="2"/>
    <x v="2"/>
    <x v="26"/>
    <x v="3"/>
    <x v="5"/>
    <m/>
    <m/>
    <m/>
    <m/>
    <m/>
    <m/>
    <m/>
    <m/>
    <m/>
    <m/>
    <m/>
    <m/>
    <m/>
    <m/>
    <m/>
    <m/>
    <m/>
    <m/>
    <m/>
    <n v="0"/>
    <n v="0"/>
    <n v="0"/>
    <n v="0"/>
    <n v="0"/>
    <n v="0"/>
    <n v="0"/>
    <n v="0"/>
    <n v="0"/>
    <m/>
    <n v="0"/>
    <m/>
    <m/>
    <s v="SERVICE 06  |  PRIX MOYEN D'ACHAT PAR PRODUIT/SERVICE"/>
    <m/>
  </r>
  <r>
    <n v="1086"/>
    <x v="0"/>
    <m/>
    <s v="CURRENT YEAR"/>
    <x v="3"/>
    <x v="2"/>
    <x v="26"/>
    <x v="3"/>
    <x v="5"/>
    <m/>
    <m/>
    <m/>
    <m/>
    <m/>
    <m/>
    <m/>
    <m/>
    <m/>
    <m/>
    <m/>
    <m/>
    <m/>
    <m/>
    <m/>
    <m/>
    <m/>
    <m/>
    <m/>
    <n v="0"/>
    <n v="0"/>
    <n v="0"/>
    <n v="0"/>
    <n v="0"/>
    <n v="0"/>
    <n v="0"/>
    <n v="0"/>
    <n v="0"/>
    <m/>
    <n v="0"/>
    <m/>
    <m/>
    <s v="SERVICE 06  |  PRIX MOYEN D'ACHAT PAR PRODUIT/SERVICE"/>
    <m/>
  </r>
  <r>
    <n v="1087"/>
    <x v="0"/>
    <m/>
    <s v="YEAR2"/>
    <x v="4"/>
    <x v="2"/>
    <x v="26"/>
    <x v="3"/>
    <x v="5"/>
    <m/>
    <m/>
    <m/>
    <m/>
    <m/>
    <m/>
    <m/>
    <m/>
    <m/>
    <m/>
    <m/>
    <m/>
    <m/>
    <m/>
    <m/>
    <m/>
    <m/>
    <m/>
    <m/>
    <n v="0"/>
    <n v="0"/>
    <n v="0"/>
    <n v="0"/>
    <n v="0"/>
    <n v="0"/>
    <n v="0"/>
    <n v="0"/>
    <n v="0"/>
    <m/>
    <n v="0"/>
    <m/>
    <m/>
    <s v="SERVICE 06  |  PRIX MOYEN D'ACHAT PAR PRODUIT/SERVICE"/>
    <m/>
  </r>
  <r>
    <n v="1088"/>
    <x v="0"/>
    <m/>
    <s v="YEAR3"/>
    <x v="5"/>
    <x v="2"/>
    <x v="26"/>
    <x v="3"/>
    <x v="5"/>
    <m/>
    <m/>
    <m/>
    <m/>
    <m/>
    <m/>
    <m/>
    <m/>
    <m/>
    <m/>
    <m/>
    <m/>
    <m/>
    <m/>
    <m/>
    <m/>
    <m/>
    <m/>
    <m/>
    <n v="0"/>
    <n v="0"/>
    <n v="0"/>
    <n v="0"/>
    <n v="0"/>
    <n v="0"/>
    <n v="0"/>
    <n v="0"/>
    <n v="0"/>
    <m/>
    <n v="0"/>
    <m/>
    <m/>
    <s v="SERVICE 06  |  PRIX MOYEN D'ACHAT PAR PRODUIT/SERVICE"/>
    <m/>
  </r>
  <r>
    <n v="1089"/>
    <x v="0"/>
    <m/>
    <s v="YEAR4"/>
    <x v="6"/>
    <x v="2"/>
    <x v="26"/>
    <x v="3"/>
    <x v="5"/>
    <m/>
    <m/>
    <m/>
    <m/>
    <m/>
    <m/>
    <m/>
    <m/>
    <m/>
    <m/>
    <m/>
    <m/>
    <m/>
    <m/>
    <m/>
    <m/>
    <m/>
    <m/>
    <m/>
    <n v="0"/>
    <n v="0"/>
    <n v="0"/>
    <n v="0"/>
    <n v="0"/>
    <n v="0"/>
    <n v="0"/>
    <n v="0"/>
    <n v="0"/>
    <m/>
    <n v="0"/>
    <m/>
    <m/>
    <s v="SERVICE 06  |  PRIX MOYEN D'ACHAT PAR PRODUIT/SERVICE"/>
    <m/>
  </r>
  <r>
    <n v="1090"/>
    <x v="0"/>
    <m/>
    <s v="YEAR5"/>
    <x v="7"/>
    <x v="2"/>
    <x v="26"/>
    <x v="3"/>
    <x v="5"/>
    <m/>
    <m/>
    <m/>
    <m/>
    <m/>
    <m/>
    <m/>
    <m/>
    <m/>
    <m/>
    <m/>
    <m/>
    <m/>
    <m/>
    <m/>
    <m/>
    <m/>
    <m/>
    <m/>
    <n v="0"/>
    <n v="0"/>
    <n v="0"/>
    <n v="0"/>
    <n v="0"/>
    <n v="0"/>
    <n v="0"/>
    <n v="0"/>
    <n v="0"/>
    <m/>
    <n v="0"/>
    <m/>
    <m/>
    <s v="SERVICE 06  |  PRIX MOYEN D'ACHAT PAR PRODUIT/SERVICE"/>
    <m/>
  </r>
  <r>
    <n v="1091"/>
    <x v="0"/>
    <m/>
    <s v="YEAR6"/>
    <x v="8"/>
    <x v="2"/>
    <x v="26"/>
    <x v="3"/>
    <x v="5"/>
    <m/>
    <m/>
    <m/>
    <m/>
    <m/>
    <m/>
    <m/>
    <m/>
    <m/>
    <m/>
    <m/>
    <m/>
    <m/>
    <m/>
    <m/>
    <m/>
    <m/>
    <m/>
    <m/>
    <n v="0"/>
    <n v="0"/>
    <n v="0"/>
    <n v="0"/>
    <n v="0"/>
    <n v="0"/>
    <n v="0"/>
    <n v="0"/>
    <n v="0"/>
    <m/>
    <n v="0"/>
    <m/>
    <m/>
    <s v="SERVICE 06  |  PRIX MOYEN D'ACHAT PAR PRODUIT/SERVICE"/>
    <m/>
  </r>
  <r>
    <n v="1092"/>
    <x v="0"/>
    <n v="1"/>
    <m/>
    <x v="0"/>
    <x v="0"/>
    <x v="0"/>
    <x v="0"/>
    <x v="0"/>
    <m/>
    <m/>
    <m/>
    <m/>
    <m/>
    <m/>
    <m/>
    <m/>
    <m/>
    <m/>
    <m/>
    <m/>
    <m/>
    <m/>
    <m/>
    <m/>
    <m/>
    <m/>
    <m/>
    <m/>
    <m/>
    <m/>
    <m/>
    <m/>
    <m/>
    <m/>
    <m/>
    <m/>
    <m/>
    <m/>
    <m/>
    <m/>
    <m/>
    <m/>
  </r>
  <r>
    <n v="1093"/>
    <x v="0"/>
    <m/>
    <m/>
    <x v="0"/>
    <x v="0"/>
    <x v="0"/>
    <x v="0"/>
    <x v="0"/>
    <m/>
    <m/>
    <m/>
    <m/>
    <m/>
    <m/>
    <m/>
    <m/>
    <m/>
    <m/>
    <m/>
    <m/>
    <m/>
    <m/>
    <m/>
    <m/>
    <m/>
    <m/>
    <m/>
    <m/>
    <m/>
    <m/>
    <m/>
    <m/>
    <m/>
    <m/>
    <m/>
    <m/>
    <m/>
    <m/>
    <m/>
    <m/>
    <m/>
    <m/>
  </r>
  <r>
    <n v="1094"/>
    <x v="0"/>
    <n v="1"/>
    <s v="YEAR-2"/>
    <x v="1"/>
    <x v="2"/>
    <x v="27"/>
    <x v="3"/>
    <x v="1"/>
    <n v="1000"/>
    <n v="0"/>
    <n v="0"/>
    <n v="1000"/>
    <n v="1"/>
    <n v="0"/>
    <n v="0"/>
    <n v="500"/>
    <n v="0"/>
    <n v="0"/>
    <n v="500"/>
    <n v="1"/>
    <n v="1"/>
    <n v="1"/>
    <n v="0"/>
    <n v="0"/>
    <n v="0"/>
    <n v="0"/>
    <n v="0"/>
    <n v="0"/>
    <n v="0"/>
    <n v="0"/>
    <n v="0"/>
    <n v="0"/>
    <n v="0"/>
    <n v="0"/>
    <n v="0"/>
    <n v="0"/>
    <n v="0"/>
    <n v="0"/>
    <n v="0"/>
    <s v="GAMME # : 1 + CANAL DE DISTRIBUTION # : 1"/>
    <s v="SERVICE 07  |  VOLUME"/>
    <b v="1"/>
  </r>
  <r>
    <n v="1095"/>
    <x v="0"/>
    <n v="1"/>
    <s v="YEAR-1"/>
    <x v="2"/>
    <x v="2"/>
    <x v="27"/>
    <x v="3"/>
    <x v="1"/>
    <n v="1000"/>
    <n v="0"/>
    <n v="0"/>
    <n v="1000"/>
    <n v="1"/>
    <n v="0"/>
    <n v="0"/>
    <n v="500"/>
    <n v="0"/>
    <n v="0"/>
    <n v="500"/>
    <n v="1"/>
    <n v="1"/>
    <n v="1"/>
    <n v="0"/>
    <n v="0"/>
    <n v="0"/>
    <n v="0"/>
    <n v="0"/>
    <n v="0"/>
    <n v="0"/>
    <n v="0"/>
    <n v="0"/>
    <n v="0"/>
    <n v="0"/>
    <n v="0"/>
    <n v="0"/>
    <n v="0"/>
    <n v="0"/>
    <n v="0"/>
    <n v="0"/>
    <m/>
    <s v="SERVICE 07  |  VOLUME"/>
    <b v="1"/>
  </r>
  <r>
    <n v="1096"/>
    <x v="0"/>
    <n v="1"/>
    <s v="CURRENT YEAR"/>
    <x v="3"/>
    <x v="2"/>
    <x v="27"/>
    <x v="3"/>
    <x v="1"/>
    <n v="1000"/>
    <n v="0"/>
    <n v="0"/>
    <n v="1000"/>
    <n v="1"/>
    <n v="0"/>
    <n v="0"/>
    <n v="500"/>
    <n v="0"/>
    <n v="0"/>
    <n v="500"/>
    <n v="1"/>
    <n v="1"/>
    <n v="1"/>
    <n v="0"/>
    <n v="0"/>
    <n v="0"/>
    <n v="0"/>
    <n v="0"/>
    <n v="0"/>
    <n v="0"/>
    <n v="0"/>
    <n v="0"/>
    <n v="0"/>
    <n v="0"/>
    <n v="0"/>
    <n v="0"/>
    <n v="0"/>
    <n v="0"/>
    <n v="0"/>
    <n v="0"/>
    <m/>
    <s v="SERVICE 07  |  VOLUME"/>
    <b v="1"/>
  </r>
  <r>
    <n v="1097"/>
    <x v="0"/>
    <n v="1"/>
    <s v="YEAR2"/>
    <x v="4"/>
    <x v="2"/>
    <x v="27"/>
    <x v="3"/>
    <x v="1"/>
    <n v="1000"/>
    <n v="0"/>
    <n v="0"/>
    <n v="1000"/>
    <n v="1"/>
    <n v="0"/>
    <n v="0"/>
    <n v="500"/>
    <n v="0"/>
    <n v="0"/>
    <n v="500"/>
    <n v="1"/>
    <n v="1"/>
    <n v="1"/>
    <n v="0"/>
    <n v="0"/>
    <n v="0"/>
    <n v="0"/>
    <n v="0"/>
    <n v="0"/>
    <n v="0"/>
    <n v="0"/>
    <n v="0"/>
    <n v="0"/>
    <n v="0"/>
    <n v="0"/>
    <n v="0"/>
    <n v="0"/>
    <n v="0"/>
    <n v="0"/>
    <n v="0"/>
    <m/>
    <s v="SERVICE 07  |  VOLUME"/>
    <b v="1"/>
  </r>
  <r>
    <n v="1098"/>
    <x v="0"/>
    <n v="1"/>
    <s v="YEAR3"/>
    <x v="5"/>
    <x v="2"/>
    <x v="27"/>
    <x v="3"/>
    <x v="1"/>
    <n v="1000"/>
    <n v="0"/>
    <n v="0"/>
    <n v="1000"/>
    <n v="1"/>
    <n v="0"/>
    <n v="0"/>
    <n v="500"/>
    <n v="0"/>
    <n v="0"/>
    <n v="500"/>
    <n v="1"/>
    <n v="1"/>
    <n v="1"/>
    <n v="0"/>
    <n v="0"/>
    <n v="0"/>
    <n v="0"/>
    <n v="0"/>
    <n v="0"/>
    <n v="0"/>
    <n v="0"/>
    <n v="0"/>
    <n v="0"/>
    <n v="0"/>
    <n v="0"/>
    <n v="0"/>
    <n v="0"/>
    <n v="0"/>
    <n v="0"/>
    <n v="0"/>
    <m/>
    <s v="SERVICE 07  |  VOLUME"/>
    <b v="1"/>
  </r>
  <r>
    <n v="1099"/>
    <x v="0"/>
    <n v="1"/>
    <s v="YEAR4"/>
    <x v="6"/>
    <x v="2"/>
    <x v="27"/>
    <x v="3"/>
    <x v="1"/>
    <n v="1000"/>
    <n v="0"/>
    <n v="0"/>
    <n v="1000"/>
    <n v="1"/>
    <n v="0"/>
    <n v="0"/>
    <n v="500"/>
    <n v="0"/>
    <n v="0"/>
    <n v="500"/>
    <n v="1"/>
    <n v="1"/>
    <n v="1"/>
    <n v="0"/>
    <n v="0"/>
    <n v="0"/>
    <n v="0"/>
    <n v="0"/>
    <n v="0"/>
    <n v="0"/>
    <n v="0"/>
    <n v="0"/>
    <n v="0"/>
    <n v="0"/>
    <n v="0"/>
    <n v="0"/>
    <n v="0"/>
    <n v="0"/>
    <n v="0"/>
    <n v="0"/>
    <m/>
    <s v="SERVICE 07  |  VOLUME"/>
    <b v="1"/>
  </r>
  <r>
    <n v="1100"/>
    <x v="0"/>
    <n v="1"/>
    <s v="YEAR5"/>
    <x v="7"/>
    <x v="2"/>
    <x v="27"/>
    <x v="3"/>
    <x v="1"/>
    <n v="1000"/>
    <n v="0"/>
    <n v="0"/>
    <n v="1000"/>
    <n v="1"/>
    <n v="0"/>
    <n v="0"/>
    <n v="500"/>
    <n v="0"/>
    <n v="0"/>
    <n v="500"/>
    <n v="1"/>
    <n v="1"/>
    <n v="1"/>
    <n v="0"/>
    <n v="0"/>
    <n v="0"/>
    <n v="0"/>
    <n v="0"/>
    <n v="0"/>
    <n v="0"/>
    <n v="0"/>
    <n v="0"/>
    <n v="0"/>
    <n v="0"/>
    <n v="0"/>
    <n v="0"/>
    <n v="0"/>
    <n v="0"/>
    <n v="0"/>
    <n v="0"/>
    <m/>
    <s v="SERVICE 07  |  VOLUME"/>
    <b v="1"/>
  </r>
  <r>
    <n v="1101"/>
    <x v="0"/>
    <n v="1"/>
    <s v="YEAR6"/>
    <x v="8"/>
    <x v="2"/>
    <x v="27"/>
    <x v="3"/>
    <x v="1"/>
    <n v="1000"/>
    <n v="0"/>
    <n v="0"/>
    <n v="1000"/>
    <n v="1"/>
    <n v="0"/>
    <n v="0"/>
    <n v="500"/>
    <n v="0"/>
    <n v="0"/>
    <n v="500"/>
    <n v="1"/>
    <n v="1"/>
    <n v="1"/>
    <n v="0"/>
    <n v="0"/>
    <n v="0"/>
    <n v="0"/>
    <n v="0"/>
    <n v="0"/>
    <n v="0"/>
    <n v="0"/>
    <n v="0"/>
    <n v="0"/>
    <n v="0"/>
    <n v="0"/>
    <n v="0"/>
    <n v="0"/>
    <n v="0"/>
    <n v="0"/>
    <n v="0"/>
    <m/>
    <s v="SERVICE 07  |  VOLUME"/>
    <b v="1"/>
  </r>
  <r>
    <n v="1102"/>
    <x v="0"/>
    <m/>
    <s v="YEAR-2"/>
    <x v="1"/>
    <x v="2"/>
    <x v="27"/>
    <x v="3"/>
    <x v="2"/>
    <m/>
    <m/>
    <m/>
    <m/>
    <m/>
    <m/>
    <m/>
    <m/>
    <m/>
    <m/>
    <m/>
    <m/>
    <m/>
    <m/>
    <m/>
    <m/>
    <m/>
    <m/>
    <m/>
    <n v="0"/>
    <n v="0"/>
    <n v="0"/>
    <n v="0"/>
    <n v="0"/>
    <n v="0"/>
    <n v="0"/>
    <n v="0"/>
    <n v="0"/>
    <n v="0"/>
    <n v="0"/>
    <n v="0"/>
    <m/>
    <s v="SERVICE 07  |  CHIFFRE D'AFFAIRES"/>
    <b v="1"/>
  </r>
  <r>
    <n v="1103"/>
    <x v="0"/>
    <m/>
    <s v="YEAR-1"/>
    <x v="2"/>
    <x v="2"/>
    <x v="27"/>
    <x v="3"/>
    <x v="2"/>
    <m/>
    <m/>
    <m/>
    <m/>
    <m/>
    <m/>
    <m/>
    <m/>
    <m/>
    <m/>
    <m/>
    <m/>
    <m/>
    <m/>
    <m/>
    <m/>
    <m/>
    <m/>
    <m/>
    <n v="0"/>
    <n v="0"/>
    <n v="0"/>
    <n v="0"/>
    <n v="0"/>
    <n v="0"/>
    <n v="0"/>
    <n v="0"/>
    <n v="0"/>
    <n v="0"/>
    <n v="0"/>
    <n v="0"/>
    <m/>
    <s v="SERVICE 07  |  CHIFFRE D'AFFAIRES"/>
    <b v="1"/>
  </r>
  <r>
    <n v="1104"/>
    <x v="0"/>
    <m/>
    <s v="CURRENT YEAR"/>
    <x v="3"/>
    <x v="2"/>
    <x v="27"/>
    <x v="3"/>
    <x v="2"/>
    <m/>
    <m/>
    <m/>
    <m/>
    <m/>
    <m/>
    <m/>
    <m/>
    <m/>
    <m/>
    <m/>
    <m/>
    <m/>
    <m/>
    <m/>
    <m/>
    <m/>
    <m/>
    <m/>
    <n v="0"/>
    <n v="0"/>
    <n v="0"/>
    <n v="0"/>
    <n v="0"/>
    <n v="0"/>
    <n v="0"/>
    <n v="0"/>
    <n v="0"/>
    <n v="0"/>
    <n v="0"/>
    <n v="0"/>
    <m/>
    <s v="SERVICE 07  |  CHIFFRE D'AFFAIRES"/>
    <b v="1"/>
  </r>
  <r>
    <n v="1105"/>
    <x v="0"/>
    <m/>
    <s v="YEAR2"/>
    <x v="4"/>
    <x v="2"/>
    <x v="27"/>
    <x v="3"/>
    <x v="2"/>
    <m/>
    <m/>
    <m/>
    <m/>
    <m/>
    <m/>
    <m/>
    <m/>
    <m/>
    <m/>
    <m/>
    <m/>
    <m/>
    <m/>
    <m/>
    <m/>
    <m/>
    <m/>
    <m/>
    <n v="0"/>
    <n v="0"/>
    <n v="0"/>
    <n v="0"/>
    <n v="0"/>
    <n v="0"/>
    <n v="0"/>
    <n v="0"/>
    <n v="0"/>
    <n v="0"/>
    <n v="0"/>
    <n v="0"/>
    <m/>
    <s v="SERVICE 07  |  CHIFFRE D'AFFAIRES"/>
    <b v="1"/>
  </r>
  <r>
    <n v="1106"/>
    <x v="0"/>
    <m/>
    <s v="YEAR3"/>
    <x v="5"/>
    <x v="2"/>
    <x v="27"/>
    <x v="3"/>
    <x v="2"/>
    <m/>
    <m/>
    <m/>
    <m/>
    <m/>
    <m/>
    <m/>
    <m/>
    <m/>
    <m/>
    <m/>
    <m/>
    <m/>
    <m/>
    <m/>
    <m/>
    <m/>
    <m/>
    <m/>
    <n v="0"/>
    <n v="0"/>
    <n v="0"/>
    <n v="0"/>
    <n v="0"/>
    <n v="0"/>
    <n v="0"/>
    <n v="0"/>
    <n v="0"/>
    <n v="0"/>
    <n v="0"/>
    <n v="0"/>
    <m/>
    <s v="SERVICE 07  |  CHIFFRE D'AFFAIRES"/>
    <b v="1"/>
  </r>
  <r>
    <n v="1107"/>
    <x v="0"/>
    <m/>
    <s v="YEAR4"/>
    <x v="6"/>
    <x v="2"/>
    <x v="27"/>
    <x v="3"/>
    <x v="2"/>
    <m/>
    <m/>
    <m/>
    <m/>
    <m/>
    <m/>
    <m/>
    <m/>
    <m/>
    <m/>
    <m/>
    <m/>
    <m/>
    <m/>
    <m/>
    <m/>
    <m/>
    <m/>
    <m/>
    <n v="0"/>
    <n v="0"/>
    <n v="0"/>
    <n v="0"/>
    <n v="0"/>
    <n v="0"/>
    <n v="0"/>
    <n v="0"/>
    <n v="0"/>
    <n v="0"/>
    <n v="0"/>
    <n v="0"/>
    <m/>
    <s v="SERVICE 07  |  CHIFFRE D'AFFAIRES"/>
    <b v="1"/>
  </r>
  <r>
    <n v="1108"/>
    <x v="0"/>
    <m/>
    <s v="YEAR5"/>
    <x v="7"/>
    <x v="2"/>
    <x v="27"/>
    <x v="3"/>
    <x v="2"/>
    <m/>
    <m/>
    <m/>
    <m/>
    <m/>
    <m/>
    <m/>
    <m/>
    <m/>
    <m/>
    <m/>
    <m/>
    <m/>
    <m/>
    <m/>
    <m/>
    <m/>
    <m/>
    <m/>
    <n v="0"/>
    <n v="0"/>
    <n v="0"/>
    <n v="0"/>
    <n v="0"/>
    <n v="0"/>
    <n v="0"/>
    <n v="0"/>
    <n v="0"/>
    <n v="0"/>
    <n v="0"/>
    <n v="0"/>
    <m/>
    <s v="SERVICE 07  |  CHIFFRE D'AFFAIRES"/>
    <b v="1"/>
  </r>
  <r>
    <n v="1109"/>
    <x v="0"/>
    <m/>
    <s v="YEAR6"/>
    <x v="8"/>
    <x v="2"/>
    <x v="27"/>
    <x v="3"/>
    <x v="2"/>
    <m/>
    <m/>
    <m/>
    <m/>
    <m/>
    <m/>
    <m/>
    <m/>
    <m/>
    <m/>
    <m/>
    <m/>
    <m/>
    <m/>
    <m/>
    <m/>
    <m/>
    <m/>
    <m/>
    <n v="0"/>
    <n v="0"/>
    <n v="0"/>
    <n v="0"/>
    <n v="0"/>
    <n v="0"/>
    <n v="0"/>
    <n v="0"/>
    <n v="0"/>
    <n v="0"/>
    <n v="0"/>
    <n v="0"/>
    <m/>
    <s v="SERVICE 07  |  CHIFFRE D'AFFAIRES"/>
    <b v="1"/>
  </r>
  <r>
    <n v="1110"/>
    <x v="0"/>
    <m/>
    <s v="YEAR-2"/>
    <x v="1"/>
    <x v="2"/>
    <x v="27"/>
    <x v="3"/>
    <x v="3"/>
    <m/>
    <m/>
    <m/>
    <m/>
    <m/>
    <m/>
    <m/>
    <m/>
    <m/>
    <m/>
    <m/>
    <m/>
    <m/>
    <m/>
    <m/>
    <m/>
    <m/>
    <m/>
    <m/>
    <n v="0"/>
    <n v="0"/>
    <n v="0"/>
    <n v="0"/>
    <n v="0"/>
    <n v="0"/>
    <n v="0"/>
    <n v="0"/>
    <n v="0"/>
    <m/>
    <n v="0"/>
    <m/>
    <m/>
    <s v="SERVICE 07  |  PRIX MOYEN DE VENTE PAR PRODUIT/SERVICE"/>
    <m/>
  </r>
  <r>
    <n v="1111"/>
    <x v="0"/>
    <m/>
    <s v="YEAR-1"/>
    <x v="2"/>
    <x v="2"/>
    <x v="27"/>
    <x v="3"/>
    <x v="3"/>
    <m/>
    <m/>
    <m/>
    <m/>
    <m/>
    <m/>
    <m/>
    <m/>
    <m/>
    <m/>
    <m/>
    <m/>
    <m/>
    <m/>
    <m/>
    <m/>
    <m/>
    <m/>
    <m/>
    <n v="0"/>
    <n v="0"/>
    <n v="0"/>
    <n v="0"/>
    <n v="0"/>
    <n v="0"/>
    <n v="0"/>
    <n v="0"/>
    <n v="0"/>
    <m/>
    <n v="0"/>
    <m/>
    <m/>
    <s v="SERVICE 07  |  PRIX MOYEN DE VENTE PAR PRODUIT/SERVICE"/>
    <m/>
  </r>
  <r>
    <n v="1112"/>
    <x v="0"/>
    <m/>
    <s v="CURRENT YEAR"/>
    <x v="3"/>
    <x v="2"/>
    <x v="27"/>
    <x v="3"/>
    <x v="3"/>
    <m/>
    <m/>
    <m/>
    <m/>
    <m/>
    <m/>
    <m/>
    <m/>
    <m/>
    <m/>
    <m/>
    <m/>
    <m/>
    <m/>
    <m/>
    <m/>
    <m/>
    <m/>
    <m/>
    <n v="0"/>
    <n v="0"/>
    <n v="0"/>
    <n v="0"/>
    <n v="0"/>
    <n v="0"/>
    <n v="0"/>
    <n v="0"/>
    <n v="0"/>
    <m/>
    <n v="0"/>
    <m/>
    <m/>
    <s v="SERVICE 07  |  PRIX MOYEN DE VENTE PAR PRODUIT/SERVICE"/>
    <m/>
  </r>
  <r>
    <n v="1113"/>
    <x v="0"/>
    <m/>
    <s v="YEAR2"/>
    <x v="4"/>
    <x v="2"/>
    <x v="27"/>
    <x v="3"/>
    <x v="3"/>
    <m/>
    <m/>
    <m/>
    <m/>
    <m/>
    <m/>
    <m/>
    <m/>
    <m/>
    <m/>
    <m/>
    <m/>
    <m/>
    <m/>
    <m/>
    <m/>
    <m/>
    <m/>
    <m/>
    <n v="0"/>
    <n v="0"/>
    <n v="0"/>
    <n v="0"/>
    <n v="0"/>
    <n v="0"/>
    <n v="0"/>
    <n v="0"/>
    <n v="0"/>
    <m/>
    <n v="0"/>
    <m/>
    <m/>
    <s v="SERVICE 07  |  PRIX MOYEN DE VENTE PAR PRODUIT/SERVICE"/>
    <m/>
  </r>
  <r>
    <n v="1114"/>
    <x v="0"/>
    <m/>
    <s v="YEAR3"/>
    <x v="5"/>
    <x v="2"/>
    <x v="27"/>
    <x v="3"/>
    <x v="3"/>
    <m/>
    <m/>
    <m/>
    <m/>
    <m/>
    <m/>
    <m/>
    <m/>
    <m/>
    <m/>
    <m/>
    <m/>
    <m/>
    <m/>
    <m/>
    <m/>
    <m/>
    <m/>
    <m/>
    <n v="0"/>
    <n v="0"/>
    <n v="0"/>
    <n v="0"/>
    <n v="0"/>
    <n v="0"/>
    <n v="0"/>
    <n v="0"/>
    <n v="0"/>
    <m/>
    <n v="0"/>
    <m/>
    <m/>
    <s v="SERVICE 07  |  PRIX MOYEN DE VENTE PAR PRODUIT/SERVICE"/>
    <m/>
  </r>
  <r>
    <n v="1115"/>
    <x v="0"/>
    <m/>
    <s v="YEAR4"/>
    <x v="6"/>
    <x v="2"/>
    <x v="27"/>
    <x v="3"/>
    <x v="3"/>
    <m/>
    <m/>
    <m/>
    <m/>
    <m/>
    <m/>
    <m/>
    <m/>
    <m/>
    <m/>
    <m/>
    <m/>
    <m/>
    <m/>
    <m/>
    <m/>
    <m/>
    <m/>
    <m/>
    <n v="0"/>
    <n v="0"/>
    <n v="0"/>
    <n v="0"/>
    <n v="0"/>
    <n v="0"/>
    <n v="0"/>
    <n v="0"/>
    <n v="0"/>
    <m/>
    <n v="0"/>
    <m/>
    <m/>
    <s v="SERVICE 07  |  PRIX MOYEN DE VENTE PAR PRODUIT/SERVICE"/>
    <m/>
  </r>
  <r>
    <n v="1116"/>
    <x v="0"/>
    <m/>
    <s v="YEAR5"/>
    <x v="7"/>
    <x v="2"/>
    <x v="27"/>
    <x v="3"/>
    <x v="3"/>
    <m/>
    <m/>
    <m/>
    <m/>
    <m/>
    <m/>
    <m/>
    <m/>
    <m/>
    <m/>
    <m/>
    <m/>
    <m/>
    <m/>
    <m/>
    <m/>
    <m/>
    <m/>
    <m/>
    <n v="0"/>
    <n v="0"/>
    <n v="0"/>
    <n v="0"/>
    <n v="0"/>
    <n v="0"/>
    <n v="0"/>
    <n v="0"/>
    <n v="0"/>
    <m/>
    <n v="0"/>
    <m/>
    <m/>
    <s v="SERVICE 07  |  PRIX MOYEN DE VENTE PAR PRODUIT/SERVICE"/>
    <m/>
  </r>
  <r>
    <n v="1117"/>
    <x v="0"/>
    <m/>
    <s v="YEAR6"/>
    <x v="8"/>
    <x v="2"/>
    <x v="27"/>
    <x v="3"/>
    <x v="3"/>
    <m/>
    <m/>
    <m/>
    <m/>
    <m/>
    <m/>
    <m/>
    <m/>
    <m/>
    <m/>
    <m/>
    <m/>
    <m/>
    <m/>
    <m/>
    <m/>
    <m/>
    <m/>
    <m/>
    <n v="0"/>
    <n v="0"/>
    <n v="0"/>
    <n v="0"/>
    <n v="0"/>
    <n v="0"/>
    <n v="0"/>
    <n v="0"/>
    <n v="0"/>
    <m/>
    <n v="0"/>
    <m/>
    <m/>
    <s v="SERVICE 07  |  PRIX MOYEN DE VENTE PAR PRODUIT/SERVICE"/>
    <m/>
  </r>
  <r>
    <n v="1118"/>
    <x v="0"/>
    <m/>
    <s v="YEAR-2"/>
    <x v="1"/>
    <x v="2"/>
    <x v="27"/>
    <x v="3"/>
    <x v="4"/>
    <m/>
    <m/>
    <m/>
    <m/>
    <m/>
    <m/>
    <m/>
    <m/>
    <m/>
    <m/>
    <m/>
    <m/>
    <m/>
    <m/>
    <m/>
    <m/>
    <m/>
    <m/>
    <m/>
    <n v="0"/>
    <n v="0"/>
    <n v="0"/>
    <n v="0"/>
    <n v="0"/>
    <n v="0"/>
    <n v="0"/>
    <n v="0"/>
    <n v="0"/>
    <n v="0"/>
    <n v="0"/>
    <n v="0"/>
    <m/>
    <s v="SERVICE 07  |  DEPENSES SUR ACHATS"/>
    <b v="1"/>
  </r>
  <r>
    <n v="1119"/>
    <x v="0"/>
    <m/>
    <s v="YEAR-1"/>
    <x v="2"/>
    <x v="2"/>
    <x v="27"/>
    <x v="3"/>
    <x v="4"/>
    <m/>
    <m/>
    <m/>
    <m/>
    <m/>
    <m/>
    <m/>
    <m/>
    <m/>
    <m/>
    <m/>
    <m/>
    <m/>
    <m/>
    <m/>
    <m/>
    <m/>
    <m/>
    <m/>
    <n v="0"/>
    <n v="0"/>
    <n v="0"/>
    <n v="0"/>
    <n v="0"/>
    <n v="0"/>
    <n v="0"/>
    <n v="0"/>
    <n v="0"/>
    <n v="0"/>
    <n v="0"/>
    <n v="0"/>
    <m/>
    <s v="SERVICE 07  |  DEPENSES SUR ACHATS"/>
    <b v="1"/>
  </r>
  <r>
    <n v="1120"/>
    <x v="0"/>
    <m/>
    <s v="CURRENT YEAR"/>
    <x v="3"/>
    <x v="2"/>
    <x v="27"/>
    <x v="3"/>
    <x v="4"/>
    <m/>
    <m/>
    <m/>
    <m/>
    <m/>
    <m/>
    <m/>
    <m/>
    <m/>
    <m/>
    <m/>
    <m/>
    <m/>
    <m/>
    <m/>
    <m/>
    <m/>
    <m/>
    <m/>
    <n v="0"/>
    <n v="0"/>
    <n v="0"/>
    <n v="0"/>
    <n v="0"/>
    <n v="0"/>
    <n v="0"/>
    <n v="0"/>
    <n v="0"/>
    <n v="0"/>
    <n v="0"/>
    <n v="0"/>
    <m/>
    <s v="SERVICE 07  |  DEPENSES SUR ACHATS"/>
    <b v="1"/>
  </r>
  <r>
    <n v="1121"/>
    <x v="0"/>
    <m/>
    <s v="YEAR2"/>
    <x v="4"/>
    <x v="2"/>
    <x v="27"/>
    <x v="3"/>
    <x v="4"/>
    <m/>
    <m/>
    <m/>
    <m/>
    <m/>
    <m/>
    <m/>
    <m/>
    <m/>
    <m/>
    <m/>
    <m/>
    <m/>
    <m/>
    <m/>
    <m/>
    <m/>
    <m/>
    <m/>
    <n v="0"/>
    <n v="0"/>
    <n v="0"/>
    <n v="0"/>
    <n v="0"/>
    <n v="0"/>
    <n v="0"/>
    <n v="0"/>
    <n v="0"/>
    <n v="0"/>
    <n v="0"/>
    <n v="0"/>
    <m/>
    <s v="SERVICE 07  |  DEPENSES SUR ACHATS"/>
    <b v="1"/>
  </r>
  <r>
    <n v="1122"/>
    <x v="0"/>
    <m/>
    <s v="YEAR3"/>
    <x v="5"/>
    <x v="2"/>
    <x v="27"/>
    <x v="3"/>
    <x v="4"/>
    <m/>
    <m/>
    <m/>
    <m/>
    <m/>
    <m/>
    <m/>
    <m/>
    <m/>
    <m/>
    <m/>
    <m/>
    <m/>
    <m/>
    <m/>
    <m/>
    <m/>
    <m/>
    <m/>
    <n v="0"/>
    <n v="0"/>
    <n v="0"/>
    <n v="0"/>
    <n v="0"/>
    <n v="0"/>
    <n v="0"/>
    <n v="0"/>
    <n v="0"/>
    <n v="0"/>
    <n v="0"/>
    <n v="0"/>
    <m/>
    <s v="SERVICE 07  |  DEPENSES SUR ACHATS"/>
    <b v="1"/>
  </r>
  <r>
    <n v="1123"/>
    <x v="0"/>
    <m/>
    <s v="YEAR4"/>
    <x v="6"/>
    <x v="2"/>
    <x v="27"/>
    <x v="3"/>
    <x v="4"/>
    <m/>
    <m/>
    <m/>
    <m/>
    <m/>
    <m/>
    <m/>
    <m/>
    <m/>
    <m/>
    <m/>
    <m/>
    <m/>
    <m/>
    <m/>
    <m/>
    <m/>
    <m/>
    <m/>
    <n v="0"/>
    <n v="0"/>
    <n v="0"/>
    <n v="0"/>
    <n v="0"/>
    <n v="0"/>
    <n v="0"/>
    <n v="0"/>
    <n v="0"/>
    <n v="0"/>
    <n v="0"/>
    <n v="0"/>
    <m/>
    <s v="SERVICE 07  |  DEPENSES SUR ACHATS"/>
    <b v="1"/>
  </r>
  <r>
    <n v="1124"/>
    <x v="0"/>
    <m/>
    <s v="YEAR5"/>
    <x v="7"/>
    <x v="2"/>
    <x v="27"/>
    <x v="3"/>
    <x v="4"/>
    <m/>
    <m/>
    <m/>
    <m/>
    <m/>
    <m/>
    <m/>
    <m/>
    <m/>
    <m/>
    <m/>
    <m/>
    <m/>
    <m/>
    <m/>
    <m/>
    <m/>
    <m/>
    <m/>
    <n v="0"/>
    <n v="0"/>
    <n v="0"/>
    <n v="0"/>
    <n v="0"/>
    <n v="0"/>
    <n v="0"/>
    <n v="0"/>
    <n v="0"/>
    <n v="0"/>
    <n v="0"/>
    <n v="0"/>
    <m/>
    <s v="SERVICE 07  |  DEPENSES SUR ACHATS"/>
    <b v="1"/>
  </r>
  <r>
    <n v="1125"/>
    <x v="0"/>
    <m/>
    <s v="YEAR6"/>
    <x v="8"/>
    <x v="2"/>
    <x v="27"/>
    <x v="3"/>
    <x v="4"/>
    <m/>
    <m/>
    <m/>
    <m/>
    <m/>
    <m/>
    <m/>
    <m/>
    <m/>
    <m/>
    <m/>
    <m/>
    <m/>
    <m/>
    <m/>
    <m/>
    <m/>
    <m/>
    <m/>
    <n v="0"/>
    <n v="0"/>
    <n v="0"/>
    <n v="0"/>
    <n v="0"/>
    <n v="0"/>
    <n v="0"/>
    <n v="0"/>
    <n v="0"/>
    <n v="0"/>
    <n v="0"/>
    <n v="0"/>
    <m/>
    <s v="SERVICE 07  |  DEPENSES SUR ACHATS"/>
    <b v="1"/>
  </r>
  <r>
    <n v="1126"/>
    <x v="0"/>
    <m/>
    <s v="YEAR-2"/>
    <x v="1"/>
    <x v="2"/>
    <x v="27"/>
    <x v="3"/>
    <x v="5"/>
    <m/>
    <m/>
    <m/>
    <m/>
    <m/>
    <m/>
    <m/>
    <m/>
    <m/>
    <m/>
    <m/>
    <m/>
    <m/>
    <m/>
    <m/>
    <m/>
    <m/>
    <m/>
    <m/>
    <n v="0"/>
    <n v="0"/>
    <n v="0"/>
    <n v="0"/>
    <n v="0"/>
    <n v="0"/>
    <n v="0"/>
    <n v="0"/>
    <n v="0"/>
    <m/>
    <n v="0"/>
    <m/>
    <m/>
    <s v="SERVICE 07  |  PRIX MOYEN D'ACHAT PAR PRODUIT/SERVICE"/>
    <m/>
  </r>
  <r>
    <n v="1127"/>
    <x v="0"/>
    <m/>
    <s v="YEAR-1"/>
    <x v="2"/>
    <x v="2"/>
    <x v="27"/>
    <x v="3"/>
    <x v="5"/>
    <m/>
    <m/>
    <m/>
    <m/>
    <m/>
    <m/>
    <m/>
    <m/>
    <m/>
    <m/>
    <m/>
    <m/>
    <m/>
    <m/>
    <m/>
    <m/>
    <m/>
    <m/>
    <m/>
    <n v="0"/>
    <n v="0"/>
    <n v="0"/>
    <n v="0"/>
    <n v="0"/>
    <n v="0"/>
    <n v="0"/>
    <n v="0"/>
    <n v="0"/>
    <m/>
    <n v="0"/>
    <m/>
    <m/>
    <s v="SERVICE 07  |  PRIX MOYEN D'ACHAT PAR PRODUIT/SERVICE"/>
    <m/>
  </r>
  <r>
    <n v="1128"/>
    <x v="0"/>
    <m/>
    <s v="CURRENT YEAR"/>
    <x v="3"/>
    <x v="2"/>
    <x v="27"/>
    <x v="3"/>
    <x v="5"/>
    <m/>
    <m/>
    <m/>
    <m/>
    <m/>
    <m/>
    <m/>
    <m/>
    <m/>
    <m/>
    <m/>
    <m/>
    <m/>
    <m/>
    <m/>
    <m/>
    <m/>
    <m/>
    <m/>
    <n v="0"/>
    <n v="0"/>
    <n v="0"/>
    <n v="0"/>
    <n v="0"/>
    <n v="0"/>
    <n v="0"/>
    <n v="0"/>
    <n v="0"/>
    <m/>
    <n v="0"/>
    <m/>
    <m/>
    <s v="SERVICE 07  |  PRIX MOYEN D'ACHAT PAR PRODUIT/SERVICE"/>
    <m/>
  </r>
  <r>
    <n v="1129"/>
    <x v="0"/>
    <m/>
    <s v="YEAR2"/>
    <x v="4"/>
    <x v="2"/>
    <x v="27"/>
    <x v="3"/>
    <x v="5"/>
    <m/>
    <m/>
    <m/>
    <m/>
    <m/>
    <m/>
    <m/>
    <m/>
    <m/>
    <m/>
    <m/>
    <m/>
    <m/>
    <m/>
    <m/>
    <m/>
    <m/>
    <m/>
    <m/>
    <n v="0"/>
    <n v="0"/>
    <n v="0"/>
    <n v="0"/>
    <n v="0"/>
    <n v="0"/>
    <n v="0"/>
    <n v="0"/>
    <n v="0"/>
    <m/>
    <n v="0"/>
    <m/>
    <m/>
    <s v="SERVICE 07  |  PRIX MOYEN D'ACHAT PAR PRODUIT/SERVICE"/>
    <m/>
  </r>
  <r>
    <n v="1130"/>
    <x v="0"/>
    <m/>
    <s v="YEAR3"/>
    <x v="5"/>
    <x v="2"/>
    <x v="27"/>
    <x v="3"/>
    <x v="5"/>
    <m/>
    <m/>
    <m/>
    <m/>
    <m/>
    <m/>
    <m/>
    <m/>
    <m/>
    <m/>
    <m/>
    <m/>
    <m/>
    <m/>
    <m/>
    <m/>
    <m/>
    <m/>
    <m/>
    <n v="0"/>
    <n v="0"/>
    <n v="0"/>
    <n v="0"/>
    <n v="0"/>
    <n v="0"/>
    <n v="0"/>
    <n v="0"/>
    <n v="0"/>
    <m/>
    <n v="0"/>
    <m/>
    <m/>
    <s v="SERVICE 07  |  PRIX MOYEN D'ACHAT PAR PRODUIT/SERVICE"/>
    <m/>
  </r>
  <r>
    <n v="1131"/>
    <x v="0"/>
    <m/>
    <s v="YEAR4"/>
    <x v="6"/>
    <x v="2"/>
    <x v="27"/>
    <x v="3"/>
    <x v="5"/>
    <m/>
    <m/>
    <m/>
    <m/>
    <m/>
    <m/>
    <m/>
    <m/>
    <m/>
    <m/>
    <m/>
    <m/>
    <m/>
    <m/>
    <m/>
    <m/>
    <m/>
    <m/>
    <m/>
    <n v="0"/>
    <n v="0"/>
    <n v="0"/>
    <n v="0"/>
    <n v="0"/>
    <n v="0"/>
    <n v="0"/>
    <n v="0"/>
    <n v="0"/>
    <m/>
    <n v="0"/>
    <m/>
    <m/>
    <s v="SERVICE 07  |  PRIX MOYEN D'ACHAT PAR PRODUIT/SERVICE"/>
    <m/>
  </r>
  <r>
    <n v="1132"/>
    <x v="0"/>
    <m/>
    <s v="YEAR5"/>
    <x v="7"/>
    <x v="2"/>
    <x v="27"/>
    <x v="3"/>
    <x v="5"/>
    <m/>
    <m/>
    <m/>
    <m/>
    <m/>
    <m/>
    <m/>
    <m/>
    <m/>
    <m/>
    <m/>
    <m/>
    <m/>
    <m/>
    <m/>
    <m/>
    <m/>
    <m/>
    <m/>
    <n v="0"/>
    <n v="0"/>
    <n v="0"/>
    <n v="0"/>
    <n v="0"/>
    <n v="0"/>
    <n v="0"/>
    <n v="0"/>
    <n v="0"/>
    <m/>
    <n v="0"/>
    <m/>
    <m/>
    <s v="SERVICE 07  |  PRIX MOYEN D'ACHAT PAR PRODUIT/SERVICE"/>
    <m/>
  </r>
  <r>
    <n v="1133"/>
    <x v="0"/>
    <m/>
    <s v="YEAR6"/>
    <x v="8"/>
    <x v="2"/>
    <x v="27"/>
    <x v="3"/>
    <x v="5"/>
    <m/>
    <m/>
    <m/>
    <m/>
    <m/>
    <m/>
    <m/>
    <m/>
    <m/>
    <m/>
    <m/>
    <m/>
    <m/>
    <m/>
    <m/>
    <m/>
    <m/>
    <m/>
    <m/>
    <n v="0"/>
    <n v="0"/>
    <n v="0"/>
    <n v="0"/>
    <n v="0"/>
    <n v="0"/>
    <n v="0"/>
    <n v="0"/>
    <n v="0"/>
    <m/>
    <n v="0"/>
    <m/>
    <m/>
    <s v="SERVICE 07  |  PRIX MOYEN D'ACHAT PAR PRODUIT/SERVICE"/>
    <m/>
  </r>
  <r>
    <n v="1134"/>
    <x v="0"/>
    <n v="1"/>
    <m/>
    <x v="0"/>
    <x v="0"/>
    <x v="0"/>
    <x v="0"/>
    <x v="0"/>
    <m/>
    <m/>
    <m/>
    <m/>
    <m/>
    <m/>
    <m/>
    <m/>
    <m/>
    <m/>
    <m/>
    <m/>
    <m/>
    <m/>
    <m/>
    <m/>
    <m/>
    <m/>
    <m/>
    <m/>
    <m/>
    <m/>
    <m/>
    <m/>
    <m/>
    <m/>
    <m/>
    <m/>
    <m/>
    <m/>
    <m/>
    <m/>
    <m/>
    <m/>
  </r>
  <r>
    <n v="1135"/>
    <x v="0"/>
    <m/>
    <m/>
    <x v="0"/>
    <x v="0"/>
    <x v="0"/>
    <x v="0"/>
    <x v="0"/>
    <m/>
    <m/>
    <m/>
    <m/>
    <m/>
    <m/>
    <m/>
    <m/>
    <m/>
    <m/>
    <m/>
    <m/>
    <m/>
    <m/>
    <m/>
    <m/>
    <m/>
    <m/>
    <m/>
    <m/>
    <m/>
    <m/>
    <m/>
    <m/>
    <m/>
    <m/>
    <m/>
    <m/>
    <m/>
    <m/>
    <m/>
    <m/>
    <m/>
    <m/>
  </r>
  <r>
    <n v="1136"/>
    <x v="0"/>
    <n v="1"/>
    <s v="YEAR-2"/>
    <x v="1"/>
    <x v="2"/>
    <x v="28"/>
    <x v="3"/>
    <x v="1"/>
    <n v="1000"/>
    <n v="0"/>
    <n v="0"/>
    <n v="1000"/>
    <n v="1"/>
    <n v="0"/>
    <n v="0"/>
    <n v="500"/>
    <n v="0"/>
    <n v="0"/>
    <n v="500"/>
    <n v="1"/>
    <n v="1"/>
    <n v="1"/>
    <n v="0"/>
    <n v="0"/>
    <n v="0"/>
    <n v="0"/>
    <n v="0"/>
    <n v="0"/>
    <n v="0"/>
    <n v="0"/>
    <n v="0"/>
    <n v="0"/>
    <n v="0"/>
    <n v="0"/>
    <n v="0"/>
    <n v="0"/>
    <n v="0"/>
    <n v="0"/>
    <n v="0"/>
    <s v="GAMME # : 1 + CANAL DE DISTRIBUTION # : 1"/>
    <s v="SERVICE 08  |  VOLUME"/>
    <b v="1"/>
  </r>
  <r>
    <n v="1137"/>
    <x v="0"/>
    <n v="1"/>
    <s v="YEAR-1"/>
    <x v="2"/>
    <x v="2"/>
    <x v="28"/>
    <x v="3"/>
    <x v="1"/>
    <n v="1000"/>
    <n v="0"/>
    <n v="0"/>
    <n v="1000"/>
    <n v="1"/>
    <n v="0"/>
    <n v="0"/>
    <n v="500"/>
    <n v="0"/>
    <n v="0"/>
    <n v="500"/>
    <n v="1"/>
    <n v="1"/>
    <n v="1"/>
    <n v="0"/>
    <n v="0"/>
    <n v="0"/>
    <n v="0"/>
    <n v="0"/>
    <n v="0"/>
    <n v="0"/>
    <n v="0"/>
    <n v="0"/>
    <n v="0"/>
    <n v="0"/>
    <n v="0"/>
    <n v="0"/>
    <n v="0"/>
    <n v="0"/>
    <n v="0"/>
    <n v="0"/>
    <m/>
    <s v="SERVICE 08  |  VOLUME"/>
    <b v="1"/>
  </r>
  <r>
    <n v="1138"/>
    <x v="0"/>
    <n v="1"/>
    <s v="CURRENT YEAR"/>
    <x v="3"/>
    <x v="2"/>
    <x v="28"/>
    <x v="3"/>
    <x v="1"/>
    <n v="1000"/>
    <n v="0"/>
    <n v="0"/>
    <n v="1000"/>
    <n v="1"/>
    <n v="0"/>
    <n v="0"/>
    <n v="500"/>
    <n v="0"/>
    <n v="0"/>
    <n v="500"/>
    <n v="1"/>
    <n v="1"/>
    <n v="1"/>
    <n v="0"/>
    <n v="0"/>
    <n v="0"/>
    <n v="0"/>
    <n v="0"/>
    <n v="0"/>
    <n v="0"/>
    <n v="0"/>
    <n v="0"/>
    <n v="0"/>
    <n v="0"/>
    <n v="0"/>
    <n v="0"/>
    <n v="0"/>
    <n v="0"/>
    <n v="0"/>
    <n v="0"/>
    <m/>
    <s v="SERVICE 08  |  VOLUME"/>
    <b v="1"/>
  </r>
  <r>
    <n v="1139"/>
    <x v="0"/>
    <n v="1"/>
    <s v="YEAR2"/>
    <x v="4"/>
    <x v="2"/>
    <x v="28"/>
    <x v="3"/>
    <x v="1"/>
    <n v="1000"/>
    <n v="0"/>
    <n v="0"/>
    <n v="1000"/>
    <n v="1"/>
    <n v="0"/>
    <n v="0"/>
    <n v="500"/>
    <n v="0"/>
    <n v="0"/>
    <n v="500"/>
    <n v="1"/>
    <n v="1"/>
    <n v="1"/>
    <n v="0"/>
    <n v="0"/>
    <n v="0"/>
    <n v="0"/>
    <n v="0"/>
    <n v="0"/>
    <n v="0"/>
    <n v="0"/>
    <n v="0"/>
    <n v="0"/>
    <n v="0"/>
    <n v="0"/>
    <n v="0"/>
    <n v="0"/>
    <n v="0"/>
    <n v="0"/>
    <n v="0"/>
    <m/>
    <s v="SERVICE 08  |  VOLUME"/>
    <b v="1"/>
  </r>
  <r>
    <n v="1140"/>
    <x v="0"/>
    <n v="1"/>
    <s v="YEAR3"/>
    <x v="5"/>
    <x v="2"/>
    <x v="28"/>
    <x v="3"/>
    <x v="1"/>
    <n v="1000"/>
    <n v="0"/>
    <n v="0"/>
    <n v="1000"/>
    <n v="1"/>
    <n v="0"/>
    <n v="0"/>
    <n v="500"/>
    <n v="0"/>
    <n v="0"/>
    <n v="500"/>
    <n v="1"/>
    <n v="1"/>
    <n v="1"/>
    <n v="0"/>
    <n v="0"/>
    <n v="0"/>
    <n v="0"/>
    <n v="0"/>
    <n v="0"/>
    <n v="0"/>
    <n v="0"/>
    <n v="0"/>
    <n v="0"/>
    <n v="0"/>
    <n v="0"/>
    <n v="0"/>
    <n v="0"/>
    <n v="0"/>
    <n v="0"/>
    <n v="0"/>
    <m/>
    <s v="SERVICE 08  |  VOLUME"/>
    <b v="1"/>
  </r>
  <r>
    <n v="1141"/>
    <x v="0"/>
    <n v="1"/>
    <s v="YEAR4"/>
    <x v="6"/>
    <x v="2"/>
    <x v="28"/>
    <x v="3"/>
    <x v="1"/>
    <n v="1000"/>
    <n v="0"/>
    <n v="0"/>
    <n v="1000"/>
    <n v="1"/>
    <n v="0"/>
    <n v="0"/>
    <n v="500"/>
    <n v="0"/>
    <n v="0"/>
    <n v="500"/>
    <n v="1"/>
    <n v="1"/>
    <n v="1"/>
    <n v="0"/>
    <n v="0"/>
    <n v="0"/>
    <n v="0"/>
    <n v="0"/>
    <n v="0"/>
    <n v="0"/>
    <n v="0"/>
    <n v="0"/>
    <n v="0"/>
    <n v="0"/>
    <n v="0"/>
    <n v="0"/>
    <n v="0"/>
    <n v="0"/>
    <n v="0"/>
    <n v="0"/>
    <m/>
    <s v="SERVICE 08  |  VOLUME"/>
    <b v="1"/>
  </r>
  <r>
    <n v="1142"/>
    <x v="0"/>
    <n v="1"/>
    <s v="YEAR5"/>
    <x v="7"/>
    <x v="2"/>
    <x v="28"/>
    <x v="3"/>
    <x v="1"/>
    <n v="1000"/>
    <n v="0"/>
    <n v="0"/>
    <n v="1000"/>
    <n v="1"/>
    <n v="0"/>
    <n v="0"/>
    <n v="500"/>
    <n v="0"/>
    <n v="0"/>
    <n v="500"/>
    <n v="1"/>
    <n v="1"/>
    <n v="1"/>
    <n v="0"/>
    <n v="0"/>
    <n v="0"/>
    <n v="0"/>
    <n v="0"/>
    <n v="0"/>
    <n v="0"/>
    <n v="0"/>
    <n v="0"/>
    <n v="0"/>
    <n v="0"/>
    <n v="0"/>
    <n v="0"/>
    <n v="0"/>
    <n v="0"/>
    <n v="0"/>
    <n v="0"/>
    <m/>
    <s v="SERVICE 08  |  VOLUME"/>
    <b v="1"/>
  </r>
  <r>
    <n v="1143"/>
    <x v="0"/>
    <n v="1"/>
    <s v="YEAR6"/>
    <x v="8"/>
    <x v="2"/>
    <x v="28"/>
    <x v="3"/>
    <x v="1"/>
    <n v="1000"/>
    <n v="0"/>
    <n v="0"/>
    <n v="1000"/>
    <n v="1"/>
    <n v="0"/>
    <n v="0"/>
    <n v="500"/>
    <n v="0"/>
    <n v="0"/>
    <n v="500"/>
    <n v="1"/>
    <n v="1"/>
    <n v="1"/>
    <n v="0"/>
    <n v="0"/>
    <n v="0"/>
    <n v="0"/>
    <n v="0"/>
    <n v="0"/>
    <n v="0"/>
    <n v="0"/>
    <n v="0"/>
    <n v="0"/>
    <n v="0"/>
    <n v="0"/>
    <n v="0"/>
    <n v="0"/>
    <n v="0"/>
    <n v="0"/>
    <n v="0"/>
    <m/>
    <s v="SERVICE 08  |  VOLUME"/>
    <b v="1"/>
  </r>
  <r>
    <n v="1144"/>
    <x v="0"/>
    <m/>
    <s v="YEAR-2"/>
    <x v="1"/>
    <x v="2"/>
    <x v="28"/>
    <x v="3"/>
    <x v="2"/>
    <m/>
    <m/>
    <m/>
    <m/>
    <m/>
    <m/>
    <m/>
    <m/>
    <m/>
    <m/>
    <m/>
    <m/>
    <m/>
    <m/>
    <m/>
    <m/>
    <m/>
    <m/>
    <m/>
    <n v="0"/>
    <n v="0"/>
    <n v="0"/>
    <n v="0"/>
    <n v="0"/>
    <n v="0"/>
    <n v="0"/>
    <n v="0"/>
    <n v="0"/>
    <n v="0"/>
    <n v="0"/>
    <n v="0"/>
    <m/>
    <s v="SERVICE 08  |  CHIFFRE D'AFFAIRES"/>
    <b v="1"/>
  </r>
  <r>
    <n v="1145"/>
    <x v="0"/>
    <m/>
    <s v="YEAR-1"/>
    <x v="2"/>
    <x v="2"/>
    <x v="28"/>
    <x v="3"/>
    <x v="2"/>
    <m/>
    <m/>
    <m/>
    <m/>
    <m/>
    <m/>
    <m/>
    <m/>
    <m/>
    <m/>
    <m/>
    <m/>
    <m/>
    <m/>
    <m/>
    <m/>
    <m/>
    <m/>
    <m/>
    <n v="0"/>
    <n v="0"/>
    <n v="0"/>
    <n v="0"/>
    <n v="0"/>
    <n v="0"/>
    <n v="0"/>
    <n v="0"/>
    <n v="0"/>
    <n v="0"/>
    <n v="0"/>
    <n v="0"/>
    <m/>
    <s v="SERVICE 08  |  CHIFFRE D'AFFAIRES"/>
    <b v="1"/>
  </r>
  <r>
    <n v="1146"/>
    <x v="0"/>
    <m/>
    <s v="CURRENT YEAR"/>
    <x v="3"/>
    <x v="2"/>
    <x v="28"/>
    <x v="3"/>
    <x v="2"/>
    <m/>
    <m/>
    <m/>
    <m/>
    <m/>
    <m/>
    <m/>
    <m/>
    <m/>
    <m/>
    <m/>
    <m/>
    <m/>
    <m/>
    <m/>
    <m/>
    <m/>
    <m/>
    <m/>
    <n v="0"/>
    <n v="0"/>
    <n v="0"/>
    <n v="0"/>
    <n v="0"/>
    <n v="0"/>
    <n v="0"/>
    <n v="0"/>
    <n v="0"/>
    <n v="0"/>
    <n v="0"/>
    <n v="0"/>
    <m/>
    <s v="SERVICE 08  |  CHIFFRE D'AFFAIRES"/>
    <b v="1"/>
  </r>
  <r>
    <n v="1147"/>
    <x v="0"/>
    <m/>
    <s v="YEAR2"/>
    <x v="4"/>
    <x v="2"/>
    <x v="28"/>
    <x v="3"/>
    <x v="2"/>
    <m/>
    <m/>
    <m/>
    <m/>
    <m/>
    <m/>
    <m/>
    <m/>
    <m/>
    <m/>
    <m/>
    <m/>
    <m/>
    <m/>
    <m/>
    <m/>
    <m/>
    <m/>
    <m/>
    <n v="0"/>
    <n v="0"/>
    <n v="0"/>
    <n v="0"/>
    <n v="0"/>
    <n v="0"/>
    <n v="0"/>
    <n v="0"/>
    <n v="0"/>
    <n v="0"/>
    <n v="0"/>
    <n v="0"/>
    <m/>
    <s v="SERVICE 08  |  CHIFFRE D'AFFAIRES"/>
    <b v="1"/>
  </r>
  <r>
    <n v="1148"/>
    <x v="0"/>
    <m/>
    <s v="YEAR3"/>
    <x v="5"/>
    <x v="2"/>
    <x v="28"/>
    <x v="3"/>
    <x v="2"/>
    <m/>
    <m/>
    <m/>
    <m/>
    <m/>
    <m/>
    <m/>
    <m/>
    <m/>
    <m/>
    <m/>
    <m/>
    <m/>
    <m/>
    <m/>
    <m/>
    <m/>
    <m/>
    <m/>
    <n v="0"/>
    <n v="0"/>
    <n v="0"/>
    <n v="0"/>
    <n v="0"/>
    <n v="0"/>
    <n v="0"/>
    <n v="0"/>
    <n v="0"/>
    <n v="0"/>
    <n v="0"/>
    <n v="0"/>
    <m/>
    <s v="SERVICE 08  |  CHIFFRE D'AFFAIRES"/>
    <b v="1"/>
  </r>
  <r>
    <n v="1149"/>
    <x v="0"/>
    <m/>
    <s v="YEAR4"/>
    <x v="6"/>
    <x v="2"/>
    <x v="28"/>
    <x v="3"/>
    <x v="2"/>
    <m/>
    <m/>
    <m/>
    <m/>
    <m/>
    <m/>
    <m/>
    <m/>
    <m/>
    <m/>
    <m/>
    <m/>
    <m/>
    <m/>
    <m/>
    <m/>
    <m/>
    <m/>
    <m/>
    <n v="0"/>
    <n v="0"/>
    <n v="0"/>
    <n v="0"/>
    <n v="0"/>
    <n v="0"/>
    <n v="0"/>
    <n v="0"/>
    <n v="0"/>
    <n v="0"/>
    <n v="0"/>
    <n v="0"/>
    <m/>
    <s v="SERVICE 08  |  CHIFFRE D'AFFAIRES"/>
    <b v="1"/>
  </r>
  <r>
    <n v="1150"/>
    <x v="0"/>
    <m/>
    <s v="YEAR5"/>
    <x v="7"/>
    <x v="2"/>
    <x v="28"/>
    <x v="3"/>
    <x v="2"/>
    <m/>
    <m/>
    <m/>
    <m/>
    <m/>
    <m/>
    <m/>
    <m/>
    <m/>
    <m/>
    <m/>
    <m/>
    <m/>
    <m/>
    <m/>
    <m/>
    <m/>
    <m/>
    <m/>
    <n v="0"/>
    <n v="0"/>
    <n v="0"/>
    <n v="0"/>
    <n v="0"/>
    <n v="0"/>
    <n v="0"/>
    <n v="0"/>
    <n v="0"/>
    <n v="0"/>
    <n v="0"/>
    <n v="0"/>
    <m/>
    <s v="SERVICE 08  |  CHIFFRE D'AFFAIRES"/>
    <b v="1"/>
  </r>
  <r>
    <n v="1151"/>
    <x v="0"/>
    <m/>
    <s v="YEAR6"/>
    <x v="8"/>
    <x v="2"/>
    <x v="28"/>
    <x v="3"/>
    <x v="2"/>
    <m/>
    <m/>
    <m/>
    <m/>
    <m/>
    <m/>
    <m/>
    <m/>
    <m/>
    <m/>
    <m/>
    <m/>
    <m/>
    <m/>
    <m/>
    <m/>
    <m/>
    <m/>
    <m/>
    <n v="0"/>
    <n v="0"/>
    <n v="0"/>
    <n v="0"/>
    <n v="0"/>
    <n v="0"/>
    <n v="0"/>
    <n v="0"/>
    <n v="0"/>
    <n v="0"/>
    <n v="0"/>
    <n v="0"/>
    <m/>
    <s v="SERVICE 08  |  CHIFFRE D'AFFAIRES"/>
    <b v="1"/>
  </r>
  <r>
    <n v="1152"/>
    <x v="0"/>
    <m/>
    <s v="YEAR-2"/>
    <x v="1"/>
    <x v="2"/>
    <x v="28"/>
    <x v="3"/>
    <x v="3"/>
    <m/>
    <m/>
    <m/>
    <m/>
    <m/>
    <m/>
    <m/>
    <m/>
    <m/>
    <m/>
    <m/>
    <m/>
    <m/>
    <m/>
    <m/>
    <m/>
    <m/>
    <m/>
    <m/>
    <n v="0"/>
    <n v="0"/>
    <n v="0"/>
    <n v="0"/>
    <n v="0"/>
    <n v="0"/>
    <n v="0"/>
    <n v="0"/>
    <n v="0"/>
    <m/>
    <n v="0"/>
    <m/>
    <m/>
    <s v="SERVICE 08  |  PRIX MOYEN DE VENTE PAR PRODUIT/SERVICE"/>
    <m/>
  </r>
  <r>
    <n v="1153"/>
    <x v="0"/>
    <m/>
    <s v="YEAR-1"/>
    <x v="2"/>
    <x v="2"/>
    <x v="28"/>
    <x v="3"/>
    <x v="3"/>
    <m/>
    <m/>
    <m/>
    <m/>
    <m/>
    <m/>
    <m/>
    <m/>
    <m/>
    <m/>
    <m/>
    <m/>
    <m/>
    <m/>
    <m/>
    <m/>
    <m/>
    <m/>
    <m/>
    <n v="0"/>
    <n v="0"/>
    <n v="0"/>
    <n v="0"/>
    <n v="0"/>
    <n v="0"/>
    <n v="0"/>
    <n v="0"/>
    <n v="0"/>
    <m/>
    <n v="0"/>
    <m/>
    <m/>
    <s v="SERVICE 08  |  PRIX MOYEN DE VENTE PAR PRODUIT/SERVICE"/>
    <m/>
  </r>
  <r>
    <n v="1154"/>
    <x v="0"/>
    <m/>
    <s v="CURRENT YEAR"/>
    <x v="3"/>
    <x v="2"/>
    <x v="28"/>
    <x v="3"/>
    <x v="3"/>
    <m/>
    <m/>
    <m/>
    <m/>
    <m/>
    <m/>
    <m/>
    <m/>
    <m/>
    <m/>
    <m/>
    <m/>
    <m/>
    <m/>
    <m/>
    <m/>
    <m/>
    <m/>
    <m/>
    <n v="0"/>
    <n v="0"/>
    <n v="0"/>
    <n v="0"/>
    <n v="0"/>
    <n v="0"/>
    <n v="0"/>
    <n v="0"/>
    <n v="0"/>
    <m/>
    <n v="0"/>
    <m/>
    <m/>
    <s v="SERVICE 08  |  PRIX MOYEN DE VENTE PAR PRODUIT/SERVICE"/>
    <m/>
  </r>
  <r>
    <n v="1155"/>
    <x v="0"/>
    <m/>
    <s v="YEAR2"/>
    <x v="4"/>
    <x v="2"/>
    <x v="28"/>
    <x v="3"/>
    <x v="3"/>
    <m/>
    <m/>
    <m/>
    <m/>
    <m/>
    <m/>
    <m/>
    <m/>
    <m/>
    <m/>
    <m/>
    <m/>
    <m/>
    <m/>
    <m/>
    <m/>
    <m/>
    <m/>
    <m/>
    <n v="0"/>
    <n v="0"/>
    <n v="0"/>
    <n v="0"/>
    <n v="0"/>
    <n v="0"/>
    <n v="0"/>
    <n v="0"/>
    <n v="0"/>
    <m/>
    <n v="0"/>
    <m/>
    <m/>
    <s v="SERVICE 08  |  PRIX MOYEN DE VENTE PAR PRODUIT/SERVICE"/>
    <m/>
  </r>
  <r>
    <n v="1156"/>
    <x v="0"/>
    <m/>
    <s v="YEAR3"/>
    <x v="5"/>
    <x v="2"/>
    <x v="28"/>
    <x v="3"/>
    <x v="3"/>
    <m/>
    <m/>
    <m/>
    <m/>
    <m/>
    <m/>
    <m/>
    <m/>
    <m/>
    <m/>
    <m/>
    <m/>
    <m/>
    <m/>
    <m/>
    <m/>
    <m/>
    <m/>
    <m/>
    <n v="0"/>
    <n v="0"/>
    <n v="0"/>
    <n v="0"/>
    <n v="0"/>
    <n v="0"/>
    <n v="0"/>
    <n v="0"/>
    <n v="0"/>
    <m/>
    <n v="0"/>
    <m/>
    <m/>
    <s v="SERVICE 08  |  PRIX MOYEN DE VENTE PAR PRODUIT/SERVICE"/>
    <m/>
  </r>
  <r>
    <n v="1157"/>
    <x v="0"/>
    <m/>
    <s v="YEAR4"/>
    <x v="6"/>
    <x v="2"/>
    <x v="28"/>
    <x v="3"/>
    <x v="3"/>
    <m/>
    <m/>
    <m/>
    <m/>
    <m/>
    <m/>
    <m/>
    <m/>
    <m/>
    <m/>
    <m/>
    <m/>
    <m/>
    <m/>
    <m/>
    <m/>
    <m/>
    <m/>
    <m/>
    <n v="0"/>
    <n v="0"/>
    <n v="0"/>
    <n v="0"/>
    <n v="0"/>
    <n v="0"/>
    <n v="0"/>
    <n v="0"/>
    <n v="0"/>
    <m/>
    <n v="0"/>
    <m/>
    <m/>
    <s v="SERVICE 08  |  PRIX MOYEN DE VENTE PAR PRODUIT/SERVICE"/>
    <m/>
  </r>
  <r>
    <n v="1158"/>
    <x v="0"/>
    <m/>
    <s v="YEAR5"/>
    <x v="7"/>
    <x v="2"/>
    <x v="28"/>
    <x v="3"/>
    <x v="3"/>
    <m/>
    <m/>
    <m/>
    <m/>
    <m/>
    <m/>
    <m/>
    <m/>
    <m/>
    <m/>
    <m/>
    <m/>
    <m/>
    <m/>
    <m/>
    <m/>
    <m/>
    <m/>
    <m/>
    <n v="0"/>
    <n v="0"/>
    <n v="0"/>
    <n v="0"/>
    <n v="0"/>
    <n v="0"/>
    <n v="0"/>
    <n v="0"/>
    <n v="0"/>
    <m/>
    <n v="0"/>
    <m/>
    <m/>
    <s v="SERVICE 08  |  PRIX MOYEN DE VENTE PAR PRODUIT/SERVICE"/>
    <m/>
  </r>
  <r>
    <n v="1159"/>
    <x v="0"/>
    <m/>
    <s v="YEAR6"/>
    <x v="8"/>
    <x v="2"/>
    <x v="28"/>
    <x v="3"/>
    <x v="3"/>
    <m/>
    <m/>
    <m/>
    <m/>
    <m/>
    <m/>
    <m/>
    <m/>
    <m/>
    <m/>
    <m/>
    <m/>
    <m/>
    <m/>
    <m/>
    <m/>
    <m/>
    <m/>
    <m/>
    <n v="0"/>
    <n v="0"/>
    <n v="0"/>
    <n v="0"/>
    <n v="0"/>
    <n v="0"/>
    <n v="0"/>
    <n v="0"/>
    <n v="0"/>
    <m/>
    <n v="0"/>
    <m/>
    <m/>
    <s v="SERVICE 08  |  PRIX MOYEN DE VENTE PAR PRODUIT/SERVICE"/>
    <m/>
  </r>
  <r>
    <n v="1160"/>
    <x v="0"/>
    <m/>
    <s v="YEAR-2"/>
    <x v="1"/>
    <x v="2"/>
    <x v="28"/>
    <x v="3"/>
    <x v="4"/>
    <m/>
    <m/>
    <m/>
    <m/>
    <m/>
    <m/>
    <m/>
    <m/>
    <m/>
    <m/>
    <m/>
    <m/>
    <m/>
    <m/>
    <m/>
    <m/>
    <m/>
    <m/>
    <m/>
    <n v="0"/>
    <n v="0"/>
    <n v="0"/>
    <n v="0"/>
    <n v="0"/>
    <n v="0"/>
    <n v="0"/>
    <n v="0"/>
    <n v="0"/>
    <n v="0"/>
    <n v="0"/>
    <n v="0"/>
    <m/>
    <s v="SERVICE 08  |  DEPENSES SUR ACHATS"/>
    <b v="1"/>
  </r>
  <r>
    <n v="1161"/>
    <x v="0"/>
    <m/>
    <s v="YEAR-1"/>
    <x v="2"/>
    <x v="2"/>
    <x v="28"/>
    <x v="3"/>
    <x v="4"/>
    <m/>
    <m/>
    <m/>
    <m/>
    <m/>
    <m/>
    <m/>
    <m/>
    <m/>
    <m/>
    <m/>
    <m/>
    <m/>
    <m/>
    <m/>
    <m/>
    <m/>
    <m/>
    <m/>
    <n v="0"/>
    <n v="0"/>
    <n v="0"/>
    <n v="0"/>
    <n v="0"/>
    <n v="0"/>
    <n v="0"/>
    <n v="0"/>
    <n v="0"/>
    <n v="0"/>
    <n v="0"/>
    <n v="0"/>
    <m/>
    <s v="SERVICE 08  |  DEPENSES SUR ACHATS"/>
    <b v="1"/>
  </r>
  <r>
    <n v="1162"/>
    <x v="0"/>
    <m/>
    <s v="CURRENT YEAR"/>
    <x v="3"/>
    <x v="2"/>
    <x v="28"/>
    <x v="3"/>
    <x v="4"/>
    <m/>
    <m/>
    <m/>
    <m/>
    <m/>
    <m/>
    <m/>
    <m/>
    <m/>
    <m/>
    <m/>
    <m/>
    <m/>
    <m/>
    <m/>
    <m/>
    <m/>
    <m/>
    <m/>
    <n v="0"/>
    <n v="0"/>
    <n v="0"/>
    <n v="0"/>
    <n v="0"/>
    <n v="0"/>
    <n v="0"/>
    <n v="0"/>
    <n v="0"/>
    <n v="0"/>
    <n v="0"/>
    <n v="0"/>
    <m/>
    <s v="SERVICE 08  |  DEPENSES SUR ACHATS"/>
    <b v="1"/>
  </r>
  <r>
    <n v="1163"/>
    <x v="0"/>
    <m/>
    <s v="YEAR2"/>
    <x v="4"/>
    <x v="2"/>
    <x v="28"/>
    <x v="3"/>
    <x v="4"/>
    <m/>
    <m/>
    <m/>
    <m/>
    <m/>
    <m/>
    <m/>
    <m/>
    <m/>
    <m/>
    <m/>
    <m/>
    <m/>
    <m/>
    <m/>
    <m/>
    <m/>
    <m/>
    <m/>
    <n v="0"/>
    <n v="0"/>
    <n v="0"/>
    <n v="0"/>
    <n v="0"/>
    <n v="0"/>
    <n v="0"/>
    <n v="0"/>
    <n v="0"/>
    <n v="0"/>
    <n v="0"/>
    <n v="0"/>
    <m/>
    <s v="SERVICE 08  |  DEPENSES SUR ACHATS"/>
    <b v="1"/>
  </r>
  <r>
    <n v="1164"/>
    <x v="0"/>
    <m/>
    <s v="YEAR3"/>
    <x v="5"/>
    <x v="2"/>
    <x v="28"/>
    <x v="3"/>
    <x v="4"/>
    <m/>
    <m/>
    <m/>
    <m/>
    <m/>
    <m/>
    <m/>
    <m/>
    <m/>
    <m/>
    <m/>
    <m/>
    <m/>
    <m/>
    <m/>
    <m/>
    <m/>
    <m/>
    <m/>
    <n v="0"/>
    <n v="0"/>
    <n v="0"/>
    <n v="0"/>
    <n v="0"/>
    <n v="0"/>
    <n v="0"/>
    <n v="0"/>
    <n v="0"/>
    <n v="0"/>
    <n v="0"/>
    <n v="0"/>
    <m/>
    <s v="SERVICE 08  |  DEPENSES SUR ACHATS"/>
    <b v="1"/>
  </r>
  <r>
    <n v="1165"/>
    <x v="0"/>
    <m/>
    <s v="YEAR4"/>
    <x v="6"/>
    <x v="2"/>
    <x v="28"/>
    <x v="3"/>
    <x v="4"/>
    <m/>
    <m/>
    <m/>
    <m/>
    <m/>
    <m/>
    <m/>
    <m/>
    <m/>
    <m/>
    <m/>
    <m/>
    <m/>
    <m/>
    <m/>
    <m/>
    <m/>
    <m/>
    <m/>
    <n v="0"/>
    <n v="0"/>
    <n v="0"/>
    <n v="0"/>
    <n v="0"/>
    <n v="0"/>
    <n v="0"/>
    <n v="0"/>
    <n v="0"/>
    <n v="0"/>
    <n v="0"/>
    <n v="0"/>
    <m/>
    <s v="SERVICE 08  |  DEPENSES SUR ACHATS"/>
    <b v="1"/>
  </r>
  <r>
    <n v="1166"/>
    <x v="0"/>
    <m/>
    <s v="YEAR5"/>
    <x v="7"/>
    <x v="2"/>
    <x v="28"/>
    <x v="3"/>
    <x v="4"/>
    <m/>
    <m/>
    <m/>
    <m/>
    <m/>
    <m/>
    <m/>
    <m/>
    <m/>
    <m/>
    <m/>
    <m/>
    <m/>
    <m/>
    <m/>
    <m/>
    <m/>
    <m/>
    <m/>
    <n v="0"/>
    <n v="0"/>
    <n v="0"/>
    <n v="0"/>
    <n v="0"/>
    <n v="0"/>
    <n v="0"/>
    <n v="0"/>
    <n v="0"/>
    <n v="0"/>
    <n v="0"/>
    <n v="0"/>
    <m/>
    <s v="SERVICE 08  |  DEPENSES SUR ACHATS"/>
    <b v="1"/>
  </r>
  <r>
    <n v="1167"/>
    <x v="0"/>
    <m/>
    <s v="YEAR6"/>
    <x v="8"/>
    <x v="2"/>
    <x v="28"/>
    <x v="3"/>
    <x v="4"/>
    <m/>
    <m/>
    <m/>
    <m/>
    <m/>
    <m/>
    <m/>
    <m/>
    <m/>
    <m/>
    <m/>
    <m/>
    <m/>
    <m/>
    <m/>
    <m/>
    <m/>
    <m/>
    <m/>
    <n v="0"/>
    <n v="0"/>
    <n v="0"/>
    <n v="0"/>
    <n v="0"/>
    <n v="0"/>
    <n v="0"/>
    <n v="0"/>
    <n v="0"/>
    <n v="0"/>
    <n v="0"/>
    <n v="0"/>
    <m/>
    <s v="SERVICE 08  |  DEPENSES SUR ACHATS"/>
    <b v="1"/>
  </r>
  <r>
    <n v="1168"/>
    <x v="0"/>
    <m/>
    <s v="YEAR-2"/>
    <x v="1"/>
    <x v="2"/>
    <x v="28"/>
    <x v="3"/>
    <x v="5"/>
    <m/>
    <m/>
    <m/>
    <m/>
    <m/>
    <m/>
    <m/>
    <m/>
    <m/>
    <m/>
    <m/>
    <m/>
    <m/>
    <m/>
    <m/>
    <m/>
    <m/>
    <m/>
    <m/>
    <n v="0"/>
    <n v="0"/>
    <n v="0"/>
    <n v="0"/>
    <n v="0"/>
    <n v="0"/>
    <n v="0"/>
    <n v="0"/>
    <n v="0"/>
    <m/>
    <n v="0"/>
    <m/>
    <m/>
    <s v="SERVICE 08  |  PRIX MOYEN D'ACHAT PAR PRODUIT/SERVICE"/>
    <m/>
  </r>
  <r>
    <n v="1169"/>
    <x v="0"/>
    <m/>
    <s v="YEAR-1"/>
    <x v="2"/>
    <x v="2"/>
    <x v="28"/>
    <x v="3"/>
    <x v="5"/>
    <m/>
    <m/>
    <m/>
    <m/>
    <m/>
    <m/>
    <m/>
    <m/>
    <m/>
    <m/>
    <m/>
    <m/>
    <m/>
    <m/>
    <m/>
    <m/>
    <m/>
    <m/>
    <m/>
    <n v="0"/>
    <n v="0"/>
    <n v="0"/>
    <n v="0"/>
    <n v="0"/>
    <n v="0"/>
    <n v="0"/>
    <n v="0"/>
    <n v="0"/>
    <m/>
    <n v="0"/>
    <m/>
    <m/>
    <s v="SERVICE 08  |  PRIX MOYEN D'ACHAT PAR PRODUIT/SERVICE"/>
    <m/>
  </r>
  <r>
    <n v="1170"/>
    <x v="0"/>
    <m/>
    <s v="CURRENT YEAR"/>
    <x v="3"/>
    <x v="2"/>
    <x v="28"/>
    <x v="3"/>
    <x v="5"/>
    <m/>
    <m/>
    <m/>
    <m/>
    <m/>
    <m/>
    <m/>
    <m/>
    <m/>
    <m/>
    <m/>
    <m/>
    <m/>
    <m/>
    <m/>
    <m/>
    <m/>
    <m/>
    <m/>
    <n v="0"/>
    <n v="0"/>
    <n v="0"/>
    <n v="0"/>
    <n v="0"/>
    <n v="0"/>
    <n v="0"/>
    <n v="0"/>
    <n v="0"/>
    <m/>
    <n v="0"/>
    <m/>
    <m/>
    <s v="SERVICE 08  |  PRIX MOYEN D'ACHAT PAR PRODUIT/SERVICE"/>
    <m/>
  </r>
  <r>
    <n v="1171"/>
    <x v="0"/>
    <m/>
    <s v="YEAR2"/>
    <x v="4"/>
    <x v="2"/>
    <x v="28"/>
    <x v="3"/>
    <x v="5"/>
    <m/>
    <m/>
    <m/>
    <m/>
    <m/>
    <m/>
    <m/>
    <m/>
    <m/>
    <m/>
    <m/>
    <m/>
    <m/>
    <m/>
    <m/>
    <m/>
    <m/>
    <m/>
    <m/>
    <n v="0"/>
    <n v="0"/>
    <n v="0"/>
    <n v="0"/>
    <n v="0"/>
    <n v="0"/>
    <n v="0"/>
    <n v="0"/>
    <n v="0"/>
    <m/>
    <n v="0"/>
    <m/>
    <m/>
    <s v="SERVICE 08  |  PRIX MOYEN D'ACHAT PAR PRODUIT/SERVICE"/>
    <m/>
  </r>
  <r>
    <n v="1172"/>
    <x v="0"/>
    <m/>
    <s v="YEAR3"/>
    <x v="5"/>
    <x v="2"/>
    <x v="28"/>
    <x v="3"/>
    <x v="5"/>
    <m/>
    <m/>
    <m/>
    <m/>
    <m/>
    <m/>
    <m/>
    <m/>
    <m/>
    <m/>
    <m/>
    <m/>
    <m/>
    <m/>
    <m/>
    <m/>
    <m/>
    <m/>
    <m/>
    <n v="0"/>
    <n v="0"/>
    <n v="0"/>
    <n v="0"/>
    <n v="0"/>
    <n v="0"/>
    <n v="0"/>
    <n v="0"/>
    <n v="0"/>
    <m/>
    <n v="0"/>
    <m/>
    <m/>
    <s v="SERVICE 08  |  PRIX MOYEN D'ACHAT PAR PRODUIT/SERVICE"/>
    <m/>
  </r>
  <r>
    <n v="1173"/>
    <x v="0"/>
    <m/>
    <s v="YEAR4"/>
    <x v="6"/>
    <x v="2"/>
    <x v="28"/>
    <x v="3"/>
    <x v="5"/>
    <m/>
    <m/>
    <m/>
    <m/>
    <m/>
    <m/>
    <m/>
    <m/>
    <m/>
    <m/>
    <m/>
    <m/>
    <m/>
    <m/>
    <m/>
    <m/>
    <m/>
    <m/>
    <m/>
    <n v="0"/>
    <n v="0"/>
    <n v="0"/>
    <n v="0"/>
    <n v="0"/>
    <n v="0"/>
    <n v="0"/>
    <n v="0"/>
    <n v="0"/>
    <m/>
    <n v="0"/>
    <m/>
    <m/>
    <s v="SERVICE 08  |  PRIX MOYEN D'ACHAT PAR PRODUIT/SERVICE"/>
    <m/>
  </r>
  <r>
    <n v="1174"/>
    <x v="0"/>
    <m/>
    <s v="YEAR5"/>
    <x v="7"/>
    <x v="2"/>
    <x v="28"/>
    <x v="3"/>
    <x v="5"/>
    <m/>
    <m/>
    <m/>
    <m/>
    <m/>
    <m/>
    <m/>
    <m/>
    <m/>
    <m/>
    <m/>
    <m/>
    <m/>
    <m/>
    <m/>
    <m/>
    <m/>
    <m/>
    <m/>
    <n v="0"/>
    <n v="0"/>
    <n v="0"/>
    <n v="0"/>
    <n v="0"/>
    <n v="0"/>
    <n v="0"/>
    <n v="0"/>
    <n v="0"/>
    <m/>
    <n v="0"/>
    <m/>
    <m/>
    <s v="SERVICE 08  |  PRIX MOYEN D'ACHAT PAR PRODUIT/SERVICE"/>
    <m/>
  </r>
  <r>
    <n v="1175"/>
    <x v="0"/>
    <m/>
    <s v="YEAR6"/>
    <x v="8"/>
    <x v="2"/>
    <x v="28"/>
    <x v="3"/>
    <x v="5"/>
    <m/>
    <m/>
    <m/>
    <m/>
    <m/>
    <m/>
    <m/>
    <m/>
    <m/>
    <m/>
    <m/>
    <m/>
    <m/>
    <m/>
    <m/>
    <m/>
    <m/>
    <m/>
    <m/>
    <n v="0"/>
    <n v="0"/>
    <n v="0"/>
    <n v="0"/>
    <n v="0"/>
    <n v="0"/>
    <n v="0"/>
    <n v="0"/>
    <n v="0"/>
    <m/>
    <n v="0"/>
    <m/>
    <m/>
    <s v="SERVICE 08  |  PRIX MOYEN D'ACHAT PAR PRODUIT/SERVICE"/>
    <m/>
  </r>
  <r>
    <n v="1176"/>
    <x v="0"/>
    <n v="1"/>
    <m/>
    <x v="0"/>
    <x v="0"/>
    <x v="0"/>
    <x v="0"/>
    <x v="0"/>
    <m/>
    <m/>
    <m/>
    <m/>
    <m/>
    <m/>
    <m/>
    <m/>
    <m/>
    <m/>
    <m/>
    <m/>
    <m/>
    <m/>
    <m/>
    <m/>
    <m/>
    <m/>
    <m/>
    <m/>
    <m/>
    <m/>
    <m/>
    <m/>
    <m/>
    <m/>
    <m/>
    <m/>
    <m/>
    <m/>
    <m/>
    <m/>
    <m/>
    <m/>
  </r>
  <r>
    <n v="1177"/>
    <x v="0"/>
    <m/>
    <m/>
    <x v="0"/>
    <x v="0"/>
    <x v="0"/>
    <x v="0"/>
    <x v="0"/>
    <m/>
    <m/>
    <m/>
    <m/>
    <m/>
    <m/>
    <m/>
    <m/>
    <m/>
    <m/>
    <m/>
    <m/>
    <m/>
    <m/>
    <m/>
    <m/>
    <m/>
    <m/>
    <m/>
    <m/>
    <m/>
    <m/>
    <m/>
    <m/>
    <m/>
    <m/>
    <m/>
    <m/>
    <m/>
    <m/>
    <m/>
    <m/>
    <m/>
    <m/>
  </r>
  <r>
    <n v="1178"/>
    <x v="0"/>
    <n v="1"/>
    <s v="YEAR-2"/>
    <x v="1"/>
    <x v="2"/>
    <x v="29"/>
    <x v="3"/>
    <x v="1"/>
    <n v="1000"/>
    <n v="0"/>
    <n v="0"/>
    <n v="1000"/>
    <n v="1"/>
    <n v="0"/>
    <n v="0"/>
    <n v="500"/>
    <n v="0"/>
    <n v="0"/>
    <n v="500"/>
    <n v="1"/>
    <n v="1"/>
    <n v="1"/>
    <n v="0"/>
    <n v="0"/>
    <n v="0"/>
    <n v="0"/>
    <n v="0"/>
    <n v="0"/>
    <n v="0"/>
    <n v="0"/>
    <n v="0"/>
    <n v="0"/>
    <n v="0"/>
    <n v="0"/>
    <n v="0"/>
    <n v="0"/>
    <n v="0"/>
    <n v="0"/>
    <n v="0"/>
    <s v="GAMME # : 1 + CANAL DE DISTRIBUTION # : 1"/>
    <s v="SERVICE 09  |  VOLUME"/>
    <b v="1"/>
  </r>
  <r>
    <n v="1179"/>
    <x v="0"/>
    <n v="1"/>
    <s v="YEAR-1"/>
    <x v="2"/>
    <x v="2"/>
    <x v="29"/>
    <x v="3"/>
    <x v="1"/>
    <n v="1000"/>
    <n v="0"/>
    <n v="0"/>
    <n v="1000"/>
    <n v="1"/>
    <n v="0"/>
    <n v="0"/>
    <n v="500"/>
    <n v="0"/>
    <n v="0"/>
    <n v="500"/>
    <n v="1"/>
    <n v="1"/>
    <n v="1"/>
    <n v="0"/>
    <n v="0"/>
    <n v="0"/>
    <n v="0"/>
    <n v="0"/>
    <n v="0"/>
    <n v="0"/>
    <n v="0"/>
    <n v="0"/>
    <n v="0"/>
    <n v="0"/>
    <n v="0"/>
    <n v="0"/>
    <n v="0"/>
    <n v="0"/>
    <n v="0"/>
    <n v="0"/>
    <m/>
    <s v="SERVICE 09  |  VOLUME"/>
    <b v="1"/>
  </r>
  <r>
    <n v="1180"/>
    <x v="0"/>
    <n v="1"/>
    <s v="CURRENT YEAR"/>
    <x v="3"/>
    <x v="2"/>
    <x v="29"/>
    <x v="3"/>
    <x v="1"/>
    <n v="1000"/>
    <n v="0"/>
    <n v="0"/>
    <n v="1000"/>
    <n v="1"/>
    <n v="0"/>
    <n v="0"/>
    <n v="500"/>
    <n v="0"/>
    <n v="0"/>
    <n v="500"/>
    <n v="1"/>
    <n v="1"/>
    <n v="1"/>
    <n v="0"/>
    <n v="0"/>
    <n v="0"/>
    <n v="0"/>
    <n v="0"/>
    <n v="0"/>
    <n v="0"/>
    <n v="0"/>
    <n v="0"/>
    <n v="0"/>
    <n v="0"/>
    <n v="0"/>
    <n v="0"/>
    <n v="0"/>
    <n v="0"/>
    <n v="0"/>
    <n v="0"/>
    <m/>
    <s v="SERVICE 09  |  VOLUME"/>
    <b v="1"/>
  </r>
  <r>
    <n v="1181"/>
    <x v="0"/>
    <n v="1"/>
    <s v="YEAR2"/>
    <x v="4"/>
    <x v="2"/>
    <x v="29"/>
    <x v="3"/>
    <x v="1"/>
    <n v="1000"/>
    <n v="0"/>
    <n v="0"/>
    <n v="1000"/>
    <n v="1"/>
    <n v="0"/>
    <n v="0"/>
    <n v="500"/>
    <n v="0"/>
    <n v="0"/>
    <n v="500"/>
    <n v="1"/>
    <n v="1"/>
    <n v="1"/>
    <n v="0"/>
    <n v="0"/>
    <n v="0"/>
    <n v="0"/>
    <n v="0"/>
    <n v="0"/>
    <n v="0"/>
    <n v="0"/>
    <n v="0"/>
    <n v="0"/>
    <n v="0"/>
    <n v="0"/>
    <n v="0"/>
    <n v="0"/>
    <n v="0"/>
    <n v="0"/>
    <n v="0"/>
    <m/>
    <s v="SERVICE 09  |  VOLUME"/>
    <b v="1"/>
  </r>
  <r>
    <n v="1182"/>
    <x v="0"/>
    <n v="1"/>
    <s v="YEAR3"/>
    <x v="5"/>
    <x v="2"/>
    <x v="29"/>
    <x v="3"/>
    <x v="1"/>
    <n v="1000"/>
    <n v="0"/>
    <n v="0"/>
    <n v="1000"/>
    <n v="1"/>
    <n v="0"/>
    <n v="0"/>
    <n v="500"/>
    <n v="0"/>
    <n v="0"/>
    <n v="500"/>
    <n v="1"/>
    <n v="1"/>
    <n v="1"/>
    <n v="0"/>
    <n v="0"/>
    <n v="0"/>
    <n v="0"/>
    <n v="0"/>
    <n v="0"/>
    <n v="0"/>
    <n v="0"/>
    <n v="0"/>
    <n v="0"/>
    <n v="0"/>
    <n v="0"/>
    <n v="0"/>
    <n v="0"/>
    <n v="0"/>
    <n v="0"/>
    <n v="0"/>
    <m/>
    <s v="SERVICE 09  |  VOLUME"/>
    <b v="1"/>
  </r>
  <r>
    <n v="1183"/>
    <x v="0"/>
    <n v="1"/>
    <s v="YEAR4"/>
    <x v="6"/>
    <x v="2"/>
    <x v="29"/>
    <x v="3"/>
    <x v="1"/>
    <n v="1000"/>
    <n v="0"/>
    <n v="0"/>
    <n v="1000"/>
    <n v="1"/>
    <n v="0"/>
    <n v="0"/>
    <n v="500"/>
    <n v="0"/>
    <n v="0"/>
    <n v="500"/>
    <n v="1"/>
    <n v="1"/>
    <n v="1"/>
    <n v="0"/>
    <n v="0"/>
    <n v="0"/>
    <n v="0"/>
    <n v="0"/>
    <n v="0"/>
    <n v="0"/>
    <n v="0"/>
    <n v="0"/>
    <n v="0"/>
    <n v="0"/>
    <n v="0"/>
    <n v="0"/>
    <n v="0"/>
    <n v="0"/>
    <n v="0"/>
    <n v="0"/>
    <m/>
    <s v="SERVICE 09  |  VOLUME"/>
    <b v="1"/>
  </r>
  <r>
    <n v="1184"/>
    <x v="0"/>
    <n v="1"/>
    <s v="YEAR5"/>
    <x v="7"/>
    <x v="2"/>
    <x v="29"/>
    <x v="3"/>
    <x v="1"/>
    <n v="1000"/>
    <n v="0"/>
    <n v="0"/>
    <n v="1000"/>
    <n v="1"/>
    <n v="0"/>
    <n v="0"/>
    <n v="500"/>
    <n v="0"/>
    <n v="0"/>
    <n v="500"/>
    <n v="1"/>
    <n v="1"/>
    <n v="1"/>
    <n v="0"/>
    <n v="0"/>
    <n v="0"/>
    <n v="0"/>
    <n v="0"/>
    <n v="0"/>
    <n v="0"/>
    <n v="0"/>
    <n v="0"/>
    <n v="0"/>
    <n v="0"/>
    <n v="0"/>
    <n v="0"/>
    <n v="0"/>
    <n v="0"/>
    <n v="0"/>
    <n v="0"/>
    <m/>
    <s v="SERVICE 09  |  VOLUME"/>
    <b v="1"/>
  </r>
  <r>
    <n v="1185"/>
    <x v="0"/>
    <n v="1"/>
    <s v="YEAR6"/>
    <x v="8"/>
    <x v="2"/>
    <x v="29"/>
    <x v="3"/>
    <x v="1"/>
    <n v="1000"/>
    <n v="0"/>
    <n v="0"/>
    <n v="1000"/>
    <n v="1"/>
    <n v="0"/>
    <n v="0"/>
    <n v="500"/>
    <n v="0"/>
    <n v="0"/>
    <n v="500"/>
    <n v="1"/>
    <n v="1"/>
    <n v="1"/>
    <n v="0"/>
    <n v="0"/>
    <n v="0"/>
    <n v="0"/>
    <n v="0"/>
    <n v="0"/>
    <n v="0"/>
    <n v="0"/>
    <n v="0"/>
    <n v="0"/>
    <n v="0"/>
    <n v="0"/>
    <n v="0"/>
    <n v="0"/>
    <n v="0"/>
    <n v="0"/>
    <n v="0"/>
    <m/>
    <s v="SERVICE 09  |  VOLUME"/>
    <b v="1"/>
  </r>
  <r>
    <n v="1186"/>
    <x v="0"/>
    <m/>
    <s v="YEAR-2"/>
    <x v="1"/>
    <x v="2"/>
    <x v="29"/>
    <x v="3"/>
    <x v="2"/>
    <m/>
    <m/>
    <m/>
    <m/>
    <m/>
    <m/>
    <m/>
    <m/>
    <m/>
    <m/>
    <m/>
    <m/>
    <m/>
    <m/>
    <m/>
    <m/>
    <m/>
    <m/>
    <m/>
    <n v="0"/>
    <n v="0"/>
    <n v="0"/>
    <n v="0"/>
    <n v="0"/>
    <n v="0"/>
    <n v="0"/>
    <n v="0"/>
    <n v="0"/>
    <n v="0"/>
    <n v="0"/>
    <n v="0"/>
    <m/>
    <s v="SERVICE 09  |  CHIFFRE D'AFFAIRES"/>
    <b v="1"/>
  </r>
  <r>
    <n v="1187"/>
    <x v="0"/>
    <m/>
    <s v="YEAR-1"/>
    <x v="2"/>
    <x v="2"/>
    <x v="29"/>
    <x v="3"/>
    <x v="2"/>
    <m/>
    <m/>
    <m/>
    <m/>
    <m/>
    <m/>
    <m/>
    <m/>
    <m/>
    <m/>
    <m/>
    <m/>
    <m/>
    <m/>
    <m/>
    <m/>
    <m/>
    <m/>
    <m/>
    <n v="0"/>
    <n v="0"/>
    <n v="0"/>
    <n v="0"/>
    <n v="0"/>
    <n v="0"/>
    <n v="0"/>
    <n v="0"/>
    <n v="0"/>
    <n v="0"/>
    <n v="0"/>
    <n v="0"/>
    <m/>
    <s v="SERVICE 09  |  CHIFFRE D'AFFAIRES"/>
    <b v="1"/>
  </r>
  <r>
    <n v="1188"/>
    <x v="0"/>
    <m/>
    <s v="CURRENT YEAR"/>
    <x v="3"/>
    <x v="2"/>
    <x v="29"/>
    <x v="3"/>
    <x v="2"/>
    <m/>
    <m/>
    <m/>
    <m/>
    <m/>
    <m/>
    <m/>
    <m/>
    <m/>
    <m/>
    <m/>
    <m/>
    <m/>
    <m/>
    <m/>
    <m/>
    <m/>
    <m/>
    <m/>
    <n v="0"/>
    <n v="0"/>
    <n v="0"/>
    <n v="0"/>
    <n v="0"/>
    <n v="0"/>
    <n v="0"/>
    <n v="0"/>
    <n v="0"/>
    <n v="0"/>
    <n v="0"/>
    <n v="0"/>
    <m/>
    <s v="SERVICE 09  |  CHIFFRE D'AFFAIRES"/>
    <b v="1"/>
  </r>
  <r>
    <n v="1189"/>
    <x v="0"/>
    <m/>
    <s v="YEAR2"/>
    <x v="4"/>
    <x v="2"/>
    <x v="29"/>
    <x v="3"/>
    <x v="2"/>
    <m/>
    <m/>
    <m/>
    <m/>
    <m/>
    <m/>
    <m/>
    <m/>
    <m/>
    <m/>
    <m/>
    <m/>
    <m/>
    <m/>
    <m/>
    <m/>
    <m/>
    <m/>
    <m/>
    <n v="0"/>
    <n v="0"/>
    <n v="0"/>
    <n v="0"/>
    <n v="0"/>
    <n v="0"/>
    <n v="0"/>
    <n v="0"/>
    <n v="0"/>
    <n v="0"/>
    <n v="0"/>
    <n v="0"/>
    <m/>
    <s v="SERVICE 09  |  CHIFFRE D'AFFAIRES"/>
    <b v="1"/>
  </r>
  <r>
    <n v="1190"/>
    <x v="0"/>
    <m/>
    <s v="YEAR3"/>
    <x v="5"/>
    <x v="2"/>
    <x v="29"/>
    <x v="3"/>
    <x v="2"/>
    <m/>
    <m/>
    <m/>
    <m/>
    <m/>
    <m/>
    <m/>
    <m/>
    <m/>
    <m/>
    <m/>
    <m/>
    <m/>
    <m/>
    <m/>
    <m/>
    <m/>
    <m/>
    <m/>
    <n v="0"/>
    <n v="0"/>
    <n v="0"/>
    <n v="0"/>
    <n v="0"/>
    <n v="0"/>
    <n v="0"/>
    <n v="0"/>
    <n v="0"/>
    <n v="0"/>
    <n v="0"/>
    <n v="0"/>
    <m/>
    <s v="SERVICE 09  |  CHIFFRE D'AFFAIRES"/>
    <b v="1"/>
  </r>
  <r>
    <n v="1191"/>
    <x v="0"/>
    <m/>
    <s v="YEAR4"/>
    <x v="6"/>
    <x v="2"/>
    <x v="29"/>
    <x v="3"/>
    <x v="2"/>
    <m/>
    <m/>
    <m/>
    <m/>
    <m/>
    <m/>
    <m/>
    <m/>
    <m/>
    <m/>
    <m/>
    <m/>
    <m/>
    <m/>
    <m/>
    <m/>
    <m/>
    <m/>
    <m/>
    <n v="0"/>
    <n v="0"/>
    <n v="0"/>
    <n v="0"/>
    <n v="0"/>
    <n v="0"/>
    <n v="0"/>
    <n v="0"/>
    <n v="0"/>
    <n v="0"/>
    <n v="0"/>
    <n v="0"/>
    <m/>
    <s v="SERVICE 09  |  CHIFFRE D'AFFAIRES"/>
    <b v="1"/>
  </r>
  <r>
    <n v="1192"/>
    <x v="0"/>
    <m/>
    <s v="YEAR5"/>
    <x v="7"/>
    <x v="2"/>
    <x v="29"/>
    <x v="3"/>
    <x v="2"/>
    <m/>
    <m/>
    <m/>
    <m/>
    <m/>
    <m/>
    <m/>
    <m/>
    <m/>
    <m/>
    <m/>
    <m/>
    <m/>
    <m/>
    <m/>
    <m/>
    <m/>
    <m/>
    <m/>
    <n v="0"/>
    <n v="0"/>
    <n v="0"/>
    <n v="0"/>
    <n v="0"/>
    <n v="0"/>
    <n v="0"/>
    <n v="0"/>
    <n v="0"/>
    <n v="0"/>
    <n v="0"/>
    <n v="0"/>
    <m/>
    <s v="SERVICE 09  |  CHIFFRE D'AFFAIRES"/>
    <b v="1"/>
  </r>
  <r>
    <n v="1193"/>
    <x v="0"/>
    <m/>
    <s v="YEAR6"/>
    <x v="8"/>
    <x v="2"/>
    <x v="29"/>
    <x v="3"/>
    <x v="2"/>
    <m/>
    <m/>
    <m/>
    <m/>
    <m/>
    <m/>
    <m/>
    <m/>
    <m/>
    <m/>
    <m/>
    <m/>
    <m/>
    <m/>
    <m/>
    <m/>
    <m/>
    <m/>
    <m/>
    <n v="0"/>
    <n v="0"/>
    <n v="0"/>
    <n v="0"/>
    <n v="0"/>
    <n v="0"/>
    <n v="0"/>
    <n v="0"/>
    <n v="0"/>
    <n v="0"/>
    <n v="0"/>
    <n v="0"/>
    <m/>
    <s v="SERVICE 09  |  CHIFFRE D'AFFAIRES"/>
    <b v="1"/>
  </r>
  <r>
    <n v="1194"/>
    <x v="0"/>
    <m/>
    <s v="YEAR-2"/>
    <x v="1"/>
    <x v="2"/>
    <x v="29"/>
    <x v="3"/>
    <x v="3"/>
    <m/>
    <m/>
    <m/>
    <m/>
    <m/>
    <m/>
    <m/>
    <m/>
    <m/>
    <m/>
    <m/>
    <m/>
    <m/>
    <m/>
    <m/>
    <m/>
    <m/>
    <m/>
    <m/>
    <n v="0"/>
    <n v="0"/>
    <n v="0"/>
    <n v="0"/>
    <n v="0"/>
    <n v="0"/>
    <n v="0"/>
    <n v="0"/>
    <n v="0"/>
    <m/>
    <n v="0"/>
    <m/>
    <m/>
    <s v="SERVICE 09  |  PRIX MOYEN DE VENTE PAR PRODUIT/SERVICE"/>
    <m/>
  </r>
  <r>
    <n v="1195"/>
    <x v="0"/>
    <m/>
    <s v="YEAR-1"/>
    <x v="2"/>
    <x v="2"/>
    <x v="29"/>
    <x v="3"/>
    <x v="3"/>
    <m/>
    <m/>
    <m/>
    <m/>
    <m/>
    <m/>
    <m/>
    <m/>
    <m/>
    <m/>
    <m/>
    <m/>
    <m/>
    <m/>
    <m/>
    <m/>
    <m/>
    <m/>
    <m/>
    <n v="0"/>
    <n v="0"/>
    <n v="0"/>
    <n v="0"/>
    <n v="0"/>
    <n v="0"/>
    <n v="0"/>
    <n v="0"/>
    <n v="0"/>
    <m/>
    <n v="0"/>
    <m/>
    <m/>
    <s v="SERVICE 09  |  PRIX MOYEN DE VENTE PAR PRODUIT/SERVICE"/>
    <m/>
  </r>
  <r>
    <n v="1196"/>
    <x v="0"/>
    <m/>
    <s v="CURRENT YEAR"/>
    <x v="3"/>
    <x v="2"/>
    <x v="29"/>
    <x v="3"/>
    <x v="3"/>
    <m/>
    <m/>
    <m/>
    <m/>
    <m/>
    <m/>
    <m/>
    <m/>
    <m/>
    <m/>
    <m/>
    <m/>
    <m/>
    <m/>
    <m/>
    <m/>
    <m/>
    <m/>
    <m/>
    <n v="0"/>
    <n v="0"/>
    <n v="0"/>
    <n v="0"/>
    <n v="0"/>
    <n v="0"/>
    <n v="0"/>
    <n v="0"/>
    <n v="0"/>
    <m/>
    <n v="0"/>
    <m/>
    <m/>
    <s v="SERVICE 09  |  PRIX MOYEN DE VENTE PAR PRODUIT/SERVICE"/>
    <m/>
  </r>
  <r>
    <n v="1197"/>
    <x v="0"/>
    <m/>
    <s v="YEAR2"/>
    <x v="4"/>
    <x v="2"/>
    <x v="29"/>
    <x v="3"/>
    <x v="3"/>
    <m/>
    <m/>
    <m/>
    <m/>
    <m/>
    <m/>
    <m/>
    <m/>
    <m/>
    <m/>
    <m/>
    <m/>
    <m/>
    <m/>
    <m/>
    <m/>
    <m/>
    <m/>
    <m/>
    <n v="0"/>
    <n v="0"/>
    <n v="0"/>
    <n v="0"/>
    <n v="0"/>
    <n v="0"/>
    <n v="0"/>
    <n v="0"/>
    <n v="0"/>
    <m/>
    <n v="0"/>
    <m/>
    <m/>
    <s v="SERVICE 09  |  PRIX MOYEN DE VENTE PAR PRODUIT/SERVICE"/>
    <m/>
  </r>
  <r>
    <n v="1198"/>
    <x v="0"/>
    <m/>
    <s v="YEAR3"/>
    <x v="5"/>
    <x v="2"/>
    <x v="29"/>
    <x v="3"/>
    <x v="3"/>
    <m/>
    <m/>
    <m/>
    <m/>
    <m/>
    <m/>
    <m/>
    <m/>
    <m/>
    <m/>
    <m/>
    <m/>
    <m/>
    <m/>
    <m/>
    <m/>
    <m/>
    <m/>
    <m/>
    <n v="0"/>
    <n v="0"/>
    <n v="0"/>
    <n v="0"/>
    <n v="0"/>
    <n v="0"/>
    <n v="0"/>
    <n v="0"/>
    <n v="0"/>
    <m/>
    <n v="0"/>
    <m/>
    <m/>
    <s v="SERVICE 09  |  PRIX MOYEN DE VENTE PAR PRODUIT/SERVICE"/>
    <m/>
  </r>
  <r>
    <n v="1199"/>
    <x v="0"/>
    <m/>
    <s v="YEAR4"/>
    <x v="6"/>
    <x v="2"/>
    <x v="29"/>
    <x v="3"/>
    <x v="3"/>
    <m/>
    <m/>
    <m/>
    <m/>
    <m/>
    <m/>
    <m/>
    <m/>
    <m/>
    <m/>
    <m/>
    <m/>
    <m/>
    <m/>
    <m/>
    <m/>
    <m/>
    <m/>
    <m/>
    <n v="0"/>
    <n v="0"/>
    <n v="0"/>
    <n v="0"/>
    <n v="0"/>
    <n v="0"/>
    <n v="0"/>
    <n v="0"/>
    <n v="0"/>
    <m/>
    <n v="0"/>
    <m/>
    <m/>
    <s v="SERVICE 09  |  PRIX MOYEN DE VENTE PAR PRODUIT/SERVICE"/>
    <m/>
  </r>
  <r>
    <n v="1200"/>
    <x v="0"/>
    <m/>
    <s v="YEAR5"/>
    <x v="7"/>
    <x v="2"/>
    <x v="29"/>
    <x v="3"/>
    <x v="3"/>
    <m/>
    <m/>
    <m/>
    <m/>
    <m/>
    <m/>
    <m/>
    <m/>
    <m/>
    <m/>
    <m/>
    <m/>
    <m/>
    <m/>
    <m/>
    <m/>
    <m/>
    <m/>
    <m/>
    <n v="0"/>
    <n v="0"/>
    <n v="0"/>
    <n v="0"/>
    <n v="0"/>
    <n v="0"/>
    <n v="0"/>
    <n v="0"/>
    <n v="0"/>
    <m/>
    <n v="0"/>
    <m/>
    <m/>
    <s v="SERVICE 09  |  PRIX MOYEN DE VENTE PAR PRODUIT/SERVICE"/>
    <m/>
  </r>
  <r>
    <n v="1201"/>
    <x v="0"/>
    <m/>
    <s v="YEAR6"/>
    <x v="8"/>
    <x v="2"/>
    <x v="29"/>
    <x v="3"/>
    <x v="3"/>
    <m/>
    <m/>
    <m/>
    <m/>
    <m/>
    <m/>
    <m/>
    <m/>
    <m/>
    <m/>
    <m/>
    <m/>
    <m/>
    <m/>
    <m/>
    <m/>
    <m/>
    <m/>
    <m/>
    <n v="0"/>
    <n v="0"/>
    <n v="0"/>
    <n v="0"/>
    <n v="0"/>
    <n v="0"/>
    <n v="0"/>
    <n v="0"/>
    <n v="0"/>
    <m/>
    <n v="0"/>
    <m/>
    <m/>
    <s v="SERVICE 09  |  PRIX MOYEN DE VENTE PAR PRODUIT/SERVICE"/>
    <m/>
  </r>
  <r>
    <n v="1202"/>
    <x v="0"/>
    <m/>
    <s v="YEAR-2"/>
    <x v="1"/>
    <x v="2"/>
    <x v="29"/>
    <x v="3"/>
    <x v="4"/>
    <m/>
    <m/>
    <m/>
    <m/>
    <m/>
    <m/>
    <m/>
    <m/>
    <m/>
    <m/>
    <m/>
    <m/>
    <m/>
    <m/>
    <m/>
    <m/>
    <m/>
    <m/>
    <m/>
    <n v="0"/>
    <n v="0"/>
    <n v="0"/>
    <n v="0"/>
    <n v="0"/>
    <n v="0"/>
    <n v="0"/>
    <n v="0"/>
    <n v="0"/>
    <n v="0"/>
    <n v="0"/>
    <n v="0"/>
    <m/>
    <s v="SERVICE 09  |  DEPENSES SUR ACHATS"/>
    <b v="1"/>
  </r>
  <r>
    <n v="1203"/>
    <x v="0"/>
    <m/>
    <s v="YEAR-1"/>
    <x v="2"/>
    <x v="2"/>
    <x v="29"/>
    <x v="3"/>
    <x v="4"/>
    <m/>
    <m/>
    <m/>
    <m/>
    <m/>
    <m/>
    <m/>
    <m/>
    <m/>
    <m/>
    <m/>
    <m/>
    <m/>
    <m/>
    <m/>
    <m/>
    <m/>
    <m/>
    <m/>
    <n v="0"/>
    <n v="0"/>
    <n v="0"/>
    <n v="0"/>
    <n v="0"/>
    <n v="0"/>
    <n v="0"/>
    <n v="0"/>
    <n v="0"/>
    <n v="0"/>
    <n v="0"/>
    <n v="0"/>
    <m/>
    <s v="SERVICE 09  |  DEPENSES SUR ACHATS"/>
    <b v="1"/>
  </r>
  <r>
    <n v="1204"/>
    <x v="0"/>
    <m/>
    <s v="CURRENT YEAR"/>
    <x v="3"/>
    <x v="2"/>
    <x v="29"/>
    <x v="3"/>
    <x v="4"/>
    <m/>
    <m/>
    <m/>
    <m/>
    <m/>
    <m/>
    <m/>
    <m/>
    <m/>
    <m/>
    <m/>
    <m/>
    <m/>
    <m/>
    <m/>
    <m/>
    <m/>
    <m/>
    <m/>
    <n v="0"/>
    <n v="0"/>
    <n v="0"/>
    <n v="0"/>
    <n v="0"/>
    <n v="0"/>
    <n v="0"/>
    <n v="0"/>
    <n v="0"/>
    <n v="0"/>
    <n v="0"/>
    <n v="0"/>
    <m/>
    <s v="SERVICE 09  |  DEPENSES SUR ACHATS"/>
    <b v="1"/>
  </r>
  <r>
    <n v="1205"/>
    <x v="0"/>
    <m/>
    <s v="YEAR2"/>
    <x v="4"/>
    <x v="2"/>
    <x v="29"/>
    <x v="3"/>
    <x v="4"/>
    <m/>
    <m/>
    <m/>
    <m/>
    <m/>
    <m/>
    <m/>
    <m/>
    <m/>
    <m/>
    <m/>
    <m/>
    <m/>
    <m/>
    <m/>
    <m/>
    <m/>
    <m/>
    <m/>
    <n v="0"/>
    <n v="0"/>
    <n v="0"/>
    <n v="0"/>
    <n v="0"/>
    <n v="0"/>
    <n v="0"/>
    <n v="0"/>
    <n v="0"/>
    <n v="0"/>
    <n v="0"/>
    <n v="0"/>
    <m/>
    <s v="SERVICE 09  |  DEPENSES SUR ACHATS"/>
    <b v="1"/>
  </r>
  <r>
    <n v="1206"/>
    <x v="0"/>
    <m/>
    <s v="YEAR3"/>
    <x v="5"/>
    <x v="2"/>
    <x v="29"/>
    <x v="3"/>
    <x v="4"/>
    <m/>
    <m/>
    <m/>
    <m/>
    <m/>
    <m/>
    <m/>
    <m/>
    <m/>
    <m/>
    <m/>
    <m/>
    <m/>
    <m/>
    <m/>
    <m/>
    <m/>
    <m/>
    <m/>
    <n v="0"/>
    <n v="0"/>
    <n v="0"/>
    <n v="0"/>
    <n v="0"/>
    <n v="0"/>
    <n v="0"/>
    <n v="0"/>
    <n v="0"/>
    <n v="0"/>
    <n v="0"/>
    <n v="0"/>
    <m/>
    <s v="SERVICE 09  |  DEPENSES SUR ACHATS"/>
    <b v="1"/>
  </r>
  <r>
    <n v="1207"/>
    <x v="0"/>
    <m/>
    <s v="YEAR4"/>
    <x v="6"/>
    <x v="2"/>
    <x v="29"/>
    <x v="3"/>
    <x v="4"/>
    <m/>
    <m/>
    <m/>
    <m/>
    <m/>
    <m/>
    <m/>
    <m/>
    <m/>
    <m/>
    <m/>
    <m/>
    <m/>
    <m/>
    <m/>
    <m/>
    <m/>
    <m/>
    <m/>
    <n v="0"/>
    <n v="0"/>
    <n v="0"/>
    <n v="0"/>
    <n v="0"/>
    <n v="0"/>
    <n v="0"/>
    <n v="0"/>
    <n v="0"/>
    <n v="0"/>
    <n v="0"/>
    <n v="0"/>
    <m/>
    <s v="SERVICE 09  |  DEPENSES SUR ACHATS"/>
    <b v="1"/>
  </r>
  <r>
    <n v="1208"/>
    <x v="0"/>
    <m/>
    <s v="YEAR5"/>
    <x v="7"/>
    <x v="2"/>
    <x v="29"/>
    <x v="3"/>
    <x v="4"/>
    <m/>
    <m/>
    <m/>
    <m/>
    <m/>
    <m/>
    <m/>
    <m/>
    <m/>
    <m/>
    <m/>
    <m/>
    <m/>
    <m/>
    <m/>
    <m/>
    <m/>
    <m/>
    <m/>
    <n v="0"/>
    <n v="0"/>
    <n v="0"/>
    <n v="0"/>
    <n v="0"/>
    <n v="0"/>
    <n v="0"/>
    <n v="0"/>
    <n v="0"/>
    <n v="0"/>
    <n v="0"/>
    <n v="0"/>
    <m/>
    <s v="SERVICE 09  |  DEPENSES SUR ACHATS"/>
    <b v="1"/>
  </r>
  <r>
    <n v="1209"/>
    <x v="0"/>
    <m/>
    <s v="YEAR6"/>
    <x v="8"/>
    <x v="2"/>
    <x v="29"/>
    <x v="3"/>
    <x v="4"/>
    <m/>
    <m/>
    <m/>
    <m/>
    <m/>
    <m/>
    <m/>
    <m/>
    <m/>
    <m/>
    <m/>
    <m/>
    <m/>
    <m/>
    <m/>
    <m/>
    <m/>
    <m/>
    <m/>
    <n v="0"/>
    <n v="0"/>
    <n v="0"/>
    <n v="0"/>
    <n v="0"/>
    <n v="0"/>
    <n v="0"/>
    <n v="0"/>
    <n v="0"/>
    <n v="0"/>
    <n v="0"/>
    <n v="0"/>
    <m/>
    <s v="SERVICE 09  |  DEPENSES SUR ACHATS"/>
    <b v="1"/>
  </r>
  <r>
    <n v="1210"/>
    <x v="0"/>
    <m/>
    <s v="YEAR-2"/>
    <x v="1"/>
    <x v="2"/>
    <x v="29"/>
    <x v="3"/>
    <x v="5"/>
    <m/>
    <m/>
    <m/>
    <m/>
    <m/>
    <m/>
    <m/>
    <m/>
    <m/>
    <m/>
    <m/>
    <m/>
    <m/>
    <m/>
    <m/>
    <m/>
    <m/>
    <m/>
    <m/>
    <n v="0"/>
    <n v="0"/>
    <n v="0"/>
    <n v="0"/>
    <n v="0"/>
    <n v="0"/>
    <n v="0"/>
    <n v="0"/>
    <n v="0"/>
    <m/>
    <n v="0"/>
    <m/>
    <m/>
    <s v="SERVICE 09  |  PRIX MOYEN D'ACHAT PAR PRODUIT/SERVICE"/>
    <m/>
  </r>
  <r>
    <n v="1211"/>
    <x v="0"/>
    <m/>
    <s v="YEAR-1"/>
    <x v="2"/>
    <x v="2"/>
    <x v="29"/>
    <x v="3"/>
    <x v="5"/>
    <m/>
    <m/>
    <m/>
    <m/>
    <m/>
    <m/>
    <m/>
    <m/>
    <m/>
    <m/>
    <m/>
    <m/>
    <m/>
    <m/>
    <m/>
    <m/>
    <m/>
    <m/>
    <m/>
    <n v="0"/>
    <n v="0"/>
    <n v="0"/>
    <n v="0"/>
    <n v="0"/>
    <n v="0"/>
    <n v="0"/>
    <n v="0"/>
    <n v="0"/>
    <m/>
    <n v="0"/>
    <m/>
    <m/>
    <s v="SERVICE 09  |  PRIX MOYEN D'ACHAT PAR PRODUIT/SERVICE"/>
    <m/>
  </r>
  <r>
    <n v="1212"/>
    <x v="0"/>
    <m/>
    <s v="CURRENT YEAR"/>
    <x v="3"/>
    <x v="2"/>
    <x v="29"/>
    <x v="3"/>
    <x v="5"/>
    <m/>
    <m/>
    <m/>
    <m/>
    <m/>
    <m/>
    <m/>
    <m/>
    <m/>
    <m/>
    <m/>
    <m/>
    <m/>
    <m/>
    <m/>
    <m/>
    <m/>
    <m/>
    <m/>
    <n v="0"/>
    <n v="0"/>
    <n v="0"/>
    <n v="0"/>
    <n v="0"/>
    <n v="0"/>
    <n v="0"/>
    <n v="0"/>
    <n v="0"/>
    <m/>
    <n v="0"/>
    <m/>
    <m/>
    <s v="SERVICE 09  |  PRIX MOYEN D'ACHAT PAR PRODUIT/SERVICE"/>
    <m/>
  </r>
  <r>
    <n v="1213"/>
    <x v="0"/>
    <m/>
    <s v="YEAR2"/>
    <x v="4"/>
    <x v="2"/>
    <x v="29"/>
    <x v="3"/>
    <x v="5"/>
    <m/>
    <m/>
    <m/>
    <m/>
    <m/>
    <m/>
    <m/>
    <m/>
    <m/>
    <m/>
    <m/>
    <m/>
    <m/>
    <m/>
    <m/>
    <m/>
    <m/>
    <m/>
    <m/>
    <n v="0"/>
    <n v="0"/>
    <n v="0"/>
    <n v="0"/>
    <n v="0"/>
    <n v="0"/>
    <n v="0"/>
    <n v="0"/>
    <n v="0"/>
    <m/>
    <n v="0"/>
    <m/>
    <m/>
    <s v="SERVICE 09  |  PRIX MOYEN D'ACHAT PAR PRODUIT/SERVICE"/>
    <m/>
  </r>
  <r>
    <n v="1214"/>
    <x v="0"/>
    <m/>
    <s v="YEAR3"/>
    <x v="5"/>
    <x v="2"/>
    <x v="29"/>
    <x v="3"/>
    <x v="5"/>
    <m/>
    <m/>
    <m/>
    <m/>
    <m/>
    <m/>
    <m/>
    <m/>
    <m/>
    <m/>
    <m/>
    <m/>
    <m/>
    <m/>
    <m/>
    <m/>
    <m/>
    <m/>
    <m/>
    <n v="0"/>
    <n v="0"/>
    <n v="0"/>
    <n v="0"/>
    <n v="0"/>
    <n v="0"/>
    <n v="0"/>
    <n v="0"/>
    <n v="0"/>
    <m/>
    <n v="0"/>
    <m/>
    <m/>
    <s v="SERVICE 09  |  PRIX MOYEN D'ACHAT PAR PRODUIT/SERVICE"/>
    <m/>
  </r>
  <r>
    <n v="1215"/>
    <x v="0"/>
    <m/>
    <s v="YEAR4"/>
    <x v="6"/>
    <x v="2"/>
    <x v="29"/>
    <x v="3"/>
    <x v="5"/>
    <m/>
    <m/>
    <m/>
    <m/>
    <m/>
    <m/>
    <m/>
    <m/>
    <m/>
    <m/>
    <m/>
    <m/>
    <m/>
    <m/>
    <m/>
    <m/>
    <m/>
    <m/>
    <m/>
    <n v="0"/>
    <n v="0"/>
    <n v="0"/>
    <n v="0"/>
    <n v="0"/>
    <n v="0"/>
    <n v="0"/>
    <n v="0"/>
    <n v="0"/>
    <m/>
    <n v="0"/>
    <m/>
    <m/>
    <s v="SERVICE 09  |  PRIX MOYEN D'ACHAT PAR PRODUIT/SERVICE"/>
    <m/>
  </r>
  <r>
    <n v="1216"/>
    <x v="0"/>
    <m/>
    <s v="YEAR5"/>
    <x v="7"/>
    <x v="2"/>
    <x v="29"/>
    <x v="3"/>
    <x v="5"/>
    <m/>
    <m/>
    <m/>
    <m/>
    <m/>
    <m/>
    <m/>
    <m/>
    <m/>
    <m/>
    <m/>
    <m/>
    <m/>
    <m/>
    <m/>
    <m/>
    <m/>
    <m/>
    <m/>
    <n v="0"/>
    <n v="0"/>
    <n v="0"/>
    <n v="0"/>
    <n v="0"/>
    <n v="0"/>
    <n v="0"/>
    <n v="0"/>
    <n v="0"/>
    <m/>
    <n v="0"/>
    <m/>
    <m/>
    <s v="SERVICE 09  |  PRIX MOYEN D'ACHAT PAR PRODUIT/SERVICE"/>
    <m/>
  </r>
  <r>
    <n v="1217"/>
    <x v="0"/>
    <m/>
    <s v="YEAR6"/>
    <x v="8"/>
    <x v="2"/>
    <x v="29"/>
    <x v="3"/>
    <x v="5"/>
    <m/>
    <m/>
    <m/>
    <m/>
    <m/>
    <m/>
    <m/>
    <m/>
    <m/>
    <m/>
    <m/>
    <m/>
    <m/>
    <m/>
    <m/>
    <m/>
    <m/>
    <m/>
    <m/>
    <n v="0"/>
    <n v="0"/>
    <n v="0"/>
    <n v="0"/>
    <n v="0"/>
    <n v="0"/>
    <n v="0"/>
    <n v="0"/>
    <n v="0"/>
    <m/>
    <n v="0"/>
    <m/>
    <m/>
    <s v="SERVICE 09  |  PRIX MOYEN D'ACHAT PAR PRODUIT/SERVICE"/>
    <m/>
  </r>
  <r>
    <n v="1218"/>
    <x v="0"/>
    <n v="1"/>
    <m/>
    <x v="0"/>
    <x v="0"/>
    <x v="0"/>
    <x v="0"/>
    <x v="0"/>
    <m/>
    <m/>
    <m/>
    <m/>
    <m/>
    <m/>
    <m/>
    <m/>
    <m/>
    <m/>
    <m/>
    <m/>
    <m/>
    <m/>
    <m/>
    <m/>
    <m/>
    <m/>
    <m/>
    <m/>
    <m/>
    <m/>
    <m/>
    <m/>
    <m/>
    <m/>
    <m/>
    <m/>
    <m/>
    <m/>
    <m/>
    <m/>
    <m/>
    <m/>
  </r>
  <r>
    <n v="1219"/>
    <x v="0"/>
    <m/>
    <m/>
    <x v="0"/>
    <x v="0"/>
    <x v="0"/>
    <x v="0"/>
    <x v="0"/>
    <m/>
    <m/>
    <m/>
    <m/>
    <m/>
    <m/>
    <m/>
    <m/>
    <m/>
    <m/>
    <m/>
    <m/>
    <m/>
    <m/>
    <m/>
    <m/>
    <m/>
    <m/>
    <m/>
    <m/>
    <m/>
    <m/>
    <m/>
    <m/>
    <m/>
    <m/>
    <m/>
    <m/>
    <m/>
    <m/>
    <m/>
    <m/>
    <m/>
    <m/>
  </r>
  <r>
    <n v="1220"/>
    <x v="0"/>
    <n v="1"/>
    <s v="YEAR-2"/>
    <x v="1"/>
    <x v="2"/>
    <x v="30"/>
    <x v="3"/>
    <x v="1"/>
    <n v="1000"/>
    <n v="0"/>
    <n v="0"/>
    <n v="1000"/>
    <n v="1"/>
    <n v="0"/>
    <n v="0"/>
    <n v="500"/>
    <n v="0"/>
    <n v="0"/>
    <n v="500"/>
    <n v="1"/>
    <n v="1"/>
    <n v="1"/>
    <n v="0"/>
    <n v="0"/>
    <n v="0"/>
    <n v="0"/>
    <n v="0"/>
    <n v="0"/>
    <n v="0"/>
    <n v="0"/>
    <n v="0"/>
    <n v="0"/>
    <n v="0"/>
    <n v="0"/>
    <n v="0"/>
    <n v="0"/>
    <n v="0"/>
    <n v="0"/>
    <n v="0"/>
    <s v="GAMME # : 1 + CANAL DE DISTRIBUTION # : 1"/>
    <s v="SERVICE 10  |  VOLUME"/>
    <b v="1"/>
  </r>
  <r>
    <n v="1221"/>
    <x v="0"/>
    <n v="1"/>
    <s v="YEAR-1"/>
    <x v="2"/>
    <x v="2"/>
    <x v="30"/>
    <x v="3"/>
    <x v="1"/>
    <n v="1000"/>
    <n v="0"/>
    <n v="0"/>
    <n v="1000"/>
    <n v="1"/>
    <n v="0"/>
    <n v="0"/>
    <n v="500"/>
    <n v="0"/>
    <n v="0"/>
    <n v="500"/>
    <n v="1"/>
    <n v="1"/>
    <n v="1"/>
    <n v="0"/>
    <n v="0"/>
    <n v="0"/>
    <n v="0"/>
    <n v="0"/>
    <n v="0"/>
    <n v="0"/>
    <n v="0"/>
    <n v="0"/>
    <n v="0"/>
    <n v="0"/>
    <n v="0"/>
    <n v="0"/>
    <n v="0"/>
    <n v="0"/>
    <n v="0"/>
    <n v="0"/>
    <m/>
    <s v="SERVICE 10  |  VOLUME"/>
    <b v="1"/>
  </r>
  <r>
    <n v="1222"/>
    <x v="0"/>
    <n v="1"/>
    <s v="CURRENT YEAR"/>
    <x v="3"/>
    <x v="2"/>
    <x v="30"/>
    <x v="3"/>
    <x v="1"/>
    <n v="1000"/>
    <n v="0"/>
    <n v="0"/>
    <n v="1000"/>
    <n v="1"/>
    <n v="0"/>
    <n v="0"/>
    <n v="500"/>
    <n v="0"/>
    <n v="0"/>
    <n v="500"/>
    <n v="1"/>
    <n v="1"/>
    <n v="1"/>
    <n v="0"/>
    <n v="0"/>
    <n v="0"/>
    <n v="0"/>
    <n v="0"/>
    <n v="0"/>
    <n v="0"/>
    <n v="0"/>
    <n v="0"/>
    <n v="0"/>
    <n v="0"/>
    <n v="0"/>
    <n v="0"/>
    <n v="0"/>
    <n v="0"/>
    <n v="0"/>
    <n v="0"/>
    <m/>
    <s v="SERVICE 10  |  VOLUME"/>
    <b v="1"/>
  </r>
  <r>
    <n v="1223"/>
    <x v="0"/>
    <n v="1"/>
    <s v="YEAR2"/>
    <x v="4"/>
    <x v="2"/>
    <x v="30"/>
    <x v="3"/>
    <x v="1"/>
    <n v="1000"/>
    <n v="0"/>
    <n v="0"/>
    <n v="1000"/>
    <n v="1"/>
    <n v="0"/>
    <n v="0"/>
    <n v="500"/>
    <n v="0"/>
    <n v="0"/>
    <n v="500"/>
    <n v="1"/>
    <n v="1"/>
    <n v="1"/>
    <n v="0"/>
    <n v="0"/>
    <n v="0"/>
    <n v="0"/>
    <n v="0"/>
    <n v="0"/>
    <n v="0"/>
    <n v="0"/>
    <n v="0"/>
    <n v="0"/>
    <n v="0"/>
    <n v="0"/>
    <n v="0"/>
    <n v="0"/>
    <n v="0"/>
    <n v="0"/>
    <n v="0"/>
    <m/>
    <s v="SERVICE 10  |  VOLUME"/>
    <b v="1"/>
  </r>
  <r>
    <n v="1224"/>
    <x v="0"/>
    <n v="1"/>
    <s v="YEAR3"/>
    <x v="5"/>
    <x v="2"/>
    <x v="30"/>
    <x v="3"/>
    <x v="1"/>
    <n v="1000"/>
    <n v="0"/>
    <n v="0"/>
    <n v="1000"/>
    <n v="1"/>
    <n v="0"/>
    <n v="0"/>
    <n v="500"/>
    <n v="0"/>
    <n v="0"/>
    <n v="500"/>
    <n v="1"/>
    <n v="1"/>
    <n v="1"/>
    <n v="0"/>
    <n v="0"/>
    <n v="0"/>
    <n v="0"/>
    <n v="0"/>
    <n v="0"/>
    <n v="0"/>
    <n v="0"/>
    <n v="0"/>
    <n v="0"/>
    <n v="0"/>
    <n v="0"/>
    <n v="0"/>
    <n v="0"/>
    <n v="0"/>
    <n v="0"/>
    <n v="0"/>
    <m/>
    <s v="SERVICE 10  |  VOLUME"/>
    <b v="1"/>
  </r>
  <r>
    <n v="1225"/>
    <x v="0"/>
    <n v="1"/>
    <s v="YEAR4"/>
    <x v="6"/>
    <x v="2"/>
    <x v="30"/>
    <x v="3"/>
    <x v="1"/>
    <n v="1000"/>
    <n v="0"/>
    <n v="0"/>
    <n v="1000"/>
    <n v="1"/>
    <n v="0"/>
    <n v="0"/>
    <n v="500"/>
    <n v="0"/>
    <n v="0"/>
    <n v="500"/>
    <n v="1"/>
    <n v="1"/>
    <n v="1"/>
    <n v="0"/>
    <n v="0"/>
    <n v="0"/>
    <n v="0"/>
    <n v="0"/>
    <n v="0"/>
    <n v="0"/>
    <n v="0"/>
    <n v="0"/>
    <n v="0"/>
    <n v="0"/>
    <n v="0"/>
    <n v="0"/>
    <n v="0"/>
    <n v="0"/>
    <n v="0"/>
    <n v="0"/>
    <m/>
    <s v="SERVICE 10  |  VOLUME"/>
    <b v="1"/>
  </r>
  <r>
    <n v="1226"/>
    <x v="0"/>
    <n v="1"/>
    <s v="YEAR5"/>
    <x v="7"/>
    <x v="2"/>
    <x v="30"/>
    <x v="3"/>
    <x v="1"/>
    <n v="1000"/>
    <n v="0"/>
    <n v="0"/>
    <n v="1000"/>
    <n v="1"/>
    <n v="0"/>
    <n v="0"/>
    <n v="500"/>
    <n v="0"/>
    <n v="0"/>
    <n v="500"/>
    <n v="1"/>
    <n v="1"/>
    <n v="1"/>
    <n v="0"/>
    <n v="0"/>
    <n v="0"/>
    <n v="0"/>
    <n v="0"/>
    <n v="0"/>
    <n v="0"/>
    <n v="0"/>
    <n v="0"/>
    <n v="0"/>
    <n v="0"/>
    <n v="0"/>
    <n v="0"/>
    <n v="0"/>
    <n v="0"/>
    <n v="0"/>
    <n v="0"/>
    <m/>
    <s v="SERVICE 10  |  VOLUME"/>
    <b v="1"/>
  </r>
  <r>
    <n v="1227"/>
    <x v="0"/>
    <n v="1"/>
    <s v="YEAR6"/>
    <x v="8"/>
    <x v="2"/>
    <x v="30"/>
    <x v="3"/>
    <x v="1"/>
    <n v="1000"/>
    <n v="0"/>
    <n v="0"/>
    <n v="1000"/>
    <n v="1"/>
    <n v="0"/>
    <n v="0"/>
    <n v="500"/>
    <n v="0"/>
    <n v="0"/>
    <n v="500"/>
    <n v="1"/>
    <n v="1"/>
    <n v="1"/>
    <n v="0"/>
    <n v="0"/>
    <n v="0"/>
    <n v="0"/>
    <n v="0"/>
    <n v="0"/>
    <n v="0"/>
    <n v="0"/>
    <n v="0"/>
    <n v="0"/>
    <n v="0"/>
    <n v="0"/>
    <n v="0"/>
    <n v="0"/>
    <n v="0"/>
    <n v="0"/>
    <n v="0"/>
    <m/>
    <s v="SERVICE 10  |  VOLUME"/>
    <b v="1"/>
  </r>
  <r>
    <n v="1228"/>
    <x v="0"/>
    <m/>
    <s v="YEAR-2"/>
    <x v="1"/>
    <x v="2"/>
    <x v="30"/>
    <x v="3"/>
    <x v="2"/>
    <m/>
    <m/>
    <m/>
    <m/>
    <m/>
    <m/>
    <m/>
    <m/>
    <m/>
    <m/>
    <m/>
    <m/>
    <m/>
    <m/>
    <m/>
    <m/>
    <m/>
    <m/>
    <m/>
    <n v="0"/>
    <n v="0"/>
    <n v="0"/>
    <n v="0"/>
    <n v="0"/>
    <n v="0"/>
    <n v="0"/>
    <n v="0"/>
    <n v="0"/>
    <n v="0"/>
    <n v="0"/>
    <n v="0"/>
    <m/>
    <s v="SERVICE 10  |  CHIFFRE D'AFFAIRES"/>
    <b v="1"/>
  </r>
  <r>
    <n v="1229"/>
    <x v="0"/>
    <m/>
    <s v="YEAR-1"/>
    <x v="2"/>
    <x v="2"/>
    <x v="30"/>
    <x v="3"/>
    <x v="2"/>
    <m/>
    <m/>
    <m/>
    <m/>
    <m/>
    <m/>
    <m/>
    <m/>
    <m/>
    <m/>
    <m/>
    <m/>
    <m/>
    <m/>
    <m/>
    <m/>
    <m/>
    <m/>
    <m/>
    <n v="0"/>
    <n v="0"/>
    <n v="0"/>
    <n v="0"/>
    <n v="0"/>
    <n v="0"/>
    <n v="0"/>
    <n v="0"/>
    <n v="0"/>
    <n v="0"/>
    <n v="0"/>
    <n v="0"/>
    <m/>
    <s v="SERVICE 10  |  CHIFFRE D'AFFAIRES"/>
    <b v="1"/>
  </r>
  <r>
    <n v="1230"/>
    <x v="0"/>
    <m/>
    <s v="CURRENT YEAR"/>
    <x v="3"/>
    <x v="2"/>
    <x v="30"/>
    <x v="3"/>
    <x v="2"/>
    <m/>
    <m/>
    <m/>
    <m/>
    <m/>
    <m/>
    <m/>
    <m/>
    <m/>
    <m/>
    <m/>
    <m/>
    <m/>
    <m/>
    <m/>
    <m/>
    <m/>
    <m/>
    <m/>
    <n v="0"/>
    <n v="0"/>
    <n v="0"/>
    <n v="0"/>
    <n v="0"/>
    <n v="0"/>
    <n v="0"/>
    <n v="0"/>
    <n v="0"/>
    <n v="0"/>
    <n v="0"/>
    <n v="0"/>
    <m/>
    <s v="SERVICE 10  |  CHIFFRE D'AFFAIRES"/>
    <b v="1"/>
  </r>
  <r>
    <n v="1231"/>
    <x v="0"/>
    <m/>
    <s v="YEAR2"/>
    <x v="4"/>
    <x v="2"/>
    <x v="30"/>
    <x v="3"/>
    <x v="2"/>
    <m/>
    <m/>
    <m/>
    <m/>
    <m/>
    <m/>
    <m/>
    <m/>
    <m/>
    <m/>
    <m/>
    <m/>
    <m/>
    <m/>
    <m/>
    <m/>
    <m/>
    <m/>
    <m/>
    <n v="0"/>
    <n v="0"/>
    <n v="0"/>
    <n v="0"/>
    <n v="0"/>
    <n v="0"/>
    <n v="0"/>
    <n v="0"/>
    <n v="0"/>
    <n v="0"/>
    <n v="0"/>
    <n v="0"/>
    <m/>
    <s v="SERVICE 10  |  CHIFFRE D'AFFAIRES"/>
    <b v="1"/>
  </r>
  <r>
    <n v="1232"/>
    <x v="0"/>
    <m/>
    <s v="YEAR3"/>
    <x v="5"/>
    <x v="2"/>
    <x v="30"/>
    <x v="3"/>
    <x v="2"/>
    <m/>
    <m/>
    <m/>
    <m/>
    <m/>
    <m/>
    <m/>
    <m/>
    <m/>
    <m/>
    <m/>
    <m/>
    <m/>
    <m/>
    <m/>
    <m/>
    <m/>
    <m/>
    <m/>
    <n v="0"/>
    <n v="0"/>
    <n v="0"/>
    <n v="0"/>
    <n v="0"/>
    <n v="0"/>
    <n v="0"/>
    <n v="0"/>
    <n v="0"/>
    <n v="0"/>
    <n v="0"/>
    <n v="0"/>
    <m/>
    <s v="SERVICE 10  |  CHIFFRE D'AFFAIRES"/>
    <b v="1"/>
  </r>
  <r>
    <n v="1233"/>
    <x v="0"/>
    <m/>
    <s v="YEAR4"/>
    <x v="6"/>
    <x v="2"/>
    <x v="30"/>
    <x v="3"/>
    <x v="2"/>
    <m/>
    <m/>
    <m/>
    <m/>
    <m/>
    <m/>
    <m/>
    <m/>
    <m/>
    <m/>
    <m/>
    <m/>
    <m/>
    <m/>
    <m/>
    <m/>
    <m/>
    <m/>
    <m/>
    <n v="0"/>
    <n v="0"/>
    <n v="0"/>
    <n v="0"/>
    <n v="0"/>
    <n v="0"/>
    <n v="0"/>
    <n v="0"/>
    <n v="0"/>
    <n v="0"/>
    <n v="0"/>
    <n v="0"/>
    <m/>
    <s v="SERVICE 10  |  CHIFFRE D'AFFAIRES"/>
    <b v="1"/>
  </r>
  <r>
    <n v="1234"/>
    <x v="0"/>
    <m/>
    <s v="YEAR5"/>
    <x v="7"/>
    <x v="2"/>
    <x v="30"/>
    <x v="3"/>
    <x v="2"/>
    <m/>
    <m/>
    <m/>
    <m/>
    <m/>
    <m/>
    <m/>
    <m/>
    <m/>
    <m/>
    <m/>
    <m/>
    <m/>
    <m/>
    <m/>
    <m/>
    <m/>
    <m/>
    <m/>
    <n v="0"/>
    <n v="0"/>
    <n v="0"/>
    <n v="0"/>
    <n v="0"/>
    <n v="0"/>
    <n v="0"/>
    <n v="0"/>
    <n v="0"/>
    <n v="0"/>
    <n v="0"/>
    <n v="0"/>
    <m/>
    <s v="SERVICE 10  |  CHIFFRE D'AFFAIRES"/>
    <b v="1"/>
  </r>
  <r>
    <n v="1235"/>
    <x v="0"/>
    <m/>
    <s v="YEAR6"/>
    <x v="8"/>
    <x v="2"/>
    <x v="30"/>
    <x v="3"/>
    <x v="2"/>
    <m/>
    <m/>
    <m/>
    <m/>
    <m/>
    <m/>
    <m/>
    <m/>
    <m/>
    <m/>
    <m/>
    <m/>
    <m/>
    <m/>
    <m/>
    <m/>
    <m/>
    <m/>
    <m/>
    <n v="0"/>
    <n v="0"/>
    <n v="0"/>
    <n v="0"/>
    <n v="0"/>
    <n v="0"/>
    <n v="0"/>
    <n v="0"/>
    <n v="0"/>
    <n v="0"/>
    <n v="0"/>
    <n v="0"/>
    <m/>
    <s v="SERVICE 10  |  CHIFFRE D'AFFAIRES"/>
    <b v="1"/>
  </r>
  <r>
    <n v="1236"/>
    <x v="0"/>
    <m/>
    <s v="YEAR-2"/>
    <x v="1"/>
    <x v="2"/>
    <x v="30"/>
    <x v="3"/>
    <x v="3"/>
    <m/>
    <m/>
    <m/>
    <m/>
    <m/>
    <m/>
    <m/>
    <m/>
    <m/>
    <m/>
    <m/>
    <m/>
    <m/>
    <m/>
    <m/>
    <m/>
    <m/>
    <m/>
    <m/>
    <n v="0"/>
    <n v="0"/>
    <n v="0"/>
    <n v="0"/>
    <n v="0"/>
    <n v="0"/>
    <n v="0"/>
    <n v="0"/>
    <n v="0"/>
    <m/>
    <n v="0"/>
    <m/>
    <m/>
    <s v="SERVICE 10  |  PRIX MOYEN DE VENTE PAR PRODUIT/SERVICE"/>
    <m/>
  </r>
  <r>
    <n v="1237"/>
    <x v="0"/>
    <m/>
    <s v="YEAR-1"/>
    <x v="2"/>
    <x v="2"/>
    <x v="30"/>
    <x v="3"/>
    <x v="3"/>
    <m/>
    <m/>
    <m/>
    <m/>
    <m/>
    <m/>
    <m/>
    <m/>
    <m/>
    <m/>
    <m/>
    <m/>
    <m/>
    <m/>
    <m/>
    <m/>
    <m/>
    <m/>
    <m/>
    <n v="0"/>
    <n v="0"/>
    <n v="0"/>
    <n v="0"/>
    <n v="0"/>
    <n v="0"/>
    <n v="0"/>
    <n v="0"/>
    <n v="0"/>
    <m/>
    <n v="0"/>
    <m/>
    <m/>
    <s v="SERVICE 10  |  PRIX MOYEN DE VENTE PAR PRODUIT/SERVICE"/>
    <m/>
  </r>
  <r>
    <n v="1238"/>
    <x v="0"/>
    <m/>
    <s v="CURRENT YEAR"/>
    <x v="3"/>
    <x v="2"/>
    <x v="30"/>
    <x v="3"/>
    <x v="3"/>
    <m/>
    <m/>
    <m/>
    <m/>
    <m/>
    <m/>
    <m/>
    <m/>
    <m/>
    <m/>
    <m/>
    <m/>
    <m/>
    <m/>
    <m/>
    <m/>
    <m/>
    <m/>
    <m/>
    <n v="0"/>
    <n v="0"/>
    <n v="0"/>
    <n v="0"/>
    <n v="0"/>
    <n v="0"/>
    <n v="0"/>
    <n v="0"/>
    <n v="0"/>
    <m/>
    <n v="0"/>
    <m/>
    <m/>
    <s v="SERVICE 10  |  PRIX MOYEN DE VENTE PAR PRODUIT/SERVICE"/>
    <m/>
  </r>
  <r>
    <n v="1239"/>
    <x v="0"/>
    <m/>
    <s v="YEAR2"/>
    <x v="4"/>
    <x v="2"/>
    <x v="30"/>
    <x v="3"/>
    <x v="3"/>
    <m/>
    <m/>
    <m/>
    <m/>
    <m/>
    <m/>
    <m/>
    <m/>
    <m/>
    <m/>
    <m/>
    <m/>
    <m/>
    <m/>
    <m/>
    <m/>
    <m/>
    <m/>
    <m/>
    <n v="0"/>
    <n v="0"/>
    <n v="0"/>
    <n v="0"/>
    <n v="0"/>
    <n v="0"/>
    <n v="0"/>
    <n v="0"/>
    <n v="0"/>
    <m/>
    <n v="0"/>
    <m/>
    <m/>
    <s v="SERVICE 10  |  PRIX MOYEN DE VENTE PAR PRODUIT/SERVICE"/>
    <m/>
  </r>
  <r>
    <n v="1240"/>
    <x v="0"/>
    <m/>
    <s v="YEAR3"/>
    <x v="5"/>
    <x v="2"/>
    <x v="30"/>
    <x v="3"/>
    <x v="3"/>
    <m/>
    <m/>
    <m/>
    <m/>
    <m/>
    <m/>
    <m/>
    <m/>
    <m/>
    <m/>
    <m/>
    <m/>
    <m/>
    <m/>
    <m/>
    <m/>
    <m/>
    <m/>
    <m/>
    <n v="0"/>
    <n v="0"/>
    <n v="0"/>
    <n v="0"/>
    <n v="0"/>
    <n v="0"/>
    <n v="0"/>
    <n v="0"/>
    <n v="0"/>
    <m/>
    <n v="0"/>
    <m/>
    <m/>
    <s v="SERVICE 10  |  PRIX MOYEN DE VENTE PAR PRODUIT/SERVICE"/>
    <m/>
  </r>
  <r>
    <n v="1241"/>
    <x v="0"/>
    <m/>
    <s v="YEAR4"/>
    <x v="6"/>
    <x v="2"/>
    <x v="30"/>
    <x v="3"/>
    <x v="3"/>
    <m/>
    <m/>
    <m/>
    <m/>
    <m/>
    <m/>
    <m/>
    <m/>
    <m/>
    <m/>
    <m/>
    <m/>
    <m/>
    <m/>
    <m/>
    <m/>
    <m/>
    <m/>
    <m/>
    <n v="0"/>
    <n v="0"/>
    <n v="0"/>
    <n v="0"/>
    <n v="0"/>
    <n v="0"/>
    <n v="0"/>
    <n v="0"/>
    <n v="0"/>
    <m/>
    <n v="0"/>
    <m/>
    <m/>
    <s v="SERVICE 10  |  PRIX MOYEN DE VENTE PAR PRODUIT/SERVICE"/>
    <m/>
  </r>
  <r>
    <n v="1242"/>
    <x v="0"/>
    <m/>
    <s v="YEAR5"/>
    <x v="7"/>
    <x v="2"/>
    <x v="30"/>
    <x v="3"/>
    <x v="3"/>
    <m/>
    <m/>
    <m/>
    <m/>
    <m/>
    <m/>
    <m/>
    <m/>
    <m/>
    <m/>
    <m/>
    <m/>
    <m/>
    <m/>
    <m/>
    <m/>
    <m/>
    <m/>
    <m/>
    <n v="0"/>
    <n v="0"/>
    <n v="0"/>
    <n v="0"/>
    <n v="0"/>
    <n v="0"/>
    <n v="0"/>
    <n v="0"/>
    <n v="0"/>
    <m/>
    <n v="0"/>
    <m/>
    <m/>
    <s v="SERVICE 10  |  PRIX MOYEN DE VENTE PAR PRODUIT/SERVICE"/>
    <m/>
  </r>
  <r>
    <n v="1243"/>
    <x v="0"/>
    <m/>
    <s v="YEAR6"/>
    <x v="8"/>
    <x v="2"/>
    <x v="30"/>
    <x v="3"/>
    <x v="3"/>
    <m/>
    <m/>
    <m/>
    <m/>
    <m/>
    <m/>
    <m/>
    <m/>
    <m/>
    <m/>
    <m/>
    <m/>
    <m/>
    <m/>
    <m/>
    <m/>
    <m/>
    <m/>
    <m/>
    <n v="0"/>
    <n v="0"/>
    <n v="0"/>
    <n v="0"/>
    <n v="0"/>
    <n v="0"/>
    <n v="0"/>
    <n v="0"/>
    <n v="0"/>
    <m/>
    <n v="0"/>
    <m/>
    <m/>
    <s v="SERVICE 10  |  PRIX MOYEN DE VENTE PAR PRODUIT/SERVICE"/>
    <m/>
  </r>
  <r>
    <n v="1244"/>
    <x v="0"/>
    <m/>
    <s v="YEAR-2"/>
    <x v="1"/>
    <x v="2"/>
    <x v="30"/>
    <x v="3"/>
    <x v="4"/>
    <m/>
    <m/>
    <m/>
    <m/>
    <m/>
    <m/>
    <m/>
    <m/>
    <m/>
    <m/>
    <m/>
    <m/>
    <m/>
    <m/>
    <m/>
    <m/>
    <m/>
    <m/>
    <m/>
    <n v="0"/>
    <n v="0"/>
    <n v="0"/>
    <n v="0"/>
    <n v="0"/>
    <n v="0"/>
    <n v="0"/>
    <n v="0"/>
    <n v="0"/>
    <n v="0"/>
    <n v="0"/>
    <n v="0"/>
    <m/>
    <s v="SERVICE 10  |  DEPENSES SUR ACHATS"/>
    <b v="1"/>
  </r>
  <r>
    <n v="1245"/>
    <x v="0"/>
    <m/>
    <s v="YEAR-1"/>
    <x v="2"/>
    <x v="2"/>
    <x v="30"/>
    <x v="3"/>
    <x v="4"/>
    <m/>
    <m/>
    <m/>
    <m/>
    <m/>
    <m/>
    <m/>
    <m/>
    <m/>
    <m/>
    <m/>
    <m/>
    <m/>
    <m/>
    <m/>
    <m/>
    <m/>
    <m/>
    <m/>
    <n v="0"/>
    <n v="0"/>
    <n v="0"/>
    <n v="0"/>
    <n v="0"/>
    <n v="0"/>
    <n v="0"/>
    <n v="0"/>
    <n v="0"/>
    <n v="0"/>
    <n v="0"/>
    <n v="0"/>
    <m/>
    <s v="SERVICE 10  |  DEPENSES SUR ACHATS"/>
    <b v="1"/>
  </r>
  <r>
    <n v="1246"/>
    <x v="0"/>
    <m/>
    <s v="CURRENT YEAR"/>
    <x v="3"/>
    <x v="2"/>
    <x v="30"/>
    <x v="3"/>
    <x v="4"/>
    <m/>
    <m/>
    <m/>
    <m/>
    <m/>
    <m/>
    <m/>
    <m/>
    <m/>
    <m/>
    <m/>
    <m/>
    <m/>
    <m/>
    <m/>
    <m/>
    <m/>
    <m/>
    <m/>
    <n v="0"/>
    <n v="0"/>
    <n v="0"/>
    <n v="0"/>
    <n v="0"/>
    <n v="0"/>
    <n v="0"/>
    <n v="0"/>
    <n v="0"/>
    <n v="0"/>
    <n v="0"/>
    <n v="0"/>
    <m/>
    <s v="SERVICE 10  |  DEPENSES SUR ACHATS"/>
    <b v="1"/>
  </r>
  <r>
    <n v="1247"/>
    <x v="0"/>
    <m/>
    <s v="YEAR2"/>
    <x v="4"/>
    <x v="2"/>
    <x v="30"/>
    <x v="3"/>
    <x v="4"/>
    <m/>
    <m/>
    <m/>
    <m/>
    <m/>
    <m/>
    <m/>
    <m/>
    <m/>
    <m/>
    <m/>
    <m/>
    <m/>
    <m/>
    <m/>
    <m/>
    <m/>
    <m/>
    <m/>
    <n v="0"/>
    <n v="0"/>
    <n v="0"/>
    <n v="0"/>
    <n v="0"/>
    <n v="0"/>
    <n v="0"/>
    <n v="0"/>
    <n v="0"/>
    <n v="0"/>
    <n v="0"/>
    <n v="0"/>
    <m/>
    <s v="SERVICE 10  |  DEPENSES SUR ACHATS"/>
    <b v="1"/>
  </r>
  <r>
    <n v="1248"/>
    <x v="0"/>
    <m/>
    <s v="YEAR3"/>
    <x v="5"/>
    <x v="2"/>
    <x v="30"/>
    <x v="3"/>
    <x v="4"/>
    <m/>
    <m/>
    <m/>
    <m/>
    <m/>
    <m/>
    <m/>
    <m/>
    <m/>
    <m/>
    <m/>
    <m/>
    <m/>
    <m/>
    <m/>
    <m/>
    <m/>
    <m/>
    <m/>
    <n v="0"/>
    <n v="0"/>
    <n v="0"/>
    <n v="0"/>
    <n v="0"/>
    <n v="0"/>
    <n v="0"/>
    <n v="0"/>
    <n v="0"/>
    <n v="0"/>
    <n v="0"/>
    <n v="0"/>
    <m/>
    <s v="SERVICE 10  |  DEPENSES SUR ACHATS"/>
    <b v="1"/>
  </r>
  <r>
    <n v="1249"/>
    <x v="0"/>
    <m/>
    <s v="YEAR4"/>
    <x v="6"/>
    <x v="2"/>
    <x v="30"/>
    <x v="3"/>
    <x v="4"/>
    <m/>
    <m/>
    <m/>
    <m/>
    <m/>
    <m/>
    <m/>
    <m/>
    <m/>
    <m/>
    <m/>
    <m/>
    <m/>
    <m/>
    <m/>
    <m/>
    <m/>
    <m/>
    <m/>
    <n v="0"/>
    <n v="0"/>
    <n v="0"/>
    <n v="0"/>
    <n v="0"/>
    <n v="0"/>
    <n v="0"/>
    <n v="0"/>
    <n v="0"/>
    <n v="0"/>
    <n v="0"/>
    <n v="0"/>
    <m/>
    <s v="SERVICE 10  |  DEPENSES SUR ACHATS"/>
    <b v="1"/>
  </r>
  <r>
    <n v="1250"/>
    <x v="0"/>
    <m/>
    <s v="YEAR5"/>
    <x v="7"/>
    <x v="2"/>
    <x v="30"/>
    <x v="3"/>
    <x v="4"/>
    <m/>
    <m/>
    <m/>
    <m/>
    <m/>
    <m/>
    <m/>
    <m/>
    <m/>
    <m/>
    <m/>
    <m/>
    <m/>
    <m/>
    <m/>
    <m/>
    <m/>
    <m/>
    <m/>
    <n v="0"/>
    <n v="0"/>
    <n v="0"/>
    <n v="0"/>
    <n v="0"/>
    <n v="0"/>
    <n v="0"/>
    <n v="0"/>
    <n v="0"/>
    <n v="0"/>
    <n v="0"/>
    <n v="0"/>
    <m/>
    <s v="SERVICE 10  |  DEPENSES SUR ACHATS"/>
    <b v="1"/>
  </r>
  <r>
    <n v="1251"/>
    <x v="0"/>
    <m/>
    <s v="YEAR6"/>
    <x v="8"/>
    <x v="2"/>
    <x v="30"/>
    <x v="3"/>
    <x v="4"/>
    <m/>
    <m/>
    <m/>
    <m/>
    <m/>
    <m/>
    <m/>
    <m/>
    <m/>
    <m/>
    <m/>
    <m/>
    <m/>
    <m/>
    <m/>
    <m/>
    <m/>
    <m/>
    <m/>
    <n v="0"/>
    <n v="0"/>
    <n v="0"/>
    <n v="0"/>
    <n v="0"/>
    <n v="0"/>
    <n v="0"/>
    <n v="0"/>
    <n v="0"/>
    <n v="0"/>
    <n v="0"/>
    <n v="0"/>
    <m/>
    <s v="SERVICE 10  |  DEPENSES SUR ACHATS"/>
    <b v="1"/>
  </r>
  <r>
    <n v="1252"/>
    <x v="0"/>
    <m/>
    <s v="YEAR-2"/>
    <x v="1"/>
    <x v="2"/>
    <x v="30"/>
    <x v="3"/>
    <x v="5"/>
    <m/>
    <m/>
    <m/>
    <m/>
    <m/>
    <m/>
    <m/>
    <m/>
    <m/>
    <m/>
    <m/>
    <m/>
    <m/>
    <m/>
    <m/>
    <m/>
    <m/>
    <m/>
    <m/>
    <n v="0"/>
    <n v="0"/>
    <n v="0"/>
    <n v="0"/>
    <n v="0"/>
    <n v="0"/>
    <n v="0"/>
    <n v="0"/>
    <n v="0"/>
    <m/>
    <n v="0"/>
    <m/>
    <m/>
    <s v="SERVICE 10  |  PRIX MOYEN D'ACHAT PAR PRODUIT/SERVICE"/>
    <m/>
  </r>
  <r>
    <n v="1253"/>
    <x v="0"/>
    <m/>
    <s v="YEAR-1"/>
    <x v="2"/>
    <x v="2"/>
    <x v="30"/>
    <x v="3"/>
    <x v="5"/>
    <m/>
    <m/>
    <m/>
    <m/>
    <m/>
    <m/>
    <m/>
    <m/>
    <m/>
    <m/>
    <m/>
    <m/>
    <m/>
    <m/>
    <m/>
    <m/>
    <m/>
    <m/>
    <m/>
    <n v="0"/>
    <n v="0"/>
    <n v="0"/>
    <n v="0"/>
    <n v="0"/>
    <n v="0"/>
    <n v="0"/>
    <n v="0"/>
    <n v="0"/>
    <m/>
    <n v="0"/>
    <m/>
    <m/>
    <s v="SERVICE 10  |  PRIX MOYEN D'ACHAT PAR PRODUIT/SERVICE"/>
    <m/>
  </r>
  <r>
    <n v="1254"/>
    <x v="0"/>
    <m/>
    <s v="CURRENT YEAR"/>
    <x v="3"/>
    <x v="2"/>
    <x v="30"/>
    <x v="3"/>
    <x v="5"/>
    <m/>
    <m/>
    <m/>
    <m/>
    <m/>
    <m/>
    <m/>
    <m/>
    <m/>
    <m/>
    <m/>
    <m/>
    <m/>
    <m/>
    <m/>
    <m/>
    <m/>
    <m/>
    <m/>
    <n v="0"/>
    <n v="0"/>
    <n v="0"/>
    <n v="0"/>
    <n v="0"/>
    <n v="0"/>
    <n v="0"/>
    <n v="0"/>
    <n v="0"/>
    <m/>
    <n v="0"/>
    <m/>
    <m/>
    <s v="SERVICE 10  |  PRIX MOYEN D'ACHAT PAR PRODUIT/SERVICE"/>
    <m/>
  </r>
  <r>
    <n v="1255"/>
    <x v="0"/>
    <m/>
    <s v="YEAR2"/>
    <x v="4"/>
    <x v="2"/>
    <x v="30"/>
    <x v="3"/>
    <x v="5"/>
    <m/>
    <m/>
    <m/>
    <m/>
    <m/>
    <m/>
    <m/>
    <m/>
    <m/>
    <m/>
    <m/>
    <m/>
    <m/>
    <m/>
    <m/>
    <m/>
    <m/>
    <m/>
    <m/>
    <n v="0"/>
    <n v="0"/>
    <n v="0"/>
    <n v="0"/>
    <n v="0"/>
    <n v="0"/>
    <n v="0"/>
    <n v="0"/>
    <n v="0"/>
    <m/>
    <n v="0"/>
    <m/>
    <m/>
    <s v="SERVICE 10  |  PRIX MOYEN D'ACHAT PAR PRODUIT/SERVICE"/>
    <m/>
  </r>
  <r>
    <n v="1256"/>
    <x v="0"/>
    <m/>
    <s v="YEAR3"/>
    <x v="5"/>
    <x v="2"/>
    <x v="30"/>
    <x v="3"/>
    <x v="5"/>
    <m/>
    <m/>
    <m/>
    <m/>
    <m/>
    <m/>
    <m/>
    <m/>
    <m/>
    <m/>
    <m/>
    <m/>
    <m/>
    <m/>
    <m/>
    <m/>
    <m/>
    <m/>
    <m/>
    <n v="0"/>
    <n v="0"/>
    <n v="0"/>
    <n v="0"/>
    <n v="0"/>
    <n v="0"/>
    <n v="0"/>
    <n v="0"/>
    <n v="0"/>
    <m/>
    <n v="0"/>
    <m/>
    <m/>
    <s v="SERVICE 10  |  PRIX MOYEN D'ACHAT PAR PRODUIT/SERVICE"/>
    <m/>
  </r>
  <r>
    <n v="1257"/>
    <x v="0"/>
    <m/>
    <s v="YEAR4"/>
    <x v="6"/>
    <x v="2"/>
    <x v="30"/>
    <x v="3"/>
    <x v="5"/>
    <m/>
    <m/>
    <m/>
    <m/>
    <m/>
    <m/>
    <m/>
    <m/>
    <m/>
    <m/>
    <m/>
    <m/>
    <m/>
    <m/>
    <m/>
    <m/>
    <m/>
    <m/>
    <m/>
    <n v="0"/>
    <n v="0"/>
    <n v="0"/>
    <n v="0"/>
    <n v="0"/>
    <n v="0"/>
    <n v="0"/>
    <n v="0"/>
    <n v="0"/>
    <m/>
    <n v="0"/>
    <m/>
    <m/>
    <s v="SERVICE 10  |  PRIX MOYEN D'ACHAT PAR PRODUIT/SERVICE"/>
    <m/>
  </r>
  <r>
    <n v="1258"/>
    <x v="0"/>
    <m/>
    <s v="YEAR5"/>
    <x v="7"/>
    <x v="2"/>
    <x v="30"/>
    <x v="3"/>
    <x v="5"/>
    <m/>
    <m/>
    <m/>
    <m/>
    <m/>
    <m/>
    <m/>
    <m/>
    <m/>
    <m/>
    <m/>
    <m/>
    <m/>
    <m/>
    <m/>
    <m/>
    <m/>
    <m/>
    <m/>
    <n v="0"/>
    <n v="0"/>
    <n v="0"/>
    <n v="0"/>
    <n v="0"/>
    <n v="0"/>
    <n v="0"/>
    <n v="0"/>
    <n v="0"/>
    <m/>
    <n v="0"/>
    <m/>
    <m/>
    <s v="SERVICE 10  |  PRIX MOYEN D'ACHAT PAR PRODUIT/SERVICE"/>
    <m/>
  </r>
  <r>
    <n v="1259"/>
    <x v="0"/>
    <m/>
    <s v="YEAR6"/>
    <x v="8"/>
    <x v="2"/>
    <x v="30"/>
    <x v="3"/>
    <x v="5"/>
    <m/>
    <m/>
    <m/>
    <m/>
    <m/>
    <m/>
    <m/>
    <m/>
    <m/>
    <m/>
    <m/>
    <m/>
    <m/>
    <m/>
    <m/>
    <m/>
    <m/>
    <m/>
    <m/>
    <n v="0"/>
    <n v="0"/>
    <n v="0"/>
    <n v="0"/>
    <n v="0"/>
    <n v="0"/>
    <n v="0"/>
    <n v="0"/>
    <n v="0"/>
    <m/>
    <n v="0"/>
    <m/>
    <m/>
    <s v="SERVICE 10  |  PRIX MOYEN D'ACHAT PAR PRODUIT/SERVICE"/>
    <m/>
  </r>
  <r>
    <n v="1260"/>
    <x v="0"/>
    <n v="1"/>
    <m/>
    <x v="0"/>
    <x v="0"/>
    <x v="0"/>
    <x v="0"/>
    <x v="0"/>
    <m/>
    <m/>
    <m/>
    <m/>
    <m/>
    <m/>
    <m/>
    <m/>
    <m/>
    <m/>
    <m/>
    <m/>
    <m/>
    <m/>
    <m/>
    <m/>
    <m/>
    <m/>
    <m/>
    <m/>
    <m/>
    <m/>
    <m/>
    <m/>
    <m/>
    <m/>
    <m/>
    <m/>
    <m/>
    <m/>
    <m/>
    <m/>
    <m/>
    <m/>
  </r>
  <r>
    <n v="1261"/>
    <x v="0"/>
    <m/>
    <m/>
    <x v="0"/>
    <x v="0"/>
    <x v="0"/>
    <x v="0"/>
    <x v="0"/>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6">
  <r>
    <x v="0"/>
    <x v="0"/>
    <x v="0"/>
    <x v="0"/>
    <x v="0"/>
    <x v="0"/>
    <x v="0"/>
    <m/>
    <m/>
    <m/>
    <m/>
    <m/>
    <s v="ACTUAL"/>
    <s v="ACTUAL"/>
    <s v="ACTUAL"/>
    <s v="FORECAST"/>
    <s v="FORECAST"/>
    <s v="FORECAST"/>
    <s v="FORECAST"/>
    <s v="FORECAST"/>
    <s v="FORECAST"/>
    <s v="FORECAST"/>
    <m/>
    <m/>
    <m/>
    <x v="0"/>
    <x v="0"/>
    <m/>
    <x v="0"/>
    <m/>
    <m/>
    <m/>
  </r>
  <r>
    <x v="0"/>
    <x v="1"/>
    <x v="0"/>
    <x v="0"/>
    <x v="0"/>
    <x v="0"/>
    <x v="1"/>
    <m/>
    <m/>
    <m/>
    <m/>
    <s v="&lt;= 2022"/>
    <n v="2023"/>
    <n v="2024"/>
    <n v="2025"/>
    <n v="2025"/>
    <n v="2025"/>
    <n v="2026"/>
    <n v="2027"/>
    <n v="2028"/>
    <n v="2029"/>
    <n v="2030"/>
    <m/>
    <m/>
    <m/>
    <x v="0"/>
    <x v="0"/>
    <m/>
    <x v="0"/>
    <m/>
    <m/>
    <m/>
  </r>
  <r>
    <x v="1"/>
    <x v="2"/>
    <x v="0"/>
    <x v="0"/>
    <x v="0"/>
    <x v="0"/>
    <x v="2"/>
    <m/>
    <m/>
    <m/>
    <m/>
    <m/>
    <m/>
    <m/>
    <m/>
    <m/>
    <m/>
    <m/>
    <m/>
    <m/>
    <m/>
    <m/>
    <m/>
    <m/>
    <m/>
    <x v="0"/>
    <x v="0"/>
    <m/>
    <x v="0"/>
    <m/>
    <m/>
    <m/>
  </r>
  <r>
    <x v="1"/>
    <x v="2"/>
    <x v="0"/>
    <x v="0"/>
    <x v="0"/>
    <x v="0"/>
    <x v="2"/>
    <m/>
    <m/>
    <m/>
    <m/>
    <m/>
    <m/>
    <m/>
    <m/>
    <m/>
    <m/>
    <m/>
    <m/>
    <m/>
    <m/>
    <m/>
    <m/>
    <m/>
    <m/>
    <x v="0"/>
    <x v="0"/>
    <m/>
    <x v="0"/>
    <m/>
    <m/>
    <m/>
  </r>
  <r>
    <x v="1"/>
    <x v="3"/>
    <x v="1"/>
    <x v="1"/>
    <x v="1"/>
    <x v="1"/>
    <x v="3"/>
    <m/>
    <m/>
    <m/>
    <m/>
    <m/>
    <n v="0"/>
    <n v="0"/>
    <n v="0"/>
    <n v="0"/>
    <n v="0"/>
    <n v="0"/>
    <n v="0"/>
    <n v="0"/>
    <n v="0"/>
    <n v="0"/>
    <m/>
    <s v="CA ET MARGE BRUTE  |  VOLUME  |  PRODUIT 01"/>
    <m/>
    <x v="1"/>
    <x v="0"/>
    <m/>
    <x v="0"/>
    <n v="1"/>
    <n v="1"/>
    <m/>
  </r>
  <r>
    <x v="1"/>
    <x v="3"/>
    <x v="1"/>
    <x v="1"/>
    <x v="2"/>
    <x v="2"/>
    <x v="3"/>
    <m/>
    <m/>
    <m/>
    <m/>
    <m/>
    <n v="0"/>
    <n v="0"/>
    <n v="0"/>
    <n v="0"/>
    <n v="0"/>
    <n v="0"/>
    <n v="0"/>
    <n v="0"/>
    <n v="0"/>
    <n v="0"/>
    <m/>
    <s v="CA ET MARGE BRUTE  |  VOLUME  |  PRODUIT 02"/>
    <m/>
    <x v="1"/>
    <x v="0"/>
    <m/>
    <x v="0"/>
    <n v="1"/>
    <n v="1"/>
    <m/>
  </r>
  <r>
    <x v="1"/>
    <x v="3"/>
    <x v="1"/>
    <x v="1"/>
    <x v="3"/>
    <x v="3"/>
    <x v="3"/>
    <m/>
    <m/>
    <m/>
    <m/>
    <m/>
    <n v="0"/>
    <n v="0"/>
    <n v="0"/>
    <n v="0"/>
    <n v="0"/>
    <n v="0"/>
    <n v="0"/>
    <n v="0"/>
    <n v="0"/>
    <n v="0"/>
    <m/>
    <s v="CA ET MARGE BRUTE  |  VOLUME  |  PRODUIT 03"/>
    <m/>
    <x v="1"/>
    <x v="0"/>
    <m/>
    <x v="0"/>
    <n v="1"/>
    <n v="0"/>
    <m/>
  </r>
  <r>
    <x v="1"/>
    <x v="3"/>
    <x v="1"/>
    <x v="1"/>
    <x v="4"/>
    <x v="3"/>
    <x v="3"/>
    <m/>
    <m/>
    <m/>
    <m/>
    <m/>
    <n v="0"/>
    <n v="0"/>
    <n v="0"/>
    <n v="0"/>
    <n v="0"/>
    <n v="0"/>
    <n v="0"/>
    <n v="0"/>
    <n v="0"/>
    <n v="0"/>
    <m/>
    <s v="CA ET MARGE BRUTE  |  VOLUME  |  PRODUIT 04"/>
    <m/>
    <x v="1"/>
    <x v="0"/>
    <m/>
    <x v="0"/>
    <n v="1"/>
    <n v="0"/>
    <m/>
  </r>
  <r>
    <x v="1"/>
    <x v="3"/>
    <x v="1"/>
    <x v="1"/>
    <x v="5"/>
    <x v="3"/>
    <x v="3"/>
    <m/>
    <m/>
    <m/>
    <m/>
    <m/>
    <n v="0"/>
    <n v="0"/>
    <n v="0"/>
    <n v="0"/>
    <n v="0"/>
    <n v="0"/>
    <n v="0"/>
    <n v="0"/>
    <n v="0"/>
    <n v="0"/>
    <m/>
    <s v="CA ET MARGE BRUTE  |  VOLUME  |  PRODUIT 05"/>
    <m/>
    <x v="1"/>
    <x v="0"/>
    <m/>
    <x v="0"/>
    <n v="1"/>
    <n v="0"/>
    <m/>
  </r>
  <r>
    <x v="1"/>
    <x v="3"/>
    <x v="1"/>
    <x v="1"/>
    <x v="6"/>
    <x v="3"/>
    <x v="3"/>
    <m/>
    <m/>
    <m/>
    <m/>
    <m/>
    <n v="0"/>
    <n v="0"/>
    <n v="0"/>
    <n v="0"/>
    <n v="0"/>
    <n v="0"/>
    <n v="0"/>
    <n v="0"/>
    <n v="0"/>
    <n v="0"/>
    <m/>
    <s v="CA ET MARGE BRUTE  |  VOLUME  |  PRODUIT 06"/>
    <m/>
    <x v="1"/>
    <x v="0"/>
    <m/>
    <x v="0"/>
    <n v="1"/>
    <n v="0"/>
    <m/>
  </r>
  <r>
    <x v="1"/>
    <x v="3"/>
    <x v="1"/>
    <x v="1"/>
    <x v="7"/>
    <x v="3"/>
    <x v="3"/>
    <m/>
    <m/>
    <m/>
    <m/>
    <m/>
    <n v="0"/>
    <n v="0"/>
    <n v="0"/>
    <n v="0"/>
    <n v="0"/>
    <n v="0"/>
    <n v="0"/>
    <n v="0"/>
    <n v="0"/>
    <n v="0"/>
    <m/>
    <s v="CA ET MARGE BRUTE  |  VOLUME  |  PRODUIT 07"/>
    <m/>
    <x v="1"/>
    <x v="0"/>
    <m/>
    <x v="0"/>
    <n v="1"/>
    <n v="0"/>
    <m/>
  </r>
  <r>
    <x v="1"/>
    <x v="3"/>
    <x v="1"/>
    <x v="1"/>
    <x v="8"/>
    <x v="3"/>
    <x v="3"/>
    <m/>
    <m/>
    <m/>
    <m/>
    <m/>
    <n v="0"/>
    <n v="0"/>
    <n v="0"/>
    <n v="0"/>
    <n v="0"/>
    <n v="0"/>
    <n v="0"/>
    <n v="0"/>
    <n v="0"/>
    <n v="0"/>
    <m/>
    <s v="CA ET MARGE BRUTE  |  VOLUME  |  PRODUIT 08"/>
    <m/>
    <x v="1"/>
    <x v="0"/>
    <m/>
    <x v="0"/>
    <n v="1"/>
    <n v="0"/>
    <m/>
  </r>
  <r>
    <x v="1"/>
    <x v="3"/>
    <x v="1"/>
    <x v="1"/>
    <x v="9"/>
    <x v="3"/>
    <x v="3"/>
    <m/>
    <m/>
    <m/>
    <m/>
    <m/>
    <n v="0"/>
    <n v="0"/>
    <n v="0"/>
    <n v="0"/>
    <n v="0"/>
    <n v="0"/>
    <n v="0"/>
    <n v="0"/>
    <n v="0"/>
    <n v="0"/>
    <m/>
    <s v="CA ET MARGE BRUTE  |  VOLUME  |  PRODUIT 09"/>
    <m/>
    <x v="1"/>
    <x v="0"/>
    <m/>
    <x v="0"/>
    <n v="1"/>
    <n v="0"/>
    <m/>
  </r>
  <r>
    <x v="1"/>
    <x v="3"/>
    <x v="1"/>
    <x v="1"/>
    <x v="10"/>
    <x v="3"/>
    <x v="3"/>
    <m/>
    <m/>
    <m/>
    <m/>
    <m/>
    <n v="0"/>
    <n v="0"/>
    <n v="0"/>
    <n v="0"/>
    <n v="0"/>
    <n v="0"/>
    <n v="0"/>
    <n v="0"/>
    <n v="0"/>
    <n v="0"/>
    <m/>
    <s v="CA ET MARGE BRUTE  |  VOLUME  |  PRODUIT 10"/>
    <m/>
    <x v="1"/>
    <x v="0"/>
    <m/>
    <x v="0"/>
    <n v="1"/>
    <n v="0"/>
    <m/>
  </r>
  <r>
    <x v="1"/>
    <x v="3"/>
    <x v="1"/>
    <x v="1"/>
    <x v="11"/>
    <x v="3"/>
    <x v="3"/>
    <m/>
    <m/>
    <m/>
    <m/>
    <m/>
    <n v="0"/>
    <n v="0"/>
    <n v="0"/>
    <n v="0"/>
    <n v="0"/>
    <n v="0"/>
    <n v="0"/>
    <n v="0"/>
    <n v="0"/>
    <n v="0"/>
    <m/>
    <s v="CA ET MARGE BRUTE  |  VOLUME  |  PRODUIT 11"/>
    <m/>
    <x v="1"/>
    <x v="0"/>
    <m/>
    <x v="0"/>
    <n v="1"/>
    <n v="0"/>
    <m/>
  </r>
  <r>
    <x v="1"/>
    <x v="3"/>
    <x v="1"/>
    <x v="1"/>
    <x v="12"/>
    <x v="3"/>
    <x v="3"/>
    <m/>
    <m/>
    <m/>
    <m/>
    <m/>
    <n v="0"/>
    <n v="0"/>
    <n v="0"/>
    <n v="0"/>
    <n v="0"/>
    <n v="0"/>
    <n v="0"/>
    <n v="0"/>
    <n v="0"/>
    <n v="0"/>
    <m/>
    <s v="CA ET MARGE BRUTE  |  VOLUME  |  PRODUIT 12"/>
    <m/>
    <x v="1"/>
    <x v="0"/>
    <m/>
    <x v="0"/>
    <n v="1"/>
    <n v="0"/>
    <m/>
  </r>
  <r>
    <x v="1"/>
    <x v="3"/>
    <x v="1"/>
    <x v="1"/>
    <x v="13"/>
    <x v="3"/>
    <x v="3"/>
    <m/>
    <m/>
    <m/>
    <m/>
    <m/>
    <n v="0"/>
    <n v="0"/>
    <n v="0"/>
    <n v="0"/>
    <n v="0"/>
    <n v="0"/>
    <n v="0"/>
    <n v="0"/>
    <n v="0"/>
    <n v="0"/>
    <m/>
    <s v="CA ET MARGE BRUTE  |  VOLUME  |  PRODUIT 13"/>
    <m/>
    <x v="1"/>
    <x v="0"/>
    <m/>
    <x v="0"/>
    <n v="1"/>
    <n v="0"/>
    <m/>
  </r>
  <r>
    <x v="1"/>
    <x v="3"/>
    <x v="1"/>
    <x v="1"/>
    <x v="14"/>
    <x v="3"/>
    <x v="3"/>
    <m/>
    <m/>
    <m/>
    <m/>
    <m/>
    <n v="0"/>
    <n v="0"/>
    <n v="0"/>
    <n v="0"/>
    <n v="0"/>
    <n v="0"/>
    <n v="0"/>
    <n v="0"/>
    <n v="0"/>
    <n v="0"/>
    <m/>
    <s v="CA ET MARGE BRUTE  |  VOLUME  |  PRODUIT 14"/>
    <m/>
    <x v="1"/>
    <x v="0"/>
    <m/>
    <x v="0"/>
    <n v="1"/>
    <n v="0"/>
    <m/>
  </r>
  <r>
    <x v="1"/>
    <x v="3"/>
    <x v="1"/>
    <x v="1"/>
    <x v="15"/>
    <x v="3"/>
    <x v="3"/>
    <m/>
    <m/>
    <m/>
    <m/>
    <m/>
    <n v="0"/>
    <n v="0"/>
    <n v="0"/>
    <n v="0"/>
    <n v="0"/>
    <n v="0"/>
    <n v="0"/>
    <n v="0"/>
    <n v="0"/>
    <n v="0"/>
    <m/>
    <s v="CA ET MARGE BRUTE  |  VOLUME  |  PRODUIT 15"/>
    <m/>
    <x v="1"/>
    <x v="0"/>
    <m/>
    <x v="0"/>
    <n v="1"/>
    <n v="0"/>
    <m/>
  </r>
  <r>
    <x v="1"/>
    <x v="3"/>
    <x v="1"/>
    <x v="1"/>
    <x v="16"/>
    <x v="3"/>
    <x v="3"/>
    <m/>
    <m/>
    <m/>
    <m/>
    <m/>
    <n v="0"/>
    <n v="0"/>
    <n v="0"/>
    <n v="0"/>
    <n v="0"/>
    <n v="0"/>
    <n v="0"/>
    <n v="0"/>
    <n v="0"/>
    <n v="0"/>
    <m/>
    <s v="CA ET MARGE BRUTE  |  VOLUME  |  PRODUIT 16"/>
    <m/>
    <x v="1"/>
    <x v="0"/>
    <m/>
    <x v="0"/>
    <n v="1"/>
    <n v="0"/>
    <m/>
  </r>
  <r>
    <x v="1"/>
    <x v="3"/>
    <x v="1"/>
    <x v="1"/>
    <x v="17"/>
    <x v="3"/>
    <x v="3"/>
    <m/>
    <m/>
    <m/>
    <m/>
    <m/>
    <n v="0"/>
    <n v="0"/>
    <n v="0"/>
    <n v="0"/>
    <n v="0"/>
    <n v="0"/>
    <n v="0"/>
    <n v="0"/>
    <n v="0"/>
    <n v="0"/>
    <m/>
    <s v="CA ET MARGE BRUTE  |  VOLUME  |  PRODUIT 17"/>
    <m/>
    <x v="1"/>
    <x v="0"/>
    <m/>
    <x v="0"/>
    <n v="1"/>
    <n v="0"/>
    <m/>
  </r>
  <r>
    <x v="1"/>
    <x v="3"/>
    <x v="1"/>
    <x v="1"/>
    <x v="18"/>
    <x v="3"/>
    <x v="3"/>
    <m/>
    <m/>
    <m/>
    <m/>
    <m/>
    <n v="0"/>
    <n v="0"/>
    <n v="0"/>
    <n v="0"/>
    <n v="0"/>
    <n v="0"/>
    <n v="0"/>
    <n v="0"/>
    <n v="0"/>
    <n v="0"/>
    <m/>
    <s v="CA ET MARGE BRUTE  |  VOLUME  |  PRODUIT 18"/>
    <m/>
    <x v="1"/>
    <x v="0"/>
    <m/>
    <x v="0"/>
    <n v="1"/>
    <n v="0"/>
    <m/>
  </r>
  <r>
    <x v="1"/>
    <x v="3"/>
    <x v="1"/>
    <x v="1"/>
    <x v="19"/>
    <x v="3"/>
    <x v="3"/>
    <m/>
    <m/>
    <m/>
    <m/>
    <m/>
    <n v="0"/>
    <n v="0"/>
    <n v="0"/>
    <n v="0"/>
    <n v="0"/>
    <n v="0"/>
    <n v="0"/>
    <n v="0"/>
    <n v="0"/>
    <n v="0"/>
    <m/>
    <s v="CA ET MARGE BRUTE  |  VOLUME  |  PRODUIT 19"/>
    <m/>
    <x v="1"/>
    <x v="0"/>
    <m/>
    <x v="0"/>
    <n v="1"/>
    <n v="0"/>
    <m/>
  </r>
  <r>
    <x v="1"/>
    <x v="3"/>
    <x v="1"/>
    <x v="1"/>
    <x v="20"/>
    <x v="3"/>
    <x v="3"/>
    <m/>
    <m/>
    <m/>
    <m/>
    <m/>
    <n v="0"/>
    <n v="0"/>
    <n v="0"/>
    <n v="0"/>
    <n v="0"/>
    <n v="0"/>
    <n v="0"/>
    <n v="0"/>
    <n v="0"/>
    <n v="0"/>
    <m/>
    <s v="CA ET MARGE BRUTE  |  VOLUME  |  PRODUIT 20"/>
    <m/>
    <x v="1"/>
    <x v="0"/>
    <m/>
    <x v="0"/>
    <n v="1"/>
    <n v="0"/>
    <m/>
  </r>
  <r>
    <x v="1"/>
    <x v="3"/>
    <x v="1"/>
    <x v="1"/>
    <x v="21"/>
    <x v="4"/>
    <x v="2"/>
    <m/>
    <m/>
    <m/>
    <m/>
    <m/>
    <n v="0"/>
    <n v="0"/>
    <n v="0"/>
    <n v="0"/>
    <n v="0"/>
    <n v="0"/>
    <n v="0"/>
    <n v="0"/>
    <n v="0"/>
    <n v="0"/>
    <m/>
    <s v="CA ET MARGE BRUTE  |  VOLUME  |  PRODUIT"/>
    <b v="1"/>
    <x v="1"/>
    <x v="1"/>
    <m/>
    <x v="0"/>
    <n v="1"/>
    <m/>
    <m/>
  </r>
  <r>
    <x v="1"/>
    <x v="2"/>
    <x v="0"/>
    <x v="0"/>
    <x v="0"/>
    <x v="0"/>
    <x v="2"/>
    <m/>
    <m/>
    <m/>
    <m/>
    <m/>
    <m/>
    <m/>
    <m/>
    <m/>
    <m/>
    <m/>
    <m/>
    <m/>
    <m/>
    <m/>
    <m/>
    <m/>
    <m/>
    <x v="0"/>
    <x v="0"/>
    <m/>
    <x v="0"/>
    <m/>
    <m/>
    <m/>
  </r>
  <r>
    <x v="1"/>
    <x v="3"/>
    <x v="2"/>
    <x v="2"/>
    <x v="1"/>
    <x v="1"/>
    <x v="3"/>
    <m/>
    <m/>
    <m/>
    <m/>
    <m/>
    <n v="0"/>
    <n v="0"/>
    <n v="0"/>
    <n v="0"/>
    <n v="0"/>
    <n v="0"/>
    <n v="0"/>
    <n v="0"/>
    <n v="0"/>
    <n v="0"/>
    <m/>
    <s v="CA ET MARGE BRUTE  |  PRIX MOYEN DE VENTE PAR PRODUIT/SERVICE  |  PRODUIT 01"/>
    <m/>
    <x v="1"/>
    <x v="0"/>
    <m/>
    <x v="0"/>
    <n v="1"/>
    <n v="1"/>
    <m/>
  </r>
  <r>
    <x v="1"/>
    <x v="3"/>
    <x v="2"/>
    <x v="2"/>
    <x v="2"/>
    <x v="2"/>
    <x v="3"/>
    <m/>
    <m/>
    <m/>
    <m/>
    <m/>
    <n v="0"/>
    <n v="0"/>
    <n v="0"/>
    <n v="0"/>
    <n v="0"/>
    <n v="0"/>
    <n v="0"/>
    <n v="0"/>
    <n v="0"/>
    <n v="0"/>
    <m/>
    <s v="CA ET MARGE BRUTE  |  PRIX MOYEN DE VENTE PAR PRODUIT/SERVICE  |  PRODUIT 02"/>
    <m/>
    <x v="1"/>
    <x v="0"/>
    <m/>
    <x v="0"/>
    <n v="1"/>
    <n v="1"/>
    <m/>
  </r>
  <r>
    <x v="1"/>
    <x v="3"/>
    <x v="2"/>
    <x v="2"/>
    <x v="3"/>
    <x v="3"/>
    <x v="3"/>
    <m/>
    <m/>
    <m/>
    <m/>
    <m/>
    <n v="0"/>
    <n v="0"/>
    <n v="0"/>
    <n v="0"/>
    <n v="0"/>
    <n v="0"/>
    <n v="0"/>
    <n v="0"/>
    <n v="0"/>
    <n v="0"/>
    <m/>
    <s v="CA ET MARGE BRUTE  |  PRIX MOYEN DE VENTE PAR PRODUIT/SERVICE  |  PRODUIT 03"/>
    <m/>
    <x v="1"/>
    <x v="0"/>
    <m/>
    <x v="0"/>
    <n v="1"/>
    <n v="0"/>
    <m/>
  </r>
  <r>
    <x v="1"/>
    <x v="3"/>
    <x v="2"/>
    <x v="2"/>
    <x v="4"/>
    <x v="3"/>
    <x v="3"/>
    <m/>
    <m/>
    <m/>
    <m/>
    <m/>
    <n v="0"/>
    <n v="0"/>
    <n v="0"/>
    <n v="0"/>
    <n v="0"/>
    <n v="0"/>
    <n v="0"/>
    <n v="0"/>
    <n v="0"/>
    <n v="0"/>
    <m/>
    <s v="CA ET MARGE BRUTE  |  PRIX MOYEN DE VENTE PAR PRODUIT/SERVICE  |  PRODUIT 04"/>
    <m/>
    <x v="1"/>
    <x v="0"/>
    <m/>
    <x v="0"/>
    <n v="1"/>
    <n v="0"/>
    <m/>
  </r>
  <r>
    <x v="1"/>
    <x v="3"/>
    <x v="2"/>
    <x v="2"/>
    <x v="5"/>
    <x v="3"/>
    <x v="3"/>
    <m/>
    <m/>
    <m/>
    <m/>
    <m/>
    <n v="0"/>
    <n v="0"/>
    <n v="0"/>
    <n v="0"/>
    <n v="0"/>
    <n v="0"/>
    <n v="0"/>
    <n v="0"/>
    <n v="0"/>
    <n v="0"/>
    <m/>
    <s v="CA ET MARGE BRUTE  |  PRIX MOYEN DE VENTE PAR PRODUIT/SERVICE  |  PRODUIT 05"/>
    <m/>
    <x v="1"/>
    <x v="0"/>
    <m/>
    <x v="0"/>
    <n v="1"/>
    <n v="0"/>
    <m/>
  </r>
  <r>
    <x v="1"/>
    <x v="3"/>
    <x v="2"/>
    <x v="2"/>
    <x v="6"/>
    <x v="3"/>
    <x v="3"/>
    <m/>
    <m/>
    <m/>
    <m/>
    <m/>
    <n v="0"/>
    <n v="0"/>
    <n v="0"/>
    <n v="0"/>
    <n v="0"/>
    <n v="0"/>
    <n v="0"/>
    <n v="0"/>
    <n v="0"/>
    <n v="0"/>
    <m/>
    <s v="CA ET MARGE BRUTE  |  PRIX MOYEN DE VENTE PAR PRODUIT/SERVICE  |  PRODUIT 06"/>
    <m/>
    <x v="1"/>
    <x v="0"/>
    <m/>
    <x v="0"/>
    <n v="1"/>
    <n v="0"/>
    <m/>
  </r>
  <r>
    <x v="1"/>
    <x v="3"/>
    <x v="2"/>
    <x v="2"/>
    <x v="7"/>
    <x v="3"/>
    <x v="3"/>
    <m/>
    <m/>
    <m/>
    <m/>
    <m/>
    <n v="0"/>
    <n v="0"/>
    <n v="0"/>
    <n v="0"/>
    <n v="0"/>
    <n v="0"/>
    <n v="0"/>
    <n v="0"/>
    <n v="0"/>
    <n v="0"/>
    <m/>
    <s v="CA ET MARGE BRUTE  |  PRIX MOYEN DE VENTE PAR PRODUIT/SERVICE  |  PRODUIT 07"/>
    <m/>
    <x v="1"/>
    <x v="0"/>
    <m/>
    <x v="0"/>
    <n v="1"/>
    <n v="0"/>
    <m/>
  </r>
  <r>
    <x v="1"/>
    <x v="3"/>
    <x v="2"/>
    <x v="2"/>
    <x v="8"/>
    <x v="3"/>
    <x v="3"/>
    <m/>
    <m/>
    <m/>
    <m/>
    <m/>
    <n v="0"/>
    <n v="0"/>
    <n v="0"/>
    <n v="0"/>
    <n v="0"/>
    <n v="0"/>
    <n v="0"/>
    <n v="0"/>
    <n v="0"/>
    <n v="0"/>
    <m/>
    <s v="CA ET MARGE BRUTE  |  PRIX MOYEN DE VENTE PAR PRODUIT/SERVICE  |  PRODUIT 08"/>
    <m/>
    <x v="1"/>
    <x v="0"/>
    <m/>
    <x v="0"/>
    <n v="1"/>
    <n v="0"/>
    <m/>
  </r>
  <r>
    <x v="1"/>
    <x v="3"/>
    <x v="2"/>
    <x v="2"/>
    <x v="9"/>
    <x v="3"/>
    <x v="3"/>
    <m/>
    <m/>
    <m/>
    <m/>
    <m/>
    <n v="0"/>
    <n v="0"/>
    <n v="0"/>
    <n v="0"/>
    <n v="0"/>
    <n v="0"/>
    <n v="0"/>
    <n v="0"/>
    <n v="0"/>
    <n v="0"/>
    <m/>
    <s v="CA ET MARGE BRUTE  |  PRIX MOYEN DE VENTE PAR PRODUIT/SERVICE  |  PRODUIT 09"/>
    <m/>
    <x v="1"/>
    <x v="0"/>
    <m/>
    <x v="0"/>
    <n v="1"/>
    <n v="0"/>
    <m/>
  </r>
  <r>
    <x v="1"/>
    <x v="3"/>
    <x v="2"/>
    <x v="2"/>
    <x v="10"/>
    <x v="3"/>
    <x v="3"/>
    <m/>
    <m/>
    <m/>
    <m/>
    <m/>
    <n v="0"/>
    <n v="0"/>
    <n v="0"/>
    <n v="0"/>
    <n v="0"/>
    <n v="0"/>
    <n v="0"/>
    <n v="0"/>
    <n v="0"/>
    <n v="0"/>
    <m/>
    <s v="CA ET MARGE BRUTE  |  PRIX MOYEN DE VENTE PAR PRODUIT/SERVICE  |  PRODUIT 10"/>
    <m/>
    <x v="1"/>
    <x v="0"/>
    <m/>
    <x v="0"/>
    <n v="1"/>
    <n v="0"/>
    <m/>
  </r>
  <r>
    <x v="1"/>
    <x v="3"/>
    <x v="2"/>
    <x v="2"/>
    <x v="11"/>
    <x v="3"/>
    <x v="3"/>
    <m/>
    <m/>
    <m/>
    <m/>
    <m/>
    <n v="0"/>
    <n v="0"/>
    <n v="0"/>
    <n v="0"/>
    <n v="0"/>
    <n v="0"/>
    <n v="0"/>
    <n v="0"/>
    <n v="0"/>
    <n v="0"/>
    <m/>
    <s v="CA ET MARGE BRUTE  |  PRIX MOYEN DE VENTE PAR PRODUIT/SERVICE  |  PRODUIT 11"/>
    <m/>
    <x v="1"/>
    <x v="0"/>
    <m/>
    <x v="0"/>
    <n v="1"/>
    <n v="0"/>
    <m/>
  </r>
  <r>
    <x v="1"/>
    <x v="3"/>
    <x v="2"/>
    <x v="2"/>
    <x v="12"/>
    <x v="3"/>
    <x v="3"/>
    <m/>
    <m/>
    <m/>
    <m/>
    <m/>
    <n v="0"/>
    <n v="0"/>
    <n v="0"/>
    <n v="0"/>
    <n v="0"/>
    <n v="0"/>
    <n v="0"/>
    <n v="0"/>
    <n v="0"/>
    <n v="0"/>
    <m/>
    <s v="CA ET MARGE BRUTE  |  PRIX MOYEN DE VENTE PAR PRODUIT/SERVICE  |  PRODUIT 12"/>
    <m/>
    <x v="1"/>
    <x v="0"/>
    <m/>
    <x v="0"/>
    <n v="1"/>
    <n v="0"/>
    <m/>
  </r>
  <r>
    <x v="1"/>
    <x v="3"/>
    <x v="2"/>
    <x v="2"/>
    <x v="13"/>
    <x v="3"/>
    <x v="3"/>
    <m/>
    <m/>
    <m/>
    <m/>
    <m/>
    <n v="0"/>
    <n v="0"/>
    <n v="0"/>
    <n v="0"/>
    <n v="0"/>
    <n v="0"/>
    <n v="0"/>
    <n v="0"/>
    <n v="0"/>
    <n v="0"/>
    <m/>
    <s v="CA ET MARGE BRUTE  |  PRIX MOYEN DE VENTE PAR PRODUIT/SERVICE  |  PRODUIT 13"/>
    <m/>
    <x v="1"/>
    <x v="0"/>
    <m/>
    <x v="0"/>
    <n v="1"/>
    <n v="0"/>
    <m/>
  </r>
  <r>
    <x v="1"/>
    <x v="3"/>
    <x v="2"/>
    <x v="2"/>
    <x v="14"/>
    <x v="3"/>
    <x v="3"/>
    <m/>
    <m/>
    <m/>
    <m/>
    <m/>
    <n v="0"/>
    <n v="0"/>
    <n v="0"/>
    <n v="0"/>
    <n v="0"/>
    <n v="0"/>
    <n v="0"/>
    <n v="0"/>
    <n v="0"/>
    <n v="0"/>
    <m/>
    <s v="CA ET MARGE BRUTE  |  PRIX MOYEN DE VENTE PAR PRODUIT/SERVICE  |  PRODUIT 14"/>
    <m/>
    <x v="1"/>
    <x v="0"/>
    <m/>
    <x v="0"/>
    <n v="1"/>
    <n v="0"/>
    <m/>
  </r>
  <r>
    <x v="1"/>
    <x v="3"/>
    <x v="2"/>
    <x v="2"/>
    <x v="15"/>
    <x v="3"/>
    <x v="3"/>
    <m/>
    <m/>
    <m/>
    <m/>
    <m/>
    <n v="0"/>
    <n v="0"/>
    <n v="0"/>
    <n v="0"/>
    <n v="0"/>
    <n v="0"/>
    <n v="0"/>
    <n v="0"/>
    <n v="0"/>
    <n v="0"/>
    <m/>
    <s v="CA ET MARGE BRUTE  |  PRIX MOYEN DE VENTE PAR PRODUIT/SERVICE  |  PRODUIT 15"/>
    <m/>
    <x v="1"/>
    <x v="0"/>
    <m/>
    <x v="0"/>
    <n v="1"/>
    <n v="0"/>
    <m/>
  </r>
  <r>
    <x v="1"/>
    <x v="3"/>
    <x v="2"/>
    <x v="2"/>
    <x v="16"/>
    <x v="3"/>
    <x v="3"/>
    <m/>
    <m/>
    <m/>
    <m/>
    <m/>
    <n v="0"/>
    <n v="0"/>
    <n v="0"/>
    <n v="0"/>
    <n v="0"/>
    <n v="0"/>
    <n v="0"/>
    <n v="0"/>
    <n v="0"/>
    <n v="0"/>
    <m/>
    <s v="CA ET MARGE BRUTE  |  PRIX MOYEN DE VENTE PAR PRODUIT/SERVICE  |  PRODUIT 16"/>
    <m/>
    <x v="1"/>
    <x v="0"/>
    <m/>
    <x v="0"/>
    <n v="1"/>
    <n v="0"/>
    <m/>
  </r>
  <r>
    <x v="1"/>
    <x v="3"/>
    <x v="2"/>
    <x v="2"/>
    <x v="17"/>
    <x v="3"/>
    <x v="3"/>
    <m/>
    <m/>
    <m/>
    <m/>
    <m/>
    <n v="0"/>
    <n v="0"/>
    <n v="0"/>
    <n v="0"/>
    <n v="0"/>
    <n v="0"/>
    <n v="0"/>
    <n v="0"/>
    <n v="0"/>
    <n v="0"/>
    <m/>
    <s v="CA ET MARGE BRUTE  |  PRIX MOYEN DE VENTE PAR PRODUIT/SERVICE  |  PRODUIT 17"/>
    <m/>
    <x v="1"/>
    <x v="0"/>
    <m/>
    <x v="0"/>
    <n v="1"/>
    <n v="0"/>
    <m/>
  </r>
  <r>
    <x v="1"/>
    <x v="3"/>
    <x v="2"/>
    <x v="2"/>
    <x v="18"/>
    <x v="3"/>
    <x v="3"/>
    <m/>
    <m/>
    <m/>
    <m/>
    <m/>
    <n v="0"/>
    <n v="0"/>
    <n v="0"/>
    <n v="0"/>
    <n v="0"/>
    <n v="0"/>
    <n v="0"/>
    <n v="0"/>
    <n v="0"/>
    <n v="0"/>
    <m/>
    <s v="CA ET MARGE BRUTE  |  PRIX MOYEN DE VENTE PAR PRODUIT/SERVICE  |  PRODUIT 18"/>
    <m/>
    <x v="1"/>
    <x v="0"/>
    <m/>
    <x v="0"/>
    <n v="1"/>
    <n v="0"/>
    <m/>
  </r>
  <r>
    <x v="1"/>
    <x v="3"/>
    <x v="2"/>
    <x v="2"/>
    <x v="19"/>
    <x v="3"/>
    <x v="3"/>
    <m/>
    <m/>
    <m/>
    <m/>
    <m/>
    <n v="0"/>
    <n v="0"/>
    <n v="0"/>
    <n v="0"/>
    <n v="0"/>
    <n v="0"/>
    <n v="0"/>
    <n v="0"/>
    <n v="0"/>
    <n v="0"/>
    <m/>
    <s v="CA ET MARGE BRUTE  |  PRIX MOYEN DE VENTE PAR PRODUIT/SERVICE  |  PRODUIT 19"/>
    <m/>
    <x v="1"/>
    <x v="0"/>
    <m/>
    <x v="0"/>
    <n v="1"/>
    <n v="0"/>
    <m/>
  </r>
  <r>
    <x v="1"/>
    <x v="3"/>
    <x v="2"/>
    <x v="2"/>
    <x v="20"/>
    <x v="3"/>
    <x v="3"/>
    <m/>
    <m/>
    <m/>
    <m/>
    <m/>
    <n v="0"/>
    <n v="0"/>
    <n v="0"/>
    <n v="0"/>
    <n v="0"/>
    <n v="0"/>
    <n v="0"/>
    <n v="0"/>
    <n v="0"/>
    <n v="0"/>
    <m/>
    <s v="CA ET MARGE BRUTE  |  PRIX MOYEN DE VENTE PAR PRODUIT/SERVICE  |  PRODUIT 20"/>
    <m/>
    <x v="1"/>
    <x v="0"/>
    <m/>
    <x v="0"/>
    <n v="1"/>
    <n v="0"/>
    <m/>
  </r>
  <r>
    <x v="1"/>
    <x v="3"/>
    <x v="2"/>
    <x v="2"/>
    <x v="21"/>
    <x v="5"/>
    <x v="2"/>
    <m/>
    <m/>
    <m/>
    <m/>
    <m/>
    <n v="0"/>
    <n v="0"/>
    <n v="0"/>
    <n v="0"/>
    <n v="0"/>
    <n v="0"/>
    <n v="0"/>
    <n v="0"/>
    <n v="0"/>
    <n v="0"/>
    <m/>
    <s v="CA ET MARGE BRUTE  |  PRIX MOYEN DE VENTE PAR PRODUIT/SERVICE  |  PRODUIT"/>
    <m/>
    <x v="1"/>
    <x v="1"/>
    <m/>
    <x v="0"/>
    <n v="1"/>
    <m/>
    <m/>
  </r>
  <r>
    <x v="1"/>
    <x v="2"/>
    <x v="0"/>
    <x v="0"/>
    <x v="0"/>
    <x v="0"/>
    <x v="2"/>
    <m/>
    <m/>
    <m/>
    <m/>
    <m/>
    <m/>
    <m/>
    <m/>
    <m/>
    <m/>
    <m/>
    <m/>
    <m/>
    <m/>
    <m/>
    <m/>
    <m/>
    <m/>
    <x v="0"/>
    <x v="0"/>
    <m/>
    <x v="0"/>
    <m/>
    <m/>
    <m/>
  </r>
  <r>
    <x v="1"/>
    <x v="3"/>
    <x v="3"/>
    <x v="2"/>
    <x v="1"/>
    <x v="1"/>
    <x v="3"/>
    <m/>
    <m/>
    <m/>
    <m/>
    <m/>
    <n v="0"/>
    <n v="0"/>
    <n v="0"/>
    <n v="0"/>
    <n v="0"/>
    <n v="0"/>
    <n v="0"/>
    <n v="0"/>
    <n v="0"/>
    <n v="0"/>
    <m/>
    <s v="CA ET MARGE BRUTE  |  REVENUS PRODUITS  |  PRODUIT 01"/>
    <m/>
    <x v="1"/>
    <x v="0"/>
    <m/>
    <x v="0"/>
    <n v="1"/>
    <n v="1"/>
    <m/>
  </r>
  <r>
    <x v="1"/>
    <x v="3"/>
    <x v="3"/>
    <x v="2"/>
    <x v="2"/>
    <x v="2"/>
    <x v="3"/>
    <m/>
    <m/>
    <m/>
    <m/>
    <m/>
    <n v="0"/>
    <n v="0"/>
    <n v="0"/>
    <n v="0"/>
    <n v="0"/>
    <n v="0"/>
    <n v="0"/>
    <n v="0"/>
    <n v="0"/>
    <n v="0"/>
    <m/>
    <s v="CA ET MARGE BRUTE  |  REVENUS PRODUITS  |  PRODUIT 02"/>
    <m/>
    <x v="1"/>
    <x v="0"/>
    <m/>
    <x v="0"/>
    <n v="1"/>
    <n v="1"/>
    <m/>
  </r>
  <r>
    <x v="1"/>
    <x v="3"/>
    <x v="3"/>
    <x v="2"/>
    <x v="3"/>
    <x v="3"/>
    <x v="3"/>
    <m/>
    <m/>
    <m/>
    <m/>
    <m/>
    <n v="0"/>
    <n v="0"/>
    <n v="0"/>
    <n v="0"/>
    <n v="0"/>
    <n v="0"/>
    <n v="0"/>
    <n v="0"/>
    <n v="0"/>
    <n v="0"/>
    <m/>
    <s v="CA ET MARGE BRUTE  |  REVENUS PRODUITS  |  PRODUIT 03"/>
    <m/>
    <x v="1"/>
    <x v="0"/>
    <m/>
    <x v="0"/>
    <n v="1"/>
    <n v="0"/>
    <m/>
  </r>
  <r>
    <x v="1"/>
    <x v="3"/>
    <x v="3"/>
    <x v="2"/>
    <x v="4"/>
    <x v="3"/>
    <x v="3"/>
    <m/>
    <m/>
    <m/>
    <m/>
    <m/>
    <n v="0"/>
    <n v="0"/>
    <n v="0"/>
    <n v="0"/>
    <n v="0"/>
    <n v="0"/>
    <n v="0"/>
    <n v="0"/>
    <n v="0"/>
    <n v="0"/>
    <m/>
    <s v="CA ET MARGE BRUTE  |  REVENUS PRODUITS  |  PRODUIT 04"/>
    <m/>
    <x v="1"/>
    <x v="0"/>
    <m/>
    <x v="0"/>
    <n v="1"/>
    <n v="0"/>
    <m/>
  </r>
  <r>
    <x v="1"/>
    <x v="3"/>
    <x v="3"/>
    <x v="2"/>
    <x v="5"/>
    <x v="3"/>
    <x v="3"/>
    <m/>
    <m/>
    <m/>
    <m/>
    <m/>
    <n v="0"/>
    <n v="0"/>
    <n v="0"/>
    <n v="0"/>
    <n v="0"/>
    <n v="0"/>
    <n v="0"/>
    <n v="0"/>
    <n v="0"/>
    <n v="0"/>
    <m/>
    <s v="CA ET MARGE BRUTE  |  REVENUS PRODUITS  |  PRODUIT 05"/>
    <m/>
    <x v="1"/>
    <x v="0"/>
    <m/>
    <x v="0"/>
    <n v="1"/>
    <n v="0"/>
    <m/>
  </r>
  <r>
    <x v="1"/>
    <x v="3"/>
    <x v="3"/>
    <x v="2"/>
    <x v="6"/>
    <x v="3"/>
    <x v="3"/>
    <m/>
    <m/>
    <m/>
    <m/>
    <m/>
    <n v="0"/>
    <n v="0"/>
    <n v="0"/>
    <n v="0"/>
    <n v="0"/>
    <n v="0"/>
    <n v="0"/>
    <n v="0"/>
    <n v="0"/>
    <n v="0"/>
    <m/>
    <s v="CA ET MARGE BRUTE  |  REVENUS PRODUITS  |  PRODUIT 06"/>
    <m/>
    <x v="1"/>
    <x v="0"/>
    <m/>
    <x v="0"/>
    <n v="1"/>
    <n v="0"/>
    <m/>
  </r>
  <r>
    <x v="1"/>
    <x v="3"/>
    <x v="3"/>
    <x v="2"/>
    <x v="7"/>
    <x v="3"/>
    <x v="3"/>
    <m/>
    <m/>
    <m/>
    <m/>
    <m/>
    <n v="0"/>
    <n v="0"/>
    <n v="0"/>
    <n v="0"/>
    <n v="0"/>
    <n v="0"/>
    <n v="0"/>
    <n v="0"/>
    <n v="0"/>
    <n v="0"/>
    <m/>
    <s v="CA ET MARGE BRUTE  |  REVENUS PRODUITS  |  PRODUIT 07"/>
    <m/>
    <x v="1"/>
    <x v="0"/>
    <m/>
    <x v="0"/>
    <n v="1"/>
    <n v="0"/>
    <m/>
  </r>
  <r>
    <x v="1"/>
    <x v="3"/>
    <x v="3"/>
    <x v="2"/>
    <x v="8"/>
    <x v="3"/>
    <x v="3"/>
    <m/>
    <m/>
    <m/>
    <m/>
    <m/>
    <n v="0"/>
    <n v="0"/>
    <n v="0"/>
    <n v="0"/>
    <n v="0"/>
    <n v="0"/>
    <n v="0"/>
    <n v="0"/>
    <n v="0"/>
    <n v="0"/>
    <m/>
    <s v="CA ET MARGE BRUTE  |  REVENUS PRODUITS  |  PRODUIT 08"/>
    <m/>
    <x v="1"/>
    <x v="0"/>
    <m/>
    <x v="0"/>
    <n v="1"/>
    <n v="0"/>
    <m/>
  </r>
  <r>
    <x v="1"/>
    <x v="3"/>
    <x v="3"/>
    <x v="2"/>
    <x v="9"/>
    <x v="3"/>
    <x v="3"/>
    <m/>
    <m/>
    <m/>
    <m/>
    <m/>
    <n v="0"/>
    <n v="0"/>
    <n v="0"/>
    <n v="0"/>
    <n v="0"/>
    <n v="0"/>
    <n v="0"/>
    <n v="0"/>
    <n v="0"/>
    <n v="0"/>
    <m/>
    <s v="CA ET MARGE BRUTE  |  REVENUS PRODUITS  |  PRODUIT 09"/>
    <m/>
    <x v="1"/>
    <x v="0"/>
    <m/>
    <x v="0"/>
    <n v="1"/>
    <n v="0"/>
    <m/>
  </r>
  <r>
    <x v="1"/>
    <x v="3"/>
    <x v="3"/>
    <x v="2"/>
    <x v="10"/>
    <x v="3"/>
    <x v="3"/>
    <m/>
    <m/>
    <m/>
    <m/>
    <m/>
    <n v="0"/>
    <n v="0"/>
    <n v="0"/>
    <n v="0"/>
    <n v="0"/>
    <n v="0"/>
    <n v="0"/>
    <n v="0"/>
    <n v="0"/>
    <n v="0"/>
    <m/>
    <s v="CA ET MARGE BRUTE  |  REVENUS PRODUITS  |  PRODUIT 10"/>
    <m/>
    <x v="1"/>
    <x v="0"/>
    <m/>
    <x v="0"/>
    <n v="1"/>
    <n v="0"/>
    <m/>
  </r>
  <r>
    <x v="1"/>
    <x v="3"/>
    <x v="3"/>
    <x v="2"/>
    <x v="11"/>
    <x v="3"/>
    <x v="3"/>
    <m/>
    <m/>
    <m/>
    <m/>
    <m/>
    <n v="0"/>
    <n v="0"/>
    <n v="0"/>
    <n v="0"/>
    <n v="0"/>
    <n v="0"/>
    <n v="0"/>
    <n v="0"/>
    <n v="0"/>
    <n v="0"/>
    <m/>
    <s v="CA ET MARGE BRUTE  |  REVENUS PRODUITS  |  PRODUIT 11"/>
    <m/>
    <x v="1"/>
    <x v="0"/>
    <m/>
    <x v="0"/>
    <n v="1"/>
    <n v="0"/>
    <m/>
  </r>
  <r>
    <x v="1"/>
    <x v="3"/>
    <x v="3"/>
    <x v="2"/>
    <x v="12"/>
    <x v="3"/>
    <x v="3"/>
    <m/>
    <m/>
    <m/>
    <m/>
    <m/>
    <n v="0"/>
    <n v="0"/>
    <n v="0"/>
    <n v="0"/>
    <n v="0"/>
    <n v="0"/>
    <n v="0"/>
    <n v="0"/>
    <n v="0"/>
    <n v="0"/>
    <m/>
    <s v="CA ET MARGE BRUTE  |  REVENUS PRODUITS  |  PRODUIT 12"/>
    <m/>
    <x v="1"/>
    <x v="0"/>
    <m/>
    <x v="0"/>
    <n v="1"/>
    <n v="0"/>
    <m/>
  </r>
  <r>
    <x v="1"/>
    <x v="3"/>
    <x v="3"/>
    <x v="2"/>
    <x v="13"/>
    <x v="3"/>
    <x v="3"/>
    <m/>
    <m/>
    <m/>
    <m/>
    <m/>
    <n v="0"/>
    <n v="0"/>
    <n v="0"/>
    <n v="0"/>
    <n v="0"/>
    <n v="0"/>
    <n v="0"/>
    <n v="0"/>
    <n v="0"/>
    <n v="0"/>
    <m/>
    <s v="CA ET MARGE BRUTE  |  REVENUS PRODUITS  |  PRODUIT 13"/>
    <m/>
    <x v="1"/>
    <x v="0"/>
    <m/>
    <x v="0"/>
    <n v="1"/>
    <n v="0"/>
    <m/>
  </r>
  <r>
    <x v="1"/>
    <x v="3"/>
    <x v="3"/>
    <x v="2"/>
    <x v="14"/>
    <x v="3"/>
    <x v="3"/>
    <m/>
    <m/>
    <m/>
    <m/>
    <m/>
    <n v="0"/>
    <n v="0"/>
    <n v="0"/>
    <n v="0"/>
    <n v="0"/>
    <n v="0"/>
    <n v="0"/>
    <n v="0"/>
    <n v="0"/>
    <n v="0"/>
    <m/>
    <s v="CA ET MARGE BRUTE  |  REVENUS PRODUITS  |  PRODUIT 14"/>
    <m/>
    <x v="1"/>
    <x v="0"/>
    <m/>
    <x v="0"/>
    <n v="1"/>
    <n v="0"/>
    <m/>
  </r>
  <r>
    <x v="1"/>
    <x v="3"/>
    <x v="3"/>
    <x v="2"/>
    <x v="15"/>
    <x v="3"/>
    <x v="3"/>
    <m/>
    <m/>
    <m/>
    <m/>
    <m/>
    <n v="0"/>
    <n v="0"/>
    <n v="0"/>
    <n v="0"/>
    <n v="0"/>
    <n v="0"/>
    <n v="0"/>
    <n v="0"/>
    <n v="0"/>
    <n v="0"/>
    <m/>
    <s v="CA ET MARGE BRUTE  |  REVENUS PRODUITS  |  PRODUIT 15"/>
    <m/>
    <x v="1"/>
    <x v="0"/>
    <m/>
    <x v="0"/>
    <n v="1"/>
    <n v="0"/>
    <m/>
  </r>
  <r>
    <x v="1"/>
    <x v="3"/>
    <x v="3"/>
    <x v="2"/>
    <x v="16"/>
    <x v="3"/>
    <x v="3"/>
    <m/>
    <m/>
    <m/>
    <m/>
    <m/>
    <n v="0"/>
    <n v="0"/>
    <n v="0"/>
    <n v="0"/>
    <n v="0"/>
    <n v="0"/>
    <n v="0"/>
    <n v="0"/>
    <n v="0"/>
    <n v="0"/>
    <m/>
    <s v="CA ET MARGE BRUTE  |  REVENUS PRODUITS  |  PRODUIT 16"/>
    <m/>
    <x v="1"/>
    <x v="0"/>
    <m/>
    <x v="0"/>
    <n v="1"/>
    <n v="0"/>
    <m/>
  </r>
  <r>
    <x v="1"/>
    <x v="3"/>
    <x v="3"/>
    <x v="2"/>
    <x v="17"/>
    <x v="3"/>
    <x v="3"/>
    <m/>
    <m/>
    <m/>
    <m/>
    <m/>
    <n v="0"/>
    <n v="0"/>
    <n v="0"/>
    <n v="0"/>
    <n v="0"/>
    <n v="0"/>
    <n v="0"/>
    <n v="0"/>
    <n v="0"/>
    <n v="0"/>
    <m/>
    <s v="CA ET MARGE BRUTE  |  REVENUS PRODUITS  |  PRODUIT 17"/>
    <m/>
    <x v="1"/>
    <x v="0"/>
    <m/>
    <x v="0"/>
    <n v="1"/>
    <n v="0"/>
    <m/>
  </r>
  <r>
    <x v="1"/>
    <x v="3"/>
    <x v="3"/>
    <x v="2"/>
    <x v="18"/>
    <x v="3"/>
    <x v="3"/>
    <m/>
    <m/>
    <m/>
    <m/>
    <m/>
    <n v="0"/>
    <n v="0"/>
    <n v="0"/>
    <n v="0"/>
    <n v="0"/>
    <n v="0"/>
    <n v="0"/>
    <n v="0"/>
    <n v="0"/>
    <n v="0"/>
    <m/>
    <s v="CA ET MARGE BRUTE  |  REVENUS PRODUITS  |  PRODUIT 18"/>
    <m/>
    <x v="1"/>
    <x v="0"/>
    <m/>
    <x v="0"/>
    <n v="1"/>
    <n v="0"/>
    <m/>
  </r>
  <r>
    <x v="1"/>
    <x v="3"/>
    <x v="3"/>
    <x v="2"/>
    <x v="19"/>
    <x v="3"/>
    <x v="3"/>
    <m/>
    <m/>
    <m/>
    <m/>
    <m/>
    <n v="0"/>
    <n v="0"/>
    <n v="0"/>
    <n v="0"/>
    <n v="0"/>
    <n v="0"/>
    <n v="0"/>
    <n v="0"/>
    <n v="0"/>
    <n v="0"/>
    <m/>
    <s v="CA ET MARGE BRUTE  |  REVENUS PRODUITS  |  PRODUIT 19"/>
    <m/>
    <x v="1"/>
    <x v="0"/>
    <m/>
    <x v="0"/>
    <n v="1"/>
    <n v="0"/>
    <m/>
  </r>
  <r>
    <x v="1"/>
    <x v="3"/>
    <x v="3"/>
    <x v="2"/>
    <x v="20"/>
    <x v="3"/>
    <x v="3"/>
    <m/>
    <m/>
    <m/>
    <m/>
    <m/>
    <n v="0"/>
    <n v="0"/>
    <n v="0"/>
    <n v="0"/>
    <n v="0"/>
    <n v="0"/>
    <n v="0"/>
    <n v="0"/>
    <n v="0"/>
    <n v="0"/>
    <m/>
    <s v="CA ET MARGE BRUTE  |  REVENUS PRODUITS  |  PRODUIT 20"/>
    <m/>
    <x v="1"/>
    <x v="0"/>
    <m/>
    <x v="0"/>
    <n v="1"/>
    <n v="0"/>
    <m/>
  </r>
  <r>
    <x v="1"/>
    <x v="3"/>
    <x v="3"/>
    <x v="2"/>
    <x v="21"/>
    <x v="4"/>
    <x v="2"/>
    <m/>
    <m/>
    <m/>
    <m/>
    <m/>
    <n v="0"/>
    <n v="0"/>
    <n v="0"/>
    <n v="0"/>
    <n v="0"/>
    <n v="0"/>
    <n v="0"/>
    <n v="0"/>
    <n v="0"/>
    <n v="0"/>
    <m/>
    <s v="CA ET MARGE BRUTE  |  REVENUS PRODUITS  |  PRODUIT"/>
    <b v="1"/>
    <x v="1"/>
    <x v="1"/>
    <m/>
    <x v="0"/>
    <n v="1"/>
    <m/>
    <m/>
  </r>
  <r>
    <x v="1"/>
    <x v="2"/>
    <x v="0"/>
    <x v="0"/>
    <x v="0"/>
    <x v="0"/>
    <x v="2"/>
    <m/>
    <m/>
    <m/>
    <m/>
    <m/>
    <m/>
    <m/>
    <m/>
    <m/>
    <m/>
    <m/>
    <m/>
    <m/>
    <m/>
    <m/>
    <m/>
    <m/>
    <m/>
    <x v="0"/>
    <x v="0"/>
    <m/>
    <x v="0"/>
    <m/>
    <m/>
    <m/>
  </r>
  <r>
    <x v="1"/>
    <x v="3"/>
    <x v="4"/>
    <x v="2"/>
    <x v="1"/>
    <x v="1"/>
    <x v="3"/>
    <m/>
    <m/>
    <m/>
    <m/>
    <m/>
    <n v="0"/>
    <n v="0"/>
    <n v="0"/>
    <n v="0"/>
    <n v="0"/>
    <n v="0"/>
    <n v="0"/>
    <n v="0"/>
    <n v="0"/>
    <n v="0"/>
    <m/>
    <s v="CA ET MARGE BRUTE  |  PRIX MOYEN D'ACHAT PAR PRODUIT/SERVICE  |  PRODUIT 01"/>
    <m/>
    <x v="1"/>
    <x v="0"/>
    <m/>
    <x v="0"/>
    <n v="1"/>
    <n v="1"/>
    <m/>
  </r>
  <r>
    <x v="1"/>
    <x v="3"/>
    <x v="4"/>
    <x v="2"/>
    <x v="2"/>
    <x v="2"/>
    <x v="3"/>
    <m/>
    <m/>
    <m/>
    <m/>
    <m/>
    <n v="0"/>
    <n v="0"/>
    <n v="0"/>
    <n v="0"/>
    <n v="0"/>
    <n v="0"/>
    <n v="0"/>
    <n v="0"/>
    <n v="0"/>
    <n v="0"/>
    <m/>
    <s v="CA ET MARGE BRUTE  |  PRIX MOYEN D'ACHAT PAR PRODUIT/SERVICE  |  PRODUIT 02"/>
    <m/>
    <x v="1"/>
    <x v="0"/>
    <m/>
    <x v="0"/>
    <n v="1"/>
    <n v="1"/>
    <m/>
  </r>
  <r>
    <x v="1"/>
    <x v="3"/>
    <x v="4"/>
    <x v="2"/>
    <x v="3"/>
    <x v="3"/>
    <x v="3"/>
    <m/>
    <m/>
    <m/>
    <m/>
    <m/>
    <n v="0"/>
    <n v="0"/>
    <n v="0"/>
    <n v="0"/>
    <n v="0"/>
    <n v="0"/>
    <n v="0"/>
    <n v="0"/>
    <n v="0"/>
    <n v="0"/>
    <m/>
    <s v="CA ET MARGE BRUTE  |  PRIX MOYEN D'ACHAT PAR PRODUIT/SERVICE  |  PRODUIT 03"/>
    <m/>
    <x v="1"/>
    <x v="0"/>
    <m/>
    <x v="0"/>
    <n v="1"/>
    <n v="0"/>
    <m/>
  </r>
  <r>
    <x v="1"/>
    <x v="3"/>
    <x v="4"/>
    <x v="2"/>
    <x v="4"/>
    <x v="3"/>
    <x v="3"/>
    <m/>
    <m/>
    <m/>
    <m/>
    <m/>
    <n v="0"/>
    <n v="0"/>
    <n v="0"/>
    <n v="0"/>
    <n v="0"/>
    <n v="0"/>
    <n v="0"/>
    <n v="0"/>
    <n v="0"/>
    <n v="0"/>
    <m/>
    <s v="CA ET MARGE BRUTE  |  PRIX MOYEN D'ACHAT PAR PRODUIT/SERVICE  |  PRODUIT 04"/>
    <m/>
    <x v="1"/>
    <x v="0"/>
    <m/>
    <x v="0"/>
    <n v="1"/>
    <n v="0"/>
    <m/>
  </r>
  <r>
    <x v="1"/>
    <x v="3"/>
    <x v="4"/>
    <x v="2"/>
    <x v="5"/>
    <x v="3"/>
    <x v="3"/>
    <m/>
    <m/>
    <m/>
    <m/>
    <m/>
    <n v="0"/>
    <n v="0"/>
    <n v="0"/>
    <n v="0"/>
    <n v="0"/>
    <n v="0"/>
    <n v="0"/>
    <n v="0"/>
    <n v="0"/>
    <n v="0"/>
    <m/>
    <s v="CA ET MARGE BRUTE  |  PRIX MOYEN D'ACHAT PAR PRODUIT/SERVICE  |  PRODUIT 05"/>
    <m/>
    <x v="1"/>
    <x v="0"/>
    <m/>
    <x v="0"/>
    <n v="1"/>
    <n v="0"/>
    <m/>
  </r>
  <r>
    <x v="1"/>
    <x v="3"/>
    <x v="4"/>
    <x v="2"/>
    <x v="6"/>
    <x v="3"/>
    <x v="3"/>
    <m/>
    <m/>
    <m/>
    <m/>
    <m/>
    <n v="0"/>
    <n v="0"/>
    <n v="0"/>
    <n v="0"/>
    <n v="0"/>
    <n v="0"/>
    <n v="0"/>
    <n v="0"/>
    <n v="0"/>
    <n v="0"/>
    <m/>
    <s v="CA ET MARGE BRUTE  |  PRIX MOYEN D'ACHAT PAR PRODUIT/SERVICE  |  PRODUIT 06"/>
    <m/>
    <x v="1"/>
    <x v="0"/>
    <m/>
    <x v="0"/>
    <n v="1"/>
    <n v="0"/>
    <m/>
  </r>
  <r>
    <x v="1"/>
    <x v="3"/>
    <x v="4"/>
    <x v="2"/>
    <x v="7"/>
    <x v="3"/>
    <x v="3"/>
    <m/>
    <m/>
    <m/>
    <m/>
    <m/>
    <n v="0"/>
    <n v="0"/>
    <n v="0"/>
    <n v="0"/>
    <n v="0"/>
    <n v="0"/>
    <n v="0"/>
    <n v="0"/>
    <n v="0"/>
    <n v="0"/>
    <m/>
    <s v="CA ET MARGE BRUTE  |  PRIX MOYEN D'ACHAT PAR PRODUIT/SERVICE  |  PRODUIT 07"/>
    <m/>
    <x v="1"/>
    <x v="0"/>
    <m/>
    <x v="0"/>
    <n v="1"/>
    <n v="0"/>
    <m/>
  </r>
  <r>
    <x v="1"/>
    <x v="3"/>
    <x v="4"/>
    <x v="2"/>
    <x v="8"/>
    <x v="3"/>
    <x v="3"/>
    <m/>
    <m/>
    <m/>
    <m/>
    <m/>
    <n v="0"/>
    <n v="0"/>
    <n v="0"/>
    <n v="0"/>
    <n v="0"/>
    <n v="0"/>
    <n v="0"/>
    <n v="0"/>
    <n v="0"/>
    <n v="0"/>
    <m/>
    <s v="CA ET MARGE BRUTE  |  PRIX MOYEN D'ACHAT PAR PRODUIT/SERVICE  |  PRODUIT 08"/>
    <m/>
    <x v="1"/>
    <x v="0"/>
    <m/>
    <x v="0"/>
    <n v="1"/>
    <n v="0"/>
    <m/>
  </r>
  <r>
    <x v="1"/>
    <x v="3"/>
    <x v="4"/>
    <x v="2"/>
    <x v="9"/>
    <x v="3"/>
    <x v="3"/>
    <m/>
    <m/>
    <m/>
    <m/>
    <m/>
    <n v="0"/>
    <n v="0"/>
    <n v="0"/>
    <n v="0"/>
    <n v="0"/>
    <n v="0"/>
    <n v="0"/>
    <n v="0"/>
    <n v="0"/>
    <n v="0"/>
    <m/>
    <s v="CA ET MARGE BRUTE  |  PRIX MOYEN D'ACHAT PAR PRODUIT/SERVICE  |  PRODUIT 09"/>
    <m/>
    <x v="1"/>
    <x v="0"/>
    <m/>
    <x v="0"/>
    <n v="1"/>
    <n v="0"/>
    <m/>
  </r>
  <r>
    <x v="1"/>
    <x v="3"/>
    <x v="4"/>
    <x v="2"/>
    <x v="10"/>
    <x v="3"/>
    <x v="3"/>
    <m/>
    <m/>
    <m/>
    <m/>
    <m/>
    <n v="0"/>
    <n v="0"/>
    <n v="0"/>
    <n v="0"/>
    <n v="0"/>
    <n v="0"/>
    <n v="0"/>
    <n v="0"/>
    <n v="0"/>
    <n v="0"/>
    <m/>
    <s v="CA ET MARGE BRUTE  |  PRIX MOYEN D'ACHAT PAR PRODUIT/SERVICE  |  PRODUIT 10"/>
    <m/>
    <x v="1"/>
    <x v="0"/>
    <m/>
    <x v="0"/>
    <n v="1"/>
    <n v="0"/>
    <m/>
  </r>
  <r>
    <x v="1"/>
    <x v="3"/>
    <x v="4"/>
    <x v="2"/>
    <x v="11"/>
    <x v="3"/>
    <x v="3"/>
    <m/>
    <m/>
    <m/>
    <m/>
    <m/>
    <n v="0"/>
    <n v="0"/>
    <n v="0"/>
    <n v="0"/>
    <n v="0"/>
    <n v="0"/>
    <n v="0"/>
    <n v="0"/>
    <n v="0"/>
    <n v="0"/>
    <m/>
    <s v="CA ET MARGE BRUTE  |  PRIX MOYEN D'ACHAT PAR PRODUIT/SERVICE  |  PRODUIT 11"/>
    <m/>
    <x v="1"/>
    <x v="0"/>
    <m/>
    <x v="0"/>
    <n v="1"/>
    <n v="0"/>
    <m/>
  </r>
  <r>
    <x v="1"/>
    <x v="3"/>
    <x v="4"/>
    <x v="2"/>
    <x v="12"/>
    <x v="3"/>
    <x v="3"/>
    <m/>
    <m/>
    <m/>
    <m/>
    <m/>
    <n v="0"/>
    <n v="0"/>
    <n v="0"/>
    <n v="0"/>
    <n v="0"/>
    <n v="0"/>
    <n v="0"/>
    <n v="0"/>
    <n v="0"/>
    <n v="0"/>
    <m/>
    <s v="CA ET MARGE BRUTE  |  PRIX MOYEN D'ACHAT PAR PRODUIT/SERVICE  |  PRODUIT 12"/>
    <m/>
    <x v="1"/>
    <x v="0"/>
    <m/>
    <x v="0"/>
    <n v="1"/>
    <n v="0"/>
    <m/>
  </r>
  <r>
    <x v="1"/>
    <x v="3"/>
    <x v="4"/>
    <x v="2"/>
    <x v="13"/>
    <x v="3"/>
    <x v="3"/>
    <m/>
    <m/>
    <m/>
    <m/>
    <m/>
    <n v="0"/>
    <n v="0"/>
    <n v="0"/>
    <n v="0"/>
    <n v="0"/>
    <n v="0"/>
    <n v="0"/>
    <n v="0"/>
    <n v="0"/>
    <n v="0"/>
    <m/>
    <s v="CA ET MARGE BRUTE  |  PRIX MOYEN D'ACHAT PAR PRODUIT/SERVICE  |  PRODUIT 13"/>
    <m/>
    <x v="1"/>
    <x v="0"/>
    <m/>
    <x v="0"/>
    <n v="1"/>
    <n v="0"/>
    <m/>
  </r>
  <r>
    <x v="1"/>
    <x v="3"/>
    <x v="4"/>
    <x v="2"/>
    <x v="14"/>
    <x v="3"/>
    <x v="3"/>
    <m/>
    <m/>
    <m/>
    <m/>
    <m/>
    <n v="0"/>
    <n v="0"/>
    <n v="0"/>
    <n v="0"/>
    <n v="0"/>
    <n v="0"/>
    <n v="0"/>
    <n v="0"/>
    <n v="0"/>
    <n v="0"/>
    <m/>
    <s v="CA ET MARGE BRUTE  |  PRIX MOYEN D'ACHAT PAR PRODUIT/SERVICE  |  PRODUIT 14"/>
    <m/>
    <x v="1"/>
    <x v="0"/>
    <m/>
    <x v="0"/>
    <n v="1"/>
    <n v="0"/>
    <m/>
  </r>
  <r>
    <x v="1"/>
    <x v="3"/>
    <x v="4"/>
    <x v="2"/>
    <x v="15"/>
    <x v="3"/>
    <x v="3"/>
    <m/>
    <m/>
    <m/>
    <m/>
    <m/>
    <n v="0"/>
    <n v="0"/>
    <n v="0"/>
    <n v="0"/>
    <n v="0"/>
    <n v="0"/>
    <n v="0"/>
    <n v="0"/>
    <n v="0"/>
    <n v="0"/>
    <m/>
    <s v="CA ET MARGE BRUTE  |  PRIX MOYEN D'ACHAT PAR PRODUIT/SERVICE  |  PRODUIT 15"/>
    <m/>
    <x v="1"/>
    <x v="0"/>
    <m/>
    <x v="0"/>
    <n v="1"/>
    <n v="0"/>
    <m/>
  </r>
  <r>
    <x v="1"/>
    <x v="3"/>
    <x v="4"/>
    <x v="2"/>
    <x v="16"/>
    <x v="3"/>
    <x v="3"/>
    <m/>
    <m/>
    <m/>
    <m/>
    <m/>
    <n v="0"/>
    <n v="0"/>
    <n v="0"/>
    <n v="0"/>
    <n v="0"/>
    <n v="0"/>
    <n v="0"/>
    <n v="0"/>
    <n v="0"/>
    <n v="0"/>
    <m/>
    <s v="CA ET MARGE BRUTE  |  PRIX MOYEN D'ACHAT PAR PRODUIT/SERVICE  |  PRODUIT 16"/>
    <m/>
    <x v="1"/>
    <x v="0"/>
    <m/>
    <x v="0"/>
    <n v="1"/>
    <n v="0"/>
    <m/>
  </r>
  <r>
    <x v="1"/>
    <x v="3"/>
    <x v="4"/>
    <x v="2"/>
    <x v="17"/>
    <x v="3"/>
    <x v="3"/>
    <m/>
    <m/>
    <m/>
    <m/>
    <m/>
    <n v="0"/>
    <n v="0"/>
    <n v="0"/>
    <n v="0"/>
    <n v="0"/>
    <n v="0"/>
    <n v="0"/>
    <n v="0"/>
    <n v="0"/>
    <n v="0"/>
    <m/>
    <s v="CA ET MARGE BRUTE  |  PRIX MOYEN D'ACHAT PAR PRODUIT/SERVICE  |  PRODUIT 17"/>
    <m/>
    <x v="1"/>
    <x v="0"/>
    <m/>
    <x v="0"/>
    <n v="1"/>
    <n v="0"/>
    <m/>
  </r>
  <r>
    <x v="1"/>
    <x v="3"/>
    <x v="4"/>
    <x v="2"/>
    <x v="18"/>
    <x v="3"/>
    <x v="3"/>
    <m/>
    <m/>
    <m/>
    <m/>
    <m/>
    <n v="0"/>
    <n v="0"/>
    <n v="0"/>
    <n v="0"/>
    <n v="0"/>
    <n v="0"/>
    <n v="0"/>
    <n v="0"/>
    <n v="0"/>
    <n v="0"/>
    <m/>
    <s v="CA ET MARGE BRUTE  |  PRIX MOYEN D'ACHAT PAR PRODUIT/SERVICE  |  PRODUIT 18"/>
    <m/>
    <x v="1"/>
    <x v="0"/>
    <m/>
    <x v="0"/>
    <n v="1"/>
    <n v="0"/>
    <m/>
  </r>
  <r>
    <x v="1"/>
    <x v="3"/>
    <x v="4"/>
    <x v="2"/>
    <x v="19"/>
    <x v="3"/>
    <x v="3"/>
    <m/>
    <m/>
    <m/>
    <m/>
    <m/>
    <n v="0"/>
    <n v="0"/>
    <n v="0"/>
    <n v="0"/>
    <n v="0"/>
    <n v="0"/>
    <n v="0"/>
    <n v="0"/>
    <n v="0"/>
    <n v="0"/>
    <m/>
    <s v="CA ET MARGE BRUTE  |  PRIX MOYEN D'ACHAT PAR PRODUIT/SERVICE  |  PRODUIT 19"/>
    <m/>
    <x v="1"/>
    <x v="0"/>
    <m/>
    <x v="0"/>
    <n v="1"/>
    <n v="0"/>
    <m/>
  </r>
  <r>
    <x v="1"/>
    <x v="3"/>
    <x v="4"/>
    <x v="2"/>
    <x v="20"/>
    <x v="3"/>
    <x v="3"/>
    <m/>
    <m/>
    <m/>
    <m/>
    <m/>
    <n v="0"/>
    <n v="0"/>
    <n v="0"/>
    <n v="0"/>
    <n v="0"/>
    <n v="0"/>
    <n v="0"/>
    <n v="0"/>
    <n v="0"/>
    <n v="0"/>
    <m/>
    <s v="CA ET MARGE BRUTE  |  PRIX MOYEN D'ACHAT PAR PRODUIT/SERVICE  |  PRODUIT 20"/>
    <m/>
    <x v="1"/>
    <x v="0"/>
    <m/>
    <x v="0"/>
    <n v="1"/>
    <n v="0"/>
    <m/>
  </r>
  <r>
    <x v="1"/>
    <x v="3"/>
    <x v="4"/>
    <x v="2"/>
    <x v="21"/>
    <x v="5"/>
    <x v="2"/>
    <m/>
    <m/>
    <m/>
    <m/>
    <m/>
    <n v="0"/>
    <n v="0"/>
    <n v="0"/>
    <n v="0"/>
    <n v="0"/>
    <n v="0"/>
    <n v="0"/>
    <n v="0"/>
    <n v="0"/>
    <n v="0"/>
    <m/>
    <s v="CA ET MARGE BRUTE  |  PRIX MOYEN D'ACHAT PAR PRODUIT/SERVICE  |  PRODUIT"/>
    <m/>
    <x v="1"/>
    <x v="1"/>
    <m/>
    <x v="0"/>
    <n v="1"/>
    <m/>
    <m/>
  </r>
  <r>
    <x v="1"/>
    <x v="2"/>
    <x v="0"/>
    <x v="0"/>
    <x v="0"/>
    <x v="0"/>
    <x v="2"/>
    <m/>
    <m/>
    <m/>
    <m/>
    <m/>
    <m/>
    <m/>
    <m/>
    <m/>
    <m/>
    <m/>
    <m/>
    <m/>
    <m/>
    <m/>
    <m/>
    <m/>
    <m/>
    <x v="0"/>
    <x v="0"/>
    <m/>
    <x v="0"/>
    <m/>
    <m/>
    <m/>
  </r>
  <r>
    <x v="1"/>
    <x v="3"/>
    <x v="5"/>
    <x v="2"/>
    <x v="1"/>
    <x v="1"/>
    <x v="3"/>
    <m/>
    <m/>
    <m/>
    <m/>
    <m/>
    <n v="0"/>
    <n v="0"/>
    <n v="0"/>
    <n v="0"/>
    <n v="0"/>
    <n v="0"/>
    <n v="0"/>
    <n v="0"/>
    <n v="0"/>
    <n v="0"/>
    <m/>
    <s v="CA ET MARGE BRUTE  |  COUT DES PRODUITS VENDUS  |  PRODUIT 01"/>
    <m/>
    <x v="1"/>
    <x v="0"/>
    <m/>
    <x v="0"/>
    <n v="1"/>
    <n v="1"/>
    <m/>
  </r>
  <r>
    <x v="1"/>
    <x v="3"/>
    <x v="5"/>
    <x v="2"/>
    <x v="2"/>
    <x v="2"/>
    <x v="3"/>
    <m/>
    <m/>
    <m/>
    <m/>
    <m/>
    <n v="0"/>
    <n v="0"/>
    <n v="0"/>
    <n v="0"/>
    <n v="0"/>
    <n v="0"/>
    <n v="0"/>
    <n v="0"/>
    <n v="0"/>
    <n v="0"/>
    <m/>
    <s v="CA ET MARGE BRUTE  |  COUT DES PRODUITS VENDUS  |  PRODUIT 02"/>
    <m/>
    <x v="1"/>
    <x v="0"/>
    <m/>
    <x v="0"/>
    <n v="1"/>
    <n v="1"/>
    <m/>
  </r>
  <r>
    <x v="1"/>
    <x v="3"/>
    <x v="5"/>
    <x v="2"/>
    <x v="3"/>
    <x v="3"/>
    <x v="3"/>
    <m/>
    <m/>
    <m/>
    <m/>
    <m/>
    <n v="0"/>
    <n v="0"/>
    <n v="0"/>
    <n v="0"/>
    <n v="0"/>
    <n v="0"/>
    <n v="0"/>
    <n v="0"/>
    <n v="0"/>
    <n v="0"/>
    <m/>
    <s v="CA ET MARGE BRUTE  |  COUT DES PRODUITS VENDUS  |  PRODUIT 03"/>
    <m/>
    <x v="1"/>
    <x v="0"/>
    <m/>
    <x v="0"/>
    <n v="1"/>
    <n v="0"/>
    <m/>
  </r>
  <r>
    <x v="1"/>
    <x v="3"/>
    <x v="5"/>
    <x v="2"/>
    <x v="4"/>
    <x v="3"/>
    <x v="3"/>
    <m/>
    <m/>
    <m/>
    <m/>
    <m/>
    <n v="0"/>
    <n v="0"/>
    <n v="0"/>
    <n v="0"/>
    <n v="0"/>
    <n v="0"/>
    <n v="0"/>
    <n v="0"/>
    <n v="0"/>
    <n v="0"/>
    <m/>
    <s v="CA ET MARGE BRUTE  |  COUT DES PRODUITS VENDUS  |  PRODUIT 04"/>
    <m/>
    <x v="1"/>
    <x v="0"/>
    <m/>
    <x v="0"/>
    <n v="1"/>
    <n v="0"/>
    <m/>
  </r>
  <r>
    <x v="1"/>
    <x v="3"/>
    <x v="5"/>
    <x v="2"/>
    <x v="5"/>
    <x v="3"/>
    <x v="3"/>
    <m/>
    <m/>
    <m/>
    <m/>
    <m/>
    <n v="0"/>
    <n v="0"/>
    <n v="0"/>
    <n v="0"/>
    <n v="0"/>
    <n v="0"/>
    <n v="0"/>
    <n v="0"/>
    <n v="0"/>
    <n v="0"/>
    <m/>
    <s v="CA ET MARGE BRUTE  |  COUT DES PRODUITS VENDUS  |  PRODUIT 05"/>
    <m/>
    <x v="1"/>
    <x v="0"/>
    <m/>
    <x v="0"/>
    <n v="1"/>
    <n v="0"/>
    <m/>
  </r>
  <r>
    <x v="1"/>
    <x v="3"/>
    <x v="5"/>
    <x v="2"/>
    <x v="6"/>
    <x v="3"/>
    <x v="3"/>
    <m/>
    <m/>
    <m/>
    <m/>
    <m/>
    <n v="0"/>
    <n v="0"/>
    <n v="0"/>
    <n v="0"/>
    <n v="0"/>
    <n v="0"/>
    <n v="0"/>
    <n v="0"/>
    <n v="0"/>
    <n v="0"/>
    <m/>
    <s v="CA ET MARGE BRUTE  |  COUT DES PRODUITS VENDUS  |  PRODUIT 06"/>
    <m/>
    <x v="1"/>
    <x v="0"/>
    <m/>
    <x v="0"/>
    <n v="1"/>
    <n v="0"/>
    <m/>
  </r>
  <r>
    <x v="1"/>
    <x v="3"/>
    <x v="5"/>
    <x v="2"/>
    <x v="7"/>
    <x v="3"/>
    <x v="3"/>
    <m/>
    <m/>
    <m/>
    <m/>
    <m/>
    <n v="0"/>
    <n v="0"/>
    <n v="0"/>
    <n v="0"/>
    <n v="0"/>
    <n v="0"/>
    <n v="0"/>
    <n v="0"/>
    <n v="0"/>
    <n v="0"/>
    <m/>
    <s v="CA ET MARGE BRUTE  |  COUT DES PRODUITS VENDUS  |  PRODUIT 07"/>
    <m/>
    <x v="1"/>
    <x v="0"/>
    <m/>
    <x v="0"/>
    <n v="1"/>
    <n v="0"/>
    <m/>
  </r>
  <r>
    <x v="1"/>
    <x v="3"/>
    <x v="5"/>
    <x v="2"/>
    <x v="8"/>
    <x v="3"/>
    <x v="3"/>
    <m/>
    <m/>
    <m/>
    <m/>
    <m/>
    <n v="0"/>
    <n v="0"/>
    <n v="0"/>
    <n v="0"/>
    <n v="0"/>
    <n v="0"/>
    <n v="0"/>
    <n v="0"/>
    <n v="0"/>
    <n v="0"/>
    <m/>
    <s v="CA ET MARGE BRUTE  |  COUT DES PRODUITS VENDUS  |  PRODUIT 08"/>
    <m/>
    <x v="1"/>
    <x v="0"/>
    <m/>
    <x v="0"/>
    <n v="1"/>
    <n v="0"/>
    <m/>
  </r>
  <r>
    <x v="1"/>
    <x v="3"/>
    <x v="5"/>
    <x v="2"/>
    <x v="9"/>
    <x v="3"/>
    <x v="3"/>
    <m/>
    <m/>
    <m/>
    <m/>
    <m/>
    <n v="0"/>
    <n v="0"/>
    <n v="0"/>
    <n v="0"/>
    <n v="0"/>
    <n v="0"/>
    <n v="0"/>
    <n v="0"/>
    <n v="0"/>
    <n v="0"/>
    <m/>
    <s v="CA ET MARGE BRUTE  |  COUT DES PRODUITS VENDUS  |  PRODUIT 09"/>
    <m/>
    <x v="1"/>
    <x v="0"/>
    <m/>
    <x v="0"/>
    <n v="1"/>
    <n v="0"/>
    <m/>
  </r>
  <r>
    <x v="1"/>
    <x v="3"/>
    <x v="5"/>
    <x v="2"/>
    <x v="10"/>
    <x v="3"/>
    <x v="3"/>
    <m/>
    <m/>
    <m/>
    <m/>
    <m/>
    <n v="0"/>
    <n v="0"/>
    <n v="0"/>
    <n v="0"/>
    <n v="0"/>
    <n v="0"/>
    <n v="0"/>
    <n v="0"/>
    <n v="0"/>
    <n v="0"/>
    <m/>
    <s v="CA ET MARGE BRUTE  |  COUT DES PRODUITS VENDUS  |  PRODUIT 10"/>
    <m/>
    <x v="1"/>
    <x v="0"/>
    <m/>
    <x v="0"/>
    <n v="1"/>
    <n v="0"/>
    <m/>
  </r>
  <r>
    <x v="1"/>
    <x v="3"/>
    <x v="5"/>
    <x v="2"/>
    <x v="11"/>
    <x v="3"/>
    <x v="3"/>
    <m/>
    <m/>
    <m/>
    <m/>
    <m/>
    <n v="0"/>
    <n v="0"/>
    <n v="0"/>
    <n v="0"/>
    <n v="0"/>
    <n v="0"/>
    <n v="0"/>
    <n v="0"/>
    <n v="0"/>
    <n v="0"/>
    <m/>
    <s v="CA ET MARGE BRUTE  |  COUT DES PRODUITS VENDUS  |  PRODUIT 11"/>
    <m/>
    <x v="1"/>
    <x v="0"/>
    <m/>
    <x v="0"/>
    <n v="1"/>
    <n v="0"/>
    <m/>
  </r>
  <r>
    <x v="1"/>
    <x v="3"/>
    <x v="5"/>
    <x v="2"/>
    <x v="12"/>
    <x v="3"/>
    <x v="3"/>
    <m/>
    <m/>
    <m/>
    <m/>
    <m/>
    <n v="0"/>
    <n v="0"/>
    <n v="0"/>
    <n v="0"/>
    <n v="0"/>
    <n v="0"/>
    <n v="0"/>
    <n v="0"/>
    <n v="0"/>
    <n v="0"/>
    <m/>
    <s v="CA ET MARGE BRUTE  |  COUT DES PRODUITS VENDUS  |  PRODUIT 12"/>
    <m/>
    <x v="1"/>
    <x v="0"/>
    <m/>
    <x v="0"/>
    <n v="1"/>
    <n v="0"/>
    <m/>
  </r>
  <r>
    <x v="1"/>
    <x v="3"/>
    <x v="5"/>
    <x v="2"/>
    <x v="13"/>
    <x v="3"/>
    <x v="3"/>
    <m/>
    <m/>
    <m/>
    <m/>
    <m/>
    <n v="0"/>
    <n v="0"/>
    <n v="0"/>
    <n v="0"/>
    <n v="0"/>
    <n v="0"/>
    <n v="0"/>
    <n v="0"/>
    <n v="0"/>
    <n v="0"/>
    <m/>
    <s v="CA ET MARGE BRUTE  |  COUT DES PRODUITS VENDUS  |  PRODUIT 13"/>
    <m/>
    <x v="1"/>
    <x v="0"/>
    <m/>
    <x v="0"/>
    <n v="1"/>
    <n v="0"/>
    <m/>
  </r>
  <r>
    <x v="1"/>
    <x v="3"/>
    <x v="5"/>
    <x v="2"/>
    <x v="14"/>
    <x v="3"/>
    <x v="3"/>
    <m/>
    <m/>
    <m/>
    <m/>
    <m/>
    <n v="0"/>
    <n v="0"/>
    <n v="0"/>
    <n v="0"/>
    <n v="0"/>
    <n v="0"/>
    <n v="0"/>
    <n v="0"/>
    <n v="0"/>
    <n v="0"/>
    <m/>
    <s v="CA ET MARGE BRUTE  |  COUT DES PRODUITS VENDUS  |  PRODUIT 14"/>
    <m/>
    <x v="1"/>
    <x v="0"/>
    <m/>
    <x v="0"/>
    <n v="1"/>
    <n v="0"/>
    <m/>
  </r>
  <r>
    <x v="1"/>
    <x v="3"/>
    <x v="5"/>
    <x v="2"/>
    <x v="15"/>
    <x v="3"/>
    <x v="3"/>
    <m/>
    <m/>
    <m/>
    <m/>
    <m/>
    <n v="0"/>
    <n v="0"/>
    <n v="0"/>
    <n v="0"/>
    <n v="0"/>
    <n v="0"/>
    <n v="0"/>
    <n v="0"/>
    <n v="0"/>
    <n v="0"/>
    <m/>
    <s v="CA ET MARGE BRUTE  |  COUT DES PRODUITS VENDUS  |  PRODUIT 15"/>
    <m/>
    <x v="1"/>
    <x v="0"/>
    <m/>
    <x v="0"/>
    <n v="1"/>
    <n v="0"/>
    <m/>
  </r>
  <r>
    <x v="1"/>
    <x v="3"/>
    <x v="5"/>
    <x v="2"/>
    <x v="16"/>
    <x v="3"/>
    <x v="3"/>
    <m/>
    <m/>
    <m/>
    <m/>
    <m/>
    <n v="0"/>
    <n v="0"/>
    <n v="0"/>
    <n v="0"/>
    <n v="0"/>
    <n v="0"/>
    <n v="0"/>
    <n v="0"/>
    <n v="0"/>
    <n v="0"/>
    <m/>
    <s v="CA ET MARGE BRUTE  |  COUT DES PRODUITS VENDUS  |  PRODUIT 16"/>
    <m/>
    <x v="1"/>
    <x v="0"/>
    <m/>
    <x v="0"/>
    <n v="1"/>
    <n v="0"/>
    <m/>
  </r>
  <r>
    <x v="1"/>
    <x v="3"/>
    <x v="5"/>
    <x v="2"/>
    <x v="17"/>
    <x v="3"/>
    <x v="3"/>
    <m/>
    <m/>
    <m/>
    <m/>
    <m/>
    <n v="0"/>
    <n v="0"/>
    <n v="0"/>
    <n v="0"/>
    <n v="0"/>
    <n v="0"/>
    <n v="0"/>
    <n v="0"/>
    <n v="0"/>
    <n v="0"/>
    <m/>
    <s v="CA ET MARGE BRUTE  |  COUT DES PRODUITS VENDUS  |  PRODUIT 17"/>
    <m/>
    <x v="1"/>
    <x v="0"/>
    <m/>
    <x v="0"/>
    <n v="1"/>
    <n v="0"/>
    <m/>
  </r>
  <r>
    <x v="1"/>
    <x v="3"/>
    <x v="5"/>
    <x v="2"/>
    <x v="18"/>
    <x v="3"/>
    <x v="3"/>
    <m/>
    <m/>
    <m/>
    <m/>
    <m/>
    <n v="0"/>
    <n v="0"/>
    <n v="0"/>
    <n v="0"/>
    <n v="0"/>
    <n v="0"/>
    <n v="0"/>
    <n v="0"/>
    <n v="0"/>
    <n v="0"/>
    <m/>
    <s v="CA ET MARGE BRUTE  |  COUT DES PRODUITS VENDUS  |  PRODUIT 18"/>
    <m/>
    <x v="1"/>
    <x v="0"/>
    <m/>
    <x v="0"/>
    <n v="1"/>
    <n v="0"/>
    <m/>
  </r>
  <r>
    <x v="1"/>
    <x v="3"/>
    <x v="5"/>
    <x v="2"/>
    <x v="19"/>
    <x v="3"/>
    <x v="3"/>
    <m/>
    <m/>
    <m/>
    <m/>
    <m/>
    <n v="0"/>
    <n v="0"/>
    <n v="0"/>
    <n v="0"/>
    <n v="0"/>
    <n v="0"/>
    <n v="0"/>
    <n v="0"/>
    <n v="0"/>
    <n v="0"/>
    <m/>
    <s v="CA ET MARGE BRUTE  |  COUT DES PRODUITS VENDUS  |  PRODUIT 19"/>
    <m/>
    <x v="1"/>
    <x v="0"/>
    <m/>
    <x v="0"/>
    <n v="1"/>
    <n v="0"/>
    <m/>
  </r>
  <r>
    <x v="1"/>
    <x v="3"/>
    <x v="5"/>
    <x v="2"/>
    <x v="20"/>
    <x v="3"/>
    <x v="3"/>
    <m/>
    <m/>
    <m/>
    <m/>
    <m/>
    <n v="0"/>
    <n v="0"/>
    <n v="0"/>
    <n v="0"/>
    <n v="0"/>
    <n v="0"/>
    <n v="0"/>
    <n v="0"/>
    <n v="0"/>
    <n v="0"/>
    <m/>
    <s v="CA ET MARGE BRUTE  |  COUT DES PRODUITS VENDUS  |  PRODUIT 20"/>
    <m/>
    <x v="1"/>
    <x v="0"/>
    <m/>
    <x v="0"/>
    <n v="1"/>
    <n v="0"/>
    <m/>
  </r>
  <r>
    <x v="1"/>
    <x v="3"/>
    <x v="5"/>
    <x v="2"/>
    <x v="21"/>
    <x v="4"/>
    <x v="2"/>
    <m/>
    <m/>
    <m/>
    <m/>
    <m/>
    <n v="0"/>
    <n v="0"/>
    <n v="0"/>
    <n v="0"/>
    <n v="0"/>
    <n v="0"/>
    <n v="0"/>
    <n v="0"/>
    <n v="0"/>
    <n v="0"/>
    <m/>
    <s v="CA ET MARGE BRUTE  |  COUT DES PRODUITS VENDUS  |  PRODUIT"/>
    <b v="1"/>
    <x v="1"/>
    <x v="1"/>
    <m/>
    <x v="0"/>
    <n v="1"/>
    <m/>
    <m/>
  </r>
  <r>
    <x v="1"/>
    <x v="2"/>
    <x v="0"/>
    <x v="0"/>
    <x v="0"/>
    <x v="0"/>
    <x v="2"/>
    <m/>
    <m/>
    <m/>
    <m/>
    <m/>
    <m/>
    <m/>
    <m/>
    <m/>
    <m/>
    <m/>
    <m/>
    <m/>
    <m/>
    <m/>
    <m/>
    <m/>
    <m/>
    <x v="0"/>
    <x v="0"/>
    <m/>
    <x v="0"/>
    <m/>
    <m/>
    <m/>
  </r>
  <r>
    <x v="1"/>
    <x v="3"/>
    <x v="6"/>
    <x v="2"/>
    <x v="1"/>
    <x v="1"/>
    <x v="3"/>
    <m/>
    <m/>
    <m/>
    <m/>
    <m/>
    <n v="0"/>
    <n v="0"/>
    <n v="0"/>
    <n v="0"/>
    <n v="0"/>
    <n v="0"/>
    <n v="0"/>
    <n v="0"/>
    <n v="0"/>
    <n v="0"/>
    <m/>
    <s v="CA ET MARGE BRUTE  |  MARGE BRUTE PRODUITS  |  PRODUIT 01"/>
    <m/>
    <x v="1"/>
    <x v="0"/>
    <m/>
    <x v="0"/>
    <n v="1"/>
    <n v="1"/>
    <m/>
  </r>
  <r>
    <x v="1"/>
    <x v="3"/>
    <x v="6"/>
    <x v="2"/>
    <x v="2"/>
    <x v="2"/>
    <x v="3"/>
    <m/>
    <m/>
    <m/>
    <m/>
    <m/>
    <n v="0"/>
    <n v="0"/>
    <n v="0"/>
    <n v="0"/>
    <n v="0"/>
    <n v="0"/>
    <n v="0"/>
    <n v="0"/>
    <n v="0"/>
    <n v="0"/>
    <m/>
    <s v="CA ET MARGE BRUTE  |  MARGE BRUTE PRODUITS  |  PRODUIT 02"/>
    <m/>
    <x v="1"/>
    <x v="0"/>
    <m/>
    <x v="0"/>
    <n v="1"/>
    <n v="1"/>
    <m/>
  </r>
  <r>
    <x v="1"/>
    <x v="3"/>
    <x v="6"/>
    <x v="2"/>
    <x v="3"/>
    <x v="3"/>
    <x v="3"/>
    <m/>
    <m/>
    <m/>
    <m/>
    <m/>
    <n v="0"/>
    <n v="0"/>
    <n v="0"/>
    <n v="0"/>
    <n v="0"/>
    <n v="0"/>
    <n v="0"/>
    <n v="0"/>
    <n v="0"/>
    <n v="0"/>
    <m/>
    <s v="CA ET MARGE BRUTE  |  MARGE BRUTE PRODUITS  |  PRODUIT 03"/>
    <m/>
    <x v="1"/>
    <x v="0"/>
    <m/>
    <x v="0"/>
    <n v="1"/>
    <n v="0"/>
    <m/>
  </r>
  <r>
    <x v="1"/>
    <x v="3"/>
    <x v="6"/>
    <x v="2"/>
    <x v="4"/>
    <x v="3"/>
    <x v="3"/>
    <m/>
    <m/>
    <m/>
    <m/>
    <m/>
    <n v="0"/>
    <n v="0"/>
    <n v="0"/>
    <n v="0"/>
    <n v="0"/>
    <n v="0"/>
    <n v="0"/>
    <n v="0"/>
    <n v="0"/>
    <n v="0"/>
    <m/>
    <s v="CA ET MARGE BRUTE  |  MARGE BRUTE PRODUITS  |  PRODUIT 04"/>
    <m/>
    <x v="1"/>
    <x v="0"/>
    <m/>
    <x v="0"/>
    <n v="1"/>
    <n v="0"/>
    <m/>
  </r>
  <r>
    <x v="1"/>
    <x v="3"/>
    <x v="6"/>
    <x v="2"/>
    <x v="5"/>
    <x v="3"/>
    <x v="3"/>
    <m/>
    <m/>
    <m/>
    <m/>
    <m/>
    <n v="0"/>
    <n v="0"/>
    <n v="0"/>
    <n v="0"/>
    <n v="0"/>
    <n v="0"/>
    <n v="0"/>
    <n v="0"/>
    <n v="0"/>
    <n v="0"/>
    <m/>
    <s v="CA ET MARGE BRUTE  |  MARGE BRUTE PRODUITS  |  PRODUIT 05"/>
    <m/>
    <x v="1"/>
    <x v="0"/>
    <m/>
    <x v="0"/>
    <n v="1"/>
    <n v="0"/>
    <m/>
  </r>
  <r>
    <x v="1"/>
    <x v="3"/>
    <x v="6"/>
    <x v="2"/>
    <x v="6"/>
    <x v="3"/>
    <x v="3"/>
    <m/>
    <m/>
    <m/>
    <m/>
    <m/>
    <n v="0"/>
    <n v="0"/>
    <n v="0"/>
    <n v="0"/>
    <n v="0"/>
    <n v="0"/>
    <n v="0"/>
    <n v="0"/>
    <n v="0"/>
    <n v="0"/>
    <m/>
    <s v="CA ET MARGE BRUTE  |  MARGE BRUTE PRODUITS  |  PRODUIT 06"/>
    <m/>
    <x v="1"/>
    <x v="0"/>
    <m/>
    <x v="0"/>
    <n v="1"/>
    <n v="0"/>
    <m/>
  </r>
  <r>
    <x v="1"/>
    <x v="3"/>
    <x v="6"/>
    <x v="2"/>
    <x v="7"/>
    <x v="3"/>
    <x v="3"/>
    <m/>
    <m/>
    <m/>
    <m/>
    <m/>
    <n v="0"/>
    <n v="0"/>
    <n v="0"/>
    <n v="0"/>
    <n v="0"/>
    <n v="0"/>
    <n v="0"/>
    <n v="0"/>
    <n v="0"/>
    <n v="0"/>
    <m/>
    <s v="CA ET MARGE BRUTE  |  MARGE BRUTE PRODUITS  |  PRODUIT 07"/>
    <m/>
    <x v="1"/>
    <x v="0"/>
    <m/>
    <x v="0"/>
    <n v="1"/>
    <n v="0"/>
    <m/>
  </r>
  <r>
    <x v="1"/>
    <x v="3"/>
    <x v="6"/>
    <x v="2"/>
    <x v="8"/>
    <x v="3"/>
    <x v="3"/>
    <m/>
    <m/>
    <m/>
    <m/>
    <m/>
    <n v="0"/>
    <n v="0"/>
    <n v="0"/>
    <n v="0"/>
    <n v="0"/>
    <n v="0"/>
    <n v="0"/>
    <n v="0"/>
    <n v="0"/>
    <n v="0"/>
    <m/>
    <s v="CA ET MARGE BRUTE  |  MARGE BRUTE PRODUITS  |  PRODUIT 08"/>
    <m/>
    <x v="1"/>
    <x v="0"/>
    <m/>
    <x v="0"/>
    <n v="1"/>
    <n v="0"/>
    <m/>
  </r>
  <r>
    <x v="1"/>
    <x v="3"/>
    <x v="6"/>
    <x v="2"/>
    <x v="9"/>
    <x v="3"/>
    <x v="3"/>
    <m/>
    <m/>
    <m/>
    <m/>
    <m/>
    <n v="0"/>
    <n v="0"/>
    <n v="0"/>
    <n v="0"/>
    <n v="0"/>
    <n v="0"/>
    <n v="0"/>
    <n v="0"/>
    <n v="0"/>
    <n v="0"/>
    <m/>
    <s v="CA ET MARGE BRUTE  |  MARGE BRUTE PRODUITS  |  PRODUIT 09"/>
    <m/>
    <x v="1"/>
    <x v="0"/>
    <m/>
    <x v="0"/>
    <n v="1"/>
    <n v="0"/>
    <m/>
  </r>
  <r>
    <x v="1"/>
    <x v="3"/>
    <x v="6"/>
    <x v="2"/>
    <x v="10"/>
    <x v="3"/>
    <x v="3"/>
    <m/>
    <m/>
    <m/>
    <m/>
    <m/>
    <n v="0"/>
    <n v="0"/>
    <n v="0"/>
    <n v="0"/>
    <n v="0"/>
    <n v="0"/>
    <n v="0"/>
    <n v="0"/>
    <n v="0"/>
    <n v="0"/>
    <m/>
    <s v="CA ET MARGE BRUTE  |  MARGE BRUTE PRODUITS  |  PRODUIT 10"/>
    <m/>
    <x v="1"/>
    <x v="0"/>
    <m/>
    <x v="0"/>
    <n v="1"/>
    <n v="0"/>
    <m/>
  </r>
  <r>
    <x v="1"/>
    <x v="3"/>
    <x v="6"/>
    <x v="2"/>
    <x v="11"/>
    <x v="3"/>
    <x v="3"/>
    <m/>
    <m/>
    <m/>
    <m/>
    <m/>
    <n v="0"/>
    <n v="0"/>
    <n v="0"/>
    <n v="0"/>
    <n v="0"/>
    <n v="0"/>
    <n v="0"/>
    <n v="0"/>
    <n v="0"/>
    <n v="0"/>
    <m/>
    <s v="CA ET MARGE BRUTE  |  MARGE BRUTE PRODUITS  |  PRODUIT 11"/>
    <m/>
    <x v="1"/>
    <x v="0"/>
    <m/>
    <x v="0"/>
    <n v="1"/>
    <n v="0"/>
    <m/>
  </r>
  <r>
    <x v="1"/>
    <x v="3"/>
    <x v="6"/>
    <x v="2"/>
    <x v="12"/>
    <x v="3"/>
    <x v="3"/>
    <m/>
    <m/>
    <m/>
    <m/>
    <m/>
    <n v="0"/>
    <n v="0"/>
    <n v="0"/>
    <n v="0"/>
    <n v="0"/>
    <n v="0"/>
    <n v="0"/>
    <n v="0"/>
    <n v="0"/>
    <n v="0"/>
    <m/>
    <s v="CA ET MARGE BRUTE  |  MARGE BRUTE PRODUITS  |  PRODUIT 12"/>
    <m/>
    <x v="1"/>
    <x v="0"/>
    <m/>
    <x v="0"/>
    <n v="1"/>
    <n v="0"/>
    <m/>
  </r>
  <r>
    <x v="1"/>
    <x v="3"/>
    <x v="6"/>
    <x v="2"/>
    <x v="13"/>
    <x v="3"/>
    <x v="3"/>
    <m/>
    <m/>
    <m/>
    <m/>
    <m/>
    <n v="0"/>
    <n v="0"/>
    <n v="0"/>
    <n v="0"/>
    <n v="0"/>
    <n v="0"/>
    <n v="0"/>
    <n v="0"/>
    <n v="0"/>
    <n v="0"/>
    <m/>
    <s v="CA ET MARGE BRUTE  |  MARGE BRUTE PRODUITS  |  PRODUIT 13"/>
    <m/>
    <x v="1"/>
    <x v="0"/>
    <m/>
    <x v="0"/>
    <n v="1"/>
    <n v="0"/>
    <m/>
  </r>
  <r>
    <x v="1"/>
    <x v="3"/>
    <x v="6"/>
    <x v="2"/>
    <x v="14"/>
    <x v="3"/>
    <x v="3"/>
    <m/>
    <m/>
    <m/>
    <m/>
    <m/>
    <n v="0"/>
    <n v="0"/>
    <n v="0"/>
    <n v="0"/>
    <n v="0"/>
    <n v="0"/>
    <n v="0"/>
    <n v="0"/>
    <n v="0"/>
    <n v="0"/>
    <m/>
    <s v="CA ET MARGE BRUTE  |  MARGE BRUTE PRODUITS  |  PRODUIT 14"/>
    <m/>
    <x v="1"/>
    <x v="0"/>
    <m/>
    <x v="0"/>
    <n v="1"/>
    <n v="0"/>
    <m/>
  </r>
  <r>
    <x v="1"/>
    <x v="3"/>
    <x v="6"/>
    <x v="2"/>
    <x v="15"/>
    <x v="3"/>
    <x v="3"/>
    <m/>
    <m/>
    <m/>
    <m/>
    <m/>
    <n v="0"/>
    <n v="0"/>
    <n v="0"/>
    <n v="0"/>
    <n v="0"/>
    <n v="0"/>
    <n v="0"/>
    <n v="0"/>
    <n v="0"/>
    <n v="0"/>
    <m/>
    <s v="CA ET MARGE BRUTE  |  MARGE BRUTE PRODUITS  |  PRODUIT 15"/>
    <m/>
    <x v="1"/>
    <x v="0"/>
    <m/>
    <x v="0"/>
    <n v="1"/>
    <n v="0"/>
    <m/>
  </r>
  <r>
    <x v="1"/>
    <x v="3"/>
    <x v="6"/>
    <x v="2"/>
    <x v="16"/>
    <x v="3"/>
    <x v="3"/>
    <m/>
    <m/>
    <m/>
    <m/>
    <m/>
    <n v="0"/>
    <n v="0"/>
    <n v="0"/>
    <n v="0"/>
    <n v="0"/>
    <n v="0"/>
    <n v="0"/>
    <n v="0"/>
    <n v="0"/>
    <n v="0"/>
    <m/>
    <s v="CA ET MARGE BRUTE  |  MARGE BRUTE PRODUITS  |  PRODUIT 16"/>
    <m/>
    <x v="1"/>
    <x v="0"/>
    <m/>
    <x v="0"/>
    <n v="1"/>
    <n v="0"/>
    <m/>
  </r>
  <r>
    <x v="1"/>
    <x v="3"/>
    <x v="6"/>
    <x v="2"/>
    <x v="17"/>
    <x v="3"/>
    <x v="3"/>
    <m/>
    <m/>
    <m/>
    <m/>
    <m/>
    <n v="0"/>
    <n v="0"/>
    <n v="0"/>
    <n v="0"/>
    <n v="0"/>
    <n v="0"/>
    <n v="0"/>
    <n v="0"/>
    <n v="0"/>
    <n v="0"/>
    <m/>
    <s v="CA ET MARGE BRUTE  |  MARGE BRUTE PRODUITS  |  PRODUIT 17"/>
    <m/>
    <x v="1"/>
    <x v="0"/>
    <m/>
    <x v="0"/>
    <n v="1"/>
    <n v="0"/>
    <m/>
  </r>
  <r>
    <x v="1"/>
    <x v="3"/>
    <x v="6"/>
    <x v="2"/>
    <x v="18"/>
    <x v="3"/>
    <x v="3"/>
    <m/>
    <m/>
    <m/>
    <m/>
    <m/>
    <n v="0"/>
    <n v="0"/>
    <n v="0"/>
    <n v="0"/>
    <n v="0"/>
    <n v="0"/>
    <n v="0"/>
    <n v="0"/>
    <n v="0"/>
    <n v="0"/>
    <m/>
    <s v="CA ET MARGE BRUTE  |  MARGE BRUTE PRODUITS  |  PRODUIT 18"/>
    <m/>
    <x v="1"/>
    <x v="0"/>
    <m/>
    <x v="0"/>
    <n v="1"/>
    <n v="0"/>
    <m/>
  </r>
  <r>
    <x v="1"/>
    <x v="3"/>
    <x v="6"/>
    <x v="2"/>
    <x v="19"/>
    <x v="3"/>
    <x v="3"/>
    <m/>
    <m/>
    <m/>
    <m/>
    <m/>
    <n v="0"/>
    <n v="0"/>
    <n v="0"/>
    <n v="0"/>
    <n v="0"/>
    <n v="0"/>
    <n v="0"/>
    <n v="0"/>
    <n v="0"/>
    <n v="0"/>
    <m/>
    <s v="CA ET MARGE BRUTE  |  MARGE BRUTE PRODUITS  |  PRODUIT 19"/>
    <m/>
    <x v="1"/>
    <x v="0"/>
    <m/>
    <x v="0"/>
    <n v="1"/>
    <n v="0"/>
    <m/>
  </r>
  <r>
    <x v="1"/>
    <x v="3"/>
    <x v="6"/>
    <x v="2"/>
    <x v="20"/>
    <x v="3"/>
    <x v="3"/>
    <m/>
    <m/>
    <m/>
    <m/>
    <m/>
    <n v="0"/>
    <n v="0"/>
    <n v="0"/>
    <n v="0"/>
    <n v="0"/>
    <n v="0"/>
    <n v="0"/>
    <n v="0"/>
    <n v="0"/>
    <n v="0"/>
    <m/>
    <s v="CA ET MARGE BRUTE  |  MARGE BRUTE PRODUITS  |  PRODUIT 20"/>
    <m/>
    <x v="1"/>
    <x v="0"/>
    <m/>
    <x v="0"/>
    <n v="1"/>
    <n v="0"/>
    <m/>
  </r>
  <r>
    <x v="1"/>
    <x v="3"/>
    <x v="6"/>
    <x v="2"/>
    <x v="21"/>
    <x v="4"/>
    <x v="2"/>
    <m/>
    <m/>
    <m/>
    <m/>
    <m/>
    <n v="0"/>
    <n v="0"/>
    <n v="0"/>
    <n v="0"/>
    <n v="0"/>
    <n v="0"/>
    <n v="0"/>
    <n v="0"/>
    <n v="0"/>
    <n v="0"/>
    <m/>
    <s v="CA ET MARGE BRUTE  |  MARGE BRUTE PRODUITS  |  PRODUIT"/>
    <b v="1"/>
    <x v="1"/>
    <x v="1"/>
    <m/>
    <x v="0"/>
    <n v="1"/>
    <m/>
    <m/>
  </r>
  <r>
    <x v="1"/>
    <x v="2"/>
    <x v="0"/>
    <x v="0"/>
    <x v="0"/>
    <x v="0"/>
    <x v="2"/>
    <m/>
    <m/>
    <m/>
    <m/>
    <m/>
    <m/>
    <m/>
    <m/>
    <m/>
    <m/>
    <m/>
    <m/>
    <m/>
    <m/>
    <m/>
    <m/>
    <m/>
    <m/>
    <x v="0"/>
    <x v="0"/>
    <m/>
    <x v="0"/>
    <m/>
    <m/>
    <m/>
  </r>
  <r>
    <x v="1"/>
    <x v="3"/>
    <x v="3"/>
    <x v="2"/>
    <x v="21"/>
    <x v="4"/>
    <x v="4"/>
    <m/>
    <m/>
    <m/>
    <m/>
    <m/>
    <n v="0"/>
    <n v="0"/>
    <n v="0"/>
    <n v="0"/>
    <n v="0"/>
    <n v="0"/>
    <n v="0"/>
    <n v="0"/>
    <n v="0"/>
    <n v="0"/>
    <m/>
    <m/>
    <m/>
    <x v="1"/>
    <x v="2"/>
    <m/>
    <x v="0"/>
    <n v="1"/>
    <m/>
    <n v="1"/>
  </r>
  <r>
    <x v="1"/>
    <x v="3"/>
    <x v="3"/>
    <x v="3"/>
    <x v="21"/>
    <x v="6"/>
    <x v="4"/>
    <m/>
    <m/>
    <m/>
    <m/>
    <m/>
    <m/>
    <s v=""/>
    <m/>
    <m/>
    <s v=""/>
    <s v=""/>
    <s v=""/>
    <s v=""/>
    <s v=""/>
    <s v=""/>
    <m/>
    <m/>
    <m/>
    <x v="1"/>
    <x v="0"/>
    <m/>
    <x v="0"/>
    <n v="1"/>
    <m/>
    <s v="-"/>
  </r>
  <r>
    <x v="1"/>
    <x v="3"/>
    <x v="5"/>
    <x v="2"/>
    <x v="21"/>
    <x v="4"/>
    <x v="4"/>
    <m/>
    <m/>
    <m/>
    <m/>
    <m/>
    <n v="0"/>
    <n v="0"/>
    <n v="0"/>
    <n v="0"/>
    <n v="0"/>
    <n v="0"/>
    <n v="0"/>
    <n v="0"/>
    <n v="0"/>
    <n v="0"/>
    <m/>
    <m/>
    <m/>
    <x v="1"/>
    <x v="2"/>
    <n v="1"/>
    <x v="0"/>
    <n v="1"/>
    <m/>
    <n v="1"/>
  </r>
  <r>
    <x v="1"/>
    <x v="3"/>
    <x v="6"/>
    <x v="2"/>
    <x v="21"/>
    <x v="4"/>
    <x v="4"/>
    <m/>
    <m/>
    <m/>
    <m/>
    <m/>
    <n v="0"/>
    <n v="0"/>
    <n v="0"/>
    <n v="0"/>
    <n v="0"/>
    <n v="0"/>
    <n v="0"/>
    <n v="0"/>
    <n v="0"/>
    <n v="0"/>
    <m/>
    <m/>
    <m/>
    <x v="1"/>
    <x v="2"/>
    <m/>
    <x v="0"/>
    <n v="1"/>
    <m/>
    <s v="-"/>
  </r>
  <r>
    <x v="1"/>
    <x v="4"/>
    <x v="0"/>
    <x v="0"/>
    <x v="0"/>
    <x v="0"/>
    <x v="2"/>
    <m/>
    <m/>
    <m/>
    <m/>
    <m/>
    <b v="1"/>
    <b v="1"/>
    <b v="1"/>
    <b v="1"/>
    <b v="1"/>
    <b v="1"/>
    <b v="1"/>
    <b v="1"/>
    <b v="1"/>
    <b v="1"/>
    <m/>
    <m/>
    <b v="1"/>
    <x v="1"/>
    <x v="0"/>
    <m/>
    <x v="0"/>
    <m/>
    <m/>
    <m/>
  </r>
  <r>
    <x v="1"/>
    <x v="2"/>
    <x v="0"/>
    <x v="0"/>
    <x v="0"/>
    <x v="0"/>
    <x v="2"/>
    <m/>
    <m/>
    <m/>
    <m/>
    <m/>
    <m/>
    <m/>
    <m/>
    <m/>
    <m/>
    <m/>
    <m/>
    <m/>
    <m/>
    <m/>
    <m/>
    <m/>
    <m/>
    <x v="0"/>
    <x v="0"/>
    <m/>
    <x v="0"/>
    <n v="1"/>
    <m/>
    <m/>
  </r>
  <r>
    <x v="1"/>
    <x v="3"/>
    <x v="7"/>
    <x v="2"/>
    <x v="22"/>
    <x v="3"/>
    <x v="3"/>
    <m/>
    <m/>
    <m/>
    <m/>
    <m/>
    <n v="0"/>
    <n v="0"/>
    <n v="0"/>
    <n v="0"/>
    <n v="0"/>
    <n v="0"/>
    <n v="0"/>
    <n v="0"/>
    <n v="0"/>
    <n v="0"/>
    <m/>
    <s v="CA ET MARGE BRUTE  |  REVENUS SERVICES  |  SERVICE 01"/>
    <m/>
    <x v="1"/>
    <x v="0"/>
    <m/>
    <x v="0"/>
    <n v="1"/>
    <n v="0"/>
    <m/>
  </r>
  <r>
    <x v="1"/>
    <x v="3"/>
    <x v="7"/>
    <x v="2"/>
    <x v="23"/>
    <x v="3"/>
    <x v="3"/>
    <m/>
    <m/>
    <m/>
    <m/>
    <m/>
    <n v="0"/>
    <n v="0"/>
    <n v="0"/>
    <n v="0"/>
    <n v="0"/>
    <n v="0"/>
    <n v="0"/>
    <n v="0"/>
    <n v="0"/>
    <n v="0"/>
    <m/>
    <s v="CA ET MARGE BRUTE  |  REVENUS SERVICES  |  SERVICE 02"/>
    <m/>
    <x v="1"/>
    <x v="0"/>
    <m/>
    <x v="0"/>
    <n v="1"/>
    <n v="0"/>
    <m/>
  </r>
  <r>
    <x v="1"/>
    <x v="3"/>
    <x v="7"/>
    <x v="2"/>
    <x v="24"/>
    <x v="3"/>
    <x v="3"/>
    <m/>
    <m/>
    <m/>
    <m/>
    <m/>
    <n v="0"/>
    <n v="0"/>
    <n v="0"/>
    <n v="0"/>
    <n v="0"/>
    <n v="0"/>
    <n v="0"/>
    <n v="0"/>
    <n v="0"/>
    <n v="0"/>
    <m/>
    <s v="CA ET MARGE BRUTE  |  REVENUS SERVICES  |  SERVICE 03"/>
    <m/>
    <x v="1"/>
    <x v="0"/>
    <m/>
    <x v="0"/>
    <n v="1"/>
    <n v="0"/>
    <m/>
  </r>
  <r>
    <x v="1"/>
    <x v="3"/>
    <x v="7"/>
    <x v="2"/>
    <x v="25"/>
    <x v="3"/>
    <x v="3"/>
    <m/>
    <m/>
    <m/>
    <m/>
    <m/>
    <n v="0"/>
    <n v="0"/>
    <n v="0"/>
    <n v="0"/>
    <n v="0"/>
    <n v="0"/>
    <n v="0"/>
    <n v="0"/>
    <n v="0"/>
    <n v="0"/>
    <m/>
    <s v="CA ET MARGE BRUTE  |  REVENUS SERVICES  |  SERVICE 04"/>
    <m/>
    <x v="1"/>
    <x v="0"/>
    <m/>
    <x v="0"/>
    <n v="1"/>
    <n v="0"/>
    <m/>
  </r>
  <r>
    <x v="1"/>
    <x v="3"/>
    <x v="7"/>
    <x v="2"/>
    <x v="26"/>
    <x v="3"/>
    <x v="3"/>
    <m/>
    <m/>
    <m/>
    <m/>
    <m/>
    <n v="0"/>
    <n v="0"/>
    <n v="0"/>
    <n v="0"/>
    <n v="0"/>
    <n v="0"/>
    <n v="0"/>
    <n v="0"/>
    <n v="0"/>
    <n v="0"/>
    <m/>
    <s v="CA ET MARGE BRUTE  |  REVENUS SERVICES  |  SERVICE 05"/>
    <m/>
    <x v="1"/>
    <x v="0"/>
    <m/>
    <x v="0"/>
    <n v="1"/>
    <n v="0"/>
    <m/>
  </r>
  <r>
    <x v="1"/>
    <x v="3"/>
    <x v="7"/>
    <x v="2"/>
    <x v="27"/>
    <x v="3"/>
    <x v="3"/>
    <m/>
    <m/>
    <m/>
    <m/>
    <m/>
    <n v="0"/>
    <n v="0"/>
    <n v="0"/>
    <n v="0"/>
    <n v="0"/>
    <n v="0"/>
    <n v="0"/>
    <n v="0"/>
    <n v="0"/>
    <n v="0"/>
    <m/>
    <s v="CA ET MARGE BRUTE  |  REVENUS SERVICES  |  SERVICE 06"/>
    <m/>
    <x v="1"/>
    <x v="0"/>
    <m/>
    <x v="0"/>
    <n v="1"/>
    <n v="0"/>
    <m/>
  </r>
  <r>
    <x v="1"/>
    <x v="3"/>
    <x v="7"/>
    <x v="2"/>
    <x v="28"/>
    <x v="3"/>
    <x v="3"/>
    <m/>
    <m/>
    <m/>
    <m/>
    <m/>
    <n v="0"/>
    <n v="0"/>
    <n v="0"/>
    <n v="0"/>
    <n v="0"/>
    <n v="0"/>
    <n v="0"/>
    <n v="0"/>
    <n v="0"/>
    <n v="0"/>
    <m/>
    <s v="CA ET MARGE BRUTE  |  REVENUS SERVICES  |  SERVICE 07"/>
    <m/>
    <x v="1"/>
    <x v="0"/>
    <m/>
    <x v="0"/>
    <n v="1"/>
    <n v="0"/>
    <m/>
  </r>
  <r>
    <x v="1"/>
    <x v="3"/>
    <x v="7"/>
    <x v="2"/>
    <x v="29"/>
    <x v="3"/>
    <x v="3"/>
    <m/>
    <m/>
    <m/>
    <m/>
    <m/>
    <n v="0"/>
    <n v="0"/>
    <n v="0"/>
    <n v="0"/>
    <n v="0"/>
    <n v="0"/>
    <n v="0"/>
    <n v="0"/>
    <n v="0"/>
    <n v="0"/>
    <m/>
    <s v="CA ET MARGE BRUTE  |  REVENUS SERVICES  |  SERVICE 08"/>
    <m/>
    <x v="1"/>
    <x v="0"/>
    <m/>
    <x v="0"/>
    <n v="1"/>
    <n v="0"/>
    <m/>
  </r>
  <r>
    <x v="1"/>
    <x v="3"/>
    <x v="7"/>
    <x v="2"/>
    <x v="30"/>
    <x v="3"/>
    <x v="3"/>
    <m/>
    <m/>
    <m/>
    <m/>
    <m/>
    <n v="0"/>
    <n v="0"/>
    <n v="0"/>
    <n v="0"/>
    <n v="0"/>
    <n v="0"/>
    <n v="0"/>
    <n v="0"/>
    <n v="0"/>
    <n v="0"/>
    <m/>
    <s v="CA ET MARGE BRUTE  |  REVENUS SERVICES  |  SERVICE 09"/>
    <m/>
    <x v="1"/>
    <x v="0"/>
    <m/>
    <x v="0"/>
    <n v="1"/>
    <n v="0"/>
    <m/>
  </r>
  <r>
    <x v="1"/>
    <x v="3"/>
    <x v="7"/>
    <x v="2"/>
    <x v="31"/>
    <x v="3"/>
    <x v="3"/>
    <m/>
    <m/>
    <m/>
    <m/>
    <m/>
    <n v="0"/>
    <n v="0"/>
    <n v="0"/>
    <n v="0"/>
    <n v="0"/>
    <n v="0"/>
    <n v="0"/>
    <n v="0"/>
    <n v="0"/>
    <n v="0"/>
    <m/>
    <s v="CA ET MARGE BRUTE  |  REVENUS SERVICES  |  SERVICE 10"/>
    <m/>
    <x v="1"/>
    <x v="0"/>
    <m/>
    <x v="0"/>
    <n v="1"/>
    <n v="0"/>
    <m/>
  </r>
  <r>
    <x v="1"/>
    <x v="3"/>
    <x v="7"/>
    <x v="2"/>
    <x v="32"/>
    <x v="4"/>
    <x v="2"/>
    <m/>
    <m/>
    <m/>
    <m/>
    <m/>
    <n v="0"/>
    <n v="0"/>
    <n v="0"/>
    <n v="0"/>
    <n v="0"/>
    <n v="0"/>
    <n v="0"/>
    <n v="0"/>
    <n v="0"/>
    <n v="0"/>
    <m/>
    <s v="CA ET MARGE BRUTE  |  REVENUS SERVICES  |  SERVICE"/>
    <b v="1"/>
    <x v="1"/>
    <x v="1"/>
    <m/>
    <x v="0"/>
    <n v="1"/>
    <m/>
    <m/>
  </r>
  <r>
    <x v="1"/>
    <x v="2"/>
    <x v="0"/>
    <x v="0"/>
    <x v="0"/>
    <x v="0"/>
    <x v="2"/>
    <m/>
    <m/>
    <m/>
    <m/>
    <m/>
    <m/>
    <m/>
    <m/>
    <m/>
    <m/>
    <m/>
    <m/>
    <m/>
    <m/>
    <m/>
    <m/>
    <m/>
    <m/>
    <x v="0"/>
    <x v="0"/>
    <m/>
    <x v="0"/>
    <m/>
    <m/>
    <m/>
  </r>
  <r>
    <x v="1"/>
    <x v="3"/>
    <x v="8"/>
    <x v="2"/>
    <x v="22"/>
    <x v="3"/>
    <x v="3"/>
    <m/>
    <m/>
    <m/>
    <m/>
    <m/>
    <n v="0"/>
    <n v="0"/>
    <n v="0"/>
    <n v="0"/>
    <n v="0"/>
    <n v="0"/>
    <n v="0"/>
    <n v="0"/>
    <n v="0"/>
    <n v="0"/>
    <m/>
    <s v="CA ET MARGE BRUTE  |  COUT DES SERVICES VENDUS  |  SERVICE 01"/>
    <m/>
    <x v="1"/>
    <x v="0"/>
    <m/>
    <x v="0"/>
    <n v="1"/>
    <n v="0"/>
    <m/>
  </r>
  <r>
    <x v="1"/>
    <x v="3"/>
    <x v="8"/>
    <x v="2"/>
    <x v="23"/>
    <x v="3"/>
    <x v="3"/>
    <m/>
    <m/>
    <m/>
    <m/>
    <m/>
    <n v="0"/>
    <n v="0"/>
    <n v="0"/>
    <n v="0"/>
    <n v="0"/>
    <n v="0"/>
    <n v="0"/>
    <n v="0"/>
    <n v="0"/>
    <n v="0"/>
    <m/>
    <s v="CA ET MARGE BRUTE  |  COUT DES SERVICES VENDUS  |  SERVICE 02"/>
    <m/>
    <x v="1"/>
    <x v="0"/>
    <m/>
    <x v="0"/>
    <n v="1"/>
    <n v="0"/>
    <m/>
  </r>
  <r>
    <x v="1"/>
    <x v="3"/>
    <x v="8"/>
    <x v="2"/>
    <x v="24"/>
    <x v="3"/>
    <x v="3"/>
    <m/>
    <m/>
    <m/>
    <m/>
    <m/>
    <n v="0"/>
    <n v="0"/>
    <n v="0"/>
    <n v="0"/>
    <n v="0"/>
    <n v="0"/>
    <n v="0"/>
    <n v="0"/>
    <n v="0"/>
    <n v="0"/>
    <m/>
    <s v="CA ET MARGE BRUTE  |  COUT DES SERVICES VENDUS  |  SERVICE 03"/>
    <m/>
    <x v="1"/>
    <x v="0"/>
    <m/>
    <x v="0"/>
    <n v="1"/>
    <n v="0"/>
    <m/>
  </r>
  <r>
    <x v="1"/>
    <x v="3"/>
    <x v="8"/>
    <x v="2"/>
    <x v="25"/>
    <x v="3"/>
    <x v="3"/>
    <m/>
    <m/>
    <m/>
    <m/>
    <m/>
    <n v="0"/>
    <n v="0"/>
    <n v="0"/>
    <n v="0"/>
    <n v="0"/>
    <n v="0"/>
    <n v="0"/>
    <n v="0"/>
    <n v="0"/>
    <n v="0"/>
    <m/>
    <s v="CA ET MARGE BRUTE  |  COUT DES SERVICES VENDUS  |  SERVICE 04"/>
    <m/>
    <x v="1"/>
    <x v="0"/>
    <m/>
    <x v="0"/>
    <n v="1"/>
    <n v="0"/>
    <m/>
  </r>
  <r>
    <x v="1"/>
    <x v="3"/>
    <x v="8"/>
    <x v="2"/>
    <x v="26"/>
    <x v="3"/>
    <x v="3"/>
    <m/>
    <m/>
    <m/>
    <m/>
    <m/>
    <n v="0"/>
    <n v="0"/>
    <n v="0"/>
    <n v="0"/>
    <n v="0"/>
    <n v="0"/>
    <n v="0"/>
    <n v="0"/>
    <n v="0"/>
    <n v="0"/>
    <m/>
    <s v="CA ET MARGE BRUTE  |  COUT DES SERVICES VENDUS  |  SERVICE 05"/>
    <m/>
    <x v="1"/>
    <x v="0"/>
    <m/>
    <x v="0"/>
    <n v="1"/>
    <n v="0"/>
    <m/>
  </r>
  <r>
    <x v="1"/>
    <x v="3"/>
    <x v="8"/>
    <x v="2"/>
    <x v="27"/>
    <x v="3"/>
    <x v="3"/>
    <m/>
    <m/>
    <m/>
    <m/>
    <m/>
    <n v="0"/>
    <n v="0"/>
    <n v="0"/>
    <n v="0"/>
    <n v="0"/>
    <n v="0"/>
    <n v="0"/>
    <n v="0"/>
    <n v="0"/>
    <n v="0"/>
    <m/>
    <s v="CA ET MARGE BRUTE  |  COUT DES SERVICES VENDUS  |  SERVICE 06"/>
    <m/>
    <x v="1"/>
    <x v="0"/>
    <m/>
    <x v="0"/>
    <n v="1"/>
    <n v="0"/>
    <m/>
  </r>
  <r>
    <x v="1"/>
    <x v="3"/>
    <x v="8"/>
    <x v="2"/>
    <x v="28"/>
    <x v="3"/>
    <x v="3"/>
    <m/>
    <m/>
    <m/>
    <m/>
    <m/>
    <n v="0"/>
    <n v="0"/>
    <n v="0"/>
    <n v="0"/>
    <n v="0"/>
    <n v="0"/>
    <n v="0"/>
    <n v="0"/>
    <n v="0"/>
    <n v="0"/>
    <m/>
    <s v="CA ET MARGE BRUTE  |  COUT DES SERVICES VENDUS  |  SERVICE 07"/>
    <m/>
    <x v="1"/>
    <x v="0"/>
    <m/>
    <x v="0"/>
    <n v="1"/>
    <n v="0"/>
    <m/>
  </r>
  <r>
    <x v="1"/>
    <x v="3"/>
    <x v="8"/>
    <x v="2"/>
    <x v="29"/>
    <x v="3"/>
    <x v="3"/>
    <m/>
    <m/>
    <m/>
    <m/>
    <m/>
    <n v="0"/>
    <n v="0"/>
    <n v="0"/>
    <n v="0"/>
    <n v="0"/>
    <n v="0"/>
    <n v="0"/>
    <n v="0"/>
    <n v="0"/>
    <n v="0"/>
    <m/>
    <s v="CA ET MARGE BRUTE  |  COUT DES SERVICES VENDUS  |  SERVICE 08"/>
    <m/>
    <x v="1"/>
    <x v="0"/>
    <m/>
    <x v="0"/>
    <n v="1"/>
    <n v="0"/>
    <m/>
  </r>
  <r>
    <x v="1"/>
    <x v="3"/>
    <x v="8"/>
    <x v="2"/>
    <x v="30"/>
    <x v="3"/>
    <x v="3"/>
    <m/>
    <m/>
    <m/>
    <m/>
    <m/>
    <n v="0"/>
    <n v="0"/>
    <n v="0"/>
    <n v="0"/>
    <n v="0"/>
    <n v="0"/>
    <n v="0"/>
    <n v="0"/>
    <n v="0"/>
    <n v="0"/>
    <m/>
    <s v="CA ET MARGE BRUTE  |  COUT DES SERVICES VENDUS  |  SERVICE 09"/>
    <m/>
    <x v="1"/>
    <x v="0"/>
    <m/>
    <x v="0"/>
    <n v="1"/>
    <n v="0"/>
    <m/>
  </r>
  <r>
    <x v="1"/>
    <x v="3"/>
    <x v="8"/>
    <x v="2"/>
    <x v="31"/>
    <x v="3"/>
    <x v="3"/>
    <m/>
    <m/>
    <m/>
    <m/>
    <m/>
    <n v="0"/>
    <n v="0"/>
    <n v="0"/>
    <n v="0"/>
    <n v="0"/>
    <n v="0"/>
    <n v="0"/>
    <n v="0"/>
    <n v="0"/>
    <n v="0"/>
    <m/>
    <s v="CA ET MARGE BRUTE  |  COUT DES SERVICES VENDUS  |  SERVICE 10"/>
    <m/>
    <x v="1"/>
    <x v="0"/>
    <m/>
    <x v="0"/>
    <n v="1"/>
    <n v="0"/>
    <m/>
  </r>
  <r>
    <x v="1"/>
    <x v="3"/>
    <x v="8"/>
    <x v="2"/>
    <x v="32"/>
    <x v="4"/>
    <x v="2"/>
    <m/>
    <m/>
    <m/>
    <m/>
    <m/>
    <n v="0"/>
    <n v="0"/>
    <n v="0"/>
    <n v="0"/>
    <n v="0"/>
    <n v="0"/>
    <n v="0"/>
    <n v="0"/>
    <n v="0"/>
    <n v="0"/>
    <m/>
    <s v="CA ET MARGE BRUTE  |  COUT DES SERVICES VENDUS  |  SERVICE"/>
    <b v="1"/>
    <x v="1"/>
    <x v="1"/>
    <m/>
    <x v="0"/>
    <n v="1"/>
    <m/>
    <m/>
  </r>
  <r>
    <x v="1"/>
    <x v="2"/>
    <x v="0"/>
    <x v="0"/>
    <x v="0"/>
    <x v="0"/>
    <x v="2"/>
    <m/>
    <m/>
    <m/>
    <m/>
    <m/>
    <m/>
    <m/>
    <m/>
    <m/>
    <m/>
    <m/>
    <m/>
    <m/>
    <m/>
    <m/>
    <m/>
    <m/>
    <m/>
    <x v="0"/>
    <x v="0"/>
    <m/>
    <x v="0"/>
    <m/>
    <m/>
    <m/>
  </r>
  <r>
    <x v="1"/>
    <x v="3"/>
    <x v="9"/>
    <x v="2"/>
    <x v="22"/>
    <x v="3"/>
    <x v="3"/>
    <m/>
    <m/>
    <m/>
    <m/>
    <m/>
    <n v="0"/>
    <n v="0"/>
    <n v="0"/>
    <n v="0"/>
    <n v="0"/>
    <n v="0"/>
    <n v="0"/>
    <n v="0"/>
    <n v="0"/>
    <n v="0"/>
    <m/>
    <s v="CA ET MARGE BRUTE  |  MARGE BRUTE SERVICES  |  SERVICE 01"/>
    <m/>
    <x v="1"/>
    <x v="0"/>
    <m/>
    <x v="0"/>
    <n v="1"/>
    <n v="0"/>
    <m/>
  </r>
  <r>
    <x v="1"/>
    <x v="3"/>
    <x v="9"/>
    <x v="2"/>
    <x v="23"/>
    <x v="3"/>
    <x v="3"/>
    <m/>
    <m/>
    <m/>
    <m/>
    <m/>
    <n v="0"/>
    <n v="0"/>
    <n v="0"/>
    <n v="0"/>
    <n v="0"/>
    <n v="0"/>
    <n v="0"/>
    <n v="0"/>
    <n v="0"/>
    <n v="0"/>
    <m/>
    <s v="CA ET MARGE BRUTE  |  MARGE BRUTE SERVICES  |  SERVICE 02"/>
    <m/>
    <x v="1"/>
    <x v="0"/>
    <m/>
    <x v="0"/>
    <n v="1"/>
    <n v="0"/>
    <m/>
  </r>
  <r>
    <x v="1"/>
    <x v="3"/>
    <x v="9"/>
    <x v="2"/>
    <x v="24"/>
    <x v="3"/>
    <x v="3"/>
    <m/>
    <m/>
    <m/>
    <m/>
    <m/>
    <n v="0"/>
    <n v="0"/>
    <n v="0"/>
    <n v="0"/>
    <n v="0"/>
    <n v="0"/>
    <n v="0"/>
    <n v="0"/>
    <n v="0"/>
    <n v="0"/>
    <m/>
    <s v="CA ET MARGE BRUTE  |  MARGE BRUTE SERVICES  |  SERVICE 03"/>
    <m/>
    <x v="1"/>
    <x v="0"/>
    <m/>
    <x v="0"/>
    <n v="1"/>
    <n v="0"/>
    <m/>
  </r>
  <r>
    <x v="1"/>
    <x v="3"/>
    <x v="9"/>
    <x v="2"/>
    <x v="25"/>
    <x v="3"/>
    <x v="3"/>
    <m/>
    <m/>
    <m/>
    <m/>
    <m/>
    <n v="0"/>
    <n v="0"/>
    <n v="0"/>
    <n v="0"/>
    <n v="0"/>
    <n v="0"/>
    <n v="0"/>
    <n v="0"/>
    <n v="0"/>
    <n v="0"/>
    <m/>
    <s v="CA ET MARGE BRUTE  |  MARGE BRUTE SERVICES  |  SERVICE 04"/>
    <m/>
    <x v="1"/>
    <x v="0"/>
    <m/>
    <x v="0"/>
    <n v="1"/>
    <n v="0"/>
    <m/>
  </r>
  <r>
    <x v="1"/>
    <x v="3"/>
    <x v="9"/>
    <x v="2"/>
    <x v="26"/>
    <x v="3"/>
    <x v="3"/>
    <m/>
    <m/>
    <m/>
    <m/>
    <m/>
    <n v="0"/>
    <n v="0"/>
    <n v="0"/>
    <n v="0"/>
    <n v="0"/>
    <n v="0"/>
    <n v="0"/>
    <n v="0"/>
    <n v="0"/>
    <n v="0"/>
    <m/>
    <s v="CA ET MARGE BRUTE  |  MARGE BRUTE SERVICES  |  SERVICE 05"/>
    <m/>
    <x v="1"/>
    <x v="0"/>
    <m/>
    <x v="0"/>
    <n v="1"/>
    <n v="0"/>
    <m/>
  </r>
  <r>
    <x v="1"/>
    <x v="3"/>
    <x v="9"/>
    <x v="2"/>
    <x v="27"/>
    <x v="3"/>
    <x v="3"/>
    <m/>
    <m/>
    <m/>
    <m/>
    <m/>
    <n v="0"/>
    <n v="0"/>
    <n v="0"/>
    <n v="0"/>
    <n v="0"/>
    <n v="0"/>
    <n v="0"/>
    <n v="0"/>
    <n v="0"/>
    <n v="0"/>
    <m/>
    <s v="CA ET MARGE BRUTE  |  MARGE BRUTE SERVICES  |  SERVICE 06"/>
    <m/>
    <x v="1"/>
    <x v="0"/>
    <m/>
    <x v="0"/>
    <n v="1"/>
    <n v="0"/>
    <m/>
  </r>
  <r>
    <x v="1"/>
    <x v="3"/>
    <x v="9"/>
    <x v="2"/>
    <x v="28"/>
    <x v="3"/>
    <x v="3"/>
    <m/>
    <m/>
    <m/>
    <m/>
    <m/>
    <n v="0"/>
    <n v="0"/>
    <n v="0"/>
    <n v="0"/>
    <n v="0"/>
    <n v="0"/>
    <n v="0"/>
    <n v="0"/>
    <n v="0"/>
    <n v="0"/>
    <m/>
    <s v="CA ET MARGE BRUTE  |  MARGE BRUTE SERVICES  |  SERVICE 07"/>
    <m/>
    <x v="1"/>
    <x v="0"/>
    <m/>
    <x v="0"/>
    <n v="1"/>
    <n v="0"/>
    <m/>
  </r>
  <r>
    <x v="1"/>
    <x v="3"/>
    <x v="9"/>
    <x v="2"/>
    <x v="29"/>
    <x v="3"/>
    <x v="3"/>
    <m/>
    <m/>
    <m/>
    <m/>
    <m/>
    <n v="0"/>
    <n v="0"/>
    <n v="0"/>
    <n v="0"/>
    <n v="0"/>
    <n v="0"/>
    <n v="0"/>
    <n v="0"/>
    <n v="0"/>
    <n v="0"/>
    <m/>
    <s v="CA ET MARGE BRUTE  |  MARGE BRUTE SERVICES  |  SERVICE 08"/>
    <m/>
    <x v="1"/>
    <x v="0"/>
    <m/>
    <x v="0"/>
    <n v="1"/>
    <n v="0"/>
    <m/>
  </r>
  <r>
    <x v="1"/>
    <x v="3"/>
    <x v="9"/>
    <x v="2"/>
    <x v="30"/>
    <x v="3"/>
    <x v="3"/>
    <m/>
    <m/>
    <m/>
    <m/>
    <m/>
    <n v="0"/>
    <n v="0"/>
    <n v="0"/>
    <n v="0"/>
    <n v="0"/>
    <n v="0"/>
    <n v="0"/>
    <n v="0"/>
    <n v="0"/>
    <n v="0"/>
    <m/>
    <s v="CA ET MARGE BRUTE  |  MARGE BRUTE SERVICES  |  SERVICE 09"/>
    <m/>
    <x v="1"/>
    <x v="0"/>
    <m/>
    <x v="0"/>
    <n v="1"/>
    <n v="0"/>
    <m/>
  </r>
  <r>
    <x v="1"/>
    <x v="3"/>
    <x v="9"/>
    <x v="2"/>
    <x v="31"/>
    <x v="3"/>
    <x v="3"/>
    <m/>
    <m/>
    <m/>
    <m/>
    <m/>
    <n v="0"/>
    <n v="0"/>
    <n v="0"/>
    <n v="0"/>
    <n v="0"/>
    <n v="0"/>
    <n v="0"/>
    <n v="0"/>
    <n v="0"/>
    <n v="0"/>
    <m/>
    <s v="CA ET MARGE BRUTE  |  MARGE BRUTE SERVICES  |  SERVICE 10"/>
    <m/>
    <x v="1"/>
    <x v="0"/>
    <m/>
    <x v="0"/>
    <n v="1"/>
    <n v="0"/>
    <m/>
  </r>
  <r>
    <x v="1"/>
    <x v="3"/>
    <x v="9"/>
    <x v="2"/>
    <x v="32"/>
    <x v="4"/>
    <x v="2"/>
    <m/>
    <m/>
    <m/>
    <m/>
    <m/>
    <n v="0"/>
    <n v="0"/>
    <n v="0"/>
    <n v="0"/>
    <n v="0"/>
    <n v="0"/>
    <n v="0"/>
    <n v="0"/>
    <n v="0"/>
    <n v="0"/>
    <m/>
    <s v="CA ET MARGE BRUTE  |  MARGE BRUTE SERVICES  |  SERVICE"/>
    <b v="1"/>
    <x v="1"/>
    <x v="1"/>
    <m/>
    <x v="0"/>
    <n v="1"/>
    <m/>
    <m/>
  </r>
  <r>
    <x v="1"/>
    <x v="2"/>
    <x v="0"/>
    <x v="0"/>
    <x v="0"/>
    <x v="0"/>
    <x v="2"/>
    <m/>
    <m/>
    <m/>
    <m/>
    <m/>
    <m/>
    <m/>
    <m/>
    <m/>
    <m/>
    <m/>
    <m/>
    <m/>
    <m/>
    <m/>
    <m/>
    <m/>
    <m/>
    <x v="0"/>
    <x v="0"/>
    <m/>
    <x v="0"/>
    <m/>
    <m/>
    <m/>
  </r>
  <r>
    <x v="1"/>
    <x v="3"/>
    <x v="7"/>
    <x v="2"/>
    <x v="32"/>
    <x v="4"/>
    <x v="4"/>
    <m/>
    <m/>
    <m/>
    <m/>
    <m/>
    <n v="0"/>
    <n v="0"/>
    <n v="0"/>
    <n v="0"/>
    <n v="0"/>
    <n v="0"/>
    <n v="0"/>
    <n v="0"/>
    <n v="0"/>
    <n v="0"/>
    <m/>
    <s v="CA ET MARGE BRUTE  |  REVENUS SERVICES  |  SERVICE"/>
    <m/>
    <x v="1"/>
    <x v="2"/>
    <m/>
    <x v="0"/>
    <n v="1"/>
    <m/>
    <n v="1"/>
  </r>
  <r>
    <x v="1"/>
    <x v="3"/>
    <x v="7"/>
    <x v="3"/>
    <x v="32"/>
    <x v="6"/>
    <x v="4"/>
    <m/>
    <m/>
    <m/>
    <m/>
    <m/>
    <m/>
    <s v=""/>
    <m/>
    <m/>
    <s v=""/>
    <s v=""/>
    <s v=""/>
    <s v=""/>
    <s v=""/>
    <s v=""/>
    <m/>
    <s v="CA ET MARGE BRUTE  |  REVENUS SERVICES  |  SERVICE"/>
    <m/>
    <x v="1"/>
    <x v="0"/>
    <m/>
    <x v="0"/>
    <n v="1"/>
    <m/>
    <s v="-"/>
  </r>
  <r>
    <x v="1"/>
    <x v="3"/>
    <x v="8"/>
    <x v="2"/>
    <x v="32"/>
    <x v="4"/>
    <x v="4"/>
    <m/>
    <m/>
    <m/>
    <m/>
    <m/>
    <n v="0"/>
    <n v="0"/>
    <n v="0"/>
    <n v="0"/>
    <n v="0"/>
    <n v="0"/>
    <n v="0"/>
    <n v="0"/>
    <n v="0"/>
    <n v="0"/>
    <m/>
    <s v="CA ET MARGE BRUTE  |  COUT DES SERVICES VENDUS  |  SERVICE"/>
    <m/>
    <x v="1"/>
    <x v="2"/>
    <m/>
    <x v="0"/>
    <n v="1"/>
    <m/>
    <n v="1"/>
  </r>
  <r>
    <x v="1"/>
    <x v="3"/>
    <x v="9"/>
    <x v="2"/>
    <x v="32"/>
    <x v="4"/>
    <x v="4"/>
    <m/>
    <m/>
    <m/>
    <m/>
    <m/>
    <n v="0"/>
    <n v="0"/>
    <n v="0"/>
    <n v="0"/>
    <n v="0"/>
    <n v="0"/>
    <n v="0"/>
    <n v="0"/>
    <n v="0"/>
    <n v="0"/>
    <m/>
    <s v="CA ET MARGE BRUTE  |  MARGE BRUTE SERVICES  |  SERVICE"/>
    <m/>
    <x v="1"/>
    <x v="2"/>
    <m/>
    <x v="0"/>
    <n v="1"/>
    <m/>
    <s v="-"/>
  </r>
  <r>
    <x v="1"/>
    <x v="4"/>
    <x v="0"/>
    <x v="0"/>
    <x v="0"/>
    <x v="0"/>
    <x v="2"/>
    <m/>
    <m/>
    <m/>
    <m/>
    <m/>
    <b v="1"/>
    <b v="1"/>
    <b v="1"/>
    <b v="1"/>
    <b v="1"/>
    <b v="1"/>
    <b v="1"/>
    <b v="1"/>
    <b v="1"/>
    <b v="1"/>
    <m/>
    <m/>
    <b v="1"/>
    <x v="1"/>
    <x v="0"/>
    <m/>
    <x v="0"/>
    <m/>
    <m/>
    <m/>
  </r>
  <r>
    <x v="1"/>
    <x v="2"/>
    <x v="0"/>
    <x v="0"/>
    <x v="0"/>
    <x v="0"/>
    <x v="2"/>
    <m/>
    <m/>
    <m/>
    <m/>
    <m/>
    <m/>
    <m/>
    <m/>
    <m/>
    <m/>
    <m/>
    <m/>
    <m/>
    <m/>
    <m/>
    <m/>
    <m/>
    <m/>
    <x v="0"/>
    <x v="0"/>
    <m/>
    <x v="0"/>
    <m/>
    <m/>
    <m/>
  </r>
  <r>
    <x v="1"/>
    <x v="3"/>
    <x v="10"/>
    <x v="2"/>
    <x v="21"/>
    <x v="7"/>
    <x v="2"/>
    <m/>
    <m/>
    <m/>
    <m/>
    <m/>
    <n v="0"/>
    <n v="0"/>
    <n v="0"/>
    <n v="0"/>
    <n v="0"/>
    <n v="0"/>
    <n v="0"/>
    <n v="0"/>
    <n v="0"/>
    <n v="0"/>
    <m/>
    <s v="CA ET MARGE BRUTE  |  AUGMENTATION DES STOCKS  |  PRODUIT"/>
    <m/>
    <x v="0"/>
    <x v="0"/>
    <m/>
    <x v="0"/>
    <n v="1"/>
    <m/>
    <m/>
  </r>
  <r>
    <x v="1"/>
    <x v="3"/>
    <x v="11"/>
    <x v="2"/>
    <x v="21"/>
    <x v="7"/>
    <x v="2"/>
    <m/>
    <m/>
    <m/>
    <m/>
    <m/>
    <n v="0"/>
    <n v="0"/>
    <n v="0"/>
    <n v="0"/>
    <n v="0"/>
    <n v="0"/>
    <n v="0"/>
    <n v="0"/>
    <n v="0"/>
    <n v="0"/>
    <m/>
    <s v="CA ET MARGE BRUTE  |  DIMINUTION DES STOCKS  |  PRODUIT"/>
    <m/>
    <x v="0"/>
    <x v="0"/>
    <m/>
    <x v="0"/>
    <n v="1"/>
    <m/>
    <m/>
  </r>
  <r>
    <x v="1"/>
    <x v="3"/>
    <x v="12"/>
    <x v="2"/>
    <x v="21"/>
    <x v="4"/>
    <x v="2"/>
    <m/>
    <m/>
    <m/>
    <m/>
    <m/>
    <n v="0"/>
    <n v="0"/>
    <n v="0"/>
    <n v="0"/>
    <n v="0"/>
    <n v="0"/>
    <n v="0"/>
    <n v="0"/>
    <n v="0"/>
    <n v="0"/>
    <m/>
    <s v="CA ET MARGE BRUTE  |  VARIATION DES STOCKS  |  PRODUIT"/>
    <m/>
    <x v="0"/>
    <x v="2"/>
    <m/>
    <x v="0"/>
    <n v="1"/>
    <m/>
    <m/>
  </r>
  <r>
    <x v="1"/>
    <x v="2"/>
    <x v="0"/>
    <x v="0"/>
    <x v="0"/>
    <x v="0"/>
    <x v="2"/>
    <m/>
    <m/>
    <m/>
    <m/>
    <m/>
    <m/>
    <m/>
    <m/>
    <m/>
    <m/>
    <m/>
    <m/>
    <m/>
    <m/>
    <m/>
    <m/>
    <m/>
    <m/>
    <x v="0"/>
    <x v="0"/>
    <m/>
    <x v="0"/>
    <m/>
    <m/>
    <m/>
  </r>
  <r>
    <x v="1"/>
    <x v="3"/>
    <x v="13"/>
    <x v="2"/>
    <x v="33"/>
    <x v="4"/>
    <x v="4"/>
    <m/>
    <m/>
    <m/>
    <m/>
    <m/>
    <n v="0"/>
    <n v="0"/>
    <n v="0"/>
    <n v="0"/>
    <n v="0"/>
    <n v="0"/>
    <n v="0"/>
    <n v="0"/>
    <n v="0"/>
    <n v="0"/>
    <m/>
    <s v="CA ET MARGE BRUTE  |  CHIFFRE D'AFFAIRES  |  PRODUIT + SERVICE"/>
    <m/>
    <x v="1"/>
    <x v="2"/>
    <n v="1"/>
    <x v="0"/>
    <n v="1"/>
    <m/>
    <m/>
  </r>
  <r>
    <x v="1"/>
    <x v="3"/>
    <x v="13"/>
    <x v="3"/>
    <x v="33"/>
    <x v="6"/>
    <x v="4"/>
    <m/>
    <m/>
    <m/>
    <m/>
    <m/>
    <m/>
    <s v=""/>
    <m/>
    <m/>
    <s v=""/>
    <s v=""/>
    <s v=""/>
    <s v=""/>
    <s v=""/>
    <s v=""/>
    <m/>
    <s v="CA ET MARGE BRUTE  |  CHIFFRE D'AFFAIRES  |  PRODUIT + SERVICE"/>
    <m/>
    <x v="1"/>
    <x v="0"/>
    <m/>
    <x v="0"/>
    <n v="1"/>
    <m/>
    <m/>
  </r>
  <r>
    <x v="1"/>
    <x v="3"/>
    <x v="14"/>
    <x v="2"/>
    <x v="33"/>
    <x v="4"/>
    <x v="4"/>
    <m/>
    <m/>
    <m/>
    <m/>
    <m/>
    <n v="0"/>
    <n v="0"/>
    <n v="0"/>
    <n v="0"/>
    <n v="0"/>
    <n v="0"/>
    <n v="0"/>
    <n v="0"/>
    <n v="0"/>
    <n v="0"/>
    <m/>
    <s v="CA ET MARGE BRUTE  |  DEPENSES SUR ACHATS  |  PRODUIT + SERVICE"/>
    <m/>
    <x v="1"/>
    <x v="2"/>
    <n v="1"/>
    <x v="0"/>
    <n v="1"/>
    <m/>
    <m/>
  </r>
  <r>
    <x v="1"/>
    <x v="3"/>
    <x v="15"/>
    <x v="2"/>
    <x v="33"/>
    <x v="4"/>
    <x v="4"/>
    <m/>
    <m/>
    <m/>
    <m/>
    <m/>
    <n v="0"/>
    <n v="0"/>
    <n v="0"/>
    <n v="0"/>
    <n v="0"/>
    <n v="0"/>
    <n v="0"/>
    <n v="0"/>
    <n v="0"/>
    <n v="0"/>
    <m/>
    <s v="CA ET MARGE BRUTE  |  MARGE BRUTE  |  PRODUIT + SERVICE"/>
    <m/>
    <x v="1"/>
    <x v="2"/>
    <m/>
    <x v="0"/>
    <n v="1"/>
    <m/>
    <m/>
  </r>
  <r>
    <x v="1"/>
    <x v="4"/>
    <x v="0"/>
    <x v="0"/>
    <x v="0"/>
    <x v="0"/>
    <x v="2"/>
    <m/>
    <m/>
    <m/>
    <m/>
    <m/>
    <b v="1"/>
    <b v="1"/>
    <b v="1"/>
    <b v="1"/>
    <b v="1"/>
    <b v="1"/>
    <b v="1"/>
    <b v="1"/>
    <b v="1"/>
    <b v="1"/>
    <m/>
    <m/>
    <b v="1"/>
    <x v="1"/>
    <x v="0"/>
    <m/>
    <x v="0"/>
    <m/>
    <m/>
    <m/>
  </r>
  <r>
    <x v="1"/>
    <x v="2"/>
    <x v="0"/>
    <x v="0"/>
    <x v="0"/>
    <x v="0"/>
    <x v="2"/>
    <m/>
    <m/>
    <m/>
    <m/>
    <m/>
    <m/>
    <m/>
    <m/>
    <m/>
    <m/>
    <m/>
    <m/>
    <m/>
    <m/>
    <m/>
    <m/>
    <m/>
    <m/>
    <x v="0"/>
    <x v="0"/>
    <m/>
    <x v="0"/>
    <m/>
    <m/>
    <m/>
  </r>
  <r>
    <x v="1"/>
    <x v="2"/>
    <x v="0"/>
    <x v="0"/>
    <x v="0"/>
    <x v="0"/>
    <x v="2"/>
    <m/>
    <m/>
    <m/>
    <m/>
    <m/>
    <m/>
    <m/>
    <m/>
    <m/>
    <m/>
    <m/>
    <m/>
    <m/>
    <m/>
    <m/>
    <m/>
    <m/>
    <m/>
    <x v="0"/>
    <x v="0"/>
    <m/>
    <x v="0"/>
    <m/>
    <m/>
    <m/>
  </r>
  <r>
    <x v="2"/>
    <x v="2"/>
    <x v="0"/>
    <x v="0"/>
    <x v="0"/>
    <x v="0"/>
    <x v="2"/>
    <m/>
    <m/>
    <m/>
    <m/>
    <m/>
    <m/>
    <m/>
    <m/>
    <m/>
    <m/>
    <m/>
    <m/>
    <m/>
    <m/>
    <m/>
    <m/>
    <m/>
    <m/>
    <x v="0"/>
    <x v="0"/>
    <m/>
    <x v="0"/>
    <m/>
    <m/>
    <m/>
  </r>
  <r>
    <x v="2"/>
    <x v="2"/>
    <x v="0"/>
    <x v="0"/>
    <x v="0"/>
    <x v="0"/>
    <x v="2"/>
    <m/>
    <m/>
    <m/>
    <m/>
    <m/>
    <m/>
    <m/>
    <m/>
    <m/>
    <m/>
    <m/>
    <m/>
    <m/>
    <m/>
    <m/>
    <m/>
    <m/>
    <m/>
    <x v="0"/>
    <x v="0"/>
    <m/>
    <x v="0"/>
    <m/>
    <m/>
    <m/>
  </r>
  <r>
    <x v="2"/>
    <x v="5"/>
    <x v="16"/>
    <x v="2"/>
    <x v="34"/>
    <x v="8"/>
    <x v="2"/>
    <m/>
    <m/>
    <m/>
    <m/>
    <m/>
    <n v="0"/>
    <n v="0"/>
    <n v="0"/>
    <n v="0"/>
    <n v="0"/>
    <n v="0"/>
    <n v="0"/>
    <n v="0"/>
    <n v="0"/>
    <n v="0"/>
    <m/>
    <s v="DEPENSES OPERATIONNELLES  |  COUT DE MARKETING  |  MARKETING  |  RECHERCHE"/>
    <m/>
    <x v="2"/>
    <x v="0"/>
    <m/>
    <x v="0"/>
    <n v="1"/>
    <m/>
    <m/>
  </r>
  <r>
    <x v="2"/>
    <x v="5"/>
    <x v="16"/>
    <x v="2"/>
    <x v="34"/>
    <x v="9"/>
    <x v="2"/>
    <m/>
    <m/>
    <m/>
    <m/>
    <m/>
    <n v="0"/>
    <n v="0"/>
    <n v="0"/>
    <n v="0"/>
    <n v="0"/>
    <n v="0"/>
    <n v="0"/>
    <n v="0"/>
    <n v="0"/>
    <n v="0"/>
    <m/>
    <s v="DEPENSES OPERATIONNELLES  |  COUT DE MARKETING  |  MARKETING  |  ACHATS D'ÉTUDES ET PRESTATIONS DE SERVICES"/>
    <m/>
    <x v="2"/>
    <x v="0"/>
    <m/>
    <x v="0"/>
    <n v="1"/>
    <m/>
    <m/>
  </r>
  <r>
    <x v="2"/>
    <x v="5"/>
    <x v="16"/>
    <x v="2"/>
    <x v="34"/>
    <x v="10"/>
    <x v="2"/>
    <m/>
    <m/>
    <m/>
    <m/>
    <m/>
    <n v="0"/>
    <n v="0"/>
    <n v="0"/>
    <n v="0"/>
    <n v="0"/>
    <n v="0"/>
    <n v="0"/>
    <n v="0"/>
    <n v="0"/>
    <n v="0"/>
    <m/>
    <s v="DEPENSES OPERATIONNELLES  |  COUT DE MARKETING  |  MARKETING  |  RECEPTIONS"/>
    <m/>
    <x v="2"/>
    <x v="0"/>
    <m/>
    <x v="0"/>
    <n v="1"/>
    <m/>
    <m/>
  </r>
  <r>
    <x v="2"/>
    <x v="5"/>
    <x v="16"/>
    <x v="2"/>
    <x v="34"/>
    <x v="11"/>
    <x v="2"/>
    <m/>
    <m/>
    <m/>
    <m/>
    <m/>
    <n v="0"/>
    <n v="0"/>
    <n v="0"/>
    <n v="0"/>
    <n v="0"/>
    <n v="0"/>
    <n v="0"/>
    <n v="0"/>
    <n v="0"/>
    <n v="0"/>
    <m/>
    <s v="DEPENSES OPERATIONNELLES  |  COUT DE MARKETING  |  MARKETING  |  DOCUMENTATION GENERALE"/>
    <m/>
    <x v="2"/>
    <x v="0"/>
    <m/>
    <x v="0"/>
    <n v="1"/>
    <m/>
    <m/>
  </r>
  <r>
    <x v="2"/>
    <x v="5"/>
    <x v="16"/>
    <x v="2"/>
    <x v="34"/>
    <x v="12"/>
    <x v="2"/>
    <m/>
    <m/>
    <m/>
    <m/>
    <m/>
    <n v="0"/>
    <n v="0"/>
    <n v="0"/>
    <n v="0"/>
    <n v="0"/>
    <n v="0"/>
    <n v="0"/>
    <n v="0"/>
    <n v="0"/>
    <n v="0"/>
    <m/>
    <s v="DEPENSES OPERATIONNELLES  |  COUT DE MARKETING  |  MARKETING  |  PUBLICITE"/>
    <m/>
    <x v="2"/>
    <x v="0"/>
    <m/>
    <x v="0"/>
    <n v="1"/>
    <m/>
    <m/>
  </r>
  <r>
    <x v="2"/>
    <x v="5"/>
    <x v="16"/>
    <x v="2"/>
    <x v="34"/>
    <x v="13"/>
    <x v="2"/>
    <m/>
    <m/>
    <m/>
    <m/>
    <m/>
    <n v="0"/>
    <n v="0"/>
    <n v="0"/>
    <n v="0"/>
    <n v="0"/>
    <n v="0"/>
    <n v="0"/>
    <n v="0"/>
    <n v="0"/>
    <n v="0"/>
    <m/>
    <s v="DEPENSES OPERATIONNELLES  |  COUT DE MARKETING  |  MARKETING"/>
    <m/>
    <x v="2"/>
    <x v="0"/>
    <m/>
    <x v="0"/>
    <n v="0"/>
    <m/>
    <m/>
  </r>
  <r>
    <x v="2"/>
    <x v="5"/>
    <x v="16"/>
    <x v="2"/>
    <x v="34"/>
    <x v="14"/>
    <x v="2"/>
    <m/>
    <m/>
    <m/>
    <m/>
    <m/>
    <n v="0"/>
    <n v="0"/>
    <n v="0"/>
    <n v="0"/>
    <n v="0"/>
    <n v="0"/>
    <n v="0"/>
    <n v="0"/>
    <n v="0"/>
    <n v="0"/>
    <m/>
    <s v="DEPENSES OPERATIONNELLES  |  COUT DE MARKETING  |  MARKETING"/>
    <m/>
    <x v="2"/>
    <x v="0"/>
    <m/>
    <x v="0"/>
    <n v="0"/>
    <m/>
    <m/>
  </r>
  <r>
    <x v="2"/>
    <x v="5"/>
    <x v="16"/>
    <x v="2"/>
    <x v="34"/>
    <x v="15"/>
    <x v="2"/>
    <m/>
    <m/>
    <m/>
    <m/>
    <m/>
    <n v="0"/>
    <n v="0"/>
    <n v="0"/>
    <n v="0"/>
    <n v="0"/>
    <n v="0"/>
    <n v="0"/>
    <n v="0"/>
    <n v="0"/>
    <n v="0"/>
    <m/>
    <s v="DEPENSES OPERATIONNELLES  |  COUT DE MARKETING  |  MARKETING"/>
    <m/>
    <x v="2"/>
    <x v="0"/>
    <m/>
    <x v="0"/>
    <n v="0"/>
    <m/>
    <m/>
  </r>
  <r>
    <x v="2"/>
    <x v="5"/>
    <x v="16"/>
    <x v="2"/>
    <x v="34"/>
    <x v="16"/>
    <x v="2"/>
    <m/>
    <m/>
    <m/>
    <m/>
    <m/>
    <n v="0"/>
    <n v="0"/>
    <n v="0"/>
    <n v="0"/>
    <n v="0"/>
    <n v="0"/>
    <n v="0"/>
    <n v="0"/>
    <n v="0"/>
    <n v="0"/>
    <m/>
    <s v="DEPENSES OPERATIONNELLES  |  COUT DE MARKETING  |  MARKETING"/>
    <m/>
    <x v="2"/>
    <x v="0"/>
    <m/>
    <x v="0"/>
    <n v="0"/>
    <m/>
    <m/>
  </r>
  <r>
    <x v="2"/>
    <x v="5"/>
    <x v="16"/>
    <x v="2"/>
    <x v="34"/>
    <x v="17"/>
    <x v="2"/>
    <m/>
    <m/>
    <m/>
    <m/>
    <m/>
    <n v="0"/>
    <n v="0"/>
    <n v="0"/>
    <n v="0"/>
    <n v="0"/>
    <n v="0"/>
    <n v="0"/>
    <n v="0"/>
    <n v="0"/>
    <n v="0"/>
    <m/>
    <s v="DEPENSES OPERATIONNELLES  |  COUT DE MARKETING  |  MARKETING"/>
    <m/>
    <x v="2"/>
    <x v="0"/>
    <m/>
    <x v="0"/>
    <n v="0"/>
    <m/>
    <m/>
  </r>
  <r>
    <x v="2"/>
    <x v="5"/>
    <x v="16"/>
    <x v="2"/>
    <x v="34"/>
    <x v="4"/>
    <x v="2"/>
    <m/>
    <m/>
    <m/>
    <m/>
    <m/>
    <n v="0"/>
    <n v="0"/>
    <n v="0"/>
    <n v="0"/>
    <n v="0"/>
    <n v="0"/>
    <n v="0"/>
    <n v="0"/>
    <n v="0"/>
    <n v="0"/>
    <m/>
    <m/>
    <m/>
    <x v="1"/>
    <x v="0"/>
    <m/>
    <x v="0"/>
    <m/>
    <m/>
    <m/>
  </r>
  <r>
    <x v="2"/>
    <x v="2"/>
    <x v="0"/>
    <x v="0"/>
    <x v="0"/>
    <x v="0"/>
    <x v="2"/>
    <m/>
    <m/>
    <m/>
    <m/>
    <m/>
    <m/>
    <m/>
    <m/>
    <m/>
    <m/>
    <m/>
    <m/>
    <m/>
    <m/>
    <m/>
    <m/>
    <m/>
    <m/>
    <x v="0"/>
    <x v="0"/>
    <m/>
    <x v="0"/>
    <m/>
    <m/>
    <m/>
  </r>
  <r>
    <x v="2"/>
    <x v="5"/>
    <x v="17"/>
    <x v="4"/>
    <x v="35"/>
    <x v="18"/>
    <x v="5"/>
    <m/>
    <m/>
    <m/>
    <m/>
    <m/>
    <n v="0"/>
    <n v="0"/>
    <n v="0"/>
    <n v="0"/>
    <n v="0"/>
    <n v="0"/>
    <n v="0"/>
    <n v="0"/>
    <n v="0"/>
    <n v="0"/>
    <s v="Pas de travailleurs saisonniers"/>
    <s v="DEPENSES OPERATIONNELLES  |  SALAIRES DE PERSONNEL  |  EFF_CAT01  |  NOMBRE D'EMPLOYÉ(E)S"/>
    <m/>
    <x v="2"/>
    <x v="0"/>
    <m/>
    <x v="0"/>
    <n v="1"/>
    <m/>
    <m/>
  </r>
  <r>
    <x v="2"/>
    <x v="5"/>
    <x v="17"/>
    <x v="2"/>
    <x v="35"/>
    <x v="19"/>
    <x v="5"/>
    <m/>
    <m/>
    <m/>
    <m/>
    <m/>
    <n v="0"/>
    <n v="0"/>
    <n v="0"/>
    <n v="0"/>
    <n v="0"/>
    <n v="0"/>
    <n v="0"/>
    <n v="0"/>
    <n v="0"/>
    <n v="0"/>
    <m/>
    <s v="DEPENSES OPERATIONNELLES  |  SALAIRES DE PERSONNEL  |  EFF_CAT01  |  SALAIRE BRUT PAR PERSONNE ET PAR PERIODE"/>
    <m/>
    <x v="2"/>
    <x v="0"/>
    <m/>
    <x v="0"/>
    <n v="1"/>
    <m/>
    <m/>
  </r>
  <r>
    <x v="2"/>
    <x v="5"/>
    <x v="17"/>
    <x v="2"/>
    <x v="35"/>
    <x v="20"/>
    <x v="5"/>
    <m/>
    <m/>
    <m/>
    <m/>
    <m/>
    <n v="0"/>
    <n v="0"/>
    <n v="0"/>
    <n v="0"/>
    <n v="0"/>
    <n v="0"/>
    <n v="0"/>
    <n v="0"/>
    <n v="0"/>
    <n v="0"/>
    <m/>
    <s v="DEPENSES OPERATIONNELLES  |  SALAIRES DE PERSONNEL  |  EFF_CAT01  |  AUTRES INDEMNITÉS ET AVANTAGES DIVERS VERSES AU PERSONNEL"/>
    <m/>
    <x v="2"/>
    <x v="0"/>
    <m/>
    <x v="0"/>
    <n v="1"/>
    <m/>
    <m/>
  </r>
  <r>
    <x v="2"/>
    <x v="5"/>
    <x v="17"/>
    <x v="2"/>
    <x v="35"/>
    <x v="21"/>
    <x v="5"/>
    <n v="0"/>
    <m/>
    <m/>
    <m/>
    <m/>
    <n v="0"/>
    <n v="0"/>
    <n v="0"/>
    <n v="0"/>
    <n v="0"/>
    <n v="0"/>
    <n v="0"/>
    <n v="0"/>
    <n v="0"/>
    <n v="0"/>
    <m/>
    <s v="DEPENSES OPERATIONNELLES  |  SALAIRES DE PERSONNEL  |  EFF_CAT01  |  COTISATIONS PATRONALES DE SECURITE SOCIALE"/>
    <m/>
    <x v="2"/>
    <x v="0"/>
    <m/>
    <x v="0"/>
    <n v="1"/>
    <m/>
    <m/>
  </r>
  <r>
    <x v="2"/>
    <x v="5"/>
    <x v="17"/>
    <x v="2"/>
    <x v="35"/>
    <x v="22"/>
    <x v="5"/>
    <m/>
    <m/>
    <m/>
    <m/>
    <m/>
    <n v="0"/>
    <n v="0"/>
    <n v="0"/>
    <n v="0"/>
    <n v="0"/>
    <n v="0"/>
    <n v="0"/>
    <n v="0"/>
    <n v="0"/>
    <n v="0"/>
    <m/>
    <s v="DEPENSES OPERATIONNELLES  |  SALAIRES DE PERSONNEL  |  EFF_CAT01  |  COUT PAR PERSONNE ET PAR PERIODE"/>
    <m/>
    <x v="2"/>
    <x v="0"/>
    <m/>
    <x v="0"/>
    <n v="1"/>
    <m/>
    <m/>
  </r>
  <r>
    <x v="2"/>
    <x v="5"/>
    <x v="17"/>
    <x v="2"/>
    <x v="35"/>
    <x v="4"/>
    <x v="5"/>
    <m/>
    <m/>
    <m/>
    <m/>
    <m/>
    <n v="0"/>
    <n v="0"/>
    <n v="0"/>
    <n v="0"/>
    <n v="0"/>
    <n v="0"/>
    <n v="0"/>
    <n v="0"/>
    <n v="0"/>
    <n v="0"/>
    <m/>
    <m/>
    <m/>
    <x v="1"/>
    <x v="0"/>
    <m/>
    <x v="0"/>
    <m/>
    <m/>
    <m/>
  </r>
  <r>
    <x v="2"/>
    <x v="2"/>
    <x v="0"/>
    <x v="0"/>
    <x v="0"/>
    <x v="0"/>
    <x v="2"/>
    <m/>
    <m/>
    <m/>
    <m/>
    <m/>
    <m/>
    <m/>
    <m/>
    <m/>
    <m/>
    <m/>
    <m/>
    <m/>
    <m/>
    <m/>
    <m/>
    <m/>
    <m/>
    <x v="0"/>
    <x v="0"/>
    <m/>
    <x v="0"/>
    <m/>
    <m/>
    <m/>
  </r>
  <r>
    <x v="2"/>
    <x v="5"/>
    <x v="17"/>
    <x v="4"/>
    <x v="36"/>
    <x v="18"/>
    <x v="6"/>
    <m/>
    <m/>
    <m/>
    <m/>
    <m/>
    <n v="0"/>
    <n v="0"/>
    <n v="0"/>
    <n v="0"/>
    <n v="0"/>
    <n v="0"/>
    <n v="0"/>
    <n v="0"/>
    <n v="0"/>
    <n v="0"/>
    <m/>
    <s v="DEPENSES OPERATIONNELLES  |  SALAIRES DE PERSONNEL  |  EFF_CAT02  |  NOMBRE D'EMPLOYÉ(E)S"/>
    <m/>
    <x v="2"/>
    <x v="0"/>
    <m/>
    <x v="0"/>
    <n v="1"/>
    <m/>
    <m/>
  </r>
  <r>
    <x v="2"/>
    <x v="5"/>
    <x v="17"/>
    <x v="2"/>
    <x v="36"/>
    <x v="19"/>
    <x v="6"/>
    <m/>
    <m/>
    <m/>
    <m/>
    <m/>
    <n v="0"/>
    <n v="0"/>
    <n v="0"/>
    <n v="0"/>
    <n v="0"/>
    <n v="0"/>
    <n v="0"/>
    <n v="0"/>
    <n v="0"/>
    <n v="0"/>
    <s v="? x salaire minimun en 2026"/>
    <s v="DEPENSES OPERATIONNELLES  |  SALAIRES DE PERSONNEL  |  EFF_CAT02  |  SALAIRE BRUT PAR PERSONNE ET PAR PERIODE"/>
    <m/>
    <x v="2"/>
    <x v="0"/>
    <m/>
    <x v="0"/>
    <n v="1"/>
    <m/>
    <m/>
  </r>
  <r>
    <x v="2"/>
    <x v="5"/>
    <x v="17"/>
    <x v="2"/>
    <x v="36"/>
    <x v="20"/>
    <x v="6"/>
    <m/>
    <m/>
    <m/>
    <m/>
    <m/>
    <n v="0"/>
    <n v="0"/>
    <n v="0"/>
    <n v="0"/>
    <n v="0"/>
    <n v="0"/>
    <n v="0"/>
    <n v="0"/>
    <n v="0"/>
    <n v="0"/>
    <m/>
    <s v="DEPENSES OPERATIONNELLES  |  SALAIRES DE PERSONNEL  |  EFF_CAT02  |  AUTRES INDEMNITÉS ET AVANTAGES DIVERS VERSES AU PERSONNEL"/>
    <m/>
    <x v="2"/>
    <x v="0"/>
    <m/>
    <x v="0"/>
    <n v="1"/>
    <m/>
    <m/>
  </r>
  <r>
    <x v="2"/>
    <x v="5"/>
    <x v="17"/>
    <x v="2"/>
    <x v="36"/>
    <x v="21"/>
    <x v="6"/>
    <n v="0.16450000000000001"/>
    <m/>
    <m/>
    <m/>
    <m/>
    <n v="0"/>
    <n v="0"/>
    <n v="0"/>
    <n v="0"/>
    <n v="0"/>
    <n v="0"/>
    <n v="0"/>
    <n v="0"/>
    <n v="0"/>
    <n v="0"/>
    <m/>
    <s v="DEPENSES OPERATIONNELLES  |  SALAIRES DE PERSONNEL  |  EFF_CAT02  |  COTISATIONS PATRONALES DE SECURITE SOCIALE"/>
    <m/>
    <x v="2"/>
    <x v="0"/>
    <m/>
    <x v="0"/>
    <n v="1"/>
    <m/>
    <m/>
  </r>
  <r>
    <x v="2"/>
    <x v="5"/>
    <x v="17"/>
    <x v="2"/>
    <x v="36"/>
    <x v="22"/>
    <x v="6"/>
    <m/>
    <m/>
    <m/>
    <m/>
    <m/>
    <n v="0"/>
    <n v="0"/>
    <n v="0"/>
    <n v="0"/>
    <n v="0"/>
    <n v="0"/>
    <n v="0"/>
    <n v="0"/>
    <n v="0"/>
    <n v="0"/>
    <m/>
    <s v="DEPENSES OPERATIONNELLES  |  SALAIRES DE PERSONNEL  |  EFF_CAT02  |  COUT PAR PERSONNE ET PAR PERIODE"/>
    <m/>
    <x v="2"/>
    <x v="0"/>
    <m/>
    <x v="0"/>
    <n v="1"/>
    <m/>
    <m/>
  </r>
  <r>
    <x v="2"/>
    <x v="5"/>
    <x v="17"/>
    <x v="2"/>
    <x v="36"/>
    <x v="4"/>
    <x v="6"/>
    <m/>
    <m/>
    <m/>
    <m/>
    <m/>
    <n v="0"/>
    <n v="0"/>
    <n v="0"/>
    <n v="0"/>
    <n v="0"/>
    <n v="0"/>
    <n v="0"/>
    <n v="0"/>
    <n v="0"/>
    <n v="0"/>
    <m/>
    <m/>
    <m/>
    <x v="1"/>
    <x v="0"/>
    <m/>
    <x v="0"/>
    <m/>
    <m/>
    <m/>
  </r>
  <r>
    <x v="2"/>
    <x v="2"/>
    <x v="0"/>
    <x v="0"/>
    <x v="0"/>
    <x v="0"/>
    <x v="2"/>
    <m/>
    <m/>
    <m/>
    <m/>
    <m/>
    <m/>
    <m/>
    <m/>
    <m/>
    <m/>
    <m/>
    <m/>
    <m/>
    <m/>
    <m/>
    <m/>
    <m/>
    <m/>
    <x v="0"/>
    <x v="0"/>
    <m/>
    <x v="0"/>
    <m/>
    <m/>
    <m/>
  </r>
  <r>
    <x v="2"/>
    <x v="5"/>
    <x v="17"/>
    <x v="4"/>
    <x v="37"/>
    <x v="18"/>
    <x v="7"/>
    <m/>
    <m/>
    <m/>
    <m/>
    <m/>
    <n v="0"/>
    <n v="0"/>
    <n v="0"/>
    <n v="0"/>
    <n v="0"/>
    <n v="0"/>
    <n v="0"/>
    <n v="0"/>
    <n v="0"/>
    <n v="0"/>
    <m/>
    <s v="DEPENSES OPERATIONNELLES  |  SALAIRES DE PERSONNEL  |  EFF_CAT03  |  NOMBRE D'EMPLOYÉ(E)S"/>
    <m/>
    <x v="2"/>
    <x v="0"/>
    <m/>
    <x v="0"/>
    <n v="1"/>
    <m/>
    <m/>
  </r>
  <r>
    <x v="2"/>
    <x v="5"/>
    <x v="17"/>
    <x v="2"/>
    <x v="37"/>
    <x v="19"/>
    <x v="7"/>
    <m/>
    <m/>
    <m/>
    <m/>
    <m/>
    <n v="0"/>
    <n v="0"/>
    <n v="0"/>
    <n v="0"/>
    <n v="0"/>
    <n v="0"/>
    <n v="0"/>
    <n v="0"/>
    <n v="0"/>
    <n v="0"/>
    <s v="? x salaire minimun en 2026"/>
    <s v="DEPENSES OPERATIONNELLES  |  SALAIRES DE PERSONNEL  |  EFF_CAT03  |  SALAIRE BRUT PAR PERSONNE ET PAR PERIODE"/>
    <m/>
    <x v="2"/>
    <x v="0"/>
    <m/>
    <x v="0"/>
    <n v="1"/>
    <m/>
    <m/>
  </r>
  <r>
    <x v="2"/>
    <x v="5"/>
    <x v="17"/>
    <x v="2"/>
    <x v="37"/>
    <x v="20"/>
    <x v="7"/>
    <m/>
    <m/>
    <m/>
    <m/>
    <m/>
    <n v="0"/>
    <n v="0"/>
    <n v="0"/>
    <n v="0"/>
    <n v="0"/>
    <n v="0"/>
    <n v="0"/>
    <n v="0"/>
    <n v="0"/>
    <n v="0"/>
    <m/>
    <s v="DEPENSES OPERATIONNELLES  |  SALAIRES DE PERSONNEL  |  EFF_CAT03  |  AUTRES INDEMNITÉS ET AVANTAGES DIVERS VERSES AU PERSONNEL"/>
    <m/>
    <x v="2"/>
    <x v="0"/>
    <m/>
    <x v="0"/>
    <n v="1"/>
    <m/>
    <m/>
  </r>
  <r>
    <x v="2"/>
    <x v="5"/>
    <x v="17"/>
    <x v="2"/>
    <x v="37"/>
    <x v="21"/>
    <x v="7"/>
    <n v="0.16450000000000001"/>
    <m/>
    <m/>
    <m/>
    <m/>
    <n v="0"/>
    <n v="0"/>
    <n v="0"/>
    <n v="0"/>
    <n v="0"/>
    <n v="0"/>
    <n v="0"/>
    <n v="0"/>
    <n v="0"/>
    <n v="0"/>
    <m/>
    <s v="DEPENSES OPERATIONNELLES  |  SALAIRES DE PERSONNEL  |  EFF_CAT03  |  COTISATIONS PATRONALES DE SECURITE SOCIALE"/>
    <m/>
    <x v="2"/>
    <x v="0"/>
    <m/>
    <x v="0"/>
    <n v="1"/>
    <m/>
    <m/>
  </r>
  <r>
    <x v="2"/>
    <x v="5"/>
    <x v="17"/>
    <x v="2"/>
    <x v="37"/>
    <x v="22"/>
    <x v="7"/>
    <m/>
    <m/>
    <m/>
    <m/>
    <m/>
    <n v="0"/>
    <n v="0"/>
    <n v="0"/>
    <n v="0"/>
    <n v="0"/>
    <n v="0"/>
    <n v="0"/>
    <n v="0"/>
    <n v="0"/>
    <n v="0"/>
    <m/>
    <s v="DEPENSES OPERATIONNELLES  |  SALAIRES DE PERSONNEL  |  EFF_CAT03  |  COUT PAR PERSONNE ET PAR PERIODE"/>
    <m/>
    <x v="2"/>
    <x v="0"/>
    <m/>
    <x v="0"/>
    <n v="1"/>
    <m/>
    <m/>
  </r>
  <r>
    <x v="2"/>
    <x v="5"/>
    <x v="17"/>
    <x v="2"/>
    <x v="37"/>
    <x v="4"/>
    <x v="7"/>
    <m/>
    <m/>
    <m/>
    <m/>
    <m/>
    <n v="0"/>
    <n v="0"/>
    <n v="0"/>
    <n v="0"/>
    <n v="0"/>
    <n v="0"/>
    <n v="0"/>
    <n v="0"/>
    <n v="0"/>
    <n v="0"/>
    <m/>
    <m/>
    <m/>
    <x v="1"/>
    <x v="0"/>
    <m/>
    <x v="0"/>
    <m/>
    <m/>
    <m/>
  </r>
  <r>
    <x v="2"/>
    <x v="2"/>
    <x v="0"/>
    <x v="0"/>
    <x v="0"/>
    <x v="0"/>
    <x v="2"/>
    <m/>
    <m/>
    <m/>
    <m/>
    <m/>
    <m/>
    <m/>
    <m/>
    <m/>
    <m/>
    <m/>
    <m/>
    <m/>
    <m/>
    <m/>
    <m/>
    <m/>
    <m/>
    <x v="0"/>
    <x v="0"/>
    <m/>
    <x v="0"/>
    <m/>
    <m/>
    <m/>
  </r>
  <r>
    <x v="2"/>
    <x v="5"/>
    <x v="17"/>
    <x v="4"/>
    <x v="38"/>
    <x v="18"/>
    <x v="8"/>
    <m/>
    <m/>
    <m/>
    <m/>
    <m/>
    <n v="0"/>
    <n v="0"/>
    <n v="0"/>
    <n v="0"/>
    <n v="0"/>
    <n v="0"/>
    <n v="0"/>
    <n v="0"/>
    <n v="0"/>
    <n v="0"/>
    <m/>
    <s v="DEPENSES OPERATIONNELLES  |  SALAIRES DE PERSONNEL  |  EFF_CAT04  |  NOMBRE D'EMPLOYÉ(E)S"/>
    <m/>
    <x v="2"/>
    <x v="0"/>
    <m/>
    <x v="0"/>
    <n v="1"/>
    <m/>
    <m/>
  </r>
  <r>
    <x v="2"/>
    <x v="5"/>
    <x v="17"/>
    <x v="2"/>
    <x v="38"/>
    <x v="19"/>
    <x v="8"/>
    <m/>
    <m/>
    <m/>
    <m/>
    <m/>
    <n v="0"/>
    <n v="0"/>
    <n v="0"/>
    <n v="0"/>
    <n v="0"/>
    <n v="0"/>
    <n v="0"/>
    <n v="0"/>
    <n v="0"/>
    <n v="0"/>
    <s v="? x salaire minimun en 2026"/>
    <s v="DEPENSES OPERATIONNELLES  |  SALAIRES DE PERSONNEL  |  EFF_CAT04  |  SALAIRE BRUT PAR PERSONNE ET PAR PERIODE"/>
    <m/>
    <x v="2"/>
    <x v="0"/>
    <m/>
    <x v="0"/>
    <n v="1"/>
    <m/>
    <m/>
  </r>
  <r>
    <x v="2"/>
    <x v="5"/>
    <x v="17"/>
    <x v="2"/>
    <x v="38"/>
    <x v="20"/>
    <x v="8"/>
    <m/>
    <m/>
    <m/>
    <m/>
    <m/>
    <n v="0"/>
    <n v="0"/>
    <n v="0"/>
    <n v="0"/>
    <n v="0"/>
    <n v="0"/>
    <n v="0"/>
    <n v="0"/>
    <n v="0"/>
    <n v="0"/>
    <m/>
    <s v="DEPENSES OPERATIONNELLES  |  SALAIRES DE PERSONNEL  |  EFF_CAT04  |  AUTRES INDEMNITÉS ET AVANTAGES DIVERS VERSES AU PERSONNEL"/>
    <m/>
    <x v="2"/>
    <x v="0"/>
    <m/>
    <x v="0"/>
    <n v="1"/>
    <m/>
    <m/>
  </r>
  <r>
    <x v="2"/>
    <x v="5"/>
    <x v="17"/>
    <x v="2"/>
    <x v="38"/>
    <x v="21"/>
    <x v="8"/>
    <n v="0.16450000000000001"/>
    <m/>
    <m/>
    <m/>
    <m/>
    <n v="0"/>
    <n v="0"/>
    <n v="0"/>
    <n v="0"/>
    <n v="0"/>
    <n v="0"/>
    <n v="0"/>
    <n v="0"/>
    <n v="0"/>
    <n v="0"/>
    <m/>
    <s v="DEPENSES OPERATIONNELLES  |  SALAIRES DE PERSONNEL  |  EFF_CAT04  |  COTISATIONS PATRONALES DE SECURITE SOCIALE"/>
    <m/>
    <x v="2"/>
    <x v="0"/>
    <m/>
    <x v="0"/>
    <n v="1"/>
    <m/>
    <m/>
  </r>
  <r>
    <x v="2"/>
    <x v="5"/>
    <x v="17"/>
    <x v="2"/>
    <x v="38"/>
    <x v="22"/>
    <x v="8"/>
    <m/>
    <m/>
    <m/>
    <m/>
    <m/>
    <n v="0"/>
    <n v="0"/>
    <n v="0"/>
    <n v="0"/>
    <n v="0"/>
    <n v="0"/>
    <n v="0"/>
    <n v="0"/>
    <n v="0"/>
    <n v="0"/>
    <m/>
    <s v="DEPENSES OPERATIONNELLES  |  SALAIRES DE PERSONNEL  |  EFF_CAT04  |  COUT PAR PERSONNE ET PAR PERIODE"/>
    <m/>
    <x v="2"/>
    <x v="0"/>
    <m/>
    <x v="0"/>
    <n v="1"/>
    <m/>
    <m/>
  </r>
  <r>
    <x v="2"/>
    <x v="5"/>
    <x v="17"/>
    <x v="2"/>
    <x v="38"/>
    <x v="4"/>
    <x v="8"/>
    <m/>
    <m/>
    <m/>
    <m/>
    <m/>
    <n v="0"/>
    <n v="0"/>
    <n v="0"/>
    <n v="0"/>
    <n v="0"/>
    <n v="0"/>
    <n v="0"/>
    <n v="0"/>
    <n v="0"/>
    <n v="0"/>
    <m/>
    <m/>
    <m/>
    <x v="1"/>
    <x v="0"/>
    <m/>
    <x v="0"/>
    <m/>
    <m/>
    <m/>
  </r>
  <r>
    <x v="2"/>
    <x v="2"/>
    <x v="0"/>
    <x v="0"/>
    <x v="0"/>
    <x v="0"/>
    <x v="2"/>
    <m/>
    <m/>
    <m/>
    <m/>
    <m/>
    <m/>
    <m/>
    <m/>
    <m/>
    <m/>
    <m/>
    <m/>
    <m/>
    <m/>
    <m/>
    <m/>
    <m/>
    <m/>
    <x v="0"/>
    <x v="0"/>
    <m/>
    <x v="0"/>
    <m/>
    <m/>
    <m/>
  </r>
  <r>
    <x v="2"/>
    <x v="5"/>
    <x v="17"/>
    <x v="4"/>
    <x v="39"/>
    <x v="18"/>
    <x v="9"/>
    <m/>
    <m/>
    <m/>
    <m/>
    <m/>
    <n v="0"/>
    <n v="0"/>
    <n v="0"/>
    <n v="0"/>
    <n v="0"/>
    <n v="0"/>
    <n v="0"/>
    <n v="0"/>
    <n v="0"/>
    <n v="0"/>
    <m/>
    <s v="DEPENSES OPERATIONNELLES  |  SALAIRES DE PERSONNEL  |  EFF_CAT05  |  NOMBRE D'EMPLOYÉ(E)S"/>
    <m/>
    <x v="2"/>
    <x v="0"/>
    <m/>
    <x v="0"/>
    <n v="1"/>
    <m/>
    <m/>
  </r>
  <r>
    <x v="2"/>
    <x v="5"/>
    <x v="17"/>
    <x v="2"/>
    <x v="39"/>
    <x v="19"/>
    <x v="9"/>
    <m/>
    <m/>
    <m/>
    <m/>
    <m/>
    <n v="0"/>
    <n v="0"/>
    <n v="0"/>
    <n v="0"/>
    <n v="0"/>
    <n v="0"/>
    <n v="0"/>
    <n v="0"/>
    <n v="0"/>
    <n v="0"/>
    <s v="? x salaire minimun en 2026"/>
    <s v="DEPENSES OPERATIONNELLES  |  SALAIRES DE PERSONNEL  |  EFF_CAT05  |  SALAIRE BRUT PAR PERSONNE ET PAR PERIODE"/>
    <m/>
    <x v="2"/>
    <x v="0"/>
    <m/>
    <x v="0"/>
    <n v="1"/>
    <m/>
    <m/>
  </r>
  <r>
    <x v="2"/>
    <x v="5"/>
    <x v="17"/>
    <x v="2"/>
    <x v="39"/>
    <x v="20"/>
    <x v="9"/>
    <m/>
    <m/>
    <m/>
    <m/>
    <m/>
    <n v="0"/>
    <n v="0"/>
    <n v="0"/>
    <n v="0"/>
    <n v="0"/>
    <n v="0"/>
    <n v="0"/>
    <n v="0"/>
    <n v="0"/>
    <n v="0"/>
    <m/>
    <s v="DEPENSES OPERATIONNELLES  |  SALAIRES DE PERSONNEL  |  EFF_CAT05  |  AUTRES INDEMNITÉS ET AVANTAGES DIVERS VERSES AU PERSONNEL"/>
    <m/>
    <x v="2"/>
    <x v="0"/>
    <m/>
    <x v="0"/>
    <n v="1"/>
    <m/>
    <m/>
  </r>
  <r>
    <x v="2"/>
    <x v="5"/>
    <x v="17"/>
    <x v="2"/>
    <x v="39"/>
    <x v="21"/>
    <x v="9"/>
    <n v="0.16450000000000001"/>
    <m/>
    <m/>
    <m/>
    <m/>
    <n v="0"/>
    <n v="0"/>
    <n v="0"/>
    <n v="0"/>
    <n v="0"/>
    <n v="0"/>
    <n v="0"/>
    <n v="0"/>
    <n v="0"/>
    <n v="0"/>
    <m/>
    <s v="DEPENSES OPERATIONNELLES  |  SALAIRES DE PERSONNEL  |  EFF_CAT05  |  COTISATIONS PATRONALES DE SECURITE SOCIALE"/>
    <m/>
    <x v="2"/>
    <x v="0"/>
    <m/>
    <x v="0"/>
    <n v="1"/>
    <m/>
    <m/>
  </r>
  <r>
    <x v="2"/>
    <x v="5"/>
    <x v="17"/>
    <x v="2"/>
    <x v="39"/>
    <x v="22"/>
    <x v="9"/>
    <m/>
    <m/>
    <m/>
    <m/>
    <m/>
    <n v="0"/>
    <n v="0"/>
    <n v="0"/>
    <n v="0"/>
    <n v="0"/>
    <n v="0"/>
    <n v="0"/>
    <n v="0"/>
    <n v="0"/>
    <n v="0"/>
    <m/>
    <s v="DEPENSES OPERATIONNELLES  |  SALAIRES DE PERSONNEL  |  EFF_CAT05  |  COUT PAR PERSONNE ET PAR PERIODE"/>
    <m/>
    <x v="2"/>
    <x v="0"/>
    <m/>
    <x v="0"/>
    <n v="1"/>
    <m/>
    <m/>
  </r>
  <r>
    <x v="2"/>
    <x v="5"/>
    <x v="17"/>
    <x v="2"/>
    <x v="39"/>
    <x v="4"/>
    <x v="9"/>
    <m/>
    <m/>
    <m/>
    <m/>
    <m/>
    <n v="0"/>
    <n v="0"/>
    <n v="0"/>
    <n v="0"/>
    <n v="0"/>
    <n v="0"/>
    <n v="0"/>
    <n v="0"/>
    <n v="0"/>
    <n v="0"/>
    <m/>
    <m/>
    <m/>
    <x v="1"/>
    <x v="0"/>
    <m/>
    <x v="0"/>
    <m/>
    <m/>
    <m/>
  </r>
  <r>
    <x v="2"/>
    <x v="2"/>
    <x v="0"/>
    <x v="0"/>
    <x v="0"/>
    <x v="0"/>
    <x v="2"/>
    <m/>
    <m/>
    <m/>
    <m/>
    <m/>
    <m/>
    <m/>
    <m/>
    <m/>
    <m/>
    <m/>
    <m/>
    <m/>
    <m/>
    <m/>
    <m/>
    <m/>
    <m/>
    <x v="0"/>
    <x v="0"/>
    <m/>
    <x v="0"/>
    <m/>
    <m/>
    <m/>
  </r>
  <r>
    <x v="2"/>
    <x v="5"/>
    <x v="17"/>
    <x v="4"/>
    <x v="40"/>
    <x v="18"/>
    <x v="10"/>
    <m/>
    <m/>
    <m/>
    <m/>
    <m/>
    <n v="0"/>
    <n v="0"/>
    <n v="0"/>
    <n v="0"/>
    <n v="0"/>
    <n v="0"/>
    <n v="0"/>
    <n v="0"/>
    <n v="0"/>
    <n v="0"/>
    <m/>
    <s v="DEPENSES OPERATIONNELLES  |  SALAIRES DE PERSONNEL  |  EFF_CAT06  |  NOMBRE D'EMPLOYÉ(E)S"/>
    <m/>
    <x v="2"/>
    <x v="0"/>
    <m/>
    <x v="0"/>
    <n v="1"/>
    <m/>
    <m/>
  </r>
  <r>
    <x v="2"/>
    <x v="5"/>
    <x v="17"/>
    <x v="2"/>
    <x v="40"/>
    <x v="19"/>
    <x v="10"/>
    <m/>
    <m/>
    <m/>
    <m/>
    <m/>
    <n v="0"/>
    <n v="0"/>
    <n v="0"/>
    <n v="0"/>
    <n v="0"/>
    <n v="0"/>
    <n v="0"/>
    <n v="0"/>
    <n v="0"/>
    <n v="0"/>
    <s v="? x salaire minimun en 2026"/>
    <s v="DEPENSES OPERATIONNELLES  |  SALAIRES DE PERSONNEL  |  EFF_CAT06  |  SALAIRE BRUT PAR PERSONNE ET PAR PERIODE"/>
    <m/>
    <x v="2"/>
    <x v="0"/>
    <m/>
    <x v="0"/>
    <n v="1"/>
    <m/>
    <m/>
  </r>
  <r>
    <x v="2"/>
    <x v="5"/>
    <x v="17"/>
    <x v="2"/>
    <x v="40"/>
    <x v="20"/>
    <x v="10"/>
    <m/>
    <m/>
    <m/>
    <m/>
    <m/>
    <n v="0"/>
    <n v="0"/>
    <n v="0"/>
    <n v="0"/>
    <n v="0"/>
    <n v="0"/>
    <n v="0"/>
    <n v="0"/>
    <n v="0"/>
    <n v="0"/>
    <m/>
    <s v="DEPENSES OPERATIONNELLES  |  SALAIRES DE PERSONNEL  |  EFF_CAT06  |  AUTRES INDEMNITÉS ET AVANTAGES DIVERS VERSES AU PERSONNEL"/>
    <m/>
    <x v="2"/>
    <x v="0"/>
    <m/>
    <x v="0"/>
    <n v="1"/>
    <m/>
    <m/>
  </r>
  <r>
    <x v="2"/>
    <x v="5"/>
    <x v="17"/>
    <x v="2"/>
    <x v="40"/>
    <x v="21"/>
    <x v="10"/>
    <n v="0.16450000000000001"/>
    <m/>
    <m/>
    <m/>
    <m/>
    <n v="0"/>
    <n v="0"/>
    <n v="0"/>
    <n v="0"/>
    <n v="0"/>
    <n v="0"/>
    <n v="0"/>
    <n v="0"/>
    <n v="0"/>
    <n v="0"/>
    <m/>
    <s v="DEPENSES OPERATIONNELLES  |  SALAIRES DE PERSONNEL  |  EFF_CAT06  |  COTISATIONS PATRONALES DE SECURITE SOCIALE"/>
    <m/>
    <x v="2"/>
    <x v="0"/>
    <m/>
    <x v="0"/>
    <n v="1"/>
    <m/>
    <m/>
  </r>
  <r>
    <x v="2"/>
    <x v="5"/>
    <x v="17"/>
    <x v="2"/>
    <x v="40"/>
    <x v="22"/>
    <x v="10"/>
    <m/>
    <m/>
    <m/>
    <m/>
    <m/>
    <n v="0"/>
    <n v="0"/>
    <n v="0"/>
    <n v="0"/>
    <n v="0"/>
    <n v="0"/>
    <n v="0"/>
    <n v="0"/>
    <n v="0"/>
    <n v="0"/>
    <m/>
    <s v="DEPENSES OPERATIONNELLES  |  SALAIRES DE PERSONNEL  |  EFF_CAT06  |  COUT PAR PERSONNE ET PAR PERIODE"/>
    <m/>
    <x v="2"/>
    <x v="0"/>
    <m/>
    <x v="0"/>
    <n v="1"/>
    <m/>
    <m/>
  </r>
  <r>
    <x v="2"/>
    <x v="5"/>
    <x v="17"/>
    <x v="2"/>
    <x v="40"/>
    <x v="4"/>
    <x v="10"/>
    <m/>
    <m/>
    <m/>
    <m/>
    <m/>
    <n v="0"/>
    <n v="0"/>
    <n v="0"/>
    <n v="0"/>
    <n v="0"/>
    <n v="0"/>
    <n v="0"/>
    <n v="0"/>
    <n v="0"/>
    <n v="0"/>
    <m/>
    <m/>
    <m/>
    <x v="1"/>
    <x v="0"/>
    <m/>
    <x v="0"/>
    <m/>
    <m/>
    <m/>
  </r>
  <r>
    <x v="2"/>
    <x v="2"/>
    <x v="0"/>
    <x v="0"/>
    <x v="0"/>
    <x v="0"/>
    <x v="2"/>
    <m/>
    <m/>
    <m/>
    <m/>
    <m/>
    <m/>
    <m/>
    <m/>
    <m/>
    <m/>
    <m/>
    <m/>
    <m/>
    <m/>
    <m/>
    <m/>
    <m/>
    <m/>
    <x v="0"/>
    <x v="0"/>
    <m/>
    <x v="0"/>
    <m/>
    <m/>
    <m/>
  </r>
  <r>
    <x v="2"/>
    <x v="5"/>
    <x v="17"/>
    <x v="4"/>
    <x v="41"/>
    <x v="18"/>
    <x v="11"/>
    <m/>
    <m/>
    <m/>
    <m/>
    <m/>
    <n v="0"/>
    <n v="0"/>
    <n v="0"/>
    <n v="0"/>
    <n v="0"/>
    <n v="0"/>
    <n v="0"/>
    <n v="0"/>
    <n v="0"/>
    <n v="0"/>
    <m/>
    <s v="DEPENSES OPERATIONNELLES  |  SALAIRES DE PERSONNEL  |  EFF_CAT07  |  NOMBRE D'EMPLOYÉ(E)S"/>
    <m/>
    <x v="2"/>
    <x v="0"/>
    <m/>
    <x v="0"/>
    <n v="1"/>
    <m/>
    <m/>
  </r>
  <r>
    <x v="2"/>
    <x v="5"/>
    <x v="17"/>
    <x v="2"/>
    <x v="41"/>
    <x v="19"/>
    <x v="11"/>
    <m/>
    <m/>
    <m/>
    <m/>
    <m/>
    <n v="0"/>
    <n v="0"/>
    <n v="0"/>
    <n v="0"/>
    <n v="0"/>
    <n v="0"/>
    <n v="0"/>
    <n v="0"/>
    <n v="0"/>
    <n v="0"/>
    <s v="? x salaire minimun en 2026"/>
    <s v="DEPENSES OPERATIONNELLES  |  SALAIRES DE PERSONNEL  |  EFF_CAT07  |  SALAIRE BRUT PAR PERSONNE ET PAR PERIODE"/>
    <m/>
    <x v="2"/>
    <x v="0"/>
    <m/>
    <x v="0"/>
    <n v="1"/>
    <m/>
    <m/>
  </r>
  <r>
    <x v="2"/>
    <x v="5"/>
    <x v="17"/>
    <x v="2"/>
    <x v="41"/>
    <x v="20"/>
    <x v="11"/>
    <m/>
    <m/>
    <m/>
    <m/>
    <m/>
    <n v="0"/>
    <n v="0"/>
    <n v="0"/>
    <n v="0"/>
    <n v="0"/>
    <n v="0"/>
    <n v="0"/>
    <n v="0"/>
    <n v="0"/>
    <n v="0"/>
    <m/>
    <s v="DEPENSES OPERATIONNELLES  |  SALAIRES DE PERSONNEL  |  EFF_CAT07  |  AUTRES INDEMNITÉS ET AVANTAGES DIVERS VERSES AU PERSONNEL"/>
    <m/>
    <x v="2"/>
    <x v="0"/>
    <m/>
    <x v="0"/>
    <n v="1"/>
    <m/>
    <m/>
  </r>
  <r>
    <x v="2"/>
    <x v="5"/>
    <x v="17"/>
    <x v="2"/>
    <x v="41"/>
    <x v="21"/>
    <x v="11"/>
    <n v="0.16450000000000001"/>
    <m/>
    <m/>
    <m/>
    <m/>
    <n v="0"/>
    <n v="0"/>
    <n v="0"/>
    <n v="0"/>
    <n v="0"/>
    <n v="0"/>
    <n v="0"/>
    <n v="0"/>
    <n v="0"/>
    <n v="0"/>
    <m/>
    <s v="DEPENSES OPERATIONNELLES  |  SALAIRES DE PERSONNEL  |  EFF_CAT07  |  COTISATIONS PATRONALES DE SECURITE SOCIALE"/>
    <m/>
    <x v="2"/>
    <x v="0"/>
    <m/>
    <x v="0"/>
    <n v="1"/>
    <m/>
    <m/>
  </r>
  <r>
    <x v="2"/>
    <x v="5"/>
    <x v="17"/>
    <x v="2"/>
    <x v="41"/>
    <x v="22"/>
    <x v="11"/>
    <m/>
    <m/>
    <m/>
    <m/>
    <m/>
    <n v="0"/>
    <n v="0"/>
    <n v="0"/>
    <n v="0"/>
    <n v="0"/>
    <n v="0"/>
    <n v="0"/>
    <n v="0"/>
    <n v="0"/>
    <n v="0"/>
    <m/>
    <s v="DEPENSES OPERATIONNELLES  |  SALAIRES DE PERSONNEL  |  EFF_CAT07  |  COUT PAR PERSONNE ET PAR PERIODE"/>
    <m/>
    <x v="2"/>
    <x v="0"/>
    <m/>
    <x v="0"/>
    <n v="1"/>
    <m/>
    <m/>
  </r>
  <r>
    <x v="2"/>
    <x v="5"/>
    <x v="17"/>
    <x v="2"/>
    <x v="41"/>
    <x v="4"/>
    <x v="11"/>
    <m/>
    <m/>
    <m/>
    <m/>
    <m/>
    <n v="0"/>
    <n v="0"/>
    <n v="0"/>
    <n v="0"/>
    <n v="0"/>
    <n v="0"/>
    <n v="0"/>
    <n v="0"/>
    <n v="0"/>
    <n v="0"/>
    <m/>
    <m/>
    <m/>
    <x v="1"/>
    <x v="0"/>
    <m/>
    <x v="0"/>
    <m/>
    <m/>
    <m/>
  </r>
  <r>
    <x v="2"/>
    <x v="2"/>
    <x v="0"/>
    <x v="0"/>
    <x v="0"/>
    <x v="0"/>
    <x v="2"/>
    <m/>
    <m/>
    <m/>
    <m/>
    <m/>
    <m/>
    <m/>
    <m/>
    <m/>
    <m/>
    <m/>
    <m/>
    <m/>
    <m/>
    <m/>
    <m/>
    <m/>
    <m/>
    <x v="0"/>
    <x v="0"/>
    <m/>
    <x v="0"/>
    <m/>
    <m/>
    <m/>
  </r>
  <r>
    <x v="2"/>
    <x v="5"/>
    <x v="17"/>
    <x v="4"/>
    <x v="42"/>
    <x v="18"/>
    <x v="12"/>
    <m/>
    <m/>
    <m/>
    <m/>
    <m/>
    <n v="0"/>
    <n v="0"/>
    <n v="0"/>
    <n v="0"/>
    <n v="0"/>
    <n v="0"/>
    <n v="0"/>
    <n v="0"/>
    <n v="0"/>
    <n v="0"/>
    <m/>
    <s v="DEPENSES OPERATIONNELLES  |  SALAIRES DE PERSONNEL  |  EFF_CAT08  |  NOMBRE D'EMPLOYÉ(E)S"/>
    <m/>
    <x v="2"/>
    <x v="0"/>
    <m/>
    <x v="0"/>
    <n v="1"/>
    <m/>
    <m/>
  </r>
  <r>
    <x v="2"/>
    <x v="5"/>
    <x v="17"/>
    <x v="2"/>
    <x v="42"/>
    <x v="19"/>
    <x v="12"/>
    <m/>
    <m/>
    <m/>
    <m/>
    <m/>
    <n v="0"/>
    <n v="0"/>
    <n v="0"/>
    <n v="0"/>
    <n v="0"/>
    <n v="0"/>
    <n v="0"/>
    <n v="0"/>
    <n v="0"/>
    <n v="0"/>
    <s v="? x salaire minimun en 2026"/>
    <s v="DEPENSES OPERATIONNELLES  |  SALAIRES DE PERSONNEL  |  EFF_CAT08  |  SALAIRE BRUT PAR PERSONNE ET PAR PERIODE"/>
    <m/>
    <x v="2"/>
    <x v="0"/>
    <m/>
    <x v="0"/>
    <n v="1"/>
    <m/>
    <m/>
  </r>
  <r>
    <x v="2"/>
    <x v="5"/>
    <x v="17"/>
    <x v="2"/>
    <x v="42"/>
    <x v="20"/>
    <x v="12"/>
    <m/>
    <m/>
    <m/>
    <m/>
    <m/>
    <n v="0"/>
    <n v="0"/>
    <n v="0"/>
    <n v="0"/>
    <n v="0"/>
    <n v="0"/>
    <n v="0"/>
    <n v="0"/>
    <n v="0"/>
    <n v="0"/>
    <m/>
    <s v="DEPENSES OPERATIONNELLES  |  SALAIRES DE PERSONNEL  |  EFF_CAT08  |  AUTRES INDEMNITÉS ET AVANTAGES DIVERS VERSES AU PERSONNEL"/>
    <m/>
    <x v="2"/>
    <x v="0"/>
    <m/>
    <x v="0"/>
    <n v="1"/>
    <m/>
    <m/>
  </r>
  <r>
    <x v="2"/>
    <x v="5"/>
    <x v="17"/>
    <x v="2"/>
    <x v="42"/>
    <x v="21"/>
    <x v="12"/>
    <n v="0"/>
    <m/>
    <m/>
    <m/>
    <m/>
    <n v="0"/>
    <n v="0"/>
    <n v="0"/>
    <n v="0"/>
    <n v="0"/>
    <n v="0"/>
    <n v="0"/>
    <n v="0"/>
    <n v="0"/>
    <n v="0"/>
    <m/>
    <s v="DEPENSES OPERATIONNELLES  |  SALAIRES DE PERSONNEL  |  EFF_CAT08  |  COTISATIONS PATRONALES DE SECURITE SOCIALE"/>
    <m/>
    <x v="2"/>
    <x v="0"/>
    <m/>
    <x v="0"/>
    <n v="1"/>
    <m/>
    <m/>
  </r>
  <r>
    <x v="2"/>
    <x v="5"/>
    <x v="17"/>
    <x v="2"/>
    <x v="42"/>
    <x v="22"/>
    <x v="12"/>
    <m/>
    <m/>
    <m/>
    <m/>
    <m/>
    <n v="0"/>
    <n v="0"/>
    <n v="0"/>
    <n v="0"/>
    <n v="0"/>
    <n v="0"/>
    <n v="0"/>
    <n v="0"/>
    <n v="0"/>
    <n v="0"/>
    <m/>
    <s v="DEPENSES OPERATIONNELLES  |  SALAIRES DE PERSONNEL  |  EFF_CAT08  |  COUT PAR PERSONNE ET PAR PERIODE"/>
    <m/>
    <x v="2"/>
    <x v="0"/>
    <m/>
    <x v="0"/>
    <n v="1"/>
    <m/>
    <m/>
  </r>
  <r>
    <x v="2"/>
    <x v="5"/>
    <x v="17"/>
    <x v="2"/>
    <x v="42"/>
    <x v="4"/>
    <x v="12"/>
    <m/>
    <m/>
    <m/>
    <m/>
    <m/>
    <n v="0"/>
    <n v="0"/>
    <n v="0"/>
    <n v="0"/>
    <n v="0"/>
    <n v="0"/>
    <n v="0"/>
    <n v="0"/>
    <n v="0"/>
    <n v="0"/>
    <m/>
    <m/>
    <m/>
    <x v="1"/>
    <x v="0"/>
    <m/>
    <x v="0"/>
    <m/>
    <m/>
    <m/>
  </r>
  <r>
    <x v="2"/>
    <x v="2"/>
    <x v="0"/>
    <x v="0"/>
    <x v="0"/>
    <x v="0"/>
    <x v="2"/>
    <m/>
    <m/>
    <m/>
    <m/>
    <m/>
    <m/>
    <m/>
    <m/>
    <m/>
    <m/>
    <m/>
    <m/>
    <m/>
    <m/>
    <m/>
    <m/>
    <m/>
    <m/>
    <x v="0"/>
    <x v="0"/>
    <m/>
    <x v="0"/>
    <m/>
    <m/>
    <m/>
  </r>
  <r>
    <x v="2"/>
    <x v="5"/>
    <x v="17"/>
    <x v="4"/>
    <x v="43"/>
    <x v="18"/>
    <x v="13"/>
    <m/>
    <m/>
    <m/>
    <m/>
    <m/>
    <n v="0"/>
    <n v="0"/>
    <n v="0"/>
    <n v="0"/>
    <n v="0"/>
    <n v="0"/>
    <n v="0"/>
    <n v="0"/>
    <n v="0"/>
    <n v="0"/>
    <m/>
    <s v="DEPENSES OPERATIONNELLES  |  SALAIRES DE PERSONNEL  |  EFF_CAT09  |  NOMBRE D'EMPLOYÉ(E)S"/>
    <m/>
    <x v="2"/>
    <x v="0"/>
    <m/>
    <x v="0"/>
    <n v="1"/>
    <m/>
    <m/>
  </r>
  <r>
    <x v="2"/>
    <x v="5"/>
    <x v="17"/>
    <x v="2"/>
    <x v="43"/>
    <x v="19"/>
    <x v="13"/>
    <m/>
    <m/>
    <m/>
    <m/>
    <m/>
    <n v="0"/>
    <n v="0"/>
    <n v="0"/>
    <n v="0"/>
    <n v="0"/>
    <n v="0"/>
    <n v="0"/>
    <n v="0"/>
    <n v="0"/>
    <n v="0"/>
    <s v="? x salaire minimun en 2026"/>
    <s v="DEPENSES OPERATIONNELLES  |  SALAIRES DE PERSONNEL  |  EFF_CAT09  |  SALAIRE BRUT PAR PERSONNE ET PAR PERIODE"/>
    <m/>
    <x v="2"/>
    <x v="0"/>
    <m/>
    <x v="0"/>
    <n v="1"/>
    <m/>
    <m/>
  </r>
  <r>
    <x v="2"/>
    <x v="5"/>
    <x v="17"/>
    <x v="2"/>
    <x v="43"/>
    <x v="20"/>
    <x v="13"/>
    <m/>
    <m/>
    <m/>
    <m/>
    <m/>
    <n v="0"/>
    <n v="0"/>
    <n v="0"/>
    <n v="0"/>
    <n v="0"/>
    <n v="0"/>
    <n v="0"/>
    <n v="0"/>
    <n v="0"/>
    <n v="0"/>
    <m/>
    <s v="DEPENSES OPERATIONNELLES  |  SALAIRES DE PERSONNEL  |  EFF_CAT09  |  AUTRES INDEMNITÉS ET AVANTAGES DIVERS VERSES AU PERSONNEL"/>
    <m/>
    <x v="2"/>
    <x v="0"/>
    <m/>
    <x v="0"/>
    <n v="1"/>
    <m/>
    <m/>
  </r>
  <r>
    <x v="2"/>
    <x v="5"/>
    <x v="17"/>
    <x v="2"/>
    <x v="43"/>
    <x v="21"/>
    <x v="13"/>
    <n v="0"/>
    <m/>
    <m/>
    <m/>
    <m/>
    <n v="0"/>
    <n v="0"/>
    <n v="0"/>
    <n v="0"/>
    <n v="0"/>
    <n v="0"/>
    <n v="0"/>
    <n v="0"/>
    <n v="0"/>
    <n v="0"/>
    <m/>
    <s v="DEPENSES OPERATIONNELLES  |  SALAIRES DE PERSONNEL  |  EFF_CAT09  |  COTISATIONS PATRONALES DE SECURITE SOCIALE"/>
    <m/>
    <x v="2"/>
    <x v="0"/>
    <m/>
    <x v="0"/>
    <n v="1"/>
    <m/>
    <m/>
  </r>
  <r>
    <x v="2"/>
    <x v="5"/>
    <x v="17"/>
    <x v="2"/>
    <x v="43"/>
    <x v="22"/>
    <x v="13"/>
    <m/>
    <m/>
    <m/>
    <m/>
    <m/>
    <n v="0"/>
    <n v="0"/>
    <n v="0"/>
    <n v="0"/>
    <n v="0"/>
    <n v="0"/>
    <n v="0"/>
    <n v="0"/>
    <n v="0"/>
    <n v="0"/>
    <m/>
    <s v="DEPENSES OPERATIONNELLES  |  SALAIRES DE PERSONNEL  |  EFF_CAT09  |  COUT PAR PERSONNE ET PAR PERIODE"/>
    <m/>
    <x v="2"/>
    <x v="0"/>
    <m/>
    <x v="0"/>
    <n v="1"/>
    <m/>
    <m/>
  </r>
  <r>
    <x v="2"/>
    <x v="5"/>
    <x v="17"/>
    <x v="2"/>
    <x v="43"/>
    <x v="4"/>
    <x v="13"/>
    <m/>
    <m/>
    <m/>
    <m/>
    <m/>
    <n v="0"/>
    <n v="0"/>
    <n v="0"/>
    <n v="0"/>
    <n v="0"/>
    <n v="0"/>
    <n v="0"/>
    <n v="0"/>
    <n v="0"/>
    <n v="0"/>
    <m/>
    <m/>
    <m/>
    <x v="1"/>
    <x v="0"/>
    <m/>
    <x v="0"/>
    <m/>
    <m/>
    <m/>
  </r>
  <r>
    <x v="2"/>
    <x v="2"/>
    <x v="0"/>
    <x v="0"/>
    <x v="0"/>
    <x v="0"/>
    <x v="2"/>
    <m/>
    <m/>
    <m/>
    <m/>
    <m/>
    <m/>
    <m/>
    <m/>
    <m/>
    <m/>
    <m/>
    <m/>
    <m/>
    <m/>
    <m/>
    <m/>
    <m/>
    <m/>
    <x v="0"/>
    <x v="0"/>
    <m/>
    <x v="0"/>
    <m/>
    <m/>
    <m/>
  </r>
  <r>
    <x v="2"/>
    <x v="5"/>
    <x v="17"/>
    <x v="4"/>
    <x v="44"/>
    <x v="18"/>
    <x v="14"/>
    <m/>
    <m/>
    <m/>
    <m/>
    <m/>
    <n v="0"/>
    <n v="0"/>
    <n v="0"/>
    <n v="0"/>
    <n v="0"/>
    <n v="0"/>
    <n v="0"/>
    <n v="0"/>
    <n v="0"/>
    <n v="0"/>
    <m/>
    <s v="DEPENSES OPERATIONNELLES  |  SALAIRES DE PERSONNEL  |  EFF_CAT10  |  NOMBRE D'EMPLOYÉ(E)S"/>
    <m/>
    <x v="2"/>
    <x v="0"/>
    <m/>
    <x v="0"/>
    <n v="1"/>
    <m/>
    <m/>
  </r>
  <r>
    <x v="2"/>
    <x v="5"/>
    <x v="17"/>
    <x v="2"/>
    <x v="44"/>
    <x v="19"/>
    <x v="14"/>
    <m/>
    <m/>
    <m/>
    <m/>
    <m/>
    <n v="0"/>
    <n v="0"/>
    <n v="0"/>
    <n v="0"/>
    <n v="0"/>
    <n v="0"/>
    <n v="0"/>
    <n v="0"/>
    <n v="0"/>
    <n v="0"/>
    <s v="? x salaire minimun en 2026"/>
    <s v="DEPENSES OPERATIONNELLES  |  SALAIRES DE PERSONNEL  |  EFF_CAT10  |  SALAIRE BRUT PAR PERSONNE ET PAR PERIODE"/>
    <m/>
    <x v="2"/>
    <x v="0"/>
    <m/>
    <x v="0"/>
    <n v="1"/>
    <m/>
    <m/>
  </r>
  <r>
    <x v="2"/>
    <x v="5"/>
    <x v="17"/>
    <x v="2"/>
    <x v="44"/>
    <x v="20"/>
    <x v="14"/>
    <m/>
    <m/>
    <m/>
    <m/>
    <m/>
    <n v="0"/>
    <n v="0"/>
    <n v="0"/>
    <n v="0"/>
    <n v="0"/>
    <n v="0"/>
    <n v="0"/>
    <n v="0"/>
    <n v="0"/>
    <n v="0"/>
    <m/>
    <s v="DEPENSES OPERATIONNELLES  |  SALAIRES DE PERSONNEL  |  EFF_CAT10  |  AUTRES INDEMNITÉS ET AVANTAGES DIVERS VERSES AU PERSONNEL"/>
    <m/>
    <x v="2"/>
    <x v="0"/>
    <m/>
    <x v="0"/>
    <n v="1"/>
    <m/>
    <m/>
  </r>
  <r>
    <x v="2"/>
    <x v="5"/>
    <x v="17"/>
    <x v="2"/>
    <x v="44"/>
    <x v="21"/>
    <x v="14"/>
    <n v="0"/>
    <m/>
    <m/>
    <m/>
    <m/>
    <n v="0"/>
    <n v="0"/>
    <n v="0"/>
    <n v="0"/>
    <n v="0"/>
    <n v="0"/>
    <n v="0"/>
    <n v="0"/>
    <n v="0"/>
    <n v="0"/>
    <m/>
    <s v="DEPENSES OPERATIONNELLES  |  SALAIRES DE PERSONNEL  |  EFF_CAT10  |  COTISATIONS PATRONALES DE SECURITE SOCIALE"/>
    <m/>
    <x v="2"/>
    <x v="0"/>
    <m/>
    <x v="0"/>
    <n v="1"/>
    <m/>
    <m/>
  </r>
  <r>
    <x v="2"/>
    <x v="5"/>
    <x v="17"/>
    <x v="2"/>
    <x v="44"/>
    <x v="22"/>
    <x v="14"/>
    <m/>
    <m/>
    <m/>
    <m/>
    <m/>
    <n v="0"/>
    <n v="0"/>
    <n v="0"/>
    <n v="0"/>
    <n v="0"/>
    <n v="0"/>
    <n v="0"/>
    <n v="0"/>
    <n v="0"/>
    <n v="0"/>
    <m/>
    <s v="DEPENSES OPERATIONNELLES  |  SALAIRES DE PERSONNEL  |  EFF_CAT10  |  COUT PAR PERSONNE ET PAR PERIODE"/>
    <m/>
    <x v="2"/>
    <x v="0"/>
    <m/>
    <x v="0"/>
    <n v="1"/>
    <m/>
    <m/>
  </r>
  <r>
    <x v="2"/>
    <x v="5"/>
    <x v="17"/>
    <x v="2"/>
    <x v="44"/>
    <x v="4"/>
    <x v="14"/>
    <m/>
    <m/>
    <m/>
    <m/>
    <m/>
    <n v="0"/>
    <n v="0"/>
    <n v="0"/>
    <n v="0"/>
    <n v="0"/>
    <n v="0"/>
    <n v="0"/>
    <n v="0"/>
    <n v="0"/>
    <n v="0"/>
    <m/>
    <m/>
    <m/>
    <x v="1"/>
    <x v="0"/>
    <m/>
    <x v="0"/>
    <m/>
    <m/>
    <m/>
  </r>
  <r>
    <x v="2"/>
    <x v="2"/>
    <x v="0"/>
    <x v="0"/>
    <x v="0"/>
    <x v="0"/>
    <x v="2"/>
    <m/>
    <m/>
    <m/>
    <m/>
    <m/>
    <m/>
    <m/>
    <m/>
    <m/>
    <m/>
    <m/>
    <m/>
    <m/>
    <m/>
    <m/>
    <m/>
    <m/>
    <m/>
    <x v="0"/>
    <x v="0"/>
    <m/>
    <x v="0"/>
    <m/>
    <m/>
    <m/>
  </r>
  <r>
    <x v="2"/>
    <x v="5"/>
    <x v="18"/>
    <x v="2"/>
    <x v="45"/>
    <x v="23"/>
    <x v="2"/>
    <n v="1.2E-2"/>
    <m/>
    <m/>
    <m/>
    <m/>
    <n v="0"/>
    <n v="0"/>
    <n v="0"/>
    <n v="0"/>
    <n v="0"/>
    <n v="0"/>
    <n v="0"/>
    <n v="0"/>
    <n v="0"/>
    <n v="0"/>
    <s v="% Sur salaire brut"/>
    <s v="DEPENSES OPERATIONNELLES  |  IMPOTS ET TAXES SUR PERSONNEL  |  EFFECTIF_I&amp;T  |  TAXES SUR APPOINTEMENTS ET SALAIRES"/>
    <m/>
    <x v="2"/>
    <x v="0"/>
    <m/>
    <x v="0"/>
    <n v="1"/>
    <m/>
    <m/>
  </r>
  <r>
    <x v="2"/>
    <x v="5"/>
    <x v="18"/>
    <x v="2"/>
    <x v="45"/>
    <x v="24"/>
    <x v="2"/>
    <n v="4.0000000000000001E-3"/>
    <m/>
    <m/>
    <m/>
    <m/>
    <n v="0"/>
    <n v="0"/>
    <n v="0"/>
    <n v="0"/>
    <n v="0"/>
    <n v="0"/>
    <n v="0"/>
    <n v="0"/>
    <n v="0"/>
    <n v="0"/>
    <s v="% Sur salaire brut"/>
    <s v="DEPENSES OPERATIONNELLES  |  IMPOTS ET TAXES SUR PERSONNEL  |  EFFECTIF_I&amp;T  |  TAXES D'APPRENTISSAGE"/>
    <m/>
    <x v="2"/>
    <x v="0"/>
    <m/>
    <x v="0"/>
    <n v="1"/>
    <m/>
    <m/>
  </r>
  <r>
    <x v="2"/>
    <x v="5"/>
    <x v="18"/>
    <x v="2"/>
    <x v="45"/>
    <x v="25"/>
    <x v="2"/>
    <n v="1.2E-2"/>
    <m/>
    <m/>
    <m/>
    <m/>
    <n v="0"/>
    <n v="0"/>
    <n v="0"/>
    <n v="0"/>
    <n v="0"/>
    <n v="0"/>
    <n v="0"/>
    <n v="0"/>
    <n v="0"/>
    <n v="0"/>
    <s v="% Sur salaire brut"/>
    <s v="DEPENSES OPERATIONNELLES  |  IMPOTS ET TAXES SUR PERSONNEL  |  EFFECTIF_I&amp;T  |  FORMATION PROFESSIONNELLE CONTINUE"/>
    <m/>
    <x v="2"/>
    <x v="0"/>
    <m/>
    <x v="0"/>
    <n v="1"/>
    <m/>
    <m/>
  </r>
  <r>
    <x v="2"/>
    <x v="5"/>
    <x v="18"/>
    <x v="2"/>
    <x v="45"/>
    <x v="26"/>
    <x v="2"/>
    <n v="0"/>
    <m/>
    <m/>
    <m/>
    <m/>
    <n v="0"/>
    <n v="0"/>
    <n v="0"/>
    <n v="0"/>
    <n v="0"/>
    <n v="0"/>
    <n v="0"/>
    <n v="0"/>
    <n v="0"/>
    <n v="0"/>
    <m/>
    <s v="DEPENSES OPERATIONNELLES  |  IMPOTS ET TAXES SUR PERSONNEL  |  EFFECTIF_I&amp;T  |  AUTRES IMPOTS ET TAXES"/>
    <m/>
    <x v="2"/>
    <x v="0"/>
    <m/>
    <x v="0"/>
    <n v="1"/>
    <m/>
    <m/>
  </r>
  <r>
    <x v="2"/>
    <x v="5"/>
    <x v="18"/>
    <x v="2"/>
    <x v="45"/>
    <x v="13"/>
    <x v="2"/>
    <m/>
    <m/>
    <m/>
    <m/>
    <m/>
    <n v="0"/>
    <n v="0"/>
    <n v="0"/>
    <n v="0"/>
    <n v="0"/>
    <n v="0"/>
    <n v="0"/>
    <n v="0"/>
    <n v="0"/>
    <n v="0"/>
    <m/>
    <s v="DEPENSES OPERATIONNELLES  |  IMPOTS ET TAXES SUR PERSONNEL  |  EFFECTIF_I&amp;T"/>
    <m/>
    <x v="2"/>
    <x v="0"/>
    <m/>
    <x v="0"/>
    <n v="0"/>
    <m/>
    <m/>
  </r>
  <r>
    <x v="2"/>
    <x v="5"/>
    <x v="18"/>
    <x v="2"/>
    <x v="45"/>
    <x v="14"/>
    <x v="2"/>
    <m/>
    <m/>
    <m/>
    <m/>
    <m/>
    <n v="0"/>
    <n v="0"/>
    <n v="0"/>
    <n v="0"/>
    <n v="0"/>
    <n v="0"/>
    <n v="0"/>
    <n v="0"/>
    <n v="0"/>
    <n v="0"/>
    <m/>
    <s v="DEPENSES OPERATIONNELLES  |  IMPOTS ET TAXES SUR PERSONNEL  |  EFFECTIF_I&amp;T"/>
    <m/>
    <x v="2"/>
    <x v="0"/>
    <m/>
    <x v="0"/>
    <n v="0"/>
    <m/>
    <m/>
  </r>
  <r>
    <x v="2"/>
    <x v="5"/>
    <x v="18"/>
    <x v="2"/>
    <x v="45"/>
    <x v="15"/>
    <x v="2"/>
    <m/>
    <m/>
    <m/>
    <m/>
    <m/>
    <n v="0"/>
    <n v="0"/>
    <n v="0"/>
    <n v="0"/>
    <n v="0"/>
    <n v="0"/>
    <n v="0"/>
    <n v="0"/>
    <n v="0"/>
    <n v="0"/>
    <m/>
    <s v="DEPENSES OPERATIONNELLES  |  IMPOTS ET TAXES SUR PERSONNEL  |  EFFECTIF_I&amp;T"/>
    <m/>
    <x v="2"/>
    <x v="0"/>
    <m/>
    <x v="0"/>
    <n v="0"/>
    <m/>
    <m/>
  </r>
  <r>
    <x v="2"/>
    <x v="5"/>
    <x v="18"/>
    <x v="2"/>
    <x v="45"/>
    <x v="16"/>
    <x v="2"/>
    <m/>
    <m/>
    <m/>
    <m/>
    <m/>
    <n v="0"/>
    <n v="0"/>
    <n v="0"/>
    <n v="0"/>
    <n v="0"/>
    <n v="0"/>
    <n v="0"/>
    <n v="0"/>
    <n v="0"/>
    <n v="0"/>
    <m/>
    <s v="DEPENSES OPERATIONNELLES  |  IMPOTS ET TAXES SUR PERSONNEL  |  EFFECTIF_I&amp;T"/>
    <m/>
    <x v="2"/>
    <x v="0"/>
    <m/>
    <x v="0"/>
    <n v="0"/>
    <m/>
    <m/>
  </r>
  <r>
    <x v="2"/>
    <x v="5"/>
    <x v="18"/>
    <x v="2"/>
    <x v="45"/>
    <x v="17"/>
    <x v="2"/>
    <m/>
    <m/>
    <m/>
    <m/>
    <m/>
    <n v="0"/>
    <n v="0"/>
    <n v="0"/>
    <n v="0"/>
    <n v="0"/>
    <n v="0"/>
    <n v="0"/>
    <n v="0"/>
    <n v="0"/>
    <n v="0"/>
    <m/>
    <s v="DEPENSES OPERATIONNELLES  |  IMPOTS ET TAXES SUR PERSONNEL  |  EFFECTIF_I&amp;T"/>
    <m/>
    <x v="2"/>
    <x v="0"/>
    <m/>
    <x v="0"/>
    <n v="0"/>
    <m/>
    <m/>
  </r>
  <r>
    <x v="2"/>
    <x v="5"/>
    <x v="18"/>
    <x v="2"/>
    <x v="45"/>
    <x v="4"/>
    <x v="2"/>
    <m/>
    <m/>
    <m/>
    <m/>
    <m/>
    <n v="0"/>
    <n v="0"/>
    <n v="0"/>
    <n v="0"/>
    <n v="0"/>
    <n v="0"/>
    <n v="0"/>
    <n v="0"/>
    <n v="0"/>
    <n v="0"/>
    <m/>
    <m/>
    <m/>
    <x v="1"/>
    <x v="0"/>
    <m/>
    <x v="0"/>
    <m/>
    <m/>
    <m/>
  </r>
  <r>
    <x v="2"/>
    <x v="2"/>
    <x v="0"/>
    <x v="0"/>
    <x v="0"/>
    <x v="0"/>
    <x v="2"/>
    <m/>
    <m/>
    <m/>
    <m/>
    <m/>
    <m/>
    <m/>
    <m/>
    <m/>
    <m/>
    <m/>
    <m/>
    <m/>
    <m/>
    <m/>
    <m/>
    <m/>
    <m/>
    <x v="0"/>
    <x v="0"/>
    <m/>
    <x v="0"/>
    <m/>
    <m/>
    <m/>
  </r>
  <r>
    <x v="2"/>
    <x v="5"/>
    <x v="19"/>
    <x v="2"/>
    <x v="46"/>
    <x v="27"/>
    <x v="15"/>
    <n v="0.03"/>
    <m/>
    <m/>
    <m/>
    <m/>
    <n v="0"/>
    <n v="0"/>
    <n v="0"/>
    <n v="0"/>
    <n v="0"/>
    <n v="0"/>
    <n v="0"/>
    <n v="0"/>
    <n v="0"/>
    <n v="0"/>
    <s v="Lié à l'index et au nombre de boutiques"/>
    <s v="DEPENSES OPERATIONNELLES  |  COUTS DE L'OFFICE  |  OFFICE  |  LOYER (OFFICE + MAGASINS)"/>
    <m/>
    <x v="2"/>
    <x v="0"/>
    <m/>
    <x v="0"/>
    <n v="1"/>
    <m/>
    <m/>
  </r>
  <r>
    <x v="2"/>
    <x v="5"/>
    <x v="19"/>
    <x v="2"/>
    <x v="46"/>
    <x v="28"/>
    <x v="15"/>
    <n v="0.03"/>
    <m/>
    <m/>
    <m/>
    <m/>
    <n v="0"/>
    <n v="0"/>
    <n v="0"/>
    <n v="0"/>
    <n v="0"/>
    <n v="0"/>
    <n v="0"/>
    <n v="0"/>
    <n v="0"/>
    <n v="0"/>
    <s v="Lié à l'index"/>
    <s v="DEPENSES OPERATIONNELLES  |  COUTS DE L'OFFICE  |  OFFICE  |  INTERNET (OFFICE + MAGASINS)"/>
    <m/>
    <x v="2"/>
    <x v="0"/>
    <m/>
    <x v="0"/>
    <n v="1"/>
    <m/>
    <m/>
  </r>
  <r>
    <x v="2"/>
    <x v="5"/>
    <x v="19"/>
    <x v="2"/>
    <x v="46"/>
    <x v="29"/>
    <x v="15"/>
    <n v="0.03"/>
    <m/>
    <m/>
    <m/>
    <m/>
    <n v="0"/>
    <n v="0"/>
    <n v="0"/>
    <n v="0"/>
    <n v="0"/>
    <n v="0"/>
    <n v="0"/>
    <n v="0"/>
    <n v="0"/>
    <n v="0"/>
    <m/>
    <s v="DEPENSES OPERATIONNELLES  |  COUTS DE L'OFFICE  |  OFFICE  |  TELECOMMUNICATIONS (FIXE + MOBILE)"/>
    <m/>
    <x v="2"/>
    <x v="0"/>
    <m/>
    <x v="0"/>
    <n v="1"/>
    <m/>
    <m/>
  </r>
  <r>
    <x v="2"/>
    <x v="5"/>
    <x v="19"/>
    <x v="2"/>
    <x v="46"/>
    <x v="30"/>
    <x v="2"/>
    <n v="0.03"/>
    <m/>
    <m/>
    <m/>
    <m/>
    <n v="0"/>
    <n v="0"/>
    <n v="0"/>
    <n v="0"/>
    <n v="0"/>
    <n v="0"/>
    <n v="0"/>
    <n v="0"/>
    <n v="0"/>
    <n v="0"/>
    <s v="Lié à l'index"/>
    <s v="DEPENSES OPERATIONNELLES  |  COUTS DE L'OFFICE  |  OFFICE  |  FOURNITURES DE BUREAU"/>
    <m/>
    <x v="2"/>
    <x v="0"/>
    <m/>
    <x v="0"/>
    <n v="1"/>
    <m/>
    <m/>
  </r>
  <r>
    <x v="2"/>
    <x v="5"/>
    <x v="19"/>
    <x v="2"/>
    <x v="46"/>
    <x v="31"/>
    <x v="2"/>
    <n v="0.03"/>
    <m/>
    <m/>
    <m/>
    <m/>
    <n v="0"/>
    <n v="0"/>
    <n v="0"/>
    <n v="0"/>
    <n v="0"/>
    <n v="0"/>
    <n v="0"/>
    <n v="0"/>
    <n v="0"/>
    <n v="0"/>
    <m/>
    <s v="DEPENSES OPERATIONNELLES  |  COUTS DE L'OFFICE  |  OFFICE  |  PETIT MATERIEL ET OUTILLAGE"/>
    <m/>
    <x v="2"/>
    <x v="0"/>
    <m/>
    <x v="0"/>
    <n v="1"/>
    <m/>
    <m/>
  </r>
  <r>
    <x v="2"/>
    <x v="5"/>
    <x v="19"/>
    <x v="2"/>
    <x v="46"/>
    <x v="32"/>
    <x v="2"/>
    <n v="0.03"/>
    <m/>
    <m/>
    <m/>
    <m/>
    <n v="0"/>
    <n v="0"/>
    <n v="0"/>
    <n v="0"/>
    <n v="0"/>
    <n v="0"/>
    <n v="0"/>
    <n v="0"/>
    <n v="0"/>
    <n v="0"/>
    <m/>
    <s v="DEPENSES OPERATIONNELLES  |  COUTS DE L'OFFICE  |  OFFICE  |  EMBALLAGES PERDUS"/>
    <m/>
    <x v="2"/>
    <x v="0"/>
    <m/>
    <x v="0"/>
    <n v="1"/>
    <m/>
    <m/>
  </r>
  <r>
    <x v="2"/>
    <x v="5"/>
    <x v="19"/>
    <x v="2"/>
    <x v="46"/>
    <x v="33"/>
    <x v="2"/>
    <n v="0.03"/>
    <m/>
    <m/>
    <m/>
    <m/>
    <n v="0"/>
    <n v="0"/>
    <n v="0"/>
    <n v="0"/>
    <n v="0"/>
    <n v="0"/>
    <n v="0"/>
    <n v="0"/>
    <n v="0"/>
    <n v="0"/>
    <m/>
    <s v="DEPENSES OPERATIONNELLES  |  COUTS DE L'OFFICE  |  OFFICE  |  MATIERES COMBUSTIBLES"/>
    <m/>
    <x v="2"/>
    <x v="0"/>
    <m/>
    <x v="0"/>
    <n v="1"/>
    <m/>
    <m/>
  </r>
  <r>
    <x v="2"/>
    <x v="5"/>
    <x v="19"/>
    <x v="2"/>
    <x v="46"/>
    <x v="34"/>
    <x v="15"/>
    <n v="0.03"/>
    <m/>
    <m/>
    <m/>
    <m/>
    <n v="0"/>
    <n v="0"/>
    <n v="0"/>
    <n v="0"/>
    <n v="0"/>
    <n v="0"/>
    <n v="0"/>
    <n v="0"/>
    <n v="0"/>
    <n v="0"/>
    <s v="Lié à l'index"/>
    <s v="DEPENSES OPERATIONNELLES  |  COUTS DE L'OFFICE  |  OFFICE  |  FOURNITURES NON STOCKABLES - EAU"/>
    <m/>
    <x v="2"/>
    <x v="0"/>
    <m/>
    <x v="0"/>
    <n v="1"/>
    <m/>
    <m/>
  </r>
  <r>
    <x v="2"/>
    <x v="5"/>
    <x v="19"/>
    <x v="2"/>
    <x v="46"/>
    <x v="35"/>
    <x v="15"/>
    <n v="0.03"/>
    <m/>
    <m/>
    <m/>
    <m/>
    <n v="0"/>
    <n v="0"/>
    <n v="0"/>
    <n v="0"/>
    <n v="0"/>
    <n v="0"/>
    <n v="0"/>
    <n v="0"/>
    <n v="0"/>
    <n v="0"/>
    <s v="Lié à l'index"/>
    <s v="DEPENSES OPERATIONNELLES  |  COUTS DE L'OFFICE  |  OFFICE  |  FOURNITURES NON STOCKABLES - ELECTRICITE"/>
    <m/>
    <x v="2"/>
    <x v="0"/>
    <m/>
    <x v="0"/>
    <n v="1"/>
    <m/>
    <m/>
  </r>
  <r>
    <x v="2"/>
    <x v="5"/>
    <x v="19"/>
    <x v="2"/>
    <x v="46"/>
    <x v="36"/>
    <x v="15"/>
    <n v="0.03"/>
    <m/>
    <m/>
    <m/>
    <m/>
    <n v="0"/>
    <n v="0"/>
    <n v="0"/>
    <n v="0"/>
    <n v="0"/>
    <n v="0"/>
    <n v="0"/>
    <n v="0"/>
    <n v="0"/>
    <n v="0"/>
    <s v="Lié à l'index"/>
    <s v="DEPENSES OPERATIONNELLES  |  COUTS DE L'OFFICE  |  OFFICE  |  NETTOYAGE (OFFICES + MAGASINS)"/>
    <m/>
    <x v="2"/>
    <x v="0"/>
    <m/>
    <x v="0"/>
    <n v="1"/>
    <m/>
    <m/>
  </r>
  <r>
    <x v="2"/>
    <x v="5"/>
    <x v="19"/>
    <x v="2"/>
    <x v="46"/>
    <x v="13"/>
    <x v="2"/>
    <n v="0.03"/>
    <m/>
    <m/>
    <m/>
    <m/>
    <n v="0"/>
    <n v="0"/>
    <n v="0"/>
    <n v="0"/>
    <n v="0"/>
    <n v="0"/>
    <n v="0"/>
    <n v="0"/>
    <n v="0"/>
    <n v="0"/>
    <m/>
    <s v="DEPENSES OPERATIONNELLES  |  COUTS DE L'OFFICE  |  OFFICE"/>
    <m/>
    <x v="2"/>
    <x v="0"/>
    <m/>
    <x v="0"/>
    <n v="0"/>
    <m/>
    <m/>
  </r>
  <r>
    <x v="2"/>
    <x v="5"/>
    <x v="19"/>
    <x v="2"/>
    <x v="46"/>
    <x v="14"/>
    <x v="2"/>
    <n v="0.03"/>
    <m/>
    <m/>
    <m/>
    <m/>
    <n v="0"/>
    <n v="0"/>
    <n v="0"/>
    <n v="0"/>
    <n v="0"/>
    <n v="0"/>
    <n v="0"/>
    <n v="0"/>
    <n v="0"/>
    <n v="0"/>
    <m/>
    <s v="DEPENSES OPERATIONNELLES  |  COUTS DE L'OFFICE  |  OFFICE"/>
    <m/>
    <x v="2"/>
    <x v="0"/>
    <m/>
    <x v="0"/>
    <n v="0"/>
    <m/>
    <m/>
  </r>
  <r>
    <x v="2"/>
    <x v="5"/>
    <x v="19"/>
    <x v="2"/>
    <x v="46"/>
    <x v="15"/>
    <x v="2"/>
    <n v="0.03"/>
    <m/>
    <m/>
    <m/>
    <m/>
    <n v="0"/>
    <n v="0"/>
    <n v="0"/>
    <n v="0"/>
    <n v="0"/>
    <n v="0"/>
    <n v="0"/>
    <n v="0"/>
    <n v="0"/>
    <n v="0"/>
    <m/>
    <s v="DEPENSES OPERATIONNELLES  |  COUTS DE L'OFFICE  |  OFFICE"/>
    <m/>
    <x v="2"/>
    <x v="0"/>
    <m/>
    <x v="0"/>
    <n v="0"/>
    <m/>
    <m/>
  </r>
  <r>
    <x v="2"/>
    <x v="5"/>
    <x v="19"/>
    <x v="2"/>
    <x v="46"/>
    <x v="16"/>
    <x v="2"/>
    <n v="0.03"/>
    <m/>
    <m/>
    <m/>
    <m/>
    <n v="0"/>
    <n v="0"/>
    <n v="0"/>
    <n v="0"/>
    <n v="0"/>
    <n v="0"/>
    <n v="0"/>
    <n v="0"/>
    <n v="0"/>
    <n v="0"/>
    <m/>
    <s v="DEPENSES OPERATIONNELLES  |  COUTS DE L'OFFICE  |  OFFICE"/>
    <m/>
    <x v="2"/>
    <x v="0"/>
    <m/>
    <x v="0"/>
    <n v="0"/>
    <m/>
    <m/>
  </r>
  <r>
    <x v="2"/>
    <x v="5"/>
    <x v="19"/>
    <x v="2"/>
    <x v="46"/>
    <x v="17"/>
    <x v="2"/>
    <n v="0.03"/>
    <m/>
    <m/>
    <m/>
    <m/>
    <n v="0"/>
    <n v="0"/>
    <n v="0"/>
    <n v="0"/>
    <n v="0"/>
    <n v="0"/>
    <n v="0"/>
    <n v="0"/>
    <n v="0"/>
    <n v="0"/>
    <m/>
    <s v="DEPENSES OPERATIONNELLES  |  COUTS DE L'OFFICE  |  OFFICE"/>
    <m/>
    <x v="2"/>
    <x v="0"/>
    <m/>
    <x v="0"/>
    <n v="0"/>
    <m/>
    <m/>
  </r>
  <r>
    <x v="2"/>
    <x v="5"/>
    <x v="19"/>
    <x v="2"/>
    <x v="46"/>
    <x v="4"/>
    <x v="2"/>
    <m/>
    <m/>
    <m/>
    <m/>
    <m/>
    <n v="0"/>
    <n v="0"/>
    <n v="0"/>
    <n v="0"/>
    <n v="0"/>
    <n v="0"/>
    <n v="0"/>
    <n v="0"/>
    <n v="0"/>
    <n v="0"/>
    <m/>
    <m/>
    <m/>
    <x v="1"/>
    <x v="0"/>
    <m/>
    <x v="0"/>
    <m/>
    <m/>
    <m/>
  </r>
  <r>
    <x v="2"/>
    <x v="2"/>
    <x v="0"/>
    <x v="0"/>
    <x v="0"/>
    <x v="0"/>
    <x v="2"/>
    <m/>
    <m/>
    <m/>
    <m/>
    <m/>
    <m/>
    <m/>
    <m/>
    <m/>
    <m/>
    <m/>
    <m/>
    <m/>
    <m/>
    <m/>
    <m/>
    <m/>
    <m/>
    <x v="0"/>
    <x v="0"/>
    <m/>
    <x v="0"/>
    <m/>
    <m/>
    <m/>
  </r>
  <r>
    <x v="2"/>
    <x v="5"/>
    <x v="20"/>
    <x v="2"/>
    <x v="47"/>
    <x v="37"/>
    <x v="2"/>
    <m/>
    <m/>
    <m/>
    <m/>
    <m/>
    <n v="0"/>
    <n v="0"/>
    <n v="0"/>
    <n v="0"/>
    <n v="0"/>
    <n v="0"/>
    <n v="0"/>
    <n v="0"/>
    <n v="0"/>
    <n v="0"/>
    <m/>
    <s v="DEPENSES OPERATIONNELLES  |  AUTRES CHARGES  |  AUTRES CHARGES  |  MEDECINE DU TRAVAIL ET PHARMACIE"/>
    <m/>
    <x v="2"/>
    <x v="0"/>
    <m/>
    <x v="0"/>
    <n v="1"/>
    <m/>
    <m/>
  </r>
  <r>
    <x v="2"/>
    <x v="5"/>
    <x v="20"/>
    <x v="2"/>
    <x v="47"/>
    <x v="38"/>
    <x v="2"/>
    <m/>
    <m/>
    <m/>
    <m/>
    <m/>
    <n v="0"/>
    <n v="0"/>
    <n v="0"/>
    <n v="0"/>
    <n v="0"/>
    <n v="0"/>
    <n v="0"/>
    <n v="0"/>
    <n v="0"/>
    <n v="0"/>
    <m/>
    <s v="DEPENSES OPERATIONNELLES  |  AUTRES CHARGES  |  AUTRES CHARGES  |  INDEMNITES DE FONCTION ET REMUNERATIONS D'ADMINISTRATEURS"/>
    <m/>
    <x v="2"/>
    <x v="0"/>
    <m/>
    <x v="0"/>
    <n v="1"/>
    <m/>
    <m/>
  </r>
  <r>
    <x v="2"/>
    <x v="5"/>
    <x v="20"/>
    <x v="2"/>
    <x v="47"/>
    <x v="39"/>
    <x v="2"/>
    <m/>
    <m/>
    <m/>
    <m/>
    <m/>
    <n v="0"/>
    <n v="0"/>
    <n v="0"/>
    <n v="0"/>
    <n v="0"/>
    <n v="0"/>
    <n v="0"/>
    <n v="0"/>
    <n v="0"/>
    <n v="0"/>
    <m/>
    <s v="DEPENSES OPERATIONNELLES  |  AUTRES CHARGES  |  AUTRES CHARGES  |  DONS"/>
    <m/>
    <x v="2"/>
    <x v="0"/>
    <m/>
    <x v="0"/>
    <n v="1"/>
    <m/>
    <m/>
  </r>
  <r>
    <x v="2"/>
    <x v="5"/>
    <x v="20"/>
    <x v="2"/>
    <x v="47"/>
    <x v="40"/>
    <x v="2"/>
    <m/>
    <m/>
    <m/>
    <m/>
    <m/>
    <n v="0"/>
    <n v="0"/>
    <n v="0"/>
    <n v="0"/>
    <n v="0"/>
    <n v="0"/>
    <n v="0"/>
    <n v="0"/>
    <n v="0"/>
    <n v="0"/>
    <m/>
    <s v="DEPENSES OPERATIONNELLES  |  AUTRES CHARGES  |  AUTRES CHARGES  |  MECENAT"/>
    <m/>
    <x v="2"/>
    <x v="0"/>
    <m/>
    <x v="0"/>
    <n v="1"/>
    <m/>
    <m/>
  </r>
  <r>
    <x v="2"/>
    <x v="5"/>
    <x v="20"/>
    <x v="2"/>
    <x v="47"/>
    <x v="13"/>
    <x v="2"/>
    <m/>
    <m/>
    <m/>
    <m/>
    <m/>
    <n v="0"/>
    <n v="0"/>
    <n v="0"/>
    <n v="0"/>
    <n v="0"/>
    <n v="0"/>
    <n v="0"/>
    <n v="0"/>
    <n v="0"/>
    <n v="0"/>
    <m/>
    <s v="DEPENSES OPERATIONNELLES  |  AUTRES CHARGES  |  AUTRES CHARGES"/>
    <m/>
    <x v="2"/>
    <x v="0"/>
    <m/>
    <x v="0"/>
    <n v="0"/>
    <m/>
    <m/>
  </r>
  <r>
    <x v="2"/>
    <x v="5"/>
    <x v="20"/>
    <x v="2"/>
    <x v="47"/>
    <x v="14"/>
    <x v="2"/>
    <m/>
    <m/>
    <m/>
    <m/>
    <m/>
    <n v="0"/>
    <n v="0"/>
    <n v="0"/>
    <n v="0"/>
    <n v="0"/>
    <n v="0"/>
    <n v="0"/>
    <n v="0"/>
    <n v="0"/>
    <n v="0"/>
    <m/>
    <s v="DEPENSES OPERATIONNELLES  |  AUTRES CHARGES  |  AUTRES CHARGES"/>
    <m/>
    <x v="2"/>
    <x v="0"/>
    <m/>
    <x v="0"/>
    <n v="0"/>
    <m/>
    <m/>
  </r>
  <r>
    <x v="2"/>
    <x v="5"/>
    <x v="20"/>
    <x v="2"/>
    <x v="47"/>
    <x v="15"/>
    <x v="2"/>
    <m/>
    <m/>
    <m/>
    <m/>
    <m/>
    <n v="0"/>
    <n v="0"/>
    <n v="0"/>
    <n v="0"/>
    <n v="0"/>
    <n v="0"/>
    <n v="0"/>
    <n v="0"/>
    <n v="0"/>
    <n v="0"/>
    <m/>
    <s v="DEPENSES OPERATIONNELLES  |  AUTRES CHARGES  |  AUTRES CHARGES"/>
    <m/>
    <x v="2"/>
    <x v="0"/>
    <m/>
    <x v="0"/>
    <n v="0"/>
    <m/>
    <m/>
  </r>
  <r>
    <x v="2"/>
    <x v="5"/>
    <x v="20"/>
    <x v="2"/>
    <x v="47"/>
    <x v="16"/>
    <x v="2"/>
    <m/>
    <m/>
    <m/>
    <m/>
    <m/>
    <n v="0"/>
    <n v="0"/>
    <n v="0"/>
    <n v="0"/>
    <n v="0"/>
    <n v="0"/>
    <n v="0"/>
    <n v="0"/>
    <n v="0"/>
    <n v="0"/>
    <m/>
    <s v="DEPENSES OPERATIONNELLES  |  AUTRES CHARGES  |  AUTRES CHARGES"/>
    <m/>
    <x v="2"/>
    <x v="0"/>
    <m/>
    <x v="0"/>
    <n v="0"/>
    <m/>
    <m/>
  </r>
  <r>
    <x v="2"/>
    <x v="5"/>
    <x v="20"/>
    <x v="2"/>
    <x v="47"/>
    <x v="17"/>
    <x v="2"/>
    <m/>
    <m/>
    <m/>
    <m/>
    <m/>
    <n v="0"/>
    <n v="0"/>
    <n v="0"/>
    <n v="0"/>
    <n v="0"/>
    <n v="0"/>
    <n v="0"/>
    <n v="0"/>
    <n v="0"/>
    <n v="0"/>
    <m/>
    <s v="DEPENSES OPERATIONNELLES  |  AUTRES CHARGES  |  AUTRES CHARGES"/>
    <m/>
    <x v="2"/>
    <x v="0"/>
    <m/>
    <x v="0"/>
    <n v="0"/>
    <m/>
    <m/>
  </r>
  <r>
    <x v="2"/>
    <x v="5"/>
    <x v="20"/>
    <x v="2"/>
    <x v="47"/>
    <x v="4"/>
    <x v="2"/>
    <m/>
    <m/>
    <m/>
    <m/>
    <m/>
    <n v="0"/>
    <n v="0"/>
    <n v="0"/>
    <n v="0"/>
    <n v="0"/>
    <n v="0"/>
    <n v="0"/>
    <n v="0"/>
    <n v="0"/>
    <n v="0"/>
    <m/>
    <m/>
    <m/>
    <x v="1"/>
    <x v="0"/>
    <m/>
    <x v="0"/>
    <m/>
    <m/>
    <m/>
  </r>
  <r>
    <x v="2"/>
    <x v="2"/>
    <x v="0"/>
    <x v="0"/>
    <x v="0"/>
    <x v="0"/>
    <x v="2"/>
    <m/>
    <m/>
    <m/>
    <m/>
    <m/>
    <m/>
    <m/>
    <m/>
    <m/>
    <m/>
    <m/>
    <m/>
    <m/>
    <m/>
    <m/>
    <m/>
    <m/>
    <m/>
    <x v="0"/>
    <x v="0"/>
    <m/>
    <x v="0"/>
    <m/>
    <m/>
    <m/>
  </r>
  <r>
    <x v="2"/>
    <x v="5"/>
    <x v="21"/>
    <x v="4"/>
    <x v="48"/>
    <x v="41"/>
    <x v="16"/>
    <m/>
    <m/>
    <m/>
    <m/>
    <m/>
    <n v="0"/>
    <n v="0"/>
    <n v="0"/>
    <n v="0"/>
    <n v="0"/>
    <n v="1"/>
    <n v="1"/>
    <n v="1"/>
    <n v="1"/>
    <n v="1"/>
    <s v="Lié au nombre de vendeurs et managers"/>
    <s v="DEPENSES OPERATIONNELLES  |  VOYAGE &amp; DEPLACEMENT  |  VOYAGE  |  NOMBRE DE PERSONNES VOYAGEANT"/>
    <m/>
    <x v="1"/>
    <x v="0"/>
    <m/>
    <x v="0"/>
    <n v="1"/>
    <m/>
    <m/>
  </r>
  <r>
    <x v="2"/>
    <x v="5"/>
    <x v="21"/>
    <x v="2"/>
    <x v="48"/>
    <x v="42"/>
    <x v="2"/>
    <n v="0.03"/>
    <m/>
    <m/>
    <m/>
    <m/>
    <n v="0"/>
    <n v="0"/>
    <n v="0"/>
    <n v="0"/>
    <n v="0"/>
    <n v="0"/>
    <n v="0"/>
    <n v="0"/>
    <n v="0"/>
    <n v="0"/>
    <s v="6 voyages x 3 jours (transport, nuite, repas)"/>
    <s v="DEPENSES OPERATIONNELLES  |  VOYAGE &amp; DEPLACEMENT  |  VOYAGE  |  COUT MOYEN DU VOYAGE PAR PERSONNE"/>
    <m/>
    <x v="2"/>
    <x v="0"/>
    <m/>
    <x v="0"/>
    <n v="1"/>
    <m/>
    <m/>
  </r>
  <r>
    <x v="2"/>
    <x v="5"/>
    <x v="21"/>
    <x v="2"/>
    <x v="48"/>
    <x v="4"/>
    <x v="2"/>
    <m/>
    <m/>
    <m/>
    <m/>
    <m/>
    <n v="0"/>
    <n v="0"/>
    <n v="0"/>
    <n v="0"/>
    <n v="0"/>
    <n v="0"/>
    <n v="0"/>
    <n v="0"/>
    <n v="0"/>
    <n v="0"/>
    <m/>
    <m/>
    <m/>
    <x v="1"/>
    <x v="0"/>
    <m/>
    <x v="0"/>
    <m/>
    <m/>
    <m/>
  </r>
  <r>
    <x v="2"/>
    <x v="2"/>
    <x v="0"/>
    <x v="0"/>
    <x v="0"/>
    <x v="0"/>
    <x v="2"/>
    <m/>
    <m/>
    <m/>
    <m/>
    <m/>
    <m/>
    <m/>
    <m/>
    <m/>
    <m/>
    <m/>
    <m/>
    <m/>
    <m/>
    <m/>
    <m/>
    <m/>
    <m/>
    <x v="0"/>
    <x v="0"/>
    <m/>
    <x v="0"/>
    <m/>
    <m/>
    <m/>
  </r>
  <r>
    <x v="2"/>
    <x v="5"/>
    <x v="22"/>
    <x v="2"/>
    <x v="49"/>
    <x v="43"/>
    <x v="15"/>
    <n v="0.03"/>
    <m/>
    <m/>
    <m/>
    <m/>
    <n v="0"/>
    <n v="0"/>
    <n v="0"/>
    <n v="0"/>
    <n v="0"/>
    <n v="0"/>
    <n v="0"/>
    <n v="0"/>
    <n v="0"/>
    <n v="0"/>
    <m/>
    <s v="DEPENSES OPERATIONNELLES  |  ASSURANCES  |  ASSURANCES  |  ASSURANCE DU BATIMENT"/>
    <m/>
    <x v="2"/>
    <x v="0"/>
    <m/>
    <x v="0"/>
    <n v="1"/>
    <m/>
    <m/>
  </r>
  <r>
    <x v="2"/>
    <x v="5"/>
    <x v="22"/>
    <x v="2"/>
    <x v="49"/>
    <x v="44"/>
    <x v="15"/>
    <n v="0.03"/>
    <m/>
    <m/>
    <m/>
    <m/>
    <n v="0"/>
    <n v="0"/>
    <n v="0"/>
    <n v="0"/>
    <n v="0"/>
    <n v="0"/>
    <n v="0"/>
    <n v="0"/>
    <n v="0"/>
    <n v="0"/>
    <m/>
    <s v="DEPENSES OPERATIONNELLES  |  ASSURANCES  |  ASSURANCES  |  ASSURANCE DE L'ENTREPRISE"/>
    <m/>
    <x v="2"/>
    <x v="0"/>
    <m/>
    <x v="0"/>
    <n v="1"/>
    <m/>
    <m/>
  </r>
  <r>
    <x v="2"/>
    <x v="5"/>
    <x v="22"/>
    <x v="2"/>
    <x v="49"/>
    <x v="13"/>
    <x v="2"/>
    <n v="0.03"/>
    <m/>
    <m/>
    <m/>
    <m/>
    <n v="0"/>
    <n v="0"/>
    <n v="0"/>
    <n v="0"/>
    <n v="0"/>
    <n v="0"/>
    <n v="0"/>
    <n v="0"/>
    <n v="0"/>
    <n v="0"/>
    <m/>
    <s v="DEPENSES OPERATIONNELLES  |  ASSURANCES  |  ASSURANCES"/>
    <m/>
    <x v="2"/>
    <x v="0"/>
    <m/>
    <x v="0"/>
    <n v="0"/>
    <m/>
    <m/>
  </r>
  <r>
    <x v="2"/>
    <x v="5"/>
    <x v="22"/>
    <x v="2"/>
    <x v="49"/>
    <x v="14"/>
    <x v="2"/>
    <n v="0.03"/>
    <m/>
    <m/>
    <m/>
    <m/>
    <n v="0"/>
    <n v="0"/>
    <n v="0"/>
    <n v="0"/>
    <n v="0"/>
    <n v="0"/>
    <n v="0"/>
    <n v="0"/>
    <n v="0"/>
    <n v="0"/>
    <m/>
    <s v="DEPENSES OPERATIONNELLES  |  ASSURANCES  |  ASSURANCES"/>
    <m/>
    <x v="2"/>
    <x v="0"/>
    <m/>
    <x v="0"/>
    <n v="0"/>
    <m/>
    <m/>
  </r>
  <r>
    <x v="2"/>
    <x v="5"/>
    <x v="22"/>
    <x v="2"/>
    <x v="49"/>
    <x v="15"/>
    <x v="2"/>
    <n v="0.03"/>
    <m/>
    <m/>
    <m/>
    <m/>
    <n v="0"/>
    <n v="0"/>
    <n v="0"/>
    <n v="0"/>
    <n v="0"/>
    <n v="0"/>
    <n v="0"/>
    <n v="0"/>
    <n v="0"/>
    <n v="0"/>
    <m/>
    <s v="DEPENSES OPERATIONNELLES  |  ASSURANCES  |  ASSURANCES"/>
    <m/>
    <x v="2"/>
    <x v="0"/>
    <m/>
    <x v="0"/>
    <n v="0"/>
    <m/>
    <m/>
  </r>
  <r>
    <x v="2"/>
    <x v="5"/>
    <x v="22"/>
    <x v="2"/>
    <x v="49"/>
    <x v="16"/>
    <x v="2"/>
    <n v="0.03"/>
    <m/>
    <m/>
    <m/>
    <m/>
    <n v="0"/>
    <n v="0"/>
    <n v="0"/>
    <n v="0"/>
    <n v="0"/>
    <n v="0"/>
    <n v="0"/>
    <n v="0"/>
    <n v="0"/>
    <n v="0"/>
    <m/>
    <s v="DEPENSES OPERATIONNELLES  |  ASSURANCES  |  ASSURANCES"/>
    <m/>
    <x v="2"/>
    <x v="0"/>
    <m/>
    <x v="0"/>
    <n v="0"/>
    <m/>
    <m/>
  </r>
  <r>
    <x v="2"/>
    <x v="5"/>
    <x v="22"/>
    <x v="2"/>
    <x v="49"/>
    <x v="17"/>
    <x v="2"/>
    <n v="0.03"/>
    <m/>
    <m/>
    <m/>
    <m/>
    <n v="0"/>
    <n v="0"/>
    <n v="0"/>
    <n v="0"/>
    <n v="0"/>
    <n v="0"/>
    <n v="0"/>
    <n v="0"/>
    <n v="0"/>
    <n v="0"/>
    <m/>
    <s v="DEPENSES OPERATIONNELLES  |  ASSURANCES  |  ASSURANCES"/>
    <m/>
    <x v="2"/>
    <x v="0"/>
    <m/>
    <x v="0"/>
    <n v="0"/>
    <m/>
    <m/>
  </r>
  <r>
    <x v="2"/>
    <x v="5"/>
    <x v="22"/>
    <x v="2"/>
    <x v="49"/>
    <x v="4"/>
    <x v="2"/>
    <m/>
    <m/>
    <m/>
    <m/>
    <m/>
    <n v="0"/>
    <n v="0"/>
    <n v="0"/>
    <n v="0"/>
    <n v="0"/>
    <n v="0"/>
    <n v="0"/>
    <n v="0"/>
    <n v="0"/>
    <n v="0"/>
    <m/>
    <m/>
    <m/>
    <x v="1"/>
    <x v="0"/>
    <m/>
    <x v="0"/>
    <m/>
    <m/>
    <m/>
  </r>
  <r>
    <x v="2"/>
    <x v="2"/>
    <x v="0"/>
    <x v="0"/>
    <x v="0"/>
    <x v="0"/>
    <x v="2"/>
    <m/>
    <m/>
    <m/>
    <m/>
    <m/>
    <m/>
    <m/>
    <m/>
    <m/>
    <m/>
    <m/>
    <m/>
    <m/>
    <m/>
    <m/>
    <m/>
    <m/>
    <m/>
    <x v="0"/>
    <x v="0"/>
    <m/>
    <x v="0"/>
    <m/>
    <m/>
    <m/>
  </r>
  <r>
    <x v="2"/>
    <x v="5"/>
    <x v="23"/>
    <x v="2"/>
    <x v="50"/>
    <x v="45"/>
    <x v="2"/>
    <m/>
    <m/>
    <m/>
    <m/>
    <m/>
    <n v="0"/>
    <n v="0"/>
    <n v="0"/>
    <n v="0"/>
    <n v="0"/>
    <n v="0"/>
    <n v="0"/>
    <n v="0"/>
    <n v="0"/>
    <n v="0"/>
    <m/>
    <s v="DEPENSES OPERATIONNELLES  |  ENTRETIEN  |  ENTRETIEN  |  ENTRETIEN ET REPARATION DES BIENS MOBILIERS"/>
    <m/>
    <x v="2"/>
    <x v="0"/>
    <m/>
    <x v="0"/>
    <n v="1"/>
    <m/>
    <m/>
  </r>
  <r>
    <x v="2"/>
    <x v="5"/>
    <x v="23"/>
    <x v="2"/>
    <x v="50"/>
    <x v="46"/>
    <x v="2"/>
    <m/>
    <m/>
    <m/>
    <m/>
    <m/>
    <n v="0"/>
    <n v="0"/>
    <n v="0"/>
    <n v="0"/>
    <n v="0"/>
    <n v="0"/>
    <n v="0"/>
    <n v="0"/>
    <n v="0"/>
    <n v="0"/>
    <m/>
    <s v="DEPENSES OPERATIONNELLES  |  ENTRETIEN  |  ENTRETIEN  |  CHARGES DE DEMENTELLEMENT ET REMISE EN ETAT"/>
    <m/>
    <x v="2"/>
    <x v="0"/>
    <m/>
    <x v="0"/>
    <n v="1"/>
    <m/>
    <m/>
  </r>
  <r>
    <x v="2"/>
    <x v="5"/>
    <x v="23"/>
    <x v="2"/>
    <x v="50"/>
    <x v="47"/>
    <x v="2"/>
    <n v="0.1"/>
    <m/>
    <m/>
    <m/>
    <m/>
    <n v="0"/>
    <n v="0"/>
    <n v="0"/>
    <n v="0"/>
    <n v="0"/>
    <n v="0"/>
    <n v="0"/>
    <n v="0"/>
    <n v="0"/>
    <n v="0"/>
    <m/>
    <s v="DEPENSES OPERATIONNELLES  |  ENTRETIEN  |  ENTRETIEN  |  AUTRE ENTRETIENS ET REPARATION"/>
    <m/>
    <x v="2"/>
    <x v="0"/>
    <m/>
    <x v="0"/>
    <n v="1"/>
    <m/>
    <m/>
  </r>
  <r>
    <x v="2"/>
    <x v="5"/>
    <x v="23"/>
    <x v="2"/>
    <x v="50"/>
    <x v="13"/>
    <x v="2"/>
    <m/>
    <m/>
    <m/>
    <m/>
    <m/>
    <n v="0"/>
    <n v="0"/>
    <n v="0"/>
    <n v="0"/>
    <n v="0"/>
    <n v="0"/>
    <n v="0"/>
    <n v="0"/>
    <n v="0"/>
    <n v="0"/>
    <m/>
    <s v="DEPENSES OPERATIONNELLES  |  ENTRETIEN  |  ENTRETIEN"/>
    <m/>
    <x v="2"/>
    <x v="0"/>
    <m/>
    <x v="0"/>
    <n v="0"/>
    <m/>
    <m/>
  </r>
  <r>
    <x v="2"/>
    <x v="5"/>
    <x v="23"/>
    <x v="2"/>
    <x v="50"/>
    <x v="14"/>
    <x v="2"/>
    <m/>
    <m/>
    <m/>
    <m/>
    <m/>
    <n v="0"/>
    <n v="0"/>
    <n v="0"/>
    <n v="0"/>
    <n v="0"/>
    <n v="0"/>
    <n v="0"/>
    <n v="0"/>
    <n v="0"/>
    <n v="0"/>
    <m/>
    <s v="DEPENSES OPERATIONNELLES  |  ENTRETIEN  |  ENTRETIEN"/>
    <m/>
    <x v="2"/>
    <x v="0"/>
    <m/>
    <x v="0"/>
    <n v="0"/>
    <m/>
    <m/>
  </r>
  <r>
    <x v="2"/>
    <x v="5"/>
    <x v="23"/>
    <x v="2"/>
    <x v="50"/>
    <x v="15"/>
    <x v="2"/>
    <m/>
    <m/>
    <m/>
    <m/>
    <m/>
    <n v="0"/>
    <n v="0"/>
    <n v="0"/>
    <n v="0"/>
    <n v="0"/>
    <n v="0"/>
    <n v="0"/>
    <n v="0"/>
    <n v="0"/>
    <n v="0"/>
    <m/>
    <s v="DEPENSES OPERATIONNELLES  |  ENTRETIEN  |  ENTRETIEN"/>
    <m/>
    <x v="2"/>
    <x v="0"/>
    <m/>
    <x v="0"/>
    <n v="0"/>
    <m/>
    <m/>
  </r>
  <r>
    <x v="2"/>
    <x v="5"/>
    <x v="23"/>
    <x v="2"/>
    <x v="50"/>
    <x v="16"/>
    <x v="2"/>
    <m/>
    <m/>
    <m/>
    <m/>
    <m/>
    <n v="0"/>
    <n v="0"/>
    <n v="0"/>
    <n v="0"/>
    <n v="0"/>
    <n v="0"/>
    <n v="0"/>
    <n v="0"/>
    <n v="0"/>
    <n v="0"/>
    <m/>
    <s v="DEPENSES OPERATIONNELLES  |  ENTRETIEN  |  ENTRETIEN"/>
    <m/>
    <x v="2"/>
    <x v="0"/>
    <m/>
    <x v="0"/>
    <n v="0"/>
    <m/>
    <m/>
  </r>
  <r>
    <x v="2"/>
    <x v="5"/>
    <x v="23"/>
    <x v="2"/>
    <x v="50"/>
    <x v="17"/>
    <x v="2"/>
    <m/>
    <m/>
    <m/>
    <m/>
    <m/>
    <n v="0"/>
    <n v="0"/>
    <n v="0"/>
    <n v="0"/>
    <n v="0"/>
    <n v="0"/>
    <n v="0"/>
    <n v="0"/>
    <n v="0"/>
    <n v="0"/>
    <m/>
    <s v="DEPENSES OPERATIONNELLES  |  ENTRETIEN  |  ENTRETIEN"/>
    <m/>
    <x v="2"/>
    <x v="0"/>
    <m/>
    <x v="0"/>
    <n v="0"/>
    <m/>
    <m/>
  </r>
  <r>
    <x v="2"/>
    <x v="5"/>
    <x v="23"/>
    <x v="2"/>
    <x v="50"/>
    <x v="4"/>
    <x v="2"/>
    <m/>
    <m/>
    <m/>
    <m/>
    <m/>
    <n v="0"/>
    <n v="0"/>
    <n v="0"/>
    <n v="0"/>
    <n v="0"/>
    <n v="0"/>
    <n v="0"/>
    <n v="0"/>
    <n v="0"/>
    <n v="0"/>
    <m/>
    <m/>
    <m/>
    <x v="1"/>
    <x v="0"/>
    <m/>
    <x v="0"/>
    <m/>
    <m/>
    <m/>
  </r>
  <r>
    <x v="2"/>
    <x v="2"/>
    <x v="0"/>
    <x v="0"/>
    <x v="0"/>
    <x v="0"/>
    <x v="2"/>
    <m/>
    <m/>
    <m/>
    <m/>
    <m/>
    <m/>
    <m/>
    <m/>
    <m/>
    <m/>
    <m/>
    <m/>
    <m/>
    <m/>
    <m/>
    <m/>
    <m/>
    <m/>
    <x v="0"/>
    <x v="0"/>
    <m/>
    <x v="0"/>
    <m/>
    <m/>
    <m/>
  </r>
  <r>
    <x v="2"/>
    <x v="5"/>
    <x v="24"/>
    <x v="2"/>
    <x v="51"/>
    <x v="48"/>
    <x v="2"/>
    <m/>
    <m/>
    <m/>
    <m/>
    <m/>
    <n v="0"/>
    <n v="0"/>
    <n v="0"/>
    <n v="0"/>
    <n v="0"/>
    <n v="0"/>
    <n v="0"/>
    <n v="0"/>
    <n v="0"/>
    <n v="0"/>
    <m/>
    <s v="DEPENSES OPERATIONNELLES  |  TIERCES PARTIES  |  TIERCES PARTIES  |  FRAIS DE DEMARRAGE LEGAUX (NOTAIRE, OBLIGATIONS GOUVERNEMENTALES ...)"/>
    <m/>
    <x v="2"/>
    <x v="0"/>
    <m/>
    <x v="0"/>
    <n v="1"/>
    <m/>
    <m/>
  </r>
  <r>
    <x v="2"/>
    <x v="5"/>
    <x v="24"/>
    <x v="2"/>
    <x v="51"/>
    <x v="49"/>
    <x v="2"/>
    <m/>
    <m/>
    <m/>
    <m/>
    <m/>
    <n v="0"/>
    <n v="0"/>
    <n v="0"/>
    <n v="0"/>
    <n v="0"/>
    <n v="0"/>
    <n v="0"/>
    <n v="0"/>
    <n v="0"/>
    <n v="0"/>
    <m/>
    <s v="DEPENSES OPERATIONNELLES  |  TIERCES PARTIES  |  TIERCES PARTIES  |  FRAIS DE SUIVI PRET FACTURE D'AVANCE"/>
    <m/>
    <x v="2"/>
    <x v="0"/>
    <m/>
    <x v="0"/>
    <n v="1"/>
    <m/>
    <m/>
  </r>
  <r>
    <x v="2"/>
    <x v="5"/>
    <x v="24"/>
    <x v="2"/>
    <x v="51"/>
    <x v="50"/>
    <x v="2"/>
    <m/>
    <m/>
    <m/>
    <m/>
    <m/>
    <n v="0"/>
    <n v="0"/>
    <n v="0"/>
    <n v="0"/>
    <n v="0"/>
    <n v="0"/>
    <n v="0"/>
    <n v="0"/>
    <n v="0"/>
    <n v="0"/>
    <m/>
    <s v="DEPENSES OPERATIONNELLES  |  TIERCES PARTIES  |  TIERCES PARTIES  |  AUTRES FRAIS DE DÉMARRAGE (SI NON ACTIVE)"/>
    <m/>
    <x v="2"/>
    <x v="0"/>
    <m/>
    <x v="0"/>
    <n v="1"/>
    <m/>
    <m/>
  </r>
  <r>
    <x v="2"/>
    <x v="5"/>
    <x v="24"/>
    <x v="2"/>
    <x v="51"/>
    <x v="51"/>
    <x v="2"/>
    <m/>
    <m/>
    <m/>
    <m/>
    <m/>
    <n v="0"/>
    <n v="0"/>
    <n v="0"/>
    <n v="0"/>
    <n v="0"/>
    <n v="0"/>
    <n v="0"/>
    <n v="0"/>
    <n v="0"/>
    <n v="0"/>
    <m/>
    <s v="DEPENSES OPERATIONNELLES  |  TIERCES PARTIES  |  TIERCES PARTIES  |  TRANSPORT DE MARCHANDISES (CARBURANT)"/>
    <m/>
    <x v="2"/>
    <x v="0"/>
    <m/>
    <x v="0"/>
    <n v="1"/>
    <m/>
    <m/>
  </r>
  <r>
    <x v="2"/>
    <x v="5"/>
    <x v="24"/>
    <x v="2"/>
    <x v="51"/>
    <x v="52"/>
    <x v="2"/>
    <m/>
    <m/>
    <m/>
    <m/>
    <m/>
    <n v="0"/>
    <n v="0"/>
    <n v="0"/>
    <n v="0"/>
    <n v="0"/>
    <n v="0"/>
    <n v="0"/>
    <n v="0"/>
    <n v="0"/>
    <n v="0"/>
    <m/>
    <s v="DEPENSES OPERATIONNELLES  |  TIERCES PARTIES  |  TIERCES PARTIES  |  LIVRAISON DE MARCHANDISES"/>
    <m/>
    <x v="2"/>
    <x v="0"/>
    <m/>
    <x v="0"/>
    <n v="1"/>
    <m/>
    <m/>
  </r>
  <r>
    <x v="2"/>
    <x v="5"/>
    <x v="24"/>
    <x v="2"/>
    <x v="51"/>
    <x v="53"/>
    <x v="2"/>
    <m/>
    <m/>
    <m/>
    <m/>
    <m/>
    <n v="0"/>
    <n v="0"/>
    <n v="0"/>
    <n v="0"/>
    <n v="0"/>
    <n v="0"/>
    <n v="0"/>
    <n v="0"/>
    <n v="0"/>
    <n v="0"/>
    <m/>
    <s v="DEPENSES OPERATIONNELLES  |  TIERCES PARTIES  |  TIERCES PARTIES  |  COMMISSIONS ET COURTAGES SUR VENTES"/>
    <m/>
    <x v="2"/>
    <x v="0"/>
    <m/>
    <x v="0"/>
    <n v="1"/>
    <m/>
    <m/>
  </r>
  <r>
    <x v="2"/>
    <x v="5"/>
    <x v="24"/>
    <x v="2"/>
    <x v="51"/>
    <x v="54"/>
    <x v="2"/>
    <n v="0.03"/>
    <m/>
    <m/>
    <m/>
    <m/>
    <n v="0"/>
    <n v="0"/>
    <n v="0"/>
    <n v="0"/>
    <n v="0"/>
    <n v="0"/>
    <n v="0"/>
    <n v="0"/>
    <n v="0"/>
    <n v="0"/>
    <s v="Lié à l'index"/>
    <s v="DEPENSES OPERATIONNELLES  |  TIERCES PARTIES  |  TIERCES PARTIES  |  CONSEILLER JURIDIQUE"/>
    <m/>
    <x v="2"/>
    <x v="0"/>
    <m/>
    <x v="0"/>
    <n v="1"/>
    <m/>
    <m/>
  </r>
  <r>
    <x v="2"/>
    <x v="5"/>
    <x v="24"/>
    <x v="2"/>
    <x v="51"/>
    <x v="55"/>
    <x v="2"/>
    <n v="0.03"/>
    <m/>
    <m/>
    <m/>
    <m/>
    <n v="0"/>
    <n v="0"/>
    <n v="0"/>
    <n v="0"/>
    <n v="0"/>
    <n v="0"/>
    <n v="0"/>
    <n v="0"/>
    <n v="0"/>
    <n v="0"/>
    <s v="Lié à l'index"/>
    <s v="DEPENSES OPERATIONNELLES  |  TIERCES PARTIES  |  TIERCES PARTIES  |  COMPTABILITÉ &amp; FISCALITÉ"/>
    <m/>
    <x v="2"/>
    <x v="0"/>
    <m/>
    <x v="0"/>
    <n v="1"/>
    <m/>
    <m/>
  </r>
  <r>
    <x v="2"/>
    <x v="5"/>
    <x v="24"/>
    <x v="2"/>
    <x v="51"/>
    <x v="13"/>
    <x v="2"/>
    <m/>
    <m/>
    <m/>
    <m/>
    <m/>
    <n v="0"/>
    <n v="0"/>
    <n v="0"/>
    <n v="0"/>
    <n v="0"/>
    <n v="0"/>
    <n v="0"/>
    <n v="0"/>
    <n v="0"/>
    <n v="0"/>
    <m/>
    <s v="DEPENSES OPERATIONNELLES  |  TIERCES PARTIES  |  TIERCES PARTIES"/>
    <m/>
    <x v="2"/>
    <x v="0"/>
    <m/>
    <x v="0"/>
    <n v="0"/>
    <m/>
    <m/>
  </r>
  <r>
    <x v="2"/>
    <x v="5"/>
    <x v="24"/>
    <x v="2"/>
    <x v="51"/>
    <x v="14"/>
    <x v="2"/>
    <m/>
    <m/>
    <m/>
    <m/>
    <m/>
    <n v="0"/>
    <n v="0"/>
    <n v="0"/>
    <n v="0"/>
    <n v="0"/>
    <n v="0"/>
    <n v="0"/>
    <n v="0"/>
    <n v="0"/>
    <n v="0"/>
    <m/>
    <s v="DEPENSES OPERATIONNELLES  |  TIERCES PARTIES  |  TIERCES PARTIES"/>
    <m/>
    <x v="2"/>
    <x v="0"/>
    <m/>
    <x v="0"/>
    <n v="0"/>
    <m/>
    <m/>
  </r>
  <r>
    <x v="2"/>
    <x v="5"/>
    <x v="24"/>
    <x v="2"/>
    <x v="51"/>
    <x v="15"/>
    <x v="2"/>
    <m/>
    <m/>
    <m/>
    <m/>
    <m/>
    <n v="0"/>
    <n v="0"/>
    <n v="0"/>
    <n v="0"/>
    <n v="0"/>
    <n v="0"/>
    <n v="0"/>
    <n v="0"/>
    <n v="0"/>
    <n v="0"/>
    <m/>
    <s v="DEPENSES OPERATIONNELLES  |  TIERCES PARTIES  |  TIERCES PARTIES"/>
    <m/>
    <x v="2"/>
    <x v="0"/>
    <m/>
    <x v="0"/>
    <n v="0"/>
    <m/>
    <m/>
  </r>
  <r>
    <x v="2"/>
    <x v="5"/>
    <x v="24"/>
    <x v="2"/>
    <x v="51"/>
    <x v="16"/>
    <x v="2"/>
    <m/>
    <m/>
    <m/>
    <m/>
    <m/>
    <n v="0"/>
    <n v="0"/>
    <n v="0"/>
    <n v="0"/>
    <n v="0"/>
    <n v="0"/>
    <n v="0"/>
    <n v="0"/>
    <n v="0"/>
    <n v="0"/>
    <m/>
    <s v="DEPENSES OPERATIONNELLES  |  TIERCES PARTIES  |  TIERCES PARTIES"/>
    <m/>
    <x v="2"/>
    <x v="0"/>
    <m/>
    <x v="0"/>
    <n v="0"/>
    <m/>
    <m/>
  </r>
  <r>
    <x v="2"/>
    <x v="5"/>
    <x v="24"/>
    <x v="2"/>
    <x v="51"/>
    <x v="17"/>
    <x v="2"/>
    <m/>
    <m/>
    <m/>
    <m/>
    <m/>
    <n v="0"/>
    <n v="0"/>
    <n v="0"/>
    <n v="0"/>
    <n v="0"/>
    <n v="0"/>
    <n v="0"/>
    <n v="0"/>
    <n v="0"/>
    <n v="0"/>
    <m/>
    <s v="DEPENSES OPERATIONNELLES  |  TIERCES PARTIES  |  TIERCES PARTIES"/>
    <m/>
    <x v="2"/>
    <x v="0"/>
    <m/>
    <x v="0"/>
    <n v="0"/>
    <m/>
    <m/>
  </r>
  <r>
    <x v="2"/>
    <x v="5"/>
    <x v="24"/>
    <x v="2"/>
    <x v="51"/>
    <x v="4"/>
    <x v="2"/>
    <m/>
    <m/>
    <m/>
    <m/>
    <m/>
    <n v="0"/>
    <n v="0"/>
    <n v="0"/>
    <n v="0"/>
    <n v="0"/>
    <n v="0"/>
    <n v="0"/>
    <n v="0"/>
    <n v="0"/>
    <n v="0"/>
    <m/>
    <m/>
    <m/>
    <x v="1"/>
    <x v="0"/>
    <m/>
    <x v="0"/>
    <m/>
    <m/>
    <m/>
  </r>
  <r>
    <x v="2"/>
    <x v="2"/>
    <x v="0"/>
    <x v="0"/>
    <x v="0"/>
    <x v="0"/>
    <x v="2"/>
    <m/>
    <m/>
    <m/>
    <m/>
    <m/>
    <m/>
    <m/>
    <m/>
    <m/>
    <m/>
    <m/>
    <m/>
    <m/>
    <m/>
    <m/>
    <m/>
    <m/>
    <m/>
    <x v="0"/>
    <x v="0"/>
    <m/>
    <x v="0"/>
    <m/>
    <m/>
    <m/>
  </r>
  <r>
    <x v="2"/>
    <x v="5"/>
    <x v="16"/>
    <x v="2"/>
    <x v="34"/>
    <x v="4"/>
    <x v="4"/>
    <m/>
    <m/>
    <m/>
    <m/>
    <m/>
    <n v="0"/>
    <n v="0"/>
    <n v="0"/>
    <n v="0"/>
    <n v="0"/>
    <n v="0"/>
    <n v="0"/>
    <n v="0"/>
    <n v="0"/>
    <n v="0"/>
    <m/>
    <s v="DEPENSES OPERATIONNELLES  |  COUT DE MARKETING  |  MARKETING  |  TOTAL"/>
    <m/>
    <x v="1"/>
    <x v="2"/>
    <m/>
    <x v="1"/>
    <n v="1"/>
    <m/>
    <n v="1"/>
  </r>
  <r>
    <x v="2"/>
    <x v="5"/>
    <x v="17"/>
    <x v="2"/>
    <x v="52"/>
    <x v="4"/>
    <x v="4"/>
    <m/>
    <m/>
    <m/>
    <m/>
    <m/>
    <n v="0"/>
    <n v="0"/>
    <n v="0"/>
    <n v="0"/>
    <n v="0"/>
    <n v="0"/>
    <n v="0"/>
    <n v="0"/>
    <n v="0"/>
    <n v="0"/>
    <m/>
    <s v="DEPENSES OPERATIONNELLES  |  SALAIRES DE PERSONNEL  |  EFFECTIF_CAT  |  TOTAL"/>
    <m/>
    <x v="1"/>
    <x v="2"/>
    <n v="1"/>
    <x v="1"/>
    <n v="1"/>
    <m/>
    <n v="1"/>
  </r>
  <r>
    <x v="2"/>
    <x v="5"/>
    <x v="18"/>
    <x v="2"/>
    <x v="45"/>
    <x v="4"/>
    <x v="4"/>
    <m/>
    <m/>
    <m/>
    <m/>
    <m/>
    <n v="0"/>
    <n v="0"/>
    <n v="0"/>
    <n v="0"/>
    <n v="0"/>
    <n v="0"/>
    <n v="0"/>
    <n v="0"/>
    <n v="0"/>
    <n v="0"/>
    <m/>
    <s v="DEPENSES OPERATIONNELLES  |  IMPOTS ET TAXES SUR PERSONNEL  |  EFFECTIF_I&amp;T  |  TOTAL"/>
    <m/>
    <x v="1"/>
    <x v="2"/>
    <m/>
    <x v="1"/>
    <n v="1"/>
    <m/>
    <n v="1"/>
  </r>
  <r>
    <x v="2"/>
    <x v="5"/>
    <x v="19"/>
    <x v="2"/>
    <x v="46"/>
    <x v="4"/>
    <x v="4"/>
    <m/>
    <m/>
    <m/>
    <m/>
    <m/>
    <n v="0"/>
    <n v="0"/>
    <n v="0"/>
    <n v="0"/>
    <n v="0"/>
    <n v="0"/>
    <n v="0"/>
    <n v="0"/>
    <n v="0"/>
    <n v="0"/>
    <m/>
    <s v="DEPENSES OPERATIONNELLES  |  COUTS DE L'OFFICE  |  OFFICE  |  TOTAL"/>
    <m/>
    <x v="1"/>
    <x v="2"/>
    <m/>
    <x v="1"/>
    <n v="1"/>
    <m/>
    <n v="1"/>
  </r>
  <r>
    <x v="2"/>
    <x v="5"/>
    <x v="20"/>
    <x v="2"/>
    <x v="47"/>
    <x v="4"/>
    <x v="4"/>
    <m/>
    <m/>
    <m/>
    <m/>
    <m/>
    <n v="0"/>
    <n v="0"/>
    <n v="0"/>
    <n v="0"/>
    <n v="0"/>
    <n v="0"/>
    <n v="0"/>
    <n v="0"/>
    <n v="0"/>
    <n v="0"/>
    <m/>
    <s v="DEPENSES OPERATIONNELLES  |  AUTRES CHARGES  |  AUTRES CHARGES  |  TOTAL"/>
    <m/>
    <x v="1"/>
    <x v="2"/>
    <m/>
    <x v="1"/>
    <n v="1"/>
    <m/>
    <n v="1"/>
  </r>
  <r>
    <x v="2"/>
    <x v="5"/>
    <x v="21"/>
    <x v="2"/>
    <x v="48"/>
    <x v="4"/>
    <x v="4"/>
    <m/>
    <m/>
    <m/>
    <m/>
    <m/>
    <n v="0"/>
    <n v="0"/>
    <n v="0"/>
    <n v="0"/>
    <n v="0"/>
    <n v="0"/>
    <n v="0"/>
    <n v="0"/>
    <n v="0"/>
    <n v="0"/>
    <m/>
    <s v="DEPENSES OPERATIONNELLES  |  VOYAGE &amp; DEPLACEMENT  |  VOYAGE  |  TOTAL"/>
    <m/>
    <x v="1"/>
    <x v="2"/>
    <m/>
    <x v="1"/>
    <n v="1"/>
    <m/>
    <n v="1"/>
  </r>
  <r>
    <x v="2"/>
    <x v="5"/>
    <x v="22"/>
    <x v="2"/>
    <x v="49"/>
    <x v="4"/>
    <x v="4"/>
    <m/>
    <m/>
    <m/>
    <m/>
    <m/>
    <n v="0"/>
    <n v="0"/>
    <n v="0"/>
    <n v="0"/>
    <n v="0"/>
    <n v="0"/>
    <n v="0"/>
    <n v="0"/>
    <n v="0"/>
    <n v="0"/>
    <m/>
    <s v="DEPENSES OPERATIONNELLES  |  ASSURANCES  |  ASSURANCES  |  TOTAL"/>
    <m/>
    <x v="1"/>
    <x v="2"/>
    <m/>
    <x v="1"/>
    <n v="1"/>
    <m/>
    <n v="1"/>
  </r>
  <r>
    <x v="2"/>
    <x v="5"/>
    <x v="23"/>
    <x v="2"/>
    <x v="50"/>
    <x v="4"/>
    <x v="4"/>
    <m/>
    <m/>
    <m/>
    <m/>
    <m/>
    <n v="0"/>
    <n v="0"/>
    <n v="0"/>
    <n v="0"/>
    <n v="0"/>
    <n v="0"/>
    <n v="0"/>
    <n v="0"/>
    <n v="0"/>
    <n v="0"/>
    <m/>
    <s v="DEPENSES OPERATIONNELLES  |  ENTRETIEN  |  ENTRETIEN  |  TOTAL"/>
    <m/>
    <x v="1"/>
    <x v="2"/>
    <m/>
    <x v="1"/>
    <n v="1"/>
    <m/>
    <n v="1"/>
  </r>
  <r>
    <x v="2"/>
    <x v="5"/>
    <x v="24"/>
    <x v="2"/>
    <x v="51"/>
    <x v="4"/>
    <x v="4"/>
    <m/>
    <m/>
    <m/>
    <m/>
    <m/>
    <n v="0"/>
    <n v="0"/>
    <n v="0"/>
    <n v="0"/>
    <n v="0"/>
    <n v="0"/>
    <n v="0"/>
    <n v="0"/>
    <n v="0"/>
    <n v="0"/>
    <m/>
    <s v="DEPENSES OPERATIONNELLES  |  TIERCES PARTIES  |  TIERCES PARTIES  |  TOTAL"/>
    <m/>
    <x v="1"/>
    <x v="2"/>
    <m/>
    <x v="1"/>
    <n v="1"/>
    <m/>
    <n v="1"/>
  </r>
  <r>
    <x v="2"/>
    <x v="5"/>
    <x v="25"/>
    <x v="2"/>
    <x v="53"/>
    <x v="4"/>
    <x v="4"/>
    <m/>
    <m/>
    <m/>
    <m/>
    <m/>
    <n v="0"/>
    <n v="0"/>
    <n v="0"/>
    <n v="0"/>
    <n v="0"/>
    <n v="0"/>
    <n v="0"/>
    <n v="0"/>
    <n v="0"/>
    <n v="0"/>
    <m/>
    <s v="DEPENSES OPERATIONNELLES  |  DEPENSES OPERATIONNELLES  |  TOUTES LES CHARGES  |  TOTAL"/>
    <m/>
    <x v="1"/>
    <x v="2"/>
    <n v="1"/>
    <x v="0"/>
    <n v="1"/>
    <m/>
    <m/>
  </r>
  <r>
    <x v="2"/>
    <x v="4"/>
    <x v="0"/>
    <x v="0"/>
    <x v="0"/>
    <x v="0"/>
    <x v="2"/>
    <m/>
    <m/>
    <m/>
    <m/>
    <m/>
    <b v="1"/>
    <b v="1"/>
    <b v="1"/>
    <b v="1"/>
    <b v="1"/>
    <b v="1"/>
    <b v="1"/>
    <b v="1"/>
    <b v="1"/>
    <b v="1"/>
    <m/>
    <m/>
    <b v="1"/>
    <x v="1"/>
    <x v="0"/>
    <m/>
    <x v="0"/>
    <m/>
    <m/>
    <m/>
  </r>
  <r>
    <x v="2"/>
    <x v="2"/>
    <x v="0"/>
    <x v="0"/>
    <x v="0"/>
    <x v="0"/>
    <x v="2"/>
    <m/>
    <m/>
    <m/>
    <m/>
    <m/>
    <m/>
    <m/>
    <m/>
    <m/>
    <m/>
    <m/>
    <m/>
    <m/>
    <m/>
    <m/>
    <m/>
    <m/>
    <m/>
    <x v="0"/>
    <x v="0"/>
    <m/>
    <x v="0"/>
    <m/>
    <m/>
    <m/>
  </r>
  <r>
    <x v="2"/>
    <x v="5"/>
    <x v="25"/>
    <x v="2"/>
    <x v="53"/>
    <x v="4"/>
    <x v="2"/>
    <m/>
    <m/>
    <m/>
    <m/>
    <m/>
    <n v="0"/>
    <n v="0"/>
    <n v="0"/>
    <n v="0"/>
    <n v="0"/>
    <n v="0"/>
    <n v="0"/>
    <n v="0"/>
    <n v="0"/>
    <n v="0"/>
    <m/>
    <s v="DEPENSES OPERATIONNELLES  |  DEPENSES OPERATIONNELLES  |  TOUTES LES CHARGES  |  TOTAL"/>
    <m/>
    <x v="1"/>
    <x v="0"/>
    <m/>
    <x v="0"/>
    <n v="1"/>
    <m/>
    <m/>
  </r>
  <r>
    <x v="2"/>
    <x v="5"/>
    <x v="25"/>
    <x v="3"/>
    <x v="53"/>
    <x v="6"/>
    <x v="2"/>
    <m/>
    <m/>
    <m/>
    <m/>
    <m/>
    <m/>
    <s v=""/>
    <m/>
    <m/>
    <s v=""/>
    <s v=""/>
    <s v=""/>
    <s v=""/>
    <s v=""/>
    <s v=""/>
    <m/>
    <s v="DEPENSES OPERATIONNELLES  |  DEPENSES OPERATIONNELLES  |  TOUTES LES CHARGES  |  % VARIATION D'UNE ANNEE SUR L'AUTRE"/>
    <m/>
    <x v="1"/>
    <x v="0"/>
    <m/>
    <x v="0"/>
    <n v="1"/>
    <m/>
    <m/>
  </r>
  <r>
    <x v="2"/>
    <x v="2"/>
    <x v="0"/>
    <x v="0"/>
    <x v="0"/>
    <x v="0"/>
    <x v="2"/>
    <m/>
    <m/>
    <m/>
    <m/>
    <m/>
    <m/>
    <m/>
    <m/>
    <m/>
    <m/>
    <m/>
    <m/>
    <m/>
    <m/>
    <m/>
    <m/>
    <m/>
    <m/>
    <x v="0"/>
    <x v="0"/>
    <m/>
    <x v="0"/>
    <m/>
    <m/>
    <m/>
  </r>
  <r>
    <x v="2"/>
    <x v="5"/>
    <x v="16"/>
    <x v="3"/>
    <x v="34"/>
    <x v="56"/>
    <x v="2"/>
    <m/>
    <m/>
    <m/>
    <m/>
    <m/>
    <n v="0"/>
    <n v="0"/>
    <n v="0"/>
    <n v="0"/>
    <n v="0"/>
    <n v="0"/>
    <n v="0"/>
    <n v="0"/>
    <n v="0"/>
    <n v="0"/>
    <m/>
    <s v="DEPENSES OPERATIONNELLES  |  COUT DE MARKETING  |  MARKETING  |  % COUTS DE MARKETING / CHIFFRE D'AFFAIRES"/>
    <m/>
    <x v="1"/>
    <x v="0"/>
    <m/>
    <x v="0"/>
    <n v="1"/>
    <m/>
    <m/>
  </r>
  <r>
    <x v="2"/>
    <x v="5"/>
    <x v="17"/>
    <x v="3"/>
    <x v="52"/>
    <x v="57"/>
    <x v="2"/>
    <m/>
    <m/>
    <m/>
    <m/>
    <m/>
    <n v="0"/>
    <n v="0"/>
    <n v="0"/>
    <n v="0"/>
    <n v="0"/>
    <n v="0"/>
    <n v="0"/>
    <n v="0"/>
    <n v="0"/>
    <n v="0"/>
    <m/>
    <s v="DEPENSES OPERATIONNELLES  |  SALAIRES DE PERSONNEL  |  EFFECTIF_CAT  |  % SALAIRES DU PERSONNEL / CHIFFRE D'AFFAIRES"/>
    <m/>
    <x v="1"/>
    <x v="0"/>
    <m/>
    <x v="0"/>
    <n v="1"/>
    <m/>
    <m/>
  </r>
  <r>
    <x v="2"/>
    <x v="5"/>
    <x v="18"/>
    <x v="3"/>
    <x v="45"/>
    <x v="58"/>
    <x v="2"/>
    <m/>
    <m/>
    <m/>
    <m/>
    <m/>
    <n v="0"/>
    <n v="0"/>
    <n v="0"/>
    <n v="0"/>
    <n v="0"/>
    <n v="0"/>
    <n v="0"/>
    <n v="0"/>
    <n v="0"/>
    <n v="0"/>
    <m/>
    <s v="DEPENSES OPERATIONNELLES  |  IMPOTS ET TAXES SUR PERSONNEL  |  EFFECTIF_I&amp;T  |  % IMPOTS ET TAXES SUR LE PERSONNEL / CHIFFRE D'AFFAIRES"/>
    <m/>
    <x v="1"/>
    <x v="0"/>
    <m/>
    <x v="0"/>
    <n v="1"/>
    <m/>
    <m/>
  </r>
  <r>
    <x v="2"/>
    <x v="5"/>
    <x v="19"/>
    <x v="3"/>
    <x v="46"/>
    <x v="59"/>
    <x v="2"/>
    <m/>
    <m/>
    <m/>
    <m/>
    <m/>
    <n v="0"/>
    <n v="0"/>
    <n v="0"/>
    <n v="0"/>
    <n v="0"/>
    <n v="0"/>
    <n v="0"/>
    <n v="0"/>
    <n v="0"/>
    <n v="0"/>
    <m/>
    <s v="DEPENSES OPERATIONNELLES  |  COUTS DE L'OFFICE  |  OFFICE  |  % FRAIS DE BUREAU / CHIFFRE D'AFFAIRESS"/>
    <m/>
    <x v="1"/>
    <x v="0"/>
    <m/>
    <x v="0"/>
    <n v="1"/>
    <m/>
    <m/>
  </r>
  <r>
    <x v="2"/>
    <x v="5"/>
    <x v="20"/>
    <x v="3"/>
    <x v="47"/>
    <x v="60"/>
    <x v="2"/>
    <m/>
    <m/>
    <m/>
    <m/>
    <m/>
    <n v="0"/>
    <n v="0"/>
    <n v="0"/>
    <n v="0"/>
    <n v="0"/>
    <n v="0"/>
    <n v="0"/>
    <n v="0"/>
    <n v="0"/>
    <n v="0"/>
    <m/>
    <s v="DEPENSES OPERATIONNELLES  |  AUTRES CHARGES  |  AUTRES CHARGES  |  % AUTRES DEPENSES / CHIFFRE D'AFFAIRESS"/>
    <m/>
    <x v="1"/>
    <x v="0"/>
    <m/>
    <x v="0"/>
    <n v="1"/>
    <m/>
    <m/>
  </r>
  <r>
    <x v="2"/>
    <x v="5"/>
    <x v="21"/>
    <x v="3"/>
    <x v="48"/>
    <x v="61"/>
    <x v="2"/>
    <m/>
    <m/>
    <m/>
    <m/>
    <m/>
    <n v="0"/>
    <n v="0"/>
    <n v="0"/>
    <n v="0"/>
    <n v="0"/>
    <n v="0"/>
    <n v="0"/>
    <n v="0"/>
    <n v="0"/>
    <n v="0"/>
    <m/>
    <s v="DEPENSES OPERATIONNELLES  |  VOYAGE &amp; DEPLACEMENT  |  VOYAGE  |  % DEPLACEMENTS ET TRANSPORTS / CHIFFRE D'AFFAIRESS"/>
    <m/>
    <x v="1"/>
    <x v="0"/>
    <m/>
    <x v="0"/>
    <n v="1"/>
    <m/>
    <m/>
  </r>
  <r>
    <x v="2"/>
    <x v="5"/>
    <x v="22"/>
    <x v="3"/>
    <x v="49"/>
    <x v="62"/>
    <x v="2"/>
    <m/>
    <m/>
    <m/>
    <m/>
    <m/>
    <n v="0"/>
    <n v="0"/>
    <n v="0"/>
    <n v="0"/>
    <n v="0"/>
    <n v="0"/>
    <n v="0"/>
    <n v="0"/>
    <n v="0"/>
    <n v="0"/>
    <m/>
    <s v="DEPENSES OPERATIONNELLES  |  ASSURANCES  |  ASSURANCES  |  % ASSURANCES / CHIFFRE D'AFFAIRESS"/>
    <m/>
    <x v="1"/>
    <x v="0"/>
    <m/>
    <x v="0"/>
    <n v="1"/>
    <m/>
    <m/>
  </r>
  <r>
    <x v="2"/>
    <x v="5"/>
    <x v="23"/>
    <x v="3"/>
    <x v="50"/>
    <x v="63"/>
    <x v="2"/>
    <m/>
    <m/>
    <m/>
    <m/>
    <m/>
    <n v="0"/>
    <n v="0"/>
    <n v="0"/>
    <n v="0"/>
    <n v="0"/>
    <n v="0"/>
    <n v="0"/>
    <n v="0"/>
    <n v="0"/>
    <n v="0"/>
    <m/>
    <s v="DEPENSES OPERATIONNELLES  |  ENTRETIEN  |  ENTRETIEN  |  % ENTRETIEN / CHIFFRE D'AFFAIRESS"/>
    <m/>
    <x v="1"/>
    <x v="0"/>
    <m/>
    <x v="0"/>
    <n v="1"/>
    <m/>
    <m/>
  </r>
  <r>
    <x v="2"/>
    <x v="5"/>
    <x v="24"/>
    <x v="3"/>
    <x v="51"/>
    <x v="64"/>
    <x v="2"/>
    <m/>
    <m/>
    <m/>
    <m/>
    <m/>
    <n v="0"/>
    <n v="0"/>
    <n v="0"/>
    <n v="0"/>
    <n v="0"/>
    <n v="0"/>
    <n v="0"/>
    <n v="0"/>
    <n v="0"/>
    <n v="0"/>
    <m/>
    <s v="DEPENSES OPERATIONNELLES  |  TIERCES PARTIES  |  TIERCES PARTIES  |  % TIERS / CHIFFRE D'AFFAIRESS"/>
    <m/>
    <x v="1"/>
    <x v="0"/>
    <m/>
    <x v="0"/>
    <n v="1"/>
    <m/>
    <m/>
  </r>
  <r>
    <x v="2"/>
    <x v="5"/>
    <x v="25"/>
    <x v="3"/>
    <x v="53"/>
    <x v="65"/>
    <x v="2"/>
    <m/>
    <m/>
    <m/>
    <m/>
    <m/>
    <n v="0"/>
    <n v="0"/>
    <n v="0"/>
    <n v="0"/>
    <n v="0"/>
    <n v="0"/>
    <n v="0"/>
    <n v="0"/>
    <n v="0"/>
    <n v="0"/>
    <m/>
    <s v="DEPENSES OPERATIONNELLES  |  DEPENSES OPERATIONNELLES  |  TOUTES LES CHARGES  |  % DEPENSES D'EXPLOITATION / CHIFFRE D'AFFAIRESS"/>
    <m/>
    <x v="1"/>
    <x v="0"/>
    <m/>
    <x v="0"/>
    <n v="1"/>
    <m/>
    <m/>
  </r>
  <r>
    <x v="2"/>
    <x v="4"/>
    <x v="0"/>
    <x v="0"/>
    <x v="0"/>
    <x v="0"/>
    <x v="2"/>
    <m/>
    <m/>
    <m/>
    <m/>
    <m/>
    <b v="1"/>
    <b v="1"/>
    <b v="1"/>
    <b v="1"/>
    <b v="1"/>
    <b v="1"/>
    <b v="1"/>
    <b v="1"/>
    <b v="1"/>
    <b v="1"/>
    <m/>
    <m/>
    <b v="1"/>
    <x v="1"/>
    <x v="0"/>
    <m/>
    <x v="0"/>
    <m/>
    <m/>
    <m/>
  </r>
  <r>
    <x v="2"/>
    <x v="2"/>
    <x v="0"/>
    <x v="0"/>
    <x v="0"/>
    <x v="0"/>
    <x v="2"/>
    <m/>
    <m/>
    <m/>
    <m/>
    <m/>
    <m/>
    <m/>
    <m/>
    <m/>
    <m/>
    <m/>
    <m/>
    <m/>
    <m/>
    <m/>
    <m/>
    <m/>
    <m/>
    <x v="0"/>
    <x v="0"/>
    <m/>
    <x v="0"/>
    <m/>
    <m/>
    <m/>
  </r>
  <r>
    <x v="2"/>
    <x v="5"/>
    <x v="17"/>
    <x v="2"/>
    <x v="54"/>
    <x v="66"/>
    <x v="4"/>
    <m/>
    <m/>
    <m/>
    <m/>
    <m/>
    <n v="0"/>
    <n v="0"/>
    <n v="0"/>
    <n v="0"/>
    <n v="0"/>
    <n v="0"/>
    <n v="0"/>
    <n v="0"/>
    <n v="0"/>
    <n v="0"/>
    <m/>
    <m/>
    <m/>
    <x v="1"/>
    <x v="0"/>
    <m/>
    <x v="0"/>
    <m/>
    <m/>
    <n v="1"/>
  </r>
  <r>
    <x v="2"/>
    <x v="5"/>
    <x v="17"/>
    <x v="2"/>
    <x v="55"/>
    <x v="67"/>
    <x v="4"/>
    <m/>
    <m/>
    <m/>
    <m/>
    <m/>
    <n v="0"/>
    <n v="0"/>
    <n v="0"/>
    <n v="0"/>
    <n v="0"/>
    <n v="0"/>
    <n v="0"/>
    <n v="0"/>
    <n v="0"/>
    <n v="0"/>
    <m/>
    <m/>
    <m/>
    <x v="1"/>
    <x v="0"/>
    <m/>
    <x v="0"/>
    <m/>
    <m/>
    <n v="1"/>
  </r>
  <r>
    <x v="2"/>
    <x v="5"/>
    <x v="17"/>
    <x v="2"/>
    <x v="56"/>
    <x v="68"/>
    <x v="4"/>
    <m/>
    <m/>
    <m/>
    <m/>
    <m/>
    <n v="0"/>
    <n v="0"/>
    <n v="0"/>
    <n v="0"/>
    <n v="0"/>
    <n v="0"/>
    <n v="0"/>
    <n v="0"/>
    <n v="0"/>
    <n v="0"/>
    <m/>
    <m/>
    <m/>
    <x v="1"/>
    <x v="0"/>
    <m/>
    <x v="0"/>
    <m/>
    <m/>
    <n v="1"/>
  </r>
  <r>
    <x v="2"/>
    <x v="4"/>
    <x v="0"/>
    <x v="0"/>
    <x v="0"/>
    <x v="0"/>
    <x v="2"/>
    <m/>
    <m/>
    <m/>
    <m/>
    <m/>
    <b v="1"/>
    <b v="1"/>
    <b v="1"/>
    <b v="1"/>
    <b v="1"/>
    <b v="1"/>
    <b v="1"/>
    <b v="1"/>
    <b v="1"/>
    <b v="1"/>
    <m/>
    <m/>
    <b v="1"/>
    <x v="0"/>
    <x v="0"/>
    <m/>
    <x v="0"/>
    <m/>
    <m/>
    <m/>
  </r>
  <r>
    <x v="2"/>
    <x v="2"/>
    <x v="0"/>
    <x v="0"/>
    <x v="0"/>
    <x v="0"/>
    <x v="2"/>
    <m/>
    <m/>
    <m/>
    <m/>
    <m/>
    <m/>
    <m/>
    <m/>
    <m/>
    <m/>
    <m/>
    <m/>
    <m/>
    <m/>
    <m/>
    <m/>
    <m/>
    <m/>
    <x v="0"/>
    <x v="0"/>
    <m/>
    <x v="0"/>
    <m/>
    <m/>
    <m/>
  </r>
  <r>
    <x v="2"/>
    <x v="5"/>
    <x v="17"/>
    <x v="4"/>
    <x v="35"/>
    <x v="18"/>
    <x v="5"/>
    <m/>
    <m/>
    <m/>
    <m/>
    <m/>
    <n v="0"/>
    <n v="0"/>
    <n v="0"/>
    <n v="0"/>
    <n v="0"/>
    <n v="0"/>
    <n v="0"/>
    <n v="0"/>
    <n v="0"/>
    <n v="0"/>
    <m/>
    <s v="DEPENSES OPERATIONNELLES  |  SALAIRES DE PERSONNEL  |  EFF_CAT01  |  NOMBRE D'EMPLOYÉ(E)S"/>
    <m/>
    <x v="1"/>
    <x v="3"/>
    <m/>
    <x v="2"/>
    <n v="1"/>
    <m/>
    <m/>
  </r>
  <r>
    <x v="2"/>
    <x v="5"/>
    <x v="17"/>
    <x v="4"/>
    <x v="36"/>
    <x v="18"/>
    <x v="6"/>
    <m/>
    <m/>
    <m/>
    <m/>
    <m/>
    <n v="0"/>
    <n v="0"/>
    <n v="0"/>
    <n v="0"/>
    <n v="0"/>
    <n v="0"/>
    <n v="0"/>
    <n v="0"/>
    <n v="0"/>
    <n v="0"/>
    <m/>
    <s v="DEPENSES OPERATIONNELLES  |  SALAIRES DE PERSONNEL  |  EFF_CAT02  |  NOMBRE D'EMPLOYÉ(E)S"/>
    <m/>
    <x v="1"/>
    <x v="3"/>
    <m/>
    <x v="2"/>
    <n v="1"/>
    <m/>
    <m/>
  </r>
  <r>
    <x v="2"/>
    <x v="5"/>
    <x v="17"/>
    <x v="4"/>
    <x v="37"/>
    <x v="18"/>
    <x v="7"/>
    <m/>
    <m/>
    <m/>
    <m/>
    <m/>
    <n v="0"/>
    <n v="0"/>
    <n v="0"/>
    <n v="0"/>
    <n v="0"/>
    <n v="0"/>
    <n v="0"/>
    <n v="0"/>
    <n v="0"/>
    <n v="0"/>
    <m/>
    <s v="DEPENSES OPERATIONNELLES  |  SALAIRES DE PERSONNEL  |  EFF_CAT03  |  NOMBRE D'EMPLOYÉ(E)S"/>
    <m/>
    <x v="1"/>
    <x v="3"/>
    <m/>
    <x v="2"/>
    <n v="1"/>
    <m/>
    <m/>
  </r>
  <r>
    <x v="2"/>
    <x v="5"/>
    <x v="17"/>
    <x v="4"/>
    <x v="38"/>
    <x v="18"/>
    <x v="8"/>
    <m/>
    <m/>
    <m/>
    <m/>
    <m/>
    <n v="0"/>
    <n v="0"/>
    <n v="0"/>
    <n v="0"/>
    <n v="0"/>
    <n v="0"/>
    <n v="0"/>
    <n v="0"/>
    <n v="0"/>
    <n v="0"/>
    <m/>
    <s v="DEPENSES OPERATIONNELLES  |  SALAIRES DE PERSONNEL  |  EFF_CAT04  |  NOMBRE D'EMPLOYÉ(E)S"/>
    <m/>
    <x v="1"/>
    <x v="3"/>
    <m/>
    <x v="2"/>
    <n v="1"/>
    <m/>
    <m/>
  </r>
  <r>
    <x v="2"/>
    <x v="5"/>
    <x v="17"/>
    <x v="4"/>
    <x v="39"/>
    <x v="18"/>
    <x v="9"/>
    <m/>
    <m/>
    <m/>
    <m/>
    <m/>
    <n v="0"/>
    <n v="0"/>
    <n v="0"/>
    <n v="0"/>
    <n v="0"/>
    <n v="0"/>
    <n v="0"/>
    <n v="0"/>
    <n v="0"/>
    <n v="0"/>
    <m/>
    <s v="DEPENSES OPERATIONNELLES  |  SALAIRES DE PERSONNEL  |  EFF_CAT05  |  NOMBRE D'EMPLOYÉ(E)S"/>
    <m/>
    <x v="1"/>
    <x v="3"/>
    <m/>
    <x v="2"/>
    <n v="1"/>
    <m/>
    <m/>
  </r>
  <r>
    <x v="2"/>
    <x v="5"/>
    <x v="17"/>
    <x v="4"/>
    <x v="40"/>
    <x v="18"/>
    <x v="10"/>
    <m/>
    <m/>
    <m/>
    <m/>
    <m/>
    <n v="0"/>
    <n v="0"/>
    <n v="0"/>
    <n v="0"/>
    <n v="0"/>
    <n v="0"/>
    <n v="0"/>
    <n v="0"/>
    <n v="0"/>
    <n v="0"/>
    <m/>
    <s v="DEPENSES OPERATIONNELLES  |  SALAIRES DE PERSONNEL  |  EFF_CAT06  |  NOMBRE D'EMPLOYÉ(E)S"/>
    <m/>
    <x v="1"/>
    <x v="3"/>
    <m/>
    <x v="2"/>
    <n v="1"/>
    <m/>
    <m/>
  </r>
  <r>
    <x v="2"/>
    <x v="5"/>
    <x v="17"/>
    <x v="4"/>
    <x v="41"/>
    <x v="18"/>
    <x v="11"/>
    <m/>
    <m/>
    <m/>
    <m/>
    <m/>
    <n v="0"/>
    <n v="0"/>
    <n v="0"/>
    <n v="0"/>
    <n v="0"/>
    <n v="0"/>
    <n v="0"/>
    <n v="0"/>
    <n v="0"/>
    <n v="0"/>
    <m/>
    <s v="DEPENSES OPERATIONNELLES  |  SALAIRES DE PERSONNEL  |  EFF_CAT07  |  NOMBRE D'EMPLOYÉ(E)S"/>
    <m/>
    <x v="1"/>
    <x v="3"/>
    <m/>
    <x v="2"/>
    <n v="1"/>
    <m/>
    <m/>
  </r>
  <r>
    <x v="2"/>
    <x v="5"/>
    <x v="17"/>
    <x v="4"/>
    <x v="42"/>
    <x v="18"/>
    <x v="12"/>
    <m/>
    <m/>
    <m/>
    <m/>
    <m/>
    <n v="0"/>
    <n v="0"/>
    <n v="0"/>
    <n v="0"/>
    <n v="0"/>
    <n v="0"/>
    <n v="0"/>
    <n v="0"/>
    <n v="0"/>
    <n v="0"/>
    <m/>
    <s v="DEPENSES OPERATIONNELLES  |  SALAIRES DE PERSONNEL  |  EFF_CAT08  |  NOMBRE D'EMPLOYÉ(E)S"/>
    <m/>
    <x v="1"/>
    <x v="3"/>
    <m/>
    <x v="3"/>
    <n v="1"/>
    <m/>
    <m/>
  </r>
  <r>
    <x v="2"/>
    <x v="5"/>
    <x v="17"/>
    <x v="4"/>
    <x v="43"/>
    <x v="18"/>
    <x v="13"/>
    <m/>
    <m/>
    <m/>
    <m/>
    <m/>
    <n v="0"/>
    <n v="0"/>
    <n v="0"/>
    <n v="0"/>
    <n v="0"/>
    <n v="0"/>
    <n v="0"/>
    <n v="0"/>
    <n v="0"/>
    <n v="0"/>
    <m/>
    <s v="DEPENSES OPERATIONNELLES  |  SALAIRES DE PERSONNEL  |  EFF_CAT09  |  NOMBRE D'EMPLOYÉ(E)S"/>
    <m/>
    <x v="1"/>
    <x v="3"/>
    <m/>
    <x v="3"/>
    <n v="1"/>
    <m/>
    <m/>
  </r>
  <r>
    <x v="2"/>
    <x v="5"/>
    <x v="17"/>
    <x v="4"/>
    <x v="44"/>
    <x v="18"/>
    <x v="14"/>
    <m/>
    <m/>
    <m/>
    <m/>
    <m/>
    <n v="0"/>
    <n v="0"/>
    <n v="0"/>
    <n v="0"/>
    <n v="0"/>
    <n v="0"/>
    <n v="0"/>
    <n v="0"/>
    <n v="0"/>
    <n v="0"/>
    <m/>
    <s v="DEPENSES OPERATIONNELLES  |  SALAIRES DE PERSONNEL  |  EFF_CAT10  |  NOMBRE D'EMPLOYÉ(E)S"/>
    <m/>
    <x v="1"/>
    <x v="3"/>
    <m/>
    <x v="3"/>
    <n v="1"/>
    <m/>
    <m/>
  </r>
  <r>
    <x v="2"/>
    <x v="5"/>
    <x v="17"/>
    <x v="4"/>
    <x v="52"/>
    <x v="18"/>
    <x v="17"/>
    <m/>
    <m/>
    <m/>
    <m/>
    <m/>
    <n v="0"/>
    <n v="0"/>
    <n v="0"/>
    <n v="0"/>
    <n v="0"/>
    <n v="0"/>
    <n v="0"/>
    <n v="0"/>
    <n v="0"/>
    <n v="0"/>
    <m/>
    <s v="DEPENSES OPERATIONNELLES  |  SALAIRES DE PERSONNEL  |  EFFECTIF_CAT  |  NOMBRE D'EMPLOYÉ(E)S"/>
    <m/>
    <x v="1"/>
    <x v="0"/>
    <m/>
    <x v="0"/>
    <n v="1"/>
    <m/>
    <m/>
  </r>
  <r>
    <x v="2"/>
    <x v="5"/>
    <x v="17"/>
    <x v="3"/>
    <x v="52"/>
    <x v="6"/>
    <x v="2"/>
    <m/>
    <m/>
    <m/>
    <m/>
    <m/>
    <m/>
    <s v=""/>
    <m/>
    <m/>
    <s v=""/>
    <s v=""/>
    <s v=""/>
    <s v=""/>
    <s v=""/>
    <s v=""/>
    <m/>
    <s v="DEPENSES OPERATIONNELLES  |  SALAIRES DE PERSONNEL  |  EFFECTIF_CAT  |  % VARIATION D'UNE ANNEE SUR L'AUTRE"/>
    <m/>
    <x v="1"/>
    <x v="0"/>
    <m/>
    <x v="0"/>
    <n v="1"/>
    <m/>
    <m/>
  </r>
  <r>
    <x v="2"/>
    <x v="2"/>
    <x v="0"/>
    <x v="0"/>
    <x v="0"/>
    <x v="0"/>
    <x v="2"/>
    <m/>
    <m/>
    <m/>
    <m/>
    <m/>
    <m/>
    <m/>
    <m/>
    <m/>
    <m/>
    <m/>
    <m/>
    <m/>
    <m/>
    <m/>
    <m/>
    <m/>
    <m/>
    <x v="0"/>
    <x v="0"/>
    <m/>
    <x v="0"/>
    <m/>
    <m/>
    <m/>
  </r>
  <r>
    <x v="2"/>
    <x v="2"/>
    <x v="0"/>
    <x v="0"/>
    <x v="0"/>
    <x v="0"/>
    <x v="2"/>
    <m/>
    <m/>
    <m/>
    <m/>
    <m/>
    <m/>
    <m/>
    <m/>
    <m/>
    <m/>
    <m/>
    <m/>
    <m/>
    <m/>
    <m/>
    <m/>
    <m/>
    <m/>
    <x v="0"/>
    <x v="0"/>
    <m/>
    <x v="0"/>
    <m/>
    <m/>
    <m/>
  </r>
  <r>
    <x v="3"/>
    <x v="2"/>
    <x v="0"/>
    <x v="0"/>
    <x v="0"/>
    <x v="0"/>
    <x v="2"/>
    <m/>
    <m/>
    <m/>
    <m/>
    <m/>
    <m/>
    <m/>
    <m/>
    <m/>
    <m/>
    <m/>
    <m/>
    <m/>
    <m/>
    <m/>
    <m/>
    <m/>
    <m/>
    <x v="0"/>
    <x v="0"/>
    <m/>
    <x v="0"/>
    <m/>
    <m/>
    <m/>
  </r>
  <r>
    <x v="3"/>
    <x v="2"/>
    <x v="0"/>
    <x v="0"/>
    <x v="0"/>
    <x v="0"/>
    <x v="2"/>
    <m/>
    <m/>
    <m/>
    <m/>
    <m/>
    <m/>
    <m/>
    <m/>
    <m/>
    <m/>
    <m/>
    <m/>
    <m/>
    <m/>
    <m/>
    <m/>
    <m/>
    <m/>
    <x v="0"/>
    <x v="0"/>
    <m/>
    <x v="0"/>
    <m/>
    <m/>
    <m/>
  </r>
  <r>
    <x v="3"/>
    <x v="6"/>
    <x v="26"/>
    <x v="2"/>
    <x v="57"/>
    <x v="69"/>
    <x v="2"/>
    <m/>
    <n v="2020"/>
    <n v="0"/>
    <n v="0.25"/>
    <n v="0"/>
    <n v="0"/>
    <n v="0"/>
    <m/>
    <m/>
    <n v="0"/>
    <n v="0"/>
    <n v="0"/>
    <n v="0"/>
    <n v="0"/>
    <n v="0"/>
    <m/>
    <s v="ACTIFS MATERIEL IMMOBILISES  |  INVESTISSEMENTS  |  MATERIEL DE BUREAU"/>
    <m/>
    <x v="2"/>
    <x v="0"/>
    <m/>
    <x v="0"/>
    <n v="1"/>
    <m/>
    <m/>
  </r>
  <r>
    <x v="3"/>
    <x v="6"/>
    <x v="26"/>
    <x v="2"/>
    <x v="58"/>
    <x v="69"/>
    <x v="2"/>
    <m/>
    <n v="2021"/>
    <n v="0"/>
    <n v="0.25"/>
    <n v="0"/>
    <n v="0"/>
    <n v="0"/>
    <m/>
    <m/>
    <n v="0"/>
    <n v="0"/>
    <n v="0"/>
    <n v="0"/>
    <n v="0"/>
    <n v="0"/>
    <m/>
    <s v="ACTIFS MATERIEL IMMOBILISES  |  INVESTISSEMENTS  |  MATERIEL DE BUREAU"/>
    <m/>
    <x v="2"/>
    <x v="0"/>
    <m/>
    <x v="0"/>
    <n v="1"/>
    <m/>
    <m/>
  </r>
  <r>
    <x v="3"/>
    <x v="6"/>
    <x v="26"/>
    <x v="2"/>
    <x v="59"/>
    <x v="69"/>
    <x v="2"/>
    <m/>
    <n v="2022"/>
    <n v="0"/>
    <n v="0.25"/>
    <n v="0"/>
    <n v="0"/>
    <n v="0"/>
    <m/>
    <m/>
    <n v="0"/>
    <n v="0"/>
    <n v="0"/>
    <n v="0"/>
    <n v="0"/>
    <n v="0"/>
    <m/>
    <s v="ACTIFS MATERIEL IMMOBILISES  |  INVESTISSEMENTS  |  MATERIEL DE BUREAU"/>
    <m/>
    <x v="2"/>
    <x v="0"/>
    <m/>
    <x v="0"/>
    <n v="1"/>
    <m/>
    <m/>
  </r>
  <r>
    <x v="3"/>
    <x v="6"/>
    <x v="26"/>
    <x v="2"/>
    <x v="60"/>
    <x v="69"/>
    <x v="2"/>
    <m/>
    <n v="2023"/>
    <n v="0"/>
    <n v="0.25"/>
    <n v="0"/>
    <n v="0"/>
    <n v="0"/>
    <m/>
    <m/>
    <n v="0"/>
    <n v="0"/>
    <n v="0"/>
    <n v="0"/>
    <n v="0"/>
    <n v="0"/>
    <m/>
    <s v="ACTIFS MATERIEL IMMOBILISES  |  INVESTISSEMENTS  |  MATERIEL DE BUREAU"/>
    <m/>
    <x v="2"/>
    <x v="0"/>
    <m/>
    <x v="0"/>
    <n v="1"/>
    <m/>
    <m/>
  </r>
  <r>
    <x v="3"/>
    <x v="6"/>
    <x v="26"/>
    <x v="2"/>
    <x v="61"/>
    <x v="69"/>
    <x v="2"/>
    <m/>
    <n v="2024"/>
    <n v="0"/>
    <n v="0.25"/>
    <n v="0"/>
    <n v="0"/>
    <n v="0"/>
    <m/>
    <m/>
    <n v="0"/>
    <n v="0"/>
    <n v="0"/>
    <n v="0"/>
    <n v="0"/>
    <n v="0"/>
    <m/>
    <s v="ACTIFS MATERIEL IMMOBILISES  |  INVESTISSEMENTS  |  MATERIEL DE BUREAU"/>
    <m/>
    <x v="2"/>
    <x v="0"/>
    <m/>
    <x v="0"/>
    <n v="1"/>
    <m/>
    <m/>
  </r>
  <r>
    <x v="3"/>
    <x v="6"/>
    <x v="26"/>
    <x v="2"/>
    <x v="62"/>
    <x v="69"/>
    <x v="2"/>
    <m/>
    <n v="2025"/>
    <n v="0"/>
    <n v="0.25"/>
    <n v="0"/>
    <n v="0"/>
    <n v="0"/>
    <m/>
    <m/>
    <n v="0"/>
    <n v="0"/>
    <n v="0"/>
    <n v="0"/>
    <n v="0"/>
    <n v="0"/>
    <m/>
    <s v="ACTIFS MATERIEL IMMOBILISES  |  INVESTISSEMENTS  |  MATERIEL DE BUREAU"/>
    <m/>
    <x v="2"/>
    <x v="0"/>
    <m/>
    <x v="0"/>
    <n v="1"/>
    <m/>
    <m/>
  </r>
  <r>
    <x v="3"/>
    <x v="6"/>
    <x v="26"/>
    <x v="2"/>
    <x v="63"/>
    <x v="69"/>
    <x v="2"/>
    <m/>
    <n v="2026"/>
    <n v="0"/>
    <n v="0.25"/>
    <n v="0"/>
    <n v="0"/>
    <n v="0"/>
    <m/>
    <m/>
    <n v="0"/>
    <n v="0"/>
    <n v="0"/>
    <n v="0"/>
    <n v="0"/>
    <n v="0"/>
    <m/>
    <s v="ACTIFS MATERIEL IMMOBILISES  |  INVESTISSEMENTS  |  MATERIEL DE BUREAU"/>
    <m/>
    <x v="2"/>
    <x v="0"/>
    <m/>
    <x v="0"/>
    <n v="1"/>
    <m/>
    <m/>
  </r>
  <r>
    <x v="3"/>
    <x v="6"/>
    <x v="26"/>
    <x v="2"/>
    <x v="64"/>
    <x v="69"/>
    <x v="2"/>
    <m/>
    <m/>
    <m/>
    <m/>
    <m/>
    <n v="0"/>
    <n v="0"/>
    <m/>
    <m/>
    <n v="0"/>
    <n v="0"/>
    <n v="0"/>
    <n v="0"/>
    <n v="0"/>
    <n v="0"/>
    <m/>
    <s v="ACTIFS MATERIEL IMMOBILISES  |  INVESTISSEMENTS  |  MATERIEL DE BUREAU"/>
    <m/>
    <x v="2"/>
    <x v="0"/>
    <m/>
    <x v="0"/>
    <n v="1"/>
    <m/>
    <m/>
  </r>
  <r>
    <x v="3"/>
    <x v="6"/>
    <x v="26"/>
    <x v="2"/>
    <x v="65"/>
    <x v="69"/>
    <x v="2"/>
    <m/>
    <m/>
    <m/>
    <m/>
    <m/>
    <n v="0"/>
    <n v="0"/>
    <m/>
    <m/>
    <n v="0"/>
    <n v="0"/>
    <n v="0"/>
    <n v="0"/>
    <n v="0"/>
    <n v="0"/>
    <m/>
    <s v="ACTIFS MATERIEL IMMOBILISES  |  INVESTISSEMENTS  |  MATERIEL DE BUREAU"/>
    <m/>
    <x v="2"/>
    <x v="0"/>
    <m/>
    <x v="0"/>
    <n v="1"/>
    <m/>
    <m/>
  </r>
  <r>
    <x v="3"/>
    <x v="6"/>
    <x v="26"/>
    <x v="2"/>
    <x v="66"/>
    <x v="69"/>
    <x v="2"/>
    <m/>
    <m/>
    <m/>
    <m/>
    <m/>
    <n v="0"/>
    <n v="0"/>
    <m/>
    <m/>
    <n v="0"/>
    <n v="0"/>
    <n v="0"/>
    <n v="0"/>
    <n v="0"/>
    <n v="0"/>
    <m/>
    <s v="ACTIFS MATERIEL IMMOBILISES  |  INVESTISSEMENTS  |  MATERIEL DE BUREAU"/>
    <m/>
    <x v="2"/>
    <x v="0"/>
    <m/>
    <x v="0"/>
    <n v="1"/>
    <m/>
    <m/>
  </r>
  <r>
    <x v="3"/>
    <x v="6"/>
    <x v="26"/>
    <x v="2"/>
    <x v="67"/>
    <x v="69"/>
    <x v="2"/>
    <m/>
    <m/>
    <m/>
    <m/>
    <m/>
    <n v="0"/>
    <n v="0"/>
    <m/>
    <m/>
    <n v="0"/>
    <n v="0"/>
    <n v="0"/>
    <n v="0"/>
    <n v="0"/>
    <n v="0"/>
    <m/>
    <s v="ACTIFS MATERIEL IMMOBILISES  |  INVESTISSEMENTS  |  MATERIEL DE BUREAU"/>
    <m/>
    <x v="2"/>
    <x v="0"/>
    <m/>
    <x v="0"/>
    <n v="1"/>
    <m/>
    <m/>
  </r>
  <r>
    <x v="3"/>
    <x v="6"/>
    <x v="26"/>
    <x v="2"/>
    <x v="68"/>
    <x v="69"/>
    <x v="2"/>
    <m/>
    <m/>
    <m/>
    <m/>
    <m/>
    <n v="0"/>
    <n v="0"/>
    <m/>
    <m/>
    <n v="0"/>
    <n v="0"/>
    <n v="0"/>
    <n v="0"/>
    <n v="0"/>
    <n v="0"/>
    <m/>
    <s v="ACTIFS MATERIEL IMMOBILISES  |  INVESTISSEMENTS  |  MATERIEL DE BUREAU"/>
    <m/>
    <x v="2"/>
    <x v="0"/>
    <m/>
    <x v="0"/>
    <n v="1"/>
    <m/>
    <m/>
  </r>
  <r>
    <x v="3"/>
    <x v="6"/>
    <x v="26"/>
    <x v="2"/>
    <x v="69"/>
    <x v="69"/>
    <x v="2"/>
    <m/>
    <m/>
    <m/>
    <m/>
    <m/>
    <n v="0"/>
    <n v="0"/>
    <m/>
    <m/>
    <n v="0"/>
    <n v="0"/>
    <n v="0"/>
    <n v="0"/>
    <n v="0"/>
    <n v="0"/>
    <m/>
    <s v="ACTIFS MATERIEL IMMOBILISES  |  INVESTISSEMENTS  |  MATERIEL DE BUREAU"/>
    <m/>
    <x v="2"/>
    <x v="0"/>
    <m/>
    <x v="0"/>
    <n v="1"/>
    <m/>
    <m/>
  </r>
  <r>
    <x v="3"/>
    <x v="6"/>
    <x v="26"/>
    <x v="2"/>
    <x v="70"/>
    <x v="69"/>
    <x v="2"/>
    <m/>
    <m/>
    <m/>
    <m/>
    <m/>
    <n v="0"/>
    <n v="0"/>
    <m/>
    <m/>
    <n v="0"/>
    <n v="0"/>
    <n v="0"/>
    <n v="0"/>
    <n v="0"/>
    <n v="0"/>
    <m/>
    <s v="ACTIFS MATERIEL IMMOBILISES  |  INVESTISSEMENTS  |  MATERIEL DE BUREAU"/>
    <m/>
    <x v="2"/>
    <x v="0"/>
    <m/>
    <x v="0"/>
    <n v="1"/>
    <m/>
    <m/>
  </r>
  <r>
    <x v="3"/>
    <x v="6"/>
    <x v="26"/>
    <x v="2"/>
    <x v="71"/>
    <x v="69"/>
    <x v="2"/>
    <m/>
    <m/>
    <m/>
    <m/>
    <m/>
    <n v="0"/>
    <n v="0"/>
    <m/>
    <m/>
    <n v="0"/>
    <n v="0"/>
    <n v="0"/>
    <n v="0"/>
    <n v="0"/>
    <n v="0"/>
    <m/>
    <s v="ACTIFS MATERIEL IMMOBILISES  |  INVESTISSEMENTS  |  MATERIEL DE BUREAU"/>
    <m/>
    <x v="2"/>
    <x v="0"/>
    <m/>
    <x v="0"/>
    <n v="1"/>
    <m/>
    <m/>
  </r>
  <r>
    <x v="3"/>
    <x v="6"/>
    <x v="26"/>
    <x v="2"/>
    <x v="72"/>
    <x v="69"/>
    <x v="2"/>
    <m/>
    <m/>
    <m/>
    <m/>
    <m/>
    <n v="0"/>
    <n v="0"/>
    <m/>
    <m/>
    <n v="0"/>
    <n v="0"/>
    <n v="0"/>
    <n v="0"/>
    <n v="0"/>
    <n v="0"/>
    <m/>
    <s v="ACTIFS MATERIEL IMMOBILISES  |  INVESTISSEMENTS  |  MATERIEL DE BUREAU"/>
    <m/>
    <x v="2"/>
    <x v="0"/>
    <m/>
    <x v="0"/>
    <n v="1"/>
    <m/>
    <m/>
  </r>
  <r>
    <x v="3"/>
    <x v="6"/>
    <x v="26"/>
    <x v="2"/>
    <x v="73"/>
    <x v="69"/>
    <x v="2"/>
    <m/>
    <m/>
    <m/>
    <m/>
    <m/>
    <n v="0"/>
    <n v="0"/>
    <m/>
    <m/>
    <n v="0"/>
    <n v="0"/>
    <n v="0"/>
    <n v="0"/>
    <n v="0"/>
    <n v="0"/>
    <m/>
    <s v="ACTIFS MATERIEL IMMOBILISES  |  INVESTISSEMENTS  |  MATERIEL DE BUREAU"/>
    <m/>
    <x v="2"/>
    <x v="0"/>
    <m/>
    <x v="0"/>
    <n v="1"/>
    <m/>
    <m/>
  </r>
  <r>
    <x v="3"/>
    <x v="6"/>
    <x v="26"/>
    <x v="2"/>
    <x v="74"/>
    <x v="69"/>
    <x v="2"/>
    <m/>
    <m/>
    <m/>
    <m/>
    <m/>
    <n v="0"/>
    <n v="0"/>
    <m/>
    <m/>
    <n v="0"/>
    <n v="0"/>
    <n v="0"/>
    <n v="0"/>
    <n v="0"/>
    <n v="0"/>
    <m/>
    <s v="ACTIFS MATERIEL IMMOBILISES  |  INVESTISSEMENTS  |  MATERIEL DE BUREAU"/>
    <m/>
    <x v="2"/>
    <x v="0"/>
    <m/>
    <x v="0"/>
    <n v="1"/>
    <m/>
    <m/>
  </r>
  <r>
    <x v="3"/>
    <x v="6"/>
    <x v="26"/>
    <x v="2"/>
    <x v="75"/>
    <x v="69"/>
    <x v="2"/>
    <m/>
    <m/>
    <m/>
    <m/>
    <m/>
    <n v="0"/>
    <n v="0"/>
    <m/>
    <m/>
    <n v="0"/>
    <n v="0"/>
    <n v="0"/>
    <n v="0"/>
    <n v="0"/>
    <n v="0"/>
    <m/>
    <s v="ACTIFS MATERIEL IMMOBILISES  |  INVESTISSEMENTS  |  MATERIEL DE BUREAU"/>
    <m/>
    <x v="2"/>
    <x v="0"/>
    <m/>
    <x v="0"/>
    <n v="1"/>
    <m/>
    <m/>
  </r>
  <r>
    <x v="3"/>
    <x v="6"/>
    <x v="26"/>
    <x v="2"/>
    <x v="76"/>
    <x v="69"/>
    <x v="2"/>
    <m/>
    <m/>
    <m/>
    <m/>
    <m/>
    <n v="0"/>
    <n v="0"/>
    <m/>
    <m/>
    <n v="0"/>
    <n v="0"/>
    <n v="0"/>
    <n v="0"/>
    <n v="0"/>
    <n v="0"/>
    <m/>
    <s v="ACTIFS MATERIEL IMMOBILISES  |  INVESTISSEMENTS  |  MATERIEL DE BUREAU"/>
    <m/>
    <x v="2"/>
    <x v="0"/>
    <m/>
    <x v="0"/>
    <n v="1"/>
    <m/>
    <m/>
  </r>
  <r>
    <x v="3"/>
    <x v="6"/>
    <x v="26"/>
    <x v="2"/>
    <x v="77"/>
    <x v="69"/>
    <x v="2"/>
    <m/>
    <m/>
    <m/>
    <m/>
    <m/>
    <n v="0"/>
    <n v="0"/>
    <m/>
    <m/>
    <n v="0"/>
    <n v="0"/>
    <n v="0"/>
    <n v="0"/>
    <n v="0"/>
    <n v="0"/>
    <m/>
    <s v="ACTIFS MATERIEL IMMOBILISES  |  INVESTISSEMENTS  |  MATERIEL DE BUREAU"/>
    <m/>
    <x v="2"/>
    <x v="0"/>
    <m/>
    <x v="0"/>
    <n v="1"/>
    <m/>
    <m/>
  </r>
  <r>
    <x v="3"/>
    <x v="6"/>
    <x v="26"/>
    <x v="2"/>
    <x v="78"/>
    <x v="69"/>
    <x v="2"/>
    <m/>
    <m/>
    <m/>
    <m/>
    <m/>
    <n v="0"/>
    <n v="0"/>
    <m/>
    <m/>
    <n v="0"/>
    <n v="0"/>
    <n v="0"/>
    <n v="0"/>
    <n v="0"/>
    <n v="0"/>
    <m/>
    <s v="ACTIFS MATERIEL IMMOBILISES  |  INVESTISSEMENTS  |  MATERIEL DE BUREAU"/>
    <m/>
    <x v="2"/>
    <x v="0"/>
    <m/>
    <x v="0"/>
    <n v="1"/>
    <m/>
    <m/>
  </r>
  <r>
    <x v="3"/>
    <x v="6"/>
    <x v="26"/>
    <x v="2"/>
    <x v="79"/>
    <x v="69"/>
    <x v="2"/>
    <m/>
    <m/>
    <m/>
    <m/>
    <m/>
    <n v="0"/>
    <n v="0"/>
    <m/>
    <m/>
    <n v="0"/>
    <n v="0"/>
    <n v="0"/>
    <n v="0"/>
    <n v="0"/>
    <n v="0"/>
    <m/>
    <s v="ACTIFS MATERIEL IMMOBILISES  |  INVESTISSEMENTS  |  MATERIEL DE BUREAU"/>
    <m/>
    <x v="2"/>
    <x v="0"/>
    <m/>
    <x v="0"/>
    <n v="1"/>
    <m/>
    <m/>
  </r>
  <r>
    <x v="3"/>
    <x v="6"/>
    <x v="26"/>
    <x v="2"/>
    <x v="80"/>
    <x v="69"/>
    <x v="2"/>
    <m/>
    <m/>
    <m/>
    <m/>
    <m/>
    <n v="0"/>
    <n v="0"/>
    <m/>
    <m/>
    <n v="0"/>
    <n v="0"/>
    <n v="0"/>
    <n v="0"/>
    <n v="0"/>
    <n v="0"/>
    <m/>
    <s v="ACTIFS MATERIEL IMMOBILISES  |  INVESTISSEMENTS  |  MATERIEL DE BUREAU"/>
    <m/>
    <x v="2"/>
    <x v="0"/>
    <m/>
    <x v="0"/>
    <n v="1"/>
    <m/>
    <m/>
  </r>
  <r>
    <x v="3"/>
    <x v="6"/>
    <x v="26"/>
    <x v="2"/>
    <x v="81"/>
    <x v="69"/>
    <x v="2"/>
    <m/>
    <m/>
    <m/>
    <m/>
    <m/>
    <n v="0"/>
    <n v="0"/>
    <m/>
    <m/>
    <n v="0"/>
    <n v="0"/>
    <n v="0"/>
    <n v="0"/>
    <n v="0"/>
    <n v="0"/>
    <m/>
    <s v="ACTIFS MATERIEL IMMOBILISES  |  INVESTISSEMENTS  |  MATERIEL DE BUREAU"/>
    <m/>
    <x v="2"/>
    <x v="0"/>
    <m/>
    <x v="0"/>
    <n v="1"/>
    <m/>
    <m/>
  </r>
  <r>
    <x v="3"/>
    <x v="6"/>
    <x v="26"/>
    <x v="2"/>
    <x v="82"/>
    <x v="69"/>
    <x v="2"/>
    <m/>
    <m/>
    <m/>
    <m/>
    <m/>
    <n v="0"/>
    <n v="0"/>
    <m/>
    <m/>
    <n v="0"/>
    <n v="0"/>
    <n v="0"/>
    <n v="0"/>
    <n v="0"/>
    <n v="0"/>
    <m/>
    <s v="ACTIFS MATERIEL IMMOBILISES  |  INVESTISSEMENTS  |  MATERIEL DE BUREAU"/>
    <m/>
    <x v="2"/>
    <x v="0"/>
    <m/>
    <x v="0"/>
    <n v="1"/>
    <m/>
    <m/>
  </r>
  <r>
    <x v="3"/>
    <x v="6"/>
    <x v="26"/>
    <x v="2"/>
    <x v="83"/>
    <x v="69"/>
    <x v="2"/>
    <m/>
    <m/>
    <m/>
    <m/>
    <m/>
    <n v="0"/>
    <n v="0"/>
    <m/>
    <m/>
    <n v="0"/>
    <n v="0"/>
    <n v="0"/>
    <n v="0"/>
    <n v="0"/>
    <n v="0"/>
    <m/>
    <s v="ACTIFS MATERIEL IMMOBILISES  |  INVESTISSEMENTS  |  MATERIEL DE BUREAU"/>
    <m/>
    <x v="2"/>
    <x v="0"/>
    <m/>
    <x v="0"/>
    <n v="1"/>
    <m/>
    <m/>
  </r>
  <r>
    <x v="3"/>
    <x v="6"/>
    <x v="26"/>
    <x v="2"/>
    <x v="84"/>
    <x v="69"/>
    <x v="2"/>
    <m/>
    <m/>
    <m/>
    <m/>
    <m/>
    <n v="0"/>
    <n v="0"/>
    <m/>
    <m/>
    <n v="0"/>
    <n v="0"/>
    <n v="0"/>
    <n v="0"/>
    <n v="0"/>
    <n v="0"/>
    <m/>
    <s v="ACTIFS MATERIEL IMMOBILISES  |  INVESTISSEMENTS  |  MATERIEL DE BUREAU"/>
    <m/>
    <x v="2"/>
    <x v="0"/>
    <m/>
    <x v="0"/>
    <n v="1"/>
    <m/>
    <m/>
  </r>
  <r>
    <x v="3"/>
    <x v="6"/>
    <x v="26"/>
    <x v="2"/>
    <x v="85"/>
    <x v="69"/>
    <x v="2"/>
    <m/>
    <m/>
    <m/>
    <m/>
    <m/>
    <n v="0"/>
    <n v="0"/>
    <m/>
    <m/>
    <n v="0"/>
    <n v="0"/>
    <n v="0"/>
    <n v="0"/>
    <n v="0"/>
    <n v="0"/>
    <m/>
    <s v="ACTIFS MATERIEL IMMOBILISES  |  INVESTISSEMENTS  |  MATERIEL DE BUREAU"/>
    <m/>
    <x v="2"/>
    <x v="0"/>
    <m/>
    <x v="0"/>
    <n v="1"/>
    <m/>
    <m/>
  </r>
  <r>
    <x v="3"/>
    <x v="6"/>
    <x v="26"/>
    <x v="2"/>
    <x v="86"/>
    <x v="69"/>
    <x v="2"/>
    <m/>
    <m/>
    <m/>
    <m/>
    <m/>
    <n v="0"/>
    <n v="0"/>
    <m/>
    <m/>
    <n v="0"/>
    <n v="0"/>
    <n v="0"/>
    <n v="0"/>
    <n v="0"/>
    <n v="0"/>
    <m/>
    <s v="ACTIFS MATERIEL IMMOBILISES  |  INVESTISSEMENTS  |  MATERIEL DE BUREAU"/>
    <m/>
    <x v="2"/>
    <x v="0"/>
    <m/>
    <x v="0"/>
    <n v="1"/>
    <m/>
    <m/>
  </r>
  <r>
    <x v="3"/>
    <x v="6"/>
    <x v="26"/>
    <x v="2"/>
    <x v="87"/>
    <x v="69"/>
    <x v="2"/>
    <m/>
    <m/>
    <m/>
    <m/>
    <m/>
    <n v="0"/>
    <n v="0"/>
    <m/>
    <m/>
    <n v="0"/>
    <n v="0"/>
    <n v="0"/>
    <n v="0"/>
    <n v="0"/>
    <n v="0"/>
    <m/>
    <s v="ACTIFS MATERIEL IMMOBILISES  |  INVESTISSEMENTS  |  MATERIEL DE BUREAU"/>
    <m/>
    <x v="2"/>
    <x v="0"/>
    <m/>
    <x v="0"/>
    <n v="1"/>
    <m/>
    <m/>
  </r>
  <r>
    <x v="3"/>
    <x v="6"/>
    <x v="26"/>
    <x v="2"/>
    <x v="88"/>
    <x v="69"/>
    <x v="2"/>
    <m/>
    <m/>
    <m/>
    <m/>
    <m/>
    <n v="0"/>
    <n v="0"/>
    <m/>
    <m/>
    <n v="0"/>
    <n v="0"/>
    <n v="0"/>
    <n v="0"/>
    <n v="0"/>
    <n v="0"/>
    <m/>
    <s v="ACTIFS MATERIEL IMMOBILISES  |  INVESTISSEMENTS  |  MATERIEL DE BUREAU"/>
    <m/>
    <x v="2"/>
    <x v="0"/>
    <m/>
    <x v="0"/>
    <n v="1"/>
    <m/>
    <m/>
  </r>
  <r>
    <x v="3"/>
    <x v="6"/>
    <x v="26"/>
    <x v="2"/>
    <x v="89"/>
    <x v="69"/>
    <x v="2"/>
    <m/>
    <m/>
    <m/>
    <m/>
    <m/>
    <n v="0"/>
    <n v="0"/>
    <m/>
    <m/>
    <n v="0"/>
    <n v="0"/>
    <n v="0"/>
    <n v="0"/>
    <n v="0"/>
    <n v="0"/>
    <m/>
    <s v="ACTIFS MATERIEL IMMOBILISES  |  INVESTISSEMENTS  |  MATERIEL DE BUREAU"/>
    <m/>
    <x v="2"/>
    <x v="0"/>
    <m/>
    <x v="0"/>
    <n v="1"/>
    <m/>
    <m/>
  </r>
  <r>
    <x v="3"/>
    <x v="6"/>
    <x v="26"/>
    <x v="2"/>
    <x v="90"/>
    <x v="69"/>
    <x v="2"/>
    <m/>
    <m/>
    <m/>
    <m/>
    <m/>
    <n v="0"/>
    <n v="0"/>
    <m/>
    <m/>
    <n v="0"/>
    <n v="0"/>
    <n v="0"/>
    <n v="0"/>
    <n v="0"/>
    <n v="0"/>
    <m/>
    <s v="ACTIFS MATERIEL IMMOBILISES  |  INVESTISSEMENTS  |  MATERIEL DE BUREAU"/>
    <m/>
    <x v="2"/>
    <x v="0"/>
    <m/>
    <x v="0"/>
    <n v="1"/>
    <m/>
    <m/>
  </r>
  <r>
    <x v="3"/>
    <x v="6"/>
    <x v="26"/>
    <x v="2"/>
    <x v="91"/>
    <x v="69"/>
    <x v="2"/>
    <m/>
    <m/>
    <m/>
    <m/>
    <m/>
    <n v="0"/>
    <n v="0"/>
    <m/>
    <m/>
    <n v="0"/>
    <n v="0"/>
    <n v="0"/>
    <n v="0"/>
    <n v="0"/>
    <n v="0"/>
    <m/>
    <s v="ACTIFS MATERIEL IMMOBILISES  |  INVESTISSEMENTS  |  MATERIEL DE BUREAU"/>
    <m/>
    <x v="2"/>
    <x v="0"/>
    <m/>
    <x v="0"/>
    <n v="1"/>
    <m/>
    <m/>
  </r>
  <r>
    <x v="3"/>
    <x v="6"/>
    <x v="26"/>
    <x v="2"/>
    <x v="92"/>
    <x v="69"/>
    <x v="2"/>
    <m/>
    <m/>
    <m/>
    <m/>
    <m/>
    <n v="0"/>
    <n v="0"/>
    <m/>
    <m/>
    <n v="0"/>
    <n v="0"/>
    <n v="0"/>
    <n v="0"/>
    <n v="0"/>
    <n v="0"/>
    <m/>
    <s v="ACTIFS MATERIEL IMMOBILISES  |  INVESTISSEMENTS  |  MATERIEL DE BUREAU"/>
    <m/>
    <x v="2"/>
    <x v="0"/>
    <m/>
    <x v="0"/>
    <n v="1"/>
    <m/>
    <m/>
  </r>
  <r>
    <x v="3"/>
    <x v="6"/>
    <x v="26"/>
    <x v="2"/>
    <x v="93"/>
    <x v="69"/>
    <x v="2"/>
    <m/>
    <m/>
    <m/>
    <m/>
    <m/>
    <n v="0"/>
    <n v="0"/>
    <m/>
    <m/>
    <n v="0"/>
    <n v="0"/>
    <n v="0"/>
    <n v="0"/>
    <n v="0"/>
    <n v="0"/>
    <m/>
    <s v="ACTIFS MATERIEL IMMOBILISES  |  INVESTISSEMENTS  |  MATERIEL DE BUREAU"/>
    <m/>
    <x v="2"/>
    <x v="0"/>
    <m/>
    <x v="0"/>
    <n v="1"/>
    <m/>
    <m/>
  </r>
  <r>
    <x v="3"/>
    <x v="6"/>
    <x v="26"/>
    <x v="2"/>
    <x v="94"/>
    <x v="69"/>
    <x v="2"/>
    <m/>
    <m/>
    <m/>
    <m/>
    <m/>
    <n v="0"/>
    <n v="0"/>
    <m/>
    <m/>
    <n v="0"/>
    <n v="0"/>
    <n v="0"/>
    <n v="0"/>
    <n v="0"/>
    <n v="0"/>
    <m/>
    <s v="ACTIFS MATERIEL IMMOBILISES  |  INVESTISSEMENTS  |  MATERIEL DE BUREAU"/>
    <m/>
    <x v="2"/>
    <x v="0"/>
    <m/>
    <x v="0"/>
    <n v="1"/>
    <m/>
    <m/>
  </r>
  <r>
    <x v="3"/>
    <x v="6"/>
    <x v="26"/>
    <x v="2"/>
    <x v="95"/>
    <x v="69"/>
    <x v="2"/>
    <m/>
    <m/>
    <m/>
    <m/>
    <m/>
    <n v="0"/>
    <n v="0"/>
    <m/>
    <m/>
    <n v="0"/>
    <n v="0"/>
    <n v="0"/>
    <n v="0"/>
    <n v="0"/>
    <n v="0"/>
    <m/>
    <s v="ACTIFS MATERIEL IMMOBILISES  |  INVESTISSEMENTS  |  MATERIEL DE BUREAU"/>
    <m/>
    <x v="2"/>
    <x v="0"/>
    <m/>
    <x v="0"/>
    <n v="1"/>
    <m/>
    <m/>
  </r>
  <r>
    <x v="3"/>
    <x v="6"/>
    <x v="26"/>
    <x v="2"/>
    <x v="96"/>
    <x v="69"/>
    <x v="2"/>
    <m/>
    <m/>
    <m/>
    <m/>
    <m/>
    <n v="0"/>
    <n v="0"/>
    <m/>
    <m/>
    <n v="0"/>
    <n v="0"/>
    <n v="0"/>
    <n v="0"/>
    <n v="0"/>
    <n v="0"/>
    <m/>
    <s v="ACTIFS MATERIEL IMMOBILISES  |  INVESTISSEMENTS  |  MATERIEL DE BUREAU"/>
    <m/>
    <x v="2"/>
    <x v="0"/>
    <m/>
    <x v="0"/>
    <n v="1"/>
    <m/>
    <m/>
  </r>
  <r>
    <x v="3"/>
    <x v="6"/>
    <x v="26"/>
    <x v="2"/>
    <x v="97"/>
    <x v="70"/>
    <x v="2"/>
    <m/>
    <m/>
    <n v="0"/>
    <m/>
    <n v="0"/>
    <n v="0"/>
    <n v="0"/>
    <m/>
    <m/>
    <n v="0"/>
    <n v="0"/>
    <n v="0"/>
    <n v="0"/>
    <n v="0"/>
    <n v="0"/>
    <m/>
    <m/>
    <m/>
    <x v="1"/>
    <x v="2"/>
    <m/>
    <x v="0"/>
    <n v="1"/>
    <m/>
    <m/>
  </r>
  <r>
    <x v="3"/>
    <x v="2"/>
    <x v="0"/>
    <x v="0"/>
    <x v="0"/>
    <x v="0"/>
    <x v="2"/>
    <m/>
    <m/>
    <m/>
    <m/>
    <m/>
    <m/>
    <m/>
    <m/>
    <m/>
    <m/>
    <m/>
    <m/>
    <m/>
    <m/>
    <m/>
    <m/>
    <m/>
    <m/>
    <x v="0"/>
    <x v="0"/>
    <m/>
    <x v="0"/>
    <m/>
    <m/>
    <m/>
  </r>
  <r>
    <x v="3"/>
    <x v="6"/>
    <x v="26"/>
    <x v="2"/>
    <x v="98"/>
    <x v="71"/>
    <x v="2"/>
    <m/>
    <n v="2020"/>
    <n v="0"/>
    <n v="0.1"/>
    <n v="0"/>
    <n v="0"/>
    <n v="0"/>
    <m/>
    <m/>
    <n v="0"/>
    <n v="0"/>
    <n v="0"/>
    <n v="0"/>
    <n v="0"/>
    <n v="0"/>
    <m/>
    <s v="ACTIFS MATERIEL IMMOBILISES  |  INVESTISSEMENTS  |  MATERIEL DE PRODUCTION"/>
    <m/>
    <x v="2"/>
    <x v="0"/>
    <m/>
    <x v="0"/>
    <n v="1"/>
    <m/>
    <m/>
  </r>
  <r>
    <x v="3"/>
    <x v="6"/>
    <x v="26"/>
    <x v="2"/>
    <x v="99"/>
    <x v="71"/>
    <x v="2"/>
    <m/>
    <n v="2021"/>
    <n v="0"/>
    <n v="0.1"/>
    <n v="0"/>
    <n v="0"/>
    <n v="0"/>
    <m/>
    <m/>
    <n v="0"/>
    <n v="0"/>
    <n v="0"/>
    <n v="0"/>
    <n v="0"/>
    <n v="0"/>
    <m/>
    <s v="ACTIFS MATERIEL IMMOBILISES  |  INVESTISSEMENTS  |  MATERIEL DE PRODUCTION"/>
    <m/>
    <x v="2"/>
    <x v="0"/>
    <m/>
    <x v="0"/>
    <n v="1"/>
    <m/>
    <m/>
  </r>
  <r>
    <x v="3"/>
    <x v="6"/>
    <x v="26"/>
    <x v="2"/>
    <x v="100"/>
    <x v="71"/>
    <x v="2"/>
    <m/>
    <n v="2022"/>
    <n v="0"/>
    <n v="0.1"/>
    <n v="0"/>
    <n v="0"/>
    <n v="0"/>
    <m/>
    <m/>
    <n v="0"/>
    <n v="0"/>
    <n v="0"/>
    <n v="0"/>
    <n v="0"/>
    <n v="0"/>
    <m/>
    <s v="ACTIFS MATERIEL IMMOBILISES  |  INVESTISSEMENTS  |  MATERIEL DE PRODUCTION"/>
    <m/>
    <x v="2"/>
    <x v="0"/>
    <m/>
    <x v="0"/>
    <n v="1"/>
    <m/>
    <m/>
  </r>
  <r>
    <x v="3"/>
    <x v="6"/>
    <x v="26"/>
    <x v="2"/>
    <x v="101"/>
    <x v="71"/>
    <x v="2"/>
    <m/>
    <n v="2023"/>
    <n v="0"/>
    <n v="0.1"/>
    <n v="0"/>
    <n v="0"/>
    <n v="0"/>
    <m/>
    <m/>
    <n v="0"/>
    <n v="0"/>
    <n v="0"/>
    <n v="0"/>
    <n v="0"/>
    <n v="0"/>
    <m/>
    <s v="ACTIFS MATERIEL IMMOBILISES  |  INVESTISSEMENTS  |  MATERIEL DE PRODUCTION"/>
    <m/>
    <x v="2"/>
    <x v="0"/>
    <m/>
    <x v="0"/>
    <n v="1"/>
    <m/>
    <m/>
  </r>
  <r>
    <x v="3"/>
    <x v="6"/>
    <x v="26"/>
    <x v="2"/>
    <x v="102"/>
    <x v="71"/>
    <x v="2"/>
    <m/>
    <n v="2024"/>
    <n v="0"/>
    <n v="0.1"/>
    <n v="0"/>
    <n v="0"/>
    <n v="0"/>
    <m/>
    <m/>
    <n v="0"/>
    <n v="0"/>
    <n v="0"/>
    <n v="0"/>
    <n v="0"/>
    <n v="0"/>
    <m/>
    <s v="ACTIFS MATERIEL IMMOBILISES  |  INVESTISSEMENTS  |  MATERIEL DE PRODUCTION"/>
    <m/>
    <x v="2"/>
    <x v="0"/>
    <m/>
    <x v="0"/>
    <n v="1"/>
    <m/>
    <m/>
  </r>
  <r>
    <x v="3"/>
    <x v="6"/>
    <x v="26"/>
    <x v="2"/>
    <x v="103"/>
    <x v="71"/>
    <x v="2"/>
    <m/>
    <n v="2025"/>
    <n v="0"/>
    <n v="0.1"/>
    <n v="0"/>
    <n v="0"/>
    <n v="0"/>
    <m/>
    <m/>
    <n v="0"/>
    <n v="0"/>
    <n v="0"/>
    <n v="0"/>
    <n v="0"/>
    <n v="0"/>
    <m/>
    <s v="ACTIFS MATERIEL IMMOBILISES  |  INVESTISSEMENTS  |  MATERIEL DE PRODUCTION"/>
    <m/>
    <x v="2"/>
    <x v="0"/>
    <m/>
    <x v="0"/>
    <n v="1"/>
    <m/>
    <m/>
  </r>
  <r>
    <x v="3"/>
    <x v="6"/>
    <x v="26"/>
    <x v="2"/>
    <x v="104"/>
    <x v="71"/>
    <x v="2"/>
    <m/>
    <n v="2026"/>
    <n v="0"/>
    <n v="0.1"/>
    <n v="0"/>
    <n v="0"/>
    <n v="0"/>
    <m/>
    <m/>
    <n v="0"/>
    <n v="0"/>
    <n v="0"/>
    <n v="0"/>
    <n v="0"/>
    <n v="0"/>
    <m/>
    <s v="ACTIFS MATERIEL IMMOBILISES  |  INVESTISSEMENTS  |  MATERIEL DE PRODUCTION"/>
    <m/>
    <x v="2"/>
    <x v="0"/>
    <m/>
    <x v="0"/>
    <n v="1"/>
    <m/>
    <m/>
  </r>
  <r>
    <x v="3"/>
    <x v="6"/>
    <x v="26"/>
    <x v="2"/>
    <x v="105"/>
    <x v="71"/>
    <x v="2"/>
    <m/>
    <m/>
    <m/>
    <m/>
    <m/>
    <n v="0"/>
    <n v="0"/>
    <m/>
    <m/>
    <n v="0"/>
    <n v="0"/>
    <n v="0"/>
    <n v="0"/>
    <n v="0"/>
    <n v="0"/>
    <m/>
    <s v="ACTIFS MATERIEL IMMOBILISES  |  INVESTISSEMENTS  |  MATERIEL DE PRODUCTION"/>
    <m/>
    <x v="2"/>
    <x v="0"/>
    <m/>
    <x v="0"/>
    <n v="1"/>
    <m/>
    <m/>
  </r>
  <r>
    <x v="3"/>
    <x v="6"/>
    <x v="26"/>
    <x v="2"/>
    <x v="106"/>
    <x v="71"/>
    <x v="2"/>
    <m/>
    <m/>
    <m/>
    <m/>
    <m/>
    <n v="0"/>
    <n v="0"/>
    <m/>
    <m/>
    <n v="0"/>
    <n v="0"/>
    <n v="0"/>
    <n v="0"/>
    <n v="0"/>
    <n v="0"/>
    <m/>
    <s v="ACTIFS MATERIEL IMMOBILISES  |  INVESTISSEMENTS  |  MATERIEL DE PRODUCTION"/>
    <m/>
    <x v="2"/>
    <x v="0"/>
    <m/>
    <x v="0"/>
    <n v="1"/>
    <m/>
    <m/>
  </r>
  <r>
    <x v="3"/>
    <x v="6"/>
    <x v="26"/>
    <x v="2"/>
    <x v="107"/>
    <x v="71"/>
    <x v="2"/>
    <m/>
    <m/>
    <m/>
    <m/>
    <m/>
    <n v="0"/>
    <n v="0"/>
    <m/>
    <m/>
    <n v="0"/>
    <n v="0"/>
    <n v="0"/>
    <n v="0"/>
    <n v="0"/>
    <n v="0"/>
    <m/>
    <s v="ACTIFS MATERIEL IMMOBILISES  |  INVESTISSEMENTS  |  MATERIEL DE PRODUCTION"/>
    <m/>
    <x v="2"/>
    <x v="0"/>
    <m/>
    <x v="0"/>
    <n v="1"/>
    <m/>
    <m/>
  </r>
  <r>
    <x v="3"/>
    <x v="6"/>
    <x v="26"/>
    <x v="2"/>
    <x v="108"/>
    <x v="72"/>
    <x v="2"/>
    <m/>
    <m/>
    <n v="0"/>
    <m/>
    <n v="0"/>
    <n v="0"/>
    <n v="0"/>
    <m/>
    <m/>
    <n v="0"/>
    <n v="0"/>
    <n v="0"/>
    <n v="0"/>
    <n v="0"/>
    <n v="0"/>
    <m/>
    <m/>
    <m/>
    <x v="1"/>
    <x v="2"/>
    <m/>
    <x v="0"/>
    <n v="1"/>
    <m/>
    <m/>
  </r>
  <r>
    <x v="3"/>
    <x v="2"/>
    <x v="0"/>
    <x v="0"/>
    <x v="0"/>
    <x v="0"/>
    <x v="2"/>
    <m/>
    <m/>
    <m/>
    <m/>
    <m/>
    <m/>
    <m/>
    <m/>
    <m/>
    <m/>
    <m/>
    <m/>
    <m/>
    <m/>
    <m/>
    <m/>
    <m/>
    <m/>
    <x v="0"/>
    <x v="0"/>
    <m/>
    <x v="0"/>
    <m/>
    <m/>
    <m/>
  </r>
  <r>
    <x v="3"/>
    <x v="6"/>
    <x v="26"/>
    <x v="2"/>
    <x v="109"/>
    <x v="73"/>
    <x v="2"/>
    <m/>
    <n v="2020"/>
    <n v="0"/>
    <n v="0.1"/>
    <n v="0"/>
    <n v="0"/>
    <n v="0"/>
    <m/>
    <m/>
    <n v="0"/>
    <n v="0"/>
    <n v="0"/>
    <n v="0"/>
    <n v="0"/>
    <n v="0"/>
    <m/>
    <s v="ACTIFS MATERIEL IMMOBILISES  |  INVESTISSEMENTS  |  AUTRES ACTIFS"/>
    <m/>
    <x v="2"/>
    <x v="0"/>
    <m/>
    <x v="0"/>
    <n v="1"/>
    <m/>
    <m/>
  </r>
  <r>
    <x v="3"/>
    <x v="6"/>
    <x v="26"/>
    <x v="2"/>
    <x v="110"/>
    <x v="73"/>
    <x v="2"/>
    <m/>
    <n v="2021"/>
    <n v="0"/>
    <n v="0.1"/>
    <n v="0"/>
    <n v="0"/>
    <n v="0"/>
    <m/>
    <m/>
    <n v="0"/>
    <n v="0"/>
    <n v="0"/>
    <n v="0"/>
    <n v="0"/>
    <n v="0"/>
    <m/>
    <s v="ACTIFS MATERIEL IMMOBILISES  |  INVESTISSEMENTS  |  AUTRES ACTIFS"/>
    <m/>
    <x v="2"/>
    <x v="0"/>
    <m/>
    <x v="0"/>
    <n v="1"/>
    <m/>
    <m/>
  </r>
  <r>
    <x v="3"/>
    <x v="6"/>
    <x v="26"/>
    <x v="2"/>
    <x v="111"/>
    <x v="73"/>
    <x v="2"/>
    <m/>
    <n v="2022"/>
    <n v="0"/>
    <n v="0.1"/>
    <n v="0"/>
    <n v="0"/>
    <n v="0"/>
    <m/>
    <m/>
    <n v="0"/>
    <n v="0"/>
    <n v="0"/>
    <n v="0"/>
    <n v="0"/>
    <n v="0"/>
    <m/>
    <s v="ACTIFS MATERIEL IMMOBILISES  |  INVESTISSEMENTS  |  AUTRES ACTIFS"/>
    <m/>
    <x v="2"/>
    <x v="0"/>
    <m/>
    <x v="0"/>
    <n v="1"/>
    <m/>
    <m/>
  </r>
  <r>
    <x v="3"/>
    <x v="6"/>
    <x v="26"/>
    <x v="2"/>
    <x v="112"/>
    <x v="73"/>
    <x v="2"/>
    <m/>
    <n v="2023"/>
    <n v="0"/>
    <n v="0.1"/>
    <n v="0"/>
    <n v="0"/>
    <n v="0"/>
    <m/>
    <m/>
    <n v="0"/>
    <n v="0"/>
    <n v="0"/>
    <n v="0"/>
    <n v="0"/>
    <n v="0"/>
    <m/>
    <s v="ACTIFS MATERIEL IMMOBILISES  |  INVESTISSEMENTS  |  AUTRES ACTIFS"/>
    <m/>
    <x v="2"/>
    <x v="0"/>
    <m/>
    <x v="0"/>
    <n v="1"/>
    <m/>
    <m/>
  </r>
  <r>
    <x v="3"/>
    <x v="6"/>
    <x v="26"/>
    <x v="2"/>
    <x v="113"/>
    <x v="73"/>
    <x v="2"/>
    <m/>
    <n v="2024"/>
    <n v="0"/>
    <n v="0.1"/>
    <n v="0"/>
    <n v="0"/>
    <n v="0"/>
    <m/>
    <m/>
    <n v="0"/>
    <n v="0"/>
    <n v="0"/>
    <n v="0"/>
    <n v="0"/>
    <n v="0"/>
    <m/>
    <s v="ACTIFS MATERIEL IMMOBILISES  |  INVESTISSEMENTS  |  AUTRES ACTIFS"/>
    <m/>
    <x v="2"/>
    <x v="0"/>
    <m/>
    <x v="0"/>
    <n v="1"/>
    <m/>
    <m/>
  </r>
  <r>
    <x v="3"/>
    <x v="6"/>
    <x v="26"/>
    <x v="2"/>
    <x v="114"/>
    <x v="73"/>
    <x v="2"/>
    <m/>
    <n v="2025"/>
    <n v="0"/>
    <n v="0.1"/>
    <n v="0"/>
    <n v="0"/>
    <n v="0"/>
    <m/>
    <m/>
    <n v="0"/>
    <n v="0"/>
    <n v="0"/>
    <n v="0"/>
    <n v="0"/>
    <n v="0"/>
    <m/>
    <s v="ACTIFS MATERIEL IMMOBILISES  |  INVESTISSEMENTS  |  AUTRES ACTIFS"/>
    <m/>
    <x v="2"/>
    <x v="0"/>
    <m/>
    <x v="0"/>
    <n v="1"/>
    <m/>
    <m/>
  </r>
  <r>
    <x v="3"/>
    <x v="6"/>
    <x v="26"/>
    <x v="2"/>
    <x v="115"/>
    <x v="73"/>
    <x v="2"/>
    <m/>
    <n v="2026"/>
    <n v="0"/>
    <n v="0.1"/>
    <n v="0"/>
    <n v="0"/>
    <n v="0"/>
    <m/>
    <m/>
    <n v="0"/>
    <n v="0"/>
    <n v="0"/>
    <n v="0"/>
    <n v="0"/>
    <n v="0"/>
    <m/>
    <s v="ACTIFS MATERIEL IMMOBILISES  |  INVESTISSEMENTS  |  AUTRES ACTIFS"/>
    <m/>
    <x v="2"/>
    <x v="0"/>
    <m/>
    <x v="0"/>
    <n v="1"/>
    <m/>
    <m/>
  </r>
  <r>
    <x v="3"/>
    <x v="6"/>
    <x v="26"/>
    <x v="2"/>
    <x v="116"/>
    <x v="73"/>
    <x v="2"/>
    <m/>
    <m/>
    <m/>
    <m/>
    <m/>
    <n v="0"/>
    <n v="0"/>
    <m/>
    <m/>
    <n v="0"/>
    <n v="0"/>
    <n v="0"/>
    <n v="0"/>
    <n v="0"/>
    <n v="0"/>
    <m/>
    <s v="ACTIFS MATERIEL IMMOBILISES  |  INVESTISSEMENTS  |  AUTRES ACTIFS"/>
    <m/>
    <x v="2"/>
    <x v="0"/>
    <m/>
    <x v="0"/>
    <n v="1"/>
    <m/>
    <m/>
  </r>
  <r>
    <x v="3"/>
    <x v="6"/>
    <x v="26"/>
    <x v="2"/>
    <x v="117"/>
    <x v="73"/>
    <x v="2"/>
    <m/>
    <m/>
    <m/>
    <m/>
    <m/>
    <n v="0"/>
    <n v="0"/>
    <m/>
    <m/>
    <n v="0"/>
    <n v="0"/>
    <n v="0"/>
    <n v="0"/>
    <n v="0"/>
    <n v="0"/>
    <m/>
    <s v="ACTIFS MATERIEL IMMOBILISES  |  INVESTISSEMENTS  |  AUTRES ACTIFS"/>
    <m/>
    <x v="2"/>
    <x v="0"/>
    <m/>
    <x v="0"/>
    <n v="1"/>
    <m/>
    <m/>
  </r>
  <r>
    <x v="3"/>
    <x v="6"/>
    <x v="26"/>
    <x v="2"/>
    <x v="118"/>
    <x v="73"/>
    <x v="2"/>
    <m/>
    <m/>
    <m/>
    <m/>
    <m/>
    <n v="0"/>
    <n v="0"/>
    <m/>
    <m/>
    <n v="0"/>
    <n v="0"/>
    <n v="0"/>
    <n v="0"/>
    <n v="0"/>
    <n v="0"/>
    <m/>
    <s v="ACTIFS MATERIEL IMMOBILISES  |  INVESTISSEMENTS  |  AUTRES ACTIFS"/>
    <m/>
    <x v="2"/>
    <x v="0"/>
    <m/>
    <x v="0"/>
    <n v="1"/>
    <m/>
    <m/>
  </r>
  <r>
    <x v="3"/>
    <x v="6"/>
    <x v="26"/>
    <x v="2"/>
    <x v="119"/>
    <x v="73"/>
    <x v="2"/>
    <m/>
    <m/>
    <m/>
    <m/>
    <m/>
    <n v="0"/>
    <n v="0"/>
    <m/>
    <m/>
    <n v="0"/>
    <n v="0"/>
    <n v="0"/>
    <n v="0"/>
    <n v="0"/>
    <n v="0"/>
    <m/>
    <s v="ACTIFS MATERIEL IMMOBILISES  |  INVESTISSEMENTS  |  AUTRES ACTIFS"/>
    <m/>
    <x v="2"/>
    <x v="0"/>
    <m/>
    <x v="0"/>
    <n v="1"/>
    <m/>
    <m/>
  </r>
  <r>
    <x v="3"/>
    <x v="6"/>
    <x v="26"/>
    <x v="2"/>
    <x v="120"/>
    <x v="73"/>
    <x v="2"/>
    <m/>
    <m/>
    <m/>
    <m/>
    <m/>
    <n v="0"/>
    <n v="0"/>
    <m/>
    <m/>
    <n v="0"/>
    <n v="0"/>
    <n v="0"/>
    <n v="0"/>
    <n v="0"/>
    <n v="0"/>
    <m/>
    <s v="ACTIFS MATERIEL IMMOBILISES  |  INVESTISSEMENTS  |  AUTRES ACTIFS"/>
    <m/>
    <x v="2"/>
    <x v="0"/>
    <m/>
    <x v="0"/>
    <n v="1"/>
    <m/>
    <m/>
  </r>
  <r>
    <x v="3"/>
    <x v="6"/>
    <x v="26"/>
    <x v="2"/>
    <x v="121"/>
    <x v="73"/>
    <x v="2"/>
    <m/>
    <m/>
    <m/>
    <m/>
    <m/>
    <n v="0"/>
    <n v="0"/>
    <m/>
    <m/>
    <n v="0"/>
    <n v="0"/>
    <n v="0"/>
    <n v="0"/>
    <n v="0"/>
    <n v="0"/>
    <m/>
    <s v="ACTIFS MATERIEL IMMOBILISES  |  INVESTISSEMENTS  |  AUTRES ACTIFS"/>
    <m/>
    <x v="2"/>
    <x v="0"/>
    <m/>
    <x v="0"/>
    <n v="1"/>
    <m/>
    <m/>
  </r>
  <r>
    <x v="3"/>
    <x v="6"/>
    <x v="26"/>
    <x v="2"/>
    <x v="122"/>
    <x v="73"/>
    <x v="2"/>
    <m/>
    <m/>
    <m/>
    <m/>
    <m/>
    <n v="0"/>
    <n v="0"/>
    <m/>
    <m/>
    <n v="0"/>
    <n v="0"/>
    <n v="0"/>
    <n v="0"/>
    <n v="0"/>
    <n v="0"/>
    <m/>
    <s v="ACTIFS MATERIEL IMMOBILISES  |  INVESTISSEMENTS  |  AUTRES ACTIFS"/>
    <m/>
    <x v="2"/>
    <x v="0"/>
    <m/>
    <x v="0"/>
    <n v="1"/>
    <m/>
    <m/>
  </r>
  <r>
    <x v="3"/>
    <x v="6"/>
    <x v="26"/>
    <x v="2"/>
    <x v="123"/>
    <x v="73"/>
    <x v="2"/>
    <m/>
    <m/>
    <m/>
    <m/>
    <m/>
    <n v="0"/>
    <n v="0"/>
    <m/>
    <m/>
    <n v="0"/>
    <n v="0"/>
    <n v="0"/>
    <n v="0"/>
    <n v="0"/>
    <n v="0"/>
    <m/>
    <s v="ACTIFS MATERIEL IMMOBILISES  |  INVESTISSEMENTS  |  AUTRES ACTIFS"/>
    <m/>
    <x v="2"/>
    <x v="0"/>
    <m/>
    <x v="0"/>
    <n v="1"/>
    <m/>
    <m/>
  </r>
  <r>
    <x v="3"/>
    <x v="6"/>
    <x v="26"/>
    <x v="2"/>
    <x v="124"/>
    <x v="73"/>
    <x v="2"/>
    <m/>
    <m/>
    <m/>
    <m/>
    <m/>
    <n v="0"/>
    <n v="0"/>
    <m/>
    <m/>
    <n v="0"/>
    <n v="0"/>
    <n v="0"/>
    <n v="0"/>
    <n v="0"/>
    <n v="0"/>
    <m/>
    <s v="ACTIFS MATERIEL IMMOBILISES  |  INVESTISSEMENTS  |  AUTRES ACTIFS"/>
    <m/>
    <x v="2"/>
    <x v="0"/>
    <m/>
    <x v="0"/>
    <n v="1"/>
    <m/>
    <m/>
  </r>
  <r>
    <x v="3"/>
    <x v="6"/>
    <x v="26"/>
    <x v="2"/>
    <x v="125"/>
    <x v="73"/>
    <x v="2"/>
    <m/>
    <m/>
    <m/>
    <m/>
    <m/>
    <n v="0"/>
    <n v="0"/>
    <m/>
    <m/>
    <n v="0"/>
    <n v="0"/>
    <n v="0"/>
    <n v="0"/>
    <n v="0"/>
    <n v="0"/>
    <m/>
    <s v="ACTIFS MATERIEL IMMOBILISES  |  INVESTISSEMENTS  |  AUTRES ACTIFS"/>
    <m/>
    <x v="2"/>
    <x v="0"/>
    <m/>
    <x v="0"/>
    <n v="1"/>
    <m/>
    <m/>
  </r>
  <r>
    <x v="3"/>
    <x v="6"/>
    <x v="26"/>
    <x v="2"/>
    <x v="126"/>
    <x v="73"/>
    <x v="2"/>
    <m/>
    <m/>
    <m/>
    <m/>
    <m/>
    <n v="0"/>
    <n v="0"/>
    <m/>
    <m/>
    <n v="0"/>
    <n v="0"/>
    <n v="0"/>
    <n v="0"/>
    <n v="0"/>
    <n v="0"/>
    <m/>
    <s v="ACTIFS MATERIEL IMMOBILISES  |  INVESTISSEMENTS  |  AUTRES ACTIFS"/>
    <m/>
    <x v="2"/>
    <x v="0"/>
    <m/>
    <x v="0"/>
    <n v="1"/>
    <m/>
    <m/>
  </r>
  <r>
    <x v="3"/>
    <x v="6"/>
    <x v="26"/>
    <x v="2"/>
    <x v="127"/>
    <x v="73"/>
    <x v="2"/>
    <m/>
    <m/>
    <m/>
    <m/>
    <m/>
    <n v="0"/>
    <n v="0"/>
    <m/>
    <m/>
    <n v="0"/>
    <n v="0"/>
    <n v="0"/>
    <n v="0"/>
    <n v="0"/>
    <n v="0"/>
    <m/>
    <s v="ACTIFS MATERIEL IMMOBILISES  |  INVESTISSEMENTS  |  AUTRES ACTIFS"/>
    <m/>
    <x v="2"/>
    <x v="0"/>
    <m/>
    <x v="0"/>
    <n v="1"/>
    <m/>
    <m/>
  </r>
  <r>
    <x v="3"/>
    <x v="6"/>
    <x v="26"/>
    <x v="2"/>
    <x v="128"/>
    <x v="73"/>
    <x v="2"/>
    <m/>
    <m/>
    <m/>
    <m/>
    <m/>
    <n v="0"/>
    <n v="0"/>
    <m/>
    <m/>
    <n v="0"/>
    <n v="0"/>
    <n v="0"/>
    <n v="0"/>
    <n v="0"/>
    <n v="0"/>
    <m/>
    <s v="ACTIFS MATERIEL IMMOBILISES  |  INVESTISSEMENTS  |  AUTRES ACTIFS"/>
    <m/>
    <x v="2"/>
    <x v="0"/>
    <m/>
    <x v="0"/>
    <n v="1"/>
    <m/>
    <m/>
  </r>
  <r>
    <x v="3"/>
    <x v="6"/>
    <x v="26"/>
    <x v="2"/>
    <x v="129"/>
    <x v="74"/>
    <x v="2"/>
    <m/>
    <m/>
    <n v="0"/>
    <m/>
    <n v="0"/>
    <n v="0"/>
    <n v="0"/>
    <m/>
    <m/>
    <n v="0"/>
    <n v="0"/>
    <n v="0"/>
    <n v="0"/>
    <n v="0"/>
    <n v="0"/>
    <m/>
    <s v="ACTIFS MATERIEL IMMOBILISES  |  INVESTISSEMENTS  |  TOTAL AUTRES ACTIFS"/>
    <m/>
    <x v="1"/>
    <x v="2"/>
    <m/>
    <x v="0"/>
    <n v="1"/>
    <m/>
    <m/>
  </r>
  <r>
    <x v="3"/>
    <x v="2"/>
    <x v="0"/>
    <x v="0"/>
    <x v="0"/>
    <x v="0"/>
    <x v="2"/>
    <m/>
    <m/>
    <m/>
    <m/>
    <m/>
    <m/>
    <m/>
    <m/>
    <m/>
    <m/>
    <m/>
    <m/>
    <m/>
    <m/>
    <m/>
    <m/>
    <m/>
    <m/>
    <x v="0"/>
    <x v="0"/>
    <m/>
    <x v="0"/>
    <m/>
    <m/>
    <m/>
  </r>
  <r>
    <x v="3"/>
    <x v="6"/>
    <x v="26"/>
    <x v="2"/>
    <x v="130"/>
    <x v="75"/>
    <x v="2"/>
    <m/>
    <m/>
    <n v="0"/>
    <m/>
    <n v="0"/>
    <n v="0"/>
    <n v="0"/>
    <m/>
    <m/>
    <n v="0"/>
    <n v="0"/>
    <n v="0"/>
    <n v="0"/>
    <n v="0"/>
    <n v="0"/>
    <m/>
    <s v="ACTIFS MATERIEL IMMOBILISES  |  INVESTISSEMENTS  |  TOTAL ACTIFS IMMOBILISES"/>
    <m/>
    <x v="1"/>
    <x v="2"/>
    <m/>
    <x v="0"/>
    <n v="1"/>
    <m/>
    <m/>
  </r>
  <r>
    <x v="3"/>
    <x v="2"/>
    <x v="0"/>
    <x v="0"/>
    <x v="0"/>
    <x v="0"/>
    <x v="2"/>
    <m/>
    <m/>
    <m/>
    <m/>
    <m/>
    <m/>
    <m/>
    <m/>
    <m/>
    <m/>
    <m/>
    <m/>
    <m/>
    <m/>
    <m/>
    <m/>
    <m/>
    <m/>
    <x v="0"/>
    <x v="0"/>
    <m/>
    <x v="0"/>
    <m/>
    <m/>
    <m/>
  </r>
  <r>
    <x v="3"/>
    <x v="7"/>
    <x v="26"/>
    <x v="2"/>
    <x v="131"/>
    <x v="76"/>
    <x v="2"/>
    <m/>
    <m/>
    <m/>
    <n v="0.2"/>
    <m/>
    <n v="0"/>
    <n v="0"/>
    <m/>
    <m/>
    <n v="0"/>
    <n v="0"/>
    <n v="0"/>
    <n v="0"/>
    <n v="0"/>
    <n v="0"/>
    <m/>
    <s v="ACTIFS IMMATERIELS  |  INVESTISSEMENTS  |  ACTIFS IMMATERIELS"/>
    <m/>
    <x v="2"/>
    <x v="0"/>
    <m/>
    <x v="0"/>
    <n v="1"/>
    <m/>
    <m/>
  </r>
  <r>
    <x v="3"/>
    <x v="7"/>
    <x v="26"/>
    <x v="2"/>
    <x v="132"/>
    <x v="76"/>
    <x v="2"/>
    <m/>
    <m/>
    <m/>
    <n v="0.2"/>
    <m/>
    <n v="0"/>
    <n v="0"/>
    <m/>
    <m/>
    <n v="0"/>
    <n v="0"/>
    <n v="0"/>
    <n v="0"/>
    <n v="0"/>
    <n v="0"/>
    <m/>
    <s v="ACTIFS IMMATERIELS  |  INVESTISSEMENTS  |  ACTIFS IMMATERIELS"/>
    <m/>
    <x v="2"/>
    <x v="0"/>
    <m/>
    <x v="0"/>
    <n v="1"/>
    <m/>
    <m/>
  </r>
  <r>
    <x v="3"/>
    <x v="7"/>
    <x v="26"/>
    <x v="2"/>
    <x v="133"/>
    <x v="76"/>
    <x v="2"/>
    <m/>
    <m/>
    <m/>
    <n v="0.2"/>
    <m/>
    <n v="0"/>
    <n v="0"/>
    <m/>
    <m/>
    <n v="0"/>
    <n v="0"/>
    <n v="0"/>
    <n v="0"/>
    <n v="0"/>
    <n v="0"/>
    <m/>
    <s v="ACTIFS IMMATERIELS  |  INVESTISSEMENTS  |  ACTIFS IMMATERIELS"/>
    <m/>
    <x v="2"/>
    <x v="0"/>
    <m/>
    <x v="0"/>
    <n v="1"/>
    <m/>
    <m/>
  </r>
  <r>
    <x v="3"/>
    <x v="7"/>
    <x v="26"/>
    <x v="2"/>
    <x v="134"/>
    <x v="76"/>
    <x v="2"/>
    <m/>
    <m/>
    <m/>
    <n v="0.2"/>
    <m/>
    <n v="0"/>
    <n v="0"/>
    <m/>
    <m/>
    <n v="0"/>
    <n v="0"/>
    <n v="0"/>
    <n v="0"/>
    <n v="0"/>
    <n v="0"/>
    <m/>
    <s v="ACTIFS IMMATERIELS  |  INVESTISSEMENTS  |  ACTIFS IMMATERIELS"/>
    <m/>
    <x v="2"/>
    <x v="0"/>
    <m/>
    <x v="0"/>
    <n v="1"/>
    <m/>
    <m/>
  </r>
  <r>
    <x v="3"/>
    <x v="7"/>
    <x v="26"/>
    <x v="2"/>
    <x v="135"/>
    <x v="76"/>
    <x v="2"/>
    <m/>
    <m/>
    <m/>
    <n v="0.2"/>
    <m/>
    <n v="0"/>
    <n v="0"/>
    <m/>
    <m/>
    <n v="0"/>
    <n v="0"/>
    <n v="0"/>
    <n v="0"/>
    <n v="0"/>
    <n v="0"/>
    <m/>
    <s v="ACTIFS IMMATERIELS  |  INVESTISSEMENTS  |  ACTIFS IMMATERIELS"/>
    <m/>
    <x v="2"/>
    <x v="0"/>
    <m/>
    <x v="0"/>
    <n v="1"/>
    <m/>
    <m/>
  </r>
  <r>
    <x v="3"/>
    <x v="7"/>
    <x v="26"/>
    <x v="2"/>
    <x v="136"/>
    <x v="77"/>
    <x v="2"/>
    <m/>
    <m/>
    <n v="0"/>
    <m/>
    <n v="0"/>
    <n v="0"/>
    <n v="0"/>
    <m/>
    <m/>
    <n v="0"/>
    <n v="0"/>
    <n v="0"/>
    <n v="0"/>
    <n v="0"/>
    <n v="0"/>
    <m/>
    <s v="ACTIFS IMMATERIELS  |  INVESTISSEMENTS  |  TOTAL ACTIFS IMMATERIELS"/>
    <m/>
    <x v="1"/>
    <x v="2"/>
    <m/>
    <x v="0"/>
    <n v="1"/>
    <m/>
    <m/>
  </r>
  <r>
    <x v="3"/>
    <x v="2"/>
    <x v="0"/>
    <x v="0"/>
    <x v="0"/>
    <x v="0"/>
    <x v="2"/>
    <m/>
    <m/>
    <m/>
    <m/>
    <m/>
    <m/>
    <m/>
    <m/>
    <m/>
    <m/>
    <m/>
    <m/>
    <m/>
    <m/>
    <m/>
    <m/>
    <m/>
    <m/>
    <x v="0"/>
    <x v="0"/>
    <m/>
    <x v="0"/>
    <m/>
    <m/>
    <m/>
  </r>
  <r>
    <x v="3"/>
    <x v="8"/>
    <x v="26"/>
    <x v="2"/>
    <x v="137"/>
    <x v="78"/>
    <x v="2"/>
    <m/>
    <m/>
    <m/>
    <n v="0.2"/>
    <m/>
    <n v="0"/>
    <n v="0"/>
    <m/>
    <m/>
    <n v="0"/>
    <n v="0"/>
    <n v="0"/>
    <n v="0"/>
    <n v="0"/>
    <n v="0"/>
    <m/>
    <s v="FRAIS DE DEMARRAGE  |  INVESTISSEMENTS  |  FRAIS DE DEMARRAGE"/>
    <m/>
    <x v="2"/>
    <x v="0"/>
    <m/>
    <x v="0"/>
    <n v="1"/>
    <m/>
    <m/>
  </r>
  <r>
    <x v="3"/>
    <x v="8"/>
    <x v="26"/>
    <x v="2"/>
    <x v="138"/>
    <x v="78"/>
    <x v="2"/>
    <m/>
    <m/>
    <m/>
    <n v="0.2"/>
    <m/>
    <n v="0"/>
    <n v="0"/>
    <m/>
    <m/>
    <n v="0"/>
    <n v="0"/>
    <n v="0"/>
    <n v="0"/>
    <n v="0"/>
    <n v="0"/>
    <m/>
    <s v="FRAIS DE DEMARRAGE  |  INVESTISSEMENTS  |  FRAIS DE DEMARRAGE"/>
    <m/>
    <x v="2"/>
    <x v="0"/>
    <m/>
    <x v="0"/>
    <n v="1"/>
    <m/>
    <m/>
  </r>
  <r>
    <x v="3"/>
    <x v="8"/>
    <x v="26"/>
    <x v="2"/>
    <x v="139"/>
    <x v="78"/>
    <x v="2"/>
    <m/>
    <m/>
    <m/>
    <n v="0.2"/>
    <m/>
    <n v="0"/>
    <n v="0"/>
    <m/>
    <m/>
    <n v="0"/>
    <n v="0"/>
    <n v="0"/>
    <n v="0"/>
    <n v="0"/>
    <n v="0"/>
    <m/>
    <s v="FRAIS DE DEMARRAGE  |  INVESTISSEMENTS  |  FRAIS DE DEMARRAGE"/>
    <m/>
    <x v="2"/>
    <x v="0"/>
    <m/>
    <x v="0"/>
    <n v="1"/>
    <m/>
    <m/>
  </r>
  <r>
    <x v="3"/>
    <x v="8"/>
    <x v="26"/>
    <x v="2"/>
    <x v="140"/>
    <x v="78"/>
    <x v="2"/>
    <m/>
    <m/>
    <m/>
    <n v="0.2"/>
    <m/>
    <n v="0"/>
    <n v="0"/>
    <m/>
    <m/>
    <n v="0"/>
    <n v="0"/>
    <n v="0"/>
    <n v="0"/>
    <n v="0"/>
    <n v="0"/>
    <m/>
    <s v="FRAIS DE DEMARRAGE  |  INVESTISSEMENTS  |  FRAIS DE DEMARRAGE"/>
    <m/>
    <x v="2"/>
    <x v="0"/>
    <m/>
    <x v="0"/>
    <n v="1"/>
    <m/>
    <m/>
  </r>
  <r>
    <x v="3"/>
    <x v="8"/>
    <x v="26"/>
    <x v="2"/>
    <x v="141"/>
    <x v="78"/>
    <x v="2"/>
    <m/>
    <m/>
    <m/>
    <n v="0.2"/>
    <m/>
    <n v="0"/>
    <n v="0"/>
    <m/>
    <m/>
    <n v="0"/>
    <n v="0"/>
    <n v="0"/>
    <n v="0"/>
    <n v="0"/>
    <n v="0"/>
    <m/>
    <s v="FRAIS DE DEMARRAGE  |  INVESTISSEMENTS  |  FRAIS DE DEMARRAGE"/>
    <m/>
    <x v="2"/>
    <x v="0"/>
    <m/>
    <x v="0"/>
    <n v="1"/>
    <m/>
    <m/>
  </r>
  <r>
    <x v="3"/>
    <x v="8"/>
    <x v="26"/>
    <x v="2"/>
    <x v="142"/>
    <x v="79"/>
    <x v="2"/>
    <m/>
    <m/>
    <n v="0"/>
    <m/>
    <n v="0"/>
    <n v="0"/>
    <n v="0"/>
    <m/>
    <m/>
    <n v="0"/>
    <n v="0"/>
    <n v="0"/>
    <n v="0"/>
    <n v="0"/>
    <n v="0"/>
    <m/>
    <s v="FRAIS DE DEMARRAGE  |  INVESTISSEMENTS  |  TOTAL FRAIS DE DEMARRAGE"/>
    <m/>
    <x v="1"/>
    <x v="2"/>
    <m/>
    <x v="0"/>
    <n v="1"/>
    <m/>
    <m/>
  </r>
  <r>
    <x v="3"/>
    <x v="2"/>
    <x v="0"/>
    <x v="0"/>
    <x v="0"/>
    <x v="0"/>
    <x v="2"/>
    <m/>
    <m/>
    <m/>
    <m/>
    <m/>
    <m/>
    <m/>
    <m/>
    <m/>
    <m/>
    <m/>
    <m/>
    <m/>
    <m/>
    <m/>
    <m/>
    <m/>
    <m/>
    <x v="0"/>
    <x v="0"/>
    <m/>
    <x v="0"/>
    <m/>
    <m/>
    <m/>
  </r>
  <r>
    <x v="3"/>
    <x v="9"/>
    <x v="26"/>
    <x v="2"/>
    <x v="143"/>
    <x v="80"/>
    <x v="2"/>
    <m/>
    <m/>
    <n v="0"/>
    <m/>
    <n v="0"/>
    <n v="0"/>
    <n v="0"/>
    <m/>
    <m/>
    <n v="0"/>
    <n v="0"/>
    <n v="0"/>
    <n v="0"/>
    <n v="0"/>
    <n v="0"/>
    <m/>
    <s v="TOTAL ACTIF  |  INVESTISSEMENTS  |  TOTAL ACTIF"/>
    <m/>
    <x v="1"/>
    <x v="2"/>
    <m/>
    <x v="0"/>
    <n v="1"/>
    <m/>
    <m/>
  </r>
  <r>
    <x v="3"/>
    <x v="2"/>
    <x v="0"/>
    <x v="0"/>
    <x v="0"/>
    <x v="0"/>
    <x v="2"/>
    <m/>
    <m/>
    <m/>
    <m/>
    <m/>
    <m/>
    <m/>
    <m/>
    <m/>
    <m/>
    <m/>
    <m/>
    <m/>
    <m/>
    <m/>
    <m/>
    <m/>
    <m/>
    <x v="0"/>
    <x v="0"/>
    <m/>
    <x v="0"/>
    <m/>
    <m/>
    <m/>
  </r>
  <r>
    <x v="3"/>
    <x v="6"/>
    <x v="27"/>
    <x v="2"/>
    <x v="57"/>
    <x v="69"/>
    <x v="18"/>
    <m/>
    <n v="2020"/>
    <n v="0"/>
    <n v="0.25"/>
    <n v="0"/>
    <n v="0"/>
    <n v="0"/>
    <m/>
    <m/>
    <n v="0"/>
    <n v="0"/>
    <n v="0"/>
    <n v="0"/>
    <n v="0"/>
    <n v="0"/>
    <m/>
    <s v="ACTIFS MATERIEL IMMOBILISES  |  AMORTISSEMENTS  |  MATERIEL DE BUREAU"/>
    <m/>
    <x v="2"/>
    <x v="0"/>
    <m/>
    <x v="0"/>
    <n v="1"/>
    <m/>
    <m/>
  </r>
  <r>
    <x v="3"/>
    <x v="6"/>
    <x v="27"/>
    <x v="2"/>
    <x v="58"/>
    <x v="69"/>
    <x v="18"/>
    <m/>
    <n v="2021"/>
    <n v="0"/>
    <n v="0.25"/>
    <n v="0"/>
    <n v="0"/>
    <n v="0"/>
    <m/>
    <m/>
    <n v="0"/>
    <n v="0"/>
    <n v="0"/>
    <n v="0"/>
    <n v="0"/>
    <n v="0"/>
    <m/>
    <s v="ACTIFS MATERIEL IMMOBILISES  |  AMORTISSEMENTS  |  MATERIEL DE BUREAU"/>
    <m/>
    <x v="2"/>
    <x v="0"/>
    <m/>
    <x v="0"/>
    <n v="1"/>
    <m/>
    <m/>
  </r>
  <r>
    <x v="3"/>
    <x v="6"/>
    <x v="27"/>
    <x v="2"/>
    <x v="59"/>
    <x v="69"/>
    <x v="18"/>
    <m/>
    <n v="2022"/>
    <n v="0"/>
    <n v="0.25"/>
    <n v="0"/>
    <n v="0"/>
    <n v="0"/>
    <m/>
    <m/>
    <n v="0"/>
    <n v="0"/>
    <n v="0"/>
    <n v="0"/>
    <n v="0"/>
    <n v="0"/>
    <m/>
    <s v="ACTIFS MATERIEL IMMOBILISES  |  AMORTISSEMENTS  |  MATERIEL DE BUREAU"/>
    <m/>
    <x v="2"/>
    <x v="0"/>
    <m/>
    <x v="0"/>
    <n v="1"/>
    <m/>
    <m/>
  </r>
  <r>
    <x v="3"/>
    <x v="6"/>
    <x v="27"/>
    <x v="2"/>
    <x v="60"/>
    <x v="69"/>
    <x v="18"/>
    <m/>
    <n v="2023"/>
    <n v="0"/>
    <n v="0.25"/>
    <n v="0"/>
    <n v="0"/>
    <n v="0"/>
    <m/>
    <m/>
    <n v="0"/>
    <n v="0"/>
    <n v="0"/>
    <n v="0"/>
    <n v="0"/>
    <n v="0"/>
    <m/>
    <s v="ACTIFS MATERIEL IMMOBILISES  |  AMORTISSEMENTS  |  MATERIEL DE BUREAU"/>
    <m/>
    <x v="2"/>
    <x v="0"/>
    <m/>
    <x v="0"/>
    <n v="1"/>
    <m/>
    <m/>
  </r>
  <r>
    <x v="3"/>
    <x v="6"/>
    <x v="27"/>
    <x v="2"/>
    <x v="61"/>
    <x v="69"/>
    <x v="18"/>
    <m/>
    <n v="2024"/>
    <n v="0"/>
    <n v="0.25"/>
    <n v="0"/>
    <n v="0"/>
    <n v="0"/>
    <m/>
    <m/>
    <n v="0"/>
    <n v="0"/>
    <n v="0"/>
    <n v="0"/>
    <n v="0"/>
    <n v="0"/>
    <m/>
    <s v="ACTIFS MATERIEL IMMOBILISES  |  AMORTISSEMENTS  |  MATERIEL DE BUREAU"/>
    <m/>
    <x v="2"/>
    <x v="0"/>
    <m/>
    <x v="0"/>
    <n v="1"/>
    <m/>
    <m/>
  </r>
  <r>
    <x v="3"/>
    <x v="6"/>
    <x v="27"/>
    <x v="2"/>
    <x v="62"/>
    <x v="69"/>
    <x v="18"/>
    <m/>
    <n v="2025"/>
    <n v="0"/>
    <n v="0.25"/>
    <n v="0"/>
    <n v="0"/>
    <n v="0"/>
    <m/>
    <m/>
    <n v="0"/>
    <n v="0"/>
    <n v="0"/>
    <n v="0"/>
    <n v="0"/>
    <n v="0"/>
    <m/>
    <s v="ACTIFS MATERIEL IMMOBILISES  |  AMORTISSEMENTS  |  MATERIEL DE BUREAU"/>
    <m/>
    <x v="2"/>
    <x v="0"/>
    <m/>
    <x v="0"/>
    <n v="1"/>
    <m/>
    <m/>
  </r>
  <r>
    <x v="3"/>
    <x v="6"/>
    <x v="27"/>
    <x v="2"/>
    <x v="63"/>
    <x v="69"/>
    <x v="18"/>
    <m/>
    <n v="2026"/>
    <n v="0"/>
    <n v="0.25"/>
    <n v="0"/>
    <n v="0"/>
    <n v="0"/>
    <m/>
    <m/>
    <n v="0"/>
    <n v="0"/>
    <n v="0"/>
    <n v="0"/>
    <n v="0"/>
    <n v="0"/>
    <m/>
    <s v="ACTIFS MATERIEL IMMOBILISES  |  AMORTISSEMENTS  |  MATERIEL DE BUREAU"/>
    <m/>
    <x v="2"/>
    <x v="0"/>
    <m/>
    <x v="0"/>
    <n v="1"/>
    <m/>
    <m/>
  </r>
  <r>
    <x v="3"/>
    <x v="6"/>
    <x v="27"/>
    <x v="2"/>
    <x v="64"/>
    <x v="69"/>
    <x v="18"/>
    <m/>
    <n v="0"/>
    <n v="0"/>
    <n v="0"/>
    <n v="0"/>
    <n v="0"/>
    <n v="0"/>
    <m/>
    <m/>
    <n v="0"/>
    <n v="0"/>
    <n v="0"/>
    <n v="0"/>
    <n v="0"/>
    <n v="0"/>
    <m/>
    <s v="ACTIFS MATERIEL IMMOBILISES  |  AMORTISSEMENTS  |  MATERIEL DE BUREAU"/>
    <m/>
    <x v="2"/>
    <x v="0"/>
    <m/>
    <x v="0"/>
    <n v="1"/>
    <m/>
    <m/>
  </r>
  <r>
    <x v="3"/>
    <x v="6"/>
    <x v="27"/>
    <x v="2"/>
    <x v="65"/>
    <x v="69"/>
    <x v="18"/>
    <m/>
    <n v="0"/>
    <n v="0"/>
    <n v="0"/>
    <n v="0"/>
    <n v="0"/>
    <n v="0"/>
    <m/>
    <m/>
    <n v="0"/>
    <n v="0"/>
    <n v="0"/>
    <n v="0"/>
    <n v="0"/>
    <n v="0"/>
    <m/>
    <s v="ACTIFS MATERIEL IMMOBILISES  |  AMORTISSEMENTS  |  MATERIEL DE BUREAU"/>
    <m/>
    <x v="2"/>
    <x v="0"/>
    <m/>
    <x v="0"/>
    <n v="1"/>
    <m/>
    <m/>
  </r>
  <r>
    <x v="3"/>
    <x v="6"/>
    <x v="27"/>
    <x v="2"/>
    <x v="66"/>
    <x v="69"/>
    <x v="18"/>
    <m/>
    <n v="0"/>
    <n v="0"/>
    <n v="0"/>
    <n v="0"/>
    <n v="0"/>
    <n v="0"/>
    <m/>
    <m/>
    <n v="0"/>
    <n v="0"/>
    <n v="0"/>
    <n v="0"/>
    <n v="0"/>
    <n v="0"/>
    <m/>
    <s v="ACTIFS MATERIEL IMMOBILISES  |  AMORTISSEMENTS  |  MATERIEL DE BUREAU"/>
    <m/>
    <x v="2"/>
    <x v="0"/>
    <m/>
    <x v="0"/>
    <n v="1"/>
    <m/>
    <m/>
  </r>
  <r>
    <x v="3"/>
    <x v="6"/>
    <x v="27"/>
    <x v="2"/>
    <x v="67"/>
    <x v="69"/>
    <x v="18"/>
    <m/>
    <n v="0"/>
    <n v="0"/>
    <n v="0"/>
    <n v="0"/>
    <n v="0"/>
    <n v="0"/>
    <m/>
    <m/>
    <n v="0"/>
    <n v="0"/>
    <n v="0"/>
    <n v="0"/>
    <n v="0"/>
    <n v="0"/>
    <m/>
    <s v="ACTIFS MATERIEL IMMOBILISES  |  AMORTISSEMENTS  |  MATERIEL DE BUREAU"/>
    <m/>
    <x v="2"/>
    <x v="0"/>
    <m/>
    <x v="0"/>
    <n v="1"/>
    <m/>
    <m/>
  </r>
  <r>
    <x v="3"/>
    <x v="6"/>
    <x v="27"/>
    <x v="2"/>
    <x v="68"/>
    <x v="69"/>
    <x v="18"/>
    <m/>
    <n v="0"/>
    <n v="0"/>
    <n v="0"/>
    <n v="0"/>
    <n v="0"/>
    <n v="0"/>
    <m/>
    <m/>
    <n v="0"/>
    <n v="0"/>
    <n v="0"/>
    <n v="0"/>
    <n v="0"/>
    <n v="0"/>
    <m/>
    <s v="ACTIFS MATERIEL IMMOBILISES  |  AMORTISSEMENTS  |  MATERIEL DE BUREAU"/>
    <m/>
    <x v="2"/>
    <x v="0"/>
    <m/>
    <x v="0"/>
    <n v="1"/>
    <m/>
    <m/>
  </r>
  <r>
    <x v="3"/>
    <x v="6"/>
    <x v="27"/>
    <x v="2"/>
    <x v="69"/>
    <x v="69"/>
    <x v="18"/>
    <m/>
    <n v="0"/>
    <n v="0"/>
    <n v="0"/>
    <n v="0"/>
    <n v="0"/>
    <n v="0"/>
    <m/>
    <m/>
    <n v="0"/>
    <n v="0"/>
    <n v="0"/>
    <n v="0"/>
    <n v="0"/>
    <n v="0"/>
    <m/>
    <s v="ACTIFS MATERIEL IMMOBILISES  |  AMORTISSEMENTS  |  MATERIEL DE BUREAU"/>
    <m/>
    <x v="2"/>
    <x v="0"/>
    <m/>
    <x v="0"/>
    <n v="1"/>
    <m/>
    <m/>
  </r>
  <r>
    <x v="3"/>
    <x v="6"/>
    <x v="27"/>
    <x v="2"/>
    <x v="70"/>
    <x v="69"/>
    <x v="18"/>
    <m/>
    <n v="0"/>
    <n v="0"/>
    <n v="0"/>
    <n v="0"/>
    <n v="0"/>
    <n v="0"/>
    <m/>
    <m/>
    <n v="0"/>
    <n v="0"/>
    <n v="0"/>
    <n v="0"/>
    <n v="0"/>
    <n v="0"/>
    <m/>
    <s v="ACTIFS MATERIEL IMMOBILISES  |  AMORTISSEMENTS  |  MATERIEL DE BUREAU"/>
    <m/>
    <x v="2"/>
    <x v="0"/>
    <m/>
    <x v="0"/>
    <n v="1"/>
    <m/>
    <m/>
  </r>
  <r>
    <x v="3"/>
    <x v="6"/>
    <x v="27"/>
    <x v="2"/>
    <x v="71"/>
    <x v="69"/>
    <x v="18"/>
    <m/>
    <n v="0"/>
    <n v="0"/>
    <n v="0"/>
    <n v="0"/>
    <n v="0"/>
    <n v="0"/>
    <m/>
    <m/>
    <n v="0"/>
    <n v="0"/>
    <n v="0"/>
    <n v="0"/>
    <n v="0"/>
    <n v="0"/>
    <m/>
    <s v="ACTIFS MATERIEL IMMOBILISES  |  AMORTISSEMENTS  |  MATERIEL DE BUREAU"/>
    <m/>
    <x v="2"/>
    <x v="0"/>
    <m/>
    <x v="0"/>
    <n v="1"/>
    <m/>
    <m/>
  </r>
  <r>
    <x v="3"/>
    <x v="6"/>
    <x v="27"/>
    <x v="2"/>
    <x v="72"/>
    <x v="69"/>
    <x v="18"/>
    <m/>
    <n v="0"/>
    <n v="0"/>
    <n v="0"/>
    <n v="0"/>
    <n v="0"/>
    <n v="0"/>
    <m/>
    <m/>
    <n v="0"/>
    <n v="0"/>
    <n v="0"/>
    <n v="0"/>
    <n v="0"/>
    <n v="0"/>
    <m/>
    <s v="ACTIFS MATERIEL IMMOBILISES  |  AMORTISSEMENTS  |  MATERIEL DE BUREAU"/>
    <m/>
    <x v="2"/>
    <x v="0"/>
    <m/>
    <x v="0"/>
    <n v="1"/>
    <m/>
    <m/>
  </r>
  <r>
    <x v="3"/>
    <x v="6"/>
    <x v="27"/>
    <x v="2"/>
    <x v="73"/>
    <x v="69"/>
    <x v="18"/>
    <m/>
    <n v="0"/>
    <n v="0"/>
    <n v="0"/>
    <n v="0"/>
    <n v="0"/>
    <n v="0"/>
    <m/>
    <m/>
    <n v="0"/>
    <n v="0"/>
    <n v="0"/>
    <n v="0"/>
    <n v="0"/>
    <n v="0"/>
    <m/>
    <s v="ACTIFS MATERIEL IMMOBILISES  |  AMORTISSEMENTS  |  MATERIEL DE BUREAU"/>
    <m/>
    <x v="2"/>
    <x v="0"/>
    <m/>
    <x v="0"/>
    <n v="1"/>
    <m/>
    <m/>
  </r>
  <r>
    <x v="3"/>
    <x v="6"/>
    <x v="27"/>
    <x v="2"/>
    <x v="74"/>
    <x v="69"/>
    <x v="18"/>
    <m/>
    <n v="0"/>
    <n v="0"/>
    <n v="0"/>
    <n v="0"/>
    <n v="0"/>
    <n v="0"/>
    <m/>
    <m/>
    <n v="0"/>
    <n v="0"/>
    <n v="0"/>
    <n v="0"/>
    <n v="0"/>
    <n v="0"/>
    <m/>
    <s v="ACTIFS MATERIEL IMMOBILISES  |  AMORTISSEMENTS  |  MATERIEL DE BUREAU"/>
    <m/>
    <x v="2"/>
    <x v="0"/>
    <m/>
    <x v="0"/>
    <n v="1"/>
    <m/>
    <m/>
  </r>
  <r>
    <x v="3"/>
    <x v="6"/>
    <x v="27"/>
    <x v="2"/>
    <x v="75"/>
    <x v="69"/>
    <x v="18"/>
    <m/>
    <n v="0"/>
    <n v="0"/>
    <n v="0"/>
    <n v="0"/>
    <n v="0"/>
    <n v="0"/>
    <m/>
    <m/>
    <n v="0"/>
    <n v="0"/>
    <n v="0"/>
    <n v="0"/>
    <n v="0"/>
    <n v="0"/>
    <m/>
    <s v="ACTIFS MATERIEL IMMOBILISES  |  AMORTISSEMENTS  |  MATERIEL DE BUREAU"/>
    <m/>
    <x v="2"/>
    <x v="0"/>
    <m/>
    <x v="0"/>
    <n v="1"/>
    <m/>
    <m/>
  </r>
  <r>
    <x v="3"/>
    <x v="6"/>
    <x v="27"/>
    <x v="2"/>
    <x v="76"/>
    <x v="69"/>
    <x v="18"/>
    <m/>
    <n v="0"/>
    <n v="0"/>
    <n v="0"/>
    <n v="0"/>
    <n v="0"/>
    <n v="0"/>
    <m/>
    <m/>
    <n v="0"/>
    <n v="0"/>
    <n v="0"/>
    <n v="0"/>
    <n v="0"/>
    <n v="0"/>
    <m/>
    <s v="ACTIFS MATERIEL IMMOBILISES  |  AMORTISSEMENTS  |  MATERIEL DE BUREAU"/>
    <m/>
    <x v="2"/>
    <x v="0"/>
    <m/>
    <x v="0"/>
    <n v="1"/>
    <m/>
    <m/>
  </r>
  <r>
    <x v="3"/>
    <x v="6"/>
    <x v="27"/>
    <x v="2"/>
    <x v="77"/>
    <x v="69"/>
    <x v="18"/>
    <m/>
    <n v="0"/>
    <n v="0"/>
    <n v="0"/>
    <n v="0"/>
    <n v="0"/>
    <n v="0"/>
    <m/>
    <m/>
    <n v="0"/>
    <n v="0"/>
    <n v="0"/>
    <n v="0"/>
    <n v="0"/>
    <n v="0"/>
    <m/>
    <s v="ACTIFS MATERIEL IMMOBILISES  |  AMORTISSEMENTS  |  MATERIEL DE BUREAU"/>
    <m/>
    <x v="2"/>
    <x v="0"/>
    <m/>
    <x v="0"/>
    <n v="1"/>
    <m/>
    <m/>
  </r>
  <r>
    <x v="3"/>
    <x v="6"/>
    <x v="27"/>
    <x v="2"/>
    <x v="78"/>
    <x v="69"/>
    <x v="18"/>
    <m/>
    <n v="0"/>
    <n v="0"/>
    <n v="0"/>
    <n v="0"/>
    <n v="0"/>
    <n v="0"/>
    <m/>
    <m/>
    <n v="0"/>
    <n v="0"/>
    <n v="0"/>
    <n v="0"/>
    <n v="0"/>
    <n v="0"/>
    <m/>
    <s v="ACTIFS MATERIEL IMMOBILISES  |  AMORTISSEMENTS  |  MATERIEL DE BUREAU"/>
    <m/>
    <x v="2"/>
    <x v="0"/>
    <m/>
    <x v="0"/>
    <n v="1"/>
    <m/>
    <m/>
  </r>
  <r>
    <x v="3"/>
    <x v="6"/>
    <x v="27"/>
    <x v="2"/>
    <x v="79"/>
    <x v="69"/>
    <x v="18"/>
    <m/>
    <n v="0"/>
    <n v="0"/>
    <n v="0"/>
    <n v="0"/>
    <n v="0"/>
    <n v="0"/>
    <m/>
    <m/>
    <n v="0"/>
    <n v="0"/>
    <n v="0"/>
    <n v="0"/>
    <n v="0"/>
    <n v="0"/>
    <m/>
    <s v="ACTIFS MATERIEL IMMOBILISES  |  AMORTISSEMENTS  |  MATERIEL DE BUREAU"/>
    <m/>
    <x v="2"/>
    <x v="0"/>
    <m/>
    <x v="0"/>
    <n v="1"/>
    <m/>
    <m/>
  </r>
  <r>
    <x v="3"/>
    <x v="6"/>
    <x v="27"/>
    <x v="2"/>
    <x v="80"/>
    <x v="69"/>
    <x v="18"/>
    <m/>
    <n v="0"/>
    <n v="0"/>
    <n v="0"/>
    <n v="0"/>
    <n v="0"/>
    <n v="0"/>
    <m/>
    <m/>
    <n v="0"/>
    <n v="0"/>
    <n v="0"/>
    <n v="0"/>
    <n v="0"/>
    <n v="0"/>
    <m/>
    <s v="ACTIFS MATERIEL IMMOBILISES  |  AMORTISSEMENTS  |  MATERIEL DE BUREAU"/>
    <m/>
    <x v="2"/>
    <x v="0"/>
    <m/>
    <x v="0"/>
    <n v="1"/>
    <m/>
    <m/>
  </r>
  <r>
    <x v="3"/>
    <x v="6"/>
    <x v="27"/>
    <x v="2"/>
    <x v="81"/>
    <x v="69"/>
    <x v="18"/>
    <m/>
    <n v="0"/>
    <n v="0"/>
    <n v="0"/>
    <n v="0"/>
    <n v="0"/>
    <n v="0"/>
    <m/>
    <m/>
    <n v="0"/>
    <n v="0"/>
    <n v="0"/>
    <n v="0"/>
    <n v="0"/>
    <n v="0"/>
    <m/>
    <s v="ACTIFS MATERIEL IMMOBILISES  |  AMORTISSEMENTS  |  MATERIEL DE BUREAU"/>
    <m/>
    <x v="2"/>
    <x v="0"/>
    <m/>
    <x v="0"/>
    <n v="1"/>
    <m/>
    <m/>
  </r>
  <r>
    <x v="3"/>
    <x v="6"/>
    <x v="27"/>
    <x v="2"/>
    <x v="82"/>
    <x v="69"/>
    <x v="18"/>
    <m/>
    <n v="0"/>
    <n v="0"/>
    <n v="0"/>
    <n v="0"/>
    <n v="0"/>
    <n v="0"/>
    <m/>
    <m/>
    <n v="0"/>
    <n v="0"/>
    <n v="0"/>
    <n v="0"/>
    <n v="0"/>
    <n v="0"/>
    <m/>
    <s v="ACTIFS MATERIEL IMMOBILISES  |  AMORTISSEMENTS  |  MATERIEL DE BUREAU"/>
    <m/>
    <x v="2"/>
    <x v="0"/>
    <m/>
    <x v="0"/>
    <n v="1"/>
    <m/>
    <m/>
  </r>
  <r>
    <x v="3"/>
    <x v="6"/>
    <x v="27"/>
    <x v="2"/>
    <x v="83"/>
    <x v="69"/>
    <x v="18"/>
    <m/>
    <n v="0"/>
    <n v="0"/>
    <n v="0"/>
    <n v="0"/>
    <n v="0"/>
    <n v="0"/>
    <m/>
    <m/>
    <n v="0"/>
    <n v="0"/>
    <n v="0"/>
    <n v="0"/>
    <n v="0"/>
    <n v="0"/>
    <m/>
    <s v="ACTIFS MATERIEL IMMOBILISES  |  AMORTISSEMENTS  |  MATERIEL DE BUREAU"/>
    <m/>
    <x v="2"/>
    <x v="0"/>
    <m/>
    <x v="0"/>
    <n v="1"/>
    <m/>
    <m/>
  </r>
  <r>
    <x v="3"/>
    <x v="6"/>
    <x v="27"/>
    <x v="2"/>
    <x v="84"/>
    <x v="69"/>
    <x v="18"/>
    <m/>
    <n v="0"/>
    <n v="0"/>
    <n v="0"/>
    <n v="0"/>
    <n v="0"/>
    <n v="0"/>
    <m/>
    <m/>
    <n v="0"/>
    <n v="0"/>
    <n v="0"/>
    <n v="0"/>
    <n v="0"/>
    <n v="0"/>
    <m/>
    <s v="ACTIFS MATERIEL IMMOBILISES  |  AMORTISSEMENTS  |  MATERIEL DE BUREAU"/>
    <m/>
    <x v="2"/>
    <x v="0"/>
    <m/>
    <x v="0"/>
    <n v="1"/>
    <m/>
    <m/>
  </r>
  <r>
    <x v="3"/>
    <x v="6"/>
    <x v="27"/>
    <x v="2"/>
    <x v="85"/>
    <x v="69"/>
    <x v="18"/>
    <m/>
    <n v="0"/>
    <n v="0"/>
    <n v="0"/>
    <n v="0"/>
    <n v="0"/>
    <n v="0"/>
    <m/>
    <m/>
    <n v="0"/>
    <n v="0"/>
    <n v="0"/>
    <n v="0"/>
    <n v="0"/>
    <n v="0"/>
    <m/>
    <s v="ACTIFS MATERIEL IMMOBILISES  |  AMORTISSEMENTS  |  MATERIEL DE BUREAU"/>
    <m/>
    <x v="2"/>
    <x v="0"/>
    <m/>
    <x v="0"/>
    <n v="1"/>
    <m/>
    <m/>
  </r>
  <r>
    <x v="3"/>
    <x v="6"/>
    <x v="27"/>
    <x v="2"/>
    <x v="86"/>
    <x v="69"/>
    <x v="18"/>
    <m/>
    <n v="0"/>
    <n v="0"/>
    <n v="0"/>
    <n v="0"/>
    <n v="0"/>
    <n v="0"/>
    <m/>
    <m/>
    <n v="0"/>
    <n v="0"/>
    <n v="0"/>
    <n v="0"/>
    <n v="0"/>
    <n v="0"/>
    <m/>
    <s v="ACTIFS MATERIEL IMMOBILISES  |  AMORTISSEMENTS  |  MATERIEL DE BUREAU"/>
    <m/>
    <x v="2"/>
    <x v="0"/>
    <m/>
    <x v="0"/>
    <n v="1"/>
    <m/>
    <m/>
  </r>
  <r>
    <x v="3"/>
    <x v="6"/>
    <x v="27"/>
    <x v="2"/>
    <x v="87"/>
    <x v="69"/>
    <x v="18"/>
    <m/>
    <n v="0"/>
    <n v="0"/>
    <n v="0"/>
    <n v="0"/>
    <n v="0"/>
    <n v="0"/>
    <m/>
    <m/>
    <n v="0"/>
    <n v="0"/>
    <n v="0"/>
    <n v="0"/>
    <n v="0"/>
    <n v="0"/>
    <m/>
    <s v="ACTIFS MATERIEL IMMOBILISES  |  AMORTISSEMENTS  |  MATERIEL DE BUREAU"/>
    <m/>
    <x v="2"/>
    <x v="0"/>
    <m/>
    <x v="0"/>
    <n v="1"/>
    <m/>
    <m/>
  </r>
  <r>
    <x v="3"/>
    <x v="6"/>
    <x v="27"/>
    <x v="2"/>
    <x v="88"/>
    <x v="69"/>
    <x v="18"/>
    <m/>
    <n v="0"/>
    <n v="0"/>
    <n v="0"/>
    <n v="0"/>
    <n v="0"/>
    <n v="0"/>
    <m/>
    <m/>
    <n v="0"/>
    <n v="0"/>
    <n v="0"/>
    <n v="0"/>
    <n v="0"/>
    <n v="0"/>
    <m/>
    <s v="ACTIFS MATERIEL IMMOBILISES  |  AMORTISSEMENTS  |  MATERIEL DE BUREAU"/>
    <m/>
    <x v="2"/>
    <x v="0"/>
    <m/>
    <x v="0"/>
    <n v="1"/>
    <m/>
    <m/>
  </r>
  <r>
    <x v="3"/>
    <x v="6"/>
    <x v="27"/>
    <x v="2"/>
    <x v="89"/>
    <x v="69"/>
    <x v="18"/>
    <m/>
    <n v="0"/>
    <n v="0"/>
    <n v="0"/>
    <n v="0"/>
    <n v="0"/>
    <n v="0"/>
    <m/>
    <m/>
    <n v="0"/>
    <n v="0"/>
    <n v="0"/>
    <n v="0"/>
    <n v="0"/>
    <n v="0"/>
    <m/>
    <s v="ACTIFS MATERIEL IMMOBILISES  |  AMORTISSEMENTS  |  MATERIEL DE BUREAU"/>
    <m/>
    <x v="2"/>
    <x v="0"/>
    <m/>
    <x v="0"/>
    <n v="1"/>
    <m/>
    <m/>
  </r>
  <r>
    <x v="3"/>
    <x v="6"/>
    <x v="27"/>
    <x v="2"/>
    <x v="90"/>
    <x v="69"/>
    <x v="18"/>
    <m/>
    <n v="0"/>
    <n v="0"/>
    <n v="0"/>
    <n v="0"/>
    <n v="0"/>
    <n v="0"/>
    <m/>
    <m/>
    <n v="0"/>
    <n v="0"/>
    <n v="0"/>
    <n v="0"/>
    <n v="0"/>
    <n v="0"/>
    <m/>
    <s v="ACTIFS MATERIEL IMMOBILISES  |  AMORTISSEMENTS  |  MATERIEL DE BUREAU"/>
    <m/>
    <x v="2"/>
    <x v="0"/>
    <m/>
    <x v="0"/>
    <n v="1"/>
    <m/>
    <m/>
  </r>
  <r>
    <x v="3"/>
    <x v="6"/>
    <x v="27"/>
    <x v="2"/>
    <x v="91"/>
    <x v="69"/>
    <x v="18"/>
    <m/>
    <n v="0"/>
    <n v="0"/>
    <n v="0"/>
    <n v="0"/>
    <n v="0"/>
    <n v="0"/>
    <m/>
    <m/>
    <n v="0"/>
    <n v="0"/>
    <n v="0"/>
    <n v="0"/>
    <n v="0"/>
    <n v="0"/>
    <m/>
    <s v="ACTIFS MATERIEL IMMOBILISES  |  AMORTISSEMENTS  |  MATERIEL DE BUREAU"/>
    <m/>
    <x v="2"/>
    <x v="0"/>
    <m/>
    <x v="0"/>
    <n v="1"/>
    <m/>
    <m/>
  </r>
  <r>
    <x v="3"/>
    <x v="6"/>
    <x v="27"/>
    <x v="2"/>
    <x v="92"/>
    <x v="69"/>
    <x v="18"/>
    <m/>
    <n v="0"/>
    <n v="0"/>
    <n v="0"/>
    <n v="0"/>
    <n v="0"/>
    <n v="0"/>
    <m/>
    <m/>
    <n v="0"/>
    <n v="0"/>
    <n v="0"/>
    <n v="0"/>
    <n v="0"/>
    <n v="0"/>
    <m/>
    <s v="ACTIFS MATERIEL IMMOBILISES  |  AMORTISSEMENTS  |  MATERIEL DE BUREAU"/>
    <m/>
    <x v="2"/>
    <x v="0"/>
    <m/>
    <x v="0"/>
    <n v="1"/>
    <m/>
    <m/>
  </r>
  <r>
    <x v="3"/>
    <x v="6"/>
    <x v="27"/>
    <x v="2"/>
    <x v="93"/>
    <x v="69"/>
    <x v="18"/>
    <m/>
    <n v="0"/>
    <n v="0"/>
    <n v="0"/>
    <n v="0"/>
    <n v="0"/>
    <n v="0"/>
    <m/>
    <m/>
    <n v="0"/>
    <n v="0"/>
    <n v="0"/>
    <n v="0"/>
    <n v="0"/>
    <n v="0"/>
    <m/>
    <s v="ACTIFS MATERIEL IMMOBILISES  |  AMORTISSEMENTS  |  MATERIEL DE BUREAU"/>
    <m/>
    <x v="2"/>
    <x v="0"/>
    <m/>
    <x v="0"/>
    <n v="1"/>
    <m/>
    <m/>
  </r>
  <r>
    <x v="3"/>
    <x v="6"/>
    <x v="27"/>
    <x v="2"/>
    <x v="94"/>
    <x v="69"/>
    <x v="18"/>
    <m/>
    <n v="0"/>
    <n v="0"/>
    <n v="0"/>
    <n v="0"/>
    <n v="0"/>
    <n v="0"/>
    <m/>
    <m/>
    <n v="0"/>
    <n v="0"/>
    <n v="0"/>
    <n v="0"/>
    <n v="0"/>
    <n v="0"/>
    <m/>
    <s v="ACTIFS MATERIEL IMMOBILISES  |  AMORTISSEMENTS  |  MATERIEL DE BUREAU"/>
    <m/>
    <x v="2"/>
    <x v="0"/>
    <m/>
    <x v="0"/>
    <n v="1"/>
    <m/>
    <m/>
  </r>
  <r>
    <x v="3"/>
    <x v="6"/>
    <x v="27"/>
    <x v="2"/>
    <x v="95"/>
    <x v="69"/>
    <x v="18"/>
    <m/>
    <n v="0"/>
    <n v="0"/>
    <n v="0"/>
    <n v="0"/>
    <n v="0"/>
    <n v="0"/>
    <m/>
    <m/>
    <n v="0"/>
    <n v="0"/>
    <n v="0"/>
    <n v="0"/>
    <n v="0"/>
    <n v="0"/>
    <m/>
    <s v="ACTIFS MATERIEL IMMOBILISES  |  AMORTISSEMENTS  |  MATERIEL DE BUREAU"/>
    <m/>
    <x v="2"/>
    <x v="0"/>
    <m/>
    <x v="0"/>
    <n v="1"/>
    <m/>
    <m/>
  </r>
  <r>
    <x v="3"/>
    <x v="6"/>
    <x v="27"/>
    <x v="2"/>
    <x v="96"/>
    <x v="69"/>
    <x v="18"/>
    <m/>
    <n v="0"/>
    <n v="0"/>
    <n v="0"/>
    <n v="0"/>
    <n v="0"/>
    <n v="0"/>
    <m/>
    <m/>
    <n v="0"/>
    <n v="0"/>
    <n v="0"/>
    <n v="0"/>
    <n v="0"/>
    <n v="0"/>
    <m/>
    <s v="ACTIFS MATERIEL IMMOBILISES  |  AMORTISSEMENTS  |  MATERIEL DE BUREAU"/>
    <m/>
    <x v="2"/>
    <x v="0"/>
    <m/>
    <x v="0"/>
    <n v="1"/>
    <m/>
    <m/>
  </r>
  <r>
    <x v="3"/>
    <x v="6"/>
    <x v="27"/>
    <x v="2"/>
    <x v="97"/>
    <x v="70"/>
    <x v="2"/>
    <m/>
    <m/>
    <n v="0"/>
    <m/>
    <n v="0"/>
    <n v="0"/>
    <n v="0"/>
    <m/>
    <m/>
    <n v="0"/>
    <n v="0"/>
    <n v="0"/>
    <n v="0"/>
    <n v="0"/>
    <n v="0"/>
    <m/>
    <s v="ACTIFS MATERIEL IMMOBILISES  |  AMORTISSEMENTS  |  TOTAL MATERIEL DE BUREAU"/>
    <m/>
    <x v="1"/>
    <x v="2"/>
    <m/>
    <x v="0"/>
    <n v="1"/>
    <m/>
    <m/>
  </r>
  <r>
    <x v="3"/>
    <x v="2"/>
    <x v="0"/>
    <x v="0"/>
    <x v="0"/>
    <x v="0"/>
    <x v="2"/>
    <m/>
    <m/>
    <m/>
    <m/>
    <m/>
    <m/>
    <m/>
    <m/>
    <m/>
    <m/>
    <m/>
    <m/>
    <m/>
    <m/>
    <m/>
    <m/>
    <m/>
    <m/>
    <x v="0"/>
    <x v="0"/>
    <m/>
    <x v="0"/>
    <m/>
    <m/>
    <m/>
  </r>
  <r>
    <x v="3"/>
    <x v="6"/>
    <x v="27"/>
    <x v="2"/>
    <x v="98"/>
    <x v="71"/>
    <x v="18"/>
    <m/>
    <n v="2020"/>
    <n v="0"/>
    <n v="0.1"/>
    <n v="0"/>
    <n v="0"/>
    <n v="0"/>
    <m/>
    <m/>
    <n v="0"/>
    <n v="0"/>
    <n v="0"/>
    <n v="0"/>
    <n v="0"/>
    <n v="0"/>
    <m/>
    <s v="ACTIFS MATERIEL IMMOBILISES  |  AMORTISSEMENTS  |  MATERIEL DE PRODUCTION"/>
    <m/>
    <x v="2"/>
    <x v="0"/>
    <m/>
    <x v="0"/>
    <n v="1"/>
    <m/>
    <m/>
  </r>
  <r>
    <x v="3"/>
    <x v="6"/>
    <x v="27"/>
    <x v="2"/>
    <x v="99"/>
    <x v="71"/>
    <x v="18"/>
    <m/>
    <n v="2021"/>
    <n v="0"/>
    <n v="0.1"/>
    <n v="0"/>
    <n v="0"/>
    <n v="0"/>
    <m/>
    <m/>
    <n v="0"/>
    <n v="0"/>
    <n v="0"/>
    <n v="0"/>
    <n v="0"/>
    <n v="0"/>
    <m/>
    <s v="ACTIFS MATERIEL IMMOBILISES  |  AMORTISSEMENTS  |  MATERIEL DE PRODUCTION"/>
    <m/>
    <x v="2"/>
    <x v="0"/>
    <m/>
    <x v="0"/>
    <n v="1"/>
    <m/>
    <m/>
  </r>
  <r>
    <x v="3"/>
    <x v="6"/>
    <x v="27"/>
    <x v="2"/>
    <x v="100"/>
    <x v="71"/>
    <x v="18"/>
    <m/>
    <n v="2022"/>
    <n v="0"/>
    <n v="0.1"/>
    <n v="0"/>
    <n v="0"/>
    <n v="0"/>
    <m/>
    <m/>
    <n v="0"/>
    <n v="0"/>
    <n v="0"/>
    <n v="0"/>
    <n v="0"/>
    <n v="0"/>
    <m/>
    <s v="ACTIFS MATERIEL IMMOBILISES  |  AMORTISSEMENTS  |  MATERIEL DE PRODUCTION"/>
    <m/>
    <x v="2"/>
    <x v="0"/>
    <m/>
    <x v="0"/>
    <n v="1"/>
    <m/>
    <m/>
  </r>
  <r>
    <x v="3"/>
    <x v="6"/>
    <x v="27"/>
    <x v="2"/>
    <x v="101"/>
    <x v="71"/>
    <x v="18"/>
    <m/>
    <n v="2023"/>
    <n v="0"/>
    <n v="0.1"/>
    <n v="0"/>
    <n v="0"/>
    <n v="0"/>
    <m/>
    <m/>
    <n v="0"/>
    <n v="0"/>
    <n v="0"/>
    <n v="0"/>
    <n v="0"/>
    <n v="0"/>
    <m/>
    <s v="ACTIFS MATERIEL IMMOBILISES  |  AMORTISSEMENTS  |  MATERIEL DE PRODUCTION"/>
    <m/>
    <x v="2"/>
    <x v="0"/>
    <m/>
    <x v="0"/>
    <n v="1"/>
    <m/>
    <m/>
  </r>
  <r>
    <x v="3"/>
    <x v="6"/>
    <x v="27"/>
    <x v="2"/>
    <x v="102"/>
    <x v="71"/>
    <x v="18"/>
    <m/>
    <n v="2024"/>
    <n v="0"/>
    <n v="0.1"/>
    <n v="0"/>
    <n v="0"/>
    <n v="0"/>
    <m/>
    <m/>
    <n v="0"/>
    <n v="0"/>
    <n v="0"/>
    <n v="0"/>
    <n v="0"/>
    <n v="0"/>
    <m/>
    <s v="ACTIFS MATERIEL IMMOBILISES  |  AMORTISSEMENTS  |  MATERIEL DE PRODUCTION"/>
    <m/>
    <x v="2"/>
    <x v="0"/>
    <m/>
    <x v="0"/>
    <n v="1"/>
    <m/>
    <m/>
  </r>
  <r>
    <x v="3"/>
    <x v="6"/>
    <x v="27"/>
    <x v="2"/>
    <x v="103"/>
    <x v="71"/>
    <x v="18"/>
    <m/>
    <n v="2025"/>
    <n v="0"/>
    <n v="0.1"/>
    <n v="0"/>
    <n v="0"/>
    <n v="0"/>
    <m/>
    <m/>
    <n v="0"/>
    <n v="0"/>
    <n v="0"/>
    <n v="0"/>
    <n v="0"/>
    <n v="0"/>
    <m/>
    <s v="ACTIFS MATERIEL IMMOBILISES  |  AMORTISSEMENTS  |  MATERIEL DE PRODUCTION"/>
    <m/>
    <x v="2"/>
    <x v="0"/>
    <m/>
    <x v="0"/>
    <n v="1"/>
    <m/>
    <m/>
  </r>
  <r>
    <x v="3"/>
    <x v="6"/>
    <x v="27"/>
    <x v="2"/>
    <x v="104"/>
    <x v="71"/>
    <x v="18"/>
    <m/>
    <n v="2026"/>
    <n v="0"/>
    <n v="0.1"/>
    <n v="0"/>
    <n v="0"/>
    <n v="0"/>
    <m/>
    <m/>
    <n v="0"/>
    <n v="0"/>
    <n v="0"/>
    <n v="0"/>
    <n v="0"/>
    <n v="0"/>
    <m/>
    <s v="ACTIFS MATERIEL IMMOBILISES  |  AMORTISSEMENTS  |  MATERIEL DE PRODUCTION"/>
    <m/>
    <x v="2"/>
    <x v="0"/>
    <m/>
    <x v="0"/>
    <n v="1"/>
    <m/>
    <m/>
  </r>
  <r>
    <x v="3"/>
    <x v="6"/>
    <x v="27"/>
    <x v="2"/>
    <x v="105"/>
    <x v="71"/>
    <x v="18"/>
    <m/>
    <n v="0"/>
    <n v="0"/>
    <n v="0"/>
    <n v="0"/>
    <n v="0"/>
    <n v="0"/>
    <m/>
    <m/>
    <n v="0"/>
    <n v="0"/>
    <n v="0"/>
    <n v="0"/>
    <n v="0"/>
    <n v="0"/>
    <m/>
    <s v="ACTIFS MATERIEL IMMOBILISES  |  AMORTISSEMENTS  |  MATERIEL DE PRODUCTION"/>
    <m/>
    <x v="2"/>
    <x v="0"/>
    <m/>
    <x v="0"/>
    <n v="1"/>
    <m/>
    <m/>
  </r>
  <r>
    <x v="3"/>
    <x v="6"/>
    <x v="27"/>
    <x v="2"/>
    <x v="106"/>
    <x v="71"/>
    <x v="18"/>
    <m/>
    <n v="0"/>
    <n v="0"/>
    <n v="0"/>
    <n v="0"/>
    <n v="0"/>
    <n v="0"/>
    <m/>
    <m/>
    <n v="0"/>
    <n v="0"/>
    <n v="0"/>
    <n v="0"/>
    <n v="0"/>
    <n v="0"/>
    <m/>
    <s v="ACTIFS MATERIEL IMMOBILISES  |  AMORTISSEMENTS  |  MATERIEL DE PRODUCTION"/>
    <m/>
    <x v="2"/>
    <x v="0"/>
    <m/>
    <x v="0"/>
    <n v="1"/>
    <m/>
    <m/>
  </r>
  <r>
    <x v="3"/>
    <x v="6"/>
    <x v="27"/>
    <x v="2"/>
    <x v="107"/>
    <x v="71"/>
    <x v="18"/>
    <m/>
    <n v="0"/>
    <n v="0"/>
    <n v="0"/>
    <n v="0"/>
    <n v="0"/>
    <n v="0"/>
    <m/>
    <m/>
    <n v="0"/>
    <n v="0"/>
    <n v="0"/>
    <n v="0"/>
    <n v="0"/>
    <n v="0"/>
    <m/>
    <s v="ACTIFS MATERIEL IMMOBILISES  |  AMORTISSEMENTS  |  MATERIEL DE PRODUCTION"/>
    <m/>
    <x v="2"/>
    <x v="0"/>
    <m/>
    <x v="0"/>
    <n v="1"/>
    <m/>
    <m/>
  </r>
  <r>
    <x v="3"/>
    <x v="6"/>
    <x v="27"/>
    <x v="2"/>
    <x v="108"/>
    <x v="72"/>
    <x v="2"/>
    <m/>
    <m/>
    <n v="0"/>
    <m/>
    <n v="0"/>
    <n v="0"/>
    <n v="0"/>
    <m/>
    <m/>
    <n v="0"/>
    <n v="0"/>
    <n v="0"/>
    <n v="0"/>
    <n v="0"/>
    <n v="0"/>
    <m/>
    <s v="ACTIFS MATERIEL IMMOBILISES  |  AMORTISSEMENTS  |  TOTAL MATERIEL DE PRODUCTION"/>
    <m/>
    <x v="1"/>
    <x v="2"/>
    <m/>
    <x v="0"/>
    <n v="1"/>
    <m/>
    <m/>
  </r>
  <r>
    <x v="3"/>
    <x v="2"/>
    <x v="0"/>
    <x v="0"/>
    <x v="0"/>
    <x v="0"/>
    <x v="2"/>
    <m/>
    <m/>
    <m/>
    <m/>
    <m/>
    <m/>
    <m/>
    <m/>
    <m/>
    <m/>
    <m/>
    <m/>
    <m/>
    <m/>
    <m/>
    <m/>
    <m/>
    <m/>
    <x v="0"/>
    <x v="0"/>
    <m/>
    <x v="0"/>
    <m/>
    <m/>
    <m/>
  </r>
  <r>
    <x v="3"/>
    <x v="6"/>
    <x v="27"/>
    <x v="2"/>
    <x v="109"/>
    <x v="73"/>
    <x v="18"/>
    <m/>
    <n v="2020"/>
    <n v="0"/>
    <n v="0.1"/>
    <n v="0"/>
    <n v="0"/>
    <n v="0"/>
    <m/>
    <m/>
    <n v="0"/>
    <n v="0"/>
    <n v="0"/>
    <n v="0"/>
    <n v="0"/>
    <n v="0"/>
    <m/>
    <s v="ACTIFS MATERIEL IMMOBILISES  |  AMORTISSEMENTS  |  AUTRES ACTIFS"/>
    <m/>
    <x v="2"/>
    <x v="0"/>
    <m/>
    <x v="0"/>
    <n v="1"/>
    <m/>
    <m/>
  </r>
  <r>
    <x v="3"/>
    <x v="6"/>
    <x v="27"/>
    <x v="2"/>
    <x v="110"/>
    <x v="73"/>
    <x v="18"/>
    <m/>
    <n v="2021"/>
    <n v="0"/>
    <n v="0.1"/>
    <n v="0"/>
    <n v="0"/>
    <n v="0"/>
    <m/>
    <m/>
    <n v="0"/>
    <n v="0"/>
    <n v="0"/>
    <n v="0"/>
    <n v="0"/>
    <n v="0"/>
    <m/>
    <s v="ACTIFS MATERIEL IMMOBILISES  |  AMORTISSEMENTS  |  AUTRES ACTIFS"/>
    <m/>
    <x v="2"/>
    <x v="0"/>
    <m/>
    <x v="0"/>
    <n v="1"/>
    <m/>
    <m/>
  </r>
  <r>
    <x v="3"/>
    <x v="6"/>
    <x v="27"/>
    <x v="2"/>
    <x v="111"/>
    <x v="73"/>
    <x v="18"/>
    <m/>
    <n v="2022"/>
    <n v="0"/>
    <n v="0.1"/>
    <n v="0"/>
    <n v="0"/>
    <n v="0"/>
    <m/>
    <m/>
    <n v="0"/>
    <n v="0"/>
    <n v="0"/>
    <n v="0"/>
    <n v="0"/>
    <n v="0"/>
    <m/>
    <s v="ACTIFS MATERIEL IMMOBILISES  |  AMORTISSEMENTS  |  AUTRES ACTIFS"/>
    <m/>
    <x v="2"/>
    <x v="0"/>
    <m/>
    <x v="0"/>
    <n v="1"/>
    <m/>
    <m/>
  </r>
  <r>
    <x v="3"/>
    <x v="6"/>
    <x v="27"/>
    <x v="2"/>
    <x v="112"/>
    <x v="73"/>
    <x v="18"/>
    <m/>
    <n v="2023"/>
    <n v="0"/>
    <n v="0.1"/>
    <n v="0"/>
    <n v="0"/>
    <n v="0"/>
    <m/>
    <m/>
    <n v="0"/>
    <n v="0"/>
    <n v="0"/>
    <n v="0"/>
    <n v="0"/>
    <n v="0"/>
    <m/>
    <s v="ACTIFS MATERIEL IMMOBILISES  |  AMORTISSEMENTS  |  AUTRES ACTIFS"/>
    <m/>
    <x v="2"/>
    <x v="0"/>
    <m/>
    <x v="0"/>
    <n v="1"/>
    <m/>
    <m/>
  </r>
  <r>
    <x v="3"/>
    <x v="6"/>
    <x v="27"/>
    <x v="2"/>
    <x v="113"/>
    <x v="73"/>
    <x v="18"/>
    <m/>
    <n v="2024"/>
    <n v="0"/>
    <n v="0.1"/>
    <n v="0"/>
    <n v="0"/>
    <n v="0"/>
    <m/>
    <m/>
    <n v="0"/>
    <n v="0"/>
    <n v="0"/>
    <n v="0"/>
    <n v="0"/>
    <n v="0"/>
    <m/>
    <s v="ACTIFS MATERIEL IMMOBILISES  |  AMORTISSEMENTS  |  AUTRES ACTIFS"/>
    <m/>
    <x v="2"/>
    <x v="0"/>
    <m/>
    <x v="0"/>
    <n v="1"/>
    <m/>
    <m/>
  </r>
  <r>
    <x v="3"/>
    <x v="6"/>
    <x v="27"/>
    <x v="2"/>
    <x v="114"/>
    <x v="73"/>
    <x v="18"/>
    <m/>
    <n v="2025"/>
    <n v="0"/>
    <n v="0.1"/>
    <n v="0"/>
    <n v="0"/>
    <n v="0"/>
    <m/>
    <m/>
    <n v="0"/>
    <n v="0"/>
    <n v="0"/>
    <n v="0"/>
    <n v="0"/>
    <n v="0"/>
    <m/>
    <s v="ACTIFS MATERIEL IMMOBILISES  |  AMORTISSEMENTS  |  AUTRES ACTIFS"/>
    <m/>
    <x v="2"/>
    <x v="0"/>
    <m/>
    <x v="0"/>
    <n v="1"/>
    <m/>
    <m/>
  </r>
  <r>
    <x v="3"/>
    <x v="6"/>
    <x v="27"/>
    <x v="2"/>
    <x v="115"/>
    <x v="73"/>
    <x v="18"/>
    <m/>
    <n v="2026"/>
    <n v="0"/>
    <n v="0.1"/>
    <n v="0"/>
    <n v="0"/>
    <n v="0"/>
    <m/>
    <m/>
    <n v="0"/>
    <n v="0"/>
    <n v="0"/>
    <n v="0"/>
    <n v="0"/>
    <n v="0"/>
    <m/>
    <s v="ACTIFS MATERIEL IMMOBILISES  |  AMORTISSEMENTS  |  AUTRES ACTIFS"/>
    <m/>
    <x v="2"/>
    <x v="0"/>
    <m/>
    <x v="0"/>
    <n v="1"/>
    <m/>
    <m/>
  </r>
  <r>
    <x v="3"/>
    <x v="6"/>
    <x v="27"/>
    <x v="2"/>
    <x v="116"/>
    <x v="73"/>
    <x v="18"/>
    <m/>
    <n v="0"/>
    <n v="0"/>
    <n v="0"/>
    <n v="0"/>
    <n v="0"/>
    <n v="0"/>
    <m/>
    <m/>
    <n v="0"/>
    <n v="0"/>
    <n v="0"/>
    <n v="0"/>
    <n v="0"/>
    <n v="0"/>
    <m/>
    <s v="ACTIFS MATERIEL IMMOBILISES  |  AMORTISSEMENTS  |  AUTRES ACTIFS"/>
    <m/>
    <x v="2"/>
    <x v="0"/>
    <m/>
    <x v="0"/>
    <n v="1"/>
    <m/>
    <m/>
  </r>
  <r>
    <x v="3"/>
    <x v="6"/>
    <x v="27"/>
    <x v="2"/>
    <x v="117"/>
    <x v="73"/>
    <x v="18"/>
    <m/>
    <n v="0"/>
    <n v="0"/>
    <n v="0"/>
    <n v="0"/>
    <n v="0"/>
    <n v="0"/>
    <m/>
    <m/>
    <n v="0"/>
    <n v="0"/>
    <n v="0"/>
    <n v="0"/>
    <n v="0"/>
    <n v="0"/>
    <m/>
    <s v="ACTIFS MATERIEL IMMOBILISES  |  AMORTISSEMENTS  |  AUTRES ACTIFS"/>
    <m/>
    <x v="2"/>
    <x v="0"/>
    <m/>
    <x v="0"/>
    <n v="1"/>
    <m/>
    <m/>
  </r>
  <r>
    <x v="3"/>
    <x v="6"/>
    <x v="27"/>
    <x v="2"/>
    <x v="118"/>
    <x v="73"/>
    <x v="18"/>
    <m/>
    <n v="0"/>
    <n v="0"/>
    <n v="0"/>
    <n v="0"/>
    <n v="0"/>
    <n v="0"/>
    <m/>
    <m/>
    <n v="0"/>
    <n v="0"/>
    <n v="0"/>
    <n v="0"/>
    <n v="0"/>
    <n v="0"/>
    <m/>
    <s v="ACTIFS MATERIEL IMMOBILISES  |  AMORTISSEMENTS  |  AUTRES ACTIFS"/>
    <m/>
    <x v="2"/>
    <x v="0"/>
    <m/>
    <x v="0"/>
    <n v="1"/>
    <m/>
    <m/>
  </r>
  <r>
    <x v="3"/>
    <x v="6"/>
    <x v="27"/>
    <x v="2"/>
    <x v="119"/>
    <x v="73"/>
    <x v="18"/>
    <m/>
    <n v="0"/>
    <n v="0"/>
    <n v="0"/>
    <n v="0"/>
    <n v="0"/>
    <n v="0"/>
    <m/>
    <m/>
    <n v="0"/>
    <n v="0"/>
    <n v="0"/>
    <n v="0"/>
    <n v="0"/>
    <n v="0"/>
    <m/>
    <s v="ACTIFS MATERIEL IMMOBILISES  |  AMORTISSEMENTS  |  AUTRES ACTIFS"/>
    <m/>
    <x v="2"/>
    <x v="0"/>
    <m/>
    <x v="0"/>
    <n v="1"/>
    <m/>
    <m/>
  </r>
  <r>
    <x v="3"/>
    <x v="6"/>
    <x v="27"/>
    <x v="2"/>
    <x v="120"/>
    <x v="73"/>
    <x v="18"/>
    <m/>
    <n v="0"/>
    <n v="0"/>
    <n v="0"/>
    <n v="0"/>
    <n v="0"/>
    <n v="0"/>
    <m/>
    <m/>
    <n v="0"/>
    <n v="0"/>
    <n v="0"/>
    <n v="0"/>
    <n v="0"/>
    <n v="0"/>
    <m/>
    <s v="ACTIFS MATERIEL IMMOBILISES  |  AMORTISSEMENTS  |  AUTRES ACTIFS"/>
    <m/>
    <x v="2"/>
    <x v="0"/>
    <m/>
    <x v="0"/>
    <n v="1"/>
    <m/>
    <m/>
  </r>
  <r>
    <x v="3"/>
    <x v="6"/>
    <x v="27"/>
    <x v="2"/>
    <x v="121"/>
    <x v="73"/>
    <x v="18"/>
    <m/>
    <n v="0"/>
    <n v="0"/>
    <n v="0"/>
    <n v="0"/>
    <n v="0"/>
    <n v="0"/>
    <m/>
    <m/>
    <n v="0"/>
    <n v="0"/>
    <n v="0"/>
    <n v="0"/>
    <n v="0"/>
    <n v="0"/>
    <m/>
    <s v="ACTIFS MATERIEL IMMOBILISES  |  AMORTISSEMENTS  |  AUTRES ACTIFS"/>
    <m/>
    <x v="2"/>
    <x v="0"/>
    <m/>
    <x v="0"/>
    <n v="1"/>
    <m/>
    <m/>
  </r>
  <r>
    <x v="3"/>
    <x v="6"/>
    <x v="27"/>
    <x v="2"/>
    <x v="122"/>
    <x v="73"/>
    <x v="18"/>
    <m/>
    <n v="0"/>
    <n v="0"/>
    <n v="0"/>
    <n v="0"/>
    <n v="0"/>
    <n v="0"/>
    <m/>
    <m/>
    <n v="0"/>
    <n v="0"/>
    <n v="0"/>
    <n v="0"/>
    <n v="0"/>
    <n v="0"/>
    <m/>
    <s v="ACTIFS MATERIEL IMMOBILISES  |  AMORTISSEMENTS  |  AUTRES ACTIFS"/>
    <m/>
    <x v="2"/>
    <x v="0"/>
    <m/>
    <x v="0"/>
    <n v="1"/>
    <m/>
    <m/>
  </r>
  <r>
    <x v="3"/>
    <x v="6"/>
    <x v="27"/>
    <x v="2"/>
    <x v="123"/>
    <x v="73"/>
    <x v="18"/>
    <m/>
    <n v="0"/>
    <n v="0"/>
    <n v="0"/>
    <n v="0"/>
    <n v="0"/>
    <n v="0"/>
    <m/>
    <m/>
    <n v="0"/>
    <n v="0"/>
    <n v="0"/>
    <n v="0"/>
    <n v="0"/>
    <n v="0"/>
    <m/>
    <s v="ACTIFS MATERIEL IMMOBILISES  |  AMORTISSEMENTS  |  AUTRES ACTIFS"/>
    <m/>
    <x v="2"/>
    <x v="0"/>
    <m/>
    <x v="0"/>
    <n v="1"/>
    <m/>
    <m/>
  </r>
  <r>
    <x v="3"/>
    <x v="6"/>
    <x v="27"/>
    <x v="2"/>
    <x v="124"/>
    <x v="73"/>
    <x v="18"/>
    <m/>
    <n v="0"/>
    <n v="0"/>
    <n v="0"/>
    <n v="0"/>
    <n v="0"/>
    <n v="0"/>
    <m/>
    <m/>
    <n v="0"/>
    <n v="0"/>
    <n v="0"/>
    <n v="0"/>
    <n v="0"/>
    <n v="0"/>
    <m/>
    <s v="ACTIFS MATERIEL IMMOBILISES  |  AMORTISSEMENTS  |  AUTRES ACTIFS"/>
    <m/>
    <x v="2"/>
    <x v="0"/>
    <m/>
    <x v="0"/>
    <n v="1"/>
    <m/>
    <m/>
  </r>
  <r>
    <x v="3"/>
    <x v="6"/>
    <x v="27"/>
    <x v="2"/>
    <x v="125"/>
    <x v="73"/>
    <x v="18"/>
    <m/>
    <n v="0"/>
    <n v="0"/>
    <n v="0"/>
    <n v="0"/>
    <n v="0"/>
    <n v="0"/>
    <m/>
    <m/>
    <n v="0"/>
    <n v="0"/>
    <n v="0"/>
    <n v="0"/>
    <n v="0"/>
    <n v="0"/>
    <m/>
    <s v="ACTIFS MATERIEL IMMOBILISES  |  AMORTISSEMENTS  |  AUTRES ACTIFS"/>
    <m/>
    <x v="2"/>
    <x v="0"/>
    <m/>
    <x v="0"/>
    <n v="1"/>
    <m/>
    <m/>
  </r>
  <r>
    <x v="3"/>
    <x v="6"/>
    <x v="27"/>
    <x v="2"/>
    <x v="126"/>
    <x v="73"/>
    <x v="18"/>
    <m/>
    <n v="0"/>
    <n v="0"/>
    <n v="0"/>
    <n v="0"/>
    <n v="0"/>
    <n v="0"/>
    <m/>
    <m/>
    <n v="0"/>
    <n v="0"/>
    <n v="0"/>
    <n v="0"/>
    <n v="0"/>
    <n v="0"/>
    <m/>
    <s v="ACTIFS MATERIEL IMMOBILISES  |  AMORTISSEMENTS  |  AUTRES ACTIFS"/>
    <m/>
    <x v="2"/>
    <x v="0"/>
    <m/>
    <x v="0"/>
    <n v="1"/>
    <m/>
    <m/>
  </r>
  <r>
    <x v="3"/>
    <x v="6"/>
    <x v="27"/>
    <x v="2"/>
    <x v="127"/>
    <x v="73"/>
    <x v="18"/>
    <m/>
    <n v="0"/>
    <n v="0"/>
    <n v="0"/>
    <n v="0"/>
    <n v="0"/>
    <n v="0"/>
    <m/>
    <m/>
    <n v="0"/>
    <n v="0"/>
    <n v="0"/>
    <n v="0"/>
    <n v="0"/>
    <n v="0"/>
    <m/>
    <s v="ACTIFS MATERIEL IMMOBILISES  |  AMORTISSEMENTS  |  AUTRES ACTIFS"/>
    <m/>
    <x v="2"/>
    <x v="0"/>
    <m/>
    <x v="0"/>
    <n v="1"/>
    <m/>
    <m/>
  </r>
  <r>
    <x v="3"/>
    <x v="6"/>
    <x v="27"/>
    <x v="2"/>
    <x v="128"/>
    <x v="73"/>
    <x v="18"/>
    <m/>
    <n v="0"/>
    <n v="0"/>
    <n v="0"/>
    <n v="0"/>
    <n v="0"/>
    <n v="0"/>
    <m/>
    <m/>
    <n v="0"/>
    <n v="0"/>
    <n v="0"/>
    <n v="0"/>
    <n v="0"/>
    <n v="0"/>
    <m/>
    <s v="ACTIFS MATERIEL IMMOBILISES  |  AMORTISSEMENTS  |  AUTRES ACTIFS"/>
    <m/>
    <x v="2"/>
    <x v="0"/>
    <m/>
    <x v="0"/>
    <n v="1"/>
    <m/>
    <m/>
  </r>
  <r>
    <x v="3"/>
    <x v="6"/>
    <x v="27"/>
    <x v="2"/>
    <x v="129"/>
    <x v="74"/>
    <x v="2"/>
    <m/>
    <m/>
    <n v="0"/>
    <m/>
    <n v="0"/>
    <n v="0"/>
    <n v="0"/>
    <m/>
    <m/>
    <n v="0"/>
    <n v="0"/>
    <n v="0"/>
    <n v="0"/>
    <n v="0"/>
    <n v="0"/>
    <m/>
    <s v="ACTIFS MATERIEL IMMOBILISES  |  AMORTISSEMENTS  |  TOTAL AUTRES ACTIFS"/>
    <m/>
    <x v="1"/>
    <x v="2"/>
    <m/>
    <x v="0"/>
    <n v="1"/>
    <m/>
    <m/>
  </r>
  <r>
    <x v="3"/>
    <x v="2"/>
    <x v="0"/>
    <x v="0"/>
    <x v="0"/>
    <x v="0"/>
    <x v="2"/>
    <m/>
    <m/>
    <m/>
    <m/>
    <m/>
    <m/>
    <m/>
    <m/>
    <m/>
    <m/>
    <m/>
    <m/>
    <m/>
    <m/>
    <m/>
    <m/>
    <m/>
    <m/>
    <x v="0"/>
    <x v="0"/>
    <m/>
    <x v="0"/>
    <m/>
    <m/>
    <m/>
  </r>
  <r>
    <x v="3"/>
    <x v="6"/>
    <x v="27"/>
    <x v="2"/>
    <x v="130"/>
    <x v="75"/>
    <x v="2"/>
    <m/>
    <m/>
    <n v="0"/>
    <m/>
    <n v="0"/>
    <n v="0"/>
    <n v="0"/>
    <m/>
    <m/>
    <n v="0"/>
    <n v="0"/>
    <n v="0"/>
    <n v="0"/>
    <n v="0"/>
    <n v="0"/>
    <m/>
    <s v="ACTIFS MATERIEL IMMOBILISES  |  AMORTISSEMENTS  |  TOTAL ACTIFS IMMOBILISES"/>
    <m/>
    <x v="1"/>
    <x v="2"/>
    <m/>
    <x v="0"/>
    <n v="1"/>
    <m/>
    <m/>
  </r>
  <r>
    <x v="3"/>
    <x v="2"/>
    <x v="0"/>
    <x v="0"/>
    <x v="0"/>
    <x v="0"/>
    <x v="2"/>
    <m/>
    <m/>
    <m/>
    <m/>
    <m/>
    <m/>
    <m/>
    <m/>
    <m/>
    <m/>
    <m/>
    <m/>
    <m/>
    <m/>
    <m/>
    <m/>
    <m/>
    <m/>
    <x v="0"/>
    <x v="0"/>
    <m/>
    <x v="0"/>
    <m/>
    <m/>
    <m/>
  </r>
  <r>
    <x v="3"/>
    <x v="7"/>
    <x v="27"/>
    <x v="2"/>
    <x v="131"/>
    <x v="76"/>
    <x v="18"/>
    <m/>
    <n v="0"/>
    <n v="0"/>
    <n v="0.2"/>
    <n v="0"/>
    <n v="0"/>
    <n v="0"/>
    <m/>
    <m/>
    <n v="0"/>
    <n v="0"/>
    <n v="0"/>
    <n v="0"/>
    <n v="0"/>
    <n v="0"/>
    <m/>
    <s v="ACTIFS IMMATERIELS  |  AMORTISSEMENTS  |  ACTIFS IMMATERIELS"/>
    <m/>
    <x v="2"/>
    <x v="0"/>
    <m/>
    <x v="0"/>
    <n v="1"/>
    <m/>
    <m/>
  </r>
  <r>
    <x v="3"/>
    <x v="7"/>
    <x v="27"/>
    <x v="2"/>
    <x v="132"/>
    <x v="76"/>
    <x v="18"/>
    <m/>
    <n v="0"/>
    <n v="0"/>
    <n v="0.2"/>
    <n v="0"/>
    <n v="0"/>
    <n v="0"/>
    <m/>
    <m/>
    <n v="0"/>
    <n v="0"/>
    <n v="0"/>
    <n v="0"/>
    <n v="0"/>
    <n v="0"/>
    <m/>
    <s v="ACTIFS IMMATERIELS  |  AMORTISSEMENTS  |  ACTIFS IMMATERIELS"/>
    <m/>
    <x v="2"/>
    <x v="0"/>
    <m/>
    <x v="0"/>
    <n v="1"/>
    <m/>
    <m/>
  </r>
  <r>
    <x v="3"/>
    <x v="7"/>
    <x v="27"/>
    <x v="2"/>
    <x v="133"/>
    <x v="76"/>
    <x v="18"/>
    <m/>
    <n v="0"/>
    <n v="0"/>
    <n v="0.2"/>
    <n v="0"/>
    <n v="0"/>
    <n v="0"/>
    <m/>
    <m/>
    <n v="0"/>
    <n v="0"/>
    <n v="0"/>
    <n v="0"/>
    <n v="0"/>
    <n v="0"/>
    <m/>
    <s v="ACTIFS IMMATERIELS  |  AMORTISSEMENTS  |  ACTIFS IMMATERIELS"/>
    <m/>
    <x v="2"/>
    <x v="0"/>
    <m/>
    <x v="0"/>
    <n v="1"/>
    <m/>
    <m/>
  </r>
  <r>
    <x v="3"/>
    <x v="7"/>
    <x v="27"/>
    <x v="2"/>
    <x v="134"/>
    <x v="76"/>
    <x v="18"/>
    <m/>
    <n v="0"/>
    <n v="0"/>
    <n v="0.2"/>
    <n v="0"/>
    <n v="0"/>
    <n v="0"/>
    <m/>
    <m/>
    <n v="0"/>
    <n v="0"/>
    <n v="0"/>
    <n v="0"/>
    <n v="0"/>
    <n v="0"/>
    <m/>
    <s v="ACTIFS IMMATERIELS  |  AMORTISSEMENTS  |  ACTIFS IMMATERIELS"/>
    <m/>
    <x v="2"/>
    <x v="0"/>
    <m/>
    <x v="0"/>
    <n v="1"/>
    <m/>
    <m/>
  </r>
  <r>
    <x v="3"/>
    <x v="7"/>
    <x v="27"/>
    <x v="2"/>
    <x v="135"/>
    <x v="76"/>
    <x v="18"/>
    <m/>
    <n v="0"/>
    <n v="0"/>
    <n v="0.2"/>
    <n v="0"/>
    <n v="0"/>
    <n v="0"/>
    <m/>
    <m/>
    <n v="0"/>
    <n v="0"/>
    <n v="0"/>
    <n v="0"/>
    <n v="0"/>
    <n v="0"/>
    <m/>
    <s v="ACTIFS IMMATERIELS  |  AMORTISSEMENTS  |  ACTIFS IMMATERIELS"/>
    <m/>
    <x v="2"/>
    <x v="0"/>
    <m/>
    <x v="0"/>
    <n v="1"/>
    <m/>
    <m/>
  </r>
  <r>
    <x v="3"/>
    <x v="7"/>
    <x v="27"/>
    <x v="2"/>
    <x v="136"/>
    <x v="77"/>
    <x v="2"/>
    <m/>
    <m/>
    <n v="0"/>
    <m/>
    <n v="0"/>
    <n v="0"/>
    <n v="0"/>
    <m/>
    <m/>
    <n v="0"/>
    <n v="0"/>
    <n v="0"/>
    <n v="0"/>
    <n v="0"/>
    <n v="0"/>
    <m/>
    <s v="ACTIFS IMMATERIELS  |  AMORTISSEMENTS  |  TOTAL ACTIFS IMMATERIELS"/>
    <m/>
    <x v="1"/>
    <x v="2"/>
    <m/>
    <x v="0"/>
    <n v="1"/>
    <m/>
    <m/>
  </r>
  <r>
    <x v="3"/>
    <x v="2"/>
    <x v="0"/>
    <x v="0"/>
    <x v="0"/>
    <x v="0"/>
    <x v="2"/>
    <m/>
    <m/>
    <m/>
    <m/>
    <m/>
    <m/>
    <m/>
    <m/>
    <m/>
    <m/>
    <m/>
    <m/>
    <m/>
    <m/>
    <m/>
    <m/>
    <m/>
    <m/>
    <x v="0"/>
    <x v="0"/>
    <m/>
    <x v="0"/>
    <m/>
    <m/>
    <m/>
  </r>
  <r>
    <x v="3"/>
    <x v="8"/>
    <x v="27"/>
    <x v="2"/>
    <x v="137"/>
    <x v="78"/>
    <x v="18"/>
    <m/>
    <n v="0"/>
    <n v="0"/>
    <n v="0.2"/>
    <n v="0"/>
    <n v="0"/>
    <n v="0"/>
    <m/>
    <m/>
    <n v="0"/>
    <n v="0"/>
    <n v="0"/>
    <n v="0"/>
    <n v="0"/>
    <n v="0"/>
    <m/>
    <s v="FRAIS DE DEMARRAGE  |  AMORTISSEMENTS  |  FRAIS DE DEMARRAGE"/>
    <m/>
    <x v="2"/>
    <x v="0"/>
    <m/>
    <x v="0"/>
    <n v="1"/>
    <m/>
    <m/>
  </r>
  <r>
    <x v="3"/>
    <x v="8"/>
    <x v="27"/>
    <x v="2"/>
    <x v="138"/>
    <x v="78"/>
    <x v="18"/>
    <m/>
    <n v="0"/>
    <n v="0"/>
    <n v="0.2"/>
    <n v="0"/>
    <n v="0"/>
    <n v="0"/>
    <m/>
    <m/>
    <n v="0"/>
    <n v="0"/>
    <n v="0"/>
    <n v="0"/>
    <n v="0"/>
    <n v="0"/>
    <m/>
    <s v="FRAIS DE DEMARRAGE  |  AMORTISSEMENTS  |  FRAIS DE DEMARRAGE"/>
    <m/>
    <x v="2"/>
    <x v="0"/>
    <m/>
    <x v="0"/>
    <n v="1"/>
    <m/>
    <m/>
  </r>
  <r>
    <x v="3"/>
    <x v="8"/>
    <x v="27"/>
    <x v="2"/>
    <x v="139"/>
    <x v="78"/>
    <x v="18"/>
    <m/>
    <n v="0"/>
    <n v="0"/>
    <n v="0.2"/>
    <n v="0"/>
    <n v="0"/>
    <n v="0"/>
    <m/>
    <m/>
    <n v="0"/>
    <n v="0"/>
    <n v="0"/>
    <n v="0"/>
    <n v="0"/>
    <n v="0"/>
    <m/>
    <s v="FRAIS DE DEMARRAGE  |  AMORTISSEMENTS  |  FRAIS DE DEMARRAGE"/>
    <m/>
    <x v="2"/>
    <x v="0"/>
    <m/>
    <x v="0"/>
    <n v="1"/>
    <m/>
    <m/>
  </r>
  <r>
    <x v="3"/>
    <x v="8"/>
    <x v="27"/>
    <x v="2"/>
    <x v="140"/>
    <x v="78"/>
    <x v="18"/>
    <m/>
    <n v="0"/>
    <n v="0"/>
    <n v="0.2"/>
    <n v="0"/>
    <n v="0"/>
    <n v="0"/>
    <m/>
    <m/>
    <n v="0"/>
    <n v="0"/>
    <n v="0"/>
    <n v="0"/>
    <n v="0"/>
    <n v="0"/>
    <m/>
    <s v="FRAIS DE DEMARRAGE  |  AMORTISSEMENTS  |  FRAIS DE DEMARRAGE"/>
    <m/>
    <x v="2"/>
    <x v="0"/>
    <m/>
    <x v="0"/>
    <n v="1"/>
    <m/>
    <m/>
  </r>
  <r>
    <x v="3"/>
    <x v="8"/>
    <x v="27"/>
    <x v="2"/>
    <x v="141"/>
    <x v="78"/>
    <x v="18"/>
    <m/>
    <n v="0"/>
    <n v="0"/>
    <n v="0.2"/>
    <n v="0"/>
    <n v="0"/>
    <n v="0"/>
    <m/>
    <m/>
    <n v="0"/>
    <n v="0"/>
    <n v="0"/>
    <n v="0"/>
    <n v="0"/>
    <n v="0"/>
    <m/>
    <s v="FRAIS DE DEMARRAGE  |  AMORTISSEMENTS  |  FRAIS DE DEMARRAGE"/>
    <m/>
    <x v="2"/>
    <x v="0"/>
    <m/>
    <x v="0"/>
    <n v="1"/>
    <m/>
    <m/>
  </r>
  <r>
    <x v="3"/>
    <x v="8"/>
    <x v="27"/>
    <x v="2"/>
    <x v="142"/>
    <x v="79"/>
    <x v="2"/>
    <m/>
    <m/>
    <n v="0"/>
    <m/>
    <n v="0"/>
    <n v="0"/>
    <n v="0"/>
    <m/>
    <m/>
    <n v="0"/>
    <n v="0"/>
    <n v="0"/>
    <n v="0"/>
    <n v="0"/>
    <n v="0"/>
    <m/>
    <s v="FRAIS DE DEMARRAGE  |  AMORTISSEMENTS  |  TOTAL FRAIS DE DEMARRAGE"/>
    <m/>
    <x v="1"/>
    <x v="2"/>
    <m/>
    <x v="0"/>
    <n v="1"/>
    <m/>
    <m/>
  </r>
  <r>
    <x v="3"/>
    <x v="2"/>
    <x v="0"/>
    <x v="0"/>
    <x v="0"/>
    <x v="0"/>
    <x v="2"/>
    <m/>
    <m/>
    <m/>
    <m/>
    <m/>
    <m/>
    <m/>
    <m/>
    <m/>
    <m/>
    <m/>
    <m/>
    <m/>
    <m/>
    <m/>
    <m/>
    <m/>
    <m/>
    <x v="0"/>
    <x v="0"/>
    <m/>
    <x v="0"/>
    <m/>
    <m/>
    <m/>
  </r>
  <r>
    <x v="3"/>
    <x v="9"/>
    <x v="27"/>
    <x v="2"/>
    <x v="143"/>
    <x v="80"/>
    <x v="2"/>
    <m/>
    <m/>
    <n v="0"/>
    <m/>
    <n v="0"/>
    <n v="0"/>
    <n v="0"/>
    <m/>
    <m/>
    <n v="0"/>
    <n v="0"/>
    <n v="0"/>
    <n v="0"/>
    <n v="0"/>
    <n v="0"/>
    <m/>
    <s v="TOTAL ACTIF  |  AMORTISSEMENTS  |  TOTAL ACTIF"/>
    <m/>
    <x v="1"/>
    <x v="2"/>
    <m/>
    <x v="0"/>
    <n v="1"/>
    <m/>
    <m/>
  </r>
  <r>
    <x v="3"/>
    <x v="2"/>
    <x v="0"/>
    <x v="0"/>
    <x v="0"/>
    <x v="0"/>
    <x v="2"/>
    <m/>
    <m/>
    <m/>
    <m/>
    <m/>
    <m/>
    <m/>
    <m/>
    <m/>
    <m/>
    <m/>
    <m/>
    <m/>
    <m/>
    <m/>
    <m/>
    <m/>
    <m/>
    <x v="0"/>
    <x v="0"/>
    <m/>
    <x v="0"/>
    <m/>
    <m/>
    <m/>
  </r>
  <r>
    <x v="3"/>
    <x v="6"/>
    <x v="28"/>
    <x v="2"/>
    <x v="57"/>
    <x v="69"/>
    <x v="18"/>
    <m/>
    <n v="2020"/>
    <n v="0"/>
    <n v="0.25"/>
    <n v="0"/>
    <n v="0"/>
    <n v="0"/>
    <m/>
    <m/>
    <n v="0"/>
    <n v="0"/>
    <n v="0"/>
    <n v="0"/>
    <n v="0"/>
    <n v="0"/>
    <m/>
    <s v="ACTIFS MATERIEL IMMOBILISES  |  VALEUR BILAN FIN D'ANNEE  |  MATERIEL DE BUREAU"/>
    <m/>
    <x v="2"/>
    <x v="0"/>
    <m/>
    <x v="0"/>
    <n v="1"/>
    <m/>
    <m/>
  </r>
  <r>
    <x v="3"/>
    <x v="6"/>
    <x v="28"/>
    <x v="2"/>
    <x v="58"/>
    <x v="69"/>
    <x v="18"/>
    <m/>
    <n v="2021"/>
    <n v="0"/>
    <n v="0.25"/>
    <n v="0"/>
    <n v="0"/>
    <n v="0"/>
    <m/>
    <m/>
    <n v="0"/>
    <n v="0"/>
    <n v="0"/>
    <n v="0"/>
    <n v="0"/>
    <n v="0"/>
    <m/>
    <s v="ACTIFS MATERIEL IMMOBILISES  |  VALEUR BILAN FIN D'ANNEE  |  MATERIEL DE BUREAU"/>
    <m/>
    <x v="2"/>
    <x v="0"/>
    <m/>
    <x v="0"/>
    <n v="1"/>
    <m/>
    <m/>
  </r>
  <r>
    <x v="3"/>
    <x v="6"/>
    <x v="28"/>
    <x v="2"/>
    <x v="59"/>
    <x v="69"/>
    <x v="18"/>
    <m/>
    <n v="2022"/>
    <n v="0"/>
    <n v="0.25"/>
    <n v="0"/>
    <n v="0"/>
    <n v="0"/>
    <m/>
    <m/>
    <n v="0"/>
    <n v="0"/>
    <n v="0"/>
    <n v="0"/>
    <n v="0"/>
    <n v="0"/>
    <m/>
    <s v="ACTIFS MATERIEL IMMOBILISES  |  VALEUR BILAN FIN D'ANNEE  |  MATERIEL DE BUREAU"/>
    <m/>
    <x v="2"/>
    <x v="0"/>
    <m/>
    <x v="0"/>
    <n v="1"/>
    <m/>
    <m/>
  </r>
  <r>
    <x v="3"/>
    <x v="6"/>
    <x v="28"/>
    <x v="2"/>
    <x v="60"/>
    <x v="69"/>
    <x v="18"/>
    <m/>
    <n v="2023"/>
    <n v="0"/>
    <n v="0.25"/>
    <n v="0"/>
    <n v="0"/>
    <n v="0"/>
    <m/>
    <m/>
    <n v="0"/>
    <n v="0"/>
    <n v="0"/>
    <n v="0"/>
    <n v="0"/>
    <n v="0"/>
    <m/>
    <s v="ACTIFS MATERIEL IMMOBILISES  |  VALEUR BILAN FIN D'ANNEE  |  MATERIEL DE BUREAU"/>
    <m/>
    <x v="2"/>
    <x v="0"/>
    <m/>
    <x v="0"/>
    <n v="1"/>
    <m/>
    <m/>
  </r>
  <r>
    <x v="3"/>
    <x v="6"/>
    <x v="28"/>
    <x v="2"/>
    <x v="61"/>
    <x v="69"/>
    <x v="18"/>
    <m/>
    <n v="2024"/>
    <n v="0"/>
    <n v="0.25"/>
    <n v="0"/>
    <n v="0"/>
    <n v="0"/>
    <m/>
    <m/>
    <n v="0"/>
    <n v="0"/>
    <n v="0"/>
    <n v="0"/>
    <n v="0"/>
    <n v="0"/>
    <m/>
    <s v="ACTIFS MATERIEL IMMOBILISES  |  VALEUR BILAN FIN D'ANNEE  |  MATERIEL DE BUREAU"/>
    <m/>
    <x v="2"/>
    <x v="0"/>
    <m/>
    <x v="0"/>
    <n v="1"/>
    <m/>
    <m/>
  </r>
  <r>
    <x v="3"/>
    <x v="6"/>
    <x v="28"/>
    <x v="2"/>
    <x v="62"/>
    <x v="69"/>
    <x v="18"/>
    <m/>
    <n v="2025"/>
    <n v="0"/>
    <n v="0.25"/>
    <n v="0"/>
    <n v="0"/>
    <n v="0"/>
    <m/>
    <m/>
    <n v="0"/>
    <n v="0"/>
    <n v="0"/>
    <n v="0"/>
    <n v="0"/>
    <n v="0"/>
    <m/>
    <s v="ACTIFS MATERIEL IMMOBILISES  |  VALEUR BILAN FIN D'ANNEE  |  MATERIEL DE BUREAU"/>
    <m/>
    <x v="2"/>
    <x v="0"/>
    <m/>
    <x v="0"/>
    <n v="1"/>
    <m/>
    <m/>
  </r>
  <r>
    <x v="3"/>
    <x v="6"/>
    <x v="28"/>
    <x v="2"/>
    <x v="63"/>
    <x v="69"/>
    <x v="18"/>
    <m/>
    <n v="2026"/>
    <n v="0"/>
    <n v="0.25"/>
    <n v="0"/>
    <n v="0"/>
    <n v="0"/>
    <m/>
    <m/>
    <n v="0"/>
    <n v="0"/>
    <n v="0"/>
    <n v="0"/>
    <n v="0"/>
    <n v="0"/>
    <m/>
    <s v="ACTIFS MATERIEL IMMOBILISES  |  VALEUR BILAN FIN D'ANNEE  |  MATERIEL DE BUREAU"/>
    <m/>
    <x v="2"/>
    <x v="0"/>
    <m/>
    <x v="0"/>
    <n v="1"/>
    <m/>
    <m/>
  </r>
  <r>
    <x v="3"/>
    <x v="6"/>
    <x v="28"/>
    <x v="2"/>
    <x v="64"/>
    <x v="69"/>
    <x v="18"/>
    <m/>
    <n v="0"/>
    <n v="0"/>
    <n v="0"/>
    <n v="0"/>
    <n v="0"/>
    <n v="0"/>
    <m/>
    <m/>
    <n v="0"/>
    <n v="0"/>
    <n v="0"/>
    <n v="0"/>
    <n v="0"/>
    <n v="0"/>
    <m/>
    <s v="ACTIFS MATERIEL IMMOBILISES  |  VALEUR BILAN FIN D'ANNEE  |  MATERIEL DE BUREAU"/>
    <m/>
    <x v="2"/>
    <x v="0"/>
    <m/>
    <x v="0"/>
    <n v="1"/>
    <m/>
    <m/>
  </r>
  <r>
    <x v="3"/>
    <x v="6"/>
    <x v="28"/>
    <x v="2"/>
    <x v="65"/>
    <x v="69"/>
    <x v="18"/>
    <m/>
    <n v="0"/>
    <n v="0"/>
    <n v="0"/>
    <n v="0"/>
    <n v="0"/>
    <n v="0"/>
    <m/>
    <m/>
    <n v="0"/>
    <n v="0"/>
    <n v="0"/>
    <n v="0"/>
    <n v="0"/>
    <n v="0"/>
    <m/>
    <s v="ACTIFS MATERIEL IMMOBILISES  |  VALEUR BILAN FIN D'ANNEE  |  MATERIEL DE BUREAU"/>
    <m/>
    <x v="2"/>
    <x v="0"/>
    <m/>
    <x v="0"/>
    <n v="1"/>
    <m/>
    <m/>
  </r>
  <r>
    <x v="3"/>
    <x v="6"/>
    <x v="28"/>
    <x v="2"/>
    <x v="66"/>
    <x v="69"/>
    <x v="18"/>
    <m/>
    <n v="0"/>
    <n v="0"/>
    <n v="0"/>
    <n v="0"/>
    <n v="0"/>
    <n v="0"/>
    <m/>
    <m/>
    <n v="0"/>
    <n v="0"/>
    <n v="0"/>
    <n v="0"/>
    <n v="0"/>
    <n v="0"/>
    <m/>
    <s v="ACTIFS MATERIEL IMMOBILISES  |  VALEUR BILAN FIN D'ANNEE  |  MATERIEL DE BUREAU"/>
    <m/>
    <x v="2"/>
    <x v="0"/>
    <m/>
    <x v="0"/>
    <n v="1"/>
    <m/>
    <m/>
  </r>
  <r>
    <x v="3"/>
    <x v="6"/>
    <x v="28"/>
    <x v="2"/>
    <x v="67"/>
    <x v="69"/>
    <x v="18"/>
    <m/>
    <n v="0"/>
    <n v="0"/>
    <n v="0"/>
    <n v="0"/>
    <n v="0"/>
    <n v="0"/>
    <m/>
    <m/>
    <n v="0"/>
    <n v="0"/>
    <n v="0"/>
    <n v="0"/>
    <n v="0"/>
    <n v="0"/>
    <m/>
    <s v="ACTIFS MATERIEL IMMOBILISES  |  VALEUR BILAN FIN D'ANNEE  |  MATERIEL DE BUREAU"/>
    <m/>
    <x v="2"/>
    <x v="0"/>
    <m/>
    <x v="0"/>
    <n v="1"/>
    <m/>
    <m/>
  </r>
  <r>
    <x v="3"/>
    <x v="6"/>
    <x v="28"/>
    <x v="2"/>
    <x v="68"/>
    <x v="69"/>
    <x v="18"/>
    <m/>
    <n v="0"/>
    <n v="0"/>
    <n v="0"/>
    <n v="0"/>
    <n v="0"/>
    <n v="0"/>
    <m/>
    <m/>
    <n v="0"/>
    <n v="0"/>
    <n v="0"/>
    <n v="0"/>
    <n v="0"/>
    <n v="0"/>
    <m/>
    <s v="ACTIFS MATERIEL IMMOBILISES  |  VALEUR BILAN FIN D'ANNEE  |  MATERIEL DE BUREAU"/>
    <m/>
    <x v="2"/>
    <x v="0"/>
    <m/>
    <x v="0"/>
    <n v="1"/>
    <m/>
    <m/>
  </r>
  <r>
    <x v="3"/>
    <x v="6"/>
    <x v="28"/>
    <x v="2"/>
    <x v="69"/>
    <x v="69"/>
    <x v="18"/>
    <m/>
    <n v="0"/>
    <n v="0"/>
    <n v="0"/>
    <n v="0"/>
    <n v="0"/>
    <n v="0"/>
    <m/>
    <m/>
    <n v="0"/>
    <n v="0"/>
    <n v="0"/>
    <n v="0"/>
    <n v="0"/>
    <n v="0"/>
    <m/>
    <s v="ACTIFS MATERIEL IMMOBILISES  |  VALEUR BILAN FIN D'ANNEE  |  MATERIEL DE BUREAU"/>
    <m/>
    <x v="2"/>
    <x v="0"/>
    <m/>
    <x v="0"/>
    <n v="1"/>
    <m/>
    <m/>
  </r>
  <r>
    <x v="3"/>
    <x v="6"/>
    <x v="28"/>
    <x v="2"/>
    <x v="70"/>
    <x v="69"/>
    <x v="18"/>
    <m/>
    <n v="0"/>
    <n v="0"/>
    <n v="0"/>
    <n v="0"/>
    <n v="0"/>
    <n v="0"/>
    <m/>
    <m/>
    <n v="0"/>
    <n v="0"/>
    <n v="0"/>
    <n v="0"/>
    <n v="0"/>
    <n v="0"/>
    <m/>
    <s v="ACTIFS MATERIEL IMMOBILISES  |  VALEUR BILAN FIN D'ANNEE  |  MATERIEL DE BUREAU"/>
    <m/>
    <x v="2"/>
    <x v="0"/>
    <m/>
    <x v="0"/>
    <n v="1"/>
    <m/>
    <m/>
  </r>
  <r>
    <x v="3"/>
    <x v="6"/>
    <x v="28"/>
    <x v="2"/>
    <x v="71"/>
    <x v="69"/>
    <x v="18"/>
    <m/>
    <n v="0"/>
    <n v="0"/>
    <n v="0"/>
    <n v="0"/>
    <n v="0"/>
    <n v="0"/>
    <m/>
    <m/>
    <n v="0"/>
    <n v="0"/>
    <n v="0"/>
    <n v="0"/>
    <n v="0"/>
    <n v="0"/>
    <m/>
    <s v="ACTIFS MATERIEL IMMOBILISES  |  VALEUR BILAN FIN D'ANNEE  |  MATERIEL DE BUREAU"/>
    <m/>
    <x v="2"/>
    <x v="0"/>
    <m/>
    <x v="0"/>
    <n v="1"/>
    <m/>
    <m/>
  </r>
  <r>
    <x v="3"/>
    <x v="6"/>
    <x v="28"/>
    <x v="2"/>
    <x v="72"/>
    <x v="69"/>
    <x v="18"/>
    <m/>
    <n v="0"/>
    <n v="0"/>
    <n v="0"/>
    <n v="0"/>
    <n v="0"/>
    <n v="0"/>
    <m/>
    <m/>
    <n v="0"/>
    <n v="0"/>
    <n v="0"/>
    <n v="0"/>
    <n v="0"/>
    <n v="0"/>
    <m/>
    <s v="ACTIFS MATERIEL IMMOBILISES  |  VALEUR BILAN FIN D'ANNEE  |  MATERIEL DE BUREAU"/>
    <m/>
    <x v="2"/>
    <x v="0"/>
    <m/>
    <x v="0"/>
    <n v="1"/>
    <m/>
    <m/>
  </r>
  <r>
    <x v="3"/>
    <x v="6"/>
    <x v="28"/>
    <x v="2"/>
    <x v="73"/>
    <x v="69"/>
    <x v="18"/>
    <m/>
    <n v="0"/>
    <n v="0"/>
    <n v="0"/>
    <n v="0"/>
    <n v="0"/>
    <n v="0"/>
    <m/>
    <m/>
    <n v="0"/>
    <n v="0"/>
    <n v="0"/>
    <n v="0"/>
    <n v="0"/>
    <n v="0"/>
    <m/>
    <s v="ACTIFS MATERIEL IMMOBILISES  |  VALEUR BILAN FIN D'ANNEE  |  MATERIEL DE BUREAU"/>
    <m/>
    <x v="2"/>
    <x v="0"/>
    <m/>
    <x v="0"/>
    <n v="1"/>
    <m/>
    <m/>
  </r>
  <r>
    <x v="3"/>
    <x v="6"/>
    <x v="28"/>
    <x v="2"/>
    <x v="74"/>
    <x v="69"/>
    <x v="18"/>
    <m/>
    <n v="0"/>
    <n v="0"/>
    <n v="0"/>
    <n v="0"/>
    <n v="0"/>
    <n v="0"/>
    <m/>
    <m/>
    <n v="0"/>
    <n v="0"/>
    <n v="0"/>
    <n v="0"/>
    <n v="0"/>
    <n v="0"/>
    <m/>
    <s v="ACTIFS MATERIEL IMMOBILISES  |  VALEUR BILAN FIN D'ANNEE  |  MATERIEL DE BUREAU"/>
    <m/>
    <x v="2"/>
    <x v="0"/>
    <m/>
    <x v="0"/>
    <n v="1"/>
    <m/>
    <m/>
  </r>
  <r>
    <x v="3"/>
    <x v="6"/>
    <x v="28"/>
    <x v="2"/>
    <x v="75"/>
    <x v="69"/>
    <x v="18"/>
    <m/>
    <n v="0"/>
    <n v="0"/>
    <n v="0"/>
    <n v="0"/>
    <n v="0"/>
    <n v="0"/>
    <m/>
    <m/>
    <n v="0"/>
    <n v="0"/>
    <n v="0"/>
    <n v="0"/>
    <n v="0"/>
    <n v="0"/>
    <m/>
    <s v="ACTIFS MATERIEL IMMOBILISES  |  VALEUR BILAN FIN D'ANNEE  |  MATERIEL DE BUREAU"/>
    <m/>
    <x v="2"/>
    <x v="0"/>
    <m/>
    <x v="0"/>
    <n v="1"/>
    <m/>
    <m/>
  </r>
  <r>
    <x v="3"/>
    <x v="6"/>
    <x v="28"/>
    <x v="2"/>
    <x v="76"/>
    <x v="69"/>
    <x v="18"/>
    <m/>
    <n v="0"/>
    <n v="0"/>
    <n v="0"/>
    <n v="0"/>
    <n v="0"/>
    <n v="0"/>
    <m/>
    <m/>
    <n v="0"/>
    <n v="0"/>
    <n v="0"/>
    <n v="0"/>
    <n v="0"/>
    <n v="0"/>
    <m/>
    <s v="ACTIFS MATERIEL IMMOBILISES  |  VALEUR BILAN FIN D'ANNEE  |  MATERIEL DE BUREAU"/>
    <m/>
    <x v="2"/>
    <x v="0"/>
    <m/>
    <x v="0"/>
    <n v="1"/>
    <m/>
    <m/>
  </r>
  <r>
    <x v="3"/>
    <x v="6"/>
    <x v="28"/>
    <x v="2"/>
    <x v="77"/>
    <x v="69"/>
    <x v="18"/>
    <m/>
    <n v="0"/>
    <n v="0"/>
    <n v="0"/>
    <n v="0"/>
    <n v="0"/>
    <n v="0"/>
    <m/>
    <m/>
    <n v="0"/>
    <n v="0"/>
    <n v="0"/>
    <n v="0"/>
    <n v="0"/>
    <n v="0"/>
    <m/>
    <s v="ACTIFS MATERIEL IMMOBILISES  |  VALEUR BILAN FIN D'ANNEE  |  MATERIEL DE BUREAU"/>
    <m/>
    <x v="2"/>
    <x v="0"/>
    <m/>
    <x v="0"/>
    <n v="1"/>
    <m/>
    <m/>
  </r>
  <r>
    <x v="3"/>
    <x v="6"/>
    <x v="28"/>
    <x v="2"/>
    <x v="78"/>
    <x v="69"/>
    <x v="18"/>
    <m/>
    <n v="0"/>
    <n v="0"/>
    <n v="0"/>
    <n v="0"/>
    <n v="0"/>
    <n v="0"/>
    <m/>
    <m/>
    <n v="0"/>
    <n v="0"/>
    <n v="0"/>
    <n v="0"/>
    <n v="0"/>
    <n v="0"/>
    <m/>
    <s v="ACTIFS MATERIEL IMMOBILISES  |  VALEUR BILAN FIN D'ANNEE  |  MATERIEL DE BUREAU"/>
    <m/>
    <x v="2"/>
    <x v="0"/>
    <m/>
    <x v="0"/>
    <n v="1"/>
    <m/>
    <m/>
  </r>
  <r>
    <x v="3"/>
    <x v="6"/>
    <x v="28"/>
    <x v="2"/>
    <x v="79"/>
    <x v="69"/>
    <x v="18"/>
    <m/>
    <n v="0"/>
    <n v="0"/>
    <n v="0"/>
    <n v="0"/>
    <n v="0"/>
    <n v="0"/>
    <m/>
    <m/>
    <n v="0"/>
    <n v="0"/>
    <n v="0"/>
    <n v="0"/>
    <n v="0"/>
    <n v="0"/>
    <m/>
    <s v="ACTIFS MATERIEL IMMOBILISES  |  VALEUR BILAN FIN D'ANNEE  |  MATERIEL DE BUREAU"/>
    <m/>
    <x v="2"/>
    <x v="0"/>
    <m/>
    <x v="0"/>
    <n v="1"/>
    <m/>
    <m/>
  </r>
  <r>
    <x v="3"/>
    <x v="6"/>
    <x v="28"/>
    <x v="2"/>
    <x v="80"/>
    <x v="69"/>
    <x v="18"/>
    <m/>
    <n v="0"/>
    <n v="0"/>
    <n v="0"/>
    <n v="0"/>
    <n v="0"/>
    <n v="0"/>
    <m/>
    <m/>
    <n v="0"/>
    <n v="0"/>
    <n v="0"/>
    <n v="0"/>
    <n v="0"/>
    <n v="0"/>
    <m/>
    <s v="ACTIFS MATERIEL IMMOBILISES  |  VALEUR BILAN FIN D'ANNEE  |  MATERIEL DE BUREAU"/>
    <m/>
    <x v="2"/>
    <x v="0"/>
    <m/>
    <x v="0"/>
    <n v="1"/>
    <m/>
    <m/>
  </r>
  <r>
    <x v="3"/>
    <x v="6"/>
    <x v="28"/>
    <x v="2"/>
    <x v="81"/>
    <x v="69"/>
    <x v="18"/>
    <m/>
    <n v="0"/>
    <n v="0"/>
    <n v="0"/>
    <n v="0"/>
    <n v="0"/>
    <n v="0"/>
    <m/>
    <m/>
    <n v="0"/>
    <n v="0"/>
    <n v="0"/>
    <n v="0"/>
    <n v="0"/>
    <n v="0"/>
    <m/>
    <s v="ACTIFS MATERIEL IMMOBILISES  |  VALEUR BILAN FIN D'ANNEE  |  MATERIEL DE BUREAU"/>
    <m/>
    <x v="2"/>
    <x v="0"/>
    <m/>
    <x v="0"/>
    <n v="1"/>
    <m/>
    <m/>
  </r>
  <r>
    <x v="3"/>
    <x v="6"/>
    <x v="28"/>
    <x v="2"/>
    <x v="82"/>
    <x v="69"/>
    <x v="18"/>
    <m/>
    <n v="0"/>
    <n v="0"/>
    <n v="0"/>
    <n v="0"/>
    <n v="0"/>
    <n v="0"/>
    <m/>
    <m/>
    <n v="0"/>
    <n v="0"/>
    <n v="0"/>
    <n v="0"/>
    <n v="0"/>
    <n v="0"/>
    <m/>
    <s v="ACTIFS MATERIEL IMMOBILISES  |  VALEUR BILAN FIN D'ANNEE  |  MATERIEL DE BUREAU"/>
    <m/>
    <x v="2"/>
    <x v="0"/>
    <m/>
    <x v="0"/>
    <n v="1"/>
    <m/>
    <m/>
  </r>
  <r>
    <x v="3"/>
    <x v="6"/>
    <x v="28"/>
    <x v="2"/>
    <x v="83"/>
    <x v="69"/>
    <x v="18"/>
    <m/>
    <n v="0"/>
    <n v="0"/>
    <n v="0"/>
    <n v="0"/>
    <n v="0"/>
    <n v="0"/>
    <m/>
    <m/>
    <n v="0"/>
    <n v="0"/>
    <n v="0"/>
    <n v="0"/>
    <n v="0"/>
    <n v="0"/>
    <m/>
    <s v="ACTIFS MATERIEL IMMOBILISES  |  VALEUR BILAN FIN D'ANNEE  |  MATERIEL DE BUREAU"/>
    <m/>
    <x v="2"/>
    <x v="0"/>
    <m/>
    <x v="0"/>
    <n v="1"/>
    <m/>
    <m/>
  </r>
  <r>
    <x v="3"/>
    <x v="6"/>
    <x v="28"/>
    <x v="2"/>
    <x v="84"/>
    <x v="69"/>
    <x v="18"/>
    <m/>
    <n v="0"/>
    <n v="0"/>
    <n v="0"/>
    <n v="0"/>
    <n v="0"/>
    <n v="0"/>
    <m/>
    <m/>
    <n v="0"/>
    <n v="0"/>
    <n v="0"/>
    <n v="0"/>
    <n v="0"/>
    <n v="0"/>
    <m/>
    <s v="ACTIFS MATERIEL IMMOBILISES  |  VALEUR BILAN FIN D'ANNEE  |  MATERIEL DE BUREAU"/>
    <m/>
    <x v="2"/>
    <x v="0"/>
    <m/>
    <x v="0"/>
    <n v="1"/>
    <m/>
    <m/>
  </r>
  <r>
    <x v="3"/>
    <x v="6"/>
    <x v="28"/>
    <x v="2"/>
    <x v="85"/>
    <x v="69"/>
    <x v="18"/>
    <m/>
    <n v="0"/>
    <n v="0"/>
    <n v="0"/>
    <n v="0"/>
    <n v="0"/>
    <n v="0"/>
    <m/>
    <m/>
    <n v="0"/>
    <n v="0"/>
    <n v="0"/>
    <n v="0"/>
    <n v="0"/>
    <n v="0"/>
    <m/>
    <s v="ACTIFS MATERIEL IMMOBILISES  |  VALEUR BILAN FIN D'ANNEE  |  MATERIEL DE BUREAU"/>
    <m/>
    <x v="2"/>
    <x v="0"/>
    <m/>
    <x v="0"/>
    <n v="1"/>
    <m/>
    <m/>
  </r>
  <r>
    <x v="3"/>
    <x v="6"/>
    <x v="28"/>
    <x v="2"/>
    <x v="86"/>
    <x v="69"/>
    <x v="18"/>
    <m/>
    <n v="0"/>
    <n v="0"/>
    <n v="0"/>
    <n v="0"/>
    <n v="0"/>
    <n v="0"/>
    <m/>
    <m/>
    <n v="0"/>
    <n v="0"/>
    <n v="0"/>
    <n v="0"/>
    <n v="0"/>
    <n v="0"/>
    <m/>
    <s v="ACTIFS MATERIEL IMMOBILISES  |  VALEUR BILAN FIN D'ANNEE  |  MATERIEL DE BUREAU"/>
    <m/>
    <x v="2"/>
    <x v="0"/>
    <m/>
    <x v="0"/>
    <n v="1"/>
    <m/>
    <m/>
  </r>
  <r>
    <x v="3"/>
    <x v="6"/>
    <x v="28"/>
    <x v="2"/>
    <x v="87"/>
    <x v="69"/>
    <x v="18"/>
    <m/>
    <n v="0"/>
    <n v="0"/>
    <n v="0"/>
    <n v="0"/>
    <n v="0"/>
    <n v="0"/>
    <m/>
    <m/>
    <n v="0"/>
    <n v="0"/>
    <n v="0"/>
    <n v="0"/>
    <n v="0"/>
    <n v="0"/>
    <m/>
    <s v="ACTIFS MATERIEL IMMOBILISES  |  VALEUR BILAN FIN D'ANNEE  |  MATERIEL DE BUREAU"/>
    <m/>
    <x v="2"/>
    <x v="0"/>
    <m/>
    <x v="0"/>
    <n v="1"/>
    <m/>
    <m/>
  </r>
  <r>
    <x v="3"/>
    <x v="6"/>
    <x v="28"/>
    <x v="2"/>
    <x v="88"/>
    <x v="69"/>
    <x v="18"/>
    <m/>
    <n v="0"/>
    <n v="0"/>
    <n v="0"/>
    <n v="0"/>
    <n v="0"/>
    <n v="0"/>
    <m/>
    <m/>
    <n v="0"/>
    <n v="0"/>
    <n v="0"/>
    <n v="0"/>
    <n v="0"/>
    <n v="0"/>
    <m/>
    <s v="ACTIFS MATERIEL IMMOBILISES  |  VALEUR BILAN FIN D'ANNEE  |  MATERIEL DE BUREAU"/>
    <m/>
    <x v="2"/>
    <x v="0"/>
    <m/>
    <x v="0"/>
    <n v="1"/>
    <m/>
    <m/>
  </r>
  <r>
    <x v="3"/>
    <x v="6"/>
    <x v="28"/>
    <x v="2"/>
    <x v="89"/>
    <x v="69"/>
    <x v="18"/>
    <m/>
    <n v="0"/>
    <n v="0"/>
    <n v="0"/>
    <n v="0"/>
    <n v="0"/>
    <n v="0"/>
    <m/>
    <m/>
    <n v="0"/>
    <n v="0"/>
    <n v="0"/>
    <n v="0"/>
    <n v="0"/>
    <n v="0"/>
    <m/>
    <s v="ACTIFS MATERIEL IMMOBILISES  |  VALEUR BILAN FIN D'ANNEE  |  MATERIEL DE BUREAU"/>
    <m/>
    <x v="2"/>
    <x v="0"/>
    <m/>
    <x v="0"/>
    <n v="1"/>
    <m/>
    <m/>
  </r>
  <r>
    <x v="3"/>
    <x v="6"/>
    <x v="28"/>
    <x v="2"/>
    <x v="90"/>
    <x v="69"/>
    <x v="18"/>
    <m/>
    <n v="0"/>
    <n v="0"/>
    <n v="0"/>
    <n v="0"/>
    <n v="0"/>
    <n v="0"/>
    <m/>
    <m/>
    <n v="0"/>
    <n v="0"/>
    <n v="0"/>
    <n v="0"/>
    <n v="0"/>
    <n v="0"/>
    <m/>
    <s v="ACTIFS MATERIEL IMMOBILISES  |  VALEUR BILAN FIN D'ANNEE  |  MATERIEL DE BUREAU"/>
    <m/>
    <x v="2"/>
    <x v="0"/>
    <m/>
    <x v="0"/>
    <n v="1"/>
    <m/>
    <m/>
  </r>
  <r>
    <x v="3"/>
    <x v="6"/>
    <x v="28"/>
    <x v="2"/>
    <x v="91"/>
    <x v="69"/>
    <x v="18"/>
    <m/>
    <n v="0"/>
    <n v="0"/>
    <n v="0"/>
    <n v="0"/>
    <n v="0"/>
    <n v="0"/>
    <m/>
    <m/>
    <n v="0"/>
    <n v="0"/>
    <n v="0"/>
    <n v="0"/>
    <n v="0"/>
    <n v="0"/>
    <m/>
    <s v="ACTIFS MATERIEL IMMOBILISES  |  VALEUR BILAN FIN D'ANNEE  |  MATERIEL DE BUREAU"/>
    <m/>
    <x v="2"/>
    <x v="0"/>
    <m/>
    <x v="0"/>
    <n v="1"/>
    <m/>
    <m/>
  </r>
  <r>
    <x v="3"/>
    <x v="6"/>
    <x v="28"/>
    <x v="2"/>
    <x v="92"/>
    <x v="69"/>
    <x v="18"/>
    <m/>
    <n v="0"/>
    <n v="0"/>
    <n v="0"/>
    <n v="0"/>
    <n v="0"/>
    <n v="0"/>
    <m/>
    <m/>
    <n v="0"/>
    <n v="0"/>
    <n v="0"/>
    <n v="0"/>
    <n v="0"/>
    <n v="0"/>
    <m/>
    <s v="ACTIFS MATERIEL IMMOBILISES  |  VALEUR BILAN FIN D'ANNEE  |  MATERIEL DE BUREAU"/>
    <m/>
    <x v="2"/>
    <x v="0"/>
    <m/>
    <x v="0"/>
    <n v="1"/>
    <m/>
    <m/>
  </r>
  <r>
    <x v="3"/>
    <x v="6"/>
    <x v="28"/>
    <x v="2"/>
    <x v="93"/>
    <x v="69"/>
    <x v="18"/>
    <m/>
    <n v="0"/>
    <n v="0"/>
    <n v="0"/>
    <n v="0"/>
    <n v="0"/>
    <n v="0"/>
    <m/>
    <m/>
    <n v="0"/>
    <n v="0"/>
    <n v="0"/>
    <n v="0"/>
    <n v="0"/>
    <n v="0"/>
    <m/>
    <s v="ACTIFS MATERIEL IMMOBILISES  |  VALEUR BILAN FIN D'ANNEE  |  MATERIEL DE BUREAU"/>
    <m/>
    <x v="2"/>
    <x v="0"/>
    <m/>
    <x v="0"/>
    <n v="1"/>
    <m/>
    <m/>
  </r>
  <r>
    <x v="3"/>
    <x v="6"/>
    <x v="28"/>
    <x v="2"/>
    <x v="94"/>
    <x v="69"/>
    <x v="18"/>
    <m/>
    <n v="0"/>
    <n v="0"/>
    <n v="0"/>
    <n v="0"/>
    <n v="0"/>
    <n v="0"/>
    <m/>
    <m/>
    <n v="0"/>
    <n v="0"/>
    <n v="0"/>
    <n v="0"/>
    <n v="0"/>
    <n v="0"/>
    <m/>
    <s v="ACTIFS MATERIEL IMMOBILISES  |  VALEUR BILAN FIN D'ANNEE  |  MATERIEL DE BUREAU"/>
    <m/>
    <x v="2"/>
    <x v="0"/>
    <m/>
    <x v="0"/>
    <n v="1"/>
    <m/>
    <m/>
  </r>
  <r>
    <x v="3"/>
    <x v="6"/>
    <x v="28"/>
    <x v="2"/>
    <x v="95"/>
    <x v="69"/>
    <x v="18"/>
    <m/>
    <n v="0"/>
    <n v="0"/>
    <n v="0"/>
    <n v="0"/>
    <n v="0"/>
    <n v="0"/>
    <m/>
    <m/>
    <n v="0"/>
    <n v="0"/>
    <n v="0"/>
    <n v="0"/>
    <n v="0"/>
    <n v="0"/>
    <m/>
    <s v="ACTIFS MATERIEL IMMOBILISES  |  VALEUR BILAN FIN D'ANNEE  |  MATERIEL DE BUREAU"/>
    <m/>
    <x v="2"/>
    <x v="0"/>
    <m/>
    <x v="0"/>
    <n v="1"/>
    <m/>
    <m/>
  </r>
  <r>
    <x v="3"/>
    <x v="6"/>
    <x v="28"/>
    <x v="2"/>
    <x v="96"/>
    <x v="69"/>
    <x v="18"/>
    <m/>
    <n v="0"/>
    <n v="0"/>
    <n v="0"/>
    <n v="0"/>
    <n v="0"/>
    <n v="0"/>
    <m/>
    <m/>
    <n v="0"/>
    <n v="0"/>
    <n v="0"/>
    <n v="0"/>
    <n v="0"/>
    <n v="0"/>
    <m/>
    <s v="ACTIFS MATERIEL IMMOBILISES  |  VALEUR BILAN FIN D'ANNEE  |  MATERIEL DE BUREAU"/>
    <m/>
    <x v="2"/>
    <x v="0"/>
    <m/>
    <x v="0"/>
    <n v="1"/>
    <m/>
    <m/>
  </r>
  <r>
    <x v="3"/>
    <x v="6"/>
    <x v="28"/>
    <x v="2"/>
    <x v="97"/>
    <x v="70"/>
    <x v="2"/>
    <m/>
    <m/>
    <n v="0"/>
    <m/>
    <n v="0"/>
    <n v="0"/>
    <n v="0"/>
    <m/>
    <m/>
    <n v="0"/>
    <n v="0"/>
    <n v="0"/>
    <n v="0"/>
    <n v="0"/>
    <n v="0"/>
    <m/>
    <s v="ACTIFS MATERIEL IMMOBILISES  |  VALEUR BILAN FIN D'ANNEE  |  TOTAL MATERIEL DE BUREAU"/>
    <m/>
    <x v="1"/>
    <x v="2"/>
    <m/>
    <x v="0"/>
    <n v="1"/>
    <m/>
    <m/>
  </r>
  <r>
    <x v="3"/>
    <x v="2"/>
    <x v="0"/>
    <x v="0"/>
    <x v="0"/>
    <x v="0"/>
    <x v="2"/>
    <m/>
    <m/>
    <m/>
    <m/>
    <m/>
    <m/>
    <m/>
    <m/>
    <m/>
    <m/>
    <m/>
    <m/>
    <m/>
    <m/>
    <m/>
    <m/>
    <m/>
    <m/>
    <x v="0"/>
    <x v="0"/>
    <m/>
    <x v="0"/>
    <m/>
    <m/>
    <m/>
  </r>
  <r>
    <x v="3"/>
    <x v="6"/>
    <x v="28"/>
    <x v="2"/>
    <x v="98"/>
    <x v="71"/>
    <x v="18"/>
    <m/>
    <n v="2020"/>
    <n v="0"/>
    <n v="0.1"/>
    <n v="0"/>
    <n v="0"/>
    <n v="0"/>
    <m/>
    <m/>
    <n v="0"/>
    <n v="0"/>
    <n v="0"/>
    <n v="0"/>
    <n v="0"/>
    <n v="0"/>
    <m/>
    <s v="ACTIFS MATERIEL IMMOBILISES  |  VALEUR BILAN FIN D'ANNEE  |  MATERIEL DE PRODUCTION"/>
    <m/>
    <x v="2"/>
    <x v="0"/>
    <m/>
    <x v="0"/>
    <n v="1"/>
    <m/>
    <m/>
  </r>
  <r>
    <x v="3"/>
    <x v="6"/>
    <x v="28"/>
    <x v="2"/>
    <x v="99"/>
    <x v="71"/>
    <x v="18"/>
    <m/>
    <n v="2021"/>
    <n v="0"/>
    <n v="0.1"/>
    <n v="0"/>
    <n v="0"/>
    <n v="0"/>
    <m/>
    <m/>
    <n v="0"/>
    <n v="0"/>
    <n v="0"/>
    <n v="0"/>
    <n v="0"/>
    <n v="0"/>
    <m/>
    <s v="ACTIFS MATERIEL IMMOBILISES  |  VALEUR BILAN FIN D'ANNEE  |  MATERIEL DE PRODUCTION"/>
    <m/>
    <x v="2"/>
    <x v="0"/>
    <m/>
    <x v="0"/>
    <n v="1"/>
    <m/>
    <m/>
  </r>
  <r>
    <x v="3"/>
    <x v="6"/>
    <x v="28"/>
    <x v="2"/>
    <x v="100"/>
    <x v="71"/>
    <x v="18"/>
    <m/>
    <n v="2022"/>
    <n v="0"/>
    <n v="0.1"/>
    <n v="0"/>
    <n v="0"/>
    <n v="0"/>
    <m/>
    <m/>
    <n v="0"/>
    <n v="0"/>
    <n v="0"/>
    <n v="0"/>
    <n v="0"/>
    <n v="0"/>
    <m/>
    <s v="ACTIFS MATERIEL IMMOBILISES  |  VALEUR BILAN FIN D'ANNEE  |  MATERIEL DE PRODUCTION"/>
    <m/>
    <x v="2"/>
    <x v="0"/>
    <m/>
    <x v="0"/>
    <n v="1"/>
    <m/>
    <m/>
  </r>
  <r>
    <x v="3"/>
    <x v="6"/>
    <x v="28"/>
    <x v="2"/>
    <x v="101"/>
    <x v="71"/>
    <x v="18"/>
    <m/>
    <n v="2023"/>
    <n v="0"/>
    <n v="0.1"/>
    <n v="0"/>
    <n v="0"/>
    <n v="0"/>
    <m/>
    <m/>
    <n v="0"/>
    <n v="0"/>
    <n v="0"/>
    <n v="0"/>
    <n v="0"/>
    <n v="0"/>
    <m/>
    <s v="ACTIFS MATERIEL IMMOBILISES  |  VALEUR BILAN FIN D'ANNEE  |  MATERIEL DE PRODUCTION"/>
    <m/>
    <x v="2"/>
    <x v="0"/>
    <m/>
    <x v="0"/>
    <n v="1"/>
    <m/>
    <m/>
  </r>
  <r>
    <x v="3"/>
    <x v="6"/>
    <x v="28"/>
    <x v="2"/>
    <x v="102"/>
    <x v="71"/>
    <x v="18"/>
    <m/>
    <n v="2024"/>
    <n v="0"/>
    <n v="0.1"/>
    <n v="0"/>
    <n v="0"/>
    <n v="0"/>
    <m/>
    <m/>
    <n v="0"/>
    <n v="0"/>
    <n v="0"/>
    <n v="0"/>
    <n v="0"/>
    <n v="0"/>
    <m/>
    <s v="ACTIFS MATERIEL IMMOBILISES  |  VALEUR BILAN FIN D'ANNEE  |  MATERIEL DE PRODUCTION"/>
    <m/>
    <x v="2"/>
    <x v="0"/>
    <m/>
    <x v="0"/>
    <n v="1"/>
    <m/>
    <m/>
  </r>
  <r>
    <x v="3"/>
    <x v="6"/>
    <x v="28"/>
    <x v="2"/>
    <x v="103"/>
    <x v="71"/>
    <x v="18"/>
    <m/>
    <n v="2025"/>
    <n v="0"/>
    <n v="0.1"/>
    <n v="0"/>
    <n v="0"/>
    <n v="0"/>
    <m/>
    <m/>
    <n v="0"/>
    <n v="0"/>
    <n v="0"/>
    <n v="0"/>
    <n v="0"/>
    <n v="0"/>
    <m/>
    <s v="ACTIFS MATERIEL IMMOBILISES  |  VALEUR BILAN FIN D'ANNEE  |  MATERIEL DE PRODUCTION"/>
    <m/>
    <x v="2"/>
    <x v="0"/>
    <m/>
    <x v="0"/>
    <n v="1"/>
    <m/>
    <m/>
  </r>
  <r>
    <x v="3"/>
    <x v="6"/>
    <x v="28"/>
    <x v="2"/>
    <x v="104"/>
    <x v="71"/>
    <x v="18"/>
    <m/>
    <n v="2026"/>
    <n v="0"/>
    <n v="0.1"/>
    <n v="0"/>
    <n v="0"/>
    <n v="0"/>
    <m/>
    <m/>
    <n v="0"/>
    <n v="0"/>
    <n v="0"/>
    <n v="0"/>
    <n v="0"/>
    <n v="0"/>
    <m/>
    <s v="ACTIFS MATERIEL IMMOBILISES  |  VALEUR BILAN FIN D'ANNEE  |  MATERIEL DE PRODUCTION"/>
    <m/>
    <x v="2"/>
    <x v="0"/>
    <m/>
    <x v="0"/>
    <n v="1"/>
    <m/>
    <m/>
  </r>
  <r>
    <x v="3"/>
    <x v="6"/>
    <x v="28"/>
    <x v="2"/>
    <x v="105"/>
    <x v="71"/>
    <x v="18"/>
    <m/>
    <n v="0"/>
    <n v="0"/>
    <n v="0"/>
    <n v="0"/>
    <n v="0"/>
    <n v="0"/>
    <m/>
    <m/>
    <n v="0"/>
    <n v="0"/>
    <n v="0"/>
    <n v="0"/>
    <n v="0"/>
    <n v="0"/>
    <m/>
    <s v="ACTIFS MATERIEL IMMOBILISES  |  VALEUR BILAN FIN D'ANNEE  |  MATERIEL DE PRODUCTION"/>
    <m/>
    <x v="2"/>
    <x v="0"/>
    <m/>
    <x v="0"/>
    <n v="1"/>
    <m/>
    <m/>
  </r>
  <r>
    <x v="3"/>
    <x v="6"/>
    <x v="28"/>
    <x v="2"/>
    <x v="106"/>
    <x v="71"/>
    <x v="18"/>
    <m/>
    <n v="0"/>
    <n v="0"/>
    <n v="0"/>
    <n v="0"/>
    <n v="0"/>
    <n v="0"/>
    <m/>
    <m/>
    <n v="0"/>
    <n v="0"/>
    <n v="0"/>
    <n v="0"/>
    <n v="0"/>
    <n v="0"/>
    <m/>
    <s v="ACTIFS MATERIEL IMMOBILISES  |  VALEUR BILAN FIN D'ANNEE  |  MATERIEL DE PRODUCTION"/>
    <m/>
    <x v="2"/>
    <x v="0"/>
    <m/>
    <x v="0"/>
    <n v="1"/>
    <m/>
    <m/>
  </r>
  <r>
    <x v="3"/>
    <x v="6"/>
    <x v="28"/>
    <x v="2"/>
    <x v="107"/>
    <x v="71"/>
    <x v="18"/>
    <m/>
    <n v="0"/>
    <n v="0"/>
    <n v="0"/>
    <n v="0"/>
    <n v="0"/>
    <n v="0"/>
    <m/>
    <m/>
    <n v="0"/>
    <n v="0"/>
    <n v="0"/>
    <n v="0"/>
    <n v="0"/>
    <n v="0"/>
    <m/>
    <s v="ACTIFS MATERIEL IMMOBILISES  |  VALEUR BILAN FIN D'ANNEE  |  MATERIEL DE PRODUCTION"/>
    <m/>
    <x v="2"/>
    <x v="0"/>
    <m/>
    <x v="0"/>
    <n v="1"/>
    <m/>
    <m/>
  </r>
  <r>
    <x v="3"/>
    <x v="6"/>
    <x v="28"/>
    <x v="2"/>
    <x v="108"/>
    <x v="72"/>
    <x v="2"/>
    <m/>
    <m/>
    <n v="0"/>
    <m/>
    <n v="0"/>
    <n v="0"/>
    <n v="0"/>
    <m/>
    <m/>
    <n v="0"/>
    <n v="0"/>
    <n v="0"/>
    <n v="0"/>
    <n v="0"/>
    <n v="0"/>
    <m/>
    <s v="ACTIFS MATERIEL IMMOBILISES  |  VALEUR BILAN FIN D'ANNEE  |  TOTAL MATERIEL DE PRODUCTION"/>
    <m/>
    <x v="1"/>
    <x v="2"/>
    <m/>
    <x v="0"/>
    <n v="1"/>
    <m/>
    <m/>
  </r>
  <r>
    <x v="3"/>
    <x v="2"/>
    <x v="0"/>
    <x v="0"/>
    <x v="0"/>
    <x v="0"/>
    <x v="2"/>
    <m/>
    <m/>
    <m/>
    <m/>
    <m/>
    <m/>
    <m/>
    <m/>
    <m/>
    <m/>
    <m/>
    <m/>
    <m/>
    <m/>
    <m/>
    <m/>
    <m/>
    <m/>
    <x v="0"/>
    <x v="0"/>
    <m/>
    <x v="0"/>
    <m/>
    <m/>
    <m/>
  </r>
  <r>
    <x v="3"/>
    <x v="6"/>
    <x v="28"/>
    <x v="2"/>
    <x v="109"/>
    <x v="73"/>
    <x v="18"/>
    <m/>
    <n v="2020"/>
    <n v="0"/>
    <n v="0.1"/>
    <n v="0"/>
    <n v="0"/>
    <n v="0"/>
    <m/>
    <m/>
    <n v="0"/>
    <n v="0"/>
    <n v="0"/>
    <n v="0"/>
    <n v="0"/>
    <n v="0"/>
    <m/>
    <s v="ACTIFS MATERIEL IMMOBILISES  |  VALEUR BILAN FIN D'ANNEE  |  AUTRES ACTIFS"/>
    <m/>
    <x v="2"/>
    <x v="0"/>
    <m/>
    <x v="0"/>
    <n v="1"/>
    <m/>
    <m/>
  </r>
  <r>
    <x v="3"/>
    <x v="6"/>
    <x v="28"/>
    <x v="2"/>
    <x v="110"/>
    <x v="73"/>
    <x v="18"/>
    <m/>
    <n v="2021"/>
    <n v="0"/>
    <n v="0.1"/>
    <n v="0"/>
    <n v="0"/>
    <n v="0"/>
    <m/>
    <m/>
    <n v="0"/>
    <n v="0"/>
    <n v="0"/>
    <n v="0"/>
    <n v="0"/>
    <n v="0"/>
    <m/>
    <s v="ACTIFS MATERIEL IMMOBILISES  |  VALEUR BILAN FIN D'ANNEE  |  AUTRES ACTIFS"/>
    <m/>
    <x v="2"/>
    <x v="0"/>
    <m/>
    <x v="0"/>
    <n v="1"/>
    <m/>
    <m/>
  </r>
  <r>
    <x v="3"/>
    <x v="6"/>
    <x v="28"/>
    <x v="2"/>
    <x v="111"/>
    <x v="73"/>
    <x v="18"/>
    <m/>
    <n v="2022"/>
    <n v="0"/>
    <n v="0.1"/>
    <n v="0"/>
    <n v="0"/>
    <n v="0"/>
    <m/>
    <m/>
    <n v="0"/>
    <n v="0"/>
    <n v="0"/>
    <n v="0"/>
    <n v="0"/>
    <n v="0"/>
    <m/>
    <s v="ACTIFS MATERIEL IMMOBILISES  |  VALEUR BILAN FIN D'ANNEE  |  AUTRES ACTIFS"/>
    <m/>
    <x v="2"/>
    <x v="0"/>
    <m/>
    <x v="0"/>
    <n v="1"/>
    <m/>
    <m/>
  </r>
  <r>
    <x v="3"/>
    <x v="6"/>
    <x v="28"/>
    <x v="2"/>
    <x v="112"/>
    <x v="73"/>
    <x v="18"/>
    <m/>
    <n v="2023"/>
    <n v="0"/>
    <n v="0.1"/>
    <n v="0"/>
    <n v="0"/>
    <n v="0"/>
    <m/>
    <m/>
    <n v="0"/>
    <n v="0"/>
    <n v="0"/>
    <n v="0"/>
    <n v="0"/>
    <n v="0"/>
    <m/>
    <s v="ACTIFS MATERIEL IMMOBILISES  |  VALEUR BILAN FIN D'ANNEE  |  AUTRES ACTIFS"/>
    <m/>
    <x v="2"/>
    <x v="0"/>
    <m/>
    <x v="0"/>
    <n v="1"/>
    <m/>
    <m/>
  </r>
  <r>
    <x v="3"/>
    <x v="6"/>
    <x v="28"/>
    <x v="2"/>
    <x v="113"/>
    <x v="73"/>
    <x v="18"/>
    <m/>
    <n v="2024"/>
    <n v="0"/>
    <n v="0.1"/>
    <n v="0"/>
    <n v="0"/>
    <n v="0"/>
    <m/>
    <m/>
    <n v="0"/>
    <n v="0"/>
    <n v="0"/>
    <n v="0"/>
    <n v="0"/>
    <n v="0"/>
    <m/>
    <s v="ACTIFS MATERIEL IMMOBILISES  |  VALEUR BILAN FIN D'ANNEE  |  AUTRES ACTIFS"/>
    <m/>
    <x v="2"/>
    <x v="0"/>
    <m/>
    <x v="0"/>
    <n v="1"/>
    <m/>
    <m/>
  </r>
  <r>
    <x v="3"/>
    <x v="6"/>
    <x v="28"/>
    <x v="2"/>
    <x v="114"/>
    <x v="73"/>
    <x v="18"/>
    <m/>
    <n v="2025"/>
    <n v="0"/>
    <n v="0.1"/>
    <n v="0"/>
    <n v="0"/>
    <n v="0"/>
    <m/>
    <m/>
    <n v="0"/>
    <n v="0"/>
    <n v="0"/>
    <n v="0"/>
    <n v="0"/>
    <n v="0"/>
    <m/>
    <s v="ACTIFS MATERIEL IMMOBILISES  |  VALEUR BILAN FIN D'ANNEE  |  AUTRES ACTIFS"/>
    <m/>
    <x v="2"/>
    <x v="0"/>
    <m/>
    <x v="0"/>
    <n v="1"/>
    <m/>
    <m/>
  </r>
  <r>
    <x v="3"/>
    <x v="6"/>
    <x v="28"/>
    <x v="2"/>
    <x v="115"/>
    <x v="73"/>
    <x v="18"/>
    <m/>
    <n v="2026"/>
    <n v="0"/>
    <n v="0.1"/>
    <n v="0"/>
    <n v="0"/>
    <n v="0"/>
    <m/>
    <m/>
    <n v="0"/>
    <n v="0"/>
    <n v="0"/>
    <n v="0"/>
    <n v="0"/>
    <n v="0"/>
    <m/>
    <s v="ACTIFS MATERIEL IMMOBILISES  |  VALEUR BILAN FIN D'ANNEE  |  AUTRES ACTIFS"/>
    <m/>
    <x v="2"/>
    <x v="0"/>
    <m/>
    <x v="0"/>
    <n v="1"/>
    <m/>
    <m/>
  </r>
  <r>
    <x v="3"/>
    <x v="6"/>
    <x v="28"/>
    <x v="2"/>
    <x v="116"/>
    <x v="73"/>
    <x v="18"/>
    <m/>
    <n v="0"/>
    <n v="0"/>
    <n v="0"/>
    <n v="0"/>
    <n v="0"/>
    <n v="0"/>
    <m/>
    <m/>
    <n v="0"/>
    <n v="0"/>
    <n v="0"/>
    <n v="0"/>
    <n v="0"/>
    <n v="0"/>
    <m/>
    <s v="ACTIFS MATERIEL IMMOBILISES  |  VALEUR BILAN FIN D'ANNEE  |  AUTRES ACTIFS"/>
    <m/>
    <x v="2"/>
    <x v="0"/>
    <m/>
    <x v="0"/>
    <n v="1"/>
    <m/>
    <m/>
  </r>
  <r>
    <x v="3"/>
    <x v="6"/>
    <x v="28"/>
    <x v="2"/>
    <x v="117"/>
    <x v="73"/>
    <x v="18"/>
    <m/>
    <n v="0"/>
    <n v="0"/>
    <n v="0"/>
    <n v="0"/>
    <n v="0"/>
    <n v="0"/>
    <m/>
    <m/>
    <n v="0"/>
    <n v="0"/>
    <n v="0"/>
    <n v="0"/>
    <n v="0"/>
    <n v="0"/>
    <m/>
    <s v="ACTIFS MATERIEL IMMOBILISES  |  VALEUR BILAN FIN D'ANNEE  |  AUTRES ACTIFS"/>
    <m/>
    <x v="2"/>
    <x v="0"/>
    <m/>
    <x v="0"/>
    <n v="1"/>
    <m/>
    <m/>
  </r>
  <r>
    <x v="3"/>
    <x v="6"/>
    <x v="28"/>
    <x v="2"/>
    <x v="118"/>
    <x v="73"/>
    <x v="18"/>
    <m/>
    <n v="0"/>
    <n v="0"/>
    <n v="0"/>
    <n v="0"/>
    <n v="0"/>
    <n v="0"/>
    <m/>
    <m/>
    <n v="0"/>
    <n v="0"/>
    <n v="0"/>
    <n v="0"/>
    <n v="0"/>
    <n v="0"/>
    <m/>
    <s v="ACTIFS MATERIEL IMMOBILISES  |  VALEUR BILAN FIN D'ANNEE  |  AUTRES ACTIFS"/>
    <m/>
    <x v="2"/>
    <x v="0"/>
    <m/>
    <x v="0"/>
    <n v="1"/>
    <m/>
    <m/>
  </r>
  <r>
    <x v="3"/>
    <x v="6"/>
    <x v="28"/>
    <x v="2"/>
    <x v="119"/>
    <x v="73"/>
    <x v="18"/>
    <m/>
    <n v="0"/>
    <n v="0"/>
    <n v="0"/>
    <n v="0"/>
    <n v="0"/>
    <n v="0"/>
    <m/>
    <m/>
    <n v="0"/>
    <n v="0"/>
    <n v="0"/>
    <n v="0"/>
    <n v="0"/>
    <n v="0"/>
    <m/>
    <s v="ACTIFS MATERIEL IMMOBILISES  |  VALEUR BILAN FIN D'ANNEE  |  AUTRES ACTIFS"/>
    <m/>
    <x v="2"/>
    <x v="0"/>
    <m/>
    <x v="0"/>
    <n v="1"/>
    <m/>
    <m/>
  </r>
  <r>
    <x v="3"/>
    <x v="6"/>
    <x v="28"/>
    <x v="2"/>
    <x v="120"/>
    <x v="73"/>
    <x v="18"/>
    <m/>
    <n v="0"/>
    <n v="0"/>
    <n v="0"/>
    <n v="0"/>
    <n v="0"/>
    <n v="0"/>
    <m/>
    <m/>
    <n v="0"/>
    <n v="0"/>
    <n v="0"/>
    <n v="0"/>
    <n v="0"/>
    <n v="0"/>
    <m/>
    <s v="ACTIFS MATERIEL IMMOBILISES  |  VALEUR BILAN FIN D'ANNEE  |  AUTRES ACTIFS"/>
    <m/>
    <x v="2"/>
    <x v="0"/>
    <m/>
    <x v="0"/>
    <n v="1"/>
    <m/>
    <m/>
  </r>
  <r>
    <x v="3"/>
    <x v="6"/>
    <x v="28"/>
    <x v="2"/>
    <x v="121"/>
    <x v="73"/>
    <x v="18"/>
    <m/>
    <n v="0"/>
    <n v="0"/>
    <n v="0"/>
    <n v="0"/>
    <n v="0"/>
    <n v="0"/>
    <m/>
    <m/>
    <n v="0"/>
    <n v="0"/>
    <n v="0"/>
    <n v="0"/>
    <n v="0"/>
    <n v="0"/>
    <m/>
    <s v="ACTIFS MATERIEL IMMOBILISES  |  VALEUR BILAN FIN D'ANNEE  |  AUTRES ACTIFS"/>
    <m/>
    <x v="2"/>
    <x v="0"/>
    <m/>
    <x v="0"/>
    <n v="1"/>
    <m/>
    <m/>
  </r>
  <r>
    <x v="3"/>
    <x v="6"/>
    <x v="28"/>
    <x v="2"/>
    <x v="122"/>
    <x v="73"/>
    <x v="18"/>
    <m/>
    <n v="0"/>
    <n v="0"/>
    <n v="0"/>
    <n v="0"/>
    <n v="0"/>
    <n v="0"/>
    <m/>
    <m/>
    <n v="0"/>
    <n v="0"/>
    <n v="0"/>
    <n v="0"/>
    <n v="0"/>
    <n v="0"/>
    <m/>
    <s v="ACTIFS MATERIEL IMMOBILISES  |  VALEUR BILAN FIN D'ANNEE  |  AUTRES ACTIFS"/>
    <m/>
    <x v="2"/>
    <x v="0"/>
    <m/>
    <x v="0"/>
    <n v="1"/>
    <m/>
    <m/>
  </r>
  <r>
    <x v="3"/>
    <x v="6"/>
    <x v="28"/>
    <x v="2"/>
    <x v="123"/>
    <x v="73"/>
    <x v="18"/>
    <m/>
    <n v="0"/>
    <n v="0"/>
    <n v="0"/>
    <n v="0"/>
    <n v="0"/>
    <n v="0"/>
    <m/>
    <m/>
    <n v="0"/>
    <n v="0"/>
    <n v="0"/>
    <n v="0"/>
    <n v="0"/>
    <n v="0"/>
    <m/>
    <s v="ACTIFS MATERIEL IMMOBILISES  |  VALEUR BILAN FIN D'ANNEE  |  AUTRES ACTIFS"/>
    <m/>
    <x v="2"/>
    <x v="0"/>
    <m/>
    <x v="0"/>
    <n v="1"/>
    <m/>
    <m/>
  </r>
  <r>
    <x v="3"/>
    <x v="6"/>
    <x v="28"/>
    <x v="2"/>
    <x v="124"/>
    <x v="73"/>
    <x v="18"/>
    <m/>
    <n v="0"/>
    <n v="0"/>
    <n v="0"/>
    <n v="0"/>
    <n v="0"/>
    <n v="0"/>
    <m/>
    <m/>
    <n v="0"/>
    <n v="0"/>
    <n v="0"/>
    <n v="0"/>
    <n v="0"/>
    <n v="0"/>
    <m/>
    <s v="ACTIFS MATERIEL IMMOBILISES  |  VALEUR BILAN FIN D'ANNEE  |  AUTRES ACTIFS"/>
    <m/>
    <x v="2"/>
    <x v="0"/>
    <m/>
    <x v="0"/>
    <n v="1"/>
    <m/>
    <m/>
  </r>
  <r>
    <x v="3"/>
    <x v="6"/>
    <x v="28"/>
    <x v="2"/>
    <x v="125"/>
    <x v="73"/>
    <x v="18"/>
    <m/>
    <n v="0"/>
    <n v="0"/>
    <n v="0"/>
    <n v="0"/>
    <n v="0"/>
    <n v="0"/>
    <m/>
    <m/>
    <n v="0"/>
    <n v="0"/>
    <n v="0"/>
    <n v="0"/>
    <n v="0"/>
    <n v="0"/>
    <m/>
    <s v="ACTIFS MATERIEL IMMOBILISES  |  VALEUR BILAN FIN D'ANNEE  |  AUTRES ACTIFS"/>
    <m/>
    <x v="2"/>
    <x v="0"/>
    <m/>
    <x v="0"/>
    <n v="1"/>
    <m/>
    <m/>
  </r>
  <r>
    <x v="3"/>
    <x v="6"/>
    <x v="28"/>
    <x v="2"/>
    <x v="126"/>
    <x v="73"/>
    <x v="18"/>
    <m/>
    <n v="0"/>
    <n v="0"/>
    <n v="0"/>
    <n v="0"/>
    <n v="0"/>
    <n v="0"/>
    <m/>
    <m/>
    <n v="0"/>
    <n v="0"/>
    <n v="0"/>
    <n v="0"/>
    <n v="0"/>
    <n v="0"/>
    <m/>
    <s v="ACTIFS MATERIEL IMMOBILISES  |  VALEUR BILAN FIN D'ANNEE  |  AUTRES ACTIFS"/>
    <m/>
    <x v="2"/>
    <x v="0"/>
    <m/>
    <x v="0"/>
    <n v="1"/>
    <m/>
    <m/>
  </r>
  <r>
    <x v="3"/>
    <x v="6"/>
    <x v="28"/>
    <x v="2"/>
    <x v="127"/>
    <x v="73"/>
    <x v="18"/>
    <m/>
    <n v="0"/>
    <n v="0"/>
    <n v="0"/>
    <n v="0"/>
    <n v="0"/>
    <n v="0"/>
    <m/>
    <m/>
    <n v="0"/>
    <n v="0"/>
    <n v="0"/>
    <n v="0"/>
    <n v="0"/>
    <n v="0"/>
    <m/>
    <s v="ACTIFS MATERIEL IMMOBILISES  |  VALEUR BILAN FIN D'ANNEE  |  AUTRES ACTIFS"/>
    <m/>
    <x v="2"/>
    <x v="0"/>
    <m/>
    <x v="0"/>
    <n v="1"/>
    <m/>
    <m/>
  </r>
  <r>
    <x v="3"/>
    <x v="6"/>
    <x v="28"/>
    <x v="2"/>
    <x v="128"/>
    <x v="73"/>
    <x v="18"/>
    <m/>
    <n v="0"/>
    <n v="0"/>
    <n v="0"/>
    <n v="0"/>
    <n v="0"/>
    <n v="0"/>
    <m/>
    <m/>
    <n v="0"/>
    <n v="0"/>
    <n v="0"/>
    <n v="0"/>
    <n v="0"/>
    <n v="0"/>
    <m/>
    <s v="ACTIFS MATERIEL IMMOBILISES  |  VALEUR BILAN FIN D'ANNEE  |  AUTRES ACTIFS"/>
    <m/>
    <x v="2"/>
    <x v="0"/>
    <m/>
    <x v="0"/>
    <n v="1"/>
    <m/>
    <m/>
  </r>
  <r>
    <x v="3"/>
    <x v="6"/>
    <x v="28"/>
    <x v="2"/>
    <x v="129"/>
    <x v="74"/>
    <x v="2"/>
    <m/>
    <m/>
    <n v="0"/>
    <m/>
    <n v="0"/>
    <n v="0"/>
    <n v="0"/>
    <m/>
    <m/>
    <n v="0"/>
    <n v="0"/>
    <n v="0"/>
    <n v="0"/>
    <n v="0"/>
    <n v="0"/>
    <m/>
    <s v="ACTIFS MATERIEL IMMOBILISES  |  VALEUR BILAN FIN D'ANNEE  |  TOTAL AUTRES ACTIFS"/>
    <m/>
    <x v="1"/>
    <x v="2"/>
    <m/>
    <x v="0"/>
    <n v="1"/>
    <m/>
    <m/>
  </r>
  <r>
    <x v="3"/>
    <x v="2"/>
    <x v="0"/>
    <x v="0"/>
    <x v="0"/>
    <x v="0"/>
    <x v="2"/>
    <m/>
    <m/>
    <m/>
    <m/>
    <m/>
    <m/>
    <m/>
    <m/>
    <m/>
    <m/>
    <m/>
    <m/>
    <m/>
    <m/>
    <m/>
    <m/>
    <m/>
    <m/>
    <x v="0"/>
    <x v="0"/>
    <m/>
    <x v="0"/>
    <m/>
    <m/>
    <m/>
  </r>
  <r>
    <x v="3"/>
    <x v="6"/>
    <x v="28"/>
    <x v="2"/>
    <x v="130"/>
    <x v="75"/>
    <x v="2"/>
    <m/>
    <m/>
    <n v="0"/>
    <m/>
    <n v="0"/>
    <n v="0"/>
    <n v="0"/>
    <m/>
    <m/>
    <n v="0"/>
    <n v="0"/>
    <n v="0"/>
    <n v="0"/>
    <n v="0"/>
    <n v="0"/>
    <m/>
    <s v="ACTIFS MATERIEL IMMOBILISES  |  VALEUR BILAN FIN D'ANNEE  |  TOTAL ACTIFS IMMOBILISES"/>
    <m/>
    <x v="1"/>
    <x v="2"/>
    <m/>
    <x v="0"/>
    <n v="1"/>
    <m/>
    <m/>
  </r>
  <r>
    <x v="3"/>
    <x v="2"/>
    <x v="0"/>
    <x v="0"/>
    <x v="0"/>
    <x v="0"/>
    <x v="2"/>
    <m/>
    <m/>
    <m/>
    <m/>
    <m/>
    <m/>
    <m/>
    <m/>
    <m/>
    <m/>
    <m/>
    <m/>
    <m/>
    <m/>
    <m/>
    <m/>
    <m/>
    <m/>
    <x v="0"/>
    <x v="0"/>
    <m/>
    <x v="0"/>
    <m/>
    <m/>
    <m/>
  </r>
  <r>
    <x v="3"/>
    <x v="7"/>
    <x v="28"/>
    <x v="2"/>
    <x v="131"/>
    <x v="76"/>
    <x v="18"/>
    <m/>
    <n v="0"/>
    <n v="0"/>
    <n v="0.2"/>
    <n v="0"/>
    <n v="0"/>
    <n v="0"/>
    <m/>
    <m/>
    <n v="0"/>
    <n v="0"/>
    <n v="0"/>
    <n v="0"/>
    <n v="0"/>
    <n v="0"/>
    <m/>
    <s v="ACTIFS IMMATERIELS  |  VALEUR BILAN FIN D'ANNEE  |  ACTIFS IMMATERIELS"/>
    <m/>
    <x v="2"/>
    <x v="0"/>
    <m/>
    <x v="0"/>
    <n v="1"/>
    <m/>
    <m/>
  </r>
  <r>
    <x v="3"/>
    <x v="7"/>
    <x v="28"/>
    <x v="2"/>
    <x v="132"/>
    <x v="76"/>
    <x v="18"/>
    <m/>
    <n v="0"/>
    <n v="0"/>
    <n v="0.2"/>
    <n v="0"/>
    <n v="0"/>
    <n v="0"/>
    <m/>
    <m/>
    <n v="0"/>
    <n v="0"/>
    <n v="0"/>
    <n v="0"/>
    <n v="0"/>
    <n v="0"/>
    <m/>
    <s v="ACTIFS IMMATERIELS  |  VALEUR BILAN FIN D'ANNEE  |  ACTIFS IMMATERIELS"/>
    <m/>
    <x v="2"/>
    <x v="0"/>
    <m/>
    <x v="0"/>
    <n v="1"/>
    <m/>
    <m/>
  </r>
  <r>
    <x v="3"/>
    <x v="7"/>
    <x v="28"/>
    <x v="2"/>
    <x v="133"/>
    <x v="76"/>
    <x v="18"/>
    <m/>
    <n v="0"/>
    <n v="0"/>
    <n v="0.2"/>
    <n v="0"/>
    <n v="0"/>
    <n v="0"/>
    <m/>
    <m/>
    <n v="0"/>
    <n v="0"/>
    <n v="0"/>
    <n v="0"/>
    <n v="0"/>
    <n v="0"/>
    <m/>
    <s v="ACTIFS IMMATERIELS  |  VALEUR BILAN FIN D'ANNEE  |  ACTIFS IMMATERIELS"/>
    <m/>
    <x v="2"/>
    <x v="0"/>
    <m/>
    <x v="0"/>
    <n v="1"/>
    <m/>
    <m/>
  </r>
  <r>
    <x v="3"/>
    <x v="7"/>
    <x v="28"/>
    <x v="2"/>
    <x v="134"/>
    <x v="76"/>
    <x v="18"/>
    <m/>
    <n v="0"/>
    <n v="0"/>
    <n v="0.2"/>
    <n v="0"/>
    <n v="0"/>
    <n v="0"/>
    <m/>
    <m/>
    <n v="0"/>
    <n v="0"/>
    <n v="0"/>
    <n v="0"/>
    <n v="0"/>
    <n v="0"/>
    <m/>
    <s v="ACTIFS IMMATERIELS  |  VALEUR BILAN FIN D'ANNEE  |  ACTIFS IMMATERIELS"/>
    <m/>
    <x v="2"/>
    <x v="0"/>
    <m/>
    <x v="0"/>
    <n v="1"/>
    <m/>
    <m/>
  </r>
  <r>
    <x v="3"/>
    <x v="7"/>
    <x v="28"/>
    <x v="2"/>
    <x v="135"/>
    <x v="76"/>
    <x v="18"/>
    <m/>
    <n v="0"/>
    <n v="0"/>
    <n v="0.2"/>
    <n v="0"/>
    <n v="0"/>
    <n v="0"/>
    <m/>
    <m/>
    <n v="0"/>
    <n v="0"/>
    <n v="0"/>
    <n v="0"/>
    <n v="0"/>
    <n v="0"/>
    <m/>
    <s v="ACTIFS IMMATERIELS  |  VALEUR BILAN FIN D'ANNEE  |  ACTIFS IMMATERIELS"/>
    <m/>
    <x v="2"/>
    <x v="0"/>
    <m/>
    <x v="0"/>
    <n v="1"/>
    <m/>
    <m/>
  </r>
  <r>
    <x v="3"/>
    <x v="7"/>
    <x v="28"/>
    <x v="2"/>
    <x v="136"/>
    <x v="77"/>
    <x v="2"/>
    <m/>
    <m/>
    <n v="0"/>
    <m/>
    <n v="0"/>
    <n v="0"/>
    <n v="0"/>
    <m/>
    <m/>
    <n v="0"/>
    <n v="0"/>
    <n v="0"/>
    <n v="0"/>
    <n v="0"/>
    <n v="0"/>
    <m/>
    <s v="ACTIFS IMMATERIELS  |  VALEUR BILAN FIN D'ANNEE  |  TOTAL ACTIFS IMMATERIELS"/>
    <m/>
    <x v="1"/>
    <x v="2"/>
    <m/>
    <x v="0"/>
    <n v="1"/>
    <m/>
    <m/>
  </r>
  <r>
    <x v="3"/>
    <x v="2"/>
    <x v="0"/>
    <x v="0"/>
    <x v="0"/>
    <x v="0"/>
    <x v="2"/>
    <m/>
    <m/>
    <m/>
    <m/>
    <m/>
    <m/>
    <m/>
    <m/>
    <m/>
    <m/>
    <m/>
    <m/>
    <m/>
    <m/>
    <m/>
    <m/>
    <m/>
    <m/>
    <x v="0"/>
    <x v="0"/>
    <m/>
    <x v="0"/>
    <m/>
    <m/>
    <m/>
  </r>
  <r>
    <x v="3"/>
    <x v="8"/>
    <x v="28"/>
    <x v="2"/>
    <x v="137"/>
    <x v="78"/>
    <x v="18"/>
    <m/>
    <n v="0"/>
    <n v="0"/>
    <n v="0.2"/>
    <n v="0"/>
    <n v="0"/>
    <n v="0"/>
    <m/>
    <m/>
    <n v="0"/>
    <n v="0"/>
    <n v="0"/>
    <n v="0"/>
    <n v="0"/>
    <n v="0"/>
    <m/>
    <s v="FRAIS DE DEMARRAGE  |  VALEUR BILAN FIN D'ANNEE  |  FRAIS DE DEMARRAGE"/>
    <m/>
    <x v="2"/>
    <x v="0"/>
    <m/>
    <x v="0"/>
    <n v="1"/>
    <m/>
    <m/>
  </r>
  <r>
    <x v="3"/>
    <x v="8"/>
    <x v="28"/>
    <x v="2"/>
    <x v="138"/>
    <x v="78"/>
    <x v="18"/>
    <m/>
    <n v="0"/>
    <n v="0"/>
    <n v="0.2"/>
    <n v="0"/>
    <n v="0"/>
    <n v="0"/>
    <m/>
    <m/>
    <n v="0"/>
    <n v="0"/>
    <n v="0"/>
    <n v="0"/>
    <n v="0"/>
    <n v="0"/>
    <m/>
    <s v="FRAIS DE DEMARRAGE  |  VALEUR BILAN FIN D'ANNEE  |  FRAIS DE DEMARRAGE"/>
    <m/>
    <x v="2"/>
    <x v="0"/>
    <m/>
    <x v="0"/>
    <n v="1"/>
    <m/>
    <m/>
  </r>
  <r>
    <x v="3"/>
    <x v="8"/>
    <x v="28"/>
    <x v="2"/>
    <x v="139"/>
    <x v="78"/>
    <x v="18"/>
    <m/>
    <n v="0"/>
    <n v="0"/>
    <n v="0.2"/>
    <n v="0"/>
    <n v="0"/>
    <n v="0"/>
    <m/>
    <m/>
    <n v="0"/>
    <n v="0"/>
    <n v="0"/>
    <n v="0"/>
    <n v="0"/>
    <n v="0"/>
    <m/>
    <s v="FRAIS DE DEMARRAGE  |  VALEUR BILAN FIN D'ANNEE  |  FRAIS DE DEMARRAGE"/>
    <m/>
    <x v="2"/>
    <x v="0"/>
    <m/>
    <x v="0"/>
    <n v="1"/>
    <m/>
    <m/>
  </r>
  <r>
    <x v="3"/>
    <x v="8"/>
    <x v="28"/>
    <x v="2"/>
    <x v="140"/>
    <x v="78"/>
    <x v="18"/>
    <m/>
    <n v="0"/>
    <n v="0"/>
    <n v="0.2"/>
    <n v="0"/>
    <n v="0"/>
    <n v="0"/>
    <m/>
    <m/>
    <n v="0"/>
    <n v="0"/>
    <n v="0"/>
    <n v="0"/>
    <n v="0"/>
    <n v="0"/>
    <m/>
    <s v="FRAIS DE DEMARRAGE  |  VALEUR BILAN FIN D'ANNEE  |  FRAIS DE DEMARRAGE"/>
    <m/>
    <x v="2"/>
    <x v="0"/>
    <m/>
    <x v="0"/>
    <n v="1"/>
    <m/>
    <m/>
  </r>
  <r>
    <x v="3"/>
    <x v="8"/>
    <x v="28"/>
    <x v="2"/>
    <x v="141"/>
    <x v="78"/>
    <x v="18"/>
    <m/>
    <n v="0"/>
    <n v="0"/>
    <n v="0.2"/>
    <n v="0"/>
    <n v="0"/>
    <n v="0"/>
    <m/>
    <m/>
    <n v="0"/>
    <n v="0"/>
    <n v="0"/>
    <n v="0"/>
    <n v="0"/>
    <n v="0"/>
    <m/>
    <s v="FRAIS DE DEMARRAGE  |  VALEUR BILAN FIN D'ANNEE  |  FRAIS DE DEMARRAGE"/>
    <m/>
    <x v="2"/>
    <x v="0"/>
    <m/>
    <x v="0"/>
    <n v="1"/>
    <m/>
    <m/>
  </r>
  <r>
    <x v="3"/>
    <x v="8"/>
    <x v="28"/>
    <x v="2"/>
    <x v="142"/>
    <x v="79"/>
    <x v="2"/>
    <m/>
    <m/>
    <n v="0"/>
    <m/>
    <n v="0"/>
    <n v="0"/>
    <n v="0"/>
    <m/>
    <m/>
    <n v="0"/>
    <n v="0"/>
    <n v="0"/>
    <n v="0"/>
    <n v="0"/>
    <n v="0"/>
    <m/>
    <s v="FRAIS DE DEMARRAGE  |  VALEUR BILAN FIN D'ANNEE  |  TOTAL FRAIS DE DEMARRAGE"/>
    <m/>
    <x v="1"/>
    <x v="2"/>
    <m/>
    <x v="0"/>
    <n v="1"/>
    <m/>
    <m/>
  </r>
  <r>
    <x v="3"/>
    <x v="2"/>
    <x v="0"/>
    <x v="0"/>
    <x v="0"/>
    <x v="0"/>
    <x v="2"/>
    <m/>
    <m/>
    <m/>
    <m/>
    <m/>
    <m/>
    <m/>
    <m/>
    <m/>
    <m/>
    <m/>
    <m/>
    <m/>
    <m/>
    <m/>
    <m/>
    <m/>
    <m/>
    <x v="0"/>
    <x v="0"/>
    <m/>
    <x v="0"/>
    <m/>
    <m/>
    <m/>
  </r>
  <r>
    <x v="3"/>
    <x v="9"/>
    <x v="28"/>
    <x v="2"/>
    <x v="143"/>
    <x v="80"/>
    <x v="2"/>
    <m/>
    <m/>
    <n v="0"/>
    <m/>
    <n v="0"/>
    <n v="0"/>
    <n v="0"/>
    <m/>
    <m/>
    <n v="0"/>
    <n v="0"/>
    <n v="0"/>
    <n v="0"/>
    <n v="0"/>
    <n v="0"/>
    <m/>
    <s v="TOTAL ACTIF  |  VALEUR BILAN FIN D'ANNEE  |  TOTAL ACTIF"/>
    <m/>
    <x v="1"/>
    <x v="2"/>
    <m/>
    <x v="0"/>
    <n v="1"/>
    <m/>
    <m/>
  </r>
  <r>
    <x v="3"/>
    <x v="2"/>
    <x v="0"/>
    <x v="0"/>
    <x v="0"/>
    <x v="0"/>
    <x v="2"/>
    <m/>
    <m/>
    <m/>
    <m/>
    <m/>
    <m/>
    <m/>
    <m/>
    <m/>
    <m/>
    <m/>
    <m/>
    <m/>
    <m/>
    <m/>
    <m/>
    <m/>
    <m/>
    <x v="0"/>
    <x v="0"/>
    <m/>
    <x v="0"/>
    <m/>
    <m/>
    <m/>
  </r>
  <r>
    <x v="3"/>
    <x v="2"/>
    <x v="0"/>
    <x v="0"/>
    <x v="0"/>
    <x v="0"/>
    <x v="2"/>
    <m/>
    <m/>
    <m/>
    <m/>
    <m/>
    <m/>
    <m/>
    <m/>
    <m/>
    <m/>
    <m/>
    <m/>
    <m/>
    <m/>
    <m/>
    <m/>
    <m/>
    <m/>
    <x v="0"/>
    <x v="0"/>
    <m/>
    <x v="0"/>
    <m/>
    <m/>
    <m/>
  </r>
  <r>
    <x v="4"/>
    <x v="2"/>
    <x v="0"/>
    <x v="0"/>
    <x v="0"/>
    <x v="0"/>
    <x v="2"/>
    <m/>
    <m/>
    <m/>
    <m/>
    <m/>
    <m/>
    <m/>
    <m/>
    <m/>
    <m/>
    <m/>
    <m/>
    <m/>
    <m/>
    <m/>
    <m/>
    <m/>
    <m/>
    <x v="0"/>
    <x v="0"/>
    <m/>
    <x v="0"/>
    <m/>
    <m/>
    <m/>
  </r>
  <r>
    <x v="4"/>
    <x v="2"/>
    <x v="0"/>
    <x v="0"/>
    <x v="0"/>
    <x v="0"/>
    <x v="2"/>
    <m/>
    <m/>
    <m/>
    <m/>
    <m/>
    <m/>
    <m/>
    <m/>
    <m/>
    <m/>
    <m/>
    <m/>
    <m/>
    <m/>
    <m/>
    <m/>
    <m/>
    <m/>
    <x v="0"/>
    <x v="0"/>
    <m/>
    <x v="0"/>
    <m/>
    <m/>
    <m/>
  </r>
  <r>
    <x v="4"/>
    <x v="10"/>
    <x v="29"/>
    <x v="5"/>
    <x v="0"/>
    <x v="81"/>
    <x v="19"/>
    <m/>
    <m/>
    <m/>
    <m/>
    <m/>
    <n v="0"/>
    <n v="0"/>
    <m/>
    <m/>
    <n v="45"/>
    <n v="45"/>
    <n v="60"/>
    <n v="60"/>
    <n v="60"/>
    <n v="60"/>
    <m/>
    <s v="FONDS DE ROULEMENT  |  STOCK  |  PERIODE DE STOCK EXPRIME EN NOMBRE DE JOURS"/>
    <m/>
    <x v="0"/>
    <x v="0"/>
    <n v="1"/>
    <x v="0"/>
    <n v="1"/>
    <m/>
    <m/>
  </r>
  <r>
    <x v="4"/>
    <x v="10"/>
    <x v="29"/>
    <x v="2"/>
    <x v="0"/>
    <x v="82"/>
    <x v="20"/>
    <m/>
    <m/>
    <m/>
    <m/>
    <m/>
    <n v="0"/>
    <n v="0"/>
    <m/>
    <m/>
    <n v="0"/>
    <n v="0"/>
    <n v="0"/>
    <n v="0"/>
    <n v="0"/>
    <n v="0"/>
    <m/>
    <s v="FONDS DE ROULEMENT  |  STOCK  |  COUT DES PRODUITS PAR JOUR"/>
    <m/>
    <x v="0"/>
    <x v="0"/>
    <n v="1"/>
    <x v="0"/>
    <n v="1"/>
    <m/>
    <m/>
  </r>
  <r>
    <x v="4"/>
    <x v="10"/>
    <x v="29"/>
    <x v="2"/>
    <x v="0"/>
    <x v="83"/>
    <x v="2"/>
    <m/>
    <m/>
    <m/>
    <m/>
    <m/>
    <n v="0"/>
    <n v="0"/>
    <m/>
    <m/>
    <n v="0"/>
    <n v="0"/>
    <n v="0"/>
    <n v="0"/>
    <n v="0"/>
    <n v="0"/>
    <m/>
    <s v="FONDS DE ROULEMENT  |  STOCK  |  VALEUR DU STOCK SUR LA PERIODE"/>
    <m/>
    <x v="0"/>
    <x v="2"/>
    <n v="1"/>
    <x v="0"/>
    <n v="1"/>
    <m/>
    <m/>
  </r>
  <r>
    <x v="4"/>
    <x v="2"/>
    <x v="0"/>
    <x v="0"/>
    <x v="0"/>
    <x v="0"/>
    <x v="2"/>
    <m/>
    <m/>
    <m/>
    <m/>
    <m/>
    <m/>
    <m/>
    <m/>
    <m/>
    <m/>
    <m/>
    <m/>
    <m/>
    <m/>
    <m/>
    <m/>
    <m/>
    <m/>
    <x v="0"/>
    <x v="0"/>
    <m/>
    <x v="0"/>
    <m/>
    <m/>
    <m/>
  </r>
  <r>
    <x v="4"/>
    <x v="10"/>
    <x v="30"/>
    <x v="5"/>
    <x v="0"/>
    <x v="84"/>
    <x v="19"/>
    <m/>
    <m/>
    <m/>
    <m/>
    <m/>
    <n v="0"/>
    <n v="0"/>
    <m/>
    <m/>
    <n v="15"/>
    <n v="15"/>
    <n v="15"/>
    <n v="15"/>
    <n v="15"/>
    <n v="15"/>
    <m/>
    <s v="FONDS DE ROULEMENT  |  COMPTES A RECEVOIR  |  PERIODE DE PAIEMENT DES CLIENTS EXPRIME EN NOMBRE DE JOURS"/>
    <m/>
    <x v="0"/>
    <x v="0"/>
    <n v="1"/>
    <x v="0"/>
    <n v="1"/>
    <m/>
    <m/>
  </r>
  <r>
    <x v="4"/>
    <x v="10"/>
    <x v="30"/>
    <x v="2"/>
    <x v="0"/>
    <x v="85"/>
    <x v="21"/>
    <n v="0.18"/>
    <m/>
    <m/>
    <m/>
    <m/>
    <n v="0"/>
    <n v="0"/>
    <m/>
    <m/>
    <n v="0"/>
    <n v="0"/>
    <n v="0"/>
    <n v="0"/>
    <n v="0"/>
    <n v="0"/>
    <m/>
    <s v="FONDS DE ROULEMENT  |  COMPTES A RECEVOIR  |  REVENUS (TVA INCLUSE) PAR JOUR"/>
    <m/>
    <x v="0"/>
    <x v="0"/>
    <n v="1"/>
    <x v="0"/>
    <n v="1"/>
    <m/>
    <m/>
  </r>
  <r>
    <x v="4"/>
    <x v="10"/>
    <x v="30"/>
    <x v="2"/>
    <x v="0"/>
    <x v="86"/>
    <x v="2"/>
    <m/>
    <m/>
    <m/>
    <m/>
    <m/>
    <n v="0"/>
    <n v="0"/>
    <m/>
    <m/>
    <n v="0"/>
    <n v="0"/>
    <n v="0"/>
    <n v="0"/>
    <n v="0"/>
    <n v="0"/>
    <m/>
    <s v="FONDS DE ROULEMENT  |  COMPTES A RECEVOIR  |  VALEUR DES COMPTES A RECEVOIR SUR LA PERIODE"/>
    <m/>
    <x v="0"/>
    <x v="2"/>
    <n v="1"/>
    <x v="0"/>
    <n v="1"/>
    <m/>
    <m/>
  </r>
  <r>
    <x v="4"/>
    <x v="2"/>
    <x v="0"/>
    <x v="0"/>
    <x v="0"/>
    <x v="0"/>
    <x v="2"/>
    <m/>
    <m/>
    <m/>
    <m/>
    <m/>
    <m/>
    <m/>
    <m/>
    <m/>
    <m/>
    <m/>
    <m/>
    <m/>
    <m/>
    <m/>
    <m/>
    <m/>
    <m/>
    <x v="0"/>
    <x v="0"/>
    <m/>
    <x v="0"/>
    <m/>
    <m/>
    <m/>
  </r>
  <r>
    <x v="4"/>
    <x v="10"/>
    <x v="31"/>
    <x v="5"/>
    <x v="0"/>
    <x v="87"/>
    <x v="19"/>
    <m/>
    <m/>
    <m/>
    <m/>
    <m/>
    <n v="0"/>
    <n v="0"/>
    <m/>
    <m/>
    <n v="30"/>
    <n v="30"/>
    <n v="30"/>
    <n v="30"/>
    <n v="30"/>
    <n v="30"/>
    <m/>
    <s v="FONDS DE ROULEMENT  |  COMPTES A PAYER  |  PERIODE DE PAIEMENT DES FOURNISSEURS EXPRIME EN NOMBRE DE JOURS"/>
    <m/>
    <x v="0"/>
    <x v="0"/>
    <n v="1"/>
    <x v="0"/>
    <n v="1"/>
    <m/>
    <m/>
  </r>
  <r>
    <x v="4"/>
    <x v="10"/>
    <x v="31"/>
    <x v="2"/>
    <x v="0"/>
    <x v="88"/>
    <x v="21"/>
    <n v="0.18"/>
    <m/>
    <m/>
    <m/>
    <m/>
    <n v="0"/>
    <n v="0"/>
    <m/>
    <m/>
    <n v="0"/>
    <n v="0"/>
    <n v="0"/>
    <n v="0"/>
    <n v="0"/>
    <n v="0"/>
    <m/>
    <s v="FONDS DE ROULEMENT  |  COMPTES A PAYER  |  COUT DES REVENUS PLUS DEPENSES OPERATIONNELLES MOINS SALAIRES DU PERSONNEL (TVA INCLUSE) PAR JOUR"/>
    <m/>
    <x v="0"/>
    <x v="0"/>
    <n v="1"/>
    <x v="0"/>
    <n v="1"/>
    <m/>
    <m/>
  </r>
  <r>
    <x v="4"/>
    <x v="10"/>
    <x v="31"/>
    <x v="2"/>
    <x v="0"/>
    <x v="89"/>
    <x v="2"/>
    <m/>
    <m/>
    <m/>
    <m/>
    <m/>
    <n v="0"/>
    <n v="0"/>
    <m/>
    <m/>
    <n v="0"/>
    <n v="0"/>
    <n v="0"/>
    <n v="0"/>
    <n v="0"/>
    <n v="0"/>
    <m/>
    <s v="FONDS DE ROULEMENT  |  COMPTES A PAYER  |  VALEUR DES COMPTES A PAYER SUR LA PERIODE"/>
    <m/>
    <x v="0"/>
    <x v="2"/>
    <n v="1"/>
    <x v="0"/>
    <n v="1"/>
    <m/>
    <m/>
  </r>
  <r>
    <x v="4"/>
    <x v="2"/>
    <x v="0"/>
    <x v="0"/>
    <x v="0"/>
    <x v="0"/>
    <x v="2"/>
    <m/>
    <m/>
    <m/>
    <m/>
    <m/>
    <m/>
    <m/>
    <m/>
    <m/>
    <m/>
    <m/>
    <m/>
    <m/>
    <m/>
    <m/>
    <m/>
    <m/>
    <m/>
    <x v="0"/>
    <x v="0"/>
    <m/>
    <x v="0"/>
    <m/>
    <m/>
    <m/>
  </r>
  <r>
    <x v="4"/>
    <x v="10"/>
    <x v="32"/>
    <x v="2"/>
    <x v="0"/>
    <x v="4"/>
    <x v="2"/>
    <m/>
    <m/>
    <m/>
    <m/>
    <m/>
    <n v="0"/>
    <n v="0"/>
    <m/>
    <m/>
    <n v="0"/>
    <n v="0"/>
    <n v="0"/>
    <n v="0"/>
    <n v="0"/>
    <n v="0"/>
    <m/>
    <s v="FONDS DE ROULEMENT  |  FONDS DE ROULEMENT  |  TOTAL"/>
    <m/>
    <x v="0"/>
    <x v="2"/>
    <n v="1"/>
    <x v="0"/>
    <n v="1"/>
    <m/>
    <m/>
  </r>
  <r>
    <x v="4"/>
    <x v="2"/>
    <x v="0"/>
    <x v="0"/>
    <x v="0"/>
    <x v="0"/>
    <x v="2"/>
    <m/>
    <m/>
    <m/>
    <m/>
    <m/>
    <m/>
    <m/>
    <m/>
    <m/>
    <m/>
    <m/>
    <m/>
    <m/>
    <m/>
    <m/>
    <m/>
    <m/>
    <m/>
    <x v="0"/>
    <x v="0"/>
    <m/>
    <x v="0"/>
    <m/>
    <m/>
    <m/>
  </r>
  <r>
    <x v="4"/>
    <x v="2"/>
    <x v="0"/>
    <x v="0"/>
    <x v="0"/>
    <x v="0"/>
    <x v="2"/>
    <m/>
    <m/>
    <m/>
    <m/>
    <m/>
    <m/>
    <m/>
    <m/>
    <m/>
    <m/>
    <m/>
    <m/>
    <m/>
    <m/>
    <m/>
    <m/>
    <m/>
    <m/>
    <x v="0"/>
    <x v="0"/>
    <m/>
    <x v="0"/>
    <m/>
    <m/>
    <m/>
  </r>
  <r>
    <x v="5"/>
    <x v="2"/>
    <x v="0"/>
    <x v="0"/>
    <x v="0"/>
    <x v="0"/>
    <x v="2"/>
    <m/>
    <m/>
    <m/>
    <m/>
    <m/>
    <m/>
    <m/>
    <m/>
    <m/>
    <m/>
    <m/>
    <m/>
    <m/>
    <m/>
    <m/>
    <m/>
    <m/>
    <m/>
    <x v="0"/>
    <x v="0"/>
    <m/>
    <x v="0"/>
    <m/>
    <m/>
    <m/>
  </r>
  <r>
    <x v="5"/>
    <x v="2"/>
    <x v="0"/>
    <x v="0"/>
    <x v="0"/>
    <x v="0"/>
    <x v="2"/>
    <m/>
    <m/>
    <m/>
    <m/>
    <m/>
    <m/>
    <m/>
    <m/>
    <m/>
    <m/>
    <m/>
    <m/>
    <m/>
    <m/>
    <m/>
    <m/>
    <m/>
    <m/>
    <x v="0"/>
    <x v="0"/>
    <m/>
    <x v="0"/>
    <m/>
    <m/>
    <m/>
  </r>
  <r>
    <x v="5"/>
    <x v="11"/>
    <x v="13"/>
    <x v="2"/>
    <x v="0"/>
    <x v="4"/>
    <x v="2"/>
    <m/>
    <m/>
    <m/>
    <m/>
    <m/>
    <n v="0"/>
    <n v="0"/>
    <m/>
    <m/>
    <n v="0"/>
    <n v="0"/>
    <n v="0"/>
    <n v="0"/>
    <n v="0"/>
    <n v="0"/>
    <m/>
    <s v="COMPTE DE PERTES ET PROFITS  |  CHIFFRE D'AFFAIRES  |  TOTAL"/>
    <b v="1"/>
    <x v="0"/>
    <x v="2"/>
    <m/>
    <x v="1"/>
    <n v="1"/>
    <m/>
    <m/>
  </r>
  <r>
    <x v="5"/>
    <x v="2"/>
    <x v="0"/>
    <x v="0"/>
    <x v="0"/>
    <x v="0"/>
    <x v="2"/>
    <m/>
    <m/>
    <m/>
    <m/>
    <m/>
    <m/>
    <m/>
    <m/>
    <m/>
    <m/>
    <m/>
    <m/>
    <m/>
    <m/>
    <m/>
    <m/>
    <m/>
    <m/>
    <x v="0"/>
    <x v="0"/>
    <m/>
    <x v="0"/>
    <m/>
    <m/>
    <m/>
  </r>
  <r>
    <x v="5"/>
    <x v="11"/>
    <x v="14"/>
    <x v="2"/>
    <x v="0"/>
    <x v="4"/>
    <x v="2"/>
    <m/>
    <m/>
    <m/>
    <m/>
    <m/>
    <n v="0"/>
    <n v="0"/>
    <m/>
    <m/>
    <n v="0"/>
    <n v="0"/>
    <n v="0"/>
    <n v="0"/>
    <n v="0"/>
    <n v="0"/>
    <m/>
    <s v="COMPTE DE PERTES ET PROFITS  |  DEPENSES SUR ACHATS  |  TOTAL"/>
    <m/>
    <x v="0"/>
    <x v="2"/>
    <m/>
    <x v="1"/>
    <n v="1"/>
    <m/>
    <m/>
  </r>
  <r>
    <x v="5"/>
    <x v="2"/>
    <x v="0"/>
    <x v="0"/>
    <x v="0"/>
    <x v="0"/>
    <x v="2"/>
    <m/>
    <m/>
    <m/>
    <m/>
    <m/>
    <m/>
    <m/>
    <m/>
    <m/>
    <m/>
    <m/>
    <m/>
    <m/>
    <m/>
    <m/>
    <m/>
    <m/>
    <m/>
    <x v="0"/>
    <x v="0"/>
    <m/>
    <x v="0"/>
    <m/>
    <m/>
    <m/>
  </r>
  <r>
    <x v="5"/>
    <x v="11"/>
    <x v="15"/>
    <x v="2"/>
    <x v="0"/>
    <x v="4"/>
    <x v="2"/>
    <m/>
    <m/>
    <m/>
    <m/>
    <m/>
    <n v="0"/>
    <n v="0"/>
    <m/>
    <m/>
    <n v="0"/>
    <n v="0"/>
    <n v="0"/>
    <n v="0"/>
    <n v="0"/>
    <n v="0"/>
    <m/>
    <s v="COMPTE DE PERTES ET PROFITS  |  MARGE BRUTE  |  TOTAL"/>
    <b v="1"/>
    <x v="0"/>
    <x v="2"/>
    <m/>
    <x v="1"/>
    <n v="1"/>
    <m/>
    <m/>
  </r>
  <r>
    <x v="5"/>
    <x v="2"/>
    <x v="0"/>
    <x v="0"/>
    <x v="0"/>
    <x v="0"/>
    <x v="2"/>
    <m/>
    <m/>
    <m/>
    <m/>
    <m/>
    <m/>
    <m/>
    <m/>
    <m/>
    <m/>
    <m/>
    <m/>
    <m/>
    <m/>
    <m/>
    <m/>
    <m/>
    <m/>
    <x v="0"/>
    <x v="0"/>
    <m/>
    <x v="0"/>
    <m/>
    <m/>
    <m/>
  </r>
  <r>
    <x v="5"/>
    <x v="11"/>
    <x v="25"/>
    <x v="2"/>
    <x v="0"/>
    <x v="4"/>
    <x v="2"/>
    <m/>
    <m/>
    <m/>
    <m/>
    <m/>
    <n v="0"/>
    <n v="0"/>
    <m/>
    <m/>
    <n v="0"/>
    <n v="0"/>
    <n v="0"/>
    <n v="0"/>
    <n v="0"/>
    <n v="0"/>
    <m/>
    <s v="COMPTE DE PERTES ET PROFITS  |  DEPENSES OPERATIONNELLES  |  TOTAL"/>
    <m/>
    <x v="0"/>
    <x v="2"/>
    <m/>
    <x v="1"/>
    <n v="1"/>
    <m/>
    <m/>
  </r>
  <r>
    <x v="5"/>
    <x v="2"/>
    <x v="0"/>
    <x v="0"/>
    <x v="0"/>
    <x v="0"/>
    <x v="2"/>
    <m/>
    <m/>
    <m/>
    <m/>
    <m/>
    <m/>
    <m/>
    <m/>
    <m/>
    <m/>
    <m/>
    <m/>
    <m/>
    <m/>
    <m/>
    <m/>
    <m/>
    <m/>
    <x v="0"/>
    <x v="0"/>
    <m/>
    <x v="0"/>
    <m/>
    <m/>
    <m/>
  </r>
  <r>
    <x v="5"/>
    <x v="11"/>
    <x v="33"/>
    <x v="2"/>
    <x v="0"/>
    <x v="4"/>
    <x v="2"/>
    <m/>
    <m/>
    <m/>
    <m/>
    <m/>
    <n v="0"/>
    <n v="0"/>
    <m/>
    <m/>
    <n v="0"/>
    <n v="0"/>
    <n v="0"/>
    <n v="0"/>
    <n v="0"/>
    <n v="0"/>
    <m/>
    <s v="COMPTE DE PERTES ET PROFITS  |  EBITDA  |  TOTAL"/>
    <m/>
    <x v="0"/>
    <x v="2"/>
    <m/>
    <x v="1"/>
    <n v="1"/>
    <m/>
    <m/>
  </r>
  <r>
    <x v="5"/>
    <x v="2"/>
    <x v="0"/>
    <x v="0"/>
    <x v="0"/>
    <x v="0"/>
    <x v="2"/>
    <m/>
    <m/>
    <m/>
    <m/>
    <m/>
    <m/>
    <m/>
    <m/>
    <m/>
    <m/>
    <m/>
    <m/>
    <m/>
    <m/>
    <m/>
    <m/>
    <m/>
    <m/>
    <x v="0"/>
    <x v="0"/>
    <m/>
    <x v="0"/>
    <m/>
    <m/>
    <m/>
  </r>
  <r>
    <x v="5"/>
    <x v="11"/>
    <x v="27"/>
    <x v="2"/>
    <x v="0"/>
    <x v="4"/>
    <x v="2"/>
    <m/>
    <m/>
    <m/>
    <m/>
    <m/>
    <n v="0"/>
    <n v="0"/>
    <m/>
    <m/>
    <n v="0"/>
    <n v="0"/>
    <n v="0"/>
    <n v="0"/>
    <n v="0"/>
    <n v="0"/>
    <m/>
    <s v="COMPTE DE PERTES ET PROFITS  |  AMORTISSEMENTS  |  TOTAL"/>
    <m/>
    <x v="0"/>
    <x v="2"/>
    <m/>
    <x v="0"/>
    <n v="1"/>
    <m/>
    <m/>
  </r>
  <r>
    <x v="5"/>
    <x v="2"/>
    <x v="0"/>
    <x v="0"/>
    <x v="0"/>
    <x v="0"/>
    <x v="2"/>
    <m/>
    <m/>
    <m/>
    <m/>
    <m/>
    <m/>
    <m/>
    <m/>
    <m/>
    <m/>
    <m/>
    <m/>
    <m/>
    <m/>
    <m/>
    <m/>
    <m/>
    <m/>
    <x v="0"/>
    <x v="0"/>
    <m/>
    <x v="0"/>
    <m/>
    <m/>
    <m/>
  </r>
  <r>
    <x v="5"/>
    <x v="11"/>
    <x v="34"/>
    <x v="2"/>
    <x v="0"/>
    <x v="4"/>
    <x v="2"/>
    <m/>
    <m/>
    <m/>
    <m/>
    <m/>
    <n v="0"/>
    <n v="0"/>
    <m/>
    <m/>
    <n v="0"/>
    <n v="0"/>
    <n v="0"/>
    <n v="0"/>
    <n v="0"/>
    <n v="0"/>
    <m/>
    <s v="COMPTE DE PERTES ET PROFITS  |  EBIT  |  TOTAL"/>
    <m/>
    <x v="0"/>
    <x v="2"/>
    <m/>
    <x v="1"/>
    <n v="1"/>
    <m/>
    <m/>
  </r>
  <r>
    <x v="5"/>
    <x v="2"/>
    <x v="0"/>
    <x v="0"/>
    <x v="0"/>
    <x v="0"/>
    <x v="2"/>
    <m/>
    <m/>
    <m/>
    <m/>
    <m/>
    <m/>
    <m/>
    <m/>
    <m/>
    <m/>
    <m/>
    <m/>
    <m/>
    <m/>
    <m/>
    <m/>
    <m/>
    <m/>
    <x v="0"/>
    <x v="0"/>
    <m/>
    <x v="0"/>
    <m/>
    <m/>
    <m/>
  </r>
  <r>
    <x v="5"/>
    <x v="11"/>
    <x v="35"/>
    <x v="2"/>
    <x v="0"/>
    <x v="90"/>
    <x v="2"/>
    <m/>
    <m/>
    <m/>
    <m/>
    <m/>
    <n v="0"/>
    <n v="0"/>
    <m/>
    <m/>
    <n v="0"/>
    <n v="0"/>
    <n v="0"/>
    <n v="0"/>
    <n v="0"/>
    <n v="0"/>
    <m/>
    <s v="COMPTE DE PERTES ET PROFITS  |  VARIATION  |  + VARIATIONS DES STOCKS SUR LES ACHATS"/>
    <m/>
    <x v="0"/>
    <x v="2"/>
    <m/>
    <x v="0"/>
    <n v="1"/>
    <m/>
    <m/>
  </r>
  <r>
    <x v="5"/>
    <x v="11"/>
    <x v="35"/>
    <x v="2"/>
    <x v="0"/>
    <x v="91"/>
    <x v="2"/>
    <m/>
    <m/>
    <m/>
    <m/>
    <m/>
    <n v="0"/>
    <n v="0"/>
    <m/>
    <m/>
    <n v="0"/>
    <n v="0"/>
    <n v="0"/>
    <n v="0"/>
    <n v="0"/>
    <n v="0"/>
    <m/>
    <s v="COMPTE DE PERTES ET PROFITS  |  VARIATION  |  + VARIATION DES CREANCES"/>
    <m/>
    <x v="0"/>
    <x v="2"/>
    <m/>
    <x v="0"/>
    <n v="1"/>
    <m/>
    <m/>
  </r>
  <r>
    <x v="5"/>
    <x v="11"/>
    <x v="35"/>
    <x v="2"/>
    <x v="0"/>
    <x v="92"/>
    <x v="2"/>
    <m/>
    <m/>
    <m/>
    <m/>
    <m/>
    <n v="0"/>
    <n v="0"/>
    <m/>
    <m/>
    <n v="0"/>
    <n v="0"/>
    <n v="0"/>
    <n v="0"/>
    <n v="0"/>
    <n v="0"/>
    <m/>
    <s v="COMPTE DE PERTES ET PROFITS  |  VARIATION  |  - VARIATION DES DETTES D'EXPLOITATION"/>
    <m/>
    <x v="0"/>
    <x v="2"/>
    <m/>
    <x v="0"/>
    <n v="1"/>
    <m/>
    <m/>
  </r>
  <r>
    <x v="5"/>
    <x v="11"/>
    <x v="35"/>
    <x v="2"/>
    <x v="0"/>
    <x v="4"/>
    <x v="2"/>
    <m/>
    <m/>
    <m/>
    <m/>
    <m/>
    <n v="0"/>
    <n v="0"/>
    <n v="0"/>
    <n v="0"/>
    <n v="0"/>
    <n v="0"/>
    <n v="0"/>
    <n v="0"/>
    <n v="0"/>
    <n v="0"/>
    <m/>
    <s v="COMPTE DE PERTES ET PROFITS  |  VARIATION  |  TOTAL"/>
    <m/>
    <x v="0"/>
    <x v="2"/>
    <m/>
    <x v="0"/>
    <n v="1"/>
    <m/>
    <m/>
  </r>
  <r>
    <x v="5"/>
    <x v="2"/>
    <x v="0"/>
    <x v="0"/>
    <x v="0"/>
    <x v="0"/>
    <x v="2"/>
    <m/>
    <m/>
    <m/>
    <m/>
    <m/>
    <m/>
    <m/>
    <m/>
    <m/>
    <m/>
    <m/>
    <m/>
    <m/>
    <m/>
    <m/>
    <m/>
    <m/>
    <m/>
    <x v="0"/>
    <x v="0"/>
    <m/>
    <x v="0"/>
    <m/>
    <m/>
    <m/>
  </r>
  <r>
    <x v="5"/>
    <x v="11"/>
    <x v="36"/>
    <x v="0"/>
    <x v="0"/>
    <x v="93"/>
    <x v="22"/>
    <n v="6.0000000000000002E-5"/>
    <m/>
    <m/>
    <m/>
    <m/>
    <n v="0"/>
    <n v="0"/>
    <m/>
    <m/>
    <n v="0"/>
    <n v="0"/>
    <n v="0"/>
    <n v="0"/>
    <n v="0"/>
    <n v="0"/>
    <m/>
    <s v="COMPTE DE PERTES ET PROFITS  |  FRAIS BANCAIRES  |  FRAIS BANCAIRES"/>
    <m/>
    <x v="0"/>
    <x v="2"/>
    <m/>
    <x v="0"/>
    <n v="1"/>
    <m/>
    <m/>
  </r>
  <r>
    <x v="5"/>
    <x v="11"/>
    <x v="37"/>
    <x v="2"/>
    <x v="0"/>
    <x v="94"/>
    <x v="23"/>
    <m/>
    <m/>
    <m/>
    <m/>
    <m/>
    <n v="0"/>
    <n v="0"/>
    <m/>
    <m/>
    <n v="0"/>
    <n v="0"/>
    <n v="0"/>
    <n v="0"/>
    <n v="0"/>
    <n v="0"/>
    <m/>
    <s v="COMPTE DE PERTES ET PROFITS  |  INTERETS  |  PRET OVO"/>
    <m/>
    <x v="0"/>
    <x v="2"/>
    <m/>
    <x v="0"/>
    <n v="1"/>
    <m/>
    <m/>
  </r>
  <r>
    <x v="5"/>
    <x v="11"/>
    <x v="37"/>
    <x v="2"/>
    <x v="0"/>
    <x v="95"/>
    <x v="23"/>
    <m/>
    <m/>
    <m/>
    <m/>
    <m/>
    <n v="0"/>
    <n v="0"/>
    <m/>
    <m/>
    <n v="0"/>
    <n v="0"/>
    <n v="0"/>
    <n v="0"/>
    <n v="0"/>
    <n v="0"/>
    <m/>
    <s v="COMPTE DE PERTES ET PROFITS  |  INTERETS  |  PRET FAMILLE ET AMIS"/>
    <m/>
    <x v="0"/>
    <x v="2"/>
    <m/>
    <x v="0"/>
    <n v="1"/>
    <m/>
    <m/>
  </r>
  <r>
    <x v="5"/>
    <x v="11"/>
    <x v="37"/>
    <x v="2"/>
    <x v="0"/>
    <x v="96"/>
    <x v="23"/>
    <m/>
    <m/>
    <m/>
    <m/>
    <m/>
    <n v="0"/>
    <n v="0"/>
    <m/>
    <m/>
    <n v="0"/>
    <n v="0"/>
    <n v="0"/>
    <n v="0"/>
    <n v="0"/>
    <n v="0"/>
    <m/>
    <s v="COMPTE DE PERTES ET PROFITS  |  INTERETS  |  PRET BANQUE LOCALE"/>
    <m/>
    <x v="0"/>
    <x v="2"/>
    <m/>
    <x v="0"/>
    <n v="1"/>
    <m/>
    <m/>
  </r>
  <r>
    <x v="5"/>
    <x v="11"/>
    <x v="38"/>
    <x v="2"/>
    <x v="0"/>
    <x v="4"/>
    <x v="2"/>
    <m/>
    <m/>
    <m/>
    <m/>
    <m/>
    <n v="0"/>
    <n v="0"/>
    <m/>
    <m/>
    <n v="0"/>
    <n v="0"/>
    <n v="0"/>
    <n v="0"/>
    <n v="0"/>
    <n v="0"/>
    <m/>
    <s v="COMPTE DE PERTES ET PROFITS  |  FRAIS BANCAIRES + INTERETS  |  TOTAL"/>
    <m/>
    <x v="0"/>
    <x v="2"/>
    <m/>
    <x v="0"/>
    <n v="1"/>
    <m/>
    <m/>
  </r>
  <r>
    <x v="5"/>
    <x v="2"/>
    <x v="0"/>
    <x v="0"/>
    <x v="0"/>
    <x v="0"/>
    <x v="2"/>
    <m/>
    <m/>
    <m/>
    <m/>
    <m/>
    <m/>
    <m/>
    <m/>
    <m/>
    <m/>
    <m/>
    <m/>
    <m/>
    <m/>
    <m/>
    <m/>
    <m/>
    <m/>
    <x v="0"/>
    <x v="0"/>
    <m/>
    <x v="0"/>
    <m/>
    <m/>
    <m/>
  </r>
  <r>
    <x v="5"/>
    <x v="11"/>
    <x v="39"/>
    <x v="2"/>
    <x v="0"/>
    <x v="4"/>
    <x v="2"/>
    <m/>
    <m/>
    <m/>
    <m/>
    <m/>
    <n v="0"/>
    <n v="0"/>
    <m/>
    <m/>
    <n v="0"/>
    <n v="0"/>
    <n v="0"/>
    <n v="0"/>
    <n v="0"/>
    <n v="0"/>
    <m/>
    <s v="COMPTE DE PERTES ET PROFITS  |  BENEFICE AVANT IMPOT  |  TOTAL"/>
    <m/>
    <x v="0"/>
    <x v="2"/>
    <m/>
    <x v="1"/>
    <n v="1"/>
    <m/>
    <m/>
  </r>
  <r>
    <x v="5"/>
    <x v="2"/>
    <x v="0"/>
    <x v="0"/>
    <x v="0"/>
    <x v="0"/>
    <x v="2"/>
    <m/>
    <m/>
    <m/>
    <m/>
    <m/>
    <m/>
    <m/>
    <m/>
    <m/>
    <m/>
    <m/>
    <m/>
    <m/>
    <m/>
    <m/>
    <m/>
    <m/>
    <m/>
    <x v="0"/>
    <x v="0"/>
    <m/>
    <x v="0"/>
    <m/>
    <m/>
    <m/>
  </r>
  <r>
    <x v="5"/>
    <x v="11"/>
    <x v="40"/>
    <x v="2"/>
    <x v="144"/>
    <x v="97"/>
    <x v="24"/>
    <n v="0.04"/>
    <m/>
    <m/>
    <m/>
    <m/>
    <n v="0"/>
    <n v="0"/>
    <m/>
    <m/>
    <n v="0"/>
    <n v="0"/>
    <n v="0"/>
    <n v="0"/>
    <n v="0"/>
    <n v="0"/>
    <m/>
    <s v="COMPTE DE PERTES ET PROFITS  |  IMPOTS  |  IMPOT REGIME 1"/>
    <m/>
    <x v="0"/>
    <x v="2"/>
    <m/>
    <x v="0"/>
    <n v="1"/>
    <m/>
    <m/>
  </r>
  <r>
    <x v="5"/>
    <x v="11"/>
    <x v="40"/>
    <x v="2"/>
    <x v="145"/>
    <x v="98"/>
    <x v="25"/>
    <n v="0.3"/>
    <m/>
    <m/>
    <m/>
    <m/>
    <n v="0"/>
    <n v="0"/>
    <m/>
    <m/>
    <n v="0"/>
    <n v="0"/>
    <n v="0"/>
    <n v="0"/>
    <n v="0"/>
    <n v="0"/>
    <m/>
    <s v="COMPTE DE PERTES ET PROFITS  |  IMPOTS  |  IMPOT REGIME 2"/>
    <m/>
    <x v="0"/>
    <x v="2"/>
    <m/>
    <x v="0"/>
    <n v="1"/>
    <m/>
    <m/>
  </r>
  <r>
    <x v="5"/>
    <x v="11"/>
    <x v="40"/>
    <x v="2"/>
    <x v="146"/>
    <x v="99"/>
    <x v="18"/>
    <s v=""/>
    <m/>
    <m/>
    <m/>
    <m/>
    <n v="0"/>
    <n v="0"/>
    <m/>
    <m/>
    <n v="0"/>
    <n v="0"/>
    <n v="0"/>
    <n v="0"/>
    <n v="0"/>
    <n v="0"/>
    <m/>
    <s v="COMPTE DE PERTES ET PROFITS  |  IMPOTS  |  IMPOT REGIME 3"/>
    <m/>
    <x v="0"/>
    <x v="2"/>
    <m/>
    <x v="0"/>
    <n v="1"/>
    <m/>
    <m/>
  </r>
  <r>
    <x v="5"/>
    <x v="11"/>
    <x v="40"/>
    <x v="2"/>
    <x v="147"/>
    <x v="100"/>
    <x v="18"/>
    <s v=""/>
    <m/>
    <m/>
    <m/>
    <m/>
    <n v="0"/>
    <n v="0"/>
    <m/>
    <m/>
    <n v="0"/>
    <n v="0"/>
    <n v="0"/>
    <n v="0"/>
    <n v="0"/>
    <n v="0"/>
    <m/>
    <s v="COMPTE DE PERTES ET PROFITS  |  IMPOTS  |  IMPOT REGIME 4"/>
    <m/>
    <x v="0"/>
    <x v="2"/>
    <m/>
    <x v="0"/>
    <n v="1"/>
    <m/>
    <m/>
  </r>
  <r>
    <x v="5"/>
    <x v="11"/>
    <x v="40"/>
    <x v="2"/>
    <x v="148"/>
    <x v="101"/>
    <x v="18"/>
    <s v=""/>
    <m/>
    <m/>
    <m/>
    <m/>
    <n v="0"/>
    <n v="0"/>
    <m/>
    <m/>
    <n v="0"/>
    <n v="0"/>
    <n v="0"/>
    <n v="0"/>
    <n v="0"/>
    <n v="0"/>
    <m/>
    <s v="COMPTE DE PERTES ET PROFITS  |  IMPOTS  |  IMPOT REGIME 5"/>
    <m/>
    <x v="0"/>
    <x v="2"/>
    <m/>
    <x v="0"/>
    <n v="1"/>
    <m/>
    <m/>
  </r>
  <r>
    <x v="5"/>
    <x v="11"/>
    <x v="40"/>
    <x v="2"/>
    <x v="0"/>
    <x v="4"/>
    <x v="2"/>
    <m/>
    <m/>
    <m/>
    <m/>
    <m/>
    <n v="0"/>
    <n v="0"/>
    <m/>
    <m/>
    <n v="0"/>
    <n v="0"/>
    <n v="0"/>
    <n v="0"/>
    <n v="0"/>
    <n v="0"/>
    <m/>
    <s v="COMPTE DE PERTES ET PROFITS  |  IMPOTS  |  TOTAL"/>
    <m/>
    <x v="0"/>
    <x v="2"/>
    <m/>
    <x v="0"/>
    <n v="1"/>
    <m/>
    <m/>
  </r>
  <r>
    <x v="5"/>
    <x v="2"/>
    <x v="0"/>
    <x v="0"/>
    <x v="0"/>
    <x v="0"/>
    <x v="2"/>
    <m/>
    <m/>
    <m/>
    <m/>
    <m/>
    <m/>
    <m/>
    <m/>
    <m/>
    <m/>
    <m/>
    <m/>
    <m/>
    <m/>
    <m/>
    <m/>
    <m/>
    <m/>
    <x v="0"/>
    <x v="0"/>
    <m/>
    <x v="0"/>
    <m/>
    <m/>
    <m/>
  </r>
  <r>
    <x v="5"/>
    <x v="11"/>
    <x v="41"/>
    <x v="2"/>
    <x v="0"/>
    <x v="4"/>
    <x v="2"/>
    <m/>
    <m/>
    <m/>
    <m/>
    <m/>
    <n v="0"/>
    <n v="0"/>
    <m/>
    <m/>
    <n v="0"/>
    <n v="0"/>
    <n v="0"/>
    <n v="0"/>
    <n v="0"/>
    <n v="0"/>
    <m/>
    <s v="COMPTE DE PERTES ET PROFITS  |  BENEFICE NET  |  TOTAL"/>
    <m/>
    <x v="0"/>
    <x v="2"/>
    <m/>
    <x v="1"/>
    <n v="1"/>
    <m/>
    <m/>
  </r>
  <r>
    <x v="5"/>
    <x v="2"/>
    <x v="0"/>
    <x v="0"/>
    <x v="0"/>
    <x v="0"/>
    <x v="2"/>
    <m/>
    <m/>
    <m/>
    <m/>
    <m/>
    <m/>
    <m/>
    <m/>
    <m/>
    <m/>
    <m/>
    <m/>
    <m/>
    <m/>
    <m/>
    <m/>
    <m/>
    <m/>
    <x v="0"/>
    <x v="0"/>
    <m/>
    <x v="0"/>
    <m/>
    <m/>
    <m/>
  </r>
  <r>
    <x v="5"/>
    <x v="2"/>
    <x v="0"/>
    <x v="0"/>
    <x v="0"/>
    <x v="0"/>
    <x v="2"/>
    <m/>
    <m/>
    <m/>
    <m/>
    <m/>
    <m/>
    <m/>
    <m/>
    <m/>
    <m/>
    <m/>
    <m/>
    <m/>
    <m/>
    <m/>
    <m/>
    <m/>
    <m/>
    <x v="0"/>
    <x v="0"/>
    <m/>
    <x v="0"/>
    <m/>
    <m/>
    <m/>
  </r>
  <r>
    <x v="6"/>
    <x v="2"/>
    <x v="0"/>
    <x v="0"/>
    <x v="0"/>
    <x v="0"/>
    <x v="2"/>
    <m/>
    <m/>
    <m/>
    <m/>
    <m/>
    <m/>
    <m/>
    <m/>
    <m/>
    <m/>
    <m/>
    <m/>
    <m/>
    <m/>
    <m/>
    <m/>
    <m/>
    <m/>
    <x v="0"/>
    <x v="0"/>
    <m/>
    <x v="0"/>
    <m/>
    <m/>
    <m/>
  </r>
  <r>
    <x v="6"/>
    <x v="2"/>
    <x v="0"/>
    <x v="0"/>
    <x v="0"/>
    <x v="0"/>
    <x v="2"/>
    <m/>
    <m/>
    <m/>
    <m/>
    <m/>
    <m/>
    <m/>
    <m/>
    <m/>
    <m/>
    <m/>
    <m/>
    <m/>
    <m/>
    <m/>
    <m/>
    <m/>
    <m/>
    <x v="0"/>
    <x v="0"/>
    <m/>
    <x v="0"/>
    <m/>
    <m/>
    <m/>
  </r>
  <r>
    <x v="6"/>
    <x v="12"/>
    <x v="32"/>
    <x v="2"/>
    <x v="0"/>
    <x v="102"/>
    <x v="2"/>
    <m/>
    <m/>
    <m/>
    <m/>
    <m/>
    <m/>
    <n v="0"/>
    <m/>
    <m/>
    <n v="0"/>
    <n v="0"/>
    <n v="0"/>
    <n v="0"/>
    <n v="0"/>
    <n v="0"/>
    <m/>
    <s v="ETAT DES FLUX DE TRESORERIE  |  FONDS DE ROULEMENT  |  POSITION DE TRESORERIE DEBUT DE LA PERIODE"/>
    <m/>
    <x v="0"/>
    <x v="2"/>
    <m/>
    <x v="0"/>
    <n v="1"/>
    <m/>
    <m/>
  </r>
  <r>
    <x v="6"/>
    <x v="12"/>
    <x v="32"/>
    <x v="2"/>
    <x v="0"/>
    <x v="103"/>
    <x v="2"/>
    <m/>
    <m/>
    <m/>
    <m/>
    <m/>
    <m/>
    <n v="0"/>
    <m/>
    <m/>
    <n v="0"/>
    <n v="0"/>
    <n v="0"/>
    <n v="0"/>
    <n v="0"/>
    <n v="0"/>
    <m/>
    <s v="ETAT DES FLUX DE TRESORERIE  |  FONDS DE ROULEMENT  |  BENEFICE BRUT + AMORTISSEMENTS - IMPOT ANNEE PRECEDENTE"/>
    <m/>
    <x v="0"/>
    <x v="2"/>
    <m/>
    <x v="0"/>
    <n v="1"/>
    <m/>
    <m/>
  </r>
  <r>
    <x v="6"/>
    <x v="12"/>
    <x v="32"/>
    <x v="2"/>
    <x v="0"/>
    <x v="104"/>
    <x v="2"/>
    <m/>
    <m/>
    <m/>
    <m/>
    <m/>
    <m/>
    <n v="0"/>
    <m/>
    <m/>
    <n v="0"/>
    <n v="0"/>
    <n v="0"/>
    <n v="0"/>
    <n v="0"/>
    <n v="0"/>
    <m/>
    <s v="ETAT DES FLUX DE TRESORERIE  |  FONDS DE ROULEMENT  |  DIFFERENCE DU FONDS DE ROULEMENT PAR RAPPORT A L'ANNEE DERNIERE"/>
    <m/>
    <x v="0"/>
    <x v="2"/>
    <m/>
    <x v="0"/>
    <n v="1"/>
    <m/>
    <m/>
  </r>
  <r>
    <x v="6"/>
    <x v="12"/>
    <x v="32"/>
    <x v="2"/>
    <x v="0"/>
    <x v="105"/>
    <x v="2"/>
    <m/>
    <m/>
    <m/>
    <m/>
    <m/>
    <m/>
    <n v="0"/>
    <m/>
    <m/>
    <n v="0"/>
    <n v="0"/>
    <n v="0"/>
    <n v="0"/>
    <n v="0"/>
    <n v="0"/>
    <m/>
    <s v="ETAT DES FLUX DE TRESORERIE  |  FONDS DE ROULEMENT  |  DEPENSES D'INVESTISSEMENTS"/>
    <m/>
    <x v="0"/>
    <x v="2"/>
    <m/>
    <x v="0"/>
    <n v="1"/>
    <m/>
    <m/>
  </r>
  <r>
    <x v="6"/>
    <x v="12"/>
    <x v="32"/>
    <x v="2"/>
    <x v="0"/>
    <x v="4"/>
    <x v="2"/>
    <m/>
    <m/>
    <m/>
    <m/>
    <m/>
    <m/>
    <n v="0"/>
    <m/>
    <m/>
    <n v="0"/>
    <n v="0"/>
    <n v="0"/>
    <n v="0"/>
    <n v="0"/>
    <n v="0"/>
    <m/>
    <s v="ETAT DES FLUX DE TRESORERIE  |  FONDS DE ROULEMENT  |  TOTAL"/>
    <m/>
    <x v="0"/>
    <x v="0"/>
    <m/>
    <x v="1"/>
    <m/>
    <m/>
    <m/>
  </r>
  <r>
    <x v="6"/>
    <x v="2"/>
    <x v="0"/>
    <x v="0"/>
    <x v="0"/>
    <x v="0"/>
    <x v="2"/>
    <m/>
    <m/>
    <m/>
    <m/>
    <m/>
    <m/>
    <m/>
    <m/>
    <m/>
    <m/>
    <m/>
    <m/>
    <m/>
    <m/>
    <m/>
    <m/>
    <m/>
    <m/>
    <x v="0"/>
    <x v="0"/>
    <m/>
    <x v="0"/>
    <m/>
    <m/>
    <m/>
  </r>
  <r>
    <x v="6"/>
    <x v="12"/>
    <x v="42"/>
    <x v="2"/>
    <x v="0"/>
    <x v="94"/>
    <x v="23"/>
    <m/>
    <m/>
    <m/>
    <m/>
    <m/>
    <m/>
    <m/>
    <m/>
    <m/>
    <n v="0"/>
    <n v="0"/>
    <n v="0"/>
    <n v="0"/>
    <n v="0"/>
    <n v="0"/>
    <m/>
    <s v="ETAT DES FLUX DE TRESORERIE  |  SOURCE DE FINANCEMENT  |  PRET OVO"/>
    <m/>
    <x v="0"/>
    <x v="2"/>
    <m/>
    <x v="0"/>
    <n v="1"/>
    <m/>
    <m/>
  </r>
  <r>
    <x v="6"/>
    <x v="12"/>
    <x v="42"/>
    <x v="2"/>
    <x v="0"/>
    <x v="95"/>
    <x v="23"/>
    <m/>
    <m/>
    <m/>
    <m/>
    <m/>
    <m/>
    <m/>
    <m/>
    <m/>
    <n v="0"/>
    <n v="0"/>
    <n v="0"/>
    <n v="0"/>
    <n v="0"/>
    <n v="0"/>
    <m/>
    <s v="ETAT DES FLUX DE TRESORERIE  |  SOURCE DE FINANCEMENT  |  PRET FAMILLE ET AMIS"/>
    <m/>
    <x v="0"/>
    <x v="2"/>
    <m/>
    <x v="0"/>
    <n v="1"/>
    <m/>
    <m/>
  </r>
  <r>
    <x v="6"/>
    <x v="12"/>
    <x v="42"/>
    <x v="2"/>
    <x v="0"/>
    <x v="96"/>
    <x v="23"/>
    <m/>
    <m/>
    <m/>
    <m/>
    <m/>
    <m/>
    <m/>
    <m/>
    <m/>
    <n v="0"/>
    <n v="0"/>
    <n v="0"/>
    <n v="0"/>
    <n v="0"/>
    <n v="0"/>
    <m/>
    <s v="ETAT DES FLUX DE TRESORERIE  |  SOURCE DE FINANCEMENT  |  PRET BANQUE LOCALE"/>
    <m/>
    <x v="0"/>
    <x v="2"/>
    <m/>
    <x v="0"/>
    <n v="1"/>
    <m/>
    <m/>
  </r>
  <r>
    <x v="6"/>
    <x v="12"/>
    <x v="42"/>
    <x v="2"/>
    <x v="0"/>
    <x v="106"/>
    <x v="23"/>
    <m/>
    <m/>
    <m/>
    <m/>
    <m/>
    <n v="0"/>
    <n v="0"/>
    <m/>
    <m/>
    <n v="0"/>
    <n v="0"/>
    <n v="0"/>
    <n v="0"/>
    <n v="0"/>
    <n v="0"/>
    <m/>
    <s v="ETAT DES FLUX DE TRESORERIE  |  SOURCE DE FINANCEMENT  |  APPORT DE CAPITAL PAR ACTIONNAIRES EXISTANTS"/>
    <m/>
    <x v="0"/>
    <x v="2"/>
    <m/>
    <x v="0"/>
    <n v="1"/>
    <m/>
    <m/>
  </r>
  <r>
    <x v="6"/>
    <x v="12"/>
    <x v="42"/>
    <x v="2"/>
    <x v="0"/>
    <x v="107"/>
    <x v="23"/>
    <m/>
    <m/>
    <m/>
    <m/>
    <m/>
    <m/>
    <m/>
    <m/>
    <m/>
    <n v="0"/>
    <n v="0"/>
    <n v="0"/>
    <n v="0"/>
    <n v="0"/>
    <n v="0"/>
    <m/>
    <s v="ETAT DES FLUX DE TRESORERIE  |  SOURCE DE FINANCEMENT  |  APPORT DE CAPITAL PAR ACTIONNAIRES NOUVEAUX"/>
    <m/>
    <x v="0"/>
    <x v="2"/>
    <m/>
    <x v="0"/>
    <n v="1"/>
    <m/>
    <m/>
  </r>
  <r>
    <x v="6"/>
    <x v="12"/>
    <x v="42"/>
    <x v="2"/>
    <x v="0"/>
    <x v="108"/>
    <x v="2"/>
    <m/>
    <m/>
    <m/>
    <m/>
    <m/>
    <n v="0"/>
    <n v="0"/>
    <m/>
    <m/>
    <n v="0"/>
    <n v="0"/>
    <n v="0"/>
    <n v="0"/>
    <n v="0"/>
    <n v="0"/>
    <m/>
    <m/>
    <m/>
    <x v="0"/>
    <x v="2"/>
    <m/>
    <x v="0"/>
    <n v="1"/>
    <m/>
    <m/>
  </r>
  <r>
    <x v="6"/>
    <x v="12"/>
    <x v="42"/>
    <x v="2"/>
    <x v="0"/>
    <x v="4"/>
    <x v="2"/>
    <m/>
    <m/>
    <m/>
    <m/>
    <m/>
    <n v="0"/>
    <n v="0"/>
    <m/>
    <m/>
    <n v="0"/>
    <n v="0"/>
    <n v="0"/>
    <n v="0"/>
    <n v="0"/>
    <n v="0"/>
    <m/>
    <s v="ETAT DES FLUX DE TRESORERIE  |  SOURCE DE FINANCEMENT  |  TOTAL"/>
    <m/>
    <x v="0"/>
    <x v="0"/>
    <m/>
    <x v="1"/>
    <m/>
    <m/>
    <m/>
  </r>
  <r>
    <x v="6"/>
    <x v="2"/>
    <x v="0"/>
    <x v="0"/>
    <x v="0"/>
    <x v="0"/>
    <x v="2"/>
    <m/>
    <m/>
    <m/>
    <m/>
    <m/>
    <m/>
    <m/>
    <m/>
    <m/>
    <m/>
    <m/>
    <m/>
    <m/>
    <m/>
    <m/>
    <m/>
    <m/>
    <m/>
    <x v="0"/>
    <x v="0"/>
    <m/>
    <x v="0"/>
    <m/>
    <m/>
    <m/>
  </r>
  <r>
    <x v="6"/>
    <x v="12"/>
    <x v="37"/>
    <x v="2"/>
    <x v="0"/>
    <x v="94"/>
    <x v="23"/>
    <m/>
    <m/>
    <m/>
    <m/>
    <m/>
    <m/>
    <m/>
    <m/>
    <m/>
    <n v="0"/>
    <n v="0"/>
    <n v="0"/>
    <n v="0"/>
    <n v="0"/>
    <n v="0"/>
    <m/>
    <s v="ETAT DES FLUX DE TRESORERIE  |  INTERETS  |  PRET OVO"/>
    <m/>
    <x v="0"/>
    <x v="2"/>
    <m/>
    <x v="0"/>
    <n v="1"/>
    <m/>
    <m/>
  </r>
  <r>
    <x v="6"/>
    <x v="12"/>
    <x v="37"/>
    <x v="2"/>
    <x v="0"/>
    <x v="95"/>
    <x v="23"/>
    <m/>
    <m/>
    <m/>
    <m/>
    <m/>
    <m/>
    <m/>
    <m/>
    <m/>
    <n v="0"/>
    <n v="0"/>
    <n v="0"/>
    <n v="0"/>
    <n v="0"/>
    <n v="0"/>
    <m/>
    <s v="ETAT DES FLUX DE TRESORERIE  |  INTERETS  |  PRET FAMILLE ET AMIS"/>
    <m/>
    <x v="0"/>
    <x v="2"/>
    <m/>
    <x v="0"/>
    <n v="1"/>
    <m/>
    <m/>
  </r>
  <r>
    <x v="6"/>
    <x v="12"/>
    <x v="37"/>
    <x v="2"/>
    <x v="0"/>
    <x v="96"/>
    <x v="23"/>
    <m/>
    <m/>
    <m/>
    <m/>
    <m/>
    <m/>
    <m/>
    <m/>
    <m/>
    <n v="0"/>
    <n v="0"/>
    <n v="0"/>
    <n v="0"/>
    <n v="0"/>
    <n v="0"/>
    <m/>
    <s v="ETAT DES FLUX DE TRESORERIE  |  INTERETS  |  PRET BANQUE LOCALE"/>
    <m/>
    <x v="0"/>
    <x v="2"/>
    <m/>
    <x v="0"/>
    <n v="1"/>
    <m/>
    <m/>
  </r>
  <r>
    <x v="6"/>
    <x v="12"/>
    <x v="37"/>
    <x v="2"/>
    <x v="0"/>
    <x v="4"/>
    <x v="2"/>
    <m/>
    <m/>
    <m/>
    <m/>
    <m/>
    <m/>
    <m/>
    <m/>
    <m/>
    <n v="0"/>
    <n v="0"/>
    <n v="0"/>
    <n v="0"/>
    <n v="0"/>
    <n v="0"/>
    <m/>
    <s v="ETAT DES FLUX DE TRESORERIE  |  INTERETS  |  TOTAL"/>
    <m/>
    <x v="0"/>
    <x v="0"/>
    <m/>
    <x v="1"/>
    <m/>
    <m/>
    <m/>
  </r>
  <r>
    <x v="6"/>
    <x v="2"/>
    <x v="0"/>
    <x v="0"/>
    <x v="0"/>
    <x v="0"/>
    <x v="2"/>
    <m/>
    <m/>
    <m/>
    <m/>
    <m/>
    <m/>
    <m/>
    <m/>
    <m/>
    <m/>
    <m/>
    <m/>
    <m/>
    <m/>
    <m/>
    <m/>
    <m/>
    <m/>
    <x v="0"/>
    <x v="0"/>
    <m/>
    <x v="0"/>
    <m/>
    <m/>
    <m/>
  </r>
  <r>
    <x v="6"/>
    <x v="12"/>
    <x v="43"/>
    <x v="2"/>
    <x v="0"/>
    <x v="94"/>
    <x v="23"/>
    <m/>
    <m/>
    <m/>
    <m/>
    <m/>
    <m/>
    <m/>
    <m/>
    <m/>
    <n v="0"/>
    <n v="0"/>
    <n v="0"/>
    <n v="0"/>
    <n v="0"/>
    <n v="0"/>
    <m/>
    <s v="ETAT DES FLUX DE TRESORERIE  |  MONTANT PRINCIPAL DE PRET  |  PRET OVO"/>
    <m/>
    <x v="0"/>
    <x v="2"/>
    <m/>
    <x v="0"/>
    <n v="1"/>
    <m/>
    <m/>
  </r>
  <r>
    <x v="6"/>
    <x v="12"/>
    <x v="43"/>
    <x v="2"/>
    <x v="0"/>
    <x v="95"/>
    <x v="23"/>
    <m/>
    <m/>
    <m/>
    <m/>
    <m/>
    <m/>
    <m/>
    <m/>
    <m/>
    <n v="0"/>
    <n v="0"/>
    <n v="0"/>
    <n v="0"/>
    <n v="0"/>
    <n v="0"/>
    <m/>
    <s v="ETAT DES FLUX DE TRESORERIE  |  MONTANT PRINCIPAL DE PRET  |  PRET FAMILLE ET AMIS"/>
    <m/>
    <x v="0"/>
    <x v="2"/>
    <m/>
    <x v="0"/>
    <n v="1"/>
    <m/>
    <m/>
  </r>
  <r>
    <x v="6"/>
    <x v="12"/>
    <x v="43"/>
    <x v="2"/>
    <x v="0"/>
    <x v="96"/>
    <x v="23"/>
    <m/>
    <m/>
    <m/>
    <m/>
    <m/>
    <m/>
    <m/>
    <m/>
    <m/>
    <n v="0"/>
    <n v="0"/>
    <n v="0"/>
    <n v="0"/>
    <n v="0"/>
    <n v="0"/>
    <m/>
    <s v="ETAT DES FLUX DE TRESORERIE  |  MONTANT PRINCIPAL DE PRET  |  PRET BANQUE LOCALE"/>
    <m/>
    <x v="0"/>
    <x v="2"/>
    <m/>
    <x v="0"/>
    <n v="1"/>
    <m/>
    <m/>
  </r>
  <r>
    <x v="6"/>
    <x v="12"/>
    <x v="43"/>
    <x v="2"/>
    <x v="0"/>
    <x v="4"/>
    <x v="2"/>
    <m/>
    <m/>
    <m/>
    <m/>
    <m/>
    <m/>
    <m/>
    <m/>
    <m/>
    <n v="0"/>
    <n v="0"/>
    <n v="0"/>
    <n v="0"/>
    <n v="0"/>
    <n v="0"/>
    <m/>
    <s v="ETAT DES FLUX DE TRESORERIE  |  MONTANT PRINCIPAL DE PRET  |  TOTAL"/>
    <m/>
    <x v="0"/>
    <x v="0"/>
    <m/>
    <x v="1"/>
    <m/>
    <m/>
    <m/>
  </r>
  <r>
    <x v="6"/>
    <x v="2"/>
    <x v="0"/>
    <x v="0"/>
    <x v="0"/>
    <x v="0"/>
    <x v="2"/>
    <m/>
    <m/>
    <m/>
    <m/>
    <m/>
    <m/>
    <m/>
    <m/>
    <m/>
    <m/>
    <m/>
    <m/>
    <m/>
    <m/>
    <m/>
    <m/>
    <m/>
    <m/>
    <x v="0"/>
    <x v="0"/>
    <m/>
    <x v="0"/>
    <m/>
    <m/>
    <m/>
  </r>
  <r>
    <x v="6"/>
    <x v="12"/>
    <x v="44"/>
    <x v="2"/>
    <x v="0"/>
    <x v="4"/>
    <x v="2"/>
    <m/>
    <m/>
    <m/>
    <m/>
    <m/>
    <n v="0"/>
    <n v="0"/>
    <m/>
    <m/>
    <n v="0"/>
    <n v="0"/>
    <n v="0"/>
    <n v="0"/>
    <n v="0"/>
    <n v="0"/>
    <m/>
    <s v="ETAT DES FLUX DE TRESORERIE  |  POSITION DE TRESORERIE FIN DE PERIODE  |  TOTAL"/>
    <m/>
    <x v="0"/>
    <x v="2"/>
    <m/>
    <x v="1"/>
    <n v="1"/>
    <m/>
    <m/>
  </r>
  <r>
    <x v="6"/>
    <x v="2"/>
    <x v="0"/>
    <x v="0"/>
    <x v="0"/>
    <x v="109"/>
    <x v="2"/>
    <m/>
    <m/>
    <m/>
    <m/>
    <m/>
    <m/>
    <m/>
    <m/>
    <m/>
    <m/>
    <m/>
    <m/>
    <m/>
    <m/>
    <m/>
    <m/>
    <m/>
    <m/>
    <x v="0"/>
    <x v="0"/>
    <m/>
    <x v="0"/>
    <m/>
    <m/>
    <m/>
  </r>
  <r>
    <x v="6"/>
    <x v="2"/>
    <x v="0"/>
    <x v="0"/>
    <x v="0"/>
    <x v="109"/>
    <x v="2"/>
    <m/>
    <m/>
    <m/>
    <m/>
    <m/>
    <m/>
    <m/>
    <m/>
    <m/>
    <m/>
    <m/>
    <m/>
    <m/>
    <m/>
    <m/>
    <m/>
    <m/>
    <m/>
    <x v="0"/>
    <x v="0"/>
    <m/>
    <x v="0"/>
    <m/>
    <m/>
    <m/>
  </r>
  <r>
    <x v="7"/>
    <x v="2"/>
    <x v="0"/>
    <x v="0"/>
    <x v="0"/>
    <x v="109"/>
    <x v="2"/>
    <m/>
    <m/>
    <m/>
    <m/>
    <m/>
    <m/>
    <m/>
    <m/>
    <m/>
    <m/>
    <m/>
    <m/>
    <m/>
    <m/>
    <m/>
    <m/>
    <m/>
    <m/>
    <x v="0"/>
    <x v="0"/>
    <m/>
    <x v="0"/>
    <m/>
    <m/>
    <m/>
  </r>
  <r>
    <x v="7"/>
    <x v="2"/>
    <x v="0"/>
    <x v="0"/>
    <x v="0"/>
    <x v="109"/>
    <x v="2"/>
    <m/>
    <m/>
    <m/>
    <m/>
    <m/>
    <m/>
    <m/>
    <m/>
    <m/>
    <m/>
    <m/>
    <m/>
    <m/>
    <m/>
    <m/>
    <m/>
    <m/>
    <m/>
    <x v="0"/>
    <x v="0"/>
    <m/>
    <x v="0"/>
    <m/>
    <m/>
    <m/>
  </r>
  <r>
    <x v="7"/>
    <x v="13"/>
    <x v="45"/>
    <x v="2"/>
    <x v="0"/>
    <x v="102"/>
    <x v="2"/>
    <m/>
    <m/>
    <m/>
    <m/>
    <m/>
    <n v="0"/>
    <n v="0"/>
    <m/>
    <m/>
    <n v="0"/>
    <n v="0"/>
    <n v="0"/>
    <n v="0"/>
    <n v="0"/>
    <n v="0"/>
    <m/>
    <s v="SOURCE DE FINANCEMENT  |  BESOINS DE FINANCEMENT  |  POSITION DE TRESORERIE DEBUT DE LA PERIODE"/>
    <m/>
    <x v="0"/>
    <x v="2"/>
    <m/>
    <x v="0"/>
    <n v="1"/>
    <m/>
    <m/>
  </r>
  <r>
    <x v="7"/>
    <x v="13"/>
    <x v="45"/>
    <x v="2"/>
    <x v="0"/>
    <x v="103"/>
    <x v="2"/>
    <m/>
    <m/>
    <m/>
    <m/>
    <m/>
    <n v="0"/>
    <n v="0"/>
    <m/>
    <m/>
    <n v="0"/>
    <n v="0"/>
    <n v="0"/>
    <n v="0"/>
    <n v="0"/>
    <n v="0"/>
    <m/>
    <s v="SOURCE DE FINANCEMENT  |  BESOINS DE FINANCEMENT  |  BENEFICE BRUT + AMORTISSEMENTS - IMPOT ANNEE PRECEDENTE"/>
    <m/>
    <x v="0"/>
    <x v="2"/>
    <m/>
    <x v="0"/>
    <n v="1"/>
    <m/>
    <m/>
  </r>
  <r>
    <x v="7"/>
    <x v="13"/>
    <x v="45"/>
    <x v="2"/>
    <x v="0"/>
    <x v="110"/>
    <x v="2"/>
    <m/>
    <m/>
    <m/>
    <m/>
    <m/>
    <n v="0"/>
    <n v="0"/>
    <m/>
    <m/>
    <n v="0"/>
    <n v="0"/>
    <n v="0"/>
    <n v="0"/>
    <n v="0"/>
    <n v="0"/>
    <m/>
    <s v="SOURCE DE FINANCEMENT  |  BESOINS DE FINANCEMENT  |  FONDS DE ROULEMENT"/>
    <m/>
    <x v="0"/>
    <x v="2"/>
    <m/>
    <x v="0"/>
    <n v="1"/>
    <m/>
    <m/>
  </r>
  <r>
    <x v="7"/>
    <x v="13"/>
    <x v="45"/>
    <x v="2"/>
    <x v="0"/>
    <x v="105"/>
    <x v="2"/>
    <m/>
    <m/>
    <m/>
    <m/>
    <m/>
    <n v="0"/>
    <n v="0"/>
    <m/>
    <m/>
    <n v="0"/>
    <n v="0"/>
    <n v="0"/>
    <n v="0"/>
    <n v="0"/>
    <n v="0"/>
    <m/>
    <s v="SOURCE DE FINANCEMENT  |  BESOINS DE FINANCEMENT  |  DEPENSES D'INVESTISSEMENTS"/>
    <m/>
    <x v="0"/>
    <x v="2"/>
    <m/>
    <x v="0"/>
    <n v="1"/>
    <m/>
    <m/>
  </r>
  <r>
    <x v="7"/>
    <x v="13"/>
    <x v="45"/>
    <x v="2"/>
    <x v="0"/>
    <x v="111"/>
    <x v="2"/>
    <m/>
    <m/>
    <m/>
    <m/>
    <m/>
    <n v="0"/>
    <n v="0"/>
    <m/>
    <m/>
    <n v="0"/>
    <n v="0"/>
    <n v="0"/>
    <n v="0"/>
    <n v="0"/>
    <n v="0"/>
    <m/>
    <s v="SOURCE DE FINANCEMENT  |  BESOINS DE FINANCEMENT  |  MONTANT PRINCIPAL DE PRET"/>
    <m/>
    <x v="0"/>
    <x v="2"/>
    <m/>
    <x v="0"/>
    <n v="1"/>
    <m/>
    <m/>
  </r>
  <r>
    <x v="7"/>
    <x v="13"/>
    <x v="45"/>
    <x v="2"/>
    <x v="0"/>
    <x v="4"/>
    <x v="2"/>
    <m/>
    <m/>
    <m/>
    <m/>
    <m/>
    <n v="0"/>
    <n v="0"/>
    <m/>
    <m/>
    <n v="0"/>
    <n v="0"/>
    <n v="0"/>
    <n v="0"/>
    <n v="0"/>
    <n v="0"/>
    <m/>
    <s v="SOURCE DE FINANCEMENT  |  BESOINS DE FINANCEMENT  |  TOTAL"/>
    <m/>
    <x v="0"/>
    <x v="2"/>
    <m/>
    <x v="0"/>
    <n v="1"/>
    <m/>
    <m/>
  </r>
  <r>
    <x v="7"/>
    <x v="2"/>
    <x v="0"/>
    <x v="0"/>
    <x v="0"/>
    <x v="0"/>
    <x v="2"/>
    <m/>
    <m/>
    <m/>
    <m/>
    <m/>
    <m/>
    <m/>
    <m/>
    <m/>
    <m/>
    <m/>
    <m/>
    <m/>
    <m/>
    <m/>
    <m/>
    <m/>
    <m/>
    <x v="0"/>
    <x v="0"/>
    <m/>
    <x v="0"/>
    <m/>
    <m/>
    <m/>
  </r>
  <r>
    <x v="7"/>
    <x v="13"/>
    <x v="42"/>
    <x v="2"/>
    <x v="0"/>
    <x v="94"/>
    <x v="26"/>
    <n v="0"/>
    <m/>
    <m/>
    <m/>
    <m/>
    <m/>
    <m/>
    <m/>
    <m/>
    <n v="0"/>
    <n v="0"/>
    <n v="0"/>
    <n v="0"/>
    <n v="0"/>
    <n v="0"/>
    <m/>
    <s v="SOURCE DE FINANCEMENT  |  SOURCE DE FINANCEMENT  |  PRET OVO"/>
    <m/>
    <x v="0"/>
    <x v="2"/>
    <m/>
    <x v="0"/>
    <n v="1"/>
    <m/>
    <m/>
  </r>
  <r>
    <x v="7"/>
    <x v="13"/>
    <x v="42"/>
    <x v="2"/>
    <x v="0"/>
    <x v="95"/>
    <x v="26"/>
    <n v="0"/>
    <m/>
    <m/>
    <m/>
    <m/>
    <m/>
    <m/>
    <m/>
    <m/>
    <n v="0"/>
    <n v="0"/>
    <n v="0"/>
    <n v="0"/>
    <n v="0"/>
    <n v="0"/>
    <m/>
    <s v="SOURCE DE FINANCEMENT  |  SOURCE DE FINANCEMENT  |  PRET FAMILLE ET AMIS"/>
    <m/>
    <x v="0"/>
    <x v="2"/>
    <m/>
    <x v="0"/>
    <n v="1"/>
    <m/>
    <m/>
  </r>
  <r>
    <x v="7"/>
    <x v="13"/>
    <x v="42"/>
    <x v="2"/>
    <x v="0"/>
    <x v="96"/>
    <x v="26"/>
    <n v="0"/>
    <m/>
    <m/>
    <m/>
    <m/>
    <m/>
    <m/>
    <m/>
    <m/>
    <n v="0"/>
    <n v="0"/>
    <n v="0"/>
    <n v="0"/>
    <n v="0"/>
    <n v="0"/>
    <m/>
    <s v="SOURCE DE FINANCEMENT  |  SOURCE DE FINANCEMENT  |  PRET BANQUE LOCALE"/>
    <m/>
    <x v="0"/>
    <x v="2"/>
    <m/>
    <x v="0"/>
    <n v="1"/>
    <m/>
    <m/>
  </r>
  <r>
    <x v="7"/>
    <x v="13"/>
    <x v="42"/>
    <x v="2"/>
    <x v="0"/>
    <x v="106"/>
    <x v="26"/>
    <n v="0"/>
    <m/>
    <m/>
    <m/>
    <m/>
    <n v="0"/>
    <n v="0"/>
    <m/>
    <m/>
    <n v="0"/>
    <n v="0"/>
    <n v="0"/>
    <n v="0"/>
    <n v="0"/>
    <n v="0"/>
    <m/>
    <s v="SOURCE DE FINANCEMENT  |  SOURCE DE FINANCEMENT  |  APPORT DE CAPITAL PAR ACTIONNAIRES EXISTANTS"/>
    <m/>
    <x v="0"/>
    <x v="2"/>
    <m/>
    <x v="0"/>
    <n v="1"/>
    <m/>
    <m/>
  </r>
  <r>
    <x v="7"/>
    <x v="13"/>
    <x v="42"/>
    <x v="2"/>
    <x v="0"/>
    <x v="107"/>
    <x v="26"/>
    <n v="0"/>
    <m/>
    <m/>
    <m/>
    <m/>
    <m/>
    <m/>
    <m/>
    <m/>
    <n v="0"/>
    <n v="0"/>
    <n v="0"/>
    <n v="0"/>
    <n v="0"/>
    <n v="0"/>
    <m/>
    <s v="SOURCE DE FINANCEMENT  |  SOURCE DE FINANCEMENT  |  APPORT DE CAPITAL PAR ACTIONNAIRES NOUVEAUX"/>
    <m/>
    <x v="0"/>
    <x v="2"/>
    <m/>
    <x v="0"/>
    <n v="1"/>
    <m/>
    <m/>
  </r>
  <r>
    <x v="7"/>
    <x v="13"/>
    <x v="42"/>
    <x v="2"/>
    <x v="0"/>
    <x v="108"/>
    <x v="2"/>
    <m/>
    <m/>
    <m/>
    <m/>
    <m/>
    <m/>
    <n v="0"/>
    <m/>
    <m/>
    <n v="0"/>
    <n v="0"/>
    <n v="0"/>
    <n v="0"/>
    <n v="0"/>
    <n v="0"/>
    <m/>
    <m/>
    <m/>
    <x v="0"/>
    <x v="2"/>
    <m/>
    <x v="0"/>
    <n v="1"/>
    <m/>
    <m/>
  </r>
  <r>
    <x v="7"/>
    <x v="13"/>
    <x v="42"/>
    <x v="2"/>
    <x v="0"/>
    <x v="4"/>
    <x v="26"/>
    <n v="0"/>
    <m/>
    <m/>
    <m/>
    <m/>
    <n v="0"/>
    <n v="0"/>
    <m/>
    <m/>
    <n v="0"/>
    <n v="0"/>
    <n v="0"/>
    <n v="0"/>
    <n v="0"/>
    <n v="0"/>
    <m/>
    <s v="SOURCE DE FINANCEMENT  |  SOURCE DE FINANCEMENT  |  TOTAL"/>
    <m/>
    <x v="0"/>
    <x v="2"/>
    <m/>
    <x v="0"/>
    <n v="1"/>
    <m/>
    <m/>
  </r>
  <r>
    <x v="7"/>
    <x v="2"/>
    <x v="0"/>
    <x v="0"/>
    <x v="0"/>
    <x v="0"/>
    <x v="2"/>
    <m/>
    <m/>
    <m/>
    <m/>
    <m/>
    <m/>
    <m/>
    <m/>
    <m/>
    <m/>
    <m/>
    <m/>
    <m/>
    <m/>
    <m/>
    <m/>
    <m/>
    <m/>
    <x v="0"/>
    <x v="0"/>
    <m/>
    <x v="0"/>
    <m/>
    <m/>
    <m/>
  </r>
  <r>
    <x v="7"/>
    <x v="13"/>
    <x v="46"/>
    <x v="2"/>
    <x v="0"/>
    <x v="112"/>
    <x v="27"/>
    <n v="5"/>
    <m/>
    <m/>
    <m/>
    <m/>
    <m/>
    <m/>
    <m/>
    <m/>
    <n v="0"/>
    <n v="0"/>
    <n v="1"/>
    <n v="1"/>
    <n v="1"/>
    <n v="1"/>
    <m/>
    <s v="SOURCE DE FINANCEMENT  |  MONTANT DU PRINCIPAL DU PRET DE OVO  |  PERIODE DE REMBOURSEMENT ET PERIODE DE GRACE"/>
    <m/>
    <x v="0"/>
    <x v="0"/>
    <m/>
    <x v="0"/>
    <n v="1"/>
    <m/>
    <m/>
  </r>
  <r>
    <x v="7"/>
    <x v="13"/>
    <x v="46"/>
    <x v="2"/>
    <x v="0"/>
    <x v="113"/>
    <x v="26"/>
    <n v="0"/>
    <m/>
    <m/>
    <m/>
    <m/>
    <m/>
    <m/>
    <m/>
    <m/>
    <n v="0"/>
    <n v="0"/>
    <n v="0"/>
    <n v="0"/>
    <n v="0"/>
    <n v="0"/>
    <m/>
    <s v="SOURCE DE FINANCEMENT  |  MONTANT DU PRINCIPAL DU PRET DE OVO  |  SEMESTRE 1"/>
    <m/>
    <x v="0"/>
    <x v="0"/>
    <m/>
    <x v="0"/>
    <n v="1"/>
    <m/>
    <m/>
  </r>
  <r>
    <x v="7"/>
    <x v="13"/>
    <x v="46"/>
    <x v="2"/>
    <x v="0"/>
    <x v="114"/>
    <x v="26"/>
    <n v="0"/>
    <m/>
    <m/>
    <m/>
    <m/>
    <m/>
    <m/>
    <m/>
    <m/>
    <n v="0"/>
    <n v="0"/>
    <n v="0"/>
    <n v="0"/>
    <n v="0"/>
    <n v="0"/>
    <m/>
    <s v="SOURCE DE FINANCEMENT  |  MONTANT DU PRINCIPAL DU PRET DE OVO  |  SEMESTRE 2"/>
    <m/>
    <x v="0"/>
    <x v="0"/>
    <m/>
    <x v="0"/>
    <n v="1"/>
    <m/>
    <m/>
  </r>
  <r>
    <x v="7"/>
    <x v="13"/>
    <x v="46"/>
    <x v="2"/>
    <x v="0"/>
    <x v="4"/>
    <x v="26"/>
    <n v="0"/>
    <m/>
    <m/>
    <m/>
    <m/>
    <m/>
    <m/>
    <m/>
    <m/>
    <n v="0"/>
    <n v="0"/>
    <n v="0"/>
    <n v="0"/>
    <n v="0"/>
    <n v="0"/>
    <n v="0"/>
    <s v="SOURCE DE FINANCEMENT  |  MONTANT DU PRINCIPAL DU PRET DE OVO  |  TOTAL"/>
    <m/>
    <x v="0"/>
    <x v="2"/>
    <m/>
    <x v="0"/>
    <n v="1"/>
    <m/>
    <m/>
  </r>
  <r>
    <x v="7"/>
    <x v="13"/>
    <x v="47"/>
    <x v="2"/>
    <x v="0"/>
    <x v="115"/>
    <x v="28"/>
    <n v="7.0000000000000007E-2"/>
    <m/>
    <m/>
    <m/>
    <m/>
    <m/>
    <m/>
    <m/>
    <m/>
    <n v="7.0000000000000007E-2"/>
    <n v="7.0000000000000007E-2"/>
    <n v="7.0000000000000007E-2"/>
    <n v="7.0000000000000007E-2"/>
    <n v="7.0000000000000007E-2"/>
    <n v="7.0000000000000007E-2"/>
    <m/>
    <s v="SOURCE DE FINANCEMENT  |  INTERETS DU PRET D'OVO  |  INTERETS"/>
    <m/>
    <x v="0"/>
    <x v="0"/>
    <m/>
    <x v="0"/>
    <n v="1"/>
    <m/>
    <m/>
  </r>
  <r>
    <x v="7"/>
    <x v="13"/>
    <x v="47"/>
    <x v="2"/>
    <x v="0"/>
    <x v="113"/>
    <x v="26"/>
    <n v="0"/>
    <m/>
    <m/>
    <m/>
    <m/>
    <m/>
    <m/>
    <m/>
    <m/>
    <n v="0"/>
    <n v="0"/>
    <n v="0"/>
    <n v="0"/>
    <n v="0"/>
    <n v="0"/>
    <m/>
    <s v="SOURCE DE FINANCEMENT  |  INTERETS DU PRET D'OVO  |  SEMESTRE 1"/>
    <m/>
    <x v="0"/>
    <x v="0"/>
    <m/>
    <x v="0"/>
    <n v="1"/>
    <m/>
    <m/>
  </r>
  <r>
    <x v="7"/>
    <x v="13"/>
    <x v="47"/>
    <x v="2"/>
    <x v="0"/>
    <x v="114"/>
    <x v="26"/>
    <n v="0"/>
    <m/>
    <m/>
    <m/>
    <m/>
    <m/>
    <m/>
    <m/>
    <m/>
    <n v="0"/>
    <n v="0"/>
    <n v="0"/>
    <n v="0"/>
    <n v="0"/>
    <n v="0"/>
    <m/>
    <s v="SOURCE DE FINANCEMENT  |  INTERETS DU PRET D'OVO  |  SEMESTRE 2"/>
    <m/>
    <x v="0"/>
    <x v="0"/>
    <m/>
    <x v="0"/>
    <n v="1"/>
    <m/>
    <m/>
  </r>
  <r>
    <x v="7"/>
    <x v="13"/>
    <x v="47"/>
    <x v="2"/>
    <x v="0"/>
    <x v="4"/>
    <x v="26"/>
    <n v="0"/>
    <m/>
    <m/>
    <m/>
    <m/>
    <m/>
    <m/>
    <m/>
    <m/>
    <n v="0"/>
    <n v="0"/>
    <n v="0"/>
    <n v="0"/>
    <n v="0"/>
    <n v="0"/>
    <m/>
    <s v="SOURCE DE FINANCEMENT  |  INTERETS DU PRET D'OVO  |  TOTAL"/>
    <m/>
    <x v="0"/>
    <x v="2"/>
    <m/>
    <x v="0"/>
    <n v="1"/>
    <m/>
    <m/>
  </r>
  <r>
    <x v="7"/>
    <x v="2"/>
    <x v="0"/>
    <x v="0"/>
    <x v="0"/>
    <x v="0"/>
    <x v="2"/>
    <m/>
    <m/>
    <m/>
    <m/>
    <m/>
    <m/>
    <m/>
    <m/>
    <m/>
    <m/>
    <m/>
    <m/>
    <m/>
    <m/>
    <m/>
    <m/>
    <m/>
    <m/>
    <x v="0"/>
    <x v="0"/>
    <m/>
    <x v="0"/>
    <m/>
    <m/>
    <m/>
  </r>
  <r>
    <x v="7"/>
    <x v="13"/>
    <x v="48"/>
    <x v="2"/>
    <x v="0"/>
    <x v="112"/>
    <x v="27"/>
    <n v="3"/>
    <m/>
    <m/>
    <m/>
    <m/>
    <m/>
    <m/>
    <m/>
    <m/>
    <n v="0"/>
    <n v="1"/>
    <n v="1"/>
    <n v="1"/>
    <n v="1"/>
    <n v="1"/>
    <m/>
    <s v="SOURCE DE FINANCEMENT  |  MONTANT DU PRINCIPAL DU PRET DE LA FAMILLE ET DES AMIS  |  PERIODE DE REMBOURSEMENT ET PERIODE DE GRACE"/>
    <m/>
    <x v="0"/>
    <x v="0"/>
    <m/>
    <x v="0"/>
    <n v="1"/>
    <m/>
    <m/>
  </r>
  <r>
    <x v="7"/>
    <x v="13"/>
    <x v="48"/>
    <x v="2"/>
    <x v="0"/>
    <x v="113"/>
    <x v="26"/>
    <n v="0"/>
    <m/>
    <m/>
    <m/>
    <m/>
    <m/>
    <m/>
    <m/>
    <m/>
    <n v="0"/>
    <n v="0"/>
    <n v="0"/>
    <n v="0"/>
    <n v="0"/>
    <n v="0"/>
    <m/>
    <s v="SOURCE DE FINANCEMENT  |  MONTANT DU PRINCIPAL DU PRET DE LA FAMILLE ET DES AMIS  |  SEMESTRE 1"/>
    <m/>
    <x v="0"/>
    <x v="0"/>
    <m/>
    <x v="0"/>
    <n v="1"/>
    <m/>
    <m/>
  </r>
  <r>
    <x v="7"/>
    <x v="13"/>
    <x v="48"/>
    <x v="2"/>
    <x v="0"/>
    <x v="114"/>
    <x v="26"/>
    <n v="0"/>
    <m/>
    <m/>
    <m/>
    <m/>
    <m/>
    <m/>
    <m/>
    <m/>
    <n v="0"/>
    <n v="0"/>
    <n v="0"/>
    <n v="0"/>
    <n v="0"/>
    <n v="0"/>
    <m/>
    <s v="SOURCE DE FINANCEMENT  |  MONTANT DU PRINCIPAL DU PRET DE LA FAMILLE ET DES AMIS  |  SEMESTRE 2"/>
    <m/>
    <x v="0"/>
    <x v="0"/>
    <m/>
    <x v="0"/>
    <n v="1"/>
    <m/>
    <m/>
  </r>
  <r>
    <x v="7"/>
    <x v="13"/>
    <x v="48"/>
    <x v="2"/>
    <x v="0"/>
    <x v="4"/>
    <x v="26"/>
    <n v="0"/>
    <m/>
    <m/>
    <m/>
    <m/>
    <m/>
    <m/>
    <m/>
    <m/>
    <n v="0"/>
    <n v="0"/>
    <n v="0"/>
    <n v="0"/>
    <n v="0"/>
    <n v="0"/>
    <n v="0"/>
    <s v="SOURCE DE FINANCEMENT  |  MONTANT DU PRINCIPAL DU PRET DE LA FAMILLE ET DES AMIS  |  TOTAL"/>
    <m/>
    <x v="0"/>
    <x v="2"/>
    <m/>
    <x v="0"/>
    <n v="1"/>
    <m/>
    <m/>
  </r>
  <r>
    <x v="7"/>
    <x v="13"/>
    <x v="49"/>
    <x v="2"/>
    <x v="0"/>
    <x v="115"/>
    <x v="28"/>
    <n v="0.1"/>
    <m/>
    <m/>
    <m/>
    <m/>
    <m/>
    <m/>
    <m/>
    <m/>
    <n v="0.1"/>
    <n v="0.1"/>
    <n v="0.1"/>
    <n v="0.1"/>
    <n v="0.1"/>
    <n v="0.1"/>
    <m/>
    <s v="SOURCE DE FINANCEMENT  |  INTERETS DU PRET DE LA FAMILLE ET DES AMIS  |  INTERETS"/>
    <m/>
    <x v="0"/>
    <x v="0"/>
    <m/>
    <x v="0"/>
    <n v="1"/>
    <m/>
    <m/>
  </r>
  <r>
    <x v="7"/>
    <x v="13"/>
    <x v="49"/>
    <x v="2"/>
    <x v="0"/>
    <x v="113"/>
    <x v="26"/>
    <n v="0"/>
    <m/>
    <m/>
    <m/>
    <m/>
    <m/>
    <m/>
    <m/>
    <m/>
    <n v="0"/>
    <n v="0"/>
    <n v="0"/>
    <n v="0"/>
    <n v="0"/>
    <n v="0"/>
    <m/>
    <s v="SOURCE DE FINANCEMENT  |  INTERETS DU PRET DE LA FAMILLE ET DES AMIS  |  SEMESTRE 1"/>
    <m/>
    <x v="0"/>
    <x v="0"/>
    <m/>
    <x v="0"/>
    <n v="1"/>
    <m/>
    <m/>
  </r>
  <r>
    <x v="7"/>
    <x v="13"/>
    <x v="49"/>
    <x v="2"/>
    <x v="0"/>
    <x v="114"/>
    <x v="26"/>
    <n v="0"/>
    <m/>
    <m/>
    <m/>
    <m/>
    <m/>
    <m/>
    <m/>
    <m/>
    <n v="0"/>
    <n v="0"/>
    <n v="0"/>
    <n v="0"/>
    <n v="0"/>
    <n v="0"/>
    <m/>
    <s v="SOURCE DE FINANCEMENT  |  INTERETS DU PRET DE LA FAMILLE ET DES AMIS  |  SEMESTRE 2"/>
    <m/>
    <x v="0"/>
    <x v="0"/>
    <m/>
    <x v="0"/>
    <n v="1"/>
    <m/>
    <m/>
  </r>
  <r>
    <x v="7"/>
    <x v="13"/>
    <x v="49"/>
    <x v="2"/>
    <x v="0"/>
    <x v="4"/>
    <x v="26"/>
    <n v="0"/>
    <m/>
    <m/>
    <m/>
    <m/>
    <m/>
    <m/>
    <m/>
    <m/>
    <n v="0"/>
    <n v="0"/>
    <n v="0"/>
    <n v="0"/>
    <n v="0"/>
    <n v="0"/>
    <m/>
    <s v="SOURCE DE FINANCEMENT  |  INTERETS DU PRET DE LA FAMILLE ET DES AMIS  |  TOTAL"/>
    <m/>
    <x v="0"/>
    <x v="2"/>
    <m/>
    <x v="0"/>
    <n v="1"/>
    <m/>
    <m/>
  </r>
  <r>
    <x v="7"/>
    <x v="2"/>
    <x v="0"/>
    <x v="0"/>
    <x v="0"/>
    <x v="0"/>
    <x v="2"/>
    <m/>
    <m/>
    <m/>
    <m/>
    <m/>
    <m/>
    <m/>
    <m/>
    <m/>
    <m/>
    <m/>
    <m/>
    <m/>
    <m/>
    <m/>
    <m/>
    <m/>
    <m/>
    <x v="0"/>
    <x v="0"/>
    <m/>
    <x v="0"/>
    <m/>
    <m/>
    <m/>
  </r>
  <r>
    <x v="7"/>
    <x v="13"/>
    <x v="50"/>
    <x v="2"/>
    <x v="0"/>
    <x v="112"/>
    <x v="27"/>
    <n v="2"/>
    <m/>
    <m/>
    <m/>
    <m/>
    <m/>
    <m/>
    <m/>
    <m/>
    <n v="0"/>
    <n v="1"/>
    <n v="1"/>
    <n v="1"/>
    <n v="1"/>
    <n v="1"/>
    <m/>
    <s v="SOURCE DE FINANCEMENT  |  MONTANT DU PRINCIPAL DU PRET DE LA BANQUE LOCALE  |  PERIODE DE REMBOURSEMENT ET PERIODE DE GRACE"/>
    <m/>
    <x v="0"/>
    <x v="0"/>
    <m/>
    <x v="0"/>
    <n v="1"/>
    <m/>
    <m/>
  </r>
  <r>
    <x v="7"/>
    <x v="13"/>
    <x v="50"/>
    <x v="2"/>
    <x v="0"/>
    <x v="113"/>
    <x v="26"/>
    <n v="0"/>
    <m/>
    <m/>
    <m/>
    <m/>
    <m/>
    <m/>
    <m/>
    <m/>
    <n v="0"/>
    <n v="0"/>
    <n v="0"/>
    <n v="0"/>
    <n v="0"/>
    <n v="0"/>
    <m/>
    <s v="SOURCE DE FINANCEMENT  |  MONTANT DU PRINCIPAL DU PRET DE LA BANQUE LOCALE  |  SEMESTRE 1"/>
    <m/>
    <x v="0"/>
    <x v="0"/>
    <m/>
    <x v="0"/>
    <n v="1"/>
    <m/>
    <m/>
  </r>
  <r>
    <x v="7"/>
    <x v="13"/>
    <x v="50"/>
    <x v="2"/>
    <x v="0"/>
    <x v="114"/>
    <x v="26"/>
    <n v="0"/>
    <m/>
    <m/>
    <m/>
    <m/>
    <m/>
    <m/>
    <m/>
    <m/>
    <n v="0"/>
    <n v="0"/>
    <n v="0"/>
    <n v="0"/>
    <n v="0"/>
    <n v="0"/>
    <m/>
    <s v="SOURCE DE FINANCEMENT  |  MONTANT DU PRINCIPAL DU PRET DE LA BANQUE LOCALE  |  SEMESTRE 2"/>
    <m/>
    <x v="0"/>
    <x v="0"/>
    <m/>
    <x v="0"/>
    <n v="1"/>
    <m/>
    <m/>
  </r>
  <r>
    <x v="7"/>
    <x v="13"/>
    <x v="50"/>
    <x v="2"/>
    <x v="0"/>
    <x v="4"/>
    <x v="26"/>
    <n v="0"/>
    <m/>
    <m/>
    <m/>
    <m/>
    <m/>
    <m/>
    <m/>
    <m/>
    <n v="0"/>
    <n v="0"/>
    <n v="0"/>
    <n v="0"/>
    <n v="0"/>
    <n v="0"/>
    <n v="0"/>
    <s v="SOURCE DE FINANCEMENT  |  MONTANT DU PRINCIPAL DU PRET DE LA BANQUE LOCALE  |  TOTAL"/>
    <m/>
    <x v="0"/>
    <x v="2"/>
    <m/>
    <x v="0"/>
    <n v="1"/>
    <m/>
    <m/>
  </r>
  <r>
    <x v="7"/>
    <x v="13"/>
    <x v="51"/>
    <x v="2"/>
    <x v="0"/>
    <x v="115"/>
    <x v="28"/>
    <n v="0.2"/>
    <m/>
    <m/>
    <m/>
    <m/>
    <m/>
    <m/>
    <m/>
    <m/>
    <n v="0.2"/>
    <n v="0.2"/>
    <n v="0.2"/>
    <n v="0.2"/>
    <n v="0.2"/>
    <n v="0.2"/>
    <m/>
    <s v="SOURCE DE FINANCEMENT  |  INTERETS DU PRET DE LA BANQUE LOCALE  |  INTERETS"/>
    <m/>
    <x v="0"/>
    <x v="0"/>
    <m/>
    <x v="0"/>
    <n v="1"/>
    <m/>
    <m/>
  </r>
  <r>
    <x v="7"/>
    <x v="13"/>
    <x v="51"/>
    <x v="2"/>
    <x v="0"/>
    <x v="113"/>
    <x v="26"/>
    <n v="0"/>
    <m/>
    <m/>
    <m/>
    <m/>
    <m/>
    <m/>
    <m/>
    <m/>
    <n v="0"/>
    <n v="0"/>
    <n v="0"/>
    <n v="0"/>
    <n v="0"/>
    <n v="0"/>
    <m/>
    <s v="SOURCE DE FINANCEMENT  |  INTERETS DU PRET DE LA BANQUE LOCALE  |  SEMESTRE 1"/>
    <m/>
    <x v="0"/>
    <x v="0"/>
    <m/>
    <x v="0"/>
    <n v="1"/>
    <m/>
    <m/>
  </r>
  <r>
    <x v="7"/>
    <x v="13"/>
    <x v="51"/>
    <x v="2"/>
    <x v="0"/>
    <x v="114"/>
    <x v="26"/>
    <n v="0"/>
    <m/>
    <m/>
    <m/>
    <m/>
    <m/>
    <m/>
    <m/>
    <m/>
    <n v="0"/>
    <n v="0"/>
    <n v="0"/>
    <n v="0"/>
    <n v="0"/>
    <n v="0"/>
    <m/>
    <s v="SOURCE DE FINANCEMENT  |  INTERETS DU PRET DE LA BANQUE LOCALE  |  SEMESTRE 2"/>
    <m/>
    <x v="0"/>
    <x v="0"/>
    <m/>
    <x v="0"/>
    <n v="1"/>
    <m/>
    <m/>
  </r>
  <r>
    <x v="7"/>
    <x v="13"/>
    <x v="51"/>
    <x v="2"/>
    <x v="0"/>
    <x v="4"/>
    <x v="26"/>
    <n v="0"/>
    <m/>
    <m/>
    <m/>
    <m/>
    <m/>
    <m/>
    <m/>
    <m/>
    <n v="0"/>
    <n v="0"/>
    <n v="0"/>
    <n v="0"/>
    <n v="0"/>
    <n v="0"/>
    <m/>
    <s v="SOURCE DE FINANCEMENT  |  INTERETS DU PRET DE LA BANQUE LOCALE  |  TOTAL"/>
    <m/>
    <x v="0"/>
    <x v="2"/>
    <m/>
    <x v="0"/>
    <n v="1"/>
    <m/>
    <m/>
  </r>
  <r>
    <x v="7"/>
    <x v="2"/>
    <x v="0"/>
    <x v="0"/>
    <x v="0"/>
    <x v="0"/>
    <x v="2"/>
    <m/>
    <m/>
    <m/>
    <m/>
    <m/>
    <m/>
    <m/>
    <m/>
    <m/>
    <m/>
    <m/>
    <m/>
    <m/>
    <m/>
    <m/>
    <m/>
    <m/>
    <m/>
    <x v="0"/>
    <x v="0"/>
    <m/>
    <x v="0"/>
    <m/>
    <m/>
    <m/>
  </r>
  <r>
    <x v="7"/>
    <x v="13"/>
    <x v="42"/>
    <x v="2"/>
    <x v="0"/>
    <x v="116"/>
    <x v="26"/>
    <n v="0"/>
    <m/>
    <m/>
    <m/>
    <m/>
    <m/>
    <m/>
    <m/>
    <m/>
    <n v="0"/>
    <n v="0"/>
    <n v="0"/>
    <n v="0"/>
    <n v="0"/>
    <n v="0"/>
    <m/>
    <s v="SOURCE DE FINANCEMENT  |  SOURCE DE FINANCEMENT  |  PRET DE OVO + PRET DE LA FAMILLE ET DES AMIS"/>
    <m/>
    <x v="0"/>
    <x v="2"/>
    <m/>
    <x v="0"/>
    <n v="1"/>
    <m/>
    <m/>
  </r>
  <r>
    <x v="7"/>
    <x v="13"/>
    <x v="43"/>
    <x v="2"/>
    <x v="0"/>
    <x v="116"/>
    <x v="26"/>
    <n v="0"/>
    <m/>
    <m/>
    <m/>
    <m/>
    <m/>
    <m/>
    <m/>
    <m/>
    <n v="0"/>
    <n v="0"/>
    <n v="0"/>
    <n v="0"/>
    <n v="0"/>
    <n v="0"/>
    <n v="0"/>
    <s v="SOURCE DE FINANCEMENT  |  MONTANT PRINCIPAL DE PRET  |  PRET DE OVO + PRET DE LA FAMILLE ET DES AMIS"/>
    <m/>
    <x v="0"/>
    <x v="2"/>
    <m/>
    <x v="0"/>
    <n v="1"/>
    <m/>
    <m/>
  </r>
  <r>
    <x v="7"/>
    <x v="13"/>
    <x v="37"/>
    <x v="2"/>
    <x v="0"/>
    <x v="116"/>
    <x v="26"/>
    <n v="0"/>
    <m/>
    <m/>
    <m/>
    <m/>
    <m/>
    <m/>
    <m/>
    <m/>
    <n v="0"/>
    <n v="0"/>
    <n v="0"/>
    <n v="0"/>
    <n v="0"/>
    <n v="0"/>
    <m/>
    <s v="SOURCE DE FINANCEMENT  |  INTERETS  |  PRET DE OVO + PRET DE LA FAMILLE ET DES AMIS"/>
    <m/>
    <x v="0"/>
    <x v="2"/>
    <m/>
    <x v="0"/>
    <n v="1"/>
    <m/>
    <m/>
  </r>
  <r>
    <x v="7"/>
    <x v="2"/>
    <x v="0"/>
    <x v="0"/>
    <x v="0"/>
    <x v="0"/>
    <x v="2"/>
    <m/>
    <m/>
    <m/>
    <m/>
    <m/>
    <m/>
    <m/>
    <m/>
    <m/>
    <m/>
    <m/>
    <m/>
    <m/>
    <m/>
    <m/>
    <m/>
    <m/>
    <m/>
    <x v="0"/>
    <x v="0"/>
    <m/>
    <x v="0"/>
    <m/>
    <m/>
    <m/>
  </r>
  <r>
    <x v="7"/>
    <x v="13"/>
    <x v="42"/>
    <x v="2"/>
    <x v="0"/>
    <x v="96"/>
    <x v="26"/>
    <n v="0"/>
    <m/>
    <m/>
    <m/>
    <m/>
    <m/>
    <m/>
    <m/>
    <m/>
    <n v="0"/>
    <n v="0"/>
    <n v="0"/>
    <n v="0"/>
    <n v="0"/>
    <n v="0"/>
    <m/>
    <s v="SOURCE DE FINANCEMENT  |  SOURCE DE FINANCEMENT  |  PRET BANQUE LOCALE"/>
    <m/>
    <x v="0"/>
    <x v="2"/>
    <m/>
    <x v="0"/>
    <n v="1"/>
    <m/>
    <m/>
  </r>
  <r>
    <x v="7"/>
    <x v="13"/>
    <x v="43"/>
    <x v="2"/>
    <x v="0"/>
    <x v="96"/>
    <x v="26"/>
    <n v="0"/>
    <m/>
    <m/>
    <m/>
    <m/>
    <m/>
    <m/>
    <m/>
    <m/>
    <n v="0"/>
    <n v="0"/>
    <n v="0"/>
    <n v="0"/>
    <n v="0"/>
    <n v="0"/>
    <n v="0"/>
    <s v="SOURCE DE FINANCEMENT  |  MONTANT PRINCIPAL DE PRET  |  PRET BANQUE LOCALE"/>
    <m/>
    <x v="0"/>
    <x v="2"/>
    <m/>
    <x v="0"/>
    <n v="1"/>
    <m/>
    <m/>
  </r>
  <r>
    <x v="7"/>
    <x v="13"/>
    <x v="37"/>
    <x v="2"/>
    <x v="0"/>
    <x v="96"/>
    <x v="26"/>
    <n v="0"/>
    <m/>
    <m/>
    <m/>
    <m/>
    <m/>
    <m/>
    <m/>
    <m/>
    <n v="0"/>
    <n v="0"/>
    <n v="0"/>
    <n v="0"/>
    <n v="0"/>
    <n v="0"/>
    <m/>
    <s v="SOURCE DE FINANCEMENT  |  INTERETS  |  PRET BANQUE LOCALE"/>
    <m/>
    <x v="0"/>
    <x v="2"/>
    <m/>
    <x v="0"/>
    <n v="1"/>
    <m/>
    <m/>
  </r>
  <r>
    <x v="7"/>
    <x v="2"/>
    <x v="0"/>
    <x v="0"/>
    <x v="0"/>
    <x v="0"/>
    <x v="2"/>
    <m/>
    <m/>
    <m/>
    <m/>
    <m/>
    <m/>
    <m/>
    <m/>
    <m/>
    <m/>
    <m/>
    <m/>
    <m/>
    <m/>
    <m/>
    <m/>
    <m/>
    <m/>
    <x v="0"/>
    <x v="0"/>
    <m/>
    <x v="0"/>
    <m/>
    <m/>
    <m/>
  </r>
  <r>
    <x v="7"/>
    <x v="13"/>
    <x v="52"/>
    <x v="2"/>
    <x v="0"/>
    <x v="116"/>
    <x v="2"/>
    <m/>
    <m/>
    <m/>
    <m/>
    <m/>
    <m/>
    <m/>
    <m/>
    <m/>
    <n v="0"/>
    <n v="0"/>
    <n v="0"/>
    <n v="0"/>
    <n v="0"/>
    <n v="0"/>
    <m/>
    <s v="SOURCE DE FINANCEMENT  |  VALEUR BILAN FIN D'ANNEE A LONG TERME  |  PRET DE OVO + PRET DE LA FAMILLE ET DES AMIS"/>
    <m/>
    <x v="0"/>
    <x v="2"/>
    <m/>
    <x v="0"/>
    <n v="1"/>
    <m/>
    <m/>
  </r>
  <r>
    <x v="7"/>
    <x v="13"/>
    <x v="53"/>
    <x v="2"/>
    <x v="0"/>
    <x v="116"/>
    <x v="2"/>
    <m/>
    <m/>
    <m/>
    <m/>
    <m/>
    <m/>
    <m/>
    <m/>
    <m/>
    <n v="0"/>
    <n v="0"/>
    <n v="0"/>
    <n v="0"/>
    <n v="0"/>
    <n v="0"/>
    <m/>
    <s v="SOURCE DE FINANCEMENT  |  VALEUR BILAN FIN D'ANNEE A COURT TERME  |  PRET DE OVO + PRET DE LA FAMILLE ET DES AMIS"/>
    <m/>
    <x v="0"/>
    <x v="2"/>
    <m/>
    <x v="0"/>
    <n v="1"/>
    <m/>
    <m/>
  </r>
  <r>
    <x v="7"/>
    <x v="13"/>
    <x v="52"/>
    <x v="2"/>
    <x v="0"/>
    <x v="96"/>
    <x v="2"/>
    <m/>
    <m/>
    <m/>
    <m/>
    <m/>
    <m/>
    <m/>
    <m/>
    <m/>
    <n v="0"/>
    <n v="0"/>
    <n v="0"/>
    <n v="0"/>
    <n v="0"/>
    <n v="0"/>
    <m/>
    <s v="SOURCE DE FINANCEMENT  |  VALEUR BILAN FIN D'ANNEE A LONG TERME  |  PRET BANQUE LOCALE"/>
    <m/>
    <x v="0"/>
    <x v="2"/>
    <m/>
    <x v="0"/>
    <n v="1"/>
    <m/>
    <m/>
  </r>
  <r>
    <x v="7"/>
    <x v="13"/>
    <x v="53"/>
    <x v="2"/>
    <x v="0"/>
    <x v="96"/>
    <x v="2"/>
    <m/>
    <m/>
    <m/>
    <m/>
    <m/>
    <m/>
    <m/>
    <m/>
    <m/>
    <n v="0"/>
    <n v="0"/>
    <n v="0"/>
    <n v="0"/>
    <n v="0"/>
    <n v="0"/>
    <m/>
    <s v="SOURCE DE FINANCEMENT  |  VALEUR BILAN FIN D'ANNEE A COURT TERME  |  PRET BANQUE LOCALE"/>
    <m/>
    <x v="0"/>
    <x v="2"/>
    <m/>
    <x v="0"/>
    <n v="1"/>
    <m/>
    <m/>
  </r>
  <r>
    <x v="7"/>
    <x v="2"/>
    <x v="0"/>
    <x v="0"/>
    <x v="0"/>
    <x v="0"/>
    <x v="2"/>
    <m/>
    <m/>
    <m/>
    <m/>
    <m/>
    <m/>
    <m/>
    <m/>
    <m/>
    <m/>
    <m/>
    <m/>
    <m/>
    <m/>
    <m/>
    <m/>
    <m/>
    <m/>
    <x v="0"/>
    <x v="0"/>
    <m/>
    <x v="0"/>
    <m/>
    <m/>
    <m/>
  </r>
  <r>
    <x v="7"/>
    <x v="2"/>
    <x v="0"/>
    <x v="0"/>
    <x v="0"/>
    <x v="109"/>
    <x v="2"/>
    <m/>
    <m/>
    <m/>
    <m/>
    <m/>
    <m/>
    <m/>
    <m/>
    <m/>
    <m/>
    <m/>
    <m/>
    <m/>
    <m/>
    <m/>
    <m/>
    <m/>
    <m/>
    <x v="0"/>
    <x v="0"/>
    <m/>
    <x v="0"/>
    <m/>
    <m/>
    <m/>
  </r>
  <r>
    <x v="0"/>
    <x v="2"/>
    <x v="0"/>
    <x v="0"/>
    <x v="0"/>
    <x v="109"/>
    <x v="2"/>
    <m/>
    <m/>
    <m/>
    <m/>
    <m/>
    <m/>
    <m/>
    <m/>
    <m/>
    <m/>
    <m/>
    <m/>
    <m/>
    <m/>
    <m/>
    <m/>
    <m/>
    <m/>
    <x v="0"/>
    <x v="0"/>
    <m/>
    <x v="0"/>
    <m/>
    <m/>
    <m/>
  </r>
  <r>
    <x v="0"/>
    <x v="2"/>
    <x v="0"/>
    <x v="0"/>
    <x v="0"/>
    <x v="0"/>
    <x v="2"/>
    <m/>
    <m/>
    <m/>
    <m/>
    <m/>
    <m/>
    <m/>
    <m/>
    <m/>
    <m/>
    <m/>
    <m/>
    <m/>
    <m/>
    <m/>
    <m/>
    <m/>
    <m/>
    <x v="0"/>
    <x v="0"/>
    <m/>
    <x v="0"/>
    <m/>
    <m/>
    <m/>
  </r>
  <r>
    <x v="0"/>
    <x v="2"/>
    <x v="0"/>
    <x v="0"/>
    <x v="0"/>
    <x v="0"/>
    <x v="2"/>
    <m/>
    <m/>
    <m/>
    <m/>
    <m/>
    <m/>
    <m/>
    <m/>
    <m/>
    <m/>
    <m/>
    <m/>
    <m/>
    <m/>
    <m/>
    <m/>
    <m/>
    <m/>
    <x v="0"/>
    <x v="0"/>
    <m/>
    <x v="0"/>
    <m/>
    <m/>
    <m/>
  </r>
  <r>
    <x v="0"/>
    <x v="2"/>
    <x v="0"/>
    <x v="0"/>
    <x v="0"/>
    <x v="0"/>
    <x v="2"/>
    <m/>
    <m/>
    <m/>
    <m/>
    <m/>
    <m/>
    <m/>
    <m/>
    <m/>
    <m/>
    <m/>
    <m/>
    <m/>
    <m/>
    <m/>
    <m/>
    <m/>
    <m/>
    <x v="0"/>
    <x v="0"/>
    <m/>
    <x v="0"/>
    <m/>
    <m/>
    <m/>
  </r>
  <r>
    <x v="0"/>
    <x v="2"/>
    <x v="0"/>
    <x v="0"/>
    <x v="0"/>
    <x v="0"/>
    <x v="2"/>
    <m/>
    <m/>
    <m/>
    <m/>
    <m/>
    <m/>
    <m/>
    <m/>
    <m/>
    <m/>
    <m/>
    <m/>
    <m/>
    <m/>
    <m/>
    <m/>
    <m/>
    <m/>
    <x v="0"/>
    <x v="0"/>
    <m/>
    <x v="0"/>
    <m/>
    <m/>
    <m/>
  </r>
  <r>
    <x v="0"/>
    <x v="2"/>
    <x v="0"/>
    <x v="0"/>
    <x v="0"/>
    <x v="0"/>
    <x v="2"/>
    <m/>
    <m/>
    <m/>
    <m/>
    <m/>
    <m/>
    <m/>
    <m/>
    <m/>
    <m/>
    <m/>
    <m/>
    <m/>
    <m/>
    <m/>
    <m/>
    <m/>
    <m/>
    <x v="0"/>
    <x v="0"/>
    <m/>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987A32-E579-4125-B29A-0A84E23D94F6}" name="PivotTableRevenueData4B" cacheId="2" applyNumberFormats="0" applyBorderFormats="0" applyFontFormats="0" applyPatternFormats="0" applyAlignmentFormats="0" applyWidthHeightFormats="1" dataCaption="Values" missingCaption="0" updatedVersion="8" minRefreshableVersion="3" rowGrandTotals="0" itemPrintTitles="1" createdVersion="8" indent="0" compact="0" compactData="0" multipleFieldFilters="0">
  <location ref="BK13:BO59" firstHeaderRow="1" firstDataRow="2"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axis="axisCol" compact="0" outline="0" showAll="0">
      <items count="4">
        <item x="1"/>
        <item x="2"/>
        <item h="1"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x="1"/>
        <item h="1" x="0"/>
        <item x="2"/>
        <item h="1" x="3"/>
        <item x="4"/>
        <item f="1" x="6"/>
        <item f="1" x="7"/>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45">
    <i>
      <x/>
      <x v="1"/>
    </i>
    <i r="1">
      <x v="2"/>
    </i>
    <i r="1">
      <x v="3"/>
    </i>
    <i r="1">
      <x v="4"/>
    </i>
    <i r="1">
      <x v="5"/>
    </i>
    <i r="1">
      <x v="6"/>
    </i>
    <i r="1">
      <x v="7"/>
    </i>
    <i r="1">
      <x v="8"/>
    </i>
    <i t="default">
      <x/>
    </i>
    <i>
      <x v="2"/>
      <x v="1"/>
    </i>
    <i r="1">
      <x v="2"/>
    </i>
    <i r="1">
      <x v="3"/>
    </i>
    <i r="1">
      <x v="4"/>
    </i>
    <i r="1">
      <x v="5"/>
    </i>
    <i r="1">
      <x v="6"/>
    </i>
    <i r="1">
      <x v="7"/>
    </i>
    <i r="1">
      <x v="8"/>
    </i>
    <i t="default">
      <x v="2"/>
    </i>
    <i>
      <x v="4"/>
      <x v="1"/>
    </i>
    <i r="1">
      <x v="2"/>
    </i>
    <i r="1">
      <x v="3"/>
    </i>
    <i r="1">
      <x v="4"/>
    </i>
    <i r="1">
      <x v="5"/>
    </i>
    <i r="1">
      <x v="6"/>
    </i>
    <i r="1">
      <x v="7"/>
    </i>
    <i r="1">
      <x v="8"/>
    </i>
    <i t="default">
      <x v="4"/>
    </i>
    <i>
      <x v="5"/>
      <x v="1"/>
    </i>
    <i r="1">
      <x v="2"/>
    </i>
    <i r="1">
      <x v="3"/>
    </i>
    <i r="1">
      <x v="4"/>
    </i>
    <i r="1">
      <x v="5"/>
    </i>
    <i r="1">
      <x v="6"/>
    </i>
    <i r="1">
      <x v="7"/>
    </i>
    <i r="1">
      <x v="8"/>
    </i>
    <i t="default">
      <x v="5"/>
    </i>
    <i>
      <x v="6"/>
      <x v="1"/>
    </i>
    <i r="1">
      <x v="2"/>
    </i>
    <i r="1">
      <x v="3"/>
    </i>
    <i r="1">
      <x v="4"/>
    </i>
    <i r="1">
      <x v="5"/>
    </i>
    <i r="1">
      <x v="6"/>
    </i>
    <i r="1">
      <x v="7"/>
    </i>
    <i r="1">
      <x v="8"/>
    </i>
    <i t="default">
      <x v="6"/>
    </i>
  </rowItems>
  <colFields count="1">
    <field x="5"/>
  </colFields>
  <colItems count="3">
    <i>
      <x/>
    </i>
    <i>
      <x v="1"/>
    </i>
    <i t="grand">
      <x/>
    </i>
  </colItems>
  <pageFields count="1">
    <pageField fld="1" hier="-1"/>
  </pageFields>
  <dataFields count="1">
    <dataField name="Sum of TOTAL YEAR" fld="32" baseField="7" baseItem="0" numFmtId="164"/>
  </dataFields>
  <formats count="41">
    <format dxfId="1133">
      <pivotArea type="all" dataOnly="0" outline="0" fieldPosition="0"/>
    </format>
    <format dxfId="1132">
      <pivotArea field="8" type="button" dataOnly="0" labelOnly="1" outline="0" axis="axisRow" fieldPosition="0"/>
    </format>
    <format dxfId="1131">
      <pivotArea dataOnly="0" labelOnly="1" grandRow="1" outline="0" fieldPosition="0"/>
    </format>
    <format dxfId="1130">
      <pivotArea field="8" type="button" dataOnly="0" labelOnly="1" outline="0" axis="axisRow" fieldPosition="0"/>
    </format>
    <format dxfId="1129">
      <pivotArea field="8" type="button" dataOnly="0" labelOnly="1" outline="0" axis="axisRow" fieldPosition="0"/>
    </format>
    <format dxfId="1128">
      <pivotArea field="8" type="button" dataOnly="0" labelOnly="1" outline="0" axis="axisRow" fieldPosition="0"/>
    </format>
    <format dxfId="1127">
      <pivotArea field="8" type="button" dataOnly="0" labelOnly="1" outline="0" axis="axisRow" fieldPosition="0"/>
    </format>
    <format dxfId="1126">
      <pivotArea field="8" type="button" dataOnly="0" labelOnly="1" outline="0" axis="axisRow" fieldPosition="0"/>
    </format>
    <format dxfId="1125">
      <pivotArea field="8" type="button" dataOnly="0" labelOnly="1" outline="0" axis="axisRow" fieldPosition="0"/>
    </format>
    <format dxfId="1124">
      <pivotArea type="all" dataOnly="0" outline="0" fieldPosition="0"/>
    </format>
    <format dxfId="1123">
      <pivotArea outline="0" collapsedLevelsAreSubtotals="1" fieldPosition="0"/>
    </format>
    <format dxfId="1122">
      <pivotArea type="origin" dataOnly="0" labelOnly="1" outline="0" fieldPosition="0"/>
    </format>
    <format dxfId="1121">
      <pivotArea type="topRight" dataOnly="0" labelOnly="1" outline="0" fieldPosition="0"/>
    </format>
    <format dxfId="1120">
      <pivotArea field="8" type="button" dataOnly="0" labelOnly="1" outline="0" axis="axisRow" fieldPosition="0"/>
    </format>
    <format dxfId="1119">
      <pivotArea dataOnly="0" labelOnly="1" outline="0" fieldPosition="0">
        <references count="1">
          <reference field="8" count="0"/>
        </references>
      </pivotArea>
    </format>
    <format dxfId="1118">
      <pivotArea dataOnly="0" labelOnly="1" outline="0" fieldPosition="0">
        <references count="1">
          <reference field="8" count="0" defaultSubtotal="1"/>
        </references>
      </pivotArea>
    </format>
    <format dxfId="1117">
      <pivotArea type="origin" dataOnly="0" labelOnly="1" outline="0" offset="A1" fieldPosition="0"/>
    </format>
    <format dxfId="1116">
      <pivotArea type="origin" dataOnly="0" labelOnly="1" outline="0" fieldPosition="0"/>
    </format>
    <format dxfId="1115">
      <pivotArea type="origin" dataOnly="0" labelOnly="1" outline="0" offset="B1" fieldPosition="0"/>
    </format>
    <format dxfId="1114">
      <pivotArea type="topRight" dataOnly="0" labelOnly="1" outline="0" fieldPosition="0"/>
    </format>
    <format dxfId="1113">
      <pivotArea type="origin" dataOnly="0" labelOnly="1" outline="0" fieldPosition="0"/>
    </format>
    <format dxfId="1112">
      <pivotArea type="all" dataOnly="0" outline="0" fieldPosition="0"/>
    </format>
    <format dxfId="1111">
      <pivotArea outline="0" collapsedLevelsAreSubtotals="1" fieldPosition="0"/>
    </format>
    <format dxfId="1110">
      <pivotArea field="8" type="button" dataOnly="0" labelOnly="1" outline="0" axis="axisRow" fieldPosition="0"/>
    </format>
    <format dxfId="1109">
      <pivotArea dataOnly="0" labelOnly="1" outline="0" fieldPosition="0">
        <references count="1">
          <reference field="8" count="0"/>
        </references>
      </pivotArea>
    </format>
    <format dxfId="1108">
      <pivotArea field="1" type="button" dataOnly="0" labelOnly="1" outline="0" axis="axisPage" fieldPosition="0"/>
    </format>
    <format dxfId="1107">
      <pivotArea dataOnly="0" labelOnly="1" outline="0" fieldPosition="0">
        <references count="1">
          <reference field="1" count="0"/>
        </references>
      </pivotArea>
    </format>
    <format dxfId="1106">
      <pivotArea outline="0" fieldPosition="0">
        <references count="1">
          <reference field="4294967294" count="1">
            <x v="0"/>
          </reference>
        </references>
      </pivotArea>
    </format>
    <format dxfId="1105">
      <pivotArea dataOnly="0" labelOnly="1" outline="0" fieldPosition="0">
        <references count="1">
          <reference field="4294967294" count="1">
            <x v="0"/>
          </reference>
        </references>
      </pivotArea>
    </format>
    <format dxfId="1104">
      <pivotArea dataOnly="0" labelOnly="1" outline="0" fieldPosition="0">
        <references count="1">
          <reference field="4" count="0"/>
        </references>
      </pivotArea>
    </format>
    <format dxfId="1103">
      <pivotArea field="4" type="button" dataOnly="0" labelOnly="1" outline="0" axis="axisRow" fieldPosition="1"/>
    </format>
    <format dxfId="1102">
      <pivotArea dataOnly="0" labelOnly="1" outline="0" fieldPosition="0">
        <references count="1">
          <reference field="5" count="1">
            <x v="0"/>
          </reference>
        </references>
      </pivotArea>
    </format>
    <format dxfId="1101">
      <pivotArea dataOnly="0" labelOnly="1" outline="0" fieldPosition="0">
        <references count="1">
          <reference field="5" count="1">
            <x v="1"/>
          </reference>
        </references>
      </pivotArea>
    </format>
    <format dxfId="1100">
      <pivotArea dataOnly="0" labelOnly="1" grandCol="1" outline="0" fieldPosition="0"/>
    </format>
    <format dxfId="1099">
      <pivotArea field="5" type="button" dataOnly="0" labelOnly="1" outline="0" axis="axisCol" fieldPosition="0"/>
    </format>
    <format dxfId="1098">
      <pivotArea field="5" type="button" dataOnly="0" labelOnly="1" outline="0" axis="axisCol" fieldPosition="0"/>
    </format>
    <format dxfId="1097">
      <pivotArea field="5" type="button" dataOnly="0" labelOnly="1" outline="0" axis="axisCol" fieldPosition="0"/>
    </format>
    <format dxfId="1096">
      <pivotArea dataOnly="0" outline="0" fieldPosition="0">
        <references count="1">
          <reference field="8" count="0" defaultSubtotal="1"/>
        </references>
      </pivotArea>
    </format>
    <format dxfId="1095">
      <pivotArea dataOnly="0" outline="0" fieldPosition="0">
        <references count="1">
          <reference field="8" count="0" defaultSubtotal="1"/>
        </references>
      </pivotArea>
    </format>
    <format dxfId="1094">
      <pivotArea outline="0" fieldPosition="0">
        <references count="1">
          <reference field="8" count="1" selected="0" defaultSubtotal="1">
            <x v="6"/>
          </reference>
        </references>
      </pivotArea>
    </format>
    <format dxfId="1093">
      <pivotArea outline="0" fieldPosition="0">
        <references count="2">
          <reference field="4" count="8" selected="0">
            <x v="1"/>
            <x v="2"/>
            <x v="3"/>
            <x v="4"/>
            <x v="5"/>
            <x v="6"/>
            <x v="7"/>
            <x v="8"/>
          </reference>
          <reference field="8" count="1" selected="0">
            <x v="6"/>
          </reference>
        </references>
      </pivotArea>
    </format>
  </formats>
  <pivotTableStyleInfo name="PivotStyleLight15" showRowHeaders="1" showColHeaders="1" showRowStripes="0" showColStripes="0" showLastColumn="1"/>
  <filters count="1">
    <filter fld="4" type="captionGreaterThan" evalOrder="-1" id="4"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76EF66-2937-4AF0-823E-94571C513FA2}" name="PivotTableRevenueData5"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T12:CS138" firstHeaderRow="1" firstDataRow="3"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Col"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sortType="ascending" defaultSubtotal="0">
      <items count="31">
        <item x="1"/>
        <item x="2"/>
        <item x="3"/>
        <item x="4"/>
        <item x="5"/>
        <item x="6"/>
        <item x="7"/>
        <item x="8"/>
        <item x="9"/>
        <item x="10"/>
        <item x="11"/>
        <item x="12"/>
        <item x="13"/>
        <item x="14"/>
        <item x="15"/>
        <item x="16"/>
        <item x="17"/>
        <item x="18"/>
        <item x="19"/>
        <item x="20"/>
        <item x="21"/>
        <item x="22"/>
        <item x="23"/>
        <item x="24"/>
        <item x="25"/>
        <item x="26"/>
        <item x="27"/>
        <item x="28"/>
        <item x="29"/>
        <item x="30"/>
        <item x="0"/>
      </items>
      <extLst>
        <ext xmlns:x14="http://schemas.microsoft.com/office/spreadsheetml/2009/9/main" uri="{2946ED86-A175-432a-8AC1-64E0C546D7DE}">
          <x14:pivotField fillDownLabels="1"/>
        </ext>
      </extLst>
    </pivotField>
    <pivotField compact="0" outline="0" showAll="0" defaultSubtotal="0">
      <items count="4">
        <item x="0"/>
        <item x="3"/>
        <item x="1"/>
        <item x="2"/>
      </items>
      <extLst>
        <ext xmlns:x14="http://schemas.microsoft.com/office/spreadsheetml/2009/9/main" uri="{2946ED86-A175-432a-8AC1-64E0C546D7DE}">
          <x14:pivotField fillDownLabels="1"/>
        </ext>
      </extLst>
    </pivotField>
    <pivotField axis="axisRow" compact="0" outline="0" showAll="0">
      <items count="9">
        <item x="1"/>
        <item h="1" x="0"/>
        <item x="2"/>
        <item h="1" x="3"/>
        <item x="4"/>
        <item f="1" x="6"/>
        <item h="1" f="1" x="7"/>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6"/>
  </rowFields>
  <rowItems count="124">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t="default">
      <x/>
    </i>
    <i>
      <x v="2"/>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t="default">
      <x v="2"/>
    </i>
    <i>
      <x v="4"/>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t="default">
      <x v="4"/>
    </i>
    <i>
      <x v="5"/>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t="default">
      <x v="5"/>
    </i>
  </rowItems>
  <colFields count="2">
    <field x="4"/>
    <field x="-2"/>
  </colFields>
  <colItems count="24">
    <i>
      <x v="1"/>
      <x/>
    </i>
    <i r="1" i="1">
      <x v="1"/>
    </i>
    <i r="1" i="2">
      <x v="2"/>
    </i>
    <i>
      <x v="2"/>
      <x/>
    </i>
    <i r="1" i="1">
      <x v="1"/>
    </i>
    <i r="1" i="2">
      <x v="2"/>
    </i>
    <i>
      <x v="3"/>
      <x/>
    </i>
    <i r="1" i="1">
      <x v="1"/>
    </i>
    <i r="1" i="2">
      <x v="2"/>
    </i>
    <i>
      <x v="4"/>
      <x/>
    </i>
    <i r="1" i="1">
      <x v="1"/>
    </i>
    <i r="1" i="2">
      <x v="2"/>
    </i>
    <i>
      <x v="5"/>
      <x/>
    </i>
    <i r="1" i="1">
      <x v="1"/>
    </i>
    <i r="1" i="2">
      <x v="2"/>
    </i>
    <i>
      <x v="6"/>
      <x/>
    </i>
    <i r="1" i="1">
      <x v="1"/>
    </i>
    <i r="1" i="2">
      <x v="2"/>
    </i>
    <i>
      <x v="7"/>
      <x/>
    </i>
    <i r="1" i="1">
      <x v="1"/>
    </i>
    <i r="1" i="2">
      <x v="2"/>
    </i>
    <i>
      <x v="8"/>
      <x/>
    </i>
    <i r="1" i="1">
      <x v="1"/>
    </i>
    <i r="1" i="2">
      <x v="2"/>
    </i>
  </colItems>
  <pageFields count="1">
    <pageField fld="1" hier="-1"/>
  </pageFields>
  <dataFields count="3">
    <dataField name="Sum of SEMESTRE 1" fld="43" baseField="6" baseItem="0" numFmtId="164"/>
    <dataField name="Sum of SEMESTRE 2" fld="44" baseField="6" baseItem="0" numFmtId="164"/>
    <dataField name="Sum of TOTAL YEAR" fld="32" baseField="5" baseItem="3" numFmtId="164"/>
  </dataFields>
  <formats count="165">
    <format dxfId="1298">
      <pivotArea type="all" dataOnly="0" outline="0" fieldPosition="0"/>
    </format>
    <format dxfId="1297">
      <pivotArea field="8" type="button" dataOnly="0" labelOnly="1" outline="0" axis="axisRow" fieldPosition="0"/>
    </format>
    <format dxfId="1296">
      <pivotArea dataOnly="0" labelOnly="1" grandRow="1" outline="0" fieldPosition="0"/>
    </format>
    <format dxfId="1295">
      <pivotArea field="8" type="button" dataOnly="0" labelOnly="1" outline="0" axis="axisRow" fieldPosition="0"/>
    </format>
    <format dxfId="1294">
      <pivotArea field="8" type="button" dataOnly="0" labelOnly="1" outline="0" axis="axisRow" fieldPosition="0"/>
    </format>
    <format dxfId="1293">
      <pivotArea field="8" type="button" dataOnly="0" labelOnly="1" outline="0" axis="axisRow" fieldPosition="0"/>
    </format>
    <format dxfId="1292">
      <pivotArea field="8" type="button" dataOnly="0" labelOnly="1" outline="0" axis="axisRow" fieldPosition="0"/>
    </format>
    <format dxfId="1291">
      <pivotArea field="8" type="button" dataOnly="0" labelOnly="1" outline="0" axis="axisRow" fieldPosition="0"/>
    </format>
    <format dxfId="1290">
      <pivotArea field="8" type="button" dataOnly="0" labelOnly="1" outline="0" axis="axisRow" fieldPosition="0"/>
    </format>
    <format dxfId="1289">
      <pivotArea type="all" dataOnly="0" outline="0" fieldPosition="0"/>
    </format>
    <format dxfId="1288">
      <pivotArea outline="0" collapsedLevelsAreSubtotals="1" fieldPosition="0"/>
    </format>
    <format dxfId="1287">
      <pivotArea type="origin" dataOnly="0" labelOnly="1" outline="0" fieldPosition="0"/>
    </format>
    <format dxfId="1286">
      <pivotArea type="topRight" dataOnly="0" labelOnly="1" outline="0" fieldPosition="0"/>
    </format>
    <format dxfId="1285">
      <pivotArea field="8" type="button" dataOnly="0" labelOnly="1" outline="0" axis="axisRow" fieldPosition="0"/>
    </format>
    <format dxfId="1284">
      <pivotArea dataOnly="0" labelOnly="1" outline="0" fieldPosition="0">
        <references count="1">
          <reference field="8" count="0"/>
        </references>
      </pivotArea>
    </format>
    <format dxfId="1283">
      <pivotArea dataOnly="0" labelOnly="1" outline="0" fieldPosition="0">
        <references count="1">
          <reference field="8" count="0" defaultSubtotal="1"/>
        </references>
      </pivotArea>
    </format>
    <format dxfId="1282">
      <pivotArea type="origin" dataOnly="0" labelOnly="1" outline="0" offset="A1" fieldPosition="0"/>
    </format>
    <format dxfId="1281">
      <pivotArea type="origin" dataOnly="0" labelOnly="1" outline="0" fieldPosition="0"/>
    </format>
    <format dxfId="1280">
      <pivotArea type="origin" dataOnly="0" labelOnly="1" outline="0" offset="B1" fieldPosition="0"/>
    </format>
    <format dxfId="1279">
      <pivotArea type="topRight" dataOnly="0" labelOnly="1" outline="0" fieldPosition="0"/>
    </format>
    <format dxfId="1278">
      <pivotArea type="origin" dataOnly="0" labelOnly="1" outline="0" fieldPosition="0"/>
    </format>
    <format dxfId="1277">
      <pivotArea type="origin" dataOnly="0" labelOnly="1" outline="0" offset="B2" fieldPosition="0"/>
    </format>
    <format dxfId="1276">
      <pivotArea type="origin" dataOnly="0" labelOnly="1" outline="0" offset="A2" fieldPosition="0"/>
    </format>
    <format dxfId="1275">
      <pivotArea field="-2" type="button" dataOnly="0" labelOnly="1" outline="0" axis="axisCol" fieldPosition="1"/>
    </format>
    <format dxfId="1274">
      <pivotArea outline="0" fieldPosition="0">
        <references count="1">
          <reference field="4294967294" count="1">
            <x v="0"/>
          </reference>
        </references>
      </pivotArea>
    </format>
    <format dxfId="1273">
      <pivotArea outline="0" fieldPosition="0">
        <references count="1">
          <reference field="4294967294" count="1">
            <x v="1"/>
          </reference>
        </references>
      </pivotArea>
    </format>
    <format dxfId="1272">
      <pivotArea dataOnly="0" outline="0" fieldPosition="0">
        <references count="1">
          <reference field="8" count="0" defaultSubtotal="1"/>
        </references>
      </pivotArea>
    </format>
    <format dxfId="1271">
      <pivotArea dataOnly="0" outline="0" fieldPosition="0">
        <references count="1">
          <reference field="8" count="0" defaultSubtotal="1"/>
        </references>
      </pivotArea>
    </format>
    <format dxfId="1270">
      <pivotArea dataOnly="0" outline="0" fieldPosition="0">
        <references count="1">
          <reference field="8" count="0" defaultSubtotal="1"/>
        </references>
      </pivotArea>
    </format>
    <format dxfId="1269">
      <pivotArea type="all" dataOnly="0" outline="0" fieldPosition="0"/>
    </format>
    <format dxfId="1268">
      <pivotArea outline="0" collapsedLevelsAreSubtotals="1" fieldPosition="0"/>
    </format>
    <format dxfId="1267">
      <pivotArea field="8" type="button" dataOnly="0" labelOnly="1" outline="0" axis="axisRow" fieldPosition="0"/>
    </format>
    <format dxfId="1266">
      <pivotArea dataOnly="0" labelOnly="1" outline="0" fieldPosition="0">
        <references count="1">
          <reference field="8" count="0"/>
        </references>
      </pivotArea>
    </format>
    <format dxfId="1265">
      <pivotArea dataOnly="0" labelOnly="1" outline="0" fieldPosition="0">
        <references count="1">
          <reference field="4294967294" count="2">
            <x v="0"/>
            <x v="1"/>
          </reference>
        </references>
      </pivotArea>
    </format>
    <format dxfId="1264">
      <pivotArea dataOnly="0" labelOnly="1" outline="0" fieldPosition="0">
        <references count="1">
          <reference field="1" count="0"/>
        </references>
      </pivotArea>
    </format>
    <format dxfId="1263">
      <pivotArea field="1" type="button" dataOnly="0" labelOnly="1" outline="0" axis="axisPage" fieldPosition="0"/>
    </format>
    <format dxfId="1262">
      <pivotArea field="4" type="button" dataOnly="0" labelOnly="1" outline="0" axis="axisCol" fieldPosition="0"/>
    </format>
    <format dxfId="1261">
      <pivotArea field="4" type="button" dataOnly="0" labelOnly="1" outline="0" axis="axisCol" fieldPosition="0"/>
    </format>
    <format dxfId="1260">
      <pivotArea field="4" type="button" dataOnly="0" labelOnly="1" outline="0" axis="axisCol" fieldPosition="0"/>
    </format>
    <format dxfId="1259">
      <pivotArea type="origin" dataOnly="0" labelOnly="1" outline="0" offset="C1" fieldPosition="0"/>
    </format>
    <format dxfId="1258">
      <pivotArea field="6" type="button" dataOnly="0" labelOnly="1" outline="0" axis="axisRow" fieldPosition="1"/>
    </format>
    <format dxfId="1257">
      <pivotArea field="6" type="button" dataOnly="0" labelOnly="1" outline="0" axis="axisRow" fieldPosition="1"/>
    </format>
    <format dxfId="1256">
      <pivotArea field="6" type="button" dataOnly="0" labelOnly="1" outline="0" axis="axisRow" fieldPosition="1"/>
    </format>
    <format dxfId="1255">
      <pivotArea field="6" type="button" dataOnly="0" labelOnly="1" outline="0" axis="axisRow" fieldPosition="1"/>
    </format>
    <format dxfId="1254">
      <pivotArea field="7" type="button" dataOnly="0" labelOnly="1" outline="0"/>
    </format>
    <format dxfId="1253">
      <pivotArea type="origin" dataOnly="0" labelOnly="1" outline="0" offset="C2" fieldPosition="0"/>
    </format>
    <format dxfId="1252">
      <pivotArea outline="0" fieldPosition="0">
        <references count="1">
          <reference field="8" count="1" selected="0" defaultSubtotal="1">
            <x v="6"/>
          </reference>
        </references>
      </pivotArea>
    </format>
    <format dxfId="1251">
      <pivotArea outline="0" fieldPosition="0">
        <references count="2">
          <reference field="6" count="2" selected="0">
            <x v="9"/>
            <x v="29"/>
          </reference>
          <reference field="8" count="1" selected="0">
            <x v="6"/>
          </reference>
        </references>
      </pivotArea>
    </format>
    <format dxfId="1250">
      <pivotArea dataOnly="0" labelOnly="1" outline="0" fieldPosition="0">
        <references count="1">
          <reference field="1" count="0"/>
        </references>
      </pivotArea>
    </format>
    <format dxfId="1249">
      <pivotArea outline="0" fieldPosition="0">
        <references count="1">
          <reference field="4294967294" count="1">
            <x v="2"/>
          </reference>
        </references>
      </pivotArea>
    </format>
    <format dxfId="1248">
      <pivotArea dataOnly="0" labelOnly="1" outline="0" fieldPosition="0">
        <references count="2">
          <reference field="4294967294" count="1">
            <x v="0"/>
          </reference>
          <reference field="4" count="1" selected="0">
            <x v="1"/>
          </reference>
        </references>
      </pivotArea>
    </format>
    <format dxfId="1247">
      <pivotArea dataOnly="0" labelOnly="1" outline="0" fieldPosition="0">
        <references count="2">
          <reference field="4294967294" count="1">
            <x v="0"/>
          </reference>
          <reference field="4" count="1" selected="0">
            <x v="1"/>
          </reference>
        </references>
      </pivotArea>
    </format>
    <format dxfId="1246">
      <pivotArea dataOnly="0" labelOnly="1" outline="0" fieldPosition="0">
        <references count="2">
          <reference field="4294967294" count="1">
            <x v="1"/>
          </reference>
          <reference field="4" count="1" selected="0">
            <x v="1"/>
          </reference>
        </references>
      </pivotArea>
    </format>
    <format dxfId="1245">
      <pivotArea dataOnly="0" labelOnly="1" outline="0" fieldPosition="0">
        <references count="2">
          <reference field="4294967294" count="1">
            <x v="2"/>
          </reference>
          <reference field="4" count="1" selected="0">
            <x v="1"/>
          </reference>
        </references>
      </pivotArea>
    </format>
    <format dxfId="1244">
      <pivotArea dataOnly="0" labelOnly="1" outline="0" fieldPosition="0">
        <references count="2">
          <reference field="4294967294" count="1">
            <x v="0"/>
          </reference>
          <reference field="4" count="1" selected="0">
            <x v="2"/>
          </reference>
        </references>
      </pivotArea>
    </format>
    <format dxfId="1243">
      <pivotArea dataOnly="0" labelOnly="1" outline="0" fieldPosition="0">
        <references count="2">
          <reference field="4294967294" count="1">
            <x v="1"/>
          </reference>
          <reference field="4" count="1" selected="0">
            <x v="2"/>
          </reference>
        </references>
      </pivotArea>
    </format>
    <format dxfId="1242">
      <pivotArea dataOnly="0" labelOnly="1" outline="0" fieldPosition="0">
        <references count="2">
          <reference field="4294967294" count="1">
            <x v="2"/>
          </reference>
          <reference field="4" count="1" selected="0">
            <x v="2"/>
          </reference>
        </references>
      </pivotArea>
    </format>
    <format dxfId="1241">
      <pivotArea dataOnly="0" labelOnly="1" outline="0" fieldPosition="0">
        <references count="2">
          <reference field="4294967294" count="1">
            <x v="0"/>
          </reference>
          <reference field="4" count="1" selected="0">
            <x v="3"/>
          </reference>
        </references>
      </pivotArea>
    </format>
    <format dxfId="1240">
      <pivotArea dataOnly="0" labelOnly="1" outline="0" fieldPosition="0">
        <references count="2">
          <reference field="4294967294" count="1">
            <x v="1"/>
          </reference>
          <reference field="4" count="1" selected="0">
            <x v="3"/>
          </reference>
        </references>
      </pivotArea>
    </format>
    <format dxfId="1239">
      <pivotArea dataOnly="0" labelOnly="1" outline="0" fieldPosition="0">
        <references count="2">
          <reference field="4294967294" count="1">
            <x v="2"/>
          </reference>
          <reference field="4" count="1" selected="0">
            <x v="3"/>
          </reference>
        </references>
      </pivotArea>
    </format>
    <format dxfId="1238">
      <pivotArea dataOnly="0" labelOnly="1" outline="0" fieldPosition="0">
        <references count="2">
          <reference field="4294967294" count="1">
            <x v="0"/>
          </reference>
          <reference field="4" count="1" selected="0">
            <x v="4"/>
          </reference>
        </references>
      </pivotArea>
    </format>
    <format dxfId="1237">
      <pivotArea dataOnly="0" labelOnly="1" outline="0" fieldPosition="0">
        <references count="2">
          <reference field="4294967294" count="1">
            <x v="1"/>
          </reference>
          <reference field="4" count="1" selected="0">
            <x v="4"/>
          </reference>
        </references>
      </pivotArea>
    </format>
    <format dxfId="1236">
      <pivotArea dataOnly="0" labelOnly="1" outline="0" fieldPosition="0">
        <references count="2">
          <reference field="4294967294" count="1">
            <x v="2"/>
          </reference>
          <reference field="4" count="1" selected="0">
            <x v="4"/>
          </reference>
        </references>
      </pivotArea>
    </format>
    <format dxfId="1235">
      <pivotArea dataOnly="0" labelOnly="1" outline="0" fieldPosition="0">
        <references count="2">
          <reference field="4294967294" count="1">
            <x v="0"/>
          </reference>
          <reference field="4" count="1" selected="0">
            <x v="5"/>
          </reference>
        </references>
      </pivotArea>
    </format>
    <format dxfId="1234">
      <pivotArea dataOnly="0" labelOnly="1" outline="0" fieldPosition="0">
        <references count="2">
          <reference field="4294967294" count="1">
            <x v="1"/>
          </reference>
          <reference field="4" count="1" selected="0">
            <x v="5"/>
          </reference>
        </references>
      </pivotArea>
    </format>
    <format dxfId="1233">
      <pivotArea dataOnly="0" labelOnly="1" outline="0" fieldPosition="0">
        <references count="2">
          <reference field="4294967294" count="1">
            <x v="2"/>
          </reference>
          <reference field="4" count="1" selected="0">
            <x v="5"/>
          </reference>
        </references>
      </pivotArea>
    </format>
    <format dxfId="1232">
      <pivotArea dataOnly="0" labelOnly="1" outline="0" fieldPosition="0">
        <references count="2">
          <reference field="4294967294" count="1">
            <x v="0"/>
          </reference>
          <reference field="4" count="1" selected="0">
            <x v="6"/>
          </reference>
        </references>
      </pivotArea>
    </format>
    <format dxfId="1231">
      <pivotArea dataOnly="0" labelOnly="1" outline="0" fieldPosition="0">
        <references count="2">
          <reference field="4294967294" count="1">
            <x v="1"/>
          </reference>
          <reference field="4" count="1" selected="0">
            <x v="6"/>
          </reference>
        </references>
      </pivotArea>
    </format>
    <format dxfId="1230">
      <pivotArea dataOnly="0" labelOnly="1" outline="0" fieldPosition="0">
        <references count="2">
          <reference field="4294967294" count="1">
            <x v="2"/>
          </reference>
          <reference field="4" count="1" selected="0">
            <x v="6"/>
          </reference>
        </references>
      </pivotArea>
    </format>
    <format dxfId="1229">
      <pivotArea dataOnly="0" labelOnly="1" outline="0" fieldPosition="0">
        <references count="2">
          <reference field="4294967294" count="1">
            <x v="0"/>
          </reference>
          <reference field="4" count="1" selected="0">
            <x v="7"/>
          </reference>
        </references>
      </pivotArea>
    </format>
    <format dxfId="1228">
      <pivotArea dataOnly="0" labelOnly="1" outline="0" fieldPosition="0">
        <references count="2">
          <reference field="4294967294" count="1">
            <x v="1"/>
          </reference>
          <reference field="4" count="1" selected="0">
            <x v="7"/>
          </reference>
        </references>
      </pivotArea>
    </format>
    <format dxfId="1227">
      <pivotArea dataOnly="0" labelOnly="1" outline="0" fieldPosition="0">
        <references count="2">
          <reference field="4294967294" count="1">
            <x v="2"/>
          </reference>
          <reference field="4" count="1" selected="0">
            <x v="7"/>
          </reference>
        </references>
      </pivotArea>
    </format>
    <format dxfId="1226">
      <pivotArea dataOnly="0" labelOnly="1" outline="0" fieldPosition="0">
        <references count="2">
          <reference field="4294967294" count="1">
            <x v="0"/>
          </reference>
          <reference field="4" count="1" selected="0">
            <x v="8"/>
          </reference>
        </references>
      </pivotArea>
    </format>
    <format dxfId="1225">
      <pivotArea dataOnly="0" labelOnly="1" outline="0" fieldPosition="0">
        <references count="2">
          <reference field="4294967294" count="1">
            <x v="1"/>
          </reference>
          <reference field="4" count="1" selected="0">
            <x v="8"/>
          </reference>
        </references>
      </pivotArea>
    </format>
    <format dxfId="1224">
      <pivotArea dataOnly="0" labelOnly="1" outline="0" fieldPosition="0">
        <references count="2">
          <reference field="4294967294" count="1">
            <x v="2"/>
          </reference>
          <reference field="4" count="1" selected="0">
            <x v="8"/>
          </reference>
        </references>
      </pivotArea>
    </format>
    <format dxfId="1223">
      <pivotArea dataOnly="0" labelOnly="1" outline="0" fieldPosition="0">
        <references count="1">
          <reference field="4" count="1">
            <x v="1"/>
          </reference>
        </references>
      </pivotArea>
    </format>
    <format dxfId="1222">
      <pivotArea dataOnly="0" labelOnly="1" outline="0" fieldPosition="0">
        <references count="1">
          <reference field="4" count="1">
            <x v="2"/>
          </reference>
        </references>
      </pivotArea>
    </format>
    <format dxfId="1221">
      <pivotArea dataOnly="0" labelOnly="1" outline="0" fieldPosition="0">
        <references count="1">
          <reference field="4" count="1">
            <x v="3"/>
          </reference>
        </references>
      </pivotArea>
    </format>
    <format dxfId="1220">
      <pivotArea dataOnly="0" labelOnly="1" outline="0" fieldPosition="0">
        <references count="1">
          <reference field="4" count="1">
            <x v="4"/>
          </reference>
        </references>
      </pivotArea>
    </format>
    <format dxfId="1219">
      <pivotArea dataOnly="0" labelOnly="1" outline="0" fieldPosition="0">
        <references count="1">
          <reference field="4" count="1">
            <x v="5"/>
          </reference>
        </references>
      </pivotArea>
    </format>
    <format dxfId="1218">
      <pivotArea dataOnly="0" labelOnly="1" outline="0" fieldPosition="0">
        <references count="1">
          <reference field="4" count="1">
            <x v="6"/>
          </reference>
        </references>
      </pivotArea>
    </format>
    <format dxfId="1217">
      <pivotArea dataOnly="0" labelOnly="1" outline="0" fieldPosition="0">
        <references count="1">
          <reference field="4" count="1">
            <x v="7"/>
          </reference>
        </references>
      </pivotArea>
    </format>
    <format dxfId="1216">
      <pivotArea dataOnly="0" labelOnly="1" outline="0" fieldPosition="0">
        <references count="1">
          <reference field="4" count="1">
            <x v="8"/>
          </reference>
        </references>
      </pivotArea>
    </format>
    <format dxfId="1215">
      <pivotArea dataOnly="0" labelOnly="1" outline="0" fieldPosition="0">
        <references count="2">
          <reference field="4294967294" count="1">
            <x v="0"/>
          </reference>
          <reference field="4" count="1" selected="0">
            <x v="1"/>
          </reference>
        </references>
      </pivotArea>
    </format>
    <format dxfId="1214">
      <pivotArea dataOnly="0" labelOnly="1" outline="0" fieldPosition="0">
        <references count="2">
          <reference field="4294967294" count="1">
            <x v="0"/>
          </reference>
          <reference field="4" count="1" selected="0">
            <x v="1"/>
          </reference>
        </references>
      </pivotArea>
    </format>
    <format dxfId="1213">
      <pivotArea dataOnly="0" labelOnly="1" outline="0" fieldPosition="0">
        <references count="2">
          <reference field="4294967294" count="1">
            <x v="1"/>
          </reference>
          <reference field="4" count="1" selected="0">
            <x v="1"/>
          </reference>
        </references>
      </pivotArea>
    </format>
    <format dxfId="1212">
      <pivotArea dataOnly="0" labelOnly="1" outline="0" fieldPosition="0">
        <references count="2">
          <reference field="4294967294" count="1">
            <x v="2"/>
          </reference>
          <reference field="4" count="1" selected="0">
            <x v="1"/>
          </reference>
        </references>
      </pivotArea>
    </format>
    <format dxfId="1211">
      <pivotArea dataOnly="0" labelOnly="1" outline="0" fieldPosition="0">
        <references count="2">
          <reference field="4294967294" count="1">
            <x v="0"/>
          </reference>
          <reference field="4" count="1" selected="0">
            <x v="2"/>
          </reference>
        </references>
      </pivotArea>
    </format>
    <format dxfId="1210">
      <pivotArea dataOnly="0" labelOnly="1" outline="0" fieldPosition="0">
        <references count="2">
          <reference field="4294967294" count="1">
            <x v="1"/>
          </reference>
          <reference field="4" count="1" selected="0">
            <x v="2"/>
          </reference>
        </references>
      </pivotArea>
    </format>
    <format dxfId="1209">
      <pivotArea dataOnly="0" labelOnly="1" outline="0" fieldPosition="0">
        <references count="2">
          <reference field="4294967294" count="1">
            <x v="2"/>
          </reference>
          <reference field="4" count="1" selected="0">
            <x v="2"/>
          </reference>
        </references>
      </pivotArea>
    </format>
    <format dxfId="1208">
      <pivotArea dataOnly="0" labelOnly="1" outline="0" fieldPosition="0">
        <references count="2">
          <reference field="4294967294" count="1">
            <x v="0"/>
          </reference>
          <reference field="4" count="1" selected="0">
            <x v="3"/>
          </reference>
        </references>
      </pivotArea>
    </format>
    <format dxfId="1207">
      <pivotArea dataOnly="0" labelOnly="1" outline="0" fieldPosition="0">
        <references count="2">
          <reference field="4294967294" count="1">
            <x v="1"/>
          </reference>
          <reference field="4" count="1" selected="0">
            <x v="3"/>
          </reference>
        </references>
      </pivotArea>
    </format>
    <format dxfId="1206">
      <pivotArea dataOnly="0" labelOnly="1" outline="0" fieldPosition="0">
        <references count="2">
          <reference field="4294967294" count="1">
            <x v="2"/>
          </reference>
          <reference field="4" count="1" selected="0">
            <x v="3"/>
          </reference>
        </references>
      </pivotArea>
    </format>
    <format dxfId="1205">
      <pivotArea dataOnly="0" labelOnly="1" outline="0" fieldPosition="0">
        <references count="2">
          <reference field="4294967294" count="1">
            <x v="0"/>
          </reference>
          <reference field="4" count="1" selected="0">
            <x v="4"/>
          </reference>
        </references>
      </pivotArea>
    </format>
    <format dxfId="1204">
      <pivotArea dataOnly="0" labelOnly="1" outline="0" fieldPosition="0">
        <references count="2">
          <reference field="4294967294" count="1">
            <x v="1"/>
          </reference>
          <reference field="4" count="1" selected="0">
            <x v="4"/>
          </reference>
        </references>
      </pivotArea>
    </format>
    <format dxfId="1203">
      <pivotArea dataOnly="0" labelOnly="1" outline="0" fieldPosition="0">
        <references count="2">
          <reference field="4294967294" count="1">
            <x v="2"/>
          </reference>
          <reference field="4" count="1" selected="0">
            <x v="4"/>
          </reference>
        </references>
      </pivotArea>
    </format>
    <format dxfId="1202">
      <pivotArea dataOnly="0" labelOnly="1" outline="0" fieldPosition="0">
        <references count="2">
          <reference field="4294967294" count="1">
            <x v="0"/>
          </reference>
          <reference field="4" count="1" selected="0">
            <x v="5"/>
          </reference>
        </references>
      </pivotArea>
    </format>
    <format dxfId="1201">
      <pivotArea dataOnly="0" labelOnly="1" outline="0" fieldPosition="0">
        <references count="2">
          <reference field="4294967294" count="1">
            <x v="1"/>
          </reference>
          <reference field="4" count="1" selected="0">
            <x v="5"/>
          </reference>
        </references>
      </pivotArea>
    </format>
    <format dxfId="1200">
      <pivotArea dataOnly="0" labelOnly="1" outline="0" fieldPosition="0">
        <references count="2">
          <reference field="4294967294" count="1">
            <x v="2"/>
          </reference>
          <reference field="4" count="1" selected="0">
            <x v="5"/>
          </reference>
        </references>
      </pivotArea>
    </format>
    <format dxfId="1199">
      <pivotArea dataOnly="0" labelOnly="1" outline="0" fieldPosition="0">
        <references count="2">
          <reference field="4294967294" count="1">
            <x v="0"/>
          </reference>
          <reference field="4" count="1" selected="0">
            <x v="6"/>
          </reference>
        </references>
      </pivotArea>
    </format>
    <format dxfId="1198">
      <pivotArea dataOnly="0" labelOnly="1" outline="0" fieldPosition="0">
        <references count="2">
          <reference field="4294967294" count="1">
            <x v="1"/>
          </reference>
          <reference field="4" count="1" selected="0">
            <x v="6"/>
          </reference>
        </references>
      </pivotArea>
    </format>
    <format dxfId="1197">
      <pivotArea dataOnly="0" labelOnly="1" outline="0" fieldPosition="0">
        <references count="2">
          <reference field="4294967294" count="1">
            <x v="2"/>
          </reference>
          <reference field="4" count="1" selected="0">
            <x v="6"/>
          </reference>
        </references>
      </pivotArea>
    </format>
    <format dxfId="1196">
      <pivotArea dataOnly="0" labelOnly="1" outline="0" fieldPosition="0">
        <references count="2">
          <reference field="4294967294" count="1">
            <x v="0"/>
          </reference>
          <reference field="4" count="1" selected="0">
            <x v="7"/>
          </reference>
        </references>
      </pivotArea>
    </format>
    <format dxfId="1195">
      <pivotArea dataOnly="0" labelOnly="1" outline="0" fieldPosition="0">
        <references count="2">
          <reference field="4294967294" count="1">
            <x v="1"/>
          </reference>
          <reference field="4" count="1" selected="0">
            <x v="7"/>
          </reference>
        </references>
      </pivotArea>
    </format>
    <format dxfId="1194">
      <pivotArea dataOnly="0" labelOnly="1" outline="0" fieldPosition="0">
        <references count="2">
          <reference field="4294967294" count="1">
            <x v="2"/>
          </reference>
          <reference field="4" count="1" selected="0">
            <x v="7"/>
          </reference>
        </references>
      </pivotArea>
    </format>
    <format dxfId="1193">
      <pivotArea dataOnly="0" labelOnly="1" outline="0" fieldPosition="0">
        <references count="2">
          <reference field="4294967294" count="1">
            <x v="0"/>
          </reference>
          <reference field="4" count="1" selected="0">
            <x v="8"/>
          </reference>
        </references>
      </pivotArea>
    </format>
    <format dxfId="1192">
      <pivotArea dataOnly="0" labelOnly="1" outline="0" fieldPosition="0">
        <references count="2">
          <reference field="4294967294" count="1">
            <x v="1"/>
          </reference>
          <reference field="4" count="1" selected="0">
            <x v="8"/>
          </reference>
        </references>
      </pivotArea>
    </format>
    <format dxfId="1191">
      <pivotArea dataOnly="0" labelOnly="1" outline="0" fieldPosition="0">
        <references count="2">
          <reference field="4294967294" count="1">
            <x v="2"/>
          </reference>
          <reference field="4" count="1" selected="0">
            <x v="8"/>
          </reference>
        </references>
      </pivotArea>
    </format>
    <format dxfId="1190">
      <pivotArea dataOnly="0" labelOnly="1" outline="0" fieldPosition="0">
        <references count="1">
          <reference field="4" count="1">
            <x v="1"/>
          </reference>
        </references>
      </pivotArea>
    </format>
    <format dxfId="1189">
      <pivotArea dataOnly="0" labelOnly="1" outline="0" offset="IV256" fieldPosition="0">
        <references count="1">
          <reference field="4" count="1">
            <x v="1"/>
          </reference>
        </references>
      </pivotArea>
    </format>
    <format dxfId="1188">
      <pivotArea dataOnly="0" labelOnly="1" outline="0" offset="A256" fieldPosition="0">
        <references count="1">
          <reference field="4" count="1">
            <x v="2"/>
          </reference>
        </references>
      </pivotArea>
    </format>
    <format dxfId="1187">
      <pivotArea dataOnly="0" labelOnly="1" outline="0" offset="IV256" fieldPosition="0">
        <references count="1">
          <reference field="4" count="1">
            <x v="2"/>
          </reference>
        </references>
      </pivotArea>
    </format>
    <format dxfId="1186">
      <pivotArea dataOnly="0" labelOnly="1" outline="0" offset="A256" fieldPosition="0">
        <references count="1">
          <reference field="4" count="1">
            <x v="3"/>
          </reference>
        </references>
      </pivotArea>
    </format>
    <format dxfId="1185">
      <pivotArea dataOnly="0" labelOnly="1" outline="0" offset="IV256" fieldPosition="0">
        <references count="1">
          <reference field="4" count="1">
            <x v="3"/>
          </reference>
        </references>
      </pivotArea>
    </format>
    <format dxfId="1184">
      <pivotArea dataOnly="0" labelOnly="1" outline="0" offset="A256" fieldPosition="0">
        <references count="1">
          <reference field="4" count="1">
            <x v="4"/>
          </reference>
        </references>
      </pivotArea>
    </format>
    <format dxfId="1183">
      <pivotArea dataOnly="0" labelOnly="1" outline="0" offset="IV256" fieldPosition="0">
        <references count="1">
          <reference field="4" count="1">
            <x v="4"/>
          </reference>
        </references>
      </pivotArea>
    </format>
    <format dxfId="1182">
      <pivotArea dataOnly="0" labelOnly="1" outline="0" offset="A256" fieldPosition="0">
        <references count="1">
          <reference field="4" count="1">
            <x v="5"/>
          </reference>
        </references>
      </pivotArea>
    </format>
    <format dxfId="1181">
      <pivotArea dataOnly="0" labelOnly="1" outline="0" offset="IV256" fieldPosition="0">
        <references count="1">
          <reference field="4" count="1">
            <x v="5"/>
          </reference>
        </references>
      </pivotArea>
    </format>
    <format dxfId="1180">
      <pivotArea dataOnly="0" labelOnly="1" outline="0" offset="A256" fieldPosition="0">
        <references count="1">
          <reference field="4" count="1">
            <x v="6"/>
          </reference>
        </references>
      </pivotArea>
    </format>
    <format dxfId="1179">
      <pivotArea dataOnly="0" labelOnly="1" outline="0" offset="IV256" fieldPosition="0">
        <references count="1">
          <reference field="4" count="1">
            <x v="6"/>
          </reference>
        </references>
      </pivotArea>
    </format>
    <format dxfId="1178">
      <pivotArea dataOnly="0" labelOnly="1" outline="0" offset="A256" fieldPosition="0">
        <references count="1">
          <reference field="4" count="1">
            <x v="7"/>
          </reference>
        </references>
      </pivotArea>
    </format>
    <format dxfId="1177">
      <pivotArea dataOnly="0" labelOnly="1" outline="0" offset="IV256" fieldPosition="0">
        <references count="1">
          <reference field="4" count="1">
            <x v="7"/>
          </reference>
        </references>
      </pivotArea>
    </format>
    <format dxfId="1176">
      <pivotArea dataOnly="0" labelOnly="1" outline="0" offset="A256" fieldPosition="0">
        <references count="1">
          <reference field="4" count="1">
            <x v="8"/>
          </reference>
        </references>
      </pivotArea>
    </format>
    <format dxfId="1175">
      <pivotArea dataOnly="0" labelOnly="1" outline="0" offset="IV256" fieldPosition="0">
        <references count="1">
          <reference field="4" count="1">
            <x v="8"/>
          </reference>
        </references>
      </pivotArea>
    </format>
    <format dxfId="1174">
      <pivotArea dataOnly="0" labelOnly="1" outline="0" fieldPosition="0">
        <references count="1">
          <reference field="4" count="1">
            <x v="1"/>
          </reference>
        </references>
      </pivotArea>
    </format>
    <format dxfId="1173">
      <pivotArea dataOnly="0" labelOnly="1" outline="0" offset="IV256" fieldPosition="0">
        <references count="1">
          <reference field="4" count="1">
            <x v="1"/>
          </reference>
        </references>
      </pivotArea>
    </format>
    <format dxfId="1172">
      <pivotArea dataOnly="0" labelOnly="1" outline="0" offset="A256" fieldPosition="0">
        <references count="1">
          <reference field="4" count="1">
            <x v="2"/>
          </reference>
        </references>
      </pivotArea>
    </format>
    <format dxfId="1171">
      <pivotArea dataOnly="0" labelOnly="1" outline="0" offset="IV256" fieldPosition="0">
        <references count="1">
          <reference field="4" count="1">
            <x v="2"/>
          </reference>
        </references>
      </pivotArea>
    </format>
    <format dxfId="1170">
      <pivotArea dataOnly="0" labelOnly="1" outline="0" offset="A256" fieldPosition="0">
        <references count="1">
          <reference field="4" count="1">
            <x v="3"/>
          </reference>
        </references>
      </pivotArea>
    </format>
    <format dxfId="1169">
      <pivotArea dataOnly="0" labelOnly="1" outline="0" offset="IV256" fieldPosition="0">
        <references count="1">
          <reference field="4" count="1">
            <x v="3"/>
          </reference>
        </references>
      </pivotArea>
    </format>
    <format dxfId="1168">
      <pivotArea dataOnly="0" labelOnly="1" outline="0" offset="A256" fieldPosition="0">
        <references count="1">
          <reference field="4" count="1">
            <x v="4"/>
          </reference>
        </references>
      </pivotArea>
    </format>
    <format dxfId="1167">
      <pivotArea dataOnly="0" labelOnly="1" outline="0" offset="IV256" fieldPosition="0">
        <references count="1">
          <reference field="4" count="1">
            <x v="4"/>
          </reference>
        </references>
      </pivotArea>
    </format>
    <format dxfId="1166">
      <pivotArea dataOnly="0" labelOnly="1" outline="0" offset="A256" fieldPosition="0">
        <references count="1">
          <reference field="4" count="1">
            <x v="5"/>
          </reference>
        </references>
      </pivotArea>
    </format>
    <format dxfId="1165">
      <pivotArea dataOnly="0" labelOnly="1" outline="0" offset="IV256" fieldPosition="0">
        <references count="1">
          <reference field="4" count="1">
            <x v="5"/>
          </reference>
        </references>
      </pivotArea>
    </format>
    <format dxfId="1164">
      <pivotArea dataOnly="0" labelOnly="1" outline="0" offset="A256" fieldPosition="0">
        <references count="1">
          <reference field="4" count="1">
            <x v="6"/>
          </reference>
        </references>
      </pivotArea>
    </format>
    <format dxfId="1163">
      <pivotArea dataOnly="0" labelOnly="1" outline="0" offset="IV256" fieldPosition="0">
        <references count="1">
          <reference field="4" count="1">
            <x v="6"/>
          </reference>
        </references>
      </pivotArea>
    </format>
    <format dxfId="1162">
      <pivotArea dataOnly="0" labelOnly="1" outline="0" offset="A256" fieldPosition="0">
        <references count="1">
          <reference field="4" count="1">
            <x v="7"/>
          </reference>
        </references>
      </pivotArea>
    </format>
    <format dxfId="1161">
      <pivotArea dataOnly="0" labelOnly="1" outline="0" offset="IV256" fieldPosition="0">
        <references count="1">
          <reference field="4" count="1">
            <x v="7"/>
          </reference>
        </references>
      </pivotArea>
    </format>
    <format dxfId="1160">
      <pivotArea dataOnly="0" labelOnly="1" outline="0" offset="A256" fieldPosition="0">
        <references count="1">
          <reference field="4" count="1">
            <x v="8"/>
          </reference>
        </references>
      </pivotArea>
    </format>
    <format dxfId="1159">
      <pivotArea dataOnly="0" labelOnly="1" outline="0" offset="IV256" fieldPosition="0">
        <references count="1">
          <reference field="4" count="1">
            <x v="8"/>
          </reference>
        </references>
      </pivotArea>
    </format>
    <format dxfId="1158">
      <pivotArea dataOnly="0" labelOnly="1" outline="0" offset="A256" fieldPosition="0">
        <references count="1">
          <reference field="4" count="1">
            <x v="1"/>
          </reference>
        </references>
      </pivotArea>
    </format>
    <format dxfId="1157">
      <pivotArea dataOnly="0" labelOnly="1" outline="0" offset="A256" fieldPosition="0">
        <references count="1">
          <reference field="4" count="1">
            <x v="1"/>
          </reference>
        </references>
      </pivotArea>
    </format>
    <format dxfId="1156">
      <pivotArea dataOnly="0" labelOnly="1" outline="0" offset="B256" fieldPosition="0">
        <references count="1">
          <reference field="4" count="1">
            <x v="1"/>
          </reference>
        </references>
      </pivotArea>
    </format>
    <format dxfId="1155">
      <pivotArea dataOnly="0" labelOnly="1" outline="0" offset="IV256" fieldPosition="0">
        <references count="1">
          <reference field="4" count="1">
            <x v="1"/>
          </reference>
        </references>
      </pivotArea>
    </format>
    <format dxfId="1154">
      <pivotArea dataOnly="0" labelOnly="1" outline="0" offset="A256" fieldPosition="0">
        <references count="1">
          <reference field="4" count="1">
            <x v="2"/>
          </reference>
        </references>
      </pivotArea>
    </format>
    <format dxfId="1153">
      <pivotArea dataOnly="0" labelOnly="1" outline="0" offset="B256" fieldPosition="0">
        <references count="1">
          <reference field="4" count="1">
            <x v="2"/>
          </reference>
        </references>
      </pivotArea>
    </format>
    <format dxfId="1152">
      <pivotArea dataOnly="0" labelOnly="1" outline="0" offset="IV256" fieldPosition="0">
        <references count="1">
          <reference field="4" count="1">
            <x v="2"/>
          </reference>
        </references>
      </pivotArea>
    </format>
    <format dxfId="1151">
      <pivotArea dataOnly="0" labelOnly="1" outline="0" offset="A256" fieldPosition="0">
        <references count="1">
          <reference field="4" count="1">
            <x v="3"/>
          </reference>
        </references>
      </pivotArea>
    </format>
    <format dxfId="1150">
      <pivotArea dataOnly="0" labelOnly="1" outline="0" offset="B256" fieldPosition="0">
        <references count="1">
          <reference field="4" count="1">
            <x v="3"/>
          </reference>
        </references>
      </pivotArea>
    </format>
    <format dxfId="1149">
      <pivotArea dataOnly="0" labelOnly="1" outline="0" offset="IV256" fieldPosition="0">
        <references count="1">
          <reference field="4" count="1">
            <x v="3"/>
          </reference>
        </references>
      </pivotArea>
    </format>
    <format dxfId="1148">
      <pivotArea dataOnly="0" labelOnly="1" outline="0" offset="A256" fieldPosition="0">
        <references count="1">
          <reference field="4" count="1">
            <x v="4"/>
          </reference>
        </references>
      </pivotArea>
    </format>
    <format dxfId="1147">
      <pivotArea dataOnly="0" labelOnly="1" outline="0" offset="B256" fieldPosition="0">
        <references count="1">
          <reference field="4" count="1">
            <x v="4"/>
          </reference>
        </references>
      </pivotArea>
    </format>
    <format dxfId="1146">
      <pivotArea dataOnly="0" labelOnly="1" outline="0" offset="IV256" fieldPosition="0">
        <references count="1">
          <reference field="4" count="1">
            <x v="4"/>
          </reference>
        </references>
      </pivotArea>
    </format>
    <format dxfId="1145">
      <pivotArea dataOnly="0" labelOnly="1" outline="0" offset="A256" fieldPosition="0">
        <references count="1">
          <reference field="4" count="1">
            <x v="5"/>
          </reference>
        </references>
      </pivotArea>
    </format>
    <format dxfId="1144">
      <pivotArea dataOnly="0" labelOnly="1" outline="0" offset="B256" fieldPosition="0">
        <references count="1">
          <reference field="4" count="1">
            <x v="5"/>
          </reference>
        </references>
      </pivotArea>
    </format>
    <format dxfId="1143">
      <pivotArea dataOnly="0" labelOnly="1" outline="0" offset="IV256" fieldPosition="0">
        <references count="1">
          <reference field="4" count="1">
            <x v="5"/>
          </reference>
        </references>
      </pivotArea>
    </format>
    <format dxfId="1142">
      <pivotArea dataOnly="0" labelOnly="1" outline="0" offset="A256" fieldPosition="0">
        <references count="1">
          <reference field="4" count="1">
            <x v="6"/>
          </reference>
        </references>
      </pivotArea>
    </format>
    <format dxfId="1141">
      <pivotArea dataOnly="0" labelOnly="1" outline="0" offset="B256" fieldPosition="0">
        <references count="1">
          <reference field="4" count="1">
            <x v="6"/>
          </reference>
        </references>
      </pivotArea>
    </format>
    <format dxfId="1140">
      <pivotArea dataOnly="0" labelOnly="1" outline="0" offset="IV256" fieldPosition="0">
        <references count="1">
          <reference field="4" count="1">
            <x v="6"/>
          </reference>
        </references>
      </pivotArea>
    </format>
    <format dxfId="1139">
      <pivotArea dataOnly="0" labelOnly="1" outline="0" offset="A256" fieldPosition="0">
        <references count="1">
          <reference field="4" count="1">
            <x v="7"/>
          </reference>
        </references>
      </pivotArea>
    </format>
    <format dxfId="1138">
      <pivotArea dataOnly="0" labelOnly="1" outline="0" offset="B256" fieldPosition="0">
        <references count="1">
          <reference field="4" count="1">
            <x v="7"/>
          </reference>
        </references>
      </pivotArea>
    </format>
    <format dxfId="1137">
      <pivotArea dataOnly="0" labelOnly="1" outline="0" offset="IV256" fieldPosition="0">
        <references count="1">
          <reference field="4" count="1">
            <x v="7"/>
          </reference>
        </references>
      </pivotArea>
    </format>
    <format dxfId="1136">
      <pivotArea dataOnly="0" labelOnly="1" outline="0" offset="A256" fieldPosition="0">
        <references count="1">
          <reference field="4" count="1">
            <x v="8"/>
          </reference>
        </references>
      </pivotArea>
    </format>
    <format dxfId="1135">
      <pivotArea dataOnly="0" labelOnly="1" outline="0" offset="B256" fieldPosition="0">
        <references count="1">
          <reference field="4" count="1">
            <x v="8"/>
          </reference>
        </references>
      </pivotArea>
    </format>
    <format dxfId="1134">
      <pivotArea dataOnly="0" labelOnly="1" outline="0" offset="IV256" fieldPosition="0">
        <references count="1">
          <reference field="4" count="1">
            <x v="8"/>
          </reference>
        </references>
      </pivotArea>
    </format>
  </formats>
  <pivotTableStyleInfo name="PivotStyleLight15" showRowHeaders="1" showColHeaders="1" showRowStripes="0" showColStripes="0" showLastColumn="1"/>
  <filters count="2">
    <filter fld="6" type="captionNotEqual" evalOrder="-1" id="4" stringValue1="(blank)">
      <autoFilter ref="A1">
        <filterColumn colId="0">
          <customFilters>
            <customFilter operator="notEqual" val="(blank)"/>
          </customFilters>
        </filterColumn>
      </autoFilter>
    </filter>
    <filter fld="4" type="captionGreaterThan" evalOrder="-1" id="3"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3F90C2-AD71-4CEF-A616-9A96F044F5E5}" name="PivotTableRevenueData4A"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D14:BH59" firstHeaderRow="0" firstDataRow="1"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x="1"/>
        <item h="1" x="0"/>
        <item x="2"/>
        <item h="1" x="3"/>
        <item x="4"/>
        <item f="1" x="6"/>
        <item f="1" x="7"/>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45">
    <i>
      <x/>
      <x v="1"/>
    </i>
    <i r="1">
      <x v="2"/>
    </i>
    <i r="1">
      <x v="3"/>
    </i>
    <i r="1">
      <x v="4"/>
    </i>
    <i r="1">
      <x v="5"/>
    </i>
    <i r="1">
      <x v="6"/>
    </i>
    <i r="1">
      <x v="7"/>
    </i>
    <i r="1">
      <x v="8"/>
    </i>
    <i t="default">
      <x/>
    </i>
    <i>
      <x v="2"/>
      <x v="1"/>
    </i>
    <i r="1">
      <x v="2"/>
    </i>
    <i r="1">
      <x v="3"/>
    </i>
    <i r="1">
      <x v="4"/>
    </i>
    <i r="1">
      <x v="5"/>
    </i>
    <i r="1">
      <x v="6"/>
    </i>
    <i r="1">
      <x v="7"/>
    </i>
    <i r="1">
      <x v="8"/>
    </i>
    <i t="default">
      <x v="2"/>
    </i>
    <i>
      <x v="4"/>
      <x v="1"/>
    </i>
    <i r="1">
      <x v="2"/>
    </i>
    <i r="1">
      <x v="3"/>
    </i>
    <i r="1">
      <x v="4"/>
    </i>
    <i r="1">
      <x v="5"/>
    </i>
    <i r="1">
      <x v="6"/>
    </i>
    <i r="1">
      <x v="7"/>
    </i>
    <i r="1">
      <x v="8"/>
    </i>
    <i t="default">
      <x v="4"/>
    </i>
    <i>
      <x v="5"/>
      <x v="1"/>
    </i>
    <i r="1">
      <x v="2"/>
    </i>
    <i r="1">
      <x v="3"/>
    </i>
    <i r="1">
      <x v="4"/>
    </i>
    <i r="1">
      <x v="5"/>
    </i>
    <i r="1">
      <x v="6"/>
    </i>
    <i r="1">
      <x v="7"/>
    </i>
    <i r="1">
      <x v="8"/>
    </i>
    <i t="default">
      <x v="5"/>
    </i>
    <i>
      <x v="6"/>
      <x v="1"/>
    </i>
    <i r="1">
      <x v="2"/>
    </i>
    <i r="1">
      <x v="3"/>
    </i>
    <i r="1">
      <x v="4"/>
    </i>
    <i r="1">
      <x v="5"/>
    </i>
    <i r="1">
      <x v="6"/>
    </i>
    <i r="1">
      <x v="7"/>
    </i>
    <i r="1">
      <x v="8"/>
    </i>
    <i t="default">
      <x v="6"/>
    </i>
  </rowItems>
  <colFields count="1">
    <field x="-2"/>
  </colFields>
  <colItems count="3">
    <i>
      <x/>
    </i>
    <i i="1">
      <x v="1"/>
    </i>
    <i i="2">
      <x v="2"/>
    </i>
  </colItems>
  <pageFields count="1">
    <pageField fld="1" hier="-1"/>
  </pageFields>
  <dataFields count="3">
    <dataField name="Sum of TOTAL DISTRIBUTION CHANNEL 1" fld="36" baseField="4" baseItem="0" numFmtId="164"/>
    <dataField name="Sum of TOTAL DISTRIBUTION CHANNEL 2" fld="38" baseField="4" baseItem="0" numFmtId="164"/>
    <dataField name="Sum of TOTAL YEAR" fld="32" baseField="7" baseItem="0" numFmtId="164"/>
  </dataFields>
  <formats count="39">
    <format dxfId="1337">
      <pivotArea type="all" dataOnly="0" outline="0" fieldPosition="0"/>
    </format>
    <format dxfId="1336">
      <pivotArea field="8" type="button" dataOnly="0" labelOnly="1" outline="0" axis="axisRow" fieldPosition="0"/>
    </format>
    <format dxfId="1335">
      <pivotArea dataOnly="0" labelOnly="1" grandRow="1" outline="0" fieldPosition="0"/>
    </format>
    <format dxfId="1334">
      <pivotArea field="8" type="button" dataOnly="0" labelOnly="1" outline="0" axis="axisRow" fieldPosition="0"/>
    </format>
    <format dxfId="1333">
      <pivotArea field="8" type="button" dataOnly="0" labelOnly="1" outline="0" axis="axisRow" fieldPosition="0"/>
    </format>
    <format dxfId="1332">
      <pivotArea field="8" type="button" dataOnly="0" labelOnly="1" outline="0" axis="axisRow" fieldPosition="0"/>
    </format>
    <format dxfId="1331">
      <pivotArea field="8" type="button" dataOnly="0" labelOnly="1" outline="0" axis="axisRow" fieldPosition="0"/>
    </format>
    <format dxfId="1330">
      <pivotArea field="8" type="button" dataOnly="0" labelOnly="1" outline="0" axis="axisRow" fieldPosition="0"/>
    </format>
    <format dxfId="1329">
      <pivotArea field="8" type="button" dataOnly="0" labelOnly="1" outline="0" axis="axisRow" fieldPosition="0"/>
    </format>
    <format dxfId="1328">
      <pivotArea type="all" dataOnly="0" outline="0" fieldPosition="0"/>
    </format>
    <format dxfId="1327">
      <pivotArea outline="0" collapsedLevelsAreSubtotals="1" fieldPosition="0"/>
    </format>
    <format dxfId="1326">
      <pivotArea type="origin" dataOnly="0" labelOnly="1" outline="0" fieldPosition="0"/>
    </format>
    <format dxfId="1325">
      <pivotArea type="topRight" dataOnly="0" labelOnly="1" outline="0" fieldPosition="0"/>
    </format>
    <format dxfId="1324">
      <pivotArea field="8" type="button" dataOnly="0" labelOnly="1" outline="0" axis="axisRow" fieldPosition="0"/>
    </format>
    <format dxfId="1323">
      <pivotArea dataOnly="0" labelOnly="1" outline="0" fieldPosition="0">
        <references count="1">
          <reference field="8" count="0"/>
        </references>
      </pivotArea>
    </format>
    <format dxfId="1322">
      <pivotArea dataOnly="0" labelOnly="1" outline="0" fieldPosition="0">
        <references count="1">
          <reference field="8" count="0" defaultSubtotal="1"/>
        </references>
      </pivotArea>
    </format>
    <format dxfId="1321">
      <pivotArea type="origin" dataOnly="0" labelOnly="1" outline="0" offset="A1" fieldPosition="0"/>
    </format>
    <format dxfId="1320">
      <pivotArea type="origin" dataOnly="0" labelOnly="1" outline="0" fieldPosition="0"/>
    </format>
    <format dxfId="1319">
      <pivotArea type="origin" dataOnly="0" labelOnly="1" outline="0" offset="B1" fieldPosition="0"/>
    </format>
    <format dxfId="1318">
      <pivotArea type="topRight" dataOnly="0" labelOnly="1" outline="0" fieldPosition="0"/>
    </format>
    <format dxfId="1317">
      <pivotArea type="origin" dataOnly="0" labelOnly="1" outline="0" fieldPosition="0"/>
    </format>
    <format dxfId="1316">
      <pivotArea type="all" dataOnly="0" outline="0" fieldPosition="0"/>
    </format>
    <format dxfId="1315">
      <pivotArea outline="0" collapsedLevelsAreSubtotals="1" fieldPosition="0"/>
    </format>
    <format dxfId="1314">
      <pivotArea field="8" type="button" dataOnly="0" labelOnly="1" outline="0" axis="axisRow" fieldPosition="0"/>
    </format>
    <format dxfId="1313">
      <pivotArea dataOnly="0" labelOnly="1" outline="0" fieldPosition="0">
        <references count="1">
          <reference field="8" count="0"/>
        </references>
      </pivotArea>
    </format>
    <format dxfId="1312">
      <pivotArea field="1" type="button" dataOnly="0" labelOnly="1" outline="0" axis="axisPage" fieldPosition="0"/>
    </format>
    <format dxfId="1311">
      <pivotArea dataOnly="0" labelOnly="1" outline="0" fieldPosition="0">
        <references count="1">
          <reference field="1" count="0"/>
        </references>
      </pivotArea>
    </format>
    <format dxfId="1310">
      <pivotArea outline="0" fieldPosition="0">
        <references count="1">
          <reference field="4294967294" count="1">
            <x v="2"/>
          </reference>
        </references>
      </pivotArea>
    </format>
    <format dxfId="1309">
      <pivotArea dataOnly="0" labelOnly="1" outline="0" fieldPosition="0">
        <references count="1">
          <reference field="4294967294" count="1">
            <x v="2"/>
          </reference>
        </references>
      </pivotArea>
    </format>
    <format dxfId="1308">
      <pivotArea dataOnly="0" labelOnly="1" outline="0" fieldPosition="0">
        <references count="1">
          <reference field="4" count="0"/>
        </references>
      </pivotArea>
    </format>
    <format dxfId="1307">
      <pivotArea field="4" type="button" dataOnly="0" labelOnly="1" outline="0" axis="axisRow" fieldPosition="1"/>
    </format>
    <format dxfId="1306">
      <pivotArea dataOnly="0" labelOnly="1" outline="0" fieldPosition="0">
        <references count="1">
          <reference field="4294967294" count="1">
            <x v="0"/>
          </reference>
        </references>
      </pivotArea>
    </format>
    <format dxfId="1305">
      <pivotArea dataOnly="0" labelOnly="1" outline="0" fieldPosition="0">
        <references count="1">
          <reference field="4294967294" count="1">
            <x v="1"/>
          </reference>
        </references>
      </pivotArea>
    </format>
    <format dxfId="1304">
      <pivotArea outline="0" fieldPosition="0">
        <references count="1">
          <reference field="4294967294" count="1">
            <x v="0"/>
          </reference>
        </references>
      </pivotArea>
    </format>
    <format dxfId="1303">
      <pivotArea outline="0" fieldPosition="0">
        <references count="1">
          <reference field="4294967294" count="1">
            <x v="1"/>
          </reference>
        </references>
      </pivotArea>
    </format>
    <format dxfId="1302">
      <pivotArea dataOnly="0" outline="0" fieldPosition="0">
        <references count="1">
          <reference field="8" count="0" defaultSubtotal="1"/>
        </references>
      </pivotArea>
    </format>
    <format dxfId="1301">
      <pivotArea dataOnly="0" outline="0" fieldPosition="0">
        <references count="1">
          <reference field="8" count="0" defaultSubtotal="1"/>
        </references>
      </pivotArea>
    </format>
    <format dxfId="1300">
      <pivotArea outline="0" fieldPosition="0">
        <references count="1">
          <reference field="8" count="1" selected="0" defaultSubtotal="1">
            <x v="6"/>
          </reference>
        </references>
      </pivotArea>
    </format>
    <format dxfId="1299">
      <pivotArea outline="0" fieldPosition="0">
        <references count="2">
          <reference field="4" count="8" selected="0">
            <x v="1"/>
            <x v="2"/>
            <x v="3"/>
            <x v="4"/>
            <x v="5"/>
            <x v="6"/>
            <x v="7"/>
            <x v="8"/>
          </reference>
          <reference field="8" count="1" selected="0">
            <x v="6"/>
          </reference>
        </references>
      </pivotArea>
    </format>
  </formats>
  <pivotTableStyleInfo name="PivotStyleLight15" showRowHeaders="1" showColHeaders="1" showRowStripes="0" showColStripes="0" showLastColumn="1"/>
  <filters count="1">
    <filter fld="4" type="captionGreaterThan" evalOrder="-1" id="3"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49EEEFB-652C-41C5-AEB2-143958BECDBB}" name="PivotTableRevenueData3"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AV14:BA59" firstHeaderRow="0" firstDataRow="1"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x="1"/>
        <item h="1" x="0"/>
        <item x="2"/>
        <item h="1" x="3"/>
        <item x="4"/>
        <item f="1" x="6"/>
        <item f="1" x="7"/>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45">
    <i>
      <x/>
      <x v="1"/>
    </i>
    <i r="1">
      <x v="2"/>
    </i>
    <i r="1">
      <x v="3"/>
    </i>
    <i r="1">
      <x v="4"/>
    </i>
    <i r="1">
      <x v="5"/>
    </i>
    <i r="1">
      <x v="6"/>
    </i>
    <i r="1">
      <x v="7"/>
    </i>
    <i r="1">
      <x v="8"/>
    </i>
    <i t="default">
      <x/>
    </i>
    <i>
      <x v="2"/>
      <x v="1"/>
    </i>
    <i r="1">
      <x v="2"/>
    </i>
    <i r="1">
      <x v="3"/>
    </i>
    <i r="1">
      <x v="4"/>
    </i>
    <i r="1">
      <x v="5"/>
    </i>
    <i r="1">
      <x v="6"/>
    </i>
    <i r="1">
      <x v="7"/>
    </i>
    <i r="1">
      <x v="8"/>
    </i>
    <i t="default">
      <x v="2"/>
    </i>
    <i>
      <x v="4"/>
      <x v="1"/>
    </i>
    <i r="1">
      <x v="2"/>
    </i>
    <i r="1">
      <x v="3"/>
    </i>
    <i r="1">
      <x v="4"/>
    </i>
    <i r="1">
      <x v="5"/>
    </i>
    <i r="1">
      <x v="6"/>
    </i>
    <i r="1">
      <x v="7"/>
    </i>
    <i r="1">
      <x v="8"/>
    </i>
    <i t="default">
      <x v="4"/>
    </i>
    <i>
      <x v="5"/>
      <x v="1"/>
    </i>
    <i r="1">
      <x v="2"/>
    </i>
    <i r="1">
      <x v="3"/>
    </i>
    <i r="1">
      <x v="4"/>
    </i>
    <i r="1">
      <x v="5"/>
    </i>
    <i r="1">
      <x v="6"/>
    </i>
    <i r="1">
      <x v="7"/>
    </i>
    <i r="1">
      <x v="8"/>
    </i>
    <i t="default">
      <x v="5"/>
    </i>
    <i>
      <x v="6"/>
      <x v="1"/>
    </i>
    <i r="1">
      <x v="2"/>
    </i>
    <i r="1">
      <x v="3"/>
    </i>
    <i r="1">
      <x v="4"/>
    </i>
    <i r="1">
      <x v="5"/>
    </i>
    <i r="1">
      <x v="6"/>
    </i>
    <i r="1">
      <x v="7"/>
    </i>
    <i r="1">
      <x v="8"/>
    </i>
    <i t="default">
      <x v="6"/>
    </i>
  </rowItems>
  <colFields count="1">
    <field x="-2"/>
  </colFields>
  <colItems count="4">
    <i>
      <x/>
    </i>
    <i i="1">
      <x v="1"/>
    </i>
    <i i="2">
      <x v="2"/>
    </i>
    <i i="3">
      <x v="3"/>
    </i>
  </colItems>
  <pageFields count="1">
    <pageField fld="1" hier="-1"/>
  </pageFields>
  <dataFields count="4">
    <dataField name="Sum of TOTAL RANGE 1" fld="33" baseField="4" baseItem="0" numFmtId="164"/>
    <dataField name="Sum of TOTAL RANGE 2" fld="34" baseField="4" baseItem="0" numFmtId="164"/>
    <dataField name="Sum of TOTAL RANGE 3" fld="35" baseField="4" baseItem="0" numFmtId="164"/>
    <dataField name="Sum of TOTAL YEAR" fld="32" baseField="4" baseItem="0" numFmtId="164"/>
  </dataFields>
  <formats count="43">
    <format dxfId="1380">
      <pivotArea type="all" dataOnly="0" outline="0" fieldPosition="0"/>
    </format>
    <format dxfId="1379">
      <pivotArea field="8" type="button" dataOnly="0" labelOnly="1" outline="0" axis="axisRow" fieldPosition="0"/>
    </format>
    <format dxfId="1378">
      <pivotArea dataOnly="0" labelOnly="1" grandRow="1" outline="0" fieldPosition="0"/>
    </format>
    <format dxfId="1377">
      <pivotArea field="8" type="button" dataOnly="0" labelOnly="1" outline="0" axis="axisRow" fieldPosition="0"/>
    </format>
    <format dxfId="1376">
      <pivotArea field="8" type="button" dataOnly="0" labelOnly="1" outline="0" axis="axisRow" fieldPosition="0"/>
    </format>
    <format dxfId="1375">
      <pivotArea field="8" type="button" dataOnly="0" labelOnly="1" outline="0" axis="axisRow" fieldPosition="0"/>
    </format>
    <format dxfId="1374">
      <pivotArea field="8" type="button" dataOnly="0" labelOnly="1" outline="0" axis="axisRow" fieldPosition="0"/>
    </format>
    <format dxfId="1373">
      <pivotArea field="8" type="button" dataOnly="0" labelOnly="1" outline="0" axis="axisRow" fieldPosition="0"/>
    </format>
    <format dxfId="1372">
      <pivotArea field="8" type="button" dataOnly="0" labelOnly="1" outline="0" axis="axisRow" fieldPosition="0"/>
    </format>
    <format dxfId="1371">
      <pivotArea type="all" dataOnly="0" outline="0" fieldPosition="0"/>
    </format>
    <format dxfId="1370">
      <pivotArea outline="0" collapsedLevelsAreSubtotals="1" fieldPosition="0"/>
    </format>
    <format dxfId="1369">
      <pivotArea type="origin" dataOnly="0" labelOnly="1" outline="0" fieldPosition="0"/>
    </format>
    <format dxfId="1368">
      <pivotArea type="topRight" dataOnly="0" labelOnly="1" outline="0" fieldPosition="0"/>
    </format>
    <format dxfId="1367">
      <pivotArea field="8" type="button" dataOnly="0" labelOnly="1" outline="0" axis="axisRow" fieldPosition="0"/>
    </format>
    <format dxfId="1366">
      <pivotArea dataOnly="0" labelOnly="1" outline="0" fieldPosition="0">
        <references count="1">
          <reference field="8" count="0"/>
        </references>
      </pivotArea>
    </format>
    <format dxfId="1365">
      <pivotArea dataOnly="0" labelOnly="1" outline="0" fieldPosition="0">
        <references count="1">
          <reference field="8" count="0" defaultSubtotal="1"/>
        </references>
      </pivotArea>
    </format>
    <format dxfId="1364">
      <pivotArea type="origin" dataOnly="0" labelOnly="1" outline="0" offset="A1" fieldPosition="0"/>
    </format>
    <format dxfId="1363">
      <pivotArea type="origin" dataOnly="0" labelOnly="1" outline="0" fieldPosition="0"/>
    </format>
    <format dxfId="1362">
      <pivotArea type="origin" dataOnly="0" labelOnly="1" outline="0" offset="B1" fieldPosition="0"/>
    </format>
    <format dxfId="1361">
      <pivotArea type="topRight" dataOnly="0" labelOnly="1" outline="0" fieldPosition="0"/>
    </format>
    <format dxfId="1360">
      <pivotArea type="origin" dataOnly="0" labelOnly="1" outline="0" fieldPosition="0"/>
    </format>
    <format dxfId="1359">
      <pivotArea type="all" dataOnly="0" outline="0" fieldPosition="0"/>
    </format>
    <format dxfId="1358">
      <pivotArea outline="0" collapsedLevelsAreSubtotals="1" fieldPosition="0"/>
    </format>
    <format dxfId="1357">
      <pivotArea field="8" type="button" dataOnly="0" labelOnly="1" outline="0" axis="axisRow" fieldPosition="0"/>
    </format>
    <format dxfId="1356">
      <pivotArea dataOnly="0" labelOnly="1" outline="0" fieldPosition="0">
        <references count="1">
          <reference field="8" count="0"/>
        </references>
      </pivotArea>
    </format>
    <format dxfId="1355">
      <pivotArea field="1" type="button" dataOnly="0" labelOnly="1" outline="0" axis="axisPage" fieldPosition="0"/>
    </format>
    <format dxfId="1354">
      <pivotArea dataOnly="0" labelOnly="1" outline="0" fieldPosition="0">
        <references count="1">
          <reference field="1" count="0"/>
        </references>
      </pivotArea>
    </format>
    <format dxfId="1353">
      <pivotArea outline="0" fieldPosition="0">
        <references count="1">
          <reference field="4294967294" count="1">
            <x v="3"/>
          </reference>
        </references>
      </pivotArea>
    </format>
    <format dxfId="1352">
      <pivotArea field="4" type="button" dataOnly="0" labelOnly="1" outline="0" axis="axisRow" fieldPosition="1"/>
    </format>
    <format dxfId="1351">
      <pivotArea dataOnly="0" labelOnly="1" outline="0" fieldPosition="0">
        <references count="1">
          <reference field="4" count="0"/>
        </references>
      </pivotArea>
    </format>
    <format dxfId="1350">
      <pivotArea dataOnly="0" labelOnly="1" outline="0" fieldPosition="0">
        <references count="1">
          <reference field="4294967294" count="1">
            <x v="3"/>
          </reference>
        </references>
      </pivotArea>
    </format>
    <format dxfId="1349">
      <pivotArea outline="0" fieldPosition="0">
        <references count="1">
          <reference field="8" count="1" selected="0" defaultSubtotal="1">
            <x v="6"/>
          </reference>
        </references>
      </pivotArea>
    </format>
    <format dxfId="1348">
      <pivotArea outline="0" fieldPosition="0">
        <references count="1">
          <reference field="8" count="1" selected="0" defaultSubtotal="1">
            <x v="6"/>
          </reference>
        </references>
      </pivotArea>
    </format>
    <format dxfId="1347">
      <pivotArea dataOnly="0" labelOnly="1" outline="0" fieldPosition="0">
        <references count="1">
          <reference field="4294967294" count="1">
            <x v="0"/>
          </reference>
        </references>
      </pivotArea>
    </format>
    <format dxfId="1346">
      <pivotArea dataOnly="0" labelOnly="1" outline="0" fieldPosition="0">
        <references count="1">
          <reference field="4294967294" count="1">
            <x v="1"/>
          </reference>
        </references>
      </pivotArea>
    </format>
    <format dxfId="1345">
      <pivotArea dataOnly="0" labelOnly="1" outline="0" fieldPosition="0">
        <references count="1">
          <reference field="4294967294" count="1">
            <x v="2"/>
          </reference>
        </references>
      </pivotArea>
    </format>
    <format dxfId="1344">
      <pivotArea outline="0" fieldPosition="0">
        <references count="1">
          <reference field="4294967294" count="1">
            <x v="0"/>
          </reference>
        </references>
      </pivotArea>
    </format>
    <format dxfId="1343">
      <pivotArea outline="0" fieldPosition="0">
        <references count="1">
          <reference field="4294967294" count="1">
            <x v="1"/>
          </reference>
        </references>
      </pivotArea>
    </format>
    <format dxfId="1342">
      <pivotArea outline="0" fieldPosition="0">
        <references count="1">
          <reference field="4294967294" count="1">
            <x v="2"/>
          </reference>
        </references>
      </pivotArea>
    </format>
    <format dxfId="1341">
      <pivotArea dataOnly="0" outline="0" fieldPosition="0">
        <references count="1">
          <reference field="8" count="0" defaultSubtotal="1"/>
        </references>
      </pivotArea>
    </format>
    <format dxfId="1340">
      <pivotArea dataOnly="0" outline="0" fieldPosition="0">
        <references count="1">
          <reference field="8" count="0" defaultSubtotal="1"/>
        </references>
      </pivotArea>
    </format>
    <format dxfId="1339">
      <pivotArea outline="0" fieldPosition="0">
        <references count="1">
          <reference field="8" count="1" selected="0" defaultSubtotal="1">
            <x v="6"/>
          </reference>
        </references>
      </pivotArea>
    </format>
    <format dxfId="1338">
      <pivotArea outline="0" fieldPosition="0">
        <references count="2">
          <reference field="4" count="8" selected="0">
            <x v="1"/>
            <x v="2"/>
            <x v="3"/>
            <x v="4"/>
            <x v="5"/>
            <x v="6"/>
            <x v="7"/>
            <x v="8"/>
          </reference>
          <reference field="8" count="1" selected="0">
            <x v="6"/>
          </reference>
        </references>
      </pivotArea>
    </format>
  </formats>
  <pivotTableStyleInfo name="PivotStyleLight15" showRowHeaders="1" showColHeaders="1" showRowStripes="0" showColStripes="0" showLastColumn="1"/>
  <filters count="1">
    <filter fld="4" type="captionGreaterThan" evalOrder="-1" id="3"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F0F6A0-C93C-4F15-BE72-DF3FAAB07770}" name="PivotTableRevenueData2"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M13:AR41" firstHeaderRow="1" firstDataRow="2"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Col" compact="0" outline="0"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x="1"/>
        <item h="1" x="0"/>
        <item x="2"/>
        <item h="1" x="3"/>
        <item h="1" f="1" x="6"/>
        <item h="1" f="1" x="7"/>
        <item x="4"/>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27">
    <i>
      <x/>
      <x v="1"/>
    </i>
    <i r="1">
      <x v="2"/>
    </i>
    <i r="1">
      <x v="3"/>
    </i>
    <i r="1">
      <x v="4"/>
    </i>
    <i r="1">
      <x v="5"/>
    </i>
    <i r="1">
      <x v="6"/>
    </i>
    <i r="1">
      <x v="7"/>
    </i>
    <i r="1">
      <x v="8"/>
    </i>
    <i t="default">
      <x/>
    </i>
    <i>
      <x v="2"/>
      <x v="1"/>
    </i>
    <i r="1">
      <x v="2"/>
    </i>
    <i r="1">
      <x v="3"/>
    </i>
    <i r="1">
      <x v="4"/>
    </i>
    <i r="1">
      <x v="5"/>
    </i>
    <i r="1">
      <x v="6"/>
    </i>
    <i r="1">
      <x v="7"/>
    </i>
    <i r="1">
      <x v="8"/>
    </i>
    <i t="default">
      <x v="2"/>
    </i>
    <i>
      <x v="6"/>
      <x v="1"/>
    </i>
    <i r="1">
      <x v="2"/>
    </i>
    <i r="1">
      <x v="3"/>
    </i>
    <i r="1">
      <x v="4"/>
    </i>
    <i r="1">
      <x v="5"/>
    </i>
    <i r="1">
      <x v="6"/>
    </i>
    <i r="1">
      <x v="7"/>
    </i>
    <i r="1">
      <x v="8"/>
    </i>
    <i t="default">
      <x v="6"/>
    </i>
  </rowItems>
  <colFields count="1">
    <field x="6"/>
  </colFields>
  <colItems count="30">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colItems>
  <pageFields count="1">
    <pageField fld="1" hier="-1"/>
  </pageFields>
  <dataFields count="1">
    <dataField name="Sum of TOTAL YEAR" fld="32" baseField="4" baseItem="0" numFmtId="164"/>
  </dataFields>
  <formats count="67">
    <format dxfId="1447">
      <pivotArea type="all" dataOnly="0" outline="0" fieldPosition="0"/>
    </format>
    <format dxfId="1446">
      <pivotArea field="8" type="button" dataOnly="0" labelOnly="1" outline="0" axis="axisRow" fieldPosition="0"/>
    </format>
    <format dxfId="1445">
      <pivotArea dataOnly="0" labelOnly="1" grandRow="1" outline="0" fieldPosition="0"/>
    </format>
    <format dxfId="1444">
      <pivotArea field="8" type="button" dataOnly="0" labelOnly="1" outline="0" axis="axisRow" fieldPosition="0"/>
    </format>
    <format dxfId="1443">
      <pivotArea field="8" type="button" dataOnly="0" labelOnly="1" outline="0" axis="axisRow" fieldPosition="0"/>
    </format>
    <format dxfId="1442">
      <pivotArea field="8" type="button" dataOnly="0" labelOnly="1" outline="0" axis="axisRow" fieldPosition="0"/>
    </format>
    <format dxfId="1441">
      <pivotArea field="8" type="button" dataOnly="0" labelOnly="1" outline="0" axis="axisRow" fieldPosition="0"/>
    </format>
    <format dxfId="1440">
      <pivotArea field="8" type="button" dataOnly="0" labelOnly="1" outline="0" axis="axisRow" fieldPosition="0"/>
    </format>
    <format dxfId="1439">
      <pivotArea field="8" type="button" dataOnly="0" labelOnly="1" outline="0" axis="axisRow" fieldPosition="0"/>
    </format>
    <format dxfId="1438">
      <pivotArea type="all" dataOnly="0" outline="0" fieldPosition="0"/>
    </format>
    <format dxfId="1437">
      <pivotArea outline="0" collapsedLevelsAreSubtotals="1" fieldPosition="0"/>
    </format>
    <format dxfId="1436">
      <pivotArea type="origin" dataOnly="0" labelOnly="1" outline="0" fieldPosition="0"/>
    </format>
    <format dxfId="1435">
      <pivotArea type="topRight" dataOnly="0" labelOnly="1" outline="0" fieldPosition="0"/>
    </format>
    <format dxfId="1434">
      <pivotArea field="8" type="button" dataOnly="0" labelOnly="1" outline="0" axis="axisRow" fieldPosition="0"/>
    </format>
    <format dxfId="1433">
      <pivotArea dataOnly="0" labelOnly="1" outline="0" fieldPosition="0">
        <references count="1">
          <reference field="8" count="0"/>
        </references>
      </pivotArea>
    </format>
    <format dxfId="1432">
      <pivotArea dataOnly="0" labelOnly="1" outline="0" fieldPosition="0">
        <references count="1">
          <reference field="8" count="0" defaultSubtotal="1"/>
        </references>
      </pivotArea>
    </format>
    <format dxfId="1431">
      <pivotArea type="origin" dataOnly="0" labelOnly="1" outline="0" offset="A1" fieldPosition="0"/>
    </format>
    <format dxfId="1430">
      <pivotArea type="origin" dataOnly="0" labelOnly="1" outline="0" fieldPosition="0"/>
    </format>
    <format dxfId="1429">
      <pivotArea type="origin" dataOnly="0" labelOnly="1" outline="0" offset="B1" fieldPosition="0"/>
    </format>
    <format dxfId="1428">
      <pivotArea type="topRight" dataOnly="0" labelOnly="1" outline="0" fieldPosition="0"/>
    </format>
    <format dxfId="1427">
      <pivotArea type="origin" dataOnly="0" labelOnly="1" outline="0" fieldPosition="0"/>
    </format>
    <format dxfId="1426">
      <pivotArea type="all" dataOnly="0" outline="0" fieldPosition="0"/>
    </format>
    <format dxfId="1425">
      <pivotArea field="8" type="button" dataOnly="0" labelOnly="1" outline="0" axis="axisRow" fieldPosition="0"/>
    </format>
    <format dxfId="1424">
      <pivotArea dataOnly="0" labelOnly="1" outline="0" fieldPosition="0">
        <references count="1">
          <reference field="8" count="0"/>
        </references>
      </pivotArea>
    </format>
    <format dxfId="1423">
      <pivotArea dataOnly="0" labelOnly="1" outline="0" fieldPosition="0">
        <references count="1">
          <reference field="4" count="0"/>
        </references>
      </pivotArea>
    </format>
    <format dxfId="1422">
      <pivotArea outline="0" fieldPosition="0">
        <references count="1">
          <reference field="4294967294" count="1">
            <x v="0"/>
          </reference>
        </references>
      </pivotArea>
    </format>
    <format dxfId="1421">
      <pivotArea field="4" type="button" dataOnly="0" labelOnly="1" outline="0" axis="axisRow" fieldPosition="1"/>
    </format>
    <format dxfId="1420">
      <pivotArea field="4" type="button" dataOnly="0" labelOnly="1" outline="0" axis="axisRow" fieldPosition="1"/>
    </format>
    <format dxfId="1419">
      <pivotArea field="4" type="button" dataOnly="0" labelOnly="1" outline="0" axis="axisRow" fieldPosition="1"/>
    </format>
    <format dxfId="1418">
      <pivotArea field="4" type="button" dataOnly="0" labelOnly="1" outline="0" axis="axisRow" fieldPosition="1"/>
    </format>
    <format dxfId="1417">
      <pivotArea field="1" type="button" dataOnly="0" labelOnly="1" outline="0" axis="axisPage" fieldPosition="0"/>
    </format>
    <format dxfId="1416">
      <pivotArea dataOnly="0" labelOnly="1" outline="0" fieldPosition="0">
        <references count="1">
          <reference field="6" count="1">
            <x v="10"/>
          </reference>
        </references>
      </pivotArea>
    </format>
    <format dxfId="1415">
      <pivotArea dataOnly="0" labelOnly="1" outline="0" fieldPosition="0">
        <references count="1">
          <reference field="6" count="1">
            <x v="30"/>
          </reference>
        </references>
      </pivotArea>
    </format>
    <format dxfId="1414">
      <pivotArea dataOnly="0" outline="0" fieldPosition="0">
        <references count="1">
          <reference field="8" count="0" defaultSubtotal="1"/>
        </references>
      </pivotArea>
    </format>
    <format dxfId="1413">
      <pivotArea dataOnly="0" outline="0" fieldPosition="0">
        <references count="1">
          <reference field="8" count="0" defaultSubtotal="1"/>
        </references>
      </pivotArea>
    </format>
    <format dxfId="1412">
      <pivotArea field="6" type="button" dataOnly="0" labelOnly="1" outline="0" axis="axisCol" fieldPosition="0"/>
    </format>
    <format dxfId="1411">
      <pivotArea field="6" type="button" dataOnly="0" labelOnly="1" outline="0" axis="axisCol" fieldPosition="0"/>
    </format>
    <format dxfId="1410">
      <pivotArea dataOnly="0" labelOnly="1" outline="0" fieldPosition="0">
        <references count="1">
          <reference field="1" count="0"/>
        </references>
      </pivotArea>
    </format>
    <format dxfId="1409">
      <pivotArea dataOnly="0" labelOnly="1" outline="0" fieldPosition="0">
        <references count="1">
          <reference field="6" count="1">
            <x v="21"/>
          </reference>
        </references>
      </pivotArea>
    </format>
    <format dxfId="1408">
      <pivotArea dataOnly="0" labelOnly="1" outline="0" fieldPosition="0">
        <references count="1">
          <reference field="6" count="1">
            <x v="22"/>
          </reference>
        </references>
      </pivotArea>
    </format>
    <format dxfId="1407">
      <pivotArea dataOnly="0" labelOnly="1" outline="0" fieldPosition="0">
        <references count="1">
          <reference field="6" count="1">
            <x v="23"/>
          </reference>
        </references>
      </pivotArea>
    </format>
    <format dxfId="1406">
      <pivotArea dataOnly="0" labelOnly="1" outline="0" fieldPosition="0">
        <references count="1">
          <reference field="6" count="1">
            <x v="24"/>
          </reference>
        </references>
      </pivotArea>
    </format>
    <format dxfId="1405">
      <pivotArea dataOnly="0" labelOnly="1" outline="0" fieldPosition="0">
        <references count="1">
          <reference field="6" count="1">
            <x v="25"/>
          </reference>
        </references>
      </pivotArea>
    </format>
    <format dxfId="1404">
      <pivotArea dataOnly="0" labelOnly="1" outline="0" fieldPosition="0">
        <references count="1">
          <reference field="6" count="1">
            <x v="26"/>
          </reference>
        </references>
      </pivotArea>
    </format>
    <format dxfId="1403">
      <pivotArea dataOnly="0" labelOnly="1" outline="0" fieldPosition="0">
        <references count="1">
          <reference field="6" count="1">
            <x v="27"/>
          </reference>
        </references>
      </pivotArea>
    </format>
    <format dxfId="1402">
      <pivotArea dataOnly="0" labelOnly="1" outline="0" fieldPosition="0">
        <references count="1">
          <reference field="6" count="1">
            <x v="28"/>
          </reference>
        </references>
      </pivotArea>
    </format>
    <format dxfId="1401">
      <pivotArea dataOnly="0" labelOnly="1" outline="0" fieldPosition="0">
        <references count="1">
          <reference field="6" count="1">
            <x v="29"/>
          </reference>
        </references>
      </pivotArea>
    </format>
    <format dxfId="1400">
      <pivotArea dataOnly="0" labelOnly="1" outline="0" fieldPosition="0">
        <references count="1">
          <reference field="6" count="1">
            <x v="9"/>
          </reference>
        </references>
      </pivotArea>
    </format>
    <format dxfId="1399">
      <pivotArea dataOnly="0" labelOnly="1" outline="0" fieldPosition="0">
        <references count="1">
          <reference field="6" count="1">
            <x v="8"/>
          </reference>
        </references>
      </pivotArea>
    </format>
    <format dxfId="1398">
      <pivotArea dataOnly="0" labelOnly="1" outline="0" fieldPosition="0">
        <references count="1">
          <reference field="6" count="1">
            <x v="7"/>
          </reference>
        </references>
      </pivotArea>
    </format>
    <format dxfId="1397">
      <pivotArea dataOnly="0" labelOnly="1" outline="0" fieldPosition="0">
        <references count="1">
          <reference field="6" count="1">
            <x v="6"/>
          </reference>
        </references>
      </pivotArea>
    </format>
    <format dxfId="1396">
      <pivotArea dataOnly="0" labelOnly="1" outline="0" fieldPosition="0">
        <references count="1">
          <reference field="6" count="1">
            <x v="5"/>
          </reference>
        </references>
      </pivotArea>
    </format>
    <format dxfId="1395">
      <pivotArea dataOnly="0" labelOnly="1" outline="0" fieldPosition="0">
        <references count="1">
          <reference field="6" count="1">
            <x v="4"/>
          </reference>
        </references>
      </pivotArea>
    </format>
    <format dxfId="1394">
      <pivotArea dataOnly="0" labelOnly="1" outline="0" fieldPosition="0">
        <references count="1">
          <reference field="6" count="1">
            <x v="3"/>
          </reference>
        </references>
      </pivotArea>
    </format>
    <format dxfId="1393">
      <pivotArea dataOnly="0" labelOnly="1" outline="0" fieldPosition="0">
        <references count="1">
          <reference field="6" count="1">
            <x v="2"/>
          </reference>
        </references>
      </pivotArea>
    </format>
    <format dxfId="1392">
      <pivotArea dataOnly="0" labelOnly="1" outline="0" fieldPosition="0">
        <references count="1">
          <reference field="6" count="1">
            <x v="1"/>
          </reference>
        </references>
      </pivotArea>
    </format>
    <format dxfId="1391">
      <pivotArea dataOnly="0" labelOnly="1" outline="0" fieldPosition="0">
        <references count="1">
          <reference field="1" count="0"/>
        </references>
      </pivotArea>
    </format>
    <format dxfId="1390">
      <pivotArea dataOnly="0" labelOnly="1" outline="0" fieldPosition="0">
        <references count="1">
          <reference field="6" count="1">
            <x v="11"/>
          </reference>
        </references>
      </pivotArea>
    </format>
    <format dxfId="1389">
      <pivotArea dataOnly="0" labelOnly="1" outline="0" fieldPosition="0">
        <references count="1">
          <reference field="6" count="1">
            <x v="12"/>
          </reference>
        </references>
      </pivotArea>
    </format>
    <format dxfId="1388">
      <pivotArea dataOnly="0" labelOnly="1" outline="0" fieldPosition="0">
        <references count="1">
          <reference field="6" count="1">
            <x v="13"/>
          </reference>
        </references>
      </pivotArea>
    </format>
    <format dxfId="1387">
      <pivotArea dataOnly="0" labelOnly="1" outline="0" fieldPosition="0">
        <references count="1">
          <reference field="6" count="1">
            <x v="14"/>
          </reference>
        </references>
      </pivotArea>
    </format>
    <format dxfId="1386">
      <pivotArea dataOnly="0" labelOnly="1" outline="0" fieldPosition="0">
        <references count="1">
          <reference field="6" count="1">
            <x v="15"/>
          </reference>
        </references>
      </pivotArea>
    </format>
    <format dxfId="1385">
      <pivotArea dataOnly="0" labelOnly="1" outline="0" fieldPosition="0">
        <references count="1">
          <reference field="6" count="1">
            <x v="16"/>
          </reference>
        </references>
      </pivotArea>
    </format>
    <format dxfId="1384">
      <pivotArea dataOnly="0" labelOnly="1" outline="0" fieldPosition="0">
        <references count="1">
          <reference field="6" count="1">
            <x v="17"/>
          </reference>
        </references>
      </pivotArea>
    </format>
    <format dxfId="1383">
      <pivotArea dataOnly="0" labelOnly="1" outline="0" fieldPosition="0">
        <references count="1">
          <reference field="6" count="1">
            <x v="18"/>
          </reference>
        </references>
      </pivotArea>
    </format>
    <format dxfId="1382">
      <pivotArea dataOnly="0" labelOnly="1" outline="0" fieldPosition="0">
        <references count="1">
          <reference field="6" count="1">
            <x v="19"/>
          </reference>
        </references>
      </pivotArea>
    </format>
    <format dxfId="1381">
      <pivotArea dataOnly="0" labelOnly="1" outline="0" fieldPosition="0">
        <references count="1">
          <reference field="6" count="1">
            <x v="20"/>
          </reference>
        </references>
      </pivotArea>
    </format>
  </formats>
  <pivotTableStyleInfo name="PivotStyleLight15" showRowHeaders="1" showColHeaders="1" showRowStripes="0" showColStripes="0" showLastColumn="1"/>
  <filters count="1">
    <filter fld="4" type="captionGreaterThan" evalOrder="-1" id="5"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FEFD15E-F5C8-49A3-AED0-B07F8417469A}" name="PivotTableRevenueData1"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14:J59" firstHeaderRow="0" firstDataRow="1"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x="1"/>
        <item h="1" x="0"/>
        <item x="2"/>
        <item h="1" x="3"/>
        <item x="4"/>
        <item f="1" x="6"/>
        <item f="1" x="7"/>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45">
    <i>
      <x/>
      <x v="1"/>
    </i>
    <i r="1">
      <x v="2"/>
    </i>
    <i r="1">
      <x v="3"/>
    </i>
    <i r="1">
      <x v="4"/>
    </i>
    <i r="1">
      <x v="5"/>
    </i>
    <i r="1">
      <x v="6"/>
    </i>
    <i r="1">
      <x v="7"/>
    </i>
    <i r="1">
      <x v="8"/>
    </i>
    <i t="default">
      <x/>
    </i>
    <i>
      <x v="2"/>
      <x v="1"/>
    </i>
    <i r="1">
      <x v="2"/>
    </i>
    <i r="1">
      <x v="3"/>
    </i>
    <i r="1">
      <x v="4"/>
    </i>
    <i r="1">
      <x v="5"/>
    </i>
    <i r="1">
      <x v="6"/>
    </i>
    <i r="1">
      <x v="7"/>
    </i>
    <i r="1">
      <x v="8"/>
    </i>
    <i t="default">
      <x v="2"/>
    </i>
    <i>
      <x v="4"/>
      <x v="1"/>
    </i>
    <i r="1">
      <x v="2"/>
    </i>
    <i r="1">
      <x v="3"/>
    </i>
    <i r="1">
      <x v="4"/>
    </i>
    <i r="1">
      <x v="5"/>
    </i>
    <i r="1">
      <x v="6"/>
    </i>
    <i r="1">
      <x v="7"/>
    </i>
    <i r="1">
      <x v="8"/>
    </i>
    <i t="default">
      <x v="4"/>
    </i>
    <i>
      <x v="5"/>
      <x v="1"/>
    </i>
    <i r="1">
      <x v="2"/>
    </i>
    <i r="1">
      <x v="3"/>
    </i>
    <i r="1">
      <x v="4"/>
    </i>
    <i r="1">
      <x v="5"/>
    </i>
    <i r="1">
      <x v="6"/>
    </i>
    <i r="1">
      <x v="7"/>
    </i>
    <i r="1">
      <x v="8"/>
    </i>
    <i t="default">
      <x v="5"/>
    </i>
    <i>
      <x v="6"/>
      <x v="1"/>
    </i>
    <i r="1">
      <x v="2"/>
    </i>
    <i r="1">
      <x v="3"/>
    </i>
    <i r="1">
      <x v="4"/>
    </i>
    <i r="1">
      <x v="5"/>
    </i>
    <i r="1">
      <x v="6"/>
    </i>
    <i r="1">
      <x v="7"/>
    </i>
    <i r="1">
      <x v="8"/>
    </i>
    <i t="default">
      <x v="6"/>
    </i>
  </rowItems>
  <colFields count="1">
    <field x="-2"/>
  </colFields>
  <colItems count="5">
    <i>
      <x/>
    </i>
    <i i="1">
      <x v="1"/>
    </i>
    <i i="2">
      <x v="2"/>
    </i>
    <i i="3">
      <x v="3"/>
    </i>
    <i i="4">
      <x v="4"/>
    </i>
  </colItems>
  <pageFields count="1">
    <pageField fld="1" hier="-1"/>
  </pageFields>
  <dataFields count="5">
    <dataField name="Sum of QUARTER 1" fld="28" baseField="4" baseItem="0" numFmtId="164"/>
    <dataField name="Sum of QUARTER 2" fld="29" baseField="4" baseItem="0" numFmtId="164"/>
    <dataField name="Sum of QUARTER 3" fld="30" baseField="4" baseItem="0" numFmtId="164"/>
    <dataField name="Sum of QUARTER 4" fld="31" baseField="4" baseItem="0" numFmtId="164"/>
    <dataField name="Sum of TOTAL YEAR" fld="32" baseField="4" baseItem="0" numFmtId="164"/>
  </dataFields>
  <formats count="45">
    <format dxfId="1492">
      <pivotArea type="all" dataOnly="0" outline="0" fieldPosition="0"/>
    </format>
    <format dxfId="1491">
      <pivotArea field="8" type="button" dataOnly="0" labelOnly="1" outline="0" axis="axisRow" fieldPosition="0"/>
    </format>
    <format dxfId="1490">
      <pivotArea dataOnly="0" labelOnly="1" grandRow="1" outline="0" fieldPosition="0"/>
    </format>
    <format dxfId="1489">
      <pivotArea field="8" type="button" dataOnly="0" labelOnly="1" outline="0" axis="axisRow" fieldPosition="0"/>
    </format>
    <format dxfId="1488">
      <pivotArea field="8" type="button" dataOnly="0" labelOnly="1" outline="0" axis="axisRow" fieldPosition="0"/>
    </format>
    <format dxfId="1487">
      <pivotArea field="8" type="button" dataOnly="0" labelOnly="1" outline="0" axis="axisRow" fieldPosition="0"/>
    </format>
    <format dxfId="1486">
      <pivotArea field="8" type="button" dataOnly="0" labelOnly="1" outline="0" axis="axisRow" fieldPosition="0"/>
    </format>
    <format dxfId="1485">
      <pivotArea field="8" type="button" dataOnly="0" labelOnly="1" outline="0" axis="axisRow" fieldPosition="0"/>
    </format>
    <format dxfId="1484">
      <pivotArea field="8" type="button" dataOnly="0" labelOnly="1" outline="0" axis="axisRow" fieldPosition="0"/>
    </format>
    <format dxfId="1483">
      <pivotArea type="all" dataOnly="0" outline="0" fieldPosition="0"/>
    </format>
    <format dxfId="1482">
      <pivotArea outline="0" collapsedLevelsAreSubtotals="1" fieldPosition="0"/>
    </format>
    <format dxfId="1481">
      <pivotArea field="8" type="button" dataOnly="0" labelOnly="1" outline="0" axis="axisRow" fieldPosition="0"/>
    </format>
    <format dxfId="1480">
      <pivotArea dataOnly="0" labelOnly="1" outline="0" fieldPosition="0">
        <references count="1">
          <reference field="8" count="0"/>
        </references>
      </pivotArea>
    </format>
    <format dxfId="1479">
      <pivotArea dataOnly="0" labelOnly="1" outline="0" fieldPosition="0">
        <references count="1">
          <reference field="8" count="0" defaultSubtotal="1"/>
        </references>
      </pivotArea>
    </format>
    <format dxfId="1478">
      <pivotArea outline="0" fieldPosition="0">
        <references count="1">
          <reference field="4294967294" count="1">
            <x v="0"/>
          </reference>
        </references>
      </pivotArea>
    </format>
    <format dxfId="1477">
      <pivotArea outline="0" fieldPosition="0">
        <references count="1">
          <reference field="4294967294" count="1">
            <x v="1"/>
          </reference>
        </references>
      </pivotArea>
    </format>
    <format dxfId="1476">
      <pivotArea outline="0" fieldPosition="0">
        <references count="1">
          <reference field="4294967294" count="1">
            <x v="2"/>
          </reference>
        </references>
      </pivotArea>
    </format>
    <format dxfId="1475">
      <pivotArea outline="0" fieldPosition="0">
        <references count="1">
          <reference field="4294967294" count="1">
            <x v="3"/>
          </reference>
        </references>
      </pivotArea>
    </format>
    <format dxfId="1474">
      <pivotArea outline="0" fieldPosition="0">
        <references count="1">
          <reference field="4294967294" count="1">
            <x v="4"/>
          </reference>
        </references>
      </pivotArea>
    </format>
    <format dxfId="1473">
      <pivotArea field="4" type="button" dataOnly="0" labelOnly="1" outline="0" axis="axisRow" fieldPosition="1"/>
    </format>
    <format dxfId="1472">
      <pivotArea dataOnly="0" labelOnly="1" outline="0" fieldPosition="0">
        <references count="1">
          <reference field="4294967294" count="1">
            <x v="0"/>
          </reference>
        </references>
      </pivotArea>
    </format>
    <format dxfId="1471">
      <pivotArea dataOnly="0" labelOnly="1" outline="0" fieldPosition="0">
        <references count="1">
          <reference field="4294967294" count="1">
            <x v="1"/>
          </reference>
        </references>
      </pivotArea>
    </format>
    <format dxfId="1470">
      <pivotArea dataOnly="0" labelOnly="1" outline="0" fieldPosition="0">
        <references count="1">
          <reference field="4294967294" count="1">
            <x v="2"/>
          </reference>
        </references>
      </pivotArea>
    </format>
    <format dxfId="1469">
      <pivotArea dataOnly="0" labelOnly="1" outline="0" fieldPosition="0">
        <references count="1">
          <reference field="4294967294" count="1">
            <x v="3"/>
          </reference>
        </references>
      </pivotArea>
    </format>
    <format dxfId="1468">
      <pivotArea dataOnly="0" labelOnly="1" outline="0" fieldPosition="0">
        <references count="1">
          <reference field="4294967294" count="1">
            <x v="4"/>
          </reference>
        </references>
      </pivotArea>
    </format>
    <format dxfId="1467">
      <pivotArea field="1" type="button" dataOnly="0" labelOnly="1" outline="0" axis="axisPage" fieldPosition="0"/>
    </format>
    <format dxfId="1466">
      <pivotArea type="all" dataOnly="0" outline="0" fieldPosition="0"/>
    </format>
    <format dxfId="1465">
      <pivotArea outline="0" collapsedLevelsAreSubtotals="1" fieldPosition="0"/>
    </format>
    <format dxfId="1464">
      <pivotArea field="8" type="button" dataOnly="0" labelOnly="1" outline="0" axis="axisRow" fieldPosition="0"/>
    </format>
    <format dxfId="1463">
      <pivotArea field="4" type="button" dataOnly="0" labelOnly="1" outline="0" axis="axisRow" fieldPosition="1"/>
    </format>
    <format dxfId="1462">
      <pivotArea dataOnly="0" labelOnly="1" outline="0" fieldPosition="0">
        <references count="1">
          <reference field="8" count="0"/>
        </references>
      </pivotArea>
    </format>
    <format dxfId="1461">
      <pivotArea dataOnly="0" labelOnly="1" outline="0" fieldPosition="0">
        <references count="1">
          <reference field="8" count="0" defaultSubtotal="1"/>
        </references>
      </pivotArea>
    </format>
    <format dxfId="1460">
      <pivotArea dataOnly="0" labelOnly="1" outline="0" fieldPosition="0">
        <references count="2">
          <reference field="4" count="0"/>
          <reference field="8" count="1" selected="0">
            <x v="0"/>
          </reference>
        </references>
      </pivotArea>
    </format>
    <format dxfId="1459">
      <pivotArea dataOnly="0" labelOnly="1" outline="0" fieldPosition="0">
        <references count="2">
          <reference field="4" count="0"/>
          <reference field="8" count="1" selected="0">
            <x v="2"/>
          </reference>
        </references>
      </pivotArea>
    </format>
    <format dxfId="1458">
      <pivotArea dataOnly="0" labelOnly="1" outline="0" fieldPosition="0">
        <references count="2">
          <reference field="4" count="0"/>
          <reference field="8" count="1" selected="0">
            <x v="5"/>
          </reference>
        </references>
      </pivotArea>
    </format>
    <format dxfId="1457">
      <pivotArea dataOnly="0" labelOnly="1" outline="0" fieldPosition="0">
        <references count="2">
          <reference field="4" count="0"/>
          <reference field="8" count="1" selected="0">
            <x v="6"/>
          </reference>
        </references>
      </pivotArea>
    </format>
    <format dxfId="1456">
      <pivotArea dataOnly="0" labelOnly="1" outline="0" fieldPosition="0">
        <references count="1">
          <reference field="4294967294" count="5">
            <x v="0"/>
            <x v="1"/>
            <x v="2"/>
            <x v="3"/>
            <x v="4"/>
          </reference>
        </references>
      </pivotArea>
    </format>
    <format dxfId="1455">
      <pivotArea dataOnly="0" labelOnly="1" outline="0" fieldPosition="0">
        <references count="1">
          <reference field="4" count="0"/>
        </references>
      </pivotArea>
    </format>
    <format dxfId="1454">
      <pivotArea outline="0" fieldPosition="0">
        <references count="1">
          <reference field="8" count="1" selected="0" defaultSubtotal="1">
            <x v="6"/>
          </reference>
        </references>
      </pivotArea>
    </format>
    <format dxfId="1453">
      <pivotArea dataOnly="0" labelOnly="1" outline="0" fieldPosition="0">
        <references count="1">
          <reference field="1" count="0"/>
        </references>
      </pivotArea>
    </format>
    <format dxfId="1452">
      <pivotArea outline="0" fieldPosition="0">
        <references count="2">
          <reference field="4" count="0" selected="0"/>
          <reference field="8" count="1" selected="0">
            <x v="6"/>
          </reference>
        </references>
      </pivotArea>
    </format>
    <format dxfId="1451">
      <pivotArea dataOnly="0" labelOnly="1" outline="0" fieldPosition="0">
        <references count="1">
          <reference field="8" count="0"/>
        </references>
      </pivotArea>
    </format>
    <format dxfId="1450">
      <pivotArea dataOnly="0" outline="0" fieldPosition="0">
        <references count="1">
          <reference field="8" count="0" defaultSubtotal="1"/>
        </references>
      </pivotArea>
    </format>
    <format dxfId="1449">
      <pivotArea dataOnly="0" outline="0" fieldPosition="0">
        <references count="1">
          <reference field="8" count="0" defaultSubtotal="1"/>
        </references>
      </pivotArea>
    </format>
    <format dxfId="1448">
      <pivotArea outline="0" fieldPosition="0">
        <references count="1">
          <reference field="8" count="1" selected="0" defaultSubtotal="1">
            <x v="6"/>
          </reference>
        </references>
      </pivotArea>
    </format>
  </formats>
  <pivotTableStyleInfo name="PivotStyleLight15" showRowHeaders="1" showColHeaders="1" showRowStripes="0" showColStripes="0" showLastColumn="1"/>
  <filters count="1">
    <filter fld="4" type="captionGreaterThan" evalOrder="-1" id="2"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92EF83-5EF3-48E1-B3C3-000808226D08}" name="PivotTableRevenueData9" cacheId="2" applyNumberFormats="0" applyBorderFormats="0" applyFontFormats="0" applyPatternFormats="0" applyAlignmentFormats="0" applyWidthHeightFormats="1" dataCaption="Values" missingCaption="0" updatedVersion="8" minRefreshableVersion="3" rowGrandTotals="0" colGrandTotals="0" itemPrintTitles="1" createdVersion="8" indent="0" compact="0" compactData="0" multipleFieldFilters="0" chartFormat="19">
  <location ref="D66:G85" firstHeaderRow="1" firstDataRow="2"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axis="axisCol" compact="0" outline="0" showAll="0">
      <items count="4">
        <item x="1"/>
        <item x="2"/>
        <item h="1"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h="1" x="1"/>
        <item h="1" x="0"/>
        <item x="2"/>
        <item h="1" x="3"/>
        <item f="1" x="6"/>
        <item h="1" f="1" x="7"/>
        <item h="1" x="4"/>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18">
    <i>
      <x v="2"/>
      <x v="1"/>
    </i>
    <i r="1">
      <x v="2"/>
    </i>
    <i r="1">
      <x v="3"/>
    </i>
    <i r="1">
      <x v="4"/>
    </i>
    <i r="1">
      <x v="5"/>
    </i>
    <i r="1">
      <x v="6"/>
    </i>
    <i r="1">
      <x v="7"/>
    </i>
    <i r="1">
      <x v="8"/>
    </i>
    <i t="default">
      <x v="2"/>
    </i>
    <i>
      <x v="4"/>
      <x v="1"/>
    </i>
    <i r="1">
      <x v="2"/>
    </i>
    <i r="1">
      <x v="3"/>
    </i>
    <i r="1">
      <x v="4"/>
    </i>
    <i r="1">
      <x v="5"/>
    </i>
    <i r="1">
      <x v="6"/>
    </i>
    <i r="1">
      <x v="7"/>
    </i>
    <i r="1">
      <x v="8"/>
    </i>
    <i t="default">
      <x v="4"/>
    </i>
  </rowItems>
  <colFields count="1">
    <field x="5"/>
  </colFields>
  <colItems count="2">
    <i>
      <x/>
    </i>
    <i>
      <x v="1"/>
    </i>
  </colItems>
  <pageFields count="1">
    <pageField fld="1" hier="-1"/>
  </pageFields>
  <dataFields count="1">
    <dataField name="Sum of TOTAL YEAR" fld="32" baseField="4" baseItem="0" numFmtId="164"/>
  </dataFields>
  <formats count="32">
    <format dxfId="973">
      <pivotArea type="all" dataOnly="0" outline="0" fieldPosition="0"/>
    </format>
    <format dxfId="972">
      <pivotArea field="8" type="button" dataOnly="0" labelOnly="1" outline="0" axis="axisRow" fieldPosition="0"/>
    </format>
    <format dxfId="971">
      <pivotArea dataOnly="0" labelOnly="1" grandRow="1" outline="0" fieldPosition="0"/>
    </format>
    <format dxfId="970">
      <pivotArea field="8" type="button" dataOnly="0" labelOnly="1" outline="0" axis="axisRow" fieldPosition="0"/>
    </format>
    <format dxfId="969">
      <pivotArea field="8" type="button" dataOnly="0" labelOnly="1" outline="0" axis="axisRow" fieldPosition="0"/>
    </format>
    <format dxfId="968">
      <pivotArea field="8" type="button" dataOnly="0" labelOnly="1" outline="0" axis="axisRow" fieldPosition="0"/>
    </format>
    <format dxfId="967">
      <pivotArea field="8" type="button" dataOnly="0" labelOnly="1" outline="0" axis="axisRow" fieldPosition="0"/>
    </format>
    <format dxfId="966">
      <pivotArea field="8" type="button" dataOnly="0" labelOnly="1" outline="0" axis="axisRow" fieldPosition="0"/>
    </format>
    <format dxfId="965">
      <pivotArea field="8" type="button" dataOnly="0" labelOnly="1" outline="0" axis="axisRow" fieldPosition="0"/>
    </format>
    <format dxfId="964">
      <pivotArea type="all" dataOnly="0" outline="0" fieldPosition="0"/>
    </format>
    <format dxfId="963">
      <pivotArea outline="0" collapsedLevelsAreSubtotals="1" fieldPosition="0"/>
    </format>
    <format dxfId="962">
      <pivotArea type="origin" dataOnly="0" labelOnly="1" outline="0" fieldPosition="0"/>
    </format>
    <format dxfId="961">
      <pivotArea type="topRight" dataOnly="0" labelOnly="1" outline="0" fieldPosition="0"/>
    </format>
    <format dxfId="960">
      <pivotArea field="8" type="button" dataOnly="0" labelOnly="1" outline="0" axis="axisRow" fieldPosition="0"/>
    </format>
    <format dxfId="959">
      <pivotArea dataOnly="0" labelOnly="1" outline="0" fieldPosition="0">
        <references count="1">
          <reference field="8" count="0"/>
        </references>
      </pivotArea>
    </format>
    <format dxfId="958">
      <pivotArea dataOnly="0" labelOnly="1" outline="0" fieldPosition="0">
        <references count="1">
          <reference field="8" count="0" defaultSubtotal="1"/>
        </references>
      </pivotArea>
    </format>
    <format dxfId="957">
      <pivotArea type="origin" dataOnly="0" labelOnly="1" outline="0" offset="A1" fieldPosition="0"/>
    </format>
    <format dxfId="956">
      <pivotArea type="origin" dataOnly="0" labelOnly="1" outline="0" fieldPosition="0"/>
    </format>
    <format dxfId="955">
      <pivotArea type="origin" dataOnly="0" labelOnly="1" outline="0" offset="B1" fieldPosition="0"/>
    </format>
    <format dxfId="954">
      <pivotArea type="topRight" dataOnly="0" labelOnly="1" outline="0" fieldPosition="0"/>
    </format>
    <format dxfId="953">
      <pivotArea type="origin" dataOnly="0" labelOnly="1" outline="0" fieldPosition="0"/>
    </format>
    <format dxfId="952">
      <pivotArea dataOnly="0" labelOnly="1" outline="0" fieldPosition="0">
        <references count="1">
          <reference field="1" count="0"/>
        </references>
      </pivotArea>
    </format>
    <format dxfId="951">
      <pivotArea field="1" type="button" dataOnly="0" labelOnly="1" outline="0" axis="axisPage" fieldPosition="0"/>
    </format>
    <format dxfId="950">
      <pivotArea field="1" type="button" dataOnly="0" labelOnly="1" outline="0" axis="axisPage" fieldPosition="0"/>
    </format>
    <format dxfId="949">
      <pivotArea field="4" type="button" dataOnly="0" labelOnly="1" outline="0" axis="axisRow" fieldPosition="1"/>
    </format>
    <format dxfId="948">
      <pivotArea field="5" type="button" dataOnly="0" labelOnly="1" outline="0" axis="axisCol" fieldPosition="0"/>
    </format>
    <format dxfId="947">
      <pivotArea field="5" type="button" dataOnly="0" labelOnly="1" outline="0" axis="axisCol" fieldPosition="0"/>
    </format>
    <format dxfId="946">
      <pivotArea dataOnly="0" labelOnly="1" outline="0" fieldPosition="0">
        <references count="1">
          <reference field="5" count="1">
            <x v="0"/>
          </reference>
        </references>
      </pivotArea>
    </format>
    <format dxfId="945">
      <pivotArea dataOnly="0" labelOnly="1" outline="0" fieldPosition="0">
        <references count="1">
          <reference field="5" count="1">
            <x v="0"/>
          </reference>
        </references>
      </pivotArea>
    </format>
    <format dxfId="944">
      <pivotArea dataOnly="0" labelOnly="1" outline="0" fieldPosition="0">
        <references count="1">
          <reference field="5" count="1">
            <x v="0"/>
          </reference>
        </references>
      </pivotArea>
    </format>
    <format dxfId="943">
      <pivotArea dataOnly="0" labelOnly="1" outline="0" fieldPosition="0">
        <references count="1">
          <reference field="5" count="1">
            <x v="1"/>
          </reference>
        </references>
      </pivotArea>
    </format>
    <format dxfId="942">
      <pivotArea outline="0" fieldPosition="0">
        <references count="1">
          <reference field="4294967294" count="1">
            <x v="0"/>
          </reference>
        </references>
      </pivotArea>
    </format>
  </formats>
  <chartFormats count="2">
    <chartFormat chart="14" format="0" series="1">
      <pivotArea type="data" outline="0" fieldPosition="0">
        <references count="2">
          <reference field="4294967294" count="1" selected="0">
            <x v="0"/>
          </reference>
          <reference field="5" count="1" selected="0">
            <x v="0"/>
          </reference>
        </references>
      </pivotArea>
    </chartFormat>
    <chartFormat chart="14" format="1" series="1">
      <pivotArea type="data" outline="0" fieldPosition="0">
        <references count="2">
          <reference field="4294967294" count="1" selected="0">
            <x v="0"/>
          </reference>
          <reference field="5" count="1" selected="0">
            <x v="1"/>
          </reference>
        </references>
      </pivotArea>
    </chartFormat>
  </chartFormats>
  <pivotTableStyleInfo name="PivotStyleLight15" showRowHeaders="1" showColHeaders="1" showRowStripes="0" showColStripes="0" showLastColumn="1"/>
  <filters count="1">
    <filter fld="4" type="captionGreaterThan" evalOrder="-1" id="3"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500EA5-1488-4866-AD9E-B9D2A3BCF870}" name="PivotTableRevenueData6"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29">
  <location ref="D18:G37" firstHeaderRow="1" firstDataRow="2"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Col" compact="0" outline="0" showAll="0">
      <items count="32">
        <item x="1"/>
        <item x="2"/>
        <item h="1" x="3"/>
        <item h="1" x="4"/>
        <item h="1" x="5"/>
        <item h="1" x="6"/>
        <item h="1" x="7"/>
        <item h="1" x="8"/>
        <item h="1" x="9"/>
        <item h="1" x="10"/>
        <item h="1" x="21"/>
        <item h="1" x="22"/>
        <item h="1" x="23"/>
        <item h="1" x="24"/>
        <item h="1" x="25"/>
        <item h="1" x="26"/>
        <item h="1" x="27"/>
        <item h="1" x="28"/>
        <item h="1" x="29"/>
        <item h="1" x="30"/>
        <item h="1" x="0"/>
        <item h="1" x="11"/>
        <item h="1" x="12"/>
        <item h="1" x="13"/>
        <item h="1" x="14"/>
        <item h="1" x="15"/>
        <item h="1" x="16"/>
        <item h="1" x="17"/>
        <item h="1" x="18"/>
        <item h="1" x="19"/>
        <item h="1" x="2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h="1" x="1"/>
        <item h="1" x="0"/>
        <item x="2"/>
        <item h="1" x="3"/>
        <item f="1" x="6"/>
        <item h="1" f="1" x="7"/>
        <item h="1" x="4"/>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18">
    <i>
      <x v="2"/>
      <x v="1"/>
    </i>
    <i r="1">
      <x v="2"/>
    </i>
    <i r="1">
      <x v="3"/>
    </i>
    <i r="1">
      <x v="4"/>
    </i>
    <i r="1">
      <x v="5"/>
    </i>
    <i r="1">
      <x v="6"/>
    </i>
    <i r="1">
      <x v="7"/>
    </i>
    <i r="1">
      <x v="8"/>
    </i>
    <i t="default">
      <x v="2"/>
    </i>
    <i>
      <x v="4"/>
      <x v="1"/>
    </i>
    <i r="1">
      <x v="2"/>
    </i>
    <i r="1">
      <x v="3"/>
    </i>
    <i r="1">
      <x v="4"/>
    </i>
    <i r="1">
      <x v="5"/>
    </i>
    <i r="1">
      <x v="6"/>
    </i>
    <i r="1">
      <x v="7"/>
    </i>
    <i r="1">
      <x v="8"/>
    </i>
    <i t="default">
      <x v="4"/>
    </i>
  </rowItems>
  <colFields count="1">
    <field x="6"/>
  </colFields>
  <colItems count="2">
    <i>
      <x/>
    </i>
    <i>
      <x v="1"/>
    </i>
  </colItems>
  <pageFields count="1">
    <pageField fld="1" hier="-1"/>
  </pageFields>
  <dataFields count="1">
    <dataField name="Sum of TOTAL YEAR" fld="32" baseField="4" baseItem="0" numFmtId="164"/>
  </dataFields>
  <formats count="55">
    <format dxfId="1028">
      <pivotArea type="all" dataOnly="0" outline="0" fieldPosition="0"/>
    </format>
    <format dxfId="1027">
      <pivotArea field="8" type="button" dataOnly="0" labelOnly="1" outline="0" axis="axisRow" fieldPosition="0"/>
    </format>
    <format dxfId="1026">
      <pivotArea dataOnly="0" labelOnly="1" grandRow="1" outline="0" fieldPosition="0"/>
    </format>
    <format dxfId="1025">
      <pivotArea field="8" type="button" dataOnly="0" labelOnly="1" outline="0" axis="axisRow" fieldPosition="0"/>
    </format>
    <format dxfId="1024">
      <pivotArea field="8" type="button" dataOnly="0" labelOnly="1" outline="0" axis="axisRow" fieldPosition="0"/>
    </format>
    <format dxfId="1023">
      <pivotArea field="8" type="button" dataOnly="0" labelOnly="1" outline="0" axis="axisRow" fieldPosition="0"/>
    </format>
    <format dxfId="1022">
      <pivotArea field="8" type="button" dataOnly="0" labelOnly="1" outline="0" axis="axisRow" fieldPosition="0"/>
    </format>
    <format dxfId="1021">
      <pivotArea field="8" type="button" dataOnly="0" labelOnly="1" outline="0" axis="axisRow" fieldPosition="0"/>
    </format>
    <format dxfId="1020">
      <pivotArea field="8" type="button" dataOnly="0" labelOnly="1" outline="0" axis="axisRow" fieldPosition="0"/>
    </format>
    <format dxfId="1019">
      <pivotArea type="all" dataOnly="0" outline="0" fieldPosition="0"/>
    </format>
    <format dxfId="1018">
      <pivotArea type="origin" dataOnly="0" labelOnly="1" outline="0" fieldPosition="0"/>
    </format>
    <format dxfId="1017">
      <pivotArea type="topRight" dataOnly="0" labelOnly="1" outline="0" fieldPosition="0"/>
    </format>
    <format dxfId="1016">
      <pivotArea type="origin" dataOnly="0" labelOnly="1" outline="0" offset="A1" fieldPosition="0"/>
    </format>
    <format dxfId="1015">
      <pivotArea type="origin" dataOnly="0" labelOnly="1" outline="0" fieldPosition="0"/>
    </format>
    <format dxfId="1014">
      <pivotArea type="origin" dataOnly="0" labelOnly="1" outline="0" offset="B1" fieldPosition="0"/>
    </format>
    <format dxfId="1013">
      <pivotArea type="topRight" dataOnly="0" labelOnly="1" outline="0" fieldPosition="0"/>
    </format>
    <format dxfId="1012">
      <pivotArea type="origin" dataOnly="0" labelOnly="1" outline="0" fieldPosition="0"/>
    </format>
    <format dxfId="1011">
      <pivotArea type="all" dataOnly="0" outline="0" fieldPosition="0"/>
    </format>
    <format dxfId="1010">
      <pivotArea outline="0" collapsedLevelsAreSubtotals="1" fieldPosition="0"/>
    </format>
    <format dxfId="1009">
      <pivotArea type="origin" dataOnly="0" labelOnly="1" outline="0" fieldPosition="0"/>
    </format>
    <format dxfId="1008">
      <pivotArea type="topRight" dataOnly="0" labelOnly="1" outline="0" fieldPosition="0"/>
    </format>
    <format dxfId="1007">
      <pivotArea field="8" type="button" dataOnly="0" labelOnly="1" outline="0" axis="axisRow" fieldPosition="0"/>
    </format>
    <format dxfId="1006">
      <pivotArea dataOnly="0" labelOnly="1" outline="0" fieldPosition="0">
        <references count="1">
          <reference field="8" count="0"/>
        </references>
      </pivotArea>
    </format>
    <format dxfId="1005">
      <pivotArea dataOnly="0" labelOnly="1" outline="0" fieldPosition="0">
        <references count="1">
          <reference field="8" count="0" defaultSubtotal="1"/>
        </references>
      </pivotArea>
    </format>
    <format dxfId="1004">
      <pivotArea dataOnly="0" labelOnly="1" outline="0" fieldPosition="0">
        <references count="1">
          <reference field="1" count="0"/>
        </references>
      </pivotArea>
    </format>
    <format dxfId="1003">
      <pivotArea field="1" type="button" dataOnly="0" labelOnly="1" outline="0" axis="axisPage" fieldPosition="0"/>
    </format>
    <format dxfId="1002">
      <pivotArea field="1" type="button" dataOnly="0" labelOnly="1" outline="0" axis="axisPage" fieldPosition="0"/>
    </format>
    <format dxfId="1001">
      <pivotArea dataOnly="0" labelOnly="1" outline="0" fieldPosition="0">
        <references count="1">
          <reference field="4" count="0"/>
        </references>
      </pivotArea>
    </format>
    <format dxfId="1000">
      <pivotArea field="4" type="button" dataOnly="0" labelOnly="1" outline="0" axis="axisRow" fieldPosition="1"/>
    </format>
    <format dxfId="999">
      <pivotArea field="4" type="button" dataOnly="0" labelOnly="1" outline="0" axis="axisRow" fieldPosition="1"/>
    </format>
    <format dxfId="998">
      <pivotArea field="4" type="button" dataOnly="0" labelOnly="1" outline="0" axis="axisRow" fieldPosition="1"/>
    </format>
    <format dxfId="997">
      <pivotArea outline="0" fieldPosition="0">
        <references count="1">
          <reference field="4294967294" count="1">
            <x v="0"/>
          </reference>
        </references>
      </pivotArea>
    </format>
    <format dxfId="996">
      <pivotArea field="6" type="button" dataOnly="0" labelOnly="1" outline="0" axis="axisCol" fieldPosition="0"/>
    </format>
    <format dxfId="995">
      <pivotArea field="6" type="button" dataOnly="0" labelOnly="1" outline="0" axis="axisCol" fieldPosition="0"/>
    </format>
    <format dxfId="994">
      <pivotArea dataOnly="0" labelOnly="1" outline="0" fieldPosition="0">
        <references count="1">
          <reference field="6" count="1">
            <x v="9"/>
          </reference>
        </references>
      </pivotArea>
    </format>
    <format dxfId="993">
      <pivotArea dataOnly="0" labelOnly="1" outline="0" fieldPosition="0">
        <references count="1">
          <reference field="6" count="1">
            <x v="19"/>
          </reference>
        </references>
      </pivotArea>
    </format>
    <format dxfId="992">
      <pivotArea dataOnly="0" labelOnly="1" outline="0" fieldPosition="0">
        <references count="1">
          <reference field="6" count="1">
            <x v="20"/>
          </reference>
        </references>
      </pivotArea>
    </format>
    <format dxfId="991">
      <pivotArea dataOnly="0" labelOnly="1" outline="0" fieldPosition="0">
        <references count="1">
          <reference field="6" count="1">
            <x v="18"/>
          </reference>
        </references>
      </pivotArea>
    </format>
    <format dxfId="990">
      <pivotArea dataOnly="0" labelOnly="1" outline="0" fieldPosition="0">
        <references count="1">
          <reference field="6" count="1">
            <x v="17"/>
          </reference>
        </references>
      </pivotArea>
    </format>
    <format dxfId="989">
      <pivotArea dataOnly="0" labelOnly="1" outline="0" fieldPosition="0">
        <references count="1">
          <reference field="6" count="1">
            <x v="16"/>
          </reference>
        </references>
      </pivotArea>
    </format>
    <format dxfId="988">
      <pivotArea dataOnly="0" labelOnly="1" outline="0" fieldPosition="0">
        <references count="1">
          <reference field="6" count="1">
            <x v="15"/>
          </reference>
        </references>
      </pivotArea>
    </format>
    <format dxfId="987">
      <pivotArea dataOnly="0" labelOnly="1" outline="0" fieldPosition="0">
        <references count="1">
          <reference field="6" count="1">
            <x v="14"/>
          </reference>
        </references>
      </pivotArea>
    </format>
    <format dxfId="986">
      <pivotArea dataOnly="0" labelOnly="1" outline="0" fieldPosition="0">
        <references count="1">
          <reference field="6" count="1">
            <x v="13"/>
          </reference>
        </references>
      </pivotArea>
    </format>
    <format dxfId="985">
      <pivotArea dataOnly="0" labelOnly="1" outline="0" fieldPosition="0">
        <references count="1">
          <reference field="6" count="1">
            <x v="12"/>
          </reference>
        </references>
      </pivotArea>
    </format>
    <format dxfId="984">
      <pivotArea dataOnly="0" labelOnly="1" outline="0" fieldPosition="0">
        <references count="1">
          <reference field="6" count="1">
            <x v="11"/>
          </reference>
        </references>
      </pivotArea>
    </format>
    <format dxfId="983">
      <pivotArea dataOnly="0" labelOnly="1" outline="0" fieldPosition="0">
        <references count="1">
          <reference field="6" count="1">
            <x v="10"/>
          </reference>
        </references>
      </pivotArea>
    </format>
    <format dxfId="982">
      <pivotArea dataOnly="0" labelOnly="1" outline="0" fieldPosition="0">
        <references count="1">
          <reference field="6" count="1">
            <x v="8"/>
          </reference>
        </references>
      </pivotArea>
    </format>
    <format dxfId="981">
      <pivotArea dataOnly="0" labelOnly="1" outline="0" fieldPosition="0">
        <references count="1">
          <reference field="6" count="1">
            <x v="7"/>
          </reference>
        </references>
      </pivotArea>
    </format>
    <format dxfId="980">
      <pivotArea dataOnly="0" labelOnly="1" outline="0" fieldPosition="0">
        <references count="1">
          <reference field="6" count="1">
            <x v="6"/>
          </reference>
        </references>
      </pivotArea>
    </format>
    <format dxfId="979">
      <pivotArea dataOnly="0" labelOnly="1" outline="0" fieldPosition="0">
        <references count="1">
          <reference field="6" count="1">
            <x v="5"/>
          </reference>
        </references>
      </pivotArea>
    </format>
    <format dxfId="978">
      <pivotArea dataOnly="0" labelOnly="1" outline="0" fieldPosition="0">
        <references count="1">
          <reference field="6" count="1">
            <x v="4"/>
          </reference>
        </references>
      </pivotArea>
    </format>
    <format dxfId="977">
      <pivotArea dataOnly="0" labelOnly="1" outline="0" fieldPosition="0">
        <references count="1">
          <reference field="6" count="1">
            <x v="3"/>
          </reference>
        </references>
      </pivotArea>
    </format>
    <format dxfId="976">
      <pivotArea dataOnly="0" labelOnly="1" outline="0" fieldPosition="0">
        <references count="1">
          <reference field="6" count="1">
            <x v="2"/>
          </reference>
        </references>
      </pivotArea>
    </format>
    <format dxfId="975">
      <pivotArea dataOnly="0" labelOnly="1" outline="0" fieldPosition="0">
        <references count="1">
          <reference field="6" count="1">
            <x v="1"/>
          </reference>
        </references>
      </pivotArea>
    </format>
    <format dxfId="974">
      <pivotArea dataOnly="0" labelOnly="1" outline="0" fieldPosition="0">
        <references count="1">
          <reference field="6" count="1">
            <x v="0"/>
          </reference>
        </references>
      </pivotArea>
    </format>
  </formats>
  <chartFormats count="35">
    <chartFormat chart="7" format="47" series="1">
      <pivotArea type="data" outline="0" fieldPosition="0">
        <references count="1">
          <reference field="6" count="1" selected="0">
            <x v="9"/>
          </reference>
        </references>
      </pivotArea>
    </chartFormat>
    <chartFormat chart="7" format="57" series="1">
      <pivotArea type="data" outline="0" fieldPosition="0">
        <references count="1">
          <reference field="6" count="1" selected="0">
            <x v="19"/>
          </reference>
        </references>
      </pivotArea>
    </chartFormat>
    <chartFormat chart="7" format="66" series="1">
      <pivotArea type="data" outline="0" fieldPosition="0">
        <references count="1">
          <reference field="6" count="1" selected="0">
            <x v="20"/>
          </reference>
        </references>
      </pivotArea>
    </chartFormat>
    <chartFormat chart="7" format="67" series="1">
      <pivotArea type="data" outline="0" fieldPosition="0">
        <references count="1">
          <reference field="4294967294" count="1" selected="0">
            <x v="0"/>
          </reference>
        </references>
      </pivotArea>
    </chartFormat>
    <chartFormat chart="7" format="71" series="1">
      <pivotArea type="data" outline="0" fieldPosition="0">
        <references count="2">
          <reference field="4294967294" count="1" selected="0">
            <x v="0"/>
          </reference>
          <reference field="6" count="1" selected="0">
            <x v="1"/>
          </reference>
        </references>
      </pivotArea>
    </chartFormat>
    <chartFormat chart="7" format="72" series="1">
      <pivotArea type="data" outline="0" fieldPosition="0">
        <references count="2">
          <reference field="4294967294" count="1" selected="0">
            <x v="0"/>
          </reference>
          <reference field="6" count="1" selected="0">
            <x v="2"/>
          </reference>
        </references>
      </pivotArea>
    </chartFormat>
    <chartFormat chart="7" format="73" series="1">
      <pivotArea type="data" outline="0" fieldPosition="0">
        <references count="2">
          <reference field="4294967294" count="1" selected="0">
            <x v="0"/>
          </reference>
          <reference field="6" count="1" selected="0">
            <x v="3"/>
          </reference>
        </references>
      </pivotArea>
    </chartFormat>
    <chartFormat chart="7" format="74" series="1">
      <pivotArea type="data" outline="0" fieldPosition="0">
        <references count="2">
          <reference field="4294967294" count="1" selected="0">
            <x v="0"/>
          </reference>
          <reference field="6" count="1" selected="0">
            <x v="4"/>
          </reference>
        </references>
      </pivotArea>
    </chartFormat>
    <chartFormat chart="7" format="75" series="1">
      <pivotArea type="data" outline="0" fieldPosition="0">
        <references count="2">
          <reference field="4294967294" count="1" selected="0">
            <x v="0"/>
          </reference>
          <reference field="6" count="1" selected="0">
            <x v="5"/>
          </reference>
        </references>
      </pivotArea>
    </chartFormat>
    <chartFormat chart="7" format="76" series="1">
      <pivotArea type="data" outline="0" fieldPosition="0">
        <references count="2">
          <reference field="4294967294" count="1" selected="0">
            <x v="0"/>
          </reference>
          <reference field="6" count="1" selected="0">
            <x v="6"/>
          </reference>
        </references>
      </pivotArea>
    </chartFormat>
    <chartFormat chart="7" format="77" series="1">
      <pivotArea type="data" outline="0" fieldPosition="0">
        <references count="2">
          <reference field="4294967294" count="1" selected="0">
            <x v="0"/>
          </reference>
          <reference field="6" count="1" selected="0">
            <x v="7"/>
          </reference>
        </references>
      </pivotArea>
    </chartFormat>
    <chartFormat chart="7" format="78" series="1">
      <pivotArea type="data" outline="0" fieldPosition="0">
        <references count="2">
          <reference field="4294967294" count="1" selected="0">
            <x v="0"/>
          </reference>
          <reference field="6" count="1" selected="0">
            <x v="8"/>
          </reference>
        </references>
      </pivotArea>
    </chartFormat>
    <chartFormat chart="7" format="79" series="1">
      <pivotArea type="data" outline="0" fieldPosition="0">
        <references count="2">
          <reference field="4294967294" count="1" selected="0">
            <x v="0"/>
          </reference>
          <reference field="6" count="1" selected="0">
            <x v="10"/>
          </reference>
        </references>
      </pivotArea>
    </chartFormat>
    <chartFormat chart="7" format="80" series="1">
      <pivotArea type="data" outline="0" fieldPosition="0">
        <references count="2">
          <reference field="4294967294" count="1" selected="0">
            <x v="0"/>
          </reference>
          <reference field="6" count="1" selected="0">
            <x v="11"/>
          </reference>
        </references>
      </pivotArea>
    </chartFormat>
    <chartFormat chart="7" format="81" series="1">
      <pivotArea type="data" outline="0" fieldPosition="0">
        <references count="2">
          <reference field="4294967294" count="1" selected="0">
            <x v="0"/>
          </reference>
          <reference field="6" count="1" selected="0">
            <x v="12"/>
          </reference>
        </references>
      </pivotArea>
    </chartFormat>
    <chartFormat chart="7" format="82" series="1">
      <pivotArea type="data" outline="0" fieldPosition="0">
        <references count="2">
          <reference field="4294967294" count="1" selected="0">
            <x v="0"/>
          </reference>
          <reference field="6" count="1" selected="0">
            <x v="13"/>
          </reference>
        </references>
      </pivotArea>
    </chartFormat>
    <chartFormat chart="7" format="83" series="1">
      <pivotArea type="data" outline="0" fieldPosition="0">
        <references count="2">
          <reference field="4294967294" count="1" selected="0">
            <x v="0"/>
          </reference>
          <reference field="6" count="1" selected="0">
            <x v="14"/>
          </reference>
        </references>
      </pivotArea>
    </chartFormat>
    <chartFormat chart="7" format="84" series="1">
      <pivotArea type="data" outline="0" fieldPosition="0">
        <references count="2">
          <reference field="4294967294" count="1" selected="0">
            <x v="0"/>
          </reference>
          <reference field="6" count="1" selected="0">
            <x v="15"/>
          </reference>
        </references>
      </pivotArea>
    </chartFormat>
    <chartFormat chart="7" format="85" series="1">
      <pivotArea type="data" outline="0" fieldPosition="0">
        <references count="2">
          <reference field="4294967294" count="1" selected="0">
            <x v="0"/>
          </reference>
          <reference field="6" count="1" selected="0">
            <x v="16"/>
          </reference>
        </references>
      </pivotArea>
    </chartFormat>
    <chartFormat chart="7" format="86" series="1">
      <pivotArea type="data" outline="0" fieldPosition="0">
        <references count="2">
          <reference field="4294967294" count="1" selected="0">
            <x v="0"/>
          </reference>
          <reference field="6" count="1" selected="0">
            <x v="17"/>
          </reference>
        </references>
      </pivotArea>
    </chartFormat>
    <chartFormat chart="7" format="87" series="1">
      <pivotArea type="data" outline="0" fieldPosition="0">
        <references count="2">
          <reference field="4294967294" count="1" selected="0">
            <x v="0"/>
          </reference>
          <reference field="6" count="1" selected="0">
            <x v="18"/>
          </reference>
        </references>
      </pivotArea>
    </chartFormat>
    <chartFormat chart="7" format="88" series="1">
      <pivotArea type="data" outline="0" fieldPosition="0">
        <references count="2">
          <reference field="4294967294" count="1" selected="0">
            <x v="0"/>
          </reference>
          <reference field="6" count="1" selected="0">
            <x v="0"/>
          </reference>
        </references>
      </pivotArea>
    </chartFormat>
    <chartFormat chart="7" format="89" series="1">
      <pivotArea type="data" outline="0" fieldPosition="0">
        <references count="2">
          <reference field="4294967294" count="1" selected="0">
            <x v="0"/>
          </reference>
          <reference field="6" count="1" selected="0">
            <x v="19"/>
          </reference>
        </references>
      </pivotArea>
    </chartFormat>
    <chartFormat chart="7" format="90" series="1">
      <pivotArea type="data" outline="0" fieldPosition="0">
        <references count="2">
          <reference field="4294967294" count="1" selected="0">
            <x v="0"/>
          </reference>
          <reference field="6" count="1" selected="0">
            <x v="9"/>
          </reference>
        </references>
      </pivotArea>
    </chartFormat>
    <chartFormat chart="7" format="91" series="1">
      <pivotArea type="data" outline="0" fieldPosition="0">
        <references count="2">
          <reference field="4294967294" count="1" selected="0">
            <x v="0"/>
          </reference>
          <reference field="6" count="1" selected="0">
            <x v="20"/>
          </reference>
        </references>
      </pivotArea>
    </chartFormat>
    <chartFormat chart="7" format="92" series="1">
      <pivotArea type="data" outline="0" fieldPosition="0">
        <references count="2">
          <reference field="4294967294" count="1" selected="0">
            <x v="0"/>
          </reference>
          <reference field="6" count="1" selected="0">
            <x v="21"/>
          </reference>
        </references>
      </pivotArea>
    </chartFormat>
    <chartFormat chart="7" format="93" series="1">
      <pivotArea type="data" outline="0" fieldPosition="0">
        <references count="2">
          <reference field="4294967294" count="1" selected="0">
            <x v="0"/>
          </reference>
          <reference field="6" count="1" selected="0">
            <x v="22"/>
          </reference>
        </references>
      </pivotArea>
    </chartFormat>
    <chartFormat chart="7" format="94" series="1">
      <pivotArea type="data" outline="0" fieldPosition="0">
        <references count="2">
          <reference field="4294967294" count="1" selected="0">
            <x v="0"/>
          </reference>
          <reference field="6" count="1" selected="0">
            <x v="23"/>
          </reference>
        </references>
      </pivotArea>
    </chartFormat>
    <chartFormat chart="7" format="95" series="1">
      <pivotArea type="data" outline="0" fieldPosition="0">
        <references count="2">
          <reference field="4294967294" count="1" selected="0">
            <x v="0"/>
          </reference>
          <reference field="6" count="1" selected="0">
            <x v="24"/>
          </reference>
        </references>
      </pivotArea>
    </chartFormat>
    <chartFormat chart="7" format="96" series="1">
      <pivotArea type="data" outline="0" fieldPosition="0">
        <references count="2">
          <reference field="4294967294" count="1" selected="0">
            <x v="0"/>
          </reference>
          <reference field="6" count="1" selected="0">
            <x v="25"/>
          </reference>
        </references>
      </pivotArea>
    </chartFormat>
    <chartFormat chart="7" format="97" series="1">
      <pivotArea type="data" outline="0" fieldPosition="0">
        <references count="2">
          <reference field="4294967294" count="1" selected="0">
            <x v="0"/>
          </reference>
          <reference field="6" count="1" selected="0">
            <x v="26"/>
          </reference>
        </references>
      </pivotArea>
    </chartFormat>
    <chartFormat chart="7" format="98" series="1">
      <pivotArea type="data" outline="0" fieldPosition="0">
        <references count="2">
          <reference field="4294967294" count="1" selected="0">
            <x v="0"/>
          </reference>
          <reference field="6" count="1" selected="0">
            <x v="27"/>
          </reference>
        </references>
      </pivotArea>
    </chartFormat>
    <chartFormat chart="7" format="99" series="1">
      <pivotArea type="data" outline="0" fieldPosition="0">
        <references count="2">
          <reference field="4294967294" count="1" selected="0">
            <x v="0"/>
          </reference>
          <reference field="6" count="1" selected="0">
            <x v="28"/>
          </reference>
        </references>
      </pivotArea>
    </chartFormat>
    <chartFormat chart="7" format="100" series="1">
      <pivotArea type="data" outline="0" fieldPosition="0">
        <references count="2">
          <reference field="4294967294" count="1" selected="0">
            <x v="0"/>
          </reference>
          <reference field="6" count="1" selected="0">
            <x v="29"/>
          </reference>
        </references>
      </pivotArea>
    </chartFormat>
    <chartFormat chart="7" format="101" series="1">
      <pivotArea type="data" outline="0" fieldPosition="0">
        <references count="2">
          <reference field="4294967294" count="1" selected="0">
            <x v="0"/>
          </reference>
          <reference field="6" count="1" selected="0">
            <x v="30"/>
          </reference>
        </references>
      </pivotArea>
    </chartFormat>
  </chartFormats>
  <pivotTableStyleInfo name="PivotStyleLight15" showRowHeaders="1" showColHeaders="1" showRowStripes="0" showColStripes="0" showLastColumn="1"/>
  <filters count="1">
    <filter fld="4" type="captionGreaterThan" evalOrder="-1" id="1"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8073523-8665-4DA4-8F67-F84FA975A820}" name="PivotTableRevenueData8"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4">
  <location ref="D166:G184" firstHeaderRow="0" firstDataRow="1"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h="1" x="1"/>
        <item h="1" x="0"/>
        <item x="2"/>
        <item h="1" x="3"/>
        <item f="1" x="6"/>
        <item h="1" f="1" x="7"/>
        <item h="1" x="4"/>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18">
    <i>
      <x v="2"/>
      <x v="1"/>
    </i>
    <i r="1">
      <x v="2"/>
    </i>
    <i r="1">
      <x v="3"/>
    </i>
    <i r="1">
      <x v="4"/>
    </i>
    <i r="1">
      <x v="5"/>
    </i>
    <i r="1">
      <x v="6"/>
    </i>
    <i r="1">
      <x v="7"/>
    </i>
    <i r="1">
      <x v="8"/>
    </i>
    <i t="default">
      <x v="2"/>
    </i>
    <i>
      <x v="4"/>
      <x v="1"/>
    </i>
    <i r="1">
      <x v="2"/>
    </i>
    <i r="1">
      <x v="3"/>
    </i>
    <i r="1">
      <x v="4"/>
    </i>
    <i r="1">
      <x v="5"/>
    </i>
    <i r="1">
      <x v="6"/>
    </i>
    <i r="1">
      <x v="7"/>
    </i>
    <i r="1">
      <x v="8"/>
    </i>
    <i t="default">
      <x v="4"/>
    </i>
  </rowItems>
  <colFields count="1">
    <field x="-2"/>
  </colFields>
  <colItems count="2">
    <i>
      <x/>
    </i>
    <i i="1">
      <x v="1"/>
    </i>
  </colItems>
  <pageFields count="1">
    <pageField fld="1" hier="-1"/>
  </pageFields>
  <dataFields count="2">
    <dataField name="Sum of TOTAL DISTRIBUTION CHANNEL 1" fld="36" baseField="4" baseItem="0" numFmtId="164"/>
    <dataField name="Sum of TOTAL DISTRIBUTION CHANNEL 2" fld="38" baseField="4" baseItem="0" numFmtId="164"/>
  </dataFields>
  <formats count="33">
    <format dxfId="1061">
      <pivotArea type="all" dataOnly="0" outline="0" fieldPosition="0"/>
    </format>
    <format dxfId="1060">
      <pivotArea field="8" type="button" dataOnly="0" labelOnly="1" outline="0" axis="axisRow" fieldPosition="0"/>
    </format>
    <format dxfId="1059">
      <pivotArea dataOnly="0" labelOnly="1" grandRow="1" outline="0" fieldPosition="0"/>
    </format>
    <format dxfId="1058">
      <pivotArea field="8" type="button" dataOnly="0" labelOnly="1" outline="0" axis="axisRow" fieldPosition="0"/>
    </format>
    <format dxfId="1057">
      <pivotArea field="8" type="button" dataOnly="0" labelOnly="1" outline="0" axis="axisRow" fieldPosition="0"/>
    </format>
    <format dxfId="1056">
      <pivotArea field="8" type="button" dataOnly="0" labelOnly="1" outline="0" axis="axisRow" fieldPosition="0"/>
    </format>
    <format dxfId="1055">
      <pivotArea field="8" type="button" dataOnly="0" labelOnly="1" outline="0" axis="axisRow" fieldPosition="0"/>
    </format>
    <format dxfId="1054">
      <pivotArea field="8" type="button" dataOnly="0" labelOnly="1" outline="0" axis="axisRow" fieldPosition="0"/>
    </format>
    <format dxfId="1053">
      <pivotArea field="8" type="button" dataOnly="0" labelOnly="1" outline="0" axis="axisRow" fieldPosition="0"/>
    </format>
    <format dxfId="1052">
      <pivotArea type="all" dataOnly="0" outline="0" fieldPosition="0"/>
    </format>
    <format dxfId="1051">
      <pivotArea outline="0" collapsedLevelsAreSubtotals="1" fieldPosition="0"/>
    </format>
    <format dxfId="1050">
      <pivotArea type="origin" dataOnly="0" labelOnly="1" outline="0" fieldPosition="0"/>
    </format>
    <format dxfId="1049">
      <pivotArea type="topRight" dataOnly="0" labelOnly="1" outline="0" fieldPosition="0"/>
    </format>
    <format dxfId="1048">
      <pivotArea field="8" type="button" dataOnly="0" labelOnly="1" outline="0" axis="axisRow" fieldPosition="0"/>
    </format>
    <format dxfId="1047">
      <pivotArea dataOnly="0" labelOnly="1" outline="0" fieldPosition="0">
        <references count="1">
          <reference field="8" count="0"/>
        </references>
      </pivotArea>
    </format>
    <format dxfId="1046">
      <pivotArea dataOnly="0" labelOnly="1" outline="0" fieldPosition="0">
        <references count="1">
          <reference field="8" count="0" defaultSubtotal="1"/>
        </references>
      </pivotArea>
    </format>
    <format dxfId="1045">
      <pivotArea type="origin" dataOnly="0" labelOnly="1" outline="0" offset="A1" fieldPosition="0"/>
    </format>
    <format dxfId="1044">
      <pivotArea type="origin" dataOnly="0" labelOnly="1" outline="0" fieldPosition="0"/>
    </format>
    <format dxfId="1043">
      <pivotArea type="origin" dataOnly="0" labelOnly="1" outline="0" offset="B1" fieldPosition="0"/>
    </format>
    <format dxfId="1042">
      <pivotArea type="topRight" dataOnly="0" labelOnly="1" outline="0" fieldPosition="0"/>
    </format>
    <format dxfId="1041">
      <pivotArea type="origin" dataOnly="0" labelOnly="1" outline="0" fieldPosition="0"/>
    </format>
    <format dxfId="1040">
      <pivotArea dataOnly="0" labelOnly="1" outline="0" fieldPosition="0">
        <references count="1">
          <reference field="1" count="0"/>
        </references>
      </pivotArea>
    </format>
    <format dxfId="1039">
      <pivotArea field="1" type="button" dataOnly="0" labelOnly="1" outline="0" axis="axisPage" fieldPosition="0"/>
    </format>
    <format dxfId="1038">
      <pivotArea field="1" type="button" dataOnly="0" labelOnly="1" outline="0" axis="axisPage" fieldPosition="0"/>
    </format>
    <format dxfId="1037">
      <pivotArea dataOnly="0" labelOnly="1" outline="0" fieldPosition="0">
        <references count="1">
          <reference field="4" count="0"/>
        </references>
      </pivotArea>
    </format>
    <format dxfId="1036">
      <pivotArea field="4" type="button" dataOnly="0" labelOnly="1" outline="0" axis="axisRow" fieldPosition="1"/>
    </format>
    <format dxfId="1035">
      <pivotArea field="4" type="button" dataOnly="0" labelOnly="1" outline="0" axis="axisRow" fieldPosition="1"/>
    </format>
    <format dxfId="1034">
      <pivotArea field="4" type="button" dataOnly="0" labelOnly="1" outline="0" axis="axisRow" fieldPosition="1"/>
    </format>
    <format dxfId="1033">
      <pivotArea field="4" type="button" dataOnly="0" labelOnly="1" outline="0" axis="axisRow" fieldPosition="1"/>
    </format>
    <format dxfId="1032">
      <pivotArea dataOnly="0" labelOnly="1" outline="0" fieldPosition="0">
        <references count="1">
          <reference field="4294967294" count="1">
            <x v="0"/>
          </reference>
        </references>
      </pivotArea>
    </format>
    <format dxfId="1031">
      <pivotArea dataOnly="0" labelOnly="1" outline="0" fieldPosition="0">
        <references count="1">
          <reference field="4294967294" count="1">
            <x v="1"/>
          </reference>
        </references>
      </pivotArea>
    </format>
    <format dxfId="1030">
      <pivotArea outline="0" fieldPosition="0">
        <references count="1">
          <reference field="4294967294" count="1">
            <x v="0"/>
          </reference>
        </references>
      </pivotArea>
    </format>
    <format dxfId="1029">
      <pivotArea outline="0" fieldPosition="0">
        <references count="1">
          <reference field="4294967294" count="1">
            <x v="1"/>
          </reference>
        </references>
      </pivotArea>
    </format>
  </formats>
  <chartFormats count="2">
    <chartFormat chart="2" format="32" series="1">
      <pivotArea type="data" outline="0" fieldPosition="0">
        <references count="1">
          <reference field="4294967294" count="1" selected="0">
            <x v="0"/>
          </reference>
        </references>
      </pivotArea>
    </chartFormat>
    <chartFormat chart="2" format="33"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filters count="1">
    <filter fld="4" type="captionGreaterThan" evalOrder="-1" id="1"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BFF6563-B27F-4F80-85B5-5514AB9057A6}" name="PivotTableRevenueData7" cacheId="2"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6">
  <location ref="D116:H134" firstHeaderRow="0" firstDataRow="1" firstDataCol="2" rowPageCount="1" colPageCount="1"/>
  <pivotFields count="45">
    <pivotField compact="0" outline="0" showAll="0">
      <extLst>
        <ext xmlns:x14="http://schemas.microsoft.com/office/spreadsheetml/2009/9/main" uri="{2946ED86-A175-432a-8AC1-64E0C546D7DE}">
          <x14:pivotField fillDownLabels="1"/>
        </ext>
      </extLst>
    </pivotField>
    <pivotField axis="axisPage"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0">
        <item x="0"/>
        <item x="1"/>
        <item x="2"/>
        <item x="3"/>
        <item x="4"/>
        <item x="5"/>
        <item x="6"/>
        <item x="7"/>
        <item x="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9">
        <item h="1" x="1"/>
        <item h="1" x="0"/>
        <item x="2"/>
        <item h="1" x="3"/>
        <item f="1" x="6"/>
        <item h="1" f="1" x="7"/>
        <item h="1" x="4"/>
        <item h="1" x="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4"/>
  </rowFields>
  <rowItems count="18">
    <i>
      <x v="2"/>
      <x v="1"/>
    </i>
    <i r="1">
      <x v="2"/>
    </i>
    <i r="1">
      <x v="3"/>
    </i>
    <i r="1">
      <x v="4"/>
    </i>
    <i r="1">
      <x v="5"/>
    </i>
    <i r="1">
      <x v="6"/>
    </i>
    <i r="1">
      <x v="7"/>
    </i>
    <i r="1">
      <x v="8"/>
    </i>
    <i t="default">
      <x v="2"/>
    </i>
    <i>
      <x v="4"/>
      <x v="1"/>
    </i>
    <i r="1">
      <x v="2"/>
    </i>
    <i r="1">
      <x v="3"/>
    </i>
    <i r="1">
      <x v="4"/>
    </i>
    <i r="1">
      <x v="5"/>
    </i>
    <i r="1">
      <x v="6"/>
    </i>
    <i r="1">
      <x v="7"/>
    </i>
    <i r="1">
      <x v="8"/>
    </i>
    <i t="default">
      <x v="4"/>
    </i>
  </rowItems>
  <colFields count="1">
    <field x="-2"/>
  </colFields>
  <colItems count="3">
    <i>
      <x/>
    </i>
    <i i="1">
      <x v="1"/>
    </i>
    <i i="2">
      <x v="2"/>
    </i>
  </colItems>
  <pageFields count="1">
    <pageField fld="1" hier="-1"/>
  </pageFields>
  <dataFields count="3">
    <dataField name="Sum of TOTAL RANGE 1" fld="33" baseField="4" baseItem="0" numFmtId="164"/>
    <dataField name="Sum of TOTAL RANGE 2" fld="34" baseField="4" baseItem="0" numFmtId="164"/>
    <dataField name="Sum of TOTAL RANGE 3" fld="35" baseField="4" baseItem="0" numFmtId="164"/>
  </dataFields>
  <formats count="31">
    <format dxfId="1092">
      <pivotArea type="all" dataOnly="0" outline="0" fieldPosition="0"/>
    </format>
    <format dxfId="1091">
      <pivotArea field="8" type="button" dataOnly="0" labelOnly="1" outline="0" axis="axisRow" fieldPosition="0"/>
    </format>
    <format dxfId="1090">
      <pivotArea dataOnly="0" labelOnly="1" grandRow="1" outline="0" fieldPosition="0"/>
    </format>
    <format dxfId="1089">
      <pivotArea field="8" type="button" dataOnly="0" labelOnly="1" outline="0" axis="axisRow" fieldPosition="0"/>
    </format>
    <format dxfId="1088">
      <pivotArea field="8" type="button" dataOnly="0" labelOnly="1" outline="0" axis="axisRow" fieldPosition="0"/>
    </format>
    <format dxfId="1087">
      <pivotArea field="8" type="button" dataOnly="0" labelOnly="1" outline="0" axis="axisRow" fieldPosition="0"/>
    </format>
    <format dxfId="1086">
      <pivotArea field="8" type="button" dataOnly="0" labelOnly="1" outline="0" axis="axisRow" fieldPosition="0"/>
    </format>
    <format dxfId="1085">
      <pivotArea field="8" type="button" dataOnly="0" labelOnly="1" outline="0" axis="axisRow" fieldPosition="0"/>
    </format>
    <format dxfId="1084">
      <pivotArea field="8" type="button" dataOnly="0" labelOnly="1" outline="0" axis="axisRow" fieldPosition="0"/>
    </format>
    <format dxfId="1083">
      <pivotArea type="all" dataOnly="0" outline="0" fieldPosition="0"/>
    </format>
    <format dxfId="1082">
      <pivotArea outline="0" collapsedLevelsAreSubtotals="1" fieldPosition="0"/>
    </format>
    <format dxfId="1081">
      <pivotArea type="origin" dataOnly="0" labelOnly="1" outline="0" fieldPosition="0"/>
    </format>
    <format dxfId="1080">
      <pivotArea type="topRight" dataOnly="0" labelOnly="1" outline="0" fieldPosition="0"/>
    </format>
    <format dxfId="1079">
      <pivotArea field="8" type="button" dataOnly="0" labelOnly="1" outline="0" axis="axisRow" fieldPosition="0"/>
    </format>
    <format dxfId="1078">
      <pivotArea dataOnly="0" labelOnly="1" outline="0" fieldPosition="0">
        <references count="1">
          <reference field="8" count="0"/>
        </references>
      </pivotArea>
    </format>
    <format dxfId="1077">
      <pivotArea dataOnly="0" labelOnly="1" outline="0" fieldPosition="0">
        <references count="1">
          <reference field="8" count="0" defaultSubtotal="1"/>
        </references>
      </pivotArea>
    </format>
    <format dxfId="1076">
      <pivotArea type="origin" dataOnly="0" labelOnly="1" outline="0" offset="A1" fieldPosition="0"/>
    </format>
    <format dxfId="1075">
      <pivotArea type="origin" dataOnly="0" labelOnly="1" outline="0" fieldPosition="0"/>
    </format>
    <format dxfId="1074">
      <pivotArea type="origin" dataOnly="0" labelOnly="1" outline="0" offset="B1" fieldPosition="0"/>
    </format>
    <format dxfId="1073">
      <pivotArea type="topRight" dataOnly="0" labelOnly="1" outline="0" fieldPosition="0"/>
    </format>
    <format dxfId="1072">
      <pivotArea type="origin" dataOnly="0" labelOnly="1" outline="0" fieldPosition="0"/>
    </format>
    <format dxfId="1071">
      <pivotArea dataOnly="0" labelOnly="1" outline="0" fieldPosition="0">
        <references count="1">
          <reference field="1" count="0"/>
        </references>
      </pivotArea>
    </format>
    <format dxfId="1070">
      <pivotArea field="1" type="button" dataOnly="0" labelOnly="1" outline="0" axis="axisPage" fieldPosition="0"/>
    </format>
    <format dxfId="1069">
      <pivotArea field="1" type="button" dataOnly="0" labelOnly="1" outline="0" axis="axisPage" fieldPosition="0"/>
    </format>
    <format dxfId="1068">
      <pivotArea field="4" type="button" dataOnly="0" labelOnly="1" outline="0" axis="axisRow" fieldPosition="1"/>
    </format>
    <format dxfId="1067">
      <pivotArea dataOnly="0" labelOnly="1" outline="0" fieldPosition="0">
        <references count="1">
          <reference field="4294967294" count="1">
            <x v="0"/>
          </reference>
        </references>
      </pivotArea>
    </format>
    <format dxfId="1066">
      <pivotArea dataOnly="0" labelOnly="1" outline="0" fieldPosition="0">
        <references count="1">
          <reference field="4294967294" count="1">
            <x v="1"/>
          </reference>
        </references>
      </pivotArea>
    </format>
    <format dxfId="1065">
      <pivotArea dataOnly="0" labelOnly="1" outline="0" fieldPosition="0">
        <references count="1">
          <reference field="4294967294" count="1">
            <x v="2"/>
          </reference>
        </references>
      </pivotArea>
    </format>
    <format dxfId="1064">
      <pivotArea outline="0" fieldPosition="0">
        <references count="1">
          <reference field="4294967294" count="1">
            <x v="0"/>
          </reference>
        </references>
      </pivotArea>
    </format>
    <format dxfId="1063">
      <pivotArea outline="0" fieldPosition="0">
        <references count="1">
          <reference field="4294967294" count="1">
            <x v="1"/>
          </reference>
        </references>
      </pivotArea>
    </format>
    <format dxfId="1062">
      <pivotArea outline="0" fieldPosition="0">
        <references count="1">
          <reference field="4294967294" count="1">
            <x v="2"/>
          </reference>
        </references>
      </pivotArea>
    </format>
  </formats>
  <chartFormats count="3">
    <chartFormat chart="3" format="34" series="1">
      <pivotArea type="data" outline="0" fieldPosition="0">
        <references count="1">
          <reference field="4294967294" count="1" selected="0">
            <x v="0"/>
          </reference>
        </references>
      </pivotArea>
    </chartFormat>
    <chartFormat chart="3" format="35" series="1">
      <pivotArea type="data" outline="0" fieldPosition="0">
        <references count="1">
          <reference field="4294967294" count="1" selected="0">
            <x v="1"/>
          </reference>
        </references>
      </pivotArea>
    </chartFormat>
    <chartFormat chart="3" format="36" series="1">
      <pivotArea type="data" outline="0" fieldPosition="0">
        <references count="1">
          <reference field="4294967294" count="1" selected="0">
            <x v="2"/>
          </reference>
        </references>
      </pivotArea>
    </chartFormat>
  </chartFormats>
  <pivotTableStyleInfo name="PivotStyleLight15" showRowHeaders="1" showColHeaders="1" showRowStripes="0" showColStripes="0" showLastColumn="1"/>
  <filters count="1">
    <filter fld="4" type="captionGreaterThan" evalOrder="-1" id="2" stringValue1="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3C44F82-E989-4AD0-83CC-D33599B4D3DA}" name="PivotTableFinanceData3"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429:N439"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Row"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35"/>
        <item x="3"/>
        <item x="5"/>
        <item x="6"/>
        <item x="7"/>
        <item x="8"/>
        <item x="9"/>
        <item x="10"/>
        <item x="11"/>
        <item x="13"/>
        <item x="14"/>
        <item x="15"/>
        <item x="1"/>
        <item x="2"/>
        <item x="4"/>
        <item x="12"/>
        <item x="16"/>
        <item x="17"/>
        <item x="18"/>
        <item x="19"/>
        <item x="20"/>
        <item x="21"/>
        <item x="22"/>
        <item x="23"/>
        <item x="24"/>
        <item x="25"/>
        <item x="26"/>
        <item x="27"/>
        <item x="28"/>
        <item x="30"/>
        <item x="31"/>
        <item x="32"/>
        <item x="36"/>
        <item x="37"/>
        <item x="38"/>
        <item x="40"/>
        <item x="41"/>
        <item x="42"/>
        <item x="43"/>
        <item x="44"/>
        <item x="45"/>
        <item x="46"/>
        <item x="47"/>
        <item x="48"/>
        <item x="49"/>
        <item x="50"/>
        <item x="51"/>
        <item x="52"/>
        <item x="53"/>
        <item x="39"/>
        <item x="33"/>
        <item x="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1"/>
    <field x="2"/>
    <field x="4"/>
  </rowFields>
  <rowItems count="10">
    <i>
      <x v="5"/>
      <x v="18"/>
      <x/>
    </i>
    <i r="1">
      <x v="19"/>
      <x v="42"/>
    </i>
    <i r="1">
      <x v="20"/>
      <x v="36"/>
    </i>
    <i r="1">
      <x v="21"/>
      <x v="1"/>
    </i>
    <i r="1">
      <x v="22"/>
      <x v="37"/>
    </i>
    <i r="1">
      <x v="23"/>
      <x v="38"/>
    </i>
    <i r="1">
      <x v="24"/>
      <x v="39"/>
    </i>
    <i r="1">
      <x v="25"/>
      <x v="40"/>
    </i>
    <i r="1">
      <x v="26"/>
      <x v="41"/>
    </i>
    <i r="1">
      <x v="27"/>
      <x v="43"/>
    </i>
  </rowItems>
  <colFields count="1">
    <field x="-2"/>
  </colFields>
  <colItems count="8">
    <i>
      <x/>
    </i>
    <i i="1">
      <x v="1"/>
    </i>
    <i i="2">
      <x v="2"/>
    </i>
    <i i="3">
      <x v="3"/>
    </i>
    <i i="4">
      <x v="4"/>
    </i>
    <i i="5">
      <x v="5"/>
    </i>
    <i i="6">
      <x v="6"/>
    </i>
    <i i="7">
      <x v="7"/>
    </i>
  </colItems>
  <pageFields count="3">
    <pageField fld="0" item="2" hier="-1"/>
    <pageField fld="26" item="0"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55">
    <format dxfId="99">
      <pivotArea type="all" dataOnly="0" outline="0" fieldPosition="0"/>
    </format>
    <format dxfId="98">
      <pivotArea outline="0" collapsedLevelsAreSubtotals="1" fieldPosition="0"/>
    </format>
    <format dxfId="97">
      <pivotArea field="1" type="button" dataOnly="0" labelOnly="1" outline="0" axis="axisRow" fieldPosition="0"/>
    </format>
    <format dxfId="96">
      <pivotArea field="2" type="button" dataOnly="0" labelOnly="1" outline="0" axis="axisRow" fieldPosition="1"/>
    </format>
    <format dxfId="95">
      <pivotArea dataOnly="0" labelOnly="1" grandRow="1" outline="0" fieldPosition="0"/>
    </format>
    <format dxfId="94">
      <pivotArea type="all" dataOnly="0" outline="0" fieldPosition="0"/>
    </format>
    <format dxfId="93">
      <pivotArea outline="0" collapsedLevelsAreSubtotals="1" fieldPosition="0"/>
    </format>
    <format dxfId="92">
      <pivotArea field="1" type="button" dataOnly="0" labelOnly="1" outline="0" axis="axisRow" fieldPosition="0"/>
    </format>
    <format dxfId="91">
      <pivotArea field="2" type="button" dataOnly="0" labelOnly="1" outline="0" axis="axisRow" fieldPosition="1"/>
    </format>
    <format dxfId="90">
      <pivotArea type="all" dataOnly="0" outline="0" fieldPosition="0"/>
    </format>
    <format dxfId="89">
      <pivotArea outline="0" collapsedLevelsAreSubtotals="1" fieldPosition="0"/>
    </format>
    <format dxfId="88">
      <pivotArea field="1" type="button" dataOnly="0" labelOnly="1" outline="0" axis="axisRow" fieldPosition="0"/>
    </format>
    <format dxfId="87">
      <pivotArea field="2" type="button" dataOnly="0" labelOnly="1" outline="0" axis="axisRow" fieldPosition="1"/>
    </format>
    <format dxfId="86">
      <pivotArea field="4" type="button" dataOnly="0" labelOnly="1" outline="0" axis="axisRow" fieldPosition="2"/>
    </format>
    <format dxfId="85">
      <pivotArea dataOnly="0" labelOnly="1" outline="0" fieldPosition="0">
        <references count="2">
          <reference field="0" count="1" selected="0">
            <x v="1"/>
          </reference>
          <reference field="26" count="1">
            <x v="0"/>
          </reference>
        </references>
      </pivotArea>
    </format>
    <format dxfId="84">
      <pivotArea dataOnly="0" labelOnly="1" outline="0" fieldPosition="0">
        <references count="2">
          <reference field="0" count="1">
            <x v="1"/>
          </reference>
          <reference field="26" count="1" selected="0">
            <x v="0"/>
          </reference>
        </references>
      </pivotArea>
    </format>
    <format dxfId="83">
      <pivotArea outline="0" fieldPosition="0">
        <references count="1">
          <reference field="4294967294" count="1">
            <x v="0"/>
          </reference>
        </references>
      </pivotArea>
    </format>
    <format dxfId="82">
      <pivotArea outline="0" fieldPosition="0">
        <references count="1">
          <reference field="4294967294" count="1">
            <x v="1"/>
          </reference>
        </references>
      </pivotArea>
    </format>
    <format dxfId="81">
      <pivotArea outline="0" fieldPosition="0">
        <references count="1">
          <reference field="4294967294" count="1">
            <x v="2"/>
          </reference>
        </references>
      </pivotArea>
    </format>
    <format dxfId="80">
      <pivotArea outline="0" fieldPosition="0">
        <references count="1">
          <reference field="4294967294" count="1">
            <x v="3"/>
          </reference>
        </references>
      </pivotArea>
    </format>
    <format dxfId="79">
      <pivotArea outline="0" fieldPosition="0">
        <references count="1">
          <reference field="4294967294" count="1">
            <x v="4"/>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6"/>
          </reference>
        </references>
      </pivotArea>
    </format>
    <format dxfId="76">
      <pivotArea outline="0" fieldPosition="0">
        <references count="1">
          <reference field="4294967294" count="1">
            <x v="7"/>
          </reference>
        </references>
      </pivotArea>
    </format>
    <format dxfId="75">
      <pivotArea dataOnly="0" labelOnly="1" outline="0" fieldPosition="0">
        <references count="1">
          <reference field="4294967294" count="1">
            <x v="0"/>
          </reference>
        </references>
      </pivotArea>
    </format>
    <format dxfId="74">
      <pivotArea dataOnly="0" labelOnly="1" outline="0" fieldPosition="0">
        <references count="1">
          <reference field="4294967294" count="1">
            <x v="0"/>
          </reference>
        </references>
      </pivotArea>
    </format>
    <format dxfId="73">
      <pivotArea dataOnly="0" labelOnly="1" outline="0" fieldPosition="0">
        <references count="1">
          <reference field="4294967294" count="1">
            <x v="0"/>
          </reference>
        </references>
      </pivotArea>
    </format>
    <format dxfId="72">
      <pivotArea dataOnly="0" labelOnly="1" outline="0" fieldPosition="0">
        <references count="1">
          <reference field="4294967294" count="1">
            <x v="1"/>
          </reference>
        </references>
      </pivotArea>
    </format>
    <format dxfId="71">
      <pivotArea dataOnly="0" labelOnly="1" outline="0" fieldPosition="0">
        <references count="1">
          <reference field="4294967294" count="1">
            <x v="2"/>
          </reference>
        </references>
      </pivotArea>
    </format>
    <format dxfId="70">
      <pivotArea dataOnly="0" labelOnly="1" outline="0" fieldPosition="0">
        <references count="1">
          <reference field="4294967294" count="1">
            <x v="3"/>
          </reference>
        </references>
      </pivotArea>
    </format>
    <format dxfId="69">
      <pivotArea dataOnly="0" labelOnly="1" outline="0" fieldPosition="0">
        <references count="1">
          <reference field="4294967294" count="1">
            <x v="4"/>
          </reference>
        </references>
      </pivotArea>
    </format>
    <format dxfId="68">
      <pivotArea dataOnly="0" labelOnly="1" outline="0" fieldPosition="0">
        <references count="1">
          <reference field="4294967294" count="1">
            <x v="5"/>
          </reference>
        </references>
      </pivotArea>
    </format>
    <format dxfId="67">
      <pivotArea dataOnly="0" labelOnly="1" outline="0" fieldPosition="0">
        <references count="1">
          <reference field="4294967294" count="1">
            <x v="6"/>
          </reference>
        </references>
      </pivotArea>
    </format>
    <format dxfId="66">
      <pivotArea dataOnly="0" labelOnly="1" outline="0" fieldPosition="0">
        <references count="1">
          <reference field="4294967294" count="1">
            <x v="7"/>
          </reference>
        </references>
      </pivotArea>
    </format>
    <format dxfId="65">
      <pivotArea field="4" type="button" dataOnly="0" labelOnly="1" outline="0" axis="axisRow" fieldPosition="2"/>
    </format>
    <format dxfId="64">
      <pivotArea field="2" type="button" dataOnly="0" labelOnly="1" outline="0" axis="axisRow" fieldPosition="1"/>
    </format>
    <format dxfId="63">
      <pivotArea field="1" type="button" dataOnly="0" labelOnly="1" outline="0" axis="axisRow" fieldPosition="0"/>
    </format>
    <format dxfId="62">
      <pivotArea dataOnly="0" outline="0" fieldPosition="0">
        <references count="3">
          <reference field="0" count="1" selected="0">
            <x v="1"/>
          </reference>
          <reference field="2" count="3">
            <x v="11"/>
            <x v="12"/>
            <x v="13"/>
          </reference>
          <reference field="26" count="1" selected="0">
            <x v="0"/>
          </reference>
        </references>
      </pivotArea>
    </format>
    <format dxfId="61">
      <pivotArea dataOnly="0" outline="0" fieldPosition="0">
        <references count="3">
          <reference field="0" count="1" selected="0">
            <x v="1"/>
          </reference>
          <reference field="2" count="3">
            <x v="11"/>
            <x v="12"/>
            <x v="13"/>
          </reference>
          <reference field="26" count="1" selected="0">
            <x v="0"/>
          </reference>
        </references>
      </pivotArea>
    </format>
    <format dxfId="60">
      <pivotArea dataOnly="0" outline="0" fieldPosition="0">
        <references count="3">
          <reference field="0" count="1" selected="0">
            <x v="1"/>
          </reference>
          <reference field="2" count="3">
            <x v="11"/>
            <x v="12"/>
            <x v="13"/>
          </reference>
          <reference field="26" count="1" selected="0">
            <x v="0"/>
          </reference>
        </references>
      </pivotArea>
    </format>
    <format dxfId="59">
      <pivotArea dataOnly="0" labelOnly="1" outline="0" fieldPosition="0">
        <references count="2">
          <reference field="0" count="1">
            <x v="2"/>
          </reference>
          <reference field="26" count="1" selected="0">
            <x v="0"/>
          </reference>
        </references>
      </pivotArea>
    </format>
    <format dxfId="58">
      <pivotArea dataOnly="0" labelOnly="1" outline="0" fieldPosition="0">
        <references count="2">
          <reference field="0" count="1" selected="0">
            <x v="2"/>
          </reference>
          <reference field="26" count="1">
            <x v="0"/>
          </reference>
        </references>
      </pivotArea>
    </format>
    <format dxfId="57">
      <pivotArea outline="0" fieldPosition="0">
        <references count="2">
          <reference field="1" count="1" selected="0">
            <x v="5"/>
          </reference>
          <reference field="2" count="1" selected="0">
            <x v="27"/>
          </reference>
        </references>
      </pivotArea>
    </format>
    <format dxfId="56">
      <pivotArea outline="0" fieldPosition="0">
        <references count="2">
          <reference field="1" count="1" selected="0">
            <x v="5"/>
          </reference>
          <reference field="2" count="1" selected="0">
            <x v="27"/>
          </reference>
        </references>
      </pivotArea>
    </format>
    <format dxfId="55">
      <pivotArea dataOnly="0" labelOnly="1" outline="0" fieldPosition="0">
        <references count="2">
          <reference field="1" count="1" selected="0">
            <x v="5"/>
          </reference>
          <reference field="2" count="1">
            <x v="27"/>
          </reference>
        </references>
      </pivotArea>
    </format>
    <format dxfId="54">
      <pivotArea dataOnly="0" labelOnly="1" outline="0" fieldPosition="0">
        <references count="2">
          <reference field="1" count="1" selected="0">
            <x v="5"/>
          </reference>
          <reference field="2" count="1">
            <x v="27"/>
          </reference>
        </references>
      </pivotArea>
    </format>
    <format dxfId="53">
      <pivotArea dataOnly="0" labelOnly="1" outline="0" fieldPosition="0">
        <references count="2">
          <reference field="1" count="1" selected="0">
            <x v="5"/>
          </reference>
          <reference field="2" count="1">
            <x v="27"/>
          </reference>
        </references>
      </pivotArea>
    </format>
    <format dxfId="52">
      <pivotArea dataOnly="0" labelOnly="1" outline="0" fieldPosition="0">
        <references count="2">
          <reference field="1" count="1" selected="0">
            <x v="5"/>
          </reference>
          <reference field="2" count="1">
            <x v="27"/>
          </reference>
        </references>
      </pivotArea>
    </format>
    <format dxfId="51">
      <pivotArea outline="0" fieldPosition="0">
        <references count="3">
          <reference field="4294967294" count="1" selected="0">
            <x v="0"/>
          </reference>
          <reference field="1" count="1" selected="0">
            <x v="5"/>
          </reference>
          <reference field="2" count="1" selected="0">
            <x v="27"/>
          </reference>
        </references>
      </pivotArea>
    </format>
    <format dxfId="50">
      <pivotArea dataOnly="0" labelOnly="1" outline="0" offset="IV256" fieldPosition="0">
        <references count="1">
          <reference field="1" count="1">
            <x v="5"/>
          </reference>
        </references>
      </pivotArea>
    </format>
    <format dxfId="49">
      <pivotArea dataOnly="0" labelOnly="1" outline="0" offset="IV256" fieldPosition="0">
        <references count="1">
          <reference field="1" count="1">
            <x v="5"/>
          </reference>
        </references>
      </pivotArea>
    </format>
    <format dxfId="48">
      <pivotArea dataOnly="0" labelOnly="1" outline="0" offset="IV256" fieldPosition="0">
        <references count="1">
          <reference field="1" count="1">
            <x v="5"/>
          </reference>
        </references>
      </pivotArea>
    </format>
    <format dxfId="47">
      <pivotArea dataOnly="0" labelOnly="1" outline="0" fieldPosition="0">
        <references count="3">
          <reference field="1" count="1" selected="0">
            <x v="5"/>
          </reference>
          <reference field="2" count="1" selected="0">
            <x v="27"/>
          </reference>
          <reference field="4" count="1">
            <x v="43"/>
          </reference>
        </references>
      </pivotArea>
    </format>
    <format dxfId="46">
      <pivotArea dataOnly="0" labelOnly="1" outline="0" fieldPosition="0">
        <references count="3">
          <reference field="1" count="1" selected="0">
            <x v="5"/>
          </reference>
          <reference field="2" count="1" selected="0">
            <x v="27"/>
          </reference>
          <reference field="4" count="1">
            <x v="43"/>
          </reference>
        </references>
      </pivotArea>
    </format>
    <format dxfId="45">
      <pivotArea dataOnly="0" labelOnly="1" outline="0" fieldPosition="0">
        <references count="3">
          <reference field="1" count="1" selected="0">
            <x v="5"/>
          </reference>
          <reference field="2" count="1" selected="0">
            <x v="27"/>
          </reference>
          <reference field="4" count="1">
            <x v="4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EA97E8F-DA32-4CBF-B5AD-FADE07B3A1B5}" name="PivotTableFinanceData5"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629:N650"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Row"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35"/>
        <item x="3"/>
        <item x="5"/>
        <item x="6"/>
        <item x="7"/>
        <item x="8"/>
        <item x="9"/>
        <item x="10"/>
        <item x="11"/>
        <item x="13"/>
        <item x="14"/>
        <item x="15"/>
        <item x="1"/>
        <item x="2"/>
        <item x="4"/>
        <item x="12"/>
        <item x="16"/>
        <item x="17"/>
        <item x="18"/>
        <item x="19"/>
        <item x="20"/>
        <item x="21"/>
        <item x="22"/>
        <item x="23"/>
        <item x="24"/>
        <item x="25"/>
        <item x="26"/>
        <item x="27"/>
        <item x="28"/>
        <item x="30"/>
        <item x="31"/>
        <item x="32"/>
        <item x="36"/>
        <item x="37"/>
        <item x="38"/>
        <item x="40"/>
        <item x="41"/>
        <item x="42"/>
        <item x="43"/>
        <item x="44"/>
        <item x="45"/>
        <item x="46"/>
        <item x="47"/>
        <item x="48"/>
        <item x="49"/>
        <item x="50"/>
        <item x="51"/>
        <item x="52"/>
        <item x="53"/>
        <item x="39"/>
        <item x="33"/>
        <item x="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axis="axisRow" compact="0" outline="0" showAll="0" defaultSubtotal="0">
      <items count="117">
        <item x="109"/>
        <item x="92"/>
        <item x="62"/>
        <item x="63"/>
        <item x="56"/>
        <item x="59"/>
        <item x="65"/>
        <item x="60"/>
        <item x="57"/>
        <item x="58"/>
        <item x="64"/>
        <item x="61"/>
        <item x="6"/>
        <item x="90"/>
        <item x="91"/>
        <item x="16"/>
        <item x="55"/>
        <item x="12"/>
        <item x="24"/>
        <item x="5"/>
        <item x="42"/>
        <item x="17"/>
        <item x="93"/>
        <item x="43"/>
        <item x="106"/>
        <item x="107"/>
        <item x="102"/>
        <item x="36"/>
        <item x="53"/>
        <item x="44"/>
        <item x="25"/>
        <item x="82"/>
        <item x="88"/>
        <item x="22"/>
        <item x="84"/>
        <item x="52"/>
        <item x="46"/>
        <item x="104"/>
        <item x="39"/>
        <item x="21"/>
        <item x="33"/>
        <item x="38"/>
        <item x="11"/>
        <item x="103"/>
        <item x="19"/>
        <item x="76"/>
        <item x="28"/>
        <item x="105"/>
        <item x="54"/>
        <item x="48"/>
        <item x="49"/>
        <item x="95"/>
        <item x="96"/>
        <item x="94"/>
        <item x="116"/>
        <item x="32"/>
        <item x="45"/>
        <item x="35"/>
        <item x="34"/>
        <item x="18"/>
        <item x="41"/>
        <item x="37"/>
        <item x="69"/>
        <item x="30"/>
        <item x="20"/>
        <item x="73"/>
        <item x="47"/>
        <item x="50"/>
        <item x="26"/>
        <item x="111"/>
        <item x="71"/>
        <item x="9"/>
        <item x="7"/>
        <item x="10"/>
        <item x="27"/>
        <item x="8"/>
        <item x="85"/>
        <item x="113"/>
        <item x="114"/>
        <item x="31"/>
        <item x="40"/>
        <item x="78"/>
        <item x="81"/>
        <item x="87"/>
        <item x="23"/>
        <item x="29"/>
        <item x="4"/>
        <item x="70"/>
        <item x="72"/>
        <item x="74"/>
        <item x="75"/>
        <item x="77"/>
        <item x="79"/>
        <item x="51"/>
        <item x="89"/>
        <item x="86"/>
        <item x="83"/>
        <item x="110"/>
        <item x="13"/>
        <item x="14"/>
        <item x="15"/>
        <item x="0"/>
        <item x="80"/>
        <item x="66"/>
        <item x="67"/>
        <item x="68"/>
        <item x="108"/>
        <item x="112"/>
        <item x="115"/>
        <item x="1"/>
        <item x="2"/>
        <item x="3"/>
        <item x="97"/>
        <item x="98"/>
        <item x="99"/>
        <item x="100"/>
        <item x="10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2"/>
    <field x="5"/>
    <field x="1"/>
  </rowFields>
  <rowItems count="21">
    <i>
      <x v="28"/>
      <x v="87"/>
      <x v="6"/>
    </i>
    <i r="1">
      <x v="88"/>
      <x v="6"/>
    </i>
    <i r="1">
      <x v="89"/>
      <x v="6"/>
    </i>
    <i r="1">
      <x v="90"/>
      <x v="6"/>
    </i>
    <i r="1">
      <x v="91"/>
      <x v="7"/>
    </i>
    <i r="1">
      <x v="92"/>
      <x v="8"/>
    </i>
    <i r="1">
      <x v="102"/>
      <x v="13"/>
    </i>
    <i>
      <x v="29"/>
      <x v="87"/>
      <x v="6"/>
    </i>
    <i r="1">
      <x v="88"/>
      <x v="6"/>
    </i>
    <i r="1">
      <x v="89"/>
      <x v="6"/>
    </i>
    <i r="1">
      <x v="90"/>
      <x v="6"/>
    </i>
    <i r="1">
      <x v="91"/>
      <x v="7"/>
    </i>
    <i r="1">
      <x v="92"/>
      <x v="8"/>
    </i>
    <i r="1">
      <x v="102"/>
      <x v="13"/>
    </i>
    <i>
      <x v="30"/>
      <x v="87"/>
      <x v="6"/>
    </i>
    <i r="1">
      <x v="88"/>
      <x v="6"/>
    </i>
    <i r="1">
      <x v="89"/>
      <x v="6"/>
    </i>
    <i r="1">
      <x v="90"/>
      <x v="6"/>
    </i>
    <i r="1">
      <x v="91"/>
      <x v="7"/>
    </i>
    <i r="1">
      <x v="92"/>
      <x v="8"/>
    </i>
    <i r="1">
      <x v="102"/>
      <x v="13"/>
    </i>
  </rowItems>
  <colFields count="1">
    <field x="-2"/>
  </colFields>
  <colItems count="8">
    <i>
      <x/>
    </i>
    <i i="1">
      <x v="1"/>
    </i>
    <i i="2">
      <x v="2"/>
    </i>
    <i i="3">
      <x v="3"/>
    </i>
    <i i="4">
      <x v="4"/>
    </i>
    <i i="5">
      <x v="5"/>
    </i>
    <i i="6">
      <x v="6"/>
    </i>
    <i i="7">
      <x v="7"/>
    </i>
  </colItems>
  <pageFields count="3">
    <pageField fld="0" item="3" hier="-1"/>
    <pageField fld="26" item="0"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125">
    <format dxfId="224">
      <pivotArea type="all" dataOnly="0" outline="0" fieldPosition="0"/>
    </format>
    <format dxfId="223">
      <pivotArea outline="0" collapsedLevelsAreSubtotals="1" fieldPosition="0"/>
    </format>
    <format dxfId="222">
      <pivotArea field="1" type="button" dataOnly="0" labelOnly="1" outline="0" axis="axisRow" fieldPosition="2"/>
    </format>
    <format dxfId="221">
      <pivotArea field="2" type="button" dataOnly="0" labelOnly="1" outline="0" axis="axisRow" fieldPosition="0"/>
    </format>
    <format dxfId="220">
      <pivotArea dataOnly="0" labelOnly="1" grandRow="1" outline="0" fieldPosition="0"/>
    </format>
    <format dxfId="219">
      <pivotArea type="all" dataOnly="0" outline="0" fieldPosition="0"/>
    </format>
    <format dxfId="218">
      <pivotArea outline="0" collapsedLevelsAreSubtotals="1" fieldPosition="0"/>
    </format>
    <format dxfId="217">
      <pivotArea field="1" type="button" dataOnly="0" labelOnly="1" outline="0" axis="axisRow" fieldPosition="2"/>
    </format>
    <format dxfId="216">
      <pivotArea field="2" type="button" dataOnly="0" labelOnly="1" outline="0" axis="axisRow" fieldPosition="0"/>
    </format>
    <format dxfId="215">
      <pivotArea type="all" dataOnly="0" outline="0" fieldPosition="0"/>
    </format>
    <format dxfId="214">
      <pivotArea outline="0" collapsedLevelsAreSubtotals="1" fieldPosition="0"/>
    </format>
    <format dxfId="213">
      <pivotArea field="1" type="button" dataOnly="0" labelOnly="1" outline="0" axis="axisRow" fieldPosition="2"/>
    </format>
    <format dxfId="212">
      <pivotArea field="2" type="button" dataOnly="0" labelOnly="1" outline="0" axis="axisRow" fieldPosition="0"/>
    </format>
    <format dxfId="211">
      <pivotArea field="4" type="button" dataOnly="0" labelOnly="1" outline="0"/>
    </format>
    <format dxfId="210">
      <pivotArea dataOnly="0" labelOnly="1" outline="0" fieldPosition="0">
        <references count="2">
          <reference field="0" count="1" selected="0">
            <x v="1"/>
          </reference>
          <reference field="26" count="1">
            <x v="0"/>
          </reference>
        </references>
      </pivotArea>
    </format>
    <format dxfId="209">
      <pivotArea dataOnly="0" labelOnly="1" outline="0" fieldPosition="0">
        <references count="2">
          <reference field="0" count="1">
            <x v="1"/>
          </reference>
          <reference field="26" count="1" selected="0">
            <x v="0"/>
          </reference>
        </references>
      </pivotArea>
    </format>
    <format dxfId="208">
      <pivotArea outline="0" fieldPosition="0">
        <references count="1">
          <reference field="4294967294" count="1">
            <x v="0"/>
          </reference>
        </references>
      </pivotArea>
    </format>
    <format dxfId="207">
      <pivotArea outline="0" fieldPosition="0">
        <references count="1">
          <reference field="4294967294" count="1">
            <x v="1"/>
          </reference>
        </references>
      </pivotArea>
    </format>
    <format dxfId="206">
      <pivotArea outline="0" fieldPosition="0">
        <references count="1">
          <reference field="4294967294" count="1">
            <x v="2"/>
          </reference>
        </references>
      </pivotArea>
    </format>
    <format dxfId="205">
      <pivotArea outline="0" fieldPosition="0">
        <references count="1">
          <reference field="4294967294" count="1">
            <x v="3"/>
          </reference>
        </references>
      </pivotArea>
    </format>
    <format dxfId="204">
      <pivotArea outline="0" fieldPosition="0">
        <references count="1">
          <reference field="4294967294" count="1">
            <x v="4"/>
          </reference>
        </references>
      </pivotArea>
    </format>
    <format dxfId="203">
      <pivotArea outline="0" fieldPosition="0">
        <references count="1">
          <reference field="4294967294" count="1">
            <x v="5"/>
          </reference>
        </references>
      </pivotArea>
    </format>
    <format dxfId="202">
      <pivotArea outline="0" fieldPosition="0">
        <references count="1">
          <reference field="4294967294" count="1">
            <x v="6"/>
          </reference>
        </references>
      </pivotArea>
    </format>
    <format dxfId="201">
      <pivotArea outline="0" fieldPosition="0">
        <references count="1">
          <reference field="4294967294" count="1">
            <x v="7"/>
          </reference>
        </references>
      </pivotArea>
    </format>
    <format dxfId="200">
      <pivotArea dataOnly="0" labelOnly="1" outline="0" fieldPosition="0">
        <references count="1">
          <reference field="4294967294" count="1">
            <x v="0"/>
          </reference>
        </references>
      </pivotArea>
    </format>
    <format dxfId="199">
      <pivotArea dataOnly="0" labelOnly="1" outline="0" fieldPosition="0">
        <references count="1">
          <reference field="4294967294" count="1">
            <x v="0"/>
          </reference>
        </references>
      </pivotArea>
    </format>
    <format dxfId="198">
      <pivotArea dataOnly="0" labelOnly="1" outline="0" fieldPosition="0">
        <references count="1">
          <reference field="4294967294" count="1">
            <x v="0"/>
          </reference>
        </references>
      </pivotArea>
    </format>
    <format dxfId="197">
      <pivotArea dataOnly="0" labelOnly="1" outline="0" fieldPosition="0">
        <references count="1">
          <reference field="4294967294" count="1">
            <x v="1"/>
          </reference>
        </references>
      </pivotArea>
    </format>
    <format dxfId="196">
      <pivotArea dataOnly="0" labelOnly="1" outline="0" fieldPosition="0">
        <references count="1">
          <reference field="4294967294" count="1">
            <x v="2"/>
          </reference>
        </references>
      </pivotArea>
    </format>
    <format dxfId="195">
      <pivotArea dataOnly="0" labelOnly="1" outline="0" fieldPosition="0">
        <references count="1">
          <reference field="4294967294" count="1">
            <x v="3"/>
          </reference>
        </references>
      </pivotArea>
    </format>
    <format dxfId="194">
      <pivotArea dataOnly="0" labelOnly="1" outline="0" fieldPosition="0">
        <references count="1">
          <reference field="4294967294" count="1">
            <x v="4"/>
          </reference>
        </references>
      </pivotArea>
    </format>
    <format dxfId="193">
      <pivotArea dataOnly="0" labelOnly="1" outline="0" fieldPosition="0">
        <references count="1">
          <reference field="4294967294" count="1">
            <x v="5"/>
          </reference>
        </references>
      </pivotArea>
    </format>
    <format dxfId="192">
      <pivotArea dataOnly="0" labelOnly="1" outline="0" fieldPosition="0">
        <references count="1">
          <reference field="4294967294" count="1">
            <x v="6"/>
          </reference>
        </references>
      </pivotArea>
    </format>
    <format dxfId="191">
      <pivotArea dataOnly="0" labelOnly="1" outline="0" fieldPosition="0">
        <references count="1">
          <reference field="4294967294" count="1">
            <x v="7"/>
          </reference>
        </references>
      </pivotArea>
    </format>
    <format dxfId="190">
      <pivotArea field="4" type="button" dataOnly="0" labelOnly="1" outline="0"/>
    </format>
    <format dxfId="189">
      <pivotArea field="2" type="button" dataOnly="0" labelOnly="1" outline="0" axis="axisRow" fieldPosition="0"/>
    </format>
    <format dxfId="188">
      <pivotArea field="1" type="button" dataOnly="0" labelOnly="1" outline="0" axis="axisRow" fieldPosition="2"/>
    </format>
    <format dxfId="187">
      <pivotArea dataOnly="0" outline="0" fieldPosition="0">
        <references count="3">
          <reference field="0" count="1" selected="0">
            <x v="1"/>
          </reference>
          <reference field="2" count="3">
            <x v="11"/>
            <x v="12"/>
            <x v="13"/>
          </reference>
          <reference field="26" count="1" selected="0">
            <x v="0"/>
          </reference>
        </references>
      </pivotArea>
    </format>
    <format dxfId="186">
      <pivotArea dataOnly="0" outline="0" fieldPosition="0">
        <references count="3">
          <reference field="0" count="1" selected="0">
            <x v="1"/>
          </reference>
          <reference field="2" count="3">
            <x v="11"/>
            <x v="12"/>
            <x v="13"/>
          </reference>
          <reference field="26" count="1" selected="0">
            <x v="0"/>
          </reference>
        </references>
      </pivotArea>
    </format>
    <format dxfId="185">
      <pivotArea dataOnly="0" outline="0" fieldPosition="0">
        <references count="3">
          <reference field="0" count="1" selected="0">
            <x v="1"/>
          </reference>
          <reference field="2" count="3">
            <x v="11"/>
            <x v="12"/>
            <x v="13"/>
          </reference>
          <reference field="26" count="1" selected="0">
            <x v="0"/>
          </reference>
        </references>
      </pivotArea>
    </format>
    <format dxfId="184">
      <pivotArea dataOnly="0" labelOnly="1" outline="0" fieldPosition="0">
        <references count="2">
          <reference field="0" count="1">
            <x v="2"/>
          </reference>
          <reference field="26" count="1" selected="0">
            <x v="0"/>
          </reference>
        </references>
      </pivotArea>
    </format>
    <format dxfId="183">
      <pivotArea dataOnly="0" labelOnly="1" outline="0" fieldPosition="0">
        <references count="2">
          <reference field="0" count="1" selected="0">
            <x v="2"/>
          </reference>
          <reference field="26" count="1">
            <x v="0"/>
          </reference>
        </references>
      </pivotArea>
    </format>
    <format dxfId="182">
      <pivotArea outline="0" fieldPosition="0">
        <references count="2">
          <reference field="1" count="1" selected="0">
            <x v="5"/>
          </reference>
          <reference field="2" count="1" selected="0">
            <x v="27"/>
          </reference>
        </references>
      </pivotArea>
    </format>
    <format dxfId="181">
      <pivotArea outline="0" fieldPosition="0">
        <references count="2">
          <reference field="1" count="1" selected="0">
            <x v="5"/>
          </reference>
          <reference field="2" count="1" selected="0">
            <x v="27"/>
          </reference>
        </references>
      </pivotArea>
    </format>
    <format dxfId="180">
      <pivotArea dataOnly="0" labelOnly="1" outline="0" fieldPosition="0">
        <references count="2">
          <reference field="1" count="1" selected="0">
            <x v="5"/>
          </reference>
          <reference field="2" count="1">
            <x v="27"/>
          </reference>
        </references>
      </pivotArea>
    </format>
    <format dxfId="179">
      <pivotArea dataOnly="0" labelOnly="1" outline="0" fieldPosition="0">
        <references count="2">
          <reference field="1" count="1" selected="0">
            <x v="5"/>
          </reference>
          <reference field="2" count="1">
            <x v="27"/>
          </reference>
        </references>
      </pivotArea>
    </format>
    <format dxfId="178">
      <pivotArea dataOnly="0" labelOnly="1" outline="0" fieldPosition="0">
        <references count="2">
          <reference field="0" count="1">
            <x v="2"/>
          </reference>
          <reference field="26" count="1" selected="0">
            <x v="1"/>
          </reference>
        </references>
      </pivotArea>
    </format>
    <format dxfId="177">
      <pivotArea dataOnly="0" labelOnly="1" outline="0" fieldPosition="0">
        <references count="2">
          <reference field="0" count="1" selected="0">
            <x v="2"/>
          </reference>
          <reference field="26" count="1">
            <x v="1"/>
          </reference>
        </references>
      </pivotArea>
    </format>
    <format dxfId="176">
      <pivotArea dataOnly="0" outline="0" fieldPosition="0">
        <references count="3">
          <reference field="0" count="1" selected="0">
            <x v="3"/>
          </reference>
          <reference field="2" count="0" defaultSubtotal="1"/>
          <reference field="26" count="1" selected="0">
            <x v="0"/>
          </reference>
        </references>
      </pivotArea>
    </format>
    <format dxfId="175">
      <pivotArea dataOnly="0" outline="0" fieldPosition="0">
        <references count="3">
          <reference field="0" count="1" selected="0">
            <x v="3"/>
          </reference>
          <reference field="1" count="1">
            <x v="13"/>
          </reference>
          <reference field="26" count="1" selected="0">
            <x v="0"/>
          </reference>
        </references>
      </pivotArea>
    </format>
    <format dxfId="174">
      <pivotArea dataOnly="0" outline="0" fieldPosition="0">
        <references count="3">
          <reference field="0" count="1" selected="0">
            <x v="3"/>
          </reference>
          <reference field="1" count="1">
            <x v="13"/>
          </reference>
          <reference field="26" count="1" selected="0">
            <x v="0"/>
          </reference>
        </references>
      </pivotArea>
    </format>
    <format dxfId="173">
      <pivotArea dataOnly="0" labelOnly="1" outline="0" offset="IV256" fieldPosition="0">
        <references count="1">
          <reference field="2" count="1">
            <x v="28"/>
          </reference>
        </references>
      </pivotArea>
    </format>
    <format dxfId="172">
      <pivotArea dataOnly="0" labelOnly="1" outline="0" offset="IV256" fieldPosition="0">
        <references count="1">
          <reference field="2" count="1">
            <x v="28"/>
          </reference>
        </references>
      </pivotArea>
    </format>
    <format dxfId="171">
      <pivotArea dataOnly="0" labelOnly="1" outline="0" offset="IV256" fieldPosition="0">
        <references count="1">
          <reference field="2" count="1">
            <x v="29"/>
          </reference>
        </references>
      </pivotArea>
    </format>
    <format dxfId="170">
      <pivotArea dataOnly="0" labelOnly="1" outline="0" offset="IV256" fieldPosition="0">
        <references count="1">
          <reference field="2" count="1">
            <x v="29"/>
          </reference>
        </references>
      </pivotArea>
    </format>
    <format dxfId="169">
      <pivotArea dataOnly="0" labelOnly="1" outline="0" offset="IV256" fieldPosition="0">
        <references count="1">
          <reference field="2" count="1">
            <x v="30"/>
          </reference>
        </references>
      </pivotArea>
    </format>
    <format dxfId="168">
      <pivotArea dataOnly="0" labelOnly="1" outline="0" offset="IV256" fieldPosition="0">
        <references count="1">
          <reference field="2" count="1">
            <x v="30"/>
          </reference>
        </references>
      </pivotArea>
    </format>
    <format dxfId="167">
      <pivotArea outline="0" collapsedLevelsAreSubtotals="1" fieldPosition="0"/>
    </format>
    <format dxfId="166">
      <pivotArea dataOnly="0" labelOnly="1" outline="0" fieldPosition="0">
        <references count="2">
          <reference field="1" count="4">
            <x v="6"/>
            <x v="7"/>
            <x v="8"/>
            <x v="13"/>
          </reference>
          <reference field="2" count="1" selected="0">
            <x v="28"/>
          </reference>
        </references>
      </pivotArea>
    </format>
    <format dxfId="165">
      <pivotArea dataOnly="0" labelOnly="1" outline="0" fieldPosition="0">
        <references count="2">
          <reference field="1" count="4">
            <x v="6"/>
            <x v="7"/>
            <x v="8"/>
            <x v="13"/>
          </reference>
          <reference field="2" count="1" selected="0">
            <x v="29"/>
          </reference>
        </references>
      </pivotArea>
    </format>
    <format dxfId="164">
      <pivotArea dataOnly="0" labelOnly="1" outline="0" fieldPosition="0">
        <references count="2">
          <reference field="1" count="4">
            <x v="6"/>
            <x v="7"/>
            <x v="8"/>
            <x v="13"/>
          </reference>
          <reference field="2" count="1" selected="0">
            <x v="30"/>
          </reference>
        </references>
      </pivotArea>
    </format>
    <format dxfId="163">
      <pivotArea dataOnly="0" labelOnly="1" outline="0" fieldPosition="0">
        <references count="2">
          <reference field="2" count="1" selected="0">
            <x v="28"/>
          </reference>
          <reference field="5" count="1">
            <x v="90"/>
          </reference>
        </references>
      </pivotArea>
    </format>
    <format dxfId="162">
      <pivotArea outline="0" fieldPosition="0">
        <references count="3">
          <reference field="1" count="1" selected="0">
            <x v="6"/>
          </reference>
          <reference field="2" count="1" selected="0">
            <x v="28"/>
          </reference>
          <reference field="5" count="1" selected="0">
            <x v="90"/>
          </reference>
        </references>
      </pivotArea>
    </format>
    <format dxfId="161">
      <pivotArea dataOnly="0" labelOnly="1" outline="0" fieldPosition="0">
        <references count="3">
          <reference field="1" count="1">
            <x v="6"/>
          </reference>
          <reference field="2" count="1" selected="0">
            <x v="28"/>
          </reference>
          <reference field="5" count="1" selected="0">
            <x v="90"/>
          </reference>
        </references>
      </pivotArea>
    </format>
    <format dxfId="160">
      <pivotArea dataOnly="0" labelOnly="1" outline="0" fieldPosition="0">
        <references count="2">
          <reference field="2" count="1" selected="0">
            <x v="28"/>
          </reference>
          <reference field="5" count="1">
            <x v="102"/>
          </reference>
        </references>
      </pivotArea>
    </format>
    <format dxfId="159">
      <pivotArea dataOnly="0" labelOnly="1" outline="0" fieldPosition="0">
        <references count="2">
          <reference field="2" count="1" selected="0">
            <x v="29"/>
          </reference>
          <reference field="5" count="1">
            <x v="102"/>
          </reference>
        </references>
      </pivotArea>
    </format>
    <format dxfId="158">
      <pivotArea dataOnly="0" labelOnly="1" outline="0" fieldPosition="0">
        <references count="2">
          <reference field="2" count="1" selected="0">
            <x v="30"/>
          </reference>
          <reference field="5" count="1">
            <x v="102"/>
          </reference>
        </references>
      </pivotArea>
    </format>
    <format dxfId="157">
      <pivotArea dataOnly="0" labelOnly="1" outline="0" fieldPosition="0">
        <references count="2">
          <reference field="2" count="1" selected="0">
            <x v="28"/>
          </reference>
          <reference field="5" count="1">
            <x v="102"/>
          </reference>
        </references>
      </pivotArea>
    </format>
    <format dxfId="156">
      <pivotArea dataOnly="0" labelOnly="1" outline="0" fieldPosition="0">
        <references count="2">
          <reference field="2" count="1" selected="0">
            <x v="29"/>
          </reference>
          <reference field="5" count="1">
            <x v="102"/>
          </reference>
        </references>
      </pivotArea>
    </format>
    <format dxfId="155">
      <pivotArea dataOnly="0" labelOnly="1" outline="0" fieldPosition="0">
        <references count="2">
          <reference field="2" count="1" selected="0">
            <x v="30"/>
          </reference>
          <reference field="5" count="1">
            <x v="102"/>
          </reference>
        </references>
      </pivotArea>
    </format>
    <format dxfId="154">
      <pivotArea dataOnly="0" labelOnly="1" outline="0" fieldPosition="0">
        <references count="2">
          <reference field="2" count="1" selected="0">
            <x v="28"/>
          </reference>
          <reference field="5" count="1">
            <x v="102"/>
          </reference>
        </references>
      </pivotArea>
    </format>
    <format dxfId="153">
      <pivotArea dataOnly="0" labelOnly="1" outline="0" fieldPosition="0">
        <references count="2">
          <reference field="2" count="1" selected="0">
            <x v="29"/>
          </reference>
          <reference field="5" count="1">
            <x v="102"/>
          </reference>
        </references>
      </pivotArea>
    </format>
    <format dxfId="152">
      <pivotArea dataOnly="0" labelOnly="1" outline="0" fieldPosition="0">
        <references count="2">
          <reference field="2" count="1" selected="0">
            <x v="30"/>
          </reference>
          <reference field="5" count="1">
            <x v="102"/>
          </reference>
        </references>
      </pivotArea>
    </format>
    <format dxfId="151">
      <pivotArea outline="0" fieldPosition="0">
        <references count="3">
          <reference field="1" count="1" selected="0">
            <x v="6"/>
          </reference>
          <reference field="2" count="1" selected="0">
            <x v="28"/>
          </reference>
          <reference field="5" count="1" selected="0">
            <x v="90"/>
          </reference>
        </references>
      </pivotArea>
    </format>
    <format dxfId="150">
      <pivotArea dataOnly="0" labelOnly="1" outline="0" fieldPosition="0">
        <references count="2">
          <reference field="2" count="1" selected="0">
            <x v="28"/>
          </reference>
          <reference field="5" count="1">
            <x v="90"/>
          </reference>
        </references>
      </pivotArea>
    </format>
    <format dxfId="149">
      <pivotArea dataOnly="0" labelOnly="1" outline="0" fieldPosition="0">
        <references count="3">
          <reference field="1" count="1">
            <x v="6"/>
          </reference>
          <reference field="2" count="1" selected="0">
            <x v="28"/>
          </reference>
          <reference field="5" count="1" selected="0">
            <x v="90"/>
          </reference>
        </references>
      </pivotArea>
    </format>
    <format dxfId="148">
      <pivotArea outline="0" fieldPosition="0">
        <references count="3">
          <reference field="1" count="1" selected="0">
            <x v="6"/>
          </reference>
          <reference field="2" count="1" selected="0">
            <x v="29"/>
          </reference>
          <reference field="5" count="1" selected="0">
            <x v="90"/>
          </reference>
        </references>
      </pivotArea>
    </format>
    <format dxfId="147">
      <pivotArea dataOnly="0" labelOnly="1" outline="0" fieldPosition="0">
        <references count="2">
          <reference field="2" count="1" selected="0">
            <x v="29"/>
          </reference>
          <reference field="5" count="1">
            <x v="90"/>
          </reference>
        </references>
      </pivotArea>
    </format>
    <format dxfId="146">
      <pivotArea dataOnly="0" labelOnly="1" outline="0" fieldPosition="0">
        <references count="3">
          <reference field="1" count="1">
            <x v="6"/>
          </reference>
          <reference field="2" count="1" selected="0">
            <x v="29"/>
          </reference>
          <reference field="5" count="1" selected="0">
            <x v="90"/>
          </reference>
        </references>
      </pivotArea>
    </format>
    <format dxfId="145">
      <pivotArea outline="0" fieldPosition="0">
        <references count="3">
          <reference field="1" count="1" selected="0">
            <x v="6"/>
          </reference>
          <reference field="2" count="1" selected="0">
            <x v="30"/>
          </reference>
          <reference field="5" count="1" selected="0">
            <x v="90"/>
          </reference>
        </references>
      </pivotArea>
    </format>
    <format dxfId="144">
      <pivotArea dataOnly="0" labelOnly="1" outline="0" fieldPosition="0">
        <references count="2">
          <reference field="2" count="1" selected="0">
            <x v="30"/>
          </reference>
          <reference field="5" count="1">
            <x v="90"/>
          </reference>
        </references>
      </pivotArea>
    </format>
    <format dxfId="143">
      <pivotArea dataOnly="0" labelOnly="1" outline="0" fieldPosition="0">
        <references count="3">
          <reference field="1" count="1">
            <x v="6"/>
          </reference>
          <reference field="2" count="1" selected="0">
            <x v="30"/>
          </reference>
          <reference field="5" count="1" selected="0">
            <x v="90"/>
          </reference>
        </references>
      </pivotArea>
    </format>
    <format dxfId="142">
      <pivotArea outline="0" fieldPosition="0">
        <references count="3">
          <reference field="1" count="1" selected="0">
            <x v="6"/>
          </reference>
          <reference field="2" count="1" selected="0">
            <x v="30"/>
          </reference>
          <reference field="5" count="1" selected="0">
            <x v="90"/>
          </reference>
        </references>
      </pivotArea>
    </format>
    <format dxfId="141">
      <pivotArea dataOnly="0" labelOnly="1" outline="0" fieldPosition="0">
        <references count="2">
          <reference field="2" count="1" selected="0">
            <x v="30"/>
          </reference>
          <reference field="5" count="1">
            <x v="90"/>
          </reference>
        </references>
      </pivotArea>
    </format>
    <format dxfId="140">
      <pivotArea dataOnly="0" labelOnly="1" outline="0" fieldPosition="0">
        <references count="3">
          <reference field="1" count="1">
            <x v="6"/>
          </reference>
          <reference field="2" count="1" selected="0">
            <x v="30"/>
          </reference>
          <reference field="5" count="1" selected="0">
            <x v="90"/>
          </reference>
        </references>
      </pivotArea>
    </format>
    <format dxfId="139">
      <pivotArea outline="0" fieldPosition="0">
        <references count="3">
          <reference field="1" count="1" selected="0">
            <x v="6"/>
          </reference>
          <reference field="2" count="1" selected="0">
            <x v="29"/>
          </reference>
          <reference field="5" count="1" selected="0">
            <x v="90"/>
          </reference>
        </references>
      </pivotArea>
    </format>
    <format dxfId="138">
      <pivotArea dataOnly="0" labelOnly="1" outline="0" fieldPosition="0">
        <references count="2">
          <reference field="2" count="1" selected="0">
            <x v="29"/>
          </reference>
          <reference field="5" count="1">
            <x v="90"/>
          </reference>
        </references>
      </pivotArea>
    </format>
    <format dxfId="137">
      <pivotArea dataOnly="0" labelOnly="1" outline="0" fieldPosition="0">
        <references count="3">
          <reference field="1" count="1">
            <x v="6"/>
          </reference>
          <reference field="2" count="1" selected="0">
            <x v="29"/>
          </reference>
          <reference field="5" count="1" selected="0">
            <x v="90"/>
          </reference>
        </references>
      </pivotArea>
    </format>
    <format dxfId="136">
      <pivotArea outline="0" fieldPosition="0">
        <references count="3">
          <reference field="1" count="1" selected="0">
            <x v="6"/>
          </reference>
          <reference field="2" count="1" selected="0">
            <x v="28"/>
          </reference>
          <reference field="5" count="1" selected="0">
            <x v="90"/>
          </reference>
        </references>
      </pivotArea>
    </format>
    <format dxfId="135">
      <pivotArea dataOnly="0" labelOnly="1" outline="0" fieldPosition="0">
        <references count="2">
          <reference field="2" count="1" selected="0">
            <x v="28"/>
          </reference>
          <reference field="5" count="1">
            <x v="90"/>
          </reference>
        </references>
      </pivotArea>
    </format>
    <format dxfId="134">
      <pivotArea dataOnly="0" labelOnly="1" outline="0" fieldPosition="0">
        <references count="3">
          <reference field="1" count="1">
            <x v="6"/>
          </reference>
          <reference field="2" count="1" selected="0">
            <x v="28"/>
          </reference>
          <reference field="5" count="1" selected="0">
            <x v="90"/>
          </reference>
        </references>
      </pivotArea>
    </format>
    <format dxfId="133">
      <pivotArea outline="0" fieldPosition="0">
        <references count="3">
          <reference field="1" count="1" selected="0">
            <x v="6"/>
          </reference>
          <reference field="2" count="1" selected="0">
            <x v="29"/>
          </reference>
          <reference field="5" count="1" selected="0">
            <x v="90"/>
          </reference>
        </references>
      </pivotArea>
    </format>
    <format dxfId="132">
      <pivotArea dataOnly="0" labelOnly="1" outline="0" fieldPosition="0">
        <references count="2">
          <reference field="2" count="1" selected="0">
            <x v="29"/>
          </reference>
          <reference field="5" count="1">
            <x v="90"/>
          </reference>
        </references>
      </pivotArea>
    </format>
    <format dxfId="131">
      <pivotArea dataOnly="0" labelOnly="1" outline="0" fieldPosition="0">
        <references count="3">
          <reference field="1" count="1">
            <x v="6"/>
          </reference>
          <reference field="2" count="1" selected="0">
            <x v="29"/>
          </reference>
          <reference field="5" count="1" selected="0">
            <x v="90"/>
          </reference>
        </references>
      </pivotArea>
    </format>
    <format dxfId="130">
      <pivotArea outline="0" fieldPosition="0">
        <references count="3">
          <reference field="1" count="1" selected="0">
            <x v="6"/>
          </reference>
          <reference field="2" count="1" selected="0">
            <x v="30"/>
          </reference>
          <reference field="5" count="1" selected="0">
            <x v="90"/>
          </reference>
        </references>
      </pivotArea>
    </format>
    <format dxfId="129">
      <pivotArea dataOnly="0" labelOnly="1" outline="0" fieldPosition="0">
        <references count="2">
          <reference field="2" count="1" selected="0">
            <x v="30"/>
          </reference>
          <reference field="5" count="1">
            <x v="90"/>
          </reference>
        </references>
      </pivotArea>
    </format>
    <format dxfId="128">
      <pivotArea dataOnly="0" labelOnly="1" outline="0" fieldPosition="0">
        <references count="3">
          <reference field="1" count="1">
            <x v="6"/>
          </reference>
          <reference field="2" count="1" selected="0">
            <x v="30"/>
          </reference>
          <reference field="5" count="1" selected="0">
            <x v="90"/>
          </reference>
        </references>
      </pivotArea>
    </format>
    <format dxfId="127">
      <pivotArea dataOnly="0" labelOnly="1" outline="0" fieldPosition="0">
        <references count="3">
          <reference field="1" count="1">
            <x v="6"/>
          </reference>
          <reference field="2" count="1" selected="0">
            <x v="28"/>
          </reference>
          <reference field="5" count="1" selected="0">
            <x v="87"/>
          </reference>
        </references>
      </pivotArea>
    </format>
    <format dxfId="126">
      <pivotArea dataOnly="0" labelOnly="1" outline="0" fieldPosition="0">
        <references count="3">
          <reference field="1" count="1">
            <x v="6"/>
          </reference>
          <reference field="2" count="1" selected="0">
            <x v="28"/>
          </reference>
          <reference field="5" count="1" selected="0">
            <x v="88"/>
          </reference>
        </references>
      </pivotArea>
    </format>
    <format dxfId="125">
      <pivotArea dataOnly="0" labelOnly="1" outline="0" fieldPosition="0">
        <references count="3">
          <reference field="1" count="1">
            <x v="6"/>
          </reference>
          <reference field="2" count="1" selected="0">
            <x v="28"/>
          </reference>
          <reference field="5" count="1" selected="0">
            <x v="89"/>
          </reference>
        </references>
      </pivotArea>
    </format>
    <format dxfId="124">
      <pivotArea dataOnly="0" labelOnly="1" outline="0" fieldPosition="0">
        <references count="3">
          <reference field="1" count="1">
            <x v="6"/>
          </reference>
          <reference field="2" count="1" selected="0">
            <x v="28"/>
          </reference>
          <reference field="5" count="1" selected="0">
            <x v="90"/>
          </reference>
        </references>
      </pivotArea>
    </format>
    <format dxfId="123">
      <pivotArea dataOnly="0" labelOnly="1" outline="0" fieldPosition="0">
        <references count="3">
          <reference field="1" count="1">
            <x v="7"/>
          </reference>
          <reference field="2" count="1" selected="0">
            <x v="28"/>
          </reference>
          <reference field="5" count="1" selected="0">
            <x v="91"/>
          </reference>
        </references>
      </pivotArea>
    </format>
    <format dxfId="122">
      <pivotArea dataOnly="0" labelOnly="1" outline="0" fieldPosition="0">
        <references count="3">
          <reference field="1" count="1">
            <x v="8"/>
          </reference>
          <reference field="2" count="1" selected="0">
            <x v="28"/>
          </reference>
          <reference field="5" count="1" selected="0">
            <x v="92"/>
          </reference>
        </references>
      </pivotArea>
    </format>
    <format dxfId="121">
      <pivotArea dataOnly="0" labelOnly="1" outline="0" fieldPosition="0">
        <references count="3">
          <reference field="1" count="1">
            <x v="13"/>
          </reference>
          <reference field="2" count="1" selected="0">
            <x v="28"/>
          </reference>
          <reference field="5" count="1" selected="0">
            <x v="102"/>
          </reference>
        </references>
      </pivotArea>
    </format>
    <format dxfId="120">
      <pivotArea dataOnly="0" labelOnly="1" outline="0" fieldPosition="0">
        <references count="3">
          <reference field="1" count="1">
            <x v="6"/>
          </reference>
          <reference field="2" count="1" selected="0">
            <x v="29"/>
          </reference>
          <reference field="5" count="1" selected="0">
            <x v="87"/>
          </reference>
        </references>
      </pivotArea>
    </format>
    <format dxfId="119">
      <pivotArea dataOnly="0" labelOnly="1" outline="0" fieldPosition="0">
        <references count="3">
          <reference field="1" count="1">
            <x v="6"/>
          </reference>
          <reference field="2" count="1" selected="0">
            <x v="29"/>
          </reference>
          <reference field="5" count="1" selected="0">
            <x v="88"/>
          </reference>
        </references>
      </pivotArea>
    </format>
    <format dxfId="118">
      <pivotArea dataOnly="0" labelOnly="1" outline="0" fieldPosition="0">
        <references count="3">
          <reference field="1" count="1">
            <x v="6"/>
          </reference>
          <reference field="2" count="1" selected="0">
            <x v="29"/>
          </reference>
          <reference field="5" count="1" selected="0">
            <x v="89"/>
          </reference>
        </references>
      </pivotArea>
    </format>
    <format dxfId="117">
      <pivotArea dataOnly="0" labelOnly="1" outline="0" fieldPosition="0">
        <references count="3">
          <reference field="1" count="1">
            <x v="6"/>
          </reference>
          <reference field="2" count="1" selected="0">
            <x v="29"/>
          </reference>
          <reference field="5" count="1" selected="0">
            <x v="90"/>
          </reference>
        </references>
      </pivotArea>
    </format>
    <format dxfId="116">
      <pivotArea dataOnly="0" labelOnly="1" outline="0" fieldPosition="0">
        <references count="3">
          <reference field="1" count="1">
            <x v="7"/>
          </reference>
          <reference field="2" count="1" selected="0">
            <x v="29"/>
          </reference>
          <reference field="5" count="1" selected="0">
            <x v="91"/>
          </reference>
        </references>
      </pivotArea>
    </format>
    <format dxfId="115">
      <pivotArea dataOnly="0" labelOnly="1" outline="0" fieldPosition="0">
        <references count="3">
          <reference field="1" count="1">
            <x v="8"/>
          </reference>
          <reference field="2" count="1" selected="0">
            <x v="29"/>
          </reference>
          <reference field="5" count="1" selected="0">
            <x v="92"/>
          </reference>
        </references>
      </pivotArea>
    </format>
    <format dxfId="114">
      <pivotArea dataOnly="0" labelOnly="1" outline="0" fieldPosition="0">
        <references count="3">
          <reference field="1" count="1">
            <x v="13"/>
          </reference>
          <reference field="2" count="1" selected="0">
            <x v="29"/>
          </reference>
          <reference field="5" count="1" selected="0">
            <x v="102"/>
          </reference>
        </references>
      </pivotArea>
    </format>
    <format dxfId="113">
      <pivotArea dataOnly="0" labelOnly="1" outline="0" fieldPosition="0">
        <references count="3">
          <reference field="1" count="1">
            <x v="6"/>
          </reference>
          <reference field="2" count="1" selected="0">
            <x v="30"/>
          </reference>
          <reference field="5" count="1" selected="0">
            <x v="87"/>
          </reference>
        </references>
      </pivotArea>
    </format>
    <format dxfId="112">
      <pivotArea dataOnly="0" labelOnly="1" outline="0" fieldPosition="0">
        <references count="3">
          <reference field="1" count="1">
            <x v="6"/>
          </reference>
          <reference field="2" count="1" selected="0">
            <x v="30"/>
          </reference>
          <reference field="5" count="1" selected="0">
            <x v="88"/>
          </reference>
        </references>
      </pivotArea>
    </format>
    <format dxfId="111">
      <pivotArea dataOnly="0" labelOnly="1" outline="0" fieldPosition="0">
        <references count="3">
          <reference field="1" count="1">
            <x v="6"/>
          </reference>
          <reference field="2" count="1" selected="0">
            <x v="30"/>
          </reference>
          <reference field="5" count="1" selected="0">
            <x v="89"/>
          </reference>
        </references>
      </pivotArea>
    </format>
    <format dxfId="110">
      <pivotArea dataOnly="0" labelOnly="1" outline="0" fieldPosition="0">
        <references count="3">
          <reference field="1" count="1">
            <x v="6"/>
          </reference>
          <reference field="2" count="1" selected="0">
            <x v="30"/>
          </reference>
          <reference field="5" count="1" selected="0">
            <x v="90"/>
          </reference>
        </references>
      </pivotArea>
    </format>
    <format dxfId="109">
      <pivotArea dataOnly="0" labelOnly="1" outline="0" fieldPosition="0">
        <references count="3">
          <reference field="1" count="1">
            <x v="7"/>
          </reference>
          <reference field="2" count="1" selected="0">
            <x v="30"/>
          </reference>
          <reference field="5" count="1" selected="0">
            <x v="91"/>
          </reference>
        </references>
      </pivotArea>
    </format>
    <format dxfId="108">
      <pivotArea dataOnly="0" labelOnly="1" outline="0" fieldPosition="0">
        <references count="3">
          <reference field="1" count="1">
            <x v="8"/>
          </reference>
          <reference field="2" count="1" selected="0">
            <x v="30"/>
          </reference>
          <reference field="5" count="1" selected="0">
            <x v="92"/>
          </reference>
        </references>
      </pivotArea>
    </format>
    <format dxfId="107">
      <pivotArea dataOnly="0" labelOnly="1" outline="0" fieldPosition="0">
        <references count="3">
          <reference field="1" count="1">
            <x v="13"/>
          </reference>
          <reference field="2" count="1" selected="0">
            <x v="30"/>
          </reference>
          <reference field="5" count="1" selected="0">
            <x v="102"/>
          </reference>
        </references>
      </pivotArea>
    </format>
    <format dxfId="106">
      <pivotArea outline="0" fieldPosition="0">
        <references count="4">
          <reference field="4294967294" count="1" selected="0">
            <x v="7"/>
          </reference>
          <reference field="1" count="1" selected="0">
            <x v="6"/>
          </reference>
          <reference field="2" count="1" selected="0">
            <x v="28"/>
          </reference>
          <reference field="5" count="1" selected="0">
            <x v="90"/>
          </reference>
        </references>
      </pivotArea>
    </format>
    <format dxfId="105">
      <pivotArea outline="0" fieldPosition="0">
        <references count="4">
          <reference field="4294967294" count="1" selected="0">
            <x v="7"/>
          </reference>
          <reference field="1" count="1" selected="0">
            <x v="6"/>
          </reference>
          <reference field="2" count="1" selected="0">
            <x v="29"/>
          </reference>
          <reference field="5" count="1" selected="0">
            <x v="90"/>
          </reference>
        </references>
      </pivotArea>
    </format>
    <format dxfId="104">
      <pivotArea outline="0" fieldPosition="0">
        <references count="4">
          <reference field="4294967294" count="1" selected="0">
            <x v="7"/>
          </reference>
          <reference field="1" count="1" selected="0">
            <x v="6"/>
          </reference>
          <reference field="2" count="1" selected="0">
            <x v="30"/>
          </reference>
          <reference field="5" count="1" selected="0">
            <x v="90"/>
          </reference>
        </references>
      </pivotArea>
    </format>
    <format dxfId="103">
      <pivotArea dataOnly="0" labelOnly="1" outline="0" fieldPosition="0">
        <references count="2">
          <reference field="2" count="1" selected="0">
            <x v="30"/>
          </reference>
          <reference field="5" count="1">
            <x v="90"/>
          </reference>
        </references>
      </pivotArea>
    </format>
    <format dxfId="102">
      <pivotArea dataOnly="0" labelOnly="1" outline="0" fieldPosition="0">
        <references count="2">
          <reference field="2" count="1" selected="0">
            <x v="29"/>
          </reference>
          <reference field="5" count="1">
            <x v="90"/>
          </reference>
        </references>
      </pivotArea>
    </format>
    <format dxfId="101">
      <pivotArea dataOnly="0" labelOnly="1" outline="0" fieldPosition="0">
        <references count="2">
          <reference field="2" count="1" selected="0">
            <x v="28"/>
          </reference>
          <reference field="5" count="1">
            <x v="90"/>
          </reference>
        </references>
      </pivotArea>
    </format>
    <format dxfId="100">
      <pivotArea outline="0" fieldPosition="0">
        <references count="1">
          <reference field="4294967294" count="1" selected="0">
            <x v="0"/>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F2B4FDA-AEE5-4553-B0CB-865811D1D7A2}" name="PivotTableFinanceData4" cacheId="3" applyNumberFormats="0" applyBorderFormats="0" applyFontFormats="0" applyPatternFormats="0" applyAlignmentFormats="0" applyWidthHeightFormats="1" dataCaption="Values" updatedVersion="8" minRefreshableVersion="3" colGrandTotals="0" itemPrintTitles="1" createdVersion="8" indent="0" compact="0" compactData="0" multipleFieldFilters="0">
  <location ref="D529:N540"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Row"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35"/>
        <item x="3"/>
        <item x="5"/>
        <item x="6"/>
        <item x="7"/>
        <item x="8"/>
        <item x="9"/>
        <item x="10"/>
        <item x="11"/>
        <item x="13"/>
        <item x="14"/>
        <item x="15"/>
        <item x="1"/>
        <item x="2"/>
        <item x="4"/>
        <item x="12"/>
        <item x="16"/>
        <item x="17"/>
        <item x="18"/>
        <item x="19"/>
        <item x="20"/>
        <item x="21"/>
        <item x="22"/>
        <item x="23"/>
        <item x="24"/>
        <item x="25"/>
        <item x="26"/>
        <item x="27"/>
        <item x="28"/>
        <item x="30"/>
        <item x="31"/>
        <item x="32"/>
        <item x="36"/>
        <item x="37"/>
        <item x="38"/>
        <item x="40"/>
        <item x="41"/>
        <item x="42"/>
        <item x="43"/>
        <item x="44"/>
        <item x="45"/>
        <item x="46"/>
        <item x="47"/>
        <item x="48"/>
        <item x="49"/>
        <item x="50"/>
        <item x="51"/>
        <item x="52"/>
        <item x="53"/>
        <item x="39"/>
        <item x="33"/>
        <item x="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items count="30">
        <item x="18"/>
        <item x="23"/>
        <item x="20"/>
        <item x="16"/>
        <item x="19"/>
        <item x="17"/>
        <item x="2"/>
        <item x="0"/>
        <item x="1"/>
        <item x="15"/>
        <item x="21"/>
        <item x="22"/>
        <item x="26"/>
        <item x="27"/>
        <item x="28"/>
        <item x="3"/>
        <item x="5"/>
        <item x="6"/>
        <item x="7"/>
        <item x="8"/>
        <item x="9"/>
        <item x="10"/>
        <item x="11"/>
        <item x="12"/>
        <item x="13"/>
        <item x="14"/>
        <item x="24"/>
        <item x="25"/>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1"/>
    <field x="2"/>
    <field x="6"/>
  </rowFields>
  <rowItems count="11">
    <i>
      <x v="5"/>
      <x v="19"/>
      <x v="16"/>
    </i>
    <i r="2">
      <x v="17"/>
    </i>
    <i r="2">
      <x v="18"/>
    </i>
    <i r="2">
      <x v="19"/>
    </i>
    <i r="2">
      <x v="20"/>
    </i>
    <i r="2">
      <x v="21"/>
    </i>
    <i r="2">
      <x v="22"/>
    </i>
    <i r="2">
      <x v="23"/>
    </i>
    <i r="2">
      <x v="24"/>
    </i>
    <i r="2">
      <x v="25"/>
    </i>
    <i t="grand">
      <x/>
    </i>
  </rowItems>
  <colFields count="1">
    <field x="-2"/>
  </colFields>
  <colItems count="8">
    <i>
      <x/>
    </i>
    <i i="1">
      <x v="1"/>
    </i>
    <i i="2">
      <x v="2"/>
    </i>
    <i i="3">
      <x v="3"/>
    </i>
    <i i="4">
      <x v="4"/>
    </i>
    <i i="5">
      <x v="5"/>
    </i>
    <i i="6">
      <x v="6"/>
    </i>
    <i i="7">
      <x v="7"/>
    </i>
  </colItems>
  <pageFields count="3">
    <pageField fld="0" item="2" hier="-1"/>
    <pageField fld="26" item="1"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52">
    <format dxfId="276">
      <pivotArea type="all" dataOnly="0" outline="0" fieldPosition="0"/>
    </format>
    <format dxfId="275">
      <pivotArea outline="0" collapsedLevelsAreSubtotals="1" fieldPosition="0"/>
    </format>
    <format dxfId="274">
      <pivotArea field="1" type="button" dataOnly="0" labelOnly="1" outline="0" axis="axisRow" fieldPosition="0"/>
    </format>
    <format dxfId="273">
      <pivotArea field="2" type="button" dataOnly="0" labelOnly="1" outline="0" axis="axisRow" fieldPosition="1"/>
    </format>
    <format dxfId="272">
      <pivotArea dataOnly="0" labelOnly="1" grandRow="1" outline="0" fieldPosition="0"/>
    </format>
    <format dxfId="271">
      <pivotArea type="all" dataOnly="0" outline="0" fieldPosition="0"/>
    </format>
    <format dxfId="270">
      <pivotArea outline="0" collapsedLevelsAreSubtotals="1" fieldPosition="0"/>
    </format>
    <format dxfId="269">
      <pivotArea field="1" type="button" dataOnly="0" labelOnly="1" outline="0" axis="axisRow" fieldPosition="0"/>
    </format>
    <format dxfId="268">
      <pivotArea field="2" type="button" dataOnly="0" labelOnly="1" outline="0" axis="axisRow" fieldPosition="1"/>
    </format>
    <format dxfId="267">
      <pivotArea type="all" dataOnly="0" outline="0" fieldPosition="0"/>
    </format>
    <format dxfId="266">
      <pivotArea outline="0" collapsedLevelsAreSubtotals="1" fieldPosition="0"/>
    </format>
    <format dxfId="265">
      <pivotArea field="1" type="button" dataOnly="0" labelOnly="1" outline="0" axis="axisRow" fieldPosition="0"/>
    </format>
    <format dxfId="264">
      <pivotArea field="2" type="button" dataOnly="0" labelOnly="1" outline="0" axis="axisRow" fieldPosition="1"/>
    </format>
    <format dxfId="263">
      <pivotArea field="4" type="button" dataOnly="0" labelOnly="1" outline="0"/>
    </format>
    <format dxfId="262">
      <pivotArea dataOnly="0" labelOnly="1" outline="0" fieldPosition="0">
        <references count="2">
          <reference field="0" count="1" selected="0">
            <x v="1"/>
          </reference>
          <reference field="26" count="1">
            <x v="0"/>
          </reference>
        </references>
      </pivotArea>
    </format>
    <format dxfId="261">
      <pivotArea dataOnly="0" labelOnly="1" outline="0" fieldPosition="0">
        <references count="2">
          <reference field="0" count="1">
            <x v="1"/>
          </reference>
          <reference field="26" count="1" selected="0">
            <x v="0"/>
          </reference>
        </references>
      </pivotArea>
    </format>
    <format dxfId="260">
      <pivotArea outline="0" fieldPosition="0">
        <references count="1">
          <reference field="4294967294" count="1">
            <x v="0"/>
          </reference>
        </references>
      </pivotArea>
    </format>
    <format dxfId="259">
      <pivotArea outline="0" fieldPosition="0">
        <references count="1">
          <reference field="4294967294" count="1">
            <x v="1"/>
          </reference>
        </references>
      </pivotArea>
    </format>
    <format dxfId="258">
      <pivotArea outline="0" fieldPosition="0">
        <references count="1">
          <reference field="4294967294" count="1">
            <x v="2"/>
          </reference>
        </references>
      </pivotArea>
    </format>
    <format dxfId="257">
      <pivotArea outline="0" fieldPosition="0">
        <references count="1">
          <reference field="4294967294" count="1">
            <x v="3"/>
          </reference>
        </references>
      </pivotArea>
    </format>
    <format dxfId="256">
      <pivotArea outline="0" fieldPosition="0">
        <references count="1">
          <reference field="4294967294" count="1">
            <x v="4"/>
          </reference>
        </references>
      </pivotArea>
    </format>
    <format dxfId="255">
      <pivotArea outline="0" fieldPosition="0">
        <references count="1">
          <reference field="4294967294" count="1">
            <x v="5"/>
          </reference>
        </references>
      </pivotArea>
    </format>
    <format dxfId="254">
      <pivotArea outline="0" fieldPosition="0">
        <references count="1">
          <reference field="4294967294" count="1">
            <x v="6"/>
          </reference>
        </references>
      </pivotArea>
    </format>
    <format dxfId="253">
      <pivotArea outline="0" fieldPosition="0">
        <references count="1">
          <reference field="4294967294" count="1">
            <x v="7"/>
          </reference>
        </references>
      </pivotArea>
    </format>
    <format dxfId="252">
      <pivotArea dataOnly="0" labelOnly="1" outline="0" fieldPosition="0">
        <references count="1">
          <reference field="4294967294" count="1">
            <x v="0"/>
          </reference>
        </references>
      </pivotArea>
    </format>
    <format dxfId="251">
      <pivotArea dataOnly="0" labelOnly="1" outline="0" fieldPosition="0">
        <references count="1">
          <reference field="4294967294" count="1">
            <x v="0"/>
          </reference>
        </references>
      </pivotArea>
    </format>
    <format dxfId="250">
      <pivotArea dataOnly="0" labelOnly="1" outline="0" fieldPosition="0">
        <references count="1">
          <reference field="4294967294" count="1">
            <x v="0"/>
          </reference>
        </references>
      </pivotArea>
    </format>
    <format dxfId="249">
      <pivotArea dataOnly="0" labelOnly="1" outline="0" fieldPosition="0">
        <references count="1">
          <reference field="4294967294" count="1">
            <x v="1"/>
          </reference>
        </references>
      </pivotArea>
    </format>
    <format dxfId="248">
      <pivotArea dataOnly="0" labelOnly="1" outline="0" fieldPosition="0">
        <references count="1">
          <reference field="4294967294" count="1">
            <x v="2"/>
          </reference>
        </references>
      </pivotArea>
    </format>
    <format dxfId="247">
      <pivotArea dataOnly="0" labelOnly="1" outline="0" fieldPosition="0">
        <references count="1">
          <reference field="4294967294" count="1">
            <x v="3"/>
          </reference>
        </references>
      </pivotArea>
    </format>
    <format dxfId="246">
      <pivotArea dataOnly="0" labelOnly="1" outline="0" fieldPosition="0">
        <references count="1">
          <reference field="4294967294" count="1">
            <x v="4"/>
          </reference>
        </references>
      </pivotArea>
    </format>
    <format dxfId="245">
      <pivotArea dataOnly="0" labelOnly="1" outline="0" fieldPosition="0">
        <references count="1">
          <reference field="4294967294" count="1">
            <x v="5"/>
          </reference>
        </references>
      </pivotArea>
    </format>
    <format dxfId="244">
      <pivotArea dataOnly="0" labelOnly="1" outline="0" fieldPosition="0">
        <references count="1">
          <reference field="4294967294" count="1">
            <x v="6"/>
          </reference>
        </references>
      </pivotArea>
    </format>
    <format dxfId="243">
      <pivotArea dataOnly="0" labelOnly="1" outline="0" fieldPosition="0">
        <references count="1">
          <reference field="4294967294" count="1">
            <x v="7"/>
          </reference>
        </references>
      </pivotArea>
    </format>
    <format dxfId="242">
      <pivotArea field="4" type="button" dataOnly="0" labelOnly="1" outline="0"/>
    </format>
    <format dxfId="241">
      <pivotArea field="2" type="button" dataOnly="0" labelOnly="1" outline="0" axis="axisRow" fieldPosition="1"/>
    </format>
    <format dxfId="240">
      <pivotArea field="1" type="button" dataOnly="0" labelOnly="1" outline="0" axis="axisRow" fieldPosition="0"/>
    </format>
    <format dxfId="239">
      <pivotArea dataOnly="0" outline="0" fieldPosition="0">
        <references count="3">
          <reference field="0" count="1" selected="0">
            <x v="1"/>
          </reference>
          <reference field="2" count="3">
            <x v="11"/>
            <x v="12"/>
            <x v="13"/>
          </reference>
          <reference field="26" count="1" selected="0">
            <x v="0"/>
          </reference>
        </references>
      </pivotArea>
    </format>
    <format dxfId="238">
      <pivotArea dataOnly="0" outline="0" fieldPosition="0">
        <references count="3">
          <reference field="0" count="1" selected="0">
            <x v="1"/>
          </reference>
          <reference field="2" count="3">
            <x v="11"/>
            <x v="12"/>
            <x v="13"/>
          </reference>
          <reference field="26" count="1" selected="0">
            <x v="0"/>
          </reference>
        </references>
      </pivotArea>
    </format>
    <format dxfId="237">
      <pivotArea dataOnly="0" outline="0" fieldPosition="0">
        <references count="3">
          <reference field="0" count="1" selected="0">
            <x v="1"/>
          </reference>
          <reference field="2" count="3">
            <x v="11"/>
            <x v="12"/>
            <x v="13"/>
          </reference>
          <reference field="26" count="1" selected="0">
            <x v="0"/>
          </reference>
        </references>
      </pivotArea>
    </format>
    <format dxfId="236">
      <pivotArea dataOnly="0" labelOnly="1" outline="0" fieldPosition="0">
        <references count="2">
          <reference field="0" count="1">
            <x v="2"/>
          </reference>
          <reference field="26" count="1" selected="0">
            <x v="0"/>
          </reference>
        </references>
      </pivotArea>
    </format>
    <format dxfId="235">
      <pivotArea dataOnly="0" labelOnly="1" outline="0" fieldPosition="0">
        <references count="2">
          <reference field="0" count="1" selected="0">
            <x v="2"/>
          </reference>
          <reference field="26" count="1">
            <x v="0"/>
          </reference>
        </references>
      </pivotArea>
    </format>
    <format dxfId="234">
      <pivotArea outline="0" fieldPosition="0">
        <references count="2">
          <reference field="1" count="1" selected="0">
            <x v="5"/>
          </reference>
          <reference field="2" count="1" selected="0">
            <x v="27"/>
          </reference>
        </references>
      </pivotArea>
    </format>
    <format dxfId="233">
      <pivotArea outline="0" fieldPosition="0">
        <references count="2">
          <reference field="1" count="1" selected="0">
            <x v="5"/>
          </reference>
          <reference field="2" count="1" selected="0">
            <x v="27"/>
          </reference>
        </references>
      </pivotArea>
    </format>
    <format dxfId="232">
      <pivotArea dataOnly="0" labelOnly="1" outline="0" fieldPosition="0">
        <references count="2">
          <reference field="1" count="1" selected="0">
            <x v="5"/>
          </reference>
          <reference field="2" count="1">
            <x v="27"/>
          </reference>
        </references>
      </pivotArea>
    </format>
    <format dxfId="231">
      <pivotArea dataOnly="0" labelOnly="1" outline="0" fieldPosition="0">
        <references count="2">
          <reference field="1" count="1" selected="0">
            <x v="5"/>
          </reference>
          <reference field="2" count="1">
            <x v="27"/>
          </reference>
        </references>
      </pivotArea>
    </format>
    <format dxfId="230">
      <pivotArea dataOnly="0" labelOnly="1" outline="0" fieldPosition="0">
        <references count="2">
          <reference field="0" count="1">
            <x v="2"/>
          </reference>
          <reference field="26" count="1" selected="0">
            <x v="1"/>
          </reference>
        </references>
      </pivotArea>
    </format>
    <format dxfId="229">
      <pivotArea dataOnly="0" labelOnly="1" outline="0" fieldPosition="0">
        <references count="2">
          <reference field="0" count="1" selected="0">
            <x v="2"/>
          </reference>
          <reference field="26" count="1">
            <x v="1"/>
          </reference>
        </references>
      </pivotArea>
    </format>
    <format dxfId="228">
      <pivotArea outline="0" collapsedLevelsAreSubtotals="1" fieldPosition="0"/>
    </format>
    <format dxfId="227">
      <pivotArea grandRow="1" outline="0" collapsedLevelsAreSubtotals="1" fieldPosition="0"/>
    </format>
    <format dxfId="226">
      <pivotArea dataOnly="0" labelOnly="1" grandRow="1" outline="0" fieldPosition="0"/>
    </format>
    <format dxfId="225">
      <pivotArea field="1" grandRow="1" outline="0" axis="axisRow" fieldPosition="0">
        <references count="1">
          <reference field="4294967294" count="1" selected="0">
            <x v="0"/>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9DCC161-4C03-4B5F-BC2E-101F83236599}" name="PivotTableFinanceData6"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729:N733"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Row"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13"/>
        <item x="15"/>
        <item x="27"/>
        <item x="35"/>
        <item x="1"/>
        <item x="2"/>
        <item x="3"/>
        <item x="4"/>
        <item x="5"/>
        <item x="6"/>
        <item x="7"/>
        <item x="8"/>
        <item x="9"/>
        <item x="10"/>
        <item x="11"/>
        <item x="14"/>
        <item x="12"/>
        <item x="16"/>
        <item x="17"/>
        <item x="18"/>
        <item x="19"/>
        <item x="20"/>
        <item x="21"/>
        <item x="22"/>
        <item x="23"/>
        <item x="24"/>
        <item x="25"/>
        <item x="26"/>
        <item x="28"/>
        <item x="30"/>
        <item x="31"/>
        <item x="32"/>
        <item x="36"/>
        <item x="37"/>
        <item x="38"/>
        <item x="39"/>
        <item x="40"/>
        <item x="41"/>
        <item x="42"/>
        <item x="43"/>
        <item x="44"/>
        <item x="45"/>
        <item x="46"/>
        <item x="47"/>
        <item x="48"/>
        <item x="49"/>
        <item x="50"/>
        <item x="51"/>
        <item x="52"/>
        <item x="53"/>
        <item x="33"/>
        <item x="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2"/>
    <field x="1"/>
    <field x="4"/>
  </rowFields>
  <rowItems count="4">
    <i>
      <x v="1"/>
      <x v="9"/>
      <x v="4"/>
    </i>
    <i>
      <x v="31"/>
      <x v="9"/>
      <x v="4"/>
    </i>
    <i>
      <x v="32"/>
      <x v="9"/>
      <x v="4"/>
    </i>
    <i>
      <x v="33"/>
      <x v="9"/>
      <x v="4"/>
    </i>
  </rowItems>
  <colFields count="1">
    <field x="-2"/>
  </colFields>
  <colItems count="8">
    <i>
      <x/>
    </i>
    <i i="1">
      <x v="1"/>
    </i>
    <i i="2">
      <x v="2"/>
    </i>
    <i i="3">
      <x v="3"/>
    </i>
    <i i="4">
      <x v="4"/>
    </i>
    <i i="5">
      <x v="5"/>
    </i>
    <i i="6">
      <x v="6"/>
    </i>
    <i i="7">
      <x v="7"/>
    </i>
  </colItems>
  <pageFields count="3">
    <pageField fld="0" item="4" hier="-1"/>
    <pageField fld="26" item="0"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86">
    <format dxfId="362">
      <pivotArea type="all" dataOnly="0" outline="0" fieldPosition="0"/>
    </format>
    <format dxfId="361">
      <pivotArea outline="0" collapsedLevelsAreSubtotals="1" fieldPosition="0"/>
    </format>
    <format dxfId="360">
      <pivotArea field="1" type="button" dataOnly="0" labelOnly="1" outline="0" axis="axisRow" fieldPosition="1"/>
    </format>
    <format dxfId="359">
      <pivotArea field="2" type="button" dataOnly="0" labelOnly="1" outline="0" axis="axisRow" fieldPosition="0"/>
    </format>
    <format dxfId="358">
      <pivotArea dataOnly="0" labelOnly="1" grandRow="1" outline="0" fieldPosition="0"/>
    </format>
    <format dxfId="357">
      <pivotArea type="all" dataOnly="0" outline="0" fieldPosition="0"/>
    </format>
    <format dxfId="356">
      <pivotArea outline="0" collapsedLevelsAreSubtotals="1" fieldPosition="0"/>
    </format>
    <format dxfId="355">
      <pivotArea field="1" type="button" dataOnly="0" labelOnly="1" outline="0" axis="axisRow" fieldPosition="1"/>
    </format>
    <format dxfId="354">
      <pivotArea field="2" type="button" dataOnly="0" labelOnly="1" outline="0" axis="axisRow" fieldPosition="0"/>
    </format>
    <format dxfId="353">
      <pivotArea type="all" dataOnly="0" outline="0" fieldPosition="0"/>
    </format>
    <format dxfId="352">
      <pivotArea outline="0" collapsedLevelsAreSubtotals="1" fieldPosition="0"/>
    </format>
    <format dxfId="351">
      <pivotArea field="1" type="button" dataOnly="0" labelOnly="1" outline="0" axis="axisRow" fieldPosition="1"/>
    </format>
    <format dxfId="350">
      <pivotArea field="2" type="button" dataOnly="0" labelOnly="1" outline="0" axis="axisRow" fieldPosition="0"/>
    </format>
    <format dxfId="349">
      <pivotArea field="4" type="button" dataOnly="0" labelOnly="1" outline="0" axis="axisRow" fieldPosition="2"/>
    </format>
    <format dxfId="348">
      <pivotArea dataOnly="0" labelOnly="1" outline="0" fieldPosition="0">
        <references count="2">
          <reference field="0" count="1" selected="0">
            <x v="1"/>
          </reference>
          <reference field="26" count="1">
            <x v="0"/>
          </reference>
        </references>
      </pivotArea>
    </format>
    <format dxfId="347">
      <pivotArea dataOnly="0" labelOnly="1" outline="0" fieldPosition="0">
        <references count="2">
          <reference field="0" count="1">
            <x v="1"/>
          </reference>
          <reference field="26" count="1" selected="0">
            <x v="0"/>
          </reference>
        </references>
      </pivotArea>
    </format>
    <format dxfId="346">
      <pivotArea outline="0" fieldPosition="0">
        <references count="1">
          <reference field="4294967294" count="1">
            <x v="0"/>
          </reference>
        </references>
      </pivotArea>
    </format>
    <format dxfId="345">
      <pivotArea outline="0" fieldPosition="0">
        <references count="1">
          <reference field="4294967294" count="1">
            <x v="1"/>
          </reference>
        </references>
      </pivotArea>
    </format>
    <format dxfId="344">
      <pivotArea outline="0" fieldPosition="0">
        <references count="1">
          <reference field="4294967294" count="1">
            <x v="2"/>
          </reference>
        </references>
      </pivotArea>
    </format>
    <format dxfId="343">
      <pivotArea outline="0" fieldPosition="0">
        <references count="1">
          <reference field="4294967294" count="1">
            <x v="3"/>
          </reference>
        </references>
      </pivotArea>
    </format>
    <format dxfId="342">
      <pivotArea outline="0" fieldPosition="0">
        <references count="1">
          <reference field="4294967294" count="1">
            <x v="4"/>
          </reference>
        </references>
      </pivotArea>
    </format>
    <format dxfId="341">
      <pivotArea outline="0" fieldPosition="0">
        <references count="1">
          <reference field="4294967294" count="1">
            <x v="5"/>
          </reference>
        </references>
      </pivotArea>
    </format>
    <format dxfId="340">
      <pivotArea outline="0" fieldPosition="0">
        <references count="1">
          <reference field="4294967294" count="1">
            <x v="6"/>
          </reference>
        </references>
      </pivotArea>
    </format>
    <format dxfId="339">
      <pivotArea outline="0" fieldPosition="0">
        <references count="1">
          <reference field="4294967294" count="1">
            <x v="7"/>
          </reference>
        </references>
      </pivotArea>
    </format>
    <format dxfId="338">
      <pivotArea dataOnly="0" labelOnly="1" outline="0" fieldPosition="0">
        <references count="1">
          <reference field="4294967294" count="1">
            <x v="0"/>
          </reference>
        </references>
      </pivotArea>
    </format>
    <format dxfId="337">
      <pivotArea dataOnly="0" labelOnly="1" outline="0" fieldPosition="0">
        <references count="1">
          <reference field="4294967294" count="1">
            <x v="0"/>
          </reference>
        </references>
      </pivotArea>
    </format>
    <format dxfId="336">
      <pivotArea dataOnly="0" labelOnly="1" outline="0" fieldPosition="0">
        <references count="1">
          <reference field="4294967294" count="1">
            <x v="0"/>
          </reference>
        </references>
      </pivotArea>
    </format>
    <format dxfId="335">
      <pivotArea dataOnly="0" labelOnly="1" outline="0" fieldPosition="0">
        <references count="1">
          <reference field="4294967294" count="1">
            <x v="1"/>
          </reference>
        </references>
      </pivotArea>
    </format>
    <format dxfId="334">
      <pivotArea dataOnly="0" labelOnly="1" outline="0" fieldPosition="0">
        <references count="1">
          <reference field="4294967294" count="1">
            <x v="2"/>
          </reference>
        </references>
      </pivotArea>
    </format>
    <format dxfId="333">
      <pivotArea dataOnly="0" labelOnly="1" outline="0" fieldPosition="0">
        <references count="1">
          <reference field="4294967294" count="1">
            <x v="3"/>
          </reference>
        </references>
      </pivotArea>
    </format>
    <format dxfId="332">
      <pivotArea dataOnly="0" labelOnly="1" outline="0" fieldPosition="0">
        <references count="1">
          <reference field="4294967294" count="1">
            <x v="4"/>
          </reference>
        </references>
      </pivotArea>
    </format>
    <format dxfId="331">
      <pivotArea dataOnly="0" labelOnly="1" outline="0" fieldPosition="0">
        <references count="1">
          <reference field="4294967294" count="1">
            <x v="5"/>
          </reference>
        </references>
      </pivotArea>
    </format>
    <format dxfId="330">
      <pivotArea dataOnly="0" labelOnly="1" outline="0" fieldPosition="0">
        <references count="1">
          <reference field="4294967294" count="1">
            <x v="6"/>
          </reference>
        </references>
      </pivotArea>
    </format>
    <format dxfId="329">
      <pivotArea dataOnly="0" labelOnly="1" outline="0" fieldPosition="0">
        <references count="1">
          <reference field="4294967294" count="1">
            <x v="7"/>
          </reference>
        </references>
      </pivotArea>
    </format>
    <format dxfId="328">
      <pivotArea field="4" type="button" dataOnly="0" labelOnly="1" outline="0" axis="axisRow" fieldPosition="2"/>
    </format>
    <format dxfId="327">
      <pivotArea field="2" type="button" dataOnly="0" labelOnly="1" outline="0" axis="axisRow" fieldPosition="0"/>
    </format>
    <format dxfId="326">
      <pivotArea field="1" type="button" dataOnly="0" labelOnly="1" outline="0" axis="axisRow" fieldPosition="1"/>
    </format>
    <format dxfId="325">
      <pivotArea dataOnly="0" outline="0" fieldPosition="0">
        <references count="3">
          <reference field="0" count="1" selected="0">
            <x v="1"/>
          </reference>
          <reference field="2" count="3">
            <x v="2"/>
            <x v="3"/>
            <x v="17"/>
          </reference>
          <reference field="26" count="1" selected="0">
            <x v="0"/>
          </reference>
        </references>
      </pivotArea>
    </format>
    <format dxfId="324">
      <pivotArea dataOnly="0" outline="0" fieldPosition="0">
        <references count="3">
          <reference field="0" count="1" selected="0">
            <x v="1"/>
          </reference>
          <reference field="2" count="3">
            <x v="2"/>
            <x v="3"/>
            <x v="17"/>
          </reference>
          <reference field="26" count="1" selected="0">
            <x v="0"/>
          </reference>
        </references>
      </pivotArea>
    </format>
    <format dxfId="323">
      <pivotArea dataOnly="0" outline="0" fieldPosition="0">
        <references count="3">
          <reference field="0" count="1" selected="0">
            <x v="1"/>
          </reference>
          <reference field="2" count="3">
            <x v="2"/>
            <x v="3"/>
            <x v="17"/>
          </reference>
          <reference field="26" count="1" selected="0">
            <x v="0"/>
          </reference>
        </references>
      </pivotArea>
    </format>
    <format dxfId="322">
      <pivotArea dataOnly="0" labelOnly="1" outline="0" fieldPosition="0">
        <references count="2">
          <reference field="0" count="1">
            <x v="1"/>
          </reference>
          <reference field="26" count="1" selected="0">
            <x v="2"/>
          </reference>
        </references>
      </pivotArea>
    </format>
    <format dxfId="321">
      <pivotArea dataOnly="0" labelOnly="1" outline="0" fieldPosition="0">
        <references count="2">
          <reference field="0" count="1" selected="0">
            <x v="1"/>
          </reference>
          <reference field="26" count="1">
            <x v="2"/>
          </reference>
        </references>
      </pivotArea>
    </format>
    <format dxfId="320">
      <pivotArea dataOnly="0" labelOnly="1" outline="0" fieldPosition="0">
        <references count="2">
          <reference field="0" count="1">
            <x v="4"/>
          </reference>
          <reference field="26" count="1" selected="0">
            <x v="0"/>
          </reference>
        </references>
      </pivotArea>
    </format>
    <format dxfId="319">
      <pivotArea dataOnly="0" labelOnly="1" outline="0" fieldPosition="0">
        <references count="2">
          <reference field="0" count="1" selected="0">
            <x v="4"/>
          </reference>
          <reference field="26" count="1">
            <x v="0"/>
          </reference>
        </references>
      </pivotArea>
    </format>
    <format dxfId="318">
      <pivotArea dataOnly="0" labelOnly="1" outline="0" fieldPosition="0">
        <references count="2">
          <reference field="0" count="1">
            <x v="5"/>
          </reference>
          <reference field="26" count="1" selected="0">
            <x v="0"/>
          </reference>
        </references>
      </pivotArea>
    </format>
    <format dxfId="317">
      <pivotArea dataOnly="0" labelOnly="1" outline="0" fieldPosition="0">
        <references count="2">
          <reference field="0" count="1" selected="0">
            <x v="5"/>
          </reference>
          <reference field="26" count="1">
            <x v="0"/>
          </reference>
        </references>
      </pivotArea>
    </format>
    <format dxfId="316">
      <pivotArea dataOnly="0" labelOnly="1" outline="0" offset="IV256" fieldPosition="0">
        <references count="1">
          <reference field="2" count="1">
            <x v="5"/>
          </reference>
        </references>
      </pivotArea>
    </format>
    <format dxfId="315">
      <pivotArea dataOnly="0" labelOnly="1" outline="0" offset="IV256" fieldPosition="0">
        <references count="1">
          <reference field="2" count="1">
            <x v="5"/>
          </reference>
        </references>
      </pivotArea>
    </format>
    <format dxfId="314">
      <pivotArea dataOnly="0" outline="0" fieldPosition="0">
        <references count="3">
          <reference field="0" count="1" selected="0">
            <x v="5"/>
          </reference>
          <reference field="2" count="2">
            <x v="36"/>
            <x v="37"/>
          </reference>
          <reference field="26" count="1" selected="0">
            <x v="0"/>
          </reference>
        </references>
      </pivotArea>
    </format>
    <format dxfId="313">
      <pivotArea dataOnly="0" outline="0" fieldPosition="0">
        <references count="3">
          <reference field="0" count="1" selected="0">
            <x v="5"/>
          </reference>
          <reference field="2" count="2">
            <x v="36"/>
            <x v="37"/>
          </reference>
          <reference field="26" count="1" selected="0">
            <x v="0"/>
          </reference>
        </references>
      </pivotArea>
    </format>
    <format dxfId="312">
      <pivotArea dataOnly="0" outline="0" fieldPosition="0">
        <references count="3">
          <reference field="0" count="1" selected="0">
            <x v="5"/>
          </reference>
          <reference field="2" count="1">
            <x v="36"/>
          </reference>
          <reference field="26" count="1" selected="0">
            <x v="0"/>
          </reference>
        </references>
      </pivotArea>
    </format>
    <format dxfId="311">
      <pivotArea dataOnly="0" outline="0" fieldPosition="0">
        <references count="3">
          <reference field="0" count="1" selected="0">
            <x v="5"/>
          </reference>
          <reference field="2" count="1">
            <x v="39"/>
          </reference>
          <reference field="26" count="1" selected="0">
            <x v="0"/>
          </reference>
        </references>
      </pivotArea>
    </format>
    <format dxfId="310">
      <pivotArea dataOnly="0" outline="0" fieldPosition="0">
        <references count="3">
          <reference field="0" count="1" selected="0">
            <x v="5"/>
          </reference>
          <reference field="2" count="1">
            <x v="39"/>
          </reference>
          <reference field="26" count="1" selected="0">
            <x v="0"/>
          </reference>
        </references>
      </pivotArea>
    </format>
    <format dxfId="309">
      <pivotArea dataOnly="0" labelOnly="1" outline="0" fieldPosition="0">
        <references count="1">
          <reference field="2" count="1">
            <x v="38"/>
          </reference>
        </references>
      </pivotArea>
    </format>
    <format dxfId="308">
      <pivotArea dataOnly="0" labelOnly="1" outline="0" offset="IV256" fieldPosition="0">
        <references count="1">
          <reference field="2" count="1">
            <x v="38"/>
          </reference>
        </references>
      </pivotArea>
    </format>
    <format dxfId="307">
      <pivotArea dataOnly="0" labelOnly="1" outline="0" offset="IV256" fieldPosition="0">
        <references count="1">
          <reference field="2" count="1">
            <x v="38"/>
          </reference>
        </references>
      </pivotArea>
    </format>
    <format dxfId="306">
      <pivotArea outline="0" fieldPosition="0">
        <references count="1">
          <reference field="2" count="1" selected="0">
            <x v="33"/>
          </reference>
        </references>
      </pivotArea>
    </format>
    <format dxfId="305">
      <pivotArea outline="0" fieldPosition="0">
        <references count="1">
          <reference field="2" count="1" selected="0">
            <x v="33"/>
          </reference>
        </references>
      </pivotArea>
    </format>
    <format dxfId="304">
      <pivotArea dataOnly="0" labelOnly="1" outline="0" fieldPosition="0">
        <references count="1">
          <reference field="2" count="1">
            <x v="33"/>
          </reference>
        </references>
      </pivotArea>
    </format>
    <format dxfId="303">
      <pivotArea dataOnly="0" labelOnly="1" outline="0" fieldPosition="0">
        <references count="1">
          <reference field="2" count="1">
            <x v="33"/>
          </reference>
        </references>
      </pivotArea>
    </format>
    <format dxfId="302">
      <pivotArea dataOnly="0" labelOnly="1" outline="0" fieldPosition="0">
        <references count="1">
          <reference field="2" count="1">
            <x v="33"/>
          </reference>
        </references>
      </pivotArea>
    </format>
    <format dxfId="301">
      <pivotArea outline="0" fieldPosition="0">
        <references count="2">
          <reference field="4294967294" count="1" selected="0">
            <x v="0"/>
          </reference>
          <reference field="2" count="1" selected="0">
            <x v="33"/>
          </reference>
        </references>
      </pivotArea>
    </format>
    <format dxfId="300">
      <pivotArea dataOnly="0" labelOnly="1" outline="0" offset="IV256" fieldPosition="0">
        <references count="2">
          <reference field="1" count="1">
            <x v="9"/>
          </reference>
          <reference field="2" count="1" selected="0">
            <x v="1"/>
          </reference>
        </references>
      </pivotArea>
    </format>
    <format dxfId="299">
      <pivotArea dataOnly="0" labelOnly="1" outline="0" fieldPosition="0">
        <references count="3">
          <reference field="1" count="1" selected="0">
            <x v="9"/>
          </reference>
          <reference field="2" count="1" selected="0">
            <x v="33"/>
          </reference>
          <reference field="4" count="1">
            <x v="4"/>
          </reference>
        </references>
      </pivotArea>
    </format>
    <format dxfId="298">
      <pivotArea dataOnly="0" labelOnly="1" outline="0" fieldPosition="0">
        <references count="3">
          <reference field="1" count="1" selected="0">
            <x v="9"/>
          </reference>
          <reference field="2" count="1" selected="0">
            <x v="33"/>
          </reference>
          <reference field="4" count="1">
            <x v="4"/>
          </reference>
        </references>
      </pivotArea>
    </format>
    <format dxfId="297">
      <pivotArea dataOnly="0" labelOnly="1" outline="0" offset="IV256" fieldPosition="0">
        <references count="2">
          <reference field="1" count="1">
            <x v="9"/>
          </reference>
          <reference field="2" count="1" selected="0">
            <x v="1"/>
          </reference>
        </references>
      </pivotArea>
    </format>
    <format dxfId="296">
      <pivotArea dataOnly="0" labelOnly="1" outline="0" offset="IV256" fieldPosition="0">
        <references count="2">
          <reference field="1" count="1">
            <x v="9"/>
          </reference>
          <reference field="2" count="1" selected="0">
            <x v="1"/>
          </reference>
        </references>
      </pivotArea>
    </format>
    <format dxfId="295">
      <pivotArea dataOnly="0" labelOnly="1" outline="0" fieldPosition="0">
        <references count="3">
          <reference field="1" count="1" selected="0">
            <x v="9"/>
          </reference>
          <reference field="2" count="1" selected="0">
            <x v="33"/>
          </reference>
          <reference field="4" count="1">
            <x v="4"/>
          </reference>
        </references>
      </pivotArea>
    </format>
    <format dxfId="294">
      <pivotArea dataOnly="0" labelOnly="1" outline="0" offset="IV1" fieldPosition="0">
        <references count="2">
          <reference field="1" count="1">
            <x v="9"/>
          </reference>
          <reference field="2" count="1" selected="0">
            <x v="1"/>
          </reference>
        </references>
      </pivotArea>
    </format>
    <format dxfId="293">
      <pivotArea dataOnly="0" labelOnly="1" outline="0" offset="IV1" fieldPosition="0">
        <references count="2">
          <reference field="1" count="1">
            <x v="9"/>
          </reference>
          <reference field="2" count="1" selected="0">
            <x v="1"/>
          </reference>
        </references>
      </pivotArea>
    </format>
    <format dxfId="292">
      <pivotArea dataOnly="0" labelOnly="1" outline="0" offset="IV256" fieldPosition="0">
        <references count="2">
          <reference field="1" count="1">
            <x v="9"/>
          </reference>
          <reference field="2" count="1" selected="0">
            <x v="1"/>
          </reference>
        </references>
      </pivotArea>
    </format>
    <format dxfId="291">
      <pivotArea dataOnly="0" labelOnly="1" outline="0" offset="IV1" fieldPosition="0">
        <references count="2">
          <reference field="1" count="1">
            <x v="9"/>
          </reference>
          <reference field="2" count="1" selected="0">
            <x v="1"/>
          </reference>
        </references>
      </pivotArea>
    </format>
    <format dxfId="290">
      <pivotArea dataOnly="0" labelOnly="1" outline="0" offset="IV256" fieldPosition="0">
        <references count="2">
          <reference field="1" count="1">
            <x v="9"/>
          </reference>
          <reference field="2" count="1" selected="0">
            <x v="1"/>
          </reference>
        </references>
      </pivotArea>
    </format>
    <format dxfId="289">
      <pivotArea dataOnly="0" labelOnly="1" outline="0" offset="IV256" fieldPosition="0">
        <references count="2">
          <reference field="1" count="1">
            <x v="9"/>
          </reference>
          <reference field="2" count="1" selected="0">
            <x v="1"/>
          </reference>
        </references>
      </pivotArea>
    </format>
    <format dxfId="288">
      <pivotArea dataOnly="0" labelOnly="1" outline="0" offset="IV1" fieldPosition="0">
        <references count="2">
          <reference field="1" count="1">
            <x v="9"/>
          </reference>
          <reference field="2" count="1" selected="0">
            <x v="1"/>
          </reference>
        </references>
      </pivotArea>
    </format>
    <format dxfId="287">
      <pivotArea dataOnly="0" labelOnly="1" outline="0" offset="IV256" fieldPosition="0">
        <references count="2">
          <reference field="1" count="1">
            <x v="9"/>
          </reference>
          <reference field="2" count="1" selected="0">
            <x v="1"/>
          </reference>
        </references>
      </pivotArea>
    </format>
    <format dxfId="286">
      <pivotArea dataOnly="0" labelOnly="1" outline="0" offset="IV256" fieldPosition="0">
        <references count="2">
          <reference field="1" count="1">
            <x v="9"/>
          </reference>
          <reference field="2" count="1" selected="0">
            <x v="1"/>
          </reference>
        </references>
      </pivotArea>
    </format>
    <format dxfId="285">
      <pivotArea dataOnly="0" labelOnly="1" outline="0" offset="IV256" fieldPosition="0">
        <references count="2">
          <reference field="1" count="1">
            <x v="9"/>
          </reference>
          <reference field="2" count="1" selected="0">
            <x v="1"/>
          </reference>
        </references>
      </pivotArea>
    </format>
    <format dxfId="284">
      <pivotArea dataOnly="0" labelOnly="1" outline="0" offset="IV1" fieldPosition="0">
        <references count="2">
          <reference field="1" count="1">
            <x v="9"/>
          </reference>
          <reference field="2" count="1" selected="0">
            <x v="1"/>
          </reference>
        </references>
      </pivotArea>
    </format>
    <format dxfId="283">
      <pivotArea dataOnly="0" labelOnly="1" outline="0" offset="IV1" fieldPosition="0">
        <references count="2">
          <reference field="1" count="1">
            <x v="9"/>
          </reference>
          <reference field="2" count="1" selected="0">
            <x v="1"/>
          </reference>
        </references>
      </pivotArea>
    </format>
    <format dxfId="282">
      <pivotArea dataOnly="0" labelOnly="1" outline="0" offset="IV256" fieldPosition="0">
        <references count="2">
          <reference field="1" count="1">
            <x v="9"/>
          </reference>
          <reference field="2" count="1" selected="0">
            <x v="1"/>
          </reference>
        </references>
      </pivotArea>
    </format>
    <format dxfId="281">
      <pivotArea dataOnly="0" labelOnly="1" outline="0" offset="IV256" fieldPosition="0">
        <references count="2">
          <reference field="1" count="1">
            <x v="9"/>
          </reference>
          <reference field="2" count="1" selected="0">
            <x v="1"/>
          </reference>
        </references>
      </pivotArea>
    </format>
    <format dxfId="280">
      <pivotArea dataOnly="0" labelOnly="1" outline="0" offset="IV256" fieldPosition="0">
        <references count="2">
          <reference field="1" count="1">
            <x v="9"/>
          </reference>
          <reference field="2" count="1" selected="0">
            <x v="1"/>
          </reference>
        </references>
      </pivotArea>
    </format>
    <format dxfId="279">
      <pivotArea dataOnly="0" labelOnly="1" outline="0" offset="IV256" fieldPosition="0">
        <references count="2">
          <reference field="1" count="1">
            <x v="9"/>
          </reference>
          <reference field="2" count="1" selected="0">
            <x v="1"/>
          </reference>
        </references>
      </pivotArea>
    </format>
    <format dxfId="278">
      <pivotArea dataOnly="0" labelOnly="1" outline="0" offset="IV1" fieldPosition="0">
        <references count="2">
          <reference field="1" count="1">
            <x v="9"/>
          </reference>
          <reference field="2" count="1" selected="0">
            <x v="1"/>
          </reference>
        </references>
      </pivotArea>
    </format>
    <format dxfId="277">
      <pivotArea dataOnly="0" labelOnly="1" outline="0" offset="IV1" fieldPosition="0">
        <references count="2">
          <reference field="1" count="1">
            <x v="9"/>
          </reference>
          <reference field="2" count="1" selected="0">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1311AF7-E73B-4751-8B00-877C45C62634}" name="PivotTableFinanceData2"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329:N338"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Row"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35"/>
        <item x="1"/>
        <item x="2"/>
        <item x="3"/>
        <item x="4"/>
        <item x="5"/>
        <item x="6"/>
        <item x="7"/>
        <item x="8"/>
        <item x="9"/>
        <item x="10"/>
        <item x="11"/>
        <item x="13"/>
        <item x="14"/>
        <item x="15"/>
        <item x="12"/>
        <item x="16"/>
        <item x="17"/>
        <item x="18"/>
        <item x="19"/>
        <item x="20"/>
        <item x="21"/>
        <item x="22"/>
        <item x="23"/>
        <item x="24"/>
        <item x="25"/>
        <item x="26"/>
        <item x="27"/>
        <item x="28"/>
        <item x="30"/>
        <item x="31"/>
        <item x="32"/>
        <item x="36"/>
        <item x="37"/>
        <item x="38"/>
        <item x="40"/>
        <item x="41"/>
        <item x="42"/>
        <item x="43"/>
        <item x="44"/>
        <item x="45"/>
        <item x="46"/>
        <item x="47"/>
        <item x="48"/>
        <item x="49"/>
        <item x="50"/>
        <item x="51"/>
        <item x="52"/>
        <item x="53"/>
        <item x="39"/>
        <item x="33"/>
        <item x="34"/>
      </items>
      <extLst>
        <ext xmlns:x14="http://schemas.microsoft.com/office/spreadsheetml/2009/9/main" uri="{2946ED86-A175-432a-8AC1-64E0C546D7DE}">
          <x14:pivotField fillDownLabels="1"/>
        </ext>
      </extLst>
    </pivotField>
    <pivotField axis="axisRow" compact="0" outline="0" showAll="0" defaultSubtotal="0">
      <items count="6">
        <item x="3"/>
        <item x="5"/>
        <item x="1"/>
        <item x="2"/>
        <item x="0"/>
        <item x="4"/>
      </items>
      <extLst>
        <ext xmlns:x14="http://schemas.microsoft.com/office/spreadsheetml/2009/9/main" uri="{2946ED86-A175-432a-8AC1-64E0C546D7DE}">
          <x14:pivotField fillDownLabels="1"/>
        </ext>
      </extLst>
    </pivotField>
    <pivotField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1"/>
    <field x="2"/>
    <field x="3"/>
  </rowFields>
  <rowItems count="9">
    <i>
      <x v="4"/>
      <x v="3"/>
      <x v="2"/>
    </i>
    <i r="1">
      <x v="4"/>
      <x v="3"/>
    </i>
    <i r="1">
      <x v="5"/>
      <x v="3"/>
    </i>
    <i r="1">
      <x v="6"/>
      <x v="3"/>
    </i>
    <i r="1">
      <x v="7"/>
      <x v="3"/>
    </i>
    <i r="1">
      <x v="8"/>
      <x v="3"/>
    </i>
    <i r="1">
      <x v="9"/>
      <x v="3"/>
    </i>
    <i r="1">
      <x v="10"/>
      <x v="3"/>
    </i>
    <i r="1">
      <x v="11"/>
      <x v="3"/>
    </i>
  </rowItems>
  <colFields count="1">
    <field x="-2"/>
  </colFields>
  <colItems count="8">
    <i>
      <x/>
    </i>
    <i i="1">
      <x v="1"/>
    </i>
    <i i="2">
      <x v="2"/>
    </i>
    <i i="3">
      <x v="3"/>
    </i>
    <i i="4">
      <x v="4"/>
    </i>
    <i i="5">
      <x v="5"/>
    </i>
    <i i="6">
      <x v="6"/>
    </i>
    <i i="7">
      <x v="7"/>
    </i>
  </colItems>
  <pageFields count="3">
    <pageField fld="0" item="1" hier="-1"/>
    <pageField fld="26" item="2"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42">
    <format dxfId="404">
      <pivotArea type="all" dataOnly="0" outline="0" fieldPosition="0"/>
    </format>
    <format dxfId="403">
      <pivotArea outline="0" collapsedLevelsAreSubtotals="1" fieldPosition="0"/>
    </format>
    <format dxfId="402">
      <pivotArea field="1" type="button" dataOnly="0" labelOnly="1" outline="0" axis="axisRow" fieldPosition="0"/>
    </format>
    <format dxfId="401">
      <pivotArea field="2" type="button" dataOnly="0" labelOnly="1" outline="0" axis="axisRow" fieldPosition="1"/>
    </format>
    <format dxfId="400">
      <pivotArea dataOnly="0" labelOnly="1" grandRow="1" outline="0" fieldPosition="0"/>
    </format>
    <format dxfId="399">
      <pivotArea type="all" dataOnly="0" outline="0" fieldPosition="0"/>
    </format>
    <format dxfId="398">
      <pivotArea outline="0" collapsedLevelsAreSubtotals="1" fieldPosition="0"/>
    </format>
    <format dxfId="397">
      <pivotArea field="1" type="button" dataOnly="0" labelOnly="1" outline="0" axis="axisRow" fieldPosition="0"/>
    </format>
    <format dxfId="396">
      <pivotArea field="2" type="button" dataOnly="0" labelOnly="1" outline="0" axis="axisRow" fieldPosition="1"/>
    </format>
    <format dxfId="395">
      <pivotArea type="all" dataOnly="0" outline="0" fieldPosition="0"/>
    </format>
    <format dxfId="394">
      <pivotArea outline="0" collapsedLevelsAreSubtotals="1" fieldPosition="0"/>
    </format>
    <format dxfId="393">
      <pivotArea field="1" type="button" dataOnly="0" labelOnly="1" outline="0" axis="axisRow" fieldPosition="0"/>
    </format>
    <format dxfId="392">
      <pivotArea field="2" type="button" dataOnly="0" labelOnly="1" outline="0" axis="axisRow" fieldPosition="1"/>
    </format>
    <format dxfId="391">
      <pivotArea field="4" type="button" dataOnly="0" labelOnly="1" outline="0"/>
    </format>
    <format dxfId="390">
      <pivotArea dataOnly="0" labelOnly="1" outline="0" fieldPosition="0">
        <references count="2">
          <reference field="0" count="1" selected="0">
            <x v="1"/>
          </reference>
          <reference field="26" count="1">
            <x v="0"/>
          </reference>
        </references>
      </pivotArea>
    </format>
    <format dxfId="389">
      <pivotArea dataOnly="0" labelOnly="1" outline="0" fieldPosition="0">
        <references count="2">
          <reference field="0" count="1">
            <x v="1"/>
          </reference>
          <reference field="26" count="1" selected="0">
            <x v="0"/>
          </reference>
        </references>
      </pivotArea>
    </format>
    <format dxfId="388">
      <pivotArea outline="0" fieldPosition="0">
        <references count="1">
          <reference field="4294967294" count="1">
            <x v="0"/>
          </reference>
        </references>
      </pivotArea>
    </format>
    <format dxfId="387">
      <pivotArea outline="0" fieldPosition="0">
        <references count="1">
          <reference field="4294967294" count="1">
            <x v="1"/>
          </reference>
        </references>
      </pivotArea>
    </format>
    <format dxfId="386">
      <pivotArea outline="0" fieldPosition="0">
        <references count="1">
          <reference field="4294967294" count="1">
            <x v="2"/>
          </reference>
        </references>
      </pivotArea>
    </format>
    <format dxfId="385">
      <pivotArea outline="0" fieldPosition="0">
        <references count="1">
          <reference field="4294967294" count="1">
            <x v="3"/>
          </reference>
        </references>
      </pivotArea>
    </format>
    <format dxfId="384">
      <pivotArea outline="0" fieldPosition="0">
        <references count="1">
          <reference field="4294967294" count="1">
            <x v="4"/>
          </reference>
        </references>
      </pivotArea>
    </format>
    <format dxfId="383">
      <pivotArea outline="0" fieldPosition="0">
        <references count="1">
          <reference field="4294967294" count="1">
            <x v="5"/>
          </reference>
        </references>
      </pivotArea>
    </format>
    <format dxfId="382">
      <pivotArea outline="0" fieldPosition="0">
        <references count="1">
          <reference field="4294967294" count="1">
            <x v="6"/>
          </reference>
        </references>
      </pivotArea>
    </format>
    <format dxfId="381">
      <pivotArea outline="0" fieldPosition="0">
        <references count="1">
          <reference field="4294967294" count="1">
            <x v="7"/>
          </reference>
        </references>
      </pivotArea>
    </format>
    <format dxfId="380">
      <pivotArea dataOnly="0" labelOnly="1" outline="0" fieldPosition="0">
        <references count="1">
          <reference field="4294967294" count="1">
            <x v="0"/>
          </reference>
        </references>
      </pivotArea>
    </format>
    <format dxfId="379">
      <pivotArea dataOnly="0" labelOnly="1" outline="0" fieldPosition="0">
        <references count="1">
          <reference field="4294967294" count="1">
            <x v="0"/>
          </reference>
        </references>
      </pivotArea>
    </format>
    <format dxfId="378">
      <pivotArea dataOnly="0" labelOnly="1" outline="0" fieldPosition="0">
        <references count="1">
          <reference field="4294967294" count="1">
            <x v="0"/>
          </reference>
        </references>
      </pivotArea>
    </format>
    <format dxfId="377">
      <pivotArea dataOnly="0" labelOnly="1" outline="0" fieldPosition="0">
        <references count="1">
          <reference field="4294967294" count="1">
            <x v="1"/>
          </reference>
        </references>
      </pivotArea>
    </format>
    <format dxfId="376">
      <pivotArea dataOnly="0" labelOnly="1" outline="0" fieldPosition="0">
        <references count="1">
          <reference field="4294967294" count="1">
            <x v="2"/>
          </reference>
        </references>
      </pivotArea>
    </format>
    <format dxfId="375">
      <pivotArea dataOnly="0" labelOnly="1" outline="0" fieldPosition="0">
        <references count="1">
          <reference field="4294967294" count="1">
            <x v="3"/>
          </reference>
        </references>
      </pivotArea>
    </format>
    <format dxfId="374">
      <pivotArea dataOnly="0" labelOnly="1" outline="0" fieldPosition="0">
        <references count="1">
          <reference field="4294967294" count="1">
            <x v="4"/>
          </reference>
        </references>
      </pivotArea>
    </format>
    <format dxfId="373">
      <pivotArea dataOnly="0" labelOnly="1" outline="0" fieldPosition="0">
        <references count="1">
          <reference field="4294967294" count="1">
            <x v="5"/>
          </reference>
        </references>
      </pivotArea>
    </format>
    <format dxfId="372">
      <pivotArea dataOnly="0" labelOnly="1" outline="0" fieldPosition="0">
        <references count="1">
          <reference field="4294967294" count="1">
            <x v="6"/>
          </reference>
        </references>
      </pivotArea>
    </format>
    <format dxfId="371">
      <pivotArea dataOnly="0" labelOnly="1" outline="0" fieldPosition="0">
        <references count="1">
          <reference field="4294967294" count="1">
            <x v="7"/>
          </reference>
        </references>
      </pivotArea>
    </format>
    <format dxfId="370">
      <pivotArea field="4" type="button" dataOnly="0" labelOnly="1" outline="0"/>
    </format>
    <format dxfId="369">
      <pivotArea field="2" type="button" dataOnly="0" labelOnly="1" outline="0" axis="axisRow" fieldPosition="1"/>
    </format>
    <format dxfId="368">
      <pivotArea field="1" type="button" dataOnly="0" labelOnly="1" outline="0" axis="axisRow" fieldPosition="0"/>
    </format>
    <format dxfId="367">
      <pivotArea dataOnly="0" outline="0" fieldPosition="0">
        <references count="3">
          <reference field="0" count="1" selected="0">
            <x v="1"/>
          </reference>
          <reference field="2" count="3">
            <x v="14"/>
            <x v="15"/>
            <x v="16"/>
          </reference>
          <reference field="26" count="1" selected="0">
            <x v="0"/>
          </reference>
        </references>
      </pivotArea>
    </format>
    <format dxfId="366">
      <pivotArea dataOnly="0" outline="0" fieldPosition="0">
        <references count="3">
          <reference field="0" count="1" selected="0">
            <x v="1"/>
          </reference>
          <reference field="2" count="3">
            <x v="14"/>
            <x v="15"/>
            <x v="16"/>
          </reference>
          <reference field="26" count="1" selected="0">
            <x v="0"/>
          </reference>
        </references>
      </pivotArea>
    </format>
    <format dxfId="365">
      <pivotArea dataOnly="0" outline="0" fieldPosition="0">
        <references count="3">
          <reference field="0" count="1" selected="0">
            <x v="1"/>
          </reference>
          <reference field="2" count="3">
            <x v="14"/>
            <x v="15"/>
            <x v="16"/>
          </reference>
          <reference field="26" count="1" selected="0">
            <x v="0"/>
          </reference>
        </references>
      </pivotArea>
    </format>
    <format dxfId="364">
      <pivotArea dataOnly="0" labelOnly="1" outline="0" fieldPosition="0">
        <references count="2">
          <reference field="0" count="1">
            <x v="1"/>
          </reference>
          <reference field="26" count="1" selected="0">
            <x v="2"/>
          </reference>
        </references>
      </pivotArea>
    </format>
    <format dxfId="363">
      <pivotArea dataOnly="0" labelOnly="1" outline="0" fieldPosition="0">
        <references count="2">
          <reference field="0" count="1" selected="0">
            <x v="1"/>
          </reference>
          <reference field="26" count="1">
            <x v="2"/>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84B5DE1-AFD8-47CD-B00F-968B22E0CC4E}" name="PivotTableFinanceData8"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929:N951"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items count="55">
        <item x="0"/>
        <item x="29"/>
        <item x="13"/>
        <item x="15"/>
        <item x="27"/>
        <item x="35"/>
        <item x="1"/>
        <item x="2"/>
        <item x="3"/>
        <item x="4"/>
        <item x="5"/>
        <item x="6"/>
        <item x="7"/>
        <item x="8"/>
        <item x="9"/>
        <item x="10"/>
        <item x="11"/>
        <item x="14"/>
        <item x="12"/>
        <item x="16"/>
        <item x="17"/>
        <item x="18"/>
        <item x="19"/>
        <item x="20"/>
        <item x="21"/>
        <item x="22"/>
        <item x="23"/>
        <item x="24"/>
        <item x="25"/>
        <item x="26"/>
        <item x="28"/>
        <item x="30"/>
        <item x="31"/>
        <item x="32"/>
        <item x="36"/>
        <item x="38"/>
        <item x="39"/>
        <item x="40"/>
        <item x="41"/>
        <item x="42"/>
        <item x="37"/>
        <item x="43"/>
        <item x="44"/>
        <item x="45"/>
        <item x="46"/>
        <item x="47"/>
        <item x="48"/>
        <item x="49"/>
        <item x="50"/>
        <item x="51"/>
        <item x="52"/>
        <item x="53"/>
        <item x="33"/>
        <item x="34"/>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axis="axisRow" compact="0" outline="0" showAll="0" defaultSubtotal="0">
      <items count="117">
        <item x="109"/>
        <item x="62"/>
        <item x="63"/>
        <item x="56"/>
        <item x="59"/>
        <item x="65"/>
        <item x="60"/>
        <item x="57"/>
        <item x="58"/>
        <item x="64"/>
        <item x="61"/>
        <item x="6"/>
        <item x="90"/>
        <item x="91"/>
        <item x="16"/>
        <item x="55"/>
        <item x="12"/>
        <item x="24"/>
        <item x="5"/>
        <item x="42"/>
        <item x="17"/>
        <item x="93"/>
        <item x="43"/>
        <item x="106"/>
        <item x="107"/>
        <item x="102"/>
        <item x="36"/>
        <item x="53"/>
        <item x="44"/>
        <item x="25"/>
        <item x="82"/>
        <item x="88"/>
        <item x="22"/>
        <item x="84"/>
        <item x="52"/>
        <item x="46"/>
        <item x="104"/>
        <item x="39"/>
        <item x="21"/>
        <item x="33"/>
        <item x="38"/>
        <item x="11"/>
        <item x="103"/>
        <item x="19"/>
        <item x="76"/>
        <item x="28"/>
        <item x="105"/>
        <item x="54"/>
        <item x="48"/>
        <item x="49"/>
        <item x="94"/>
        <item x="95"/>
        <item x="96"/>
        <item x="116"/>
        <item x="32"/>
        <item x="45"/>
        <item x="35"/>
        <item x="34"/>
        <item x="18"/>
        <item x="41"/>
        <item x="37"/>
        <item x="69"/>
        <item x="30"/>
        <item x="20"/>
        <item x="73"/>
        <item x="47"/>
        <item x="50"/>
        <item x="26"/>
        <item x="111"/>
        <item x="71"/>
        <item x="9"/>
        <item x="7"/>
        <item x="10"/>
        <item x="27"/>
        <item x="8"/>
        <item x="85"/>
        <item x="113"/>
        <item x="114"/>
        <item x="31"/>
        <item x="40"/>
        <item x="78"/>
        <item x="81"/>
        <item x="87"/>
        <item x="23"/>
        <item x="29"/>
        <item x="92"/>
        <item x="51"/>
        <item x="89"/>
        <item x="86"/>
        <item x="83"/>
        <item x="110"/>
        <item x="13"/>
        <item x="14"/>
        <item x="15"/>
        <item x="0"/>
        <item x="4"/>
        <item x="70"/>
        <item x="72"/>
        <item x="74"/>
        <item x="75"/>
        <item x="77"/>
        <item x="79"/>
        <item x="80"/>
        <item x="66"/>
        <item x="67"/>
        <item x="68"/>
        <item x="108"/>
        <item x="112"/>
        <item x="115"/>
        <item x="1"/>
        <item x="2"/>
        <item x="3"/>
        <item x="97"/>
        <item x="98"/>
        <item x="99"/>
        <item x="100"/>
        <item x="10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2"/>
    <field x="5"/>
    <field x="4"/>
  </rowFields>
  <rowItems count="22">
    <i>
      <x v="33"/>
      <x v="25"/>
      <x v="4"/>
    </i>
    <i r="1">
      <x v="36"/>
      <x v="4"/>
    </i>
    <i r="1">
      <x v="42"/>
      <x v="4"/>
    </i>
    <i r="1">
      <x v="46"/>
      <x v="4"/>
    </i>
    <i t="default">
      <x v="33"/>
    </i>
    <i>
      <x v="39"/>
      <x v="23"/>
      <x v="4"/>
    </i>
    <i r="1">
      <x v="24"/>
      <x v="4"/>
    </i>
    <i r="1">
      <x v="50"/>
      <x v="4"/>
    </i>
    <i r="1">
      <x v="51"/>
      <x v="4"/>
    </i>
    <i r="1">
      <x v="52"/>
      <x v="4"/>
    </i>
    <i r="1">
      <x v="106"/>
      <x v="4"/>
    </i>
    <i t="default">
      <x v="39"/>
    </i>
    <i>
      <x v="40"/>
      <x v="50"/>
      <x v="4"/>
    </i>
    <i r="1">
      <x v="51"/>
      <x v="4"/>
    </i>
    <i r="1">
      <x v="52"/>
      <x v="4"/>
    </i>
    <i t="default">
      <x v="40"/>
    </i>
    <i>
      <x v="41"/>
      <x v="50"/>
      <x v="4"/>
    </i>
    <i r="1">
      <x v="51"/>
      <x v="4"/>
    </i>
    <i r="1">
      <x v="52"/>
      <x v="4"/>
    </i>
    <i t="default">
      <x v="41"/>
    </i>
    <i>
      <x v="42"/>
      <x v="95"/>
      <x v="4"/>
    </i>
    <i t="default">
      <x v="42"/>
    </i>
  </rowItems>
  <colFields count="1">
    <field x="-2"/>
  </colFields>
  <colItems count="8">
    <i>
      <x/>
    </i>
    <i i="1">
      <x v="1"/>
    </i>
    <i i="2">
      <x v="2"/>
    </i>
    <i i="3">
      <x v="3"/>
    </i>
    <i i="4">
      <x v="4"/>
    </i>
    <i i="5">
      <x v="5"/>
    </i>
    <i i="6">
      <x v="6"/>
    </i>
    <i i="7">
      <x v="7"/>
    </i>
  </colItems>
  <pageFields count="3">
    <pageField fld="0" item="6" hier="-1"/>
    <pageField fld="26" item="0"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65">
    <format dxfId="469">
      <pivotArea type="all" dataOnly="0" outline="0" fieldPosition="0"/>
    </format>
    <format dxfId="468">
      <pivotArea outline="0" collapsedLevelsAreSubtotals="1" fieldPosition="0"/>
    </format>
    <format dxfId="467">
      <pivotArea field="1" type="button" dataOnly="0" labelOnly="1" outline="0"/>
    </format>
    <format dxfId="466">
      <pivotArea field="2" type="button" dataOnly="0" labelOnly="1" outline="0" axis="axisRow" fieldPosition="0"/>
    </format>
    <format dxfId="465">
      <pivotArea dataOnly="0" labelOnly="1" grandRow="1" outline="0" fieldPosition="0"/>
    </format>
    <format dxfId="464">
      <pivotArea type="all" dataOnly="0" outline="0" fieldPosition="0"/>
    </format>
    <format dxfId="463">
      <pivotArea outline="0" collapsedLevelsAreSubtotals="1" fieldPosition="0"/>
    </format>
    <format dxfId="462">
      <pivotArea field="1" type="button" dataOnly="0" labelOnly="1" outline="0"/>
    </format>
    <format dxfId="461">
      <pivotArea field="2" type="button" dataOnly="0" labelOnly="1" outline="0" axis="axisRow" fieldPosition="0"/>
    </format>
    <format dxfId="460">
      <pivotArea type="all" dataOnly="0" outline="0" fieldPosition="0"/>
    </format>
    <format dxfId="459">
      <pivotArea outline="0" collapsedLevelsAreSubtotals="1" fieldPosition="0"/>
    </format>
    <format dxfId="458">
      <pivotArea field="1" type="button" dataOnly="0" labelOnly="1" outline="0"/>
    </format>
    <format dxfId="457">
      <pivotArea field="2" type="button" dataOnly="0" labelOnly="1" outline="0" axis="axisRow" fieldPosition="0"/>
    </format>
    <format dxfId="456">
      <pivotArea field="4" type="button" dataOnly="0" labelOnly="1" outline="0" axis="axisRow" fieldPosition="2"/>
    </format>
    <format dxfId="455">
      <pivotArea dataOnly="0" labelOnly="1" outline="0" fieldPosition="0">
        <references count="2">
          <reference field="0" count="1" selected="0">
            <x v="1"/>
          </reference>
          <reference field="26" count="1">
            <x v="0"/>
          </reference>
        </references>
      </pivotArea>
    </format>
    <format dxfId="454">
      <pivotArea dataOnly="0" labelOnly="1" outline="0" fieldPosition="0">
        <references count="2">
          <reference field="0" count="1">
            <x v="1"/>
          </reference>
          <reference field="26" count="1" selected="0">
            <x v="0"/>
          </reference>
        </references>
      </pivotArea>
    </format>
    <format dxfId="453">
      <pivotArea outline="0" fieldPosition="0">
        <references count="1">
          <reference field="4294967294" count="1">
            <x v="0"/>
          </reference>
        </references>
      </pivotArea>
    </format>
    <format dxfId="452">
      <pivotArea outline="0" fieldPosition="0">
        <references count="1">
          <reference field="4294967294" count="1">
            <x v="1"/>
          </reference>
        </references>
      </pivotArea>
    </format>
    <format dxfId="451">
      <pivotArea outline="0" fieldPosition="0">
        <references count="1">
          <reference field="4294967294" count="1">
            <x v="2"/>
          </reference>
        </references>
      </pivotArea>
    </format>
    <format dxfId="450">
      <pivotArea outline="0" fieldPosition="0">
        <references count="1">
          <reference field="4294967294" count="1">
            <x v="3"/>
          </reference>
        </references>
      </pivotArea>
    </format>
    <format dxfId="449">
      <pivotArea outline="0" fieldPosition="0">
        <references count="1">
          <reference field="4294967294" count="1">
            <x v="4"/>
          </reference>
        </references>
      </pivotArea>
    </format>
    <format dxfId="448">
      <pivotArea outline="0" fieldPosition="0">
        <references count="1">
          <reference field="4294967294" count="1">
            <x v="5"/>
          </reference>
        </references>
      </pivotArea>
    </format>
    <format dxfId="447">
      <pivotArea outline="0" fieldPosition="0">
        <references count="1">
          <reference field="4294967294" count="1">
            <x v="6"/>
          </reference>
        </references>
      </pivotArea>
    </format>
    <format dxfId="446">
      <pivotArea outline="0" fieldPosition="0">
        <references count="1">
          <reference field="4294967294" count="1">
            <x v="7"/>
          </reference>
        </references>
      </pivotArea>
    </format>
    <format dxfId="445">
      <pivotArea dataOnly="0" labelOnly="1" outline="0" fieldPosition="0">
        <references count="1">
          <reference field="4294967294" count="1">
            <x v="0"/>
          </reference>
        </references>
      </pivotArea>
    </format>
    <format dxfId="444">
      <pivotArea dataOnly="0" labelOnly="1" outline="0" fieldPosition="0">
        <references count="1">
          <reference field="4294967294" count="1">
            <x v="0"/>
          </reference>
        </references>
      </pivotArea>
    </format>
    <format dxfId="443">
      <pivotArea dataOnly="0" labelOnly="1" outline="0" fieldPosition="0">
        <references count="1">
          <reference field="4294967294" count="1">
            <x v="0"/>
          </reference>
        </references>
      </pivotArea>
    </format>
    <format dxfId="442">
      <pivotArea dataOnly="0" labelOnly="1" outline="0" fieldPosition="0">
        <references count="1">
          <reference field="4294967294" count="1">
            <x v="1"/>
          </reference>
        </references>
      </pivotArea>
    </format>
    <format dxfId="441">
      <pivotArea dataOnly="0" labelOnly="1" outline="0" fieldPosition="0">
        <references count="1">
          <reference field="4294967294" count="1">
            <x v="2"/>
          </reference>
        </references>
      </pivotArea>
    </format>
    <format dxfId="440">
      <pivotArea dataOnly="0" labelOnly="1" outline="0" fieldPosition="0">
        <references count="1">
          <reference field="4294967294" count="1">
            <x v="3"/>
          </reference>
        </references>
      </pivotArea>
    </format>
    <format dxfId="439">
      <pivotArea dataOnly="0" labelOnly="1" outline="0" fieldPosition="0">
        <references count="1">
          <reference field="4294967294" count="1">
            <x v="4"/>
          </reference>
        </references>
      </pivotArea>
    </format>
    <format dxfId="438">
      <pivotArea dataOnly="0" labelOnly="1" outline="0" fieldPosition="0">
        <references count="1">
          <reference field="4294967294" count="1">
            <x v="5"/>
          </reference>
        </references>
      </pivotArea>
    </format>
    <format dxfId="437">
      <pivotArea dataOnly="0" labelOnly="1" outline="0" fieldPosition="0">
        <references count="1">
          <reference field="4294967294" count="1">
            <x v="6"/>
          </reference>
        </references>
      </pivotArea>
    </format>
    <format dxfId="436">
      <pivotArea dataOnly="0" labelOnly="1" outline="0" fieldPosition="0">
        <references count="1">
          <reference field="4294967294" count="1">
            <x v="7"/>
          </reference>
        </references>
      </pivotArea>
    </format>
    <format dxfId="435">
      <pivotArea field="4" type="button" dataOnly="0" labelOnly="1" outline="0" axis="axisRow" fieldPosition="2"/>
    </format>
    <format dxfId="434">
      <pivotArea field="2" type="button" dataOnly="0" labelOnly="1" outline="0" axis="axisRow" fieldPosition="0"/>
    </format>
    <format dxfId="433">
      <pivotArea field="1" type="button" dataOnly="0" labelOnly="1" outline="0"/>
    </format>
    <format dxfId="432">
      <pivotArea dataOnly="0" outline="0" fieldPosition="0">
        <references count="3">
          <reference field="0" count="1" selected="0">
            <x v="1"/>
          </reference>
          <reference field="2" count="3">
            <x v="2"/>
            <x v="3"/>
            <x v="17"/>
          </reference>
          <reference field="26" count="1" selected="0">
            <x v="0"/>
          </reference>
        </references>
      </pivotArea>
    </format>
    <format dxfId="431">
      <pivotArea dataOnly="0" outline="0" fieldPosition="0">
        <references count="3">
          <reference field="0" count="1" selected="0">
            <x v="1"/>
          </reference>
          <reference field="2" count="3">
            <x v="2"/>
            <x v="3"/>
            <x v="17"/>
          </reference>
          <reference field="26" count="1" selected="0">
            <x v="0"/>
          </reference>
        </references>
      </pivotArea>
    </format>
    <format dxfId="430">
      <pivotArea dataOnly="0" outline="0" fieldPosition="0">
        <references count="3">
          <reference field="0" count="1" selected="0">
            <x v="1"/>
          </reference>
          <reference field="2" count="3">
            <x v="2"/>
            <x v="3"/>
            <x v="17"/>
          </reference>
          <reference field="26" count="1" selected="0">
            <x v="0"/>
          </reference>
        </references>
      </pivotArea>
    </format>
    <format dxfId="429">
      <pivotArea dataOnly="0" labelOnly="1" outline="0" fieldPosition="0">
        <references count="2">
          <reference field="0" count="1">
            <x v="1"/>
          </reference>
          <reference field="26" count="1" selected="0">
            <x v="2"/>
          </reference>
        </references>
      </pivotArea>
    </format>
    <format dxfId="428">
      <pivotArea dataOnly="0" labelOnly="1" outline="0" fieldPosition="0">
        <references count="2">
          <reference field="0" count="1" selected="0">
            <x v="1"/>
          </reference>
          <reference field="26" count="1">
            <x v="2"/>
          </reference>
        </references>
      </pivotArea>
    </format>
    <format dxfId="427">
      <pivotArea dataOnly="0" labelOnly="1" outline="0" fieldPosition="0">
        <references count="2">
          <reference field="0" count="1">
            <x v="4"/>
          </reference>
          <reference field="26" count="1" selected="0">
            <x v="0"/>
          </reference>
        </references>
      </pivotArea>
    </format>
    <format dxfId="426">
      <pivotArea dataOnly="0" labelOnly="1" outline="0" fieldPosition="0">
        <references count="2">
          <reference field="0" count="1" selected="0">
            <x v="4"/>
          </reference>
          <reference field="26" count="1">
            <x v="0"/>
          </reference>
        </references>
      </pivotArea>
    </format>
    <format dxfId="425">
      <pivotArea dataOnly="0" labelOnly="1" outline="0" fieldPosition="0">
        <references count="2">
          <reference field="0" count="1">
            <x v="5"/>
          </reference>
          <reference field="26" count="1" selected="0">
            <x v="0"/>
          </reference>
        </references>
      </pivotArea>
    </format>
    <format dxfId="424">
      <pivotArea dataOnly="0" labelOnly="1" outline="0" fieldPosition="0">
        <references count="2">
          <reference field="0" count="1" selected="0">
            <x v="5"/>
          </reference>
          <reference field="26" count="1">
            <x v="0"/>
          </reference>
        </references>
      </pivotArea>
    </format>
    <format dxfId="423">
      <pivotArea dataOnly="0" labelOnly="1" outline="0" offset="IV256" fieldPosition="0">
        <references count="1">
          <reference field="2" count="1">
            <x v="5"/>
          </reference>
        </references>
      </pivotArea>
    </format>
    <format dxfId="422">
      <pivotArea dataOnly="0" labelOnly="1" outline="0" offset="IV256" fieldPosition="0">
        <references count="1">
          <reference field="2" count="1">
            <x v="5"/>
          </reference>
        </references>
      </pivotArea>
    </format>
    <format dxfId="421">
      <pivotArea outline="0" fieldPosition="0">
        <references count="3">
          <reference field="2" count="1" selected="0">
            <x v="5"/>
          </reference>
          <reference field="4" count="1" selected="0">
            <x v="4"/>
          </reference>
          <reference field="5" count="1" selected="0">
            <x v="95"/>
          </reference>
        </references>
      </pivotArea>
    </format>
    <format dxfId="420">
      <pivotArea outline="0" fieldPosition="0">
        <references count="3">
          <reference field="2" count="1" selected="0">
            <x v="5"/>
          </reference>
          <reference field="4" count="1" selected="0">
            <x v="4"/>
          </reference>
          <reference field="5" count="1" selected="0">
            <x v="95"/>
          </reference>
        </references>
      </pivotArea>
    </format>
    <format dxfId="419">
      <pivotArea dataOnly="0" outline="0" fieldPosition="0">
        <references count="3">
          <reference field="0" count="1" selected="0">
            <x v="5"/>
          </reference>
          <reference field="2" count="2">
            <x v="35"/>
            <x v="36"/>
          </reference>
          <reference field="26" count="1" selected="0">
            <x v="0"/>
          </reference>
        </references>
      </pivotArea>
    </format>
    <format dxfId="418">
      <pivotArea dataOnly="0" outline="0" fieldPosition="0">
        <references count="3">
          <reference field="0" count="1" selected="0">
            <x v="5"/>
          </reference>
          <reference field="2" count="2">
            <x v="35"/>
            <x v="36"/>
          </reference>
          <reference field="26" count="1" selected="0">
            <x v="0"/>
          </reference>
        </references>
      </pivotArea>
    </format>
    <format dxfId="417">
      <pivotArea dataOnly="0" outline="0" fieldPosition="0">
        <references count="3">
          <reference field="0" count="1" selected="0">
            <x v="5"/>
          </reference>
          <reference field="2" count="1">
            <x v="35"/>
          </reference>
          <reference field="26" count="1" selected="0">
            <x v="0"/>
          </reference>
        </references>
      </pivotArea>
    </format>
    <format dxfId="416">
      <pivotArea dataOnly="0" outline="0" fieldPosition="0">
        <references count="3">
          <reference field="0" count="1" selected="0">
            <x v="5"/>
          </reference>
          <reference field="2" count="1">
            <x v="38"/>
          </reference>
          <reference field="26" count="1" selected="0">
            <x v="0"/>
          </reference>
        </references>
      </pivotArea>
    </format>
    <format dxfId="415">
      <pivotArea dataOnly="0" outline="0" fieldPosition="0">
        <references count="3">
          <reference field="0" count="1" selected="0">
            <x v="5"/>
          </reference>
          <reference field="2" count="1">
            <x v="38"/>
          </reference>
          <reference field="26" count="1" selected="0">
            <x v="0"/>
          </reference>
        </references>
      </pivotArea>
    </format>
    <format dxfId="414">
      <pivotArea outline="0" fieldPosition="0">
        <references count="3">
          <reference field="2" count="1" selected="0">
            <x v="37"/>
          </reference>
          <reference field="4" count="1" selected="0">
            <x v="4"/>
          </reference>
          <reference field="5" count="1" selected="0">
            <x v="95"/>
          </reference>
        </references>
      </pivotArea>
    </format>
    <format dxfId="413">
      <pivotArea outline="0" fieldPosition="0">
        <references count="3">
          <reference field="2" count="1" selected="0">
            <x v="37"/>
          </reference>
          <reference field="4" count="1" selected="0">
            <x v="4"/>
          </reference>
          <reference field="5" count="1" selected="0">
            <x v="95"/>
          </reference>
        </references>
      </pivotArea>
    </format>
    <format dxfId="412">
      <pivotArea dataOnly="0" labelOnly="1" outline="0" fieldPosition="0">
        <references count="1">
          <reference field="2" count="1">
            <x v="37"/>
          </reference>
        </references>
      </pivotArea>
    </format>
    <format dxfId="411">
      <pivotArea dataOnly="0" labelOnly="1" outline="0" offset="IV256" fieldPosition="0">
        <references count="1">
          <reference field="2" count="1">
            <x v="37"/>
          </reference>
        </references>
      </pivotArea>
    </format>
    <format dxfId="410">
      <pivotArea dataOnly="0" labelOnly="1" outline="0" offset="IV256" fieldPosition="0">
        <references count="1">
          <reference field="2" count="1">
            <x v="37"/>
          </reference>
        </references>
      </pivotArea>
    </format>
    <format dxfId="409">
      <pivotArea dataOnly="0" labelOnly="1" outline="0" fieldPosition="0">
        <references count="2">
          <reference field="0" count="1">
            <x v="6"/>
          </reference>
          <reference field="26" count="1" selected="0">
            <x v="0"/>
          </reference>
        </references>
      </pivotArea>
    </format>
    <format dxfId="408">
      <pivotArea dataOnly="0" labelOnly="1" outline="0" fieldPosition="0">
        <references count="2">
          <reference field="0" count="1">
            <x v="6"/>
          </reference>
          <reference field="26" count="1" selected="0">
            <x v="0"/>
          </reference>
        </references>
      </pivotArea>
    </format>
    <format dxfId="407">
      <pivotArea dataOnly="0" labelOnly="1" outline="0" fieldPosition="0">
        <references count="2">
          <reference field="0" count="1" selected="0">
            <x v="6"/>
          </reference>
          <reference field="26" count="1">
            <x v="0"/>
          </reference>
        </references>
      </pivotArea>
    </format>
    <format dxfId="406">
      <pivotArea dataOnly="0" outline="0" fieldPosition="0">
        <references count="3">
          <reference field="0" count="1" selected="0">
            <x v="6"/>
          </reference>
          <reference field="2" count="0" defaultSubtotal="1"/>
          <reference field="26" count="1" selected="0">
            <x v="0"/>
          </reference>
        </references>
      </pivotArea>
    </format>
    <format dxfId="405">
      <pivotArea field="5" type="button" dataOnly="0" labelOnly="1" outline="0" axis="axisRow" fieldPosition="1"/>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9E27B32-7C81-48A8-95FA-B411929EA9F1}" name="PivotTableFinanceData1"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229:N239"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Row"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35"/>
        <item x="3"/>
        <item x="5"/>
        <item x="6"/>
        <item x="7"/>
        <item x="8"/>
        <item x="9"/>
        <item x="10"/>
        <item x="11"/>
        <item x="13"/>
        <item x="14"/>
        <item x="15"/>
        <item x="1"/>
        <item x="2"/>
        <item x="4"/>
        <item x="12"/>
        <item x="16"/>
        <item x="17"/>
        <item x="18"/>
        <item x="19"/>
        <item x="20"/>
        <item x="21"/>
        <item x="22"/>
        <item x="23"/>
        <item x="24"/>
        <item x="25"/>
        <item x="26"/>
        <item x="27"/>
        <item x="28"/>
        <item x="30"/>
        <item x="31"/>
        <item x="32"/>
        <item x="36"/>
        <item x="37"/>
        <item x="38"/>
        <item x="40"/>
        <item x="41"/>
        <item x="42"/>
        <item x="43"/>
        <item x="44"/>
        <item x="45"/>
        <item x="46"/>
        <item x="47"/>
        <item x="48"/>
        <item x="49"/>
        <item x="50"/>
        <item x="51"/>
        <item x="52"/>
        <item x="53"/>
        <item x="39"/>
        <item x="33"/>
        <item x="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1"/>
    <field x="2"/>
    <field x="4"/>
  </rowFields>
  <rowItems count="10">
    <i>
      <x v="4"/>
      <x v="3"/>
      <x v="24"/>
    </i>
    <i r="1">
      <x v="4"/>
      <x v="24"/>
    </i>
    <i r="1">
      <x v="5"/>
      <x v="24"/>
    </i>
    <i r="1">
      <x v="6"/>
      <x v="2"/>
    </i>
    <i r="1">
      <x v="7"/>
      <x v="2"/>
    </i>
    <i r="1">
      <x v="8"/>
      <x v="2"/>
    </i>
    <i r="1">
      <x v="11"/>
      <x v="25"/>
    </i>
    <i r="1">
      <x v="12"/>
      <x v="25"/>
    </i>
    <i r="1">
      <x v="13"/>
      <x v="25"/>
    </i>
    <i r="1">
      <x v="17"/>
      <x v="24"/>
    </i>
  </rowItems>
  <colFields count="1">
    <field x="-2"/>
  </colFields>
  <colItems count="8">
    <i>
      <x/>
    </i>
    <i i="1">
      <x v="1"/>
    </i>
    <i i="2">
      <x v="2"/>
    </i>
    <i i="3">
      <x v="3"/>
    </i>
    <i i="4">
      <x v="4"/>
    </i>
    <i i="5">
      <x v="5"/>
    </i>
    <i i="6">
      <x v="6"/>
    </i>
    <i i="7">
      <x v="7"/>
    </i>
  </colItems>
  <pageFields count="3">
    <pageField fld="0" item="1" hier="-1"/>
    <pageField fld="26" item="0"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55">
    <format dxfId="524">
      <pivotArea type="all" dataOnly="0" outline="0" fieldPosition="0"/>
    </format>
    <format dxfId="523">
      <pivotArea outline="0" collapsedLevelsAreSubtotals="1" fieldPosition="0"/>
    </format>
    <format dxfId="522">
      <pivotArea field="1" type="button" dataOnly="0" labelOnly="1" outline="0" axis="axisRow" fieldPosition="0"/>
    </format>
    <format dxfId="521">
      <pivotArea field="2" type="button" dataOnly="0" labelOnly="1" outline="0" axis="axisRow" fieldPosition="1"/>
    </format>
    <format dxfId="520">
      <pivotArea dataOnly="0" labelOnly="1" grandRow="1" outline="0" fieldPosition="0"/>
    </format>
    <format dxfId="519">
      <pivotArea type="all" dataOnly="0" outline="0" fieldPosition="0"/>
    </format>
    <format dxfId="518">
      <pivotArea outline="0" collapsedLevelsAreSubtotals="1" fieldPosition="0"/>
    </format>
    <format dxfId="517">
      <pivotArea field="1" type="button" dataOnly="0" labelOnly="1" outline="0" axis="axisRow" fieldPosition="0"/>
    </format>
    <format dxfId="516">
      <pivotArea field="2" type="button" dataOnly="0" labelOnly="1" outline="0" axis="axisRow" fieldPosition="1"/>
    </format>
    <format dxfId="515">
      <pivotArea type="all" dataOnly="0" outline="0" fieldPosition="0"/>
    </format>
    <format dxfId="514">
      <pivotArea outline="0" collapsedLevelsAreSubtotals="1" fieldPosition="0"/>
    </format>
    <format dxfId="513">
      <pivotArea field="1" type="button" dataOnly="0" labelOnly="1" outline="0" axis="axisRow" fieldPosition="0"/>
    </format>
    <format dxfId="512">
      <pivotArea field="2" type="button" dataOnly="0" labelOnly="1" outline="0" axis="axisRow" fieldPosition="1"/>
    </format>
    <format dxfId="511">
      <pivotArea field="4" type="button" dataOnly="0" labelOnly="1" outline="0" axis="axisRow" fieldPosition="2"/>
    </format>
    <format dxfId="510">
      <pivotArea dataOnly="0" labelOnly="1" outline="0" fieldPosition="0">
        <references count="2">
          <reference field="0" count="1" selected="0">
            <x v="1"/>
          </reference>
          <reference field="26" count="1">
            <x v="0"/>
          </reference>
        </references>
      </pivotArea>
    </format>
    <format dxfId="509">
      <pivotArea dataOnly="0" labelOnly="1" outline="0" fieldPosition="0">
        <references count="2">
          <reference field="0" count="1">
            <x v="1"/>
          </reference>
          <reference field="26" count="1" selected="0">
            <x v="0"/>
          </reference>
        </references>
      </pivotArea>
    </format>
    <format dxfId="508">
      <pivotArea outline="0" fieldPosition="0">
        <references count="1">
          <reference field="4294967294" count="1">
            <x v="0"/>
          </reference>
        </references>
      </pivotArea>
    </format>
    <format dxfId="507">
      <pivotArea outline="0" fieldPosition="0">
        <references count="1">
          <reference field="4294967294" count="1">
            <x v="1"/>
          </reference>
        </references>
      </pivotArea>
    </format>
    <format dxfId="506">
      <pivotArea outline="0" fieldPosition="0">
        <references count="1">
          <reference field="4294967294" count="1">
            <x v="2"/>
          </reference>
        </references>
      </pivotArea>
    </format>
    <format dxfId="505">
      <pivotArea outline="0" fieldPosition="0">
        <references count="1">
          <reference field="4294967294" count="1">
            <x v="3"/>
          </reference>
        </references>
      </pivotArea>
    </format>
    <format dxfId="504">
      <pivotArea outline="0" fieldPosition="0">
        <references count="1">
          <reference field="4294967294" count="1">
            <x v="4"/>
          </reference>
        </references>
      </pivotArea>
    </format>
    <format dxfId="503">
      <pivotArea outline="0" fieldPosition="0">
        <references count="1">
          <reference field="4294967294" count="1">
            <x v="5"/>
          </reference>
        </references>
      </pivotArea>
    </format>
    <format dxfId="502">
      <pivotArea outline="0" fieldPosition="0">
        <references count="1">
          <reference field="4294967294" count="1">
            <x v="6"/>
          </reference>
        </references>
      </pivotArea>
    </format>
    <format dxfId="501">
      <pivotArea outline="0" fieldPosition="0">
        <references count="1">
          <reference field="4294967294" count="1">
            <x v="7"/>
          </reference>
        </references>
      </pivotArea>
    </format>
    <format dxfId="500">
      <pivotArea dataOnly="0" labelOnly="1" outline="0" fieldPosition="0">
        <references count="1">
          <reference field="4294967294" count="1">
            <x v="0"/>
          </reference>
        </references>
      </pivotArea>
    </format>
    <format dxfId="499">
      <pivotArea dataOnly="0" labelOnly="1" outline="0" fieldPosition="0">
        <references count="1">
          <reference field="4294967294" count="1">
            <x v="0"/>
          </reference>
        </references>
      </pivotArea>
    </format>
    <format dxfId="498">
      <pivotArea dataOnly="0" labelOnly="1" outline="0" fieldPosition="0">
        <references count="1">
          <reference field="4294967294" count="1">
            <x v="0"/>
          </reference>
        </references>
      </pivotArea>
    </format>
    <format dxfId="497">
      <pivotArea dataOnly="0" labelOnly="1" outline="0" fieldPosition="0">
        <references count="1">
          <reference field="4294967294" count="1">
            <x v="1"/>
          </reference>
        </references>
      </pivotArea>
    </format>
    <format dxfId="496">
      <pivotArea dataOnly="0" labelOnly="1" outline="0" fieldPosition="0">
        <references count="1">
          <reference field="4294967294" count="1">
            <x v="2"/>
          </reference>
        </references>
      </pivotArea>
    </format>
    <format dxfId="495">
      <pivotArea dataOnly="0" labelOnly="1" outline="0" fieldPosition="0">
        <references count="1">
          <reference field="4294967294" count="1">
            <x v="3"/>
          </reference>
        </references>
      </pivotArea>
    </format>
    <format dxfId="494">
      <pivotArea dataOnly="0" labelOnly="1" outline="0" fieldPosition="0">
        <references count="1">
          <reference field="4294967294" count="1">
            <x v="4"/>
          </reference>
        </references>
      </pivotArea>
    </format>
    <format dxfId="493">
      <pivotArea dataOnly="0" labelOnly="1" outline="0" fieldPosition="0">
        <references count="1">
          <reference field="4294967294" count="1">
            <x v="5"/>
          </reference>
        </references>
      </pivotArea>
    </format>
    <format dxfId="492">
      <pivotArea dataOnly="0" labelOnly="1" outline="0" fieldPosition="0">
        <references count="1">
          <reference field="4294967294" count="1">
            <x v="6"/>
          </reference>
        </references>
      </pivotArea>
    </format>
    <format dxfId="491">
      <pivotArea dataOnly="0" labelOnly="1" outline="0" fieldPosition="0">
        <references count="1">
          <reference field="4294967294" count="1">
            <x v="7"/>
          </reference>
        </references>
      </pivotArea>
    </format>
    <format dxfId="490">
      <pivotArea field="4" type="button" dataOnly="0" labelOnly="1" outline="0" axis="axisRow" fieldPosition="2"/>
    </format>
    <format dxfId="489">
      <pivotArea field="2" type="button" dataOnly="0" labelOnly="1" outline="0" axis="axisRow" fieldPosition="1"/>
    </format>
    <format dxfId="488">
      <pivotArea field="1" type="button" dataOnly="0" labelOnly="1" outline="0" axis="axisRow" fieldPosition="0"/>
    </format>
    <format dxfId="487">
      <pivotArea dataOnly="0" outline="0" fieldPosition="0">
        <references count="3">
          <reference field="0" count="1" selected="0">
            <x v="1"/>
          </reference>
          <reference field="2" count="3">
            <x v="11"/>
            <x v="12"/>
            <x v="13"/>
          </reference>
          <reference field="26" count="1" selected="0">
            <x v="0"/>
          </reference>
        </references>
      </pivotArea>
    </format>
    <format dxfId="486">
      <pivotArea dataOnly="0" outline="0" fieldPosition="0">
        <references count="3">
          <reference field="0" count="1" selected="0">
            <x v="1"/>
          </reference>
          <reference field="2" count="3">
            <x v="11"/>
            <x v="12"/>
            <x v="13"/>
          </reference>
          <reference field="26" count="1" selected="0">
            <x v="0"/>
          </reference>
        </references>
      </pivotArea>
    </format>
    <format dxfId="485">
      <pivotArea dataOnly="0" outline="0" fieldPosition="0">
        <references count="3">
          <reference field="0" count="1" selected="0">
            <x v="1"/>
          </reference>
          <reference field="2" count="3">
            <x v="11"/>
            <x v="12"/>
            <x v="13"/>
          </reference>
          <reference field="26" count="1" selected="0">
            <x v="0"/>
          </reference>
        </references>
      </pivotArea>
    </format>
    <format dxfId="484">
      <pivotArea dataOnly="0" labelOnly="1" outline="0" fieldPosition="0">
        <references count="3">
          <reference field="1" count="1" selected="0">
            <x v="4"/>
          </reference>
          <reference field="2" count="1" selected="0">
            <x v="11"/>
          </reference>
          <reference field="4" count="1">
            <x v="25"/>
          </reference>
        </references>
      </pivotArea>
    </format>
    <format dxfId="483">
      <pivotArea dataOnly="0" labelOnly="1" outline="0" fieldPosition="0">
        <references count="3">
          <reference field="1" count="1" selected="0">
            <x v="4"/>
          </reference>
          <reference field="2" count="1" selected="0">
            <x v="12"/>
          </reference>
          <reference field="4" count="1">
            <x v="25"/>
          </reference>
        </references>
      </pivotArea>
    </format>
    <format dxfId="482">
      <pivotArea dataOnly="0" labelOnly="1" outline="0" fieldPosition="0">
        <references count="3">
          <reference field="1" count="1" selected="0">
            <x v="4"/>
          </reference>
          <reference field="2" count="1" selected="0">
            <x v="13"/>
          </reference>
          <reference field="4" count="1">
            <x v="25"/>
          </reference>
        </references>
      </pivotArea>
    </format>
    <format dxfId="481">
      <pivotArea dataOnly="0" labelOnly="1" outline="0" fieldPosition="0">
        <references count="3">
          <reference field="1" count="1" selected="0">
            <x v="4"/>
          </reference>
          <reference field="2" count="1" selected="0">
            <x v="11"/>
          </reference>
          <reference field="4" count="1">
            <x v="25"/>
          </reference>
        </references>
      </pivotArea>
    </format>
    <format dxfId="480">
      <pivotArea dataOnly="0" labelOnly="1" outline="0" fieldPosition="0">
        <references count="3">
          <reference field="1" count="1" selected="0">
            <x v="4"/>
          </reference>
          <reference field="2" count="1" selected="0">
            <x v="12"/>
          </reference>
          <reference field="4" count="1">
            <x v="25"/>
          </reference>
        </references>
      </pivotArea>
    </format>
    <format dxfId="479">
      <pivotArea dataOnly="0" labelOnly="1" outline="0" fieldPosition="0">
        <references count="3">
          <reference field="1" count="1" selected="0">
            <x v="4"/>
          </reference>
          <reference field="2" count="1" selected="0">
            <x v="13"/>
          </reference>
          <reference field="4" count="1">
            <x v="25"/>
          </reference>
        </references>
      </pivotArea>
    </format>
    <format dxfId="478">
      <pivotArea dataOnly="0" labelOnly="1" outline="0" fieldPosition="0">
        <references count="3">
          <reference field="1" count="1" selected="0">
            <x v="4"/>
          </reference>
          <reference field="2" count="1" selected="0">
            <x v="11"/>
          </reference>
          <reference field="4" count="1">
            <x v="25"/>
          </reference>
        </references>
      </pivotArea>
    </format>
    <format dxfId="477">
      <pivotArea dataOnly="0" labelOnly="1" outline="0" fieldPosition="0">
        <references count="3">
          <reference field="1" count="1" selected="0">
            <x v="4"/>
          </reference>
          <reference field="2" count="1" selected="0">
            <x v="12"/>
          </reference>
          <reference field="4" count="1">
            <x v="25"/>
          </reference>
        </references>
      </pivotArea>
    </format>
    <format dxfId="476">
      <pivotArea dataOnly="0" labelOnly="1" outline="0" fieldPosition="0">
        <references count="3">
          <reference field="1" count="1" selected="0">
            <x v="4"/>
          </reference>
          <reference field="2" count="1" selected="0">
            <x v="13"/>
          </reference>
          <reference field="4" count="1">
            <x v="25"/>
          </reference>
        </references>
      </pivotArea>
    </format>
    <format dxfId="475">
      <pivotArea outline="0" fieldPosition="0">
        <references count="4">
          <reference field="4294967294" count="1" selected="0">
            <x v="0"/>
          </reference>
          <reference field="1" count="1" selected="0">
            <x v="4"/>
          </reference>
          <reference field="2" count="3" selected="0">
            <x v="11"/>
            <x v="12"/>
            <x v="13"/>
          </reference>
          <reference field="4" count="1" selected="0">
            <x v="25"/>
          </reference>
        </references>
      </pivotArea>
    </format>
    <format dxfId="474">
      <pivotArea dataOnly="0" labelOnly="1" outline="0" fieldPosition="0">
        <references count="2">
          <reference field="1" count="1" selected="0">
            <x v="4"/>
          </reference>
          <reference field="2" count="3">
            <x v="11"/>
            <x v="12"/>
            <x v="13"/>
          </reference>
        </references>
      </pivotArea>
    </format>
    <format dxfId="473">
      <pivotArea dataOnly="0" labelOnly="1" outline="0" offset="IV7:IV9" fieldPosition="0">
        <references count="1">
          <reference field="1" count="1">
            <x v="4"/>
          </reference>
        </references>
      </pivotArea>
    </format>
    <format dxfId="472">
      <pivotArea dataOnly="0" labelOnly="1" outline="0" offset="IV7:IV9" fieldPosition="0">
        <references count="1">
          <reference field="1" count="1">
            <x v="4"/>
          </reference>
        </references>
      </pivotArea>
    </format>
    <format dxfId="471">
      <pivotArea dataOnly="0" labelOnly="1" outline="0" offset="IV7:IV9" fieldPosition="0">
        <references count="1">
          <reference field="1" count="1">
            <x v="4"/>
          </reference>
        </references>
      </pivotArea>
    </format>
    <format dxfId="470">
      <pivotArea dataOnly="0" labelOnly="1" outline="0" fieldPosition="0">
        <references count="2">
          <reference field="1" count="1" selected="0">
            <x v="4"/>
          </reference>
          <reference field="2" count="3">
            <x v="11"/>
            <x v="12"/>
            <x v="1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60F0C93-E03E-4123-92A8-9B5908C08DB2}" name="PivotTableFinanceData7"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829:N853"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13"/>
        <item x="14"/>
        <item x="15"/>
        <item x="25"/>
        <item x="33"/>
        <item x="27"/>
        <item x="34"/>
        <item x="35"/>
        <item x="1"/>
        <item x="2"/>
        <item x="3"/>
        <item x="4"/>
        <item x="5"/>
        <item x="6"/>
        <item x="7"/>
        <item x="8"/>
        <item x="9"/>
        <item x="10"/>
        <item x="11"/>
        <item x="12"/>
        <item x="16"/>
        <item x="17"/>
        <item x="18"/>
        <item x="19"/>
        <item x="20"/>
        <item x="21"/>
        <item x="22"/>
        <item x="23"/>
        <item x="24"/>
        <item x="26"/>
        <item x="28"/>
        <item x="30"/>
        <item x="31"/>
        <item x="32"/>
        <item x="36"/>
        <item x="37"/>
        <item x="38"/>
        <item x="39"/>
        <item x="40"/>
        <item x="41"/>
        <item x="42"/>
        <item x="43"/>
        <item x="44"/>
        <item x="45"/>
        <item x="46"/>
        <item x="47"/>
        <item x="48"/>
        <item x="49"/>
        <item x="50"/>
        <item x="51"/>
        <item x="52"/>
        <item x="5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axis="axisRow" compact="0" outline="0" showAll="0" defaultSubtotal="0">
      <items count="117">
        <item x="109"/>
        <item x="62"/>
        <item x="63"/>
        <item x="56"/>
        <item x="59"/>
        <item x="65"/>
        <item x="60"/>
        <item x="57"/>
        <item x="58"/>
        <item x="64"/>
        <item x="61"/>
        <item x="6"/>
        <item x="90"/>
        <item x="91"/>
        <item x="16"/>
        <item x="55"/>
        <item x="12"/>
        <item x="24"/>
        <item x="5"/>
        <item x="42"/>
        <item x="17"/>
        <item x="93"/>
        <item x="43"/>
        <item x="106"/>
        <item x="107"/>
        <item x="102"/>
        <item x="36"/>
        <item x="53"/>
        <item x="44"/>
        <item x="25"/>
        <item x="82"/>
        <item x="88"/>
        <item x="22"/>
        <item x="84"/>
        <item x="52"/>
        <item x="46"/>
        <item x="104"/>
        <item x="39"/>
        <item x="21"/>
        <item x="33"/>
        <item x="38"/>
        <item x="11"/>
        <item x="103"/>
        <item x="19"/>
        <item x="76"/>
        <item x="28"/>
        <item x="105"/>
        <item x="54"/>
        <item x="48"/>
        <item x="49"/>
        <item x="94"/>
        <item x="95"/>
        <item x="96"/>
        <item x="116"/>
        <item x="32"/>
        <item x="45"/>
        <item x="35"/>
        <item x="34"/>
        <item x="18"/>
        <item x="41"/>
        <item x="37"/>
        <item x="69"/>
        <item x="30"/>
        <item x="20"/>
        <item x="73"/>
        <item x="47"/>
        <item x="50"/>
        <item x="26"/>
        <item x="111"/>
        <item x="71"/>
        <item x="9"/>
        <item x="7"/>
        <item x="10"/>
        <item x="27"/>
        <item x="8"/>
        <item x="85"/>
        <item x="113"/>
        <item x="114"/>
        <item x="31"/>
        <item x="40"/>
        <item x="78"/>
        <item x="81"/>
        <item x="87"/>
        <item x="23"/>
        <item x="29"/>
        <item x="92"/>
        <item x="51"/>
        <item x="89"/>
        <item x="86"/>
        <item x="83"/>
        <item x="110"/>
        <item x="13"/>
        <item x="14"/>
        <item x="15"/>
        <item x="0"/>
        <item x="4"/>
        <item x="70"/>
        <item x="72"/>
        <item x="74"/>
        <item x="75"/>
        <item x="77"/>
        <item x="79"/>
        <item x="80"/>
        <item x="66"/>
        <item x="67"/>
        <item x="68"/>
        <item x="108"/>
        <item x="112"/>
        <item x="115"/>
        <item x="1"/>
        <item x="2"/>
        <item x="3"/>
        <item x="97"/>
        <item x="98"/>
        <item x="99"/>
        <item x="100"/>
        <item x="10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2"/>
    <field x="5"/>
    <field x="4"/>
  </rowFields>
  <rowItems count="24">
    <i>
      <x v="2"/>
      <x v="95"/>
      <x v="4"/>
    </i>
    <i>
      <x v="3"/>
      <x v="95"/>
      <x v="4"/>
    </i>
    <i>
      <x v="4"/>
      <x v="95"/>
      <x v="4"/>
    </i>
    <i>
      <x v="5"/>
      <x v="95"/>
      <x v="4"/>
    </i>
    <i>
      <x v="6"/>
      <x v="95"/>
      <x v="4"/>
    </i>
    <i>
      <x v="7"/>
      <x v="95"/>
      <x v="4"/>
    </i>
    <i>
      <x v="8"/>
      <x v="95"/>
      <x v="4"/>
    </i>
    <i>
      <x v="9"/>
      <x v="12"/>
      <x v="4"/>
    </i>
    <i r="1">
      <x v="13"/>
      <x v="4"/>
    </i>
    <i r="1">
      <x v="85"/>
      <x v="4"/>
    </i>
    <i r="1">
      <x v="95"/>
      <x v="4"/>
    </i>
    <i>
      <x v="36"/>
      <x v="21"/>
      <x v="4"/>
    </i>
    <i>
      <x v="37"/>
      <x v="50"/>
      <x v="4"/>
    </i>
    <i r="1">
      <x v="51"/>
      <x v="4"/>
    </i>
    <i r="1">
      <x v="52"/>
      <x v="4"/>
    </i>
    <i>
      <x v="38"/>
      <x v="95"/>
      <x v="4"/>
    </i>
    <i>
      <x v="39"/>
      <x v="95"/>
      <x v="4"/>
    </i>
    <i>
      <x v="40"/>
      <x v="95"/>
      <x v="4"/>
    </i>
    <i r="1">
      <x v="112"/>
      <x v="131"/>
    </i>
    <i r="1">
      <x v="113"/>
      <x v="132"/>
    </i>
    <i r="1">
      <x v="114"/>
      <x v="133"/>
    </i>
    <i r="1">
      <x v="115"/>
      <x v="134"/>
    </i>
    <i r="1">
      <x v="116"/>
      <x v="135"/>
    </i>
    <i>
      <x v="41"/>
      <x v="95"/>
      <x v="4"/>
    </i>
  </rowItems>
  <colFields count="1">
    <field x="-2"/>
  </colFields>
  <colItems count="8">
    <i>
      <x/>
    </i>
    <i i="1">
      <x v="1"/>
    </i>
    <i i="2">
      <x v="2"/>
    </i>
    <i i="3">
      <x v="3"/>
    </i>
    <i i="4">
      <x v="4"/>
    </i>
    <i i="5">
      <x v="5"/>
    </i>
    <i i="6">
      <x v="6"/>
    </i>
    <i i="7">
      <x v="7"/>
    </i>
  </colItems>
  <pageFields count="3">
    <pageField fld="0" item="5" hier="-1"/>
    <pageField fld="26" item="0"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147">
    <format dxfId="671">
      <pivotArea type="all" dataOnly="0" outline="0" fieldPosition="0"/>
    </format>
    <format dxfId="670">
      <pivotArea outline="0" collapsedLevelsAreSubtotals="1" fieldPosition="0"/>
    </format>
    <format dxfId="669">
      <pivotArea field="1" type="button" dataOnly="0" labelOnly="1" outline="0"/>
    </format>
    <format dxfId="668">
      <pivotArea field="2" type="button" dataOnly="0" labelOnly="1" outline="0" axis="axisRow" fieldPosition="0"/>
    </format>
    <format dxfId="667">
      <pivotArea dataOnly="0" labelOnly="1" grandRow="1" outline="0" fieldPosition="0"/>
    </format>
    <format dxfId="666">
      <pivotArea type="all" dataOnly="0" outline="0" fieldPosition="0"/>
    </format>
    <format dxfId="665">
      <pivotArea outline="0" collapsedLevelsAreSubtotals="1" fieldPosition="0"/>
    </format>
    <format dxfId="664">
      <pivotArea field="1" type="button" dataOnly="0" labelOnly="1" outline="0"/>
    </format>
    <format dxfId="663">
      <pivotArea field="2" type="button" dataOnly="0" labelOnly="1" outline="0" axis="axisRow" fieldPosition="0"/>
    </format>
    <format dxfId="662">
      <pivotArea type="all" dataOnly="0" outline="0" fieldPosition="0"/>
    </format>
    <format dxfId="661">
      <pivotArea outline="0" collapsedLevelsAreSubtotals="1" fieldPosition="0"/>
    </format>
    <format dxfId="660">
      <pivotArea field="1" type="button" dataOnly="0" labelOnly="1" outline="0"/>
    </format>
    <format dxfId="659">
      <pivotArea field="2" type="button" dataOnly="0" labelOnly="1" outline="0" axis="axisRow" fieldPosition="0"/>
    </format>
    <format dxfId="658">
      <pivotArea field="4" type="button" dataOnly="0" labelOnly="1" outline="0" axis="axisRow" fieldPosition="2"/>
    </format>
    <format dxfId="657">
      <pivotArea dataOnly="0" labelOnly="1" outline="0" fieldPosition="0">
        <references count="2">
          <reference field="0" count="1" selected="0">
            <x v="1"/>
          </reference>
          <reference field="26" count="1">
            <x v="0"/>
          </reference>
        </references>
      </pivotArea>
    </format>
    <format dxfId="656">
      <pivotArea dataOnly="0" labelOnly="1" outline="0" fieldPosition="0">
        <references count="2">
          <reference field="0" count="1">
            <x v="1"/>
          </reference>
          <reference field="26" count="1" selected="0">
            <x v="0"/>
          </reference>
        </references>
      </pivotArea>
    </format>
    <format dxfId="655">
      <pivotArea outline="0" fieldPosition="0">
        <references count="1">
          <reference field="4294967294" count="1">
            <x v="0"/>
          </reference>
        </references>
      </pivotArea>
    </format>
    <format dxfId="654">
      <pivotArea outline="0" fieldPosition="0">
        <references count="1">
          <reference field="4294967294" count="1">
            <x v="1"/>
          </reference>
        </references>
      </pivotArea>
    </format>
    <format dxfId="653">
      <pivotArea outline="0" fieldPosition="0">
        <references count="1">
          <reference field="4294967294" count="1">
            <x v="2"/>
          </reference>
        </references>
      </pivotArea>
    </format>
    <format dxfId="652">
      <pivotArea outline="0" fieldPosition="0">
        <references count="1">
          <reference field="4294967294" count="1">
            <x v="3"/>
          </reference>
        </references>
      </pivotArea>
    </format>
    <format dxfId="651">
      <pivotArea outline="0" fieldPosition="0">
        <references count="1">
          <reference field="4294967294" count="1">
            <x v="4"/>
          </reference>
        </references>
      </pivotArea>
    </format>
    <format dxfId="650">
      <pivotArea outline="0" fieldPosition="0">
        <references count="1">
          <reference field="4294967294" count="1">
            <x v="5"/>
          </reference>
        </references>
      </pivotArea>
    </format>
    <format dxfId="649">
      <pivotArea outline="0" fieldPosition="0">
        <references count="1">
          <reference field="4294967294" count="1">
            <x v="6"/>
          </reference>
        </references>
      </pivotArea>
    </format>
    <format dxfId="648">
      <pivotArea outline="0" fieldPosition="0">
        <references count="1">
          <reference field="4294967294" count="1">
            <x v="7"/>
          </reference>
        </references>
      </pivotArea>
    </format>
    <format dxfId="647">
      <pivotArea dataOnly="0" labelOnly="1" outline="0" fieldPosition="0">
        <references count="1">
          <reference field="4294967294" count="1">
            <x v="0"/>
          </reference>
        </references>
      </pivotArea>
    </format>
    <format dxfId="646">
      <pivotArea dataOnly="0" labelOnly="1" outline="0" fieldPosition="0">
        <references count="1">
          <reference field="4294967294" count="1">
            <x v="0"/>
          </reference>
        </references>
      </pivotArea>
    </format>
    <format dxfId="645">
      <pivotArea dataOnly="0" labelOnly="1" outline="0" fieldPosition="0">
        <references count="1">
          <reference field="4294967294" count="1">
            <x v="0"/>
          </reference>
        </references>
      </pivotArea>
    </format>
    <format dxfId="644">
      <pivotArea dataOnly="0" labelOnly="1" outline="0" fieldPosition="0">
        <references count="1">
          <reference field="4294967294" count="1">
            <x v="1"/>
          </reference>
        </references>
      </pivotArea>
    </format>
    <format dxfId="643">
      <pivotArea dataOnly="0" labelOnly="1" outline="0" fieldPosition="0">
        <references count="1">
          <reference field="4294967294" count="1">
            <x v="2"/>
          </reference>
        </references>
      </pivotArea>
    </format>
    <format dxfId="642">
      <pivotArea dataOnly="0" labelOnly="1" outline="0" fieldPosition="0">
        <references count="1">
          <reference field="4294967294" count="1">
            <x v="3"/>
          </reference>
        </references>
      </pivotArea>
    </format>
    <format dxfId="641">
      <pivotArea dataOnly="0" labelOnly="1" outline="0" fieldPosition="0">
        <references count="1">
          <reference field="4294967294" count="1">
            <x v="4"/>
          </reference>
        </references>
      </pivotArea>
    </format>
    <format dxfId="640">
      <pivotArea dataOnly="0" labelOnly="1" outline="0" fieldPosition="0">
        <references count="1">
          <reference field="4294967294" count="1">
            <x v="5"/>
          </reference>
        </references>
      </pivotArea>
    </format>
    <format dxfId="639">
      <pivotArea dataOnly="0" labelOnly="1" outline="0" fieldPosition="0">
        <references count="1">
          <reference field="4294967294" count="1">
            <x v="6"/>
          </reference>
        </references>
      </pivotArea>
    </format>
    <format dxfId="638">
      <pivotArea dataOnly="0" labelOnly="1" outline="0" fieldPosition="0">
        <references count="1">
          <reference field="4294967294" count="1">
            <x v="7"/>
          </reference>
        </references>
      </pivotArea>
    </format>
    <format dxfId="637">
      <pivotArea field="4" type="button" dataOnly="0" labelOnly="1" outline="0" axis="axisRow" fieldPosition="2"/>
    </format>
    <format dxfId="636">
      <pivotArea field="2" type="button" dataOnly="0" labelOnly="1" outline="0" axis="axisRow" fieldPosition="0"/>
    </format>
    <format dxfId="635">
      <pivotArea field="1" type="button" dataOnly="0" labelOnly="1" outline="0"/>
    </format>
    <format dxfId="634">
      <pivotArea dataOnly="0" outline="0" fieldPosition="0">
        <references count="3">
          <reference field="0" count="1" selected="0">
            <x v="1"/>
          </reference>
          <reference field="2" count="3">
            <x v="2"/>
            <x v="3"/>
            <x v="4"/>
          </reference>
          <reference field="26" count="1" selected="0">
            <x v="0"/>
          </reference>
        </references>
      </pivotArea>
    </format>
    <format dxfId="633">
      <pivotArea dataOnly="0" outline="0" fieldPosition="0">
        <references count="3">
          <reference field="0" count="1" selected="0">
            <x v="1"/>
          </reference>
          <reference field="2" count="3">
            <x v="2"/>
            <x v="3"/>
            <x v="4"/>
          </reference>
          <reference field="26" count="1" selected="0">
            <x v="0"/>
          </reference>
        </references>
      </pivotArea>
    </format>
    <format dxfId="632">
      <pivotArea dataOnly="0" outline="0" fieldPosition="0">
        <references count="3">
          <reference field="0" count="1" selected="0">
            <x v="1"/>
          </reference>
          <reference field="2" count="3">
            <x v="2"/>
            <x v="3"/>
            <x v="4"/>
          </reference>
          <reference field="26" count="1" selected="0">
            <x v="0"/>
          </reference>
        </references>
      </pivotArea>
    </format>
    <format dxfId="631">
      <pivotArea dataOnly="0" labelOnly="1" outline="0" fieldPosition="0">
        <references count="2">
          <reference field="0" count="1">
            <x v="1"/>
          </reference>
          <reference field="26" count="1" selected="0">
            <x v="2"/>
          </reference>
        </references>
      </pivotArea>
    </format>
    <format dxfId="630">
      <pivotArea dataOnly="0" labelOnly="1" outline="0" fieldPosition="0">
        <references count="2">
          <reference field="0" count="1" selected="0">
            <x v="1"/>
          </reference>
          <reference field="26" count="1">
            <x v="2"/>
          </reference>
        </references>
      </pivotArea>
    </format>
    <format dxfId="629">
      <pivotArea dataOnly="0" labelOnly="1" outline="0" fieldPosition="0">
        <references count="2">
          <reference field="0" count="1">
            <x v="4"/>
          </reference>
          <reference field="26" count="1" selected="0">
            <x v="0"/>
          </reference>
        </references>
      </pivotArea>
    </format>
    <format dxfId="628">
      <pivotArea dataOnly="0" labelOnly="1" outline="0" fieldPosition="0">
        <references count="2">
          <reference field="0" count="1" selected="0">
            <x v="4"/>
          </reference>
          <reference field="26" count="1">
            <x v="0"/>
          </reference>
        </references>
      </pivotArea>
    </format>
    <format dxfId="627">
      <pivotArea dataOnly="0" labelOnly="1" outline="0" fieldPosition="0">
        <references count="2">
          <reference field="0" count="1">
            <x v="5"/>
          </reference>
          <reference field="26" count="1" selected="0">
            <x v="0"/>
          </reference>
        </references>
      </pivotArea>
    </format>
    <format dxfId="626">
      <pivotArea dataOnly="0" labelOnly="1" outline="0" fieldPosition="0">
        <references count="2">
          <reference field="0" count="1" selected="0">
            <x v="5"/>
          </reference>
          <reference field="26" count="1">
            <x v="0"/>
          </reference>
        </references>
      </pivotArea>
    </format>
    <format dxfId="625">
      <pivotArea dataOnly="0" labelOnly="1" outline="0" offset="IV256" fieldPosition="0">
        <references count="1">
          <reference field="2" count="1">
            <x v="9"/>
          </reference>
        </references>
      </pivotArea>
    </format>
    <format dxfId="624">
      <pivotArea dataOnly="0" labelOnly="1" outline="0" offset="IV256" fieldPosition="0">
        <references count="1">
          <reference field="2" count="1">
            <x v="9"/>
          </reference>
        </references>
      </pivotArea>
    </format>
    <format dxfId="623">
      <pivotArea outline="0" fieldPosition="0">
        <references count="3">
          <reference field="2" count="1" selected="0">
            <x v="9"/>
          </reference>
          <reference field="4" count="1" selected="0">
            <x v="4"/>
          </reference>
          <reference field="5" count="1" selected="0">
            <x v="95"/>
          </reference>
        </references>
      </pivotArea>
    </format>
    <format dxfId="622">
      <pivotArea outline="0" fieldPosition="0">
        <references count="3">
          <reference field="2" count="1" selected="0">
            <x v="9"/>
          </reference>
          <reference field="4" count="1" selected="0">
            <x v="4"/>
          </reference>
          <reference field="5" count="1" selected="0">
            <x v="95"/>
          </reference>
        </references>
      </pivotArea>
    </format>
    <format dxfId="621">
      <pivotArea dataOnly="0" outline="0" fieldPosition="0">
        <references count="3">
          <reference field="0" count="1" selected="0">
            <x v="5"/>
          </reference>
          <reference field="2" count="2">
            <x v="38"/>
            <x v="39"/>
          </reference>
          <reference field="26" count="1" selected="0">
            <x v="0"/>
          </reference>
        </references>
      </pivotArea>
    </format>
    <format dxfId="620">
      <pivotArea dataOnly="0" outline="0" fieldPosition="0">
        <references count="3">
          <reference field="0" count="1" selected="0">
            <x v="5"/>
          </reference>
          <reference field="2" count="2">
            <x v="38"/>
            <x v="39"/>
          </reference>
          <reference field="26" count="1" selected="0">
            <x v="0"/>
          </reference>
        </references>
      </pivotArea>
    </format>
    <format dxfId="619">
      <pivotArea dataOnly="0" outline="0" fieldPosition="0">
        <references count="3">
          <reference field="0" count="1" selected="0">
            <x v="5"/>
          </reference>
          <reference field="2" count="1">
            <x v="38"/>
          </reference>
          <reference field="26" count="1" selected="0">
            <x v="0"/>
          </reference>
        </references>
      </pivotArea>
    </format>
    <format dxfId="618">
      <pivotArea dataOnly="0" outline="0" fieldPosition="0">
        <references count="3">
          <reference field="0" count="1" selected="0">
            <x v="5"/>
          </reference>
          <reference field="2" count="1">
            <x v="41"/>
          </reference>
          <reference field="26" count="1" selected="0">
            <x v="0"/>
          </reference>
        </references>
      </pivotArea>
    </format>
    <format dxfId="617">
      <pivotArea dataOnly="0" outline="0" fieldPosition="0">
        <references count="3">
          <reference field="0" count="1" selected="0">
            <x v="5"/>
          </reference>
          <reference field="2" count="1">
            <x v="41"/>
          </reference>
          <reference field="26" count="1" selected="0">
            <x v="0"/>
          </reference>
        </references>
      </pivotArea>
    </format>
    <format dxfId="616">
      <pivotArea outline="0" fieldPosition="0">
        <references count="3">
          <reference field="2" count="1" selected="0">
            <x v="40"/>
          </reference>
          <reference field="4" count="1" selected="0">
            <x v="4"/>
          </reference>
          <reference field="5" count="1" selected="0">
            <x v="95"/>
          </reference>
        </references>
      </pivotArea>
    </format>
    <format dxfId="615">
      <pivotArea outline="0" fieldPosition="0">
        <references count="3">
          <reference field="2" count="1" selected="0">
            <x v="40"/>
          </reference>
          <reference field="4" count="1" selected="0">
            <x v="4"/>
          </reference>
          <reference field="5" count="1" selected="0">
            <x v="95"/>
          </reference>
        </references>
      </pivotArea>
    </format>
    <format dxfId="614">
      <pivotArea dataOnly="0" labelOnly="1" outline="0" fieldPosition="0">
        <references count="1">
          <reference field="2" count="1">
            <x v="40"/>
          </reference>
        </references>
      </pivotArea>
    </format>
    <format dxfId="613">
      <pivotArea dataOnly="0" labelOnly="1" outline="0" offset="IV256" fieldPosition="0">
        <references count="1">
          <reference field="2" count="1">
            <x v="40"/>
          </reference>
        </references>
      </pivotArea>
    </format>
    <format dxfId="612">
      <pivotArea dataOnly="0" labelOnly="1" outline="0" offset="IV256" fieldPosition="0">
        <references count="1">
          <reference field="2" count="1">
            <x v="40"/>
          </reference>
        </references>
      </pivotArea>
    </format>
    <format dxfId="611">
      <pivotArea dataOnly="0" outline="0" fieldPosition="0">
        <references count="3">
          <reference field="0" count="1" selected="0">
            <x v="5"/>
          </reference>
          <reference field="2" count="1">
            <x v="6"/>
          </reference>
          <reference field="26" count="1" selected="0">
            <x v="0"/>
          </reference>
        </references>
      </pivotArea>
    </format>
    <format dxfId="610">
      <pivotArea dataOnly="0" outline="0" fieldPosition="0">
        <references count="3">
          <reference field="0" count="1" selected="0">
            <x v="5"/>
          </reference>
          <reference field="2" count="1">
            <x v="6"/>
          </reference>
          <reference field="26" count="1" selected="0">
            <x v="0"/>
          </reference>
        </references>
      </pivotArea>
    </format>
    <format dxfId="609">
      <pivotArea dataOnly="0" outline="0" fieldPosition="0">
        <references count="3">
          <reference field="0" count="1" selected="0">
            <x v="5"/>
          </reference>
          <reference field="2" count="1">
            <x v="6"/>
          </reference>
          <reference field="26" count="1" selected="0">
            <x v="0"/>
          </reference>
        </references>
      </pivotArea>
    </format>
    <format dxfId="608">
      <pivotArea dataOnly="0" outline="0" fieldPosition="0">
        <references count="3">
          <reference field="0" count="1" selected="0">
            <x v="5"/>
          </reference>
          <reference field="2" count="1">
            <x v="8"/>
          </reference>
          <reference field="26" count="1" selected="0">
            <x v="0"/>
          </reference>
        </references>
      </pivotArea>
    </format>
    <format dxfId="607">
      <pivotArea dataOnly="0" outline="0" fieldPosition="0">
        <references count="3">
          <reference field="0" count="1" selected="0">
            <x v="5"/>
          </reference>
          <reference field="2" count="1">
            <x v="8"/>
          </reference>
          <reference field="26" count="1" selected="0">
            <x v="0"/>
          </reference>
        </references>
      </pivotArea>
    </format>
    <format dxfId="606">
      <pivotArea dataOnly="0" outline="0" fieldPosition="0">
        <references count="3">
          <reference field="0" count="1" selected="0">
            <x v="5"/>
          </reference>
          <reference field="2" count="1">
            <x v="4"/>
          </reference>
          <reference field="26" count="1" selected="0">
            <x v="0"/>
          </reference>
        </references>
      </pivotArea>
    </format>
    <format dxfId="605">
      <pivotArea dataOnly="0" outline="0" fieldPosition="0">
        <references count="3">
          <reference field="0" count="1" selected="0">
            <x v="5"/>
          </reference>
          <reference field="2" count="1">
            <x v="4"/>
          </reference>
          <reference field="26" count="1" selected="0">
            <x v="0"/>
          </reference>
        </references>
      </pivotArea>
    </format>
    <format dxfId="604">
      <pivotArea dataOnly="0" labelOnly="1" outline="0" offset="IV3" fieldPosition="0">
        <references count="2">
          <reference field="2" count="1" selected="0">
            <x v="2"/>
          </reference>
          <reference field="5" count="1">
            <x v="95"/>
          </reference>
        </references>
      </pivotArea>
    </format>
    <format dxfId="603">
      <pivotArea dataOnly="0" labelOnly="1" outline="0" offset="IV3" fieldPosition="0">
        <references count="2">
          <reference field="2" count="1" selected="0">
            <x v="2"/>
          </reference>
          <reference field="5" count="1">
            <x v="95"/>
          </reference>
        </references>
      </pivotArea>
    </format>
    <format dxfId="602">
      <pivotArea dataOnly="0" labelOnly="1" outline="0" fieldPosition="0">
        <references count="1">
          <reference field="2" count="1">
            <x v="4"/>
          </reference>
        </references>
      </pivotArea>
    </format>
    <format dxfId="601">
      <pivotArea outline="0" fieldPosition="0">
        <references count="4">
          <reference field="4294967294" count="1" selected="0">
            <x v="0"/>
          </reference>
          <reference field="2" count="1" selected="0">
            <x v="4"/>
          </reference>
          <reference field="4" count="1" selected="0">
            <x v="4"/>
          </reference>
          <reference field="5" count="1" selected="0">
            <x v="95"/>
          </reference>
        </references>
      </pivotArea>
    </format>
    <format dxfId="600">
      <pivotArea outline="0" fieldPosition="0">
        <references count="4">
          <reference field="4294967294" count="1" selected="0">
            <x v="0"/>
          </reference>
          <reference field="2" count="1" selected="0">
            <x v="6"/>
          </reference>
          <reference field="4" count="1" selected="0">
            <x v="4"/>
          </reference>
          <reference field="5" count="1" selected="0">
            <x v="95"/>
          </reference>
        </references>
      </pivotArea>
    </format>
    <format dxfId="599">
      <pivotArea outline="0" fieldPosition="0">
        <references count="4">
          <reference field="4294967294" count="1" selected="0">
            <x v="0"/>
          </reference>
          <reference field="2" count="1" selected="0">
            <x v="8"/>
          </reference>
          <reference field="4" count="1" selected="0">
            <x v="4"/>
          </reference>
          <reference field="5" count="1" selected="0">
            <x v="95"/>
          </reference>
        </references>
      </pivotArea>
    </format>
    <format dxfId="598">
      <pivotArea outline="0" fieldPosition="0">
        <references count="4">
          <reference field="4294967294" count="1" selected="0">
            <x v="0"/>
          </reference>
          <reference field="2" count="1" selected="0">
            <x v="9"/>
          </reference>
          <reference field="4" count="1" selected="0">
            <x v="4"/>
          </reference>
          <reference field="5" count="1" selected="0">
            <x v="95"/>
          </reference>
        </references>
      </pivotArea>
    </format>
    <format dxfId="597">
      <pivotArea outline="0" fieldPosition="0">
        <references count="4">
          <reference field="4294967294" count="1" selected="0">
            <x v="0"/>
          </reference>
          <reference field="2" count="1" selected="0">
            <x v="38"/>
          </reference>
          <reference field="4" count="1" selected="0">
            <x v="4"/>
          </reference>
          <reference field="5" count="1" selected="0">
            <x v="95"/>
          </reference>
        </references>
      </pivotArea>
    </format>
    <format dxfId="596">
      <pivotArea outline="0" fieldPosition="0">
        <references count="4">
          <reference field="4294967294" count="1" selected="0">
            <x v="0"/>
          </reference>
          <reference field="2" count="1" selected="0">
            <x v="39"/>
          </reference>
          <reference field="4" count="1" selected="0">
            <x v="4"/>
          </reference>
          <reference field="5" count="1" selected="0">
            <x v="95"/>
          </reference>
        </references>
      </pivotArea>
    </format>
    <format dxfId="595">
      <pivotArea outline="0" fieldPosition="0">
        <references count="4">
          <reference field="4294967294" count="1" selected="0">
            <x v="0"/>
          </reference>
          <reference field="2" count="1" selected="0">
            <x v="40"/>
          </reference>
          <reference field="4" count="1" selected="0">
            <x v="4"/>
          </reference>
          <reference field="5" count="1" selected="0">
            <x v="95"/>
          </reference>
        </references>
      </pivotArea>
    </format>
    <format dxfId="594">
      <pivotArea outline="0" fieldPosition="0">
        <references count="2">
          <reference field="4294967294" count="1" selected="0">
            <x v="0"/>
          </reference>
          <reference field="2" count="1" selected="0">
            <x v="41"/>
          </reference>
        </references>
      </pivotArea>
    </format>
    <format dxfId="593">
      <pivotArea dataOnly="0" labelOnly="1" outline="0" fieldPosition="0">
        <references count="1">
          <reference field="2" count="1">
            <x v="6"/>
          </reference>
        </references>
      </pivotArea>
    </format>
    <format dxfId="592">
      <pivotArea dataOnly="0" labelOnly="1" outline="0" fieldPosition="0">
        <references count="1">
          <reference field="2" count="1">
            <x v="8"/>
          </reference>
        </references>
      </pivotArea>
    </format>
    <format dxfId="591">
      <pivotArea dataOnly="0" labelOnly="1" outline="0" offset="IV256" fieldPosition="0">
        <references count="1">
          <reference field="2" count="1">
            <x v="9"/>
          </reference>
        </references>
      </pivotArea>
    </format>
    <format dxfId="590">
      <pivotArea dataOnly="0" labelOnly="1" outline="0" fieldPosition="0">
        <references count="1">
          <reference field="2" count="1">
            <x v="38"/>
          </reference>
        </references>
      </pivotArea>
    </format>
    <format dxfId="589">
      <pivotArea dataOnly="0" labelOnly="1" outline="0" fieldPosition="0">
        <references count="1">
          <reference field="2" count="1">
            <x v="39"/>
          </reference>
        </references>
      </pivotArea>
    </format>
    <format dxfId="588">
      <pivotArea dataOnly="0" labelOnly="1" outline="0" offset="IV256" fieldPosition="0">
        <references count="1">
          <reference field="2" count="1">
            <x v="40"/>
          </reference>
        </references>
      </pivotArea>
    </format>
    <format dxfId="587">
      <pivotArea dataOnly="0" labelOnly="1" outline="0" fieldPosition="0">
        <references count="1">
          <reference field="2" count="1">
            <x v="41"/>
          </reference>
        </references>
      </pivotArea>
    </format>
    <format dxfId="586">
      <pivotArea dataOnly="0" labelOnly="1" outline="0" offset="IV3" fieldPosition="0">
        <references count="2">
          <reference field="2" count="1" selected="0">
            <x v="2"/>
          </reference>
          <reference field="5" count="1">
            <x v="95"/>
          </reference>
        </references>
      </pivotArea>
    </format>
    <format dxfId="585">
      <pivotArea dataOnly="0" labelOnly="1" outline="0" offset="IV256" fieldPosition="0">
        <references count="2">
          <reference field="2" count="1" selected="0">
            <x v="2"/>
          </reference>
          <reference field="5" count="1">
            <x v="95"/>
          </reference>
        </references>
      </pivotArea>
    </format>
    <format dxfId="584">
      <pivotArea dataOnly="0" labelOnly="1" outline="0" fieldPosition="0">
        <references count="2">
          <reference field="2" count="1" selected="0">
            <x v="9"/>
          </reference>
          <reference field="5" count="1">
            <x v="95"/>
          </reference>
        </references>
      </pivotArea>
    </format>
    <format dxfId="583">
      <pivotArea dataOnly="0" labelOnly="1" outline="0" offset="IV1" fieldPosition="0">
        <references count="2">
          <reference field="2" count="1" selected="0">
            <x v="38"/>
          </reference>
          <reference field="5" count="1">
            <x v="95"/>
          </reference>
        </references>
      </pivotArea>
    </format>
    <format dxfId="582">
      <pivotArea dataOnly="0" labelOnly="1" outline="0" offset="IV256" fieldPosition="0">
        <references count="2">
          <reference field="2" count="1" selected="0">
            <x v="38"/>
          </reference>
          <reference field="5" count="1">
            <x v="95"/>
          </reference>
        </references>
      </pivotArea>
    </format>
    <format dxfId="581">
      <pivotArea dataOnly="0" labelOnly="1" outline="0" offset="IV1" fieldPosition="0">
        <references count="2">
          <reference field="2" count="1" selected="0">
            <x v="40"/>
          </reference>
          <reference field="5" count="1">
            <x v="95"/>
          </reference>
        </references>
      </pivotArea>
    </format>
    <format dxfId="580">
      <pivotArea dataOnly="0" labelOnly="1" outline="0" offset="IV256" fieldPosition="0">
        <references count="2">
          <reference field="2" count="1" selected="0">
            <x v="40"/>
          </reference>
          <reference field="5" count="1">
            <x v="95"/>
          </reference>
        </references>
      </pivotArea>
    </format>
    <format dxfId="579">
      <pivotArea dataOnly="0" labelOnly="1" outline="0" offset="IV256" fieldPosition="0">
        <references count="2">
          <reference field="2" count="1" selected="0">
            <x v="40"/>
          </reference>
          <reference field="5" count="1">
            <x v="95"/>
          </reference>
        </references>
      </pivotArea>
    </format>
    <format dxfId="578">
      <pivotArea dataOnly="0" labelOnly="1" outline="0" offset="IV256" fieldPosition="0">
        <references count="2">
          <reference field="2" count="1" selected="0">
            <x v="38"/>
          </reference>
          <reference field="5" count="1">
            <x v="95"/>
          </reference>
        </references>
      </pivotArea>
    </format>
    <format dxfId="577">
      <pivotArea dataOnly="0" labelOnly="1" outline="0" fieldPosition="0">
        <references count="2">
          <reference field="2" count="1" selected="0">
            <x v="9"/>
          </reference>
          <reference field="5" count="1">
            <x v="95"/>
          </reference>
        </references>
      </pivotArea>
    </format>
    <format dxfId="576">
      <pivotArea dataOnly="0" labelOnly="1" outline="0" offset="IV256" fieldPosition="0">
        <references count="2">
          <reference field="2" count="1" selected="0">
            <x v="2"/>
          </reference>
          <reference field="5" count="1">
            <x v="95"/>
          </reference>
        </references>
      </pivotArea>
    </format>
    <format dxfId="575">
      <pivotArea dataOnly="0" labelOnly="1" outline="0" offset="IV5" fieldPosition="0">
        <references count="2">
          <reference field="2" count="1" selected="0">
            <x v="2"/>
          </reference>
          <reference field="5" count="1">
            <x v="95"/>
          </reference>
        </references>
      </pivotArea>
    </format>
    <format dxfId="574">
      <pivotArea dataOnly="0" labelOnly="1" outline="0" offset="IV3" fieldPosition="0">
        <references count="2">
          <reference field="2" count="1" selected="0">
            <x v="2"/>
          </reference>
          <reference field="5" count="1">
            <x v="95"/>
          </reference>
        </references>
      </pivotArea>
    </format>
    <format dxfId="573">
      <pivotArea dataOnly="0" labelOnly="1" outline="0" offset="IV1" fieldPosition="0">
        <references count="2">
          <reference field="2" count="1" selected="0">
            <x v="2"/>
          </reference>
          <reference field="5" count="1">
            <x v="95"/>
          </reference>
        </references>
      </pivotArea>
    </format>
    <format dxfId="572">
      <pivotArea dataOnly="0" labelOnly="1" outline="0" offset="IV1" fieldPosition="0">
        <references count="2">
          <reference field="2" count="1" selected="0">
            <x v="2"/>
          </reference>
          <reference field="5" count="1">
            <x v="95"/>
          </reference>
        </references>
      </pivotArea>
    </format>
    <format dxfId="571">
      <pivotArea dataOnly="0" labelOnly="1" outline="0" fieldPosition="0">
        <references count="2">
          <reference field="2" count="1" selected="0">
            <x v="2"/>
          </reference>
          <reference field="5" count="1">
            <x v="95"/>
          </reference>
        </references>
      </pivotArea>
    </format>
    <format dxfId="570">
      <pivotArea dataOnly="0" labelOnly="1" outline="0" fieldPosition="0">
        <references count="2">
          <reference field="2" count="1" selected="0">
            <x v="9"/>
          </reference>
          <reference field="5" count="4">
            <x v="12"/>
            <x v="13"/>
            <x v="85"/>
            <x v="95"/>
          </reference>
        </references>
      </pivotArea>
    </format>
    <format dxfId="569">
      <pivotArea dataOnly="0" labelOnly="1" outline="0" fieldPosition="0">
        <references count="2">
          <reference field="2" count="1" selected="0">
            <x v="36"/>
          </reference>
          <reference field="5" count="1">
            <x v="21"/>
          </reference>
        </references>
      </pivotArea>
    </format>
    <format dxfId="568">
      <pivotArea dataOnly="0" labelOnly="1" outline="0" fieldPosition="0">
        <references count="2">
          <reference field="2" count="1" selected="0">
            <x v="37"/>
          </reference>
          <reference field="5" count="3">
            <x v="50"/>
            <x v="51"/>
            <x v="52"/>
          </reference>
        </references>
      </pivotArea>
    </format>
    <format dxfId="567">
      <pivotArea dataOnly="0" labelOnly="1" outline="0" fieldPosition="0">
        <references count="2">
          <reference field="2" count="1" selected="0">
            <x v="38"/>
          </reference>
          <reference field="5" count="1">
            <x v="95"/>
          </reference>
        </references>
      </pivotArea>
    </format>
    <format dxfId="566">
      <pivotArea dataOnly="0" labelOnly="1" outline="0" fieldPosition="0">
        <references count="2">
          <reference field="2" count="1" selected="0">
            <x v="40"/>
          </reference>
          <reference field="5" count="1">
            <x v="95"/>
          </reference>
        </references>
      </pivotArea>
    </format>
    <format dxfId="565">
      <pivotArea dataOnly="0" labelOnly="1" outline="0" fieldPosition="0">
        <references count="2">
          <reference field="2" count="1" selected="0">
            <x v="2"/>
          </reference>
          <reference field="5" count="1">
            <x v="95"/>
          </reference>
        </references>
      </pivotArea>
    </format>
    <format dxfId="564">
      <pivotArea dataOnly="0" labelOnly="1" outline="0" fieldPosition="0">
        <references count="2">
          <reference field="2" count="1" selected="0">
            <x v="9"/>
          </reference>
          <reference field="5" count="4">
            <x v="12"/>
            <x v="13"/>
            <x v="85"/>
            <x v="95"/>
          </reference>
        </references>
      </pivotArea>
    </format>
    <format dxfId="563">
      <pivotArea dataOnly="0" labelOnly="1" outline="0" fieldPosition="0">
        <references count="2">
          <reference field="2" count="1" selected="0">
            <x v="36"/>
          </reference>
          <reference field="5" count="1">
            <x v="21"/>
          </reference>
        </references>
      </pivotArea>
    </format>
    <format dxfId="562">
      <pivotArea dataOnly="0" labelOnly="1" outline="0" fieldPosition="0">
        <references count="2">
          <reference field="2" count="1" selected="0">
            <x v="37"/>
          </reference>
          <reference field="5" count="3">
            <x v="50"/>
            <x v="51"/>
            <x v="52"/>
          </reference>
        </references>
      </pivotArea>
    </format>
    <format dxfId="561">
      <pivotArea dataOnly="0" labelOnly="1" outline="0" fieldPosition="0">
        <references count="2">
          <reference field="2" count="1" selected="0">
            <x v="38"/>
          </reference>
          <reference field="5" count="1">
            <x v="95"/>
          </reference>
        </references>
      </pivotArea>
    </format>
    <format dxfId="560">
      <pivotArea dataOnly="0" labelOnly="1" outline="0" offset="IV1" fieldPosition="0">
        <references count="2">
          <reference field="2" count="1" selected="0">
            <x v="40"/>
          </reference>
          <reference field="5" count="1">
            <x v="95"/>
          </reference>
        </references>
      </pivotArea>
    </format>
    <format dxfId="559">
      <pivotArea dataOnly="0" labelOnly="1" outline="0" fieldPosition="0">
        <references count="2">
          <reference field="2" count="1" selected="0">
            <x v="9"/>
          </reference>
          <reference field="5" count="1">
            <x v="95"/>
          </reference>
        </references>
      </pivotArea>
    </format>
    <format dxfId="558">
      <pivotArea field="5" type="button" dataOnly="0" labelOnly="1" outline="0" axis="axisRow" fieldPosition="1"/>
    </format>
    <format dxfId="557">
      <pivotArea dataOnly="0" labelOnly="1" outline="0" offset="IV3" fieldPosition="0">
        <references count="2">
          <reference field="2" count="1" selected="0">
            <x v="2"/>
          </reference>
          <reference field="5" count="1">
            <x v="95"/>
          </reference>
        </references>
      </pivotArea>
    </format>
    <format dxfId="556">
      <pivotArea dataOnly="0" labelOnly="1" outline="0" offset="IV3" fieldPosition="0">
        <references count="2">
          <reference field="2" count="1" selected="0">
            <x v="2"/>
          </reference>
          <reference field="5" count="1">
            <x v="95"/>
          </reference>
        </references>
      </pivotArea>
    </format>
    <format dxfId="555">
      <pivotArea dataOnly="0" labelOnly="1" outline="0" offset="IV3" fieldPosition="0">
        <references count="2">
          <reference field="2" count="1" selected="0">
            <x v="2"/>
          </reference>
          <reference field="5" count="1">
            <x v="95"/>
          </reference>
        </references>
      </pivotArea>
    </format>
    <format dxfId="554">
      <pivotArea dataOnly="0" labelOnly="1" outline="0" offset="IV5" fieldPosition="0">
        <references count="2">
          <reference field="2" count="1" selected="0">
            <x v="2"/>
          </reference>
          <reference field="5" count="1">
            <x v="95"/>
          </reference>
        </references>
      </pivotArea>
    </format>
    <format dxfId="553">
      <pivotArea dataOnly="0" labelOnly="1" outline="0" offset="IV5" fieldPosition="0">
        <references count="2">
          <reference field="2" count="1" selected="0">
            <x v="2"/>
          </reference>
          <reference field="5" count="1">
            <x v="95"/>
          </reference>
        </references>
      </pivotArea>
    </format>
    <format dxfId="552">
      <pivotArea dataOnly="0" labelOnly="1" outline="0" offset="IV5" fieldPosition="0">
        <references count="2">
          <reference field="2" count="1" selected="0">
            <x v="2"/>
          </reference>
          <reference field="5" count="1">
            <x v="95"/>
          </reference>
        </references>
      </pivotArea>
    </format>
    <format dxfId="551">
      <pivotArea dataOnly="0" labelOnly="1" outline="0" offset="IV256" fieldPosition="0">
        <references count="2">
          <reference field="2" count="1" selected="0">
            <x v="2"/>
          </reference>
          <reference field="5" count="1">
            <x v="95"/>
          </reference>
        </references>
      </pivotArea>
    </format>
    <format dxfId="550">
      <pivotArea dataOnly="0" labelOnly="1" outline="0" offset="IV256" fieldPosition="0">
        <references count="2">
          <reference field="2" count="1" selected="0">
            <x v="2"/>
          </reference>
          <reference field="5" count="1">
            <x v="95"/>
          </reference>
        </references>
      </pivotArea>
    </format>
    <format dxfId="549">
      <pivotArea dataOnly="0" labelOnly="1" outline="0" offset="IV256" fieldPosition="0">
        <references count="2">
          <reference field="2" count="1" selected="0">
            <x v="2"/>
          </reference>
          <reference field="5" count="1">
            <x v="95"/>
          </reference>
        </references>
      </pivotArea>
    </format>
    <format dxfId="548">
      <pivotArea dataOnly="0" labelOnly="1" outline="0" fieldPosition="0">
        <references count="2">
          <reference field="2" count="1" selected="0">
            <x v="9"/>
          </reference>
          <reference field="5" count="1">
            <x v="95"/>
          </reference>
        </references>
      </pivotArea>
    </format>
    <format dxfId="547">
      <pivotArea dataOnly="0" labelOnly="1" outline="0" fieldPosition="0">
        <references count="2">
          <reference field="2" count="1" selected="0">
            <x v="9"/>
          </reference>
          <reference field="5" count="1">
            <x v="95"/>
          </reference>
        </references>
      </pivotArea>
    </format>
    <format dxfId="546">
      <pivotArea dataOnly="0" labelOnly="1" outline="0" fieldPosition="0">
        <references count="2">
          <reference field="2" count="1" selected="0">
            <x v="9"/>
          </reference>
          <reference field="5" count="1">
            <x v="95"/>
          </reference>
        </references>
      </pivotArea>
    </format>
    <format dxfId="545">
      <pivotArea dataOnly="0" labelOnly="1" outline="0" offset="IV1" fieldPosition="0">
        <references count="2">
          <reference field="2" count="1" selected="0">
            <x v="38"/>
          </reference>
          <reference field="5" count="1">
            <x v="95"/>
          </reference>
        </references>
      </pivotArea>
    </format>
    <format dxfId="544">
      <pivotArea dataOnly="0" labelOnly="1" outline="0" offset="IV1" fieldPosition="0">
        <references count="2">
          <reference field="2" count="1" selected="0">
            <x v="38"/>
          </reference>
          <reference field="5" count="1">
            <x v="95"/>
          </reference>
        </references>
      </pivotArea>
    </format>
    <format dxfId="543">
      <pivotArea dataOnly="0" labelOnly="1" outline="0" offset="IV1" fieldPosition="0">
        <references count="2">
          <reference field="2" count="1" selected="0">
            <x v="38"/>
          </reference>
          <reference field="5" count="1">
            <x v="95"/>
          </reference>
        </references>
      </pivotArea>
    </format>
    <format dxfId="542">
      <pivotArea dataOnly="0" labelOnly="1" outline="0" offset="IV256" fieldPosition="0">
        <references count="2">
          <reference field="2" count="1" selected="0">
            <x v="38"/>
          </reference>
          <reference field="5" count="1">
            <x v="95"/>
          </reference>
        </references>
      </pivotArea>
    </format>
    <format dxfId="541">
      <pivotArea dataOnly="0" labelOnly="1" outline="0" offset="IV1" fieldPosition="0">
        <references count="2">
          <reference field="2" count="1" selected="0">
            <x v="40"/>
          </reference>
          <reference field="5" count="1">
            <x v="95"/>
          </reference>
        </references>
      </pivotArea>
    </format>
    <format dxfId="540">
      <pivotArea dataOnly="0" labelOnly="1" outline="0" offset="IV1" fieldPosition="0">
        <references count="2">
          <reference field="2" count="1" selected="0">
            <x v="40"/>
          </reference>
          <reference field="5" count="1">
            <x v="95"/>
          </reference>
        </references>
      </pivotArea>
    </format>
    <format dxfId="539">
      <pivotArea dataOnly="0" labelOnly="1" outline="0" offset="IV1" fieldPosition="0">
        <references count="2">
          <reference field="2" count="1" selected="0">
            <x v="40"/>
          </reference>
          <reference field="5" count="1">
            <x v="95"/>
          </reference>
        </references>
      </pivotArea>
    </format>
    <format dxfId="538">
      <pivotArea dataOnly="0" labelOnly="1" outline="0" offset="IV256" fieldPosition="0">
        <references count="2">
          <reference field="2" count="1" selected="0">
            <x v="40"/>
          </reference>
          <reference field="5" count="1">
            <x v="95"/>
          </reference>
        </references>
      </pivotArea>
    </format>
    <format dxfId="537">
      <pivotArea dataOnly="0" labelOnly="1" outline="0" offset="IV256" fieldPosition="0">
        <references count="2">
          <reference field="2" count="1" selected="0">
            <x v="40"/>
          </reference>
          <reference field="5" count="1">
            <x v="95"/>
          </reference>
        </references>
      </pivotArea>
    </format>
    <format dxfId="536">
      <pivotArea dataOnly="0" labelOnly="1" outline="0" offset="IV1" fieldPosition="0">
        <references count="2">
          <reference field="2" count="1" selected="0">
            <x v="2"/>
          </reference>
          <reference field="5" count="1">
            <x v="95"/>
          </reference>
        </references>
      </pivotArea>
    </format>
    <format dxfId="535">
      <pivotArea dataOnly="0" labelOnly="1" outline="0" offset="IV1" fieldPosition="0">
        <references count="2">
          <reference field="2" count="1" selected="0">
            <x v="2"/>
          </reference>
          <reference field="5" count="1">
            <x v="95"/>
          </reference>
        </references>
      </pivotArea>
    </format>
    <format dxfId="534">
      <pivotArea dataOnly="0" labelOnly="1" outline="0" offset="IV256" fieldPosition="0">
        <references count="2">
          <reference field="2" count="1" selected="0">
            <x v="40"/>
          </reference>
          <reference field="5" count="1">
            <x v="95"/>
          </reference>
        </references>
      </pivotArea>
    </format>
    <format dxfId="533">
      <pivotArea dataOnly="0" labelOnly="1" outline="0" offset="IV256" fieldPosition="0">
        <references count="2">
          <reference field="2" count="1" selected="0">
            <x v="40"/>
          </reference>
          <reference field="5" count="1">
            <x v="95"/>
          </reference>
        </references>
      </pivotArea>
    </format>
    <format dxfId="532">
      <pivotArea dataOnly="0" labelOnly="1" outline="0" offset="IV256" fieldPosition="0">
        <references count="2">
          <reference field="2" count="1" selected="0">
            <x v="38"/>
          </reference>
          <reference field="5" count="1">
            <x v="95"/>
          </reference>
        </references>
      </pivotArea>
    </format>
    <format dxfId="531">
      <pivotArea dataOnly="0" labelOnly="1" outline="0" offset="IV256" fieldPosition="0">
        <references count="2">
          <reference field="2" count="1" selected="0">
            <x v="38"/>
          </reference>
          <reference field="5" count="1">
            <x v="95"/>
          </reference>
        </references>
      </pivotArea>
    </format>
    <format dxfId="530">
      <pivotArea dataOnly="0" labelOnly="1" outline="0" fieldPosition="0">
        <references count="2">
          <reference field="2" count="1" selected="0">
            <x v="9"/>
          </reference>
          <reference field="5" count="1">
            <x v="95"/>
          </reference>
        </references>
      </pivotArea>
    </format>
    <format dxfId="529">
      <pivotArea dataOnly="0" labelOnly="1" outline="0" fieldPosition="0">
        <references count="2">
          <reference field="2" count="1" selected="0">
            <x v="9"/>
          </reference>
          <reference field="5" count="1">
            <x v="95"/>
          </reference>
        </references>
      </pivotArea>
    </format>
    <format dxfId="528">
      <pivotArea dataOnly="0" labelOnly="1" outline="0" offset="IV1" fieldPosition="0">
        <references count="2">
          <reference field="2" count="1" selected="0">
            <x v="38"/>
          </reference>
          <reference field="5" count="1">
            <x v="95"/>
          </reference>
        </references>
      </pivotArea>
    </format>
    <format dxfId="527">
      <pivotArea dataOnly="0" labelOnly="1" outline="0" offset="IV1" fieldPosition="0">
        <references count="2">
          <reference field="2" count="1" selected="0">
            <x v="38"/>
          </reference>
          <reference field="5" count="1">
            <x v="95"/>
          </reference>
        </references>
      </pivotArea>
    </format>
    <format dxfId="526">
      <pivotArea dataOnly="0" labelOnly="1" outline="0" offset="IV1" fieldPosition="0">
        <references count="2">
          <reference field="2" count="1" selected="0">
            <x v="40"/>
          </reference>
          <reference field="5" count="1">
            <x v="95"/>
          </reference>
        </references>
      </pivotArea>
    </format>
    <format dxfId="525">
      <pivotArea dataOnly="0" labelOnly="1" outline="0" offset="IV1" fieldPosition="0">
        <references count="2">
          <reference field="2" count="1" selected="0">
            <x v="40"/>
          </reference>
          <reference field="5" count="1">
            <x v="95"/>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78B8344-DFAE-4450-8F05-5A3EB2355A70}" name="PivotTableFinanceData9" cacheId="3"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D1029:N1057" firstHeaderRow="0" firstDataRow="1" firstDataCol="3"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axis="axisRow" compact="0" outline="0" showAll="0" defaultSubtotal="0">
      <items count="54">
        <item x="0"/>
        <item x="29"/>
        <item x="13"/>
        <item x="15"/>
        <item x="27"/>
        <item x="35"/>
        <item x="1"/>
        <item x="2"/>
        <item x="3"/>
        <item x="4"/>
        <item x="5"/>
        <item x="6"/>
        <item x="7"/>
        <item x="8"/>
        <item x="9"/>
        <item x="10"/>
        <item x="11"/>
        <item x="14"/>
        <item x="12"/>
        <item x="16"/>
        <item x="17"/>
        <item x="18"/>
        <item x="19"/>
        <item x="20"/>
        <item x="21"/>
        <item x="22"/>
        <item x="23"/>
        <item x="24"/>
        <item x="25"/>
        <item x="26"/>
        <item x="28"/>
        <item x="30"/>
        <item x="31"/>
        <item x="32"/>
        <item x="36"/>
        <item x="38"/>
        <item x="39"/>
        <item x="40"/>
        <item x="41"/>
        <item x="45"/>
        <item x="42"/>
        <item x="46"/>
        <item x="48"/>
        <item x="50"/>
        <item x="43"/>
        <item x="47"/>
        <item x="49"/>
        <item x="51"/>
        <item x="37"/>
        <item x="44"/>
        <item x="52"/>
        <item x="53"/>
        <item x="33"/>
        <item x="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49">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s>
      <extLst>
        <ext xmlns:x14="http://schemas.microsoft.com/office/spreadsheetml/2009/9/main" uri="{2946ED86-A175-432a-8AC1-64E0C546D7DE}">
          <x14:pivotField fillDownLabels="1"/>
        </ext>
      </extLst>
    </pivotField>
    <pivotField axis="axisRow" compact="0" outline="0" showAll="0" defaultSubtotal="0">
      <items count="117">
        <item x="109"/>
        <item x="62"/>
        <item x="63"/>
        <item x="56"/>
        <item x="59"/>
        <item x="65"/>
        <item x="60"/>
        <item x="57"/>
        <item x="58"/>
        <item x="64"/>
        <item x="61"/>
        <item x="6"/>
        <item x="90"/>
        <item x="91"/>
        <item x="16"/>
        <item x="55"/>
        <item x="12"/>
        <item x="24"/>
        <item x="5"/>
        <item x="42"/>
        <item x="17"/>
        <item x="93"/>
        <item x="43"/>
        <item x="106"/>
        <item x="107"/>
        <item x="102"/>
        <item x="36"/>
        <item x="53"/>
        <item x="44"/>
        <item x="25"/>
        <item x="82"/>
        <item x="88"/>
        <item x="22"/>
        <item x="84"/>
        <item x="52"/>
        <item x="46"/>
        <item x="104"/>
        <item x="39"/>
        <item x="21"/>
        <item x="33"/>
        <item x="38"/>
        <item x="11"/>
        <item x="103"/>
        <item x="19"/>
        <item x="76"/>
        <item x="28"/>
        <item x="110"/>
        <item x="105"/>
        <item x="54"/>
        <item x="48"/>
        <item x="49"/>
        <item x="94"/>
        <item x="95"/>
        <item x="96"/>
        <item x="116"/>
        <item x="32"/>
        <item x="45"/>
        <item x="35"/>
        <item x="34"/>
        <item x="18"/>
        <item x="41"/>
        <item x="37"/>
        <item x="69"/>
        <item x="30"/>
        <item x="20"/>
        <item x="73"/>
        <item x="47"/>
        <item x="50"/>
        <item x="26"/>
        <item x="111"/>
        <item x="71"/>
        <item x="9"/>
        <item x="7"/>
        <item x="10"/>
        <item x="27"/>
        <item x="8"/>
        <item x="85"/>
        <item x="113"/>
        <item x="114"/>
        <item x="31"/>
        <item x="40"/>
        <item x="78"/>
        <item x="81"/>
        <item x="87"/>
        <item x="23"/>
        <item x="29"/>
        <item x="92"/>
        <item x="51"/>
        <item x="89"/>
        <item x="86"/>
        <item x="83"/>
        <item x="13"/>
        <item x="14"/>
        <item x="15"/>
        <item x="0"/>
        <item x="108"/>
        <item x="4"/>
        <item x="70"/>
        <item x="72"/>
        <item x="74"/>
        <item x="75"/>
        <item x="77"/>
        <item x="79"/>
        <item x="80"/>
        <item x="66"/>
        <item x="67"/>
        <item x="68"/>
        <item x="112"/>
        <item x="115"/>
        <item x="1"/>
        <item x="2"/>
        <item x="3"/>
        <item x="97"/>
        <item x="98"/>
        <item x="99"/>
        <item x="100"/>
        <item x="10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axis="axisPage" compact="0" outline="0" showAll="0">
      <items count="5">
        <item x="2"/>
        <item x="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2"/>
    <field x="5"/>
    <field x="4"/>
  </rowFields>
  <rowItems count="28">
    <i>
      <x v="39"/>
      <x v="25"/>
      <x v="4"/>
    </i>
    <i r="1">
      <x v="42"/>
      <x v="4"/>
    </i>
    <i r="1">
      <x v="46"/>
      <x v="4"/>
    </i>
    <i r="1">
      <x v="47"/>
      <x v="4"/>
    </i>
    <i r="1">
      <x v="69"/>
      <x v="4"/>
    </i>
    <i r="1">
      <x v="96"/>
      <x v="4"/>
    </i>
    <i>
      <x v="40"/>
      <x v="23"/>
      <x v="4"/>
    </i>
    <i r="1">
      <x v="24"/>
      <x v="4"/>
    </i>
    <i r="1">
      <x v="51"/>
      <x v="4"/>
    </i>
    <i r="1">
      <x v="52"/>
      <x v="4"/>
    </i>
    <i r="1">
      <x v="53"/>
      <x v="4"/>
    </i>
    <i r="1">
      <x v="54"/>
      <x v="4"/>
    </i>
    <i r="1">
      <x v="95"/>
      <x v="4"/>
    </i>
    <i r="1">
      <x v="96"/>
      <x v="4"/>
    </i>
    <i>
      <x v="41"/>
      <x v="96"/>
      <x v="4"/>
    </i>
    <i>
      <x v="42"/>
      <x v="96"/>
      <x v="4"/>
    </i>
    <i>
      <x v="43"/>
      <x v="96"/>
      <x v="4"/>
    </i>
    <i>
      <x v="44"/>
      <x v="53"/>
      <x v="4"/>
    </i>
    <i r="1">
      <x v="54"/>
      <x v="4"/>
    </i>
    <i>
      <x v="45"/>
      <x v="96"/>
      <x v="4"/>
    </i>
    <i>
      <x v="46"/>
      <x v="96"/>
      <x v="4"/>
    </i>
    <i>
      <x v="47"/>
      <x v="96"/>
      <x v="4"/>
    </i>
    <i>
      <x v="48"/>
      <x v="53"/>
      <x v="4"/>
    </i>
    <i r="1">
      <x v="54"/>
      <x v="4"/>
    </i>
    <i>
      <x v="50"/>
      <x v="53"/>
      <x v="4"/>
    </i>
    <i r="1">
      <x v="54"/>
      <x v="4"/>
    </i>
    <i>
      <x v="51"/>
      <x v="53"/>
      <x v="4"/>
    </i>
    <i r="1">
      <x v="54"/>
      <x v="4"/>
    </i>
  </rowItems>
  <colFields count="1">
    <field x="-2"/>
  </colFields>
  <colItems count="8">
    <i>
      <x/>
    </i>
    <i i="1">
      <x v="1"/>
    </i>
    <i i="2">
      <x v="2"/>
    </i>
    <i i="3">
      <x v="3"/>
    </i>
    <i i="4">
      <x v="4"/>
    </i>
    <i i="5">
      <x v="5"/>
    </i>
    <i i="6">
      <x v="6"/>
    </i>
    <i i="7">
      <x v="7"/>
    </i>
  </colItems>
  <pageFields count="3">
    <pageField fld="0" item="7" hier="-1"/>
    <pageField fld="26" item="0" hier="-1"/>
    <pageField fld="25" hier="-1"/>
  </pageFields>
  <dataFields count="8">
    <dataField name="Sum of YEAR-2" fld="12" baseField="4" baseItem="24" numFmtId="164"/>
    <dataField name="Sum of YEAR-1" fld="13" baseField="4" baseItem="24" numFmtId="164"/>
    <dataField name="Sum of CURRENT YEAR" fld="16" baseField="4" baseItem="24" numFmtId="164"/>
    <dataField name="Sum of YEAR2" fld="17" baseField="4" baseItem="24" numFmtId="164"/>
    <dataField name="Sum of YEAR3" fld="18" baseField="4" baseItem="24" numFmtId="164"/>
    <dataField name="Sum of YEAR4" fld="19" baseField="4" baseItem="24" numFmtId="164"/>
    <dataField name="Sum of YEAR5" fld="20" baseField="4" baseItem="24" numFmtId="164"/>
    <dataField name="Sum of YEAR6" fld="21" baseField="4" baseItem="24" numFmtId="164"/>
  </dataFields>
  <formats count="169">
    <format dxfId="840">
      <pivotArea type="all" dataOnly="0" outline="0" fieldPosition="0"/>
    </format>
    <format dxfId="839">
      <pivotArea outline="0" collapsedLevelsAreSubtotals="1" fieldPosition="0"/>
    </format>
    <format dxfId="838">
      <pivotArea field="1" type="button" dataOnly="0" labelOnly="1" outline="0"/>
    </format>
    <format dxfId="837">
      <pivotArea field="2" type="button" dataOnly="0" labelOnly="1" outline="0" axis="axisRow" fieldPosition="0"/>
    </format>
    <format dxfId="836">
      <pivotArea dataOnly="0" labelOnly="1" grandRow="1" outline="0" fieldPosition="0"/>
    </format>
    <format dxfId="835">
      <pivotArea type="all" dataOnly="0" outline="0" fieldPosition="0"/>
    </format>
    <format dxfId="834">
      <pivotArea outline="0" collapsedLevelsAreSubtotals="1" fieldPosition="0"/>
    </format>
    <format dxfId="833">
      <pivotArea field="1" type="button" dataOnly="0" labelOnly="1" outline="0"/>
    </format>
    <format dxfId="832">
      <pivotArea field="2" type="button" dataOnly="0" labelOnly="1" outline="0" axis="axisRow" fieldPosition="0"/>
    </format>
    <format dxfId="831">
      <pivotArea type="all" dataOnly="0" outline="0" fieldPosition="0"/>
    </format>
    <format dxfId="830">
      <pivotArea outline="0" collapsedLevelsAreSubtotals="1" fieldPosition="0"/>
    </format>
    <format dxfId="829">
      <pivotArea field="1" type="button" dataOnly="0" labelOnly="1" outline="0"/>
    </format>
    <format dxfId="828">
      <pivotArea field="2" type="button" dataOnly="0" labelOnly="1" outline="0" axis="axisRow" fieldPosition="0"/>
    </format>
    <format dxfId="827">
      <pivotArea field="4" type="button" dataOnly="0" labelOnly="1" outline="0" axis="axisRow" fieldPosition="2"/>
    </format>
    <format dxfId="826">
      <pivotArea dataOnly="0" labelOnly="1" outline="0" fieldPosition="0">
        <references count="2">
          <reference field="0" count="1" selected="0">
            <x v="1"/>
          </reference>
          <reference field="26" count="1">
            <x v="0"/>
          </reference>
        </references>
      </pivotArea>
    </format>
    <format dxfId="825">
      <pivotArea dataOnly="0" labelOnly="1" outline="0" fieldPosition="0">
        <references count="2">
          <reference field="0" count="1">
            <x v="1"/>
          </reference>
          <reference field="26" count="1" selected="0">
            <x v="0"/>
          </reference>
        </references>
      </pivotArea>
    </format>
    <format dxfId="824">
      <pivotArea outline="0" fieldPosition="0">
        <references count="1">
          <reference field="4294967294" count="1">
            <x v="0"/>
          </reference>
        </references>
      </pivotArea>
    </format>
    <format dxfId="823">
      <pivotArea outline="0" fieldPosition="0">
        <references count="1">
          <reference field="4294967294" count="1">
            <x v="1"/>
          </reference>
        </references>
      </pivotArea>
    </format>
    <format dxfId="822">
      <pivotArea outline="0" fieldPosition="0">
        <references count="1">
          <reference field="4294967294" count="1">
            <x v="2"/>
          </reference>
        </references>
      </pivotArea>
    </format>
    <format dxfId="821">
      <pivotArea outline="0" fieldPosition="0">
        <references count="1">
          <reference field="4294967294" count="1">
            <x v="3"/>
          </reference>
        </references>
      </pivotArea>
    </format>
    <format dxfId="820">
      <pivotArea outline="0" fieldPosition="0">
        <references count="1">
          <reference field="4294967294" count="1">
            <x v="4"/>
          </reference>
        </references>
      </pivotArea>
    </format>
    <format dxfId="819">
      <pivotArea outline="0" fieldPosition="0">
        <references count="1">
          <reference field="4294967294" count="1">
            <x v="5"/>
          </reference>
        </references>
      </pivotArea>
    </format>
    <format dxfId="818">
      <pivotArea outline="0" fieldPosition="0">
        <references count="1">
          <reference field="4294967294" count="1">
            <x v="6"/>
          </reference>
        </references>
      </pivotArea>
    </format>
    <format dxfId="817">
      <pivotArea outline="0" fieldPosition="0">
        <references count="1">
          <reference field="4294967294" count="1">
            <x v="7"/>
          </reference>
        </references>
      </pivotArea>
    </format>
    <format dxfId="816">
      <pivotArea dataOnly="0" labelOnly="1" outline="0" fieldPosition="0">
        <references count="1">
          <reference field="4294967294" count="1">
            <x v="0"/>
          </reference>
        </references>
      </pivotArea>
    </format>
    <format dxfId="815">
      <pivotArea dataOnly="0" labelOnly="1" outline="0" fieldPosition="0">
        <references count="1">
          <reference field="4294967294" count="1">
            <x v="0"/>
          </reference>
        </references>
      </pivotArea>
    </format>
    <format dxfId="814">
      <pivotArea dataOnly="0" labelOnly="1" outline="0" fieldPosition="0">
        <references count="1">
          <reference field="4294967294" count="1">
            <x v="0"/>
          </reference>
        </references>
      </pivotArea>
    </format>
    <format dxfId="813">
      <pivotArea dataOnly="0" labelOnly="1" outline="0" fieldPosition="0">
        <references count="1">
          <reference field="4294967294" count="1">
            <x v="1"/>
          </reference>
        </references>
      </pivotArea>
    </format>
    <format dxfId="812">
      <pivotArea dataOnly="0" labelOnly="1" outline="0" fieldPosition="0">
        <references count="1">
          <reference field="4294967294" count="1">
            <x v="2"/>
          </reference>
        </references>
      </pivotArea>
    </format>
    <format dxfId="811">
      <pivotArea dataOnly="0" labelOnly="1" outline="0" fieldPosition="0">
        <references count="1">
          <reference field="4294967294" count="1">
            <x v="3"/>
          </reference>
        </references>
      </pivotArea>
    </format>
    <format dxfId="810">
      <pivotArea dataOnly="0" labelOnly="1" outline="0" fieldPosition="0">
        <references count="1">
          <reference field="4294967294" count="1">
            <x v="4"/>
          </reference>
        </references>
      </pivotArea>
    </format>
    <format dxfId="809">
      <pivotArea dataOnly="0" labelOnly="1" outline="0" fieldPosition="0">
        <references count="1">
          <reference field="4294967294" count="1">
            <x v="5"/>
          </reference>
        </references>
      </pivotArea>
    </format>
    <format dxfId="808">
      <pivotArea dataOnly="0" labelOnly="1" outline="0" fieldPosition="0">
        <references count="1">
          <reference field="4294967294" count="1">
            <x v="6"/>
          </reference>
        </references>
      </pivotArea>
    </format>
    <format dxfId="807">
      <pivotArea dataOnly="0" labelOnly="1" outline="0" fieldPosition="0">
        <references count="1">
          <reference field="4294967294" count="1">
            <x v="7"/>
          </reference>
        </references>
      </pivotArea>
    </format>
    <format dxfId="806">
      <pivotArea field="4" type="button" dataOnly="0" labelOnly="1" outline="0" axis="axisRow" fieldPosition="2"/>
    </format>
    <format dxfId="805">
      <pivotArea field="2" type="button" dataOnly="0" labelOnly="1" outline="0" axis="axisRow" fieldPosition="0"/>
    </format>
    <format dxfId="804">
      <pivotArea field="1" type="button" dataOnly="0" labelOnly="1" outline="0"/>
    </format>
    <format dxfId="803">
      <pivotArea dataOnly="0" outline="0" fieldPosition="0">
        <references count="3">
          <reference field="0" count="1" selected="0">
            <x v="1"/>
          </reference>
          <reference field="2" count="3">
            <x v="2"/>
            <x v="3"/>
            <x v="17"/>
          </reference>
          <reference field="26" count="1" selected="0">
            <x v="0"/>
          </reference>
        </references>
      </pivotArea>
    </format>
    <format dxfId="802">
      <pivotArea dataOnly="0" outline="0" fieldPosition="0">
        <references count="3">
          <reference field="0" count="1" selected="0">
            <x v="1"/>
          </reference>
          <reference field="2" count="3">
            <x v="2"/>
            <x v="3"/>
            <x v="17"/>
          </reference>
          <reference field="26" count="1" selected="0">
            <x v="0"/>
          </reference>
        </references>
      </pivotArea>
    </format>
    <format dxfId="801">
      <pivotArea dataOnly="0" outline="0" fieldPosition="0">
        <references count="3">
          <reference field="0" count="1" selected="0">
            <x v="1"/>
          </reference>
          <reference field="2" count="3">
            <x v="2"/>
            <x v="3"/>
            <x v="17"/>
          </reference>
          <reference field="26" count="1" selected="0">
            <x v="0"/>
          </reference>
        </references>
      </pivotArea>
    </format>
    <format dxfId="800">
      <pivotArea dataOnly="0" labelOnly="1" outline="0" fieldPosition="0">
        <references count="2">
          <reference field="0" count="1">
            <x v="1"/>
          </reference>
          <reference field="26" count="1" selected="0">
            <x v="2"/>
          </reference>
        </references>
      </pivotArea>
    </format>
    <format dxfId="799">
      <pivotArea dataOnly="0" labelOnly="1" outline="0" fieldPosition="0">
        <references count="2">
          <reference field="0" count="1" selected="0">
            <x v="1"/>
          </reference>
          <reference field="26" count="1">
            <x v="2"/>
          </reference>
        </references>
      </pivotArea>
    </format>
    <format dxfId="798">
      <pivotArea dataOnly="0" labelOnly="1" outline="0" fieldPosition="0">
        <references count="2">
          <reference field="0" count="1">
            <x v="4"/>
          </reference>
          <reference field="26" count="1" selected="0">
            <x v="0"/>
          </reference>
        </references>
      </pivotArea>
    </format>
    <format dxfId="797">
      <pivotArea dataOnly="0" labelOnly="1" outline="0" fieldPosition="0">
        <references count="2">
          <reference field="0" count="1" selected="0">
            <x v="4"/>
          </reference>
          <reference field="26" count="1">
            <x v="0"/>
          </reference>
        </references>
      </pivotArea>
    </format>
    <format dxfId="796">
      <pivotArea dataOnly="0" labelOnly="1" outline="0" fieldPosition="0">
        <references count="2">
          <reference field="0" count="1">
            <x v="5"/>
          </reference>
          <reference field="26" count="1" selected="0">
            <x v="0"/>
          </reference>
        </references>
      </pivotArea>
    </format>
    <format dxfId="795">
      <pivotArea dataOnly="0" labelOnly="1" outline="0" fieldPosition="0">
        <references count="2">
          <reference field="0" count="1" selected="0">
            <x v="5"/>
          </reference>
          <reference field="26" count="1">
            <x v="0"/>
          </reference>
        </references>
      </pivotArea>
    </format>
    <format dxfId="794">
      <pivotArea dataOnly="0" labelOnly="1" outline="0" offset="IV256" fieldPosition="0">
        <references count="1">
          <reference field="2" count="1">
            <x v="5"/>
          </reference>
        </references>
      </pivotArea>
    </format>
    <format dxfId="793">
      <pivotArea dataOnly="0" labelOnly="1" outline="0" offset="IV256" fieldPosition="0">
        <references count="1">
          <reference field="2" count="1">
            <x v="5"/>
          </reference>
        </references>
      </pivotArea>
    </format>
    <format dxfId="792">
      <pivotArea outline="0" fieldPosition="0">
        <references count="3">
          <reference field="2" count="1" selected="0">
            <x v="5"/>
          </reference>
          <reference field="4" count="1" selected="0">
            <x v="4"/>
          </reference>
          <reference field="5" count="1" selected="0">
            <x v="96"/>
          </reference>
        </references>
      </pivotArea>
    </format>
    <format dxfId="791">
      <pivotArea outline="0" fieldPosition="0">
        <references count="3">
          <reference field="2" count="1" selected="0">
            <x v="5"/>
          </reference>
          <reference field="4" count="1" selected="0">
            <x v="4"/>
          </reference>
          <reference field="5" count="1" selected="0">
            <x v="96"/>
          </reference>
        </references>
      </pivotArea>
    </format>
    <format dxfId="790">
      <pivotArea dataOnly="0" outline="0" fieldPosition="0">
        <references count="3">
          <reference field="0" count="1" selected="0">
            <x v="5"/>
          </reference>
          <reference field="2" count="2">
            <x v="35"/>
            <x v="36"/>
          </reference>
          <reference field="26" count="1" selected="0">
            <x v="0"/>
          </reference>
        </references>
      </pivotArea>
    </format>
    <format dxfId="789">
      <pivotArea dataOnly="0" outline="0" fieldPosition="0">
        <references count="3">
          <reference field="0" count="1" selected="0">
            <x v="5"/>
          </reference>
          <reference field="2" count="2">
            <x v="35"/>
            <x v="36"/>
          </reference>
          <reference field="26" count="1" selected="0">
            <x v="0"/>
          </reference>
        </references>
      </pivotArea>
    </format>
    <format dxfId="788">
      <pivotArea dataOnly="0" outline="0" fieldPosition="0">
        <references count="3">
          <reference field="0" count="1" selected="0">
            <x v="5"/>
          </reference>
          <reference field="2" count="1">
            <x v="35"/>
          </reference>
          <reference field="26" count="1" selected="0">
            <x v="0"/>
          </reference>
        </references>
      </pivotArea>
    </format>
    <format dxfId="787">
      <pivotArea dataOnly="0" outline="0" fieldPosition="0">
        <references count="3">
          <reference field="0" count="1" selected="0">
            <x v="5"/>
          </reference>
          <reference field="2" count="1">
            <x v="38"/>
          </reference>
          <reference field="26" count="1" selected="0">
            <x v="0"/>
          </reference>
        </references>
      </pivotArea>
    </format>
    <format dxfId="786">
      <pivotArea dataOnly="0" outline="0" fieldPosition="0">
        <references count="3">
          <reference field="0" count="1" selected="0">
            <x v="5"/>
          </reference>
          <reference field="2" count="1">
            <x v="38"/>
          </reference>
          <reference field="26" count="1" selected="0">
            <x v="0"/>
          </reference>
        </references>
      </pivotArea>
    </format>
    <format dxfId="785">
      <pivotArea outline="0" fieldPosition="0">
        <references count="3">
          <reference field="2" count="1" selected="0">
            <x v="37"/>
          </reference>
          <reference field="4" count="1" selected="0">
            <x v="4"/>
          </reference>
          <reference field="5" count="1" selected="0">
            <x v="96"/>
          </reference>
        </references>
      </pivotArea>
    </format>
    <format dxfId="784">
      <pivotArea outline="0" fieldPosition="0">
        <references count="3">
          <reference field="2" count="1" selected="0">
            <x v="37"/>
          </reference>
          <reference field="4" count="1" selected="0">
            <x v="4"/>
          </reference>
          <reference field="5" count="1" selected="0">
            <x v="96"/>
          </reference>
        </references>
      </pivotArea>
    </format>
    <format dxfId="783">
      <pivotArea dataOnly="0" labelOnly="1" outline="0" fieldPosition="0">
        <references count="1">
          <reference field="2" count="1">
            <x v="37"/>
          </reference>
        </references>
      </pivotArea>
    </format>
    <format dxfId="782">
      <pivotArea dataOnly="0" labelOnly="1" outline="0" offset="IV256" fieldPosition="0">
        <references count="1">
          <reference field="2" count="1">
            <x v="37"/>
          </reference>
        </references>
      </pivotArea>
    </format>
    <format dxfId="781">
      <pivotArea dataOnly="0" labelOnly="1" outline="0" offset="IV256" fieldPosition="0">
        <references count="1">
          <reference field="2" count="1">
            <x v="37"/>
          </reference>
        </references>
      </pivotArea>
    </format>
    <format dxfId="780">
      <pivotArea dataOnly="0" labelOnly="1" outline="0" fieldPosition="0">
        <references count="2">
          <reference field="0" count="1">
            <x v="6"/>
          </reference>
          <reference field="26" count="1" selected="0">
            <x v="0"/>
          </reference>
        </references>
      </pivotArea>
    </format>
    <format dxfId="779">
      <pivotArea dataOnly="0" labelOnly="1" outline="0" fieldPosition="0">
        <references count="2">
          <reference field="0" count="1">
            <x v="6"/>
          </reference>
          <reference field="26" count="1" selected="0">
            <x v="0"/>
          </reference>
        </references>
      </pivotArea>
    </format>
    <format dxfId="778">
      <pivotArea dataOnly="0" labelOnly="1" outline="0" fieldPosition="0">
        <references count="2">
          <reference field="0" count="1" selected="0">
            <x v="6"/>
          </reference>
          <reference field="26" count="1">
            <x v="0"/>
          </reference>
        </references>
      </pivotArea>
    </format>
    <format dxfId="777">
      <pivotArea dataOnly="0" outline="0" fieldPosition="0">
        <references count="3">
          <reference field="0" count="1" selected="0">
            <x v="6"/>
          </reference>
          <reference field="2" count="0" defaultSubtotal="1"/>
          <reference field="26" count="1" selected="0">
            <x v="0"/>
          </reference>
        </references>
      </pivotArea>
    </format>
    <format dxfId="776">
      <pivotArea dataOnly="0" labelOnly="1" outline="0" fieldPosition="0">
        <references count="2">
          <reference field="0" count="1">
            <x v="7"/>
          </reference>
          <reference field="26" count="1" selected="0">
            <x v="0"/>
          </reference>
        </references>
      </pivotArea>
    </format>
    <format dxfId="775">
      <pivotArea dataOnly="0" labelOnly="1" outline="0" fieldPosition="0">
        <references count="2">
          <reference field="0" count="1" selected="0">
            <x v="7"/>
          </reference>
          <reference field="26" count="1">
            <x v="0"/>
          </reference>
        </references>
      </pivotArea>
    </format>
    <format dxfId="774">
      <pivotArea dataOnly="0" outline="0" fieldPosition="0">
        <references count="3">
          <reference field="0" count="1" selected="0">
            <x v="7"/>
          </reference>
          <reference field="2" count="0" defaultSubtotal="1"/>
          <reference field="26" count="1" selected="0">
            <x v="0"/>
          </reference>
        </references>
      </pivotArea>
    </format>
    <format dxfId="773">
      <pivotArea outline="0" fieldPosition="0">
        <references count="3">
          <reference field="2" count="1" selected="0">
            <x v="39"/>
          </reference>
          <reference field="4" count="1" selected="0">
            <x v="4"/>
          </reference>
          <reference field="5" count="1" selected="0">
            <x v="96"/>
          </reference>
        </references>
      </pivotArea>
    </format>
    <format dxfId="772">
      <pivotArea outline="0" fieldPosition="0">
        <references count="3">
          <reference field="2" count="1" selected="0">
            <x v="39"/>
          </reference>
          <reference field="4" count="1" selected="0">
            <x v="4"/>
          </reference>
          <reference field="5" count="1" selected="0">
            <x v="96"/>
          </reference>
        </references>
      </pivotArea>
    </format>
    <format dxfId="771">
      <pivotArea dataOnly="0" labelOnly="1" outline="0" offset="IV256" fieldPosition="0">
        <references count="1">
          <reference field="2" count="1">
            <x v="39"/>
          </reference>
        </references>
      </pivotArea>
    </format>
    <format dxfId="770">
      <pivotArea dataOnly="0" labelOnly="1" outline="0" fieldPosition="0">
        <references count="2">
          <reference field="2" count="1" selected="0">
            <x v="39"/>
          </reference>
          <reference field="5" count="1">
            <x v="96"/>
          </reference>
        </references>
      </pivotArea>
    </format>
    <format dxfId="769">
      <pivotArea dataOnly="0" labelOnly="1" outline="0" offset="IV256" fieldPosition="0">
        <references count="1">
          <reference field="2" count="1">
            <x v="39"/>
          </reference>
        </references>
      </pivotArea>
    </format>
    <format dxfId="768">
      <pivotArea dataOnly="0" labelOnly="1" outline="0" fieldPosition="0">
        <references count="2">
          <reference field="2" count="1" selected="0">
            <x v="39"/>
          </reference>
          <reference field="5" count="1">
            <x v="96"/>
          </reference>
        </references>
      </pivotArea>
    </format>
    <format dxfId="767">
      <pivotArea dataOnly="0" labelOnly="1" outline="0" offset="IV256" fieldPosition="0">
        <references count="1">
          <reference field="2" count="1">
            <x v="40"/>
          </reference>
        </references>
      </pivotArea>
    </format>
    <format dxfId="766">
      <pivotArea dataOnly="0" labelOnly="1" outline="0" fieldPosition="0">
        <references count="2">
          <reference field="2" count="1" selected="0">
            <x v="40"/>
          </reference>
          <reference field="5" count="1">
            <x v="96"/>
          </reference>
        </references>
      </pivotArea>
    </format>
    <format dxfId="765">
      <pivotArea dataOnly="0" labelOnly="1" outline="0" offset="IV256" fieldPosition="0">
        <references count="1">
          <reference field="2" count="1">
            <x v="40"/>
          </reference>
        </references>
      </pivotArea>
    </format>
    <format dxfId="764">
      <pivotArea dataOnly="0" labelOnly="1" outline="0" fieldPosition="0">
        <references count="2">
          <reference field="2" count="1" selected="0">
            <x v="40"/>
          </reference>
          <reference field="5" count="1">
            <x v="96"/>
          </reference>
        </references>
      </pivotArea>
    </format>
    <format dxfId="763">
      <pivotArea outline="0" fieldPosition="0">
        <references count="3">
          <reference field="2" count="1" selected="0">
            <x v="40"/>
          </reference>
          <reference field="4" count="1" selected="0">
            <x v="4"/>
          </reference>
          <reference field="5" count="1" selected="0">
            <x v="96"/>
          </reference>
        </references>
      </pivotArea>
    </format>
    <format dxfId="762">
      <pivotArea outline="0" fieldPosition="0">
        <references count="3">
          <reference field="2" count="1" selected="0">
            <x v="40"/>
          </reference>
          <reference field="4" count="1" selected="0">
            <x v="4"/>
          </reference>
          <reference field="5" count="1" selected="0">
            <x v="96"/>
          </reference>
        </references>
      </pivotArea>
    </format>
    <format dxfId="761">
      <pivotArea outline="0" fieldPosition="0">
        <references count="3">
          <reference field="2" count="1" selected="0">
            <x v="40"/>
          </reference>
          <reference field="4" count="1" selected="0">
            <x v="4"/>
          </reference>
          <reference field="5" count="1" selected="0">
            <x v="54"/>
          </reference>
        </references>
      </pivotArea>
    </format>
    <format dxfId="760">
      <pivotArea outline="0" fieldPosition="0">
        <references count="3">
          <reference field="2" count="1" selected="0">
            <x v="40"/>
          </reference>
          <reference field="4" count="1" selected="0">
            <x v="4"/>
          </reference>
          <reference field="5" count="1" selected="0">
            <x v="54"/>
          </reference>
        </references>
      </pivotArea>
    </format>
    <format dxfId="759">
      <pivotArea dataOnly="0" labelOnly="1" outline="0" fieldPosition="0">
        <references count="2">
          <reference field="2" count="1" selected="0">
            <x v="40"/>
          </reference>
          <reference field="5" count="1">
            <x v="54"/>
          </reference>
        </references>
      </pivotArea>
    </format>
    <format dxfId="758">
      <pivotArea dataOnly="0" labelOnly="1" outline="0" fieldPosition="0">
        <references count="2">
          <reference field="2" count="1" selected="0">
            <x v="40"/>
          </reference>
          <reference field="5" count="1">
            <x v="54"/>
          </reference>
        </references>
      </pivotArea>
    </format>
    <format dxfId="757">
      <pivotArea dataOnly="0" outline="0" fieldPosition="0">
        <references count="3">
          <reference field="0" count="1" selected="0">
            <x v="7"/>
          </reference>
          <reference field="2" count="1">
            <x v="44"/>
          </reference>
          <reference field="26" count="1" selected="0">
            <x v="0"/>
          </reference>
        </references>
      </pivotArea>
    </format>
    <format dxfId="756">
      <pivotArea dataOnly="0" outline="0" fieldPosition="0">
        <references count="3">
          <reference field="0" count="1" selected="0">
            <x v="7"/>
          </reference>
          <reference field="2" count="1">
            <x v="44"/>
          </reference>
          <reference field="26" count="1" selected="0">
            <x v="0"/>
          </reference>
        </references>
      </pivotArea>
    </format>
    <format dxfId="755">
      <pivotArea dataOnly="0" labelOnly="1" outline="0" offset="IV1" fieldPosition="0">
        <references count="1">
          <reference field="2" count="1">
            <x v="44"/>
          </reference>
        </references>
      </pivotArea>
    </format>
    <format dxfId="754">
      <pivotArea outline="0" fieldPosition="0">
        <references count="3">
          <reference field="2" count="1" selected="0">
            <x v="44"/>
          </reference>
          <reference field="4" count="1" selected="0">
            <x v="4"/>
          </reference>
          <reference field="5" count="1" selected="0">
            <x v="53"/>
          </reference>
        </references>
      </pivotArea>
    </format>
    <format dxfId="753">
      <pivotArea dataOnly="0" labelOnly="1" outline="0" offset="IV1" fieldPosition="0">
        <references count="1">
          <reference field="2" count="1">
            <x v="48"/>
          </reference>
        </references>
      </pivotArea>
    </format>
    <format dxfId="752">
      <pivotArea dataOnly="0" labelOnly="1" outline="0" offset="IV1" fieldPosition="0">
        <references count="1">
          <reference field="2" count="1">
            <x v="48"/>
          </reference>
        </references>
      </pivotArea>
    </format>
    <format dxfId="751">
      <pivotArea dataOnly="0" labelOnly="1" outline="0" offset="IV256" fieldPosition="0">
        <references count="1">
          <reference field="2" count="1">
            <x v="48"/>
          </reference>
        </references>
      </pivotArea>
    </format>
    <format dxfId="750">
      <pivotArea dataOnly="0" labelOnly="1" outline="0" offset="IV256" fieldPosition="0">
        <references count="1">
          <reference field="2" count="1">
            <x v="48"/>
          </reference>
        </references>
      </pivotArea>
    </format>
    <format dxfId="749">
      <pivotArea outline="0" fieldPosition="0">
        <references count="3">
          <reference field="2" count="1" selected="0">
            <x v="48"/>
          </reference>
          <reference field="4" count="1" selected="0">
            <x v="4"/>
          </reference>
          <reference field="5" count="1" selected="0">
            <x v="54"/>
          </reference>
        </references>
      </pivotArea>
    </format>
    <format dxfId="748">
      <pivotArea outline="0" fieldPosition="0">
        <references count="3">
          <reference field="2" count="1" selected="0">
            <x v="48"/>
          </reference>
          <reference field="4" count="1" selected="0">
            <x v="4"/>
          </reference>
          <reference field="5" count="1" selected="0">
            <x v="54"/>
          </reference>
        </references>
      </pivotArea>
    </format>
    <format dxfId="747">
      <pivotArea outline="0" fieldPosition="0">
        <references count="3">
          <reference field="2" count="1" selected="0">
            <x v="50"/>
          </reference>
          <reference field="4" count="1" selected="0">
            <x v="4"/>
          </reference>
          <reference field="5" count="1" selected="0">
            <x v="53"/>
          </reference>
        </references>
      </pivotArea>
    </format>
    <format dxfId="746">
      <pivotArea outline="0" fieldPosition="0">
        <references count="3">
          <reference field="2" count="1" selected="0">
            <x v="48"/>
          </reference>
          <reference field="4" count="1" selected="0">
            <x v="4"/>
          </reference>
          <reference field="5" count="1" selected="0">
            <x v="53"/>
          </reference>
        </references>
      </pivotArea>
    </format>
    <format dxfId="745">
      <pivotArea outline="0" fieldPosition="0">
        <references count="3">
          <reference field="2" count="1" selected="0">
            <x v="48"/>
          </reference>
          <reference field="4" count="1" selected="0">
            <x v="4"/>
          </reference>
          <reference field="5" count="1" selected="0">
            <x v="53"/>
          </reference>
        </references>
      </pivotArea>
    </format>
    <format dxfId="744">
      <pivotArea outline="0" fieldPosition="0">
        <references count="3">
          <reference field="2" count="1" selected="0">
            <x v="50"/>
          </reference>
          <reference field="4" count="1" selected="0">
            <x v="4"/>
          </reference>
          <reference field="5" count="1" selected="0">
            <x v="53"/>
          </reference>
        </references>
      </pivotArea>
    </format>
    <format dxfId="743">
      <pivotArea outline="0" fieldPosition="0">
        <references count="3">
          <reference field="2" count="1" selected="0">
            <x v="50"/>
          </reference>
          <reference field="4" count="1" selected="0">
            <x v="4"/>
          </reference>
          <reference field="5" count="1" selected="0">
            <x v="53"/>
          </reference>
        </references>
      </pivotArea>
    </format>
    <format dxfId="742">
      <pivotArea outline="0" fieldPosition="0">
        <references count="3">
          <reference field="2" count="1" selected="0">
            <x v="48"/>
          </reference>
          <reference field="4" count="1" selected="0">
            <x v="4"/>
          </reference>
          <reference field="5" count="1" selected="0">
            <x v="54"/>
          </reference>
        </references>
      </pivotArea>
    </format>
    <format dxfId="741">
      <pivotArea dataOnly="0" labelOnly="1" outline="0" fieldPosition="0">
        <references count="2">
          <reference field="2" count="1" selected="0">
            <x v="44"/>
          </reference>
          <reference field="5" count="1">
            <x v="53"/>
          </reference>
        </references>
      </pivotArea>
    </format>
    <format dxfId="740">
      <pivotArea dataOnly="0" labelOnly="1" outline="0" fieldPosition="0">
        <references count="2">
          <reference field="2" count="1" selected="0">
            <x v="44"/>
          </reference>
          <reference field="5" count="1">
            <x v="53"/>
          </reference>
        </references>
      </pivotArea>
    </format>
    <format dxfId="739">
      <pivotArea dataOnly="0" labelOnly="1" outline="0" fieldPosition="0">
        <references count="2">
          <reference field="2" count="1" selected="0">
            <x v="44"/>
          </reference>
          <reference field="5" count="1">
            <x v="54"/>
          </reference>
        </references>
      </pivotArea>
    </format>
    <format dxfId="738">
      <pivotArea dataOnly="0" labelOnly="1" outline="0" fieldPosition="0">
        <references count="2">
          <reference field="2" count="1" selected="0">
            <x v="48"/>
          </reference>
          <reference field="5" count="1">
            <x v="53"/>
          </reference>
        </references>
      </pivotArea>
    </format>
    <format dxfId="737">
      <pivotArea dataOnly="0" labelOnly="1" outline="0" fieldPosition="0">
        <references count="2">
          <reference field="2" count="1" selected="0">
            <x v="48"/>
          </reference>
          <reference field="5" count="1">
            <x v="54"/>
          </reference>
        </references>
      </pivotArea>
    </format>
    <format dxfId="736">
      <pivotArea dataOnly="0" labelOnly="1" outline="0" fieldPosition="0">
        <references count="2">
          <reference field="2" count="1" selected="0">
            <x v="44"/>
          </reference>
          <reference field="5" count="1">
            <x v="54"/>
          </reference>
        </references>
      </pivotArea>
    </format>
    <format dxfId="735">
      <pivotArea dataOnly="0" labelOnly="1" outline="0" fieldPosition="0">
        <references count="2">
          <reference field="2" count="1" selected="0">
            <x v="48"/>
          </reference>
          <reference field="5" count="1">
            <x v="53"/>
          </reference>
        </references>
      </pivotArea>
    </format>
    <format dxfId="734">
      <pivotArea dataOnly="0" labelOnly="1" outline="0" fieldPosition="0">
        <references count="2">
          <reference field="2" count="1" selected="0">
            <x v="48"/>
          </reference>
          <reference field="5" count="1">
            <x v="54"/>
          </reference>
        </references>
      </pivotArea>
    </format>
    <format dxfId="733">
      <pivotArea dataOnly="0" labelOnly="1" outline="0" offset="IV6" fieldPosition="0">
        <references count="1">
          <reference field="2" count="1">
            <x v="40"/>
          </reference>
        </references>
      </pivotArea>
    </format>
    <format dxfId="732">
      <pivotArea dataOnly="0" labelOnly="1" outline="0" offset="IV6" fieldPosition="0">
        <references count="1">
          <reference field="2" count="1">
            <x v="40"/>
          </reference>
        </references>
      </pivotArea>
    </format>
    <format dxfId="731">
      <pivotArea dataOnly="0" labelOnly="1" outline="0" fieldPosition="0">
        <references count="2">
          <reference field="2" count="1" selected="0">
            <x v="39"/>
          </reference>
          <reference field="5" count="1">
            <x v="96"/>
          </reference>
        </references>
      </pivotArea>
    </format>
    <format dxfId="730">
      <pivotArea dataOnly="0" labelOnly="1" outline="0" fieldPosition="0">
        <references count="2">
          <reference field="2" count="1" selected="0">
            <x v="40"/>
          </reference>
          <reference field="5" count="1">
            <x v="54"/>
          </reference>
        </references>
      </pivotArea>
    </format>
    <format dxfId="729">
      <pivotArea dataOnly="0" labelOnly="1" outline="0" offset="IV1" fieldPosition="0">
        <references count="2">
          <reference field="2" count="1" selected="0">
            <x v="40"/>
          </reference>
          <reference field="5" count="1">
            <x v="96"/>
          </reference>
        </references>
      </pivotArea>
    </format>
    <format dxfId="728">
      <pivotArea dataOnly="0" labelOnly="1" outline="0" fieldPosition="0">
        <references count="2">
          <reference field="2" count="1" selected="0">
            <x v="44"/>
          </reference>
          <reference field="5" count="1">
            <x v="53"/>
          </reference>
        </references>
      </pivotArea>
    </format>
    <format dxfId="727">
      <pivotArea dataOnly="0" labelOnly="1" outline="0" fieldPosition="0">
        <references count="2">
          <reference field="2" count="1" selected="0">
            <x v="44"/>
          </reference>
          <reference field="5" count="1">
            <x v="54"/>
          </reference>
        </references>
      </pivotArea>
    </format>
    <format dxfId="726">
      <pivotArea dataOnly="0" labelOnly="1" outline="0" fieldPosition="0">
        <references count="2">
          <reference field="2" count="1" selected="0">
            <x v="48"/>
          </reference>
          <reference field="5" count="1">
            <x v="53"/>
          </reference>
        </references>
      </pivotArea>
    </format>
    <format dxfId="725">
      <pivotArea dataOnly="0" labelOnly="1" outline="0" fieldPosition="0">
        <references count="2">
          <reference field="2" count="1" selected="0">
            <x v="48"/>
          </reference>
          <reference field="5" count="1">
            <x v="54"/>
          </reference>
        </references>
      </pivotArea>
    </format>
    <format dxfId="724">
      <pivotArea dataOnly="0" labelOnly="1" outline="0" fieldPosition="0">
        <references count="2">
          <reference field="2" count="1" selected="0">
            <x v="39"/>
          </reference>
          <reference field="5" count="5">
            <x v="42"/>
            <x v="46"/>
            <x v="47"/>
            <x v="69"/>
            <x v="96"/>
          </reference>
        </references>
      </pivotArea>
    </format>
    <format dxfId="723">
      <pivotArea dataOnly="0" labelOnly="1" outline="0" fieldPosition="0">
        <references count="2">
          <reference field="2" count="1" selected="0">
            <x v="40"/>
          </reference>
          <reference field="5" count="7">
            <x v="23"/>
            <x v="24"/>
            <x v="51"/>
            <x v="52"/>
            <x v="53"/>
            <x v="54"/>
            <x v="96"/>
          </reference>
        </references>
      </pivotArea>
    </format>
    <format dxfId="722">
      <pivotArea dataOnly="0" labelOnly="1" outline="0" fieldPosition="0">
        <references count="2">
          <reference field="2" count="1" selected="0">
            <x v="44"/>
          </reference>
          <reference field="5" count="2">
            <x v="53"/>
            <x v="54"/>
          </reference>
        </references>
      </pivotArea>
    </format>
    <format dxfId="721">
      <pivotArea dataOnly="0" labelOnly="1" outline="0" fieldPosition="0">
        <references count="2">
          <reference field="2" count="1" selected="0">
            <x v="45"/>
          </reference>
          <reference field="5" count="1">
            <x v="96"/>
          </reference>
        </references>
      </pivotArea>
    </format>
    <format dxfId="720">
      <pivotArea dataOnly="0" labelOnly="1" outline="0" fieldPosition="0">
        <references count="2">
          <reference field="2" count="1" selected="0">
            <x v="48"/>
          </reference>
          <reference field="5" count="2">
            <x v="53"/>
            <x v="54"/>
          </reference>
        </references>
      </pivotArea>
    </format>
    <format dxfId="719">
      <pivotArea dataOnly="0" labelOnly="1" outline="0" fieldPosition="0">
        <references count="2">
          <reference field="2" count="1" selected="0">
            <x v="50"/>
          </reference>
          <reference field="5" count="2">
            <x v="53"/>
            <x v="54"/>
          </reference>
        </references>
      </pivotArea>
    </format>
    <format dxfId="718">
      <pivotArea dataOnly="0" labelOnly="1" outline="0" fieldPosition="0">
        <references count="2">
          <reference field="2" count="1" selected="0">
            <x v="51"/>
          </reference>
          <reference field="5" count="2">
            <x v="53"/>
            <x v="54"/>
          </reference>
        </references>
      </pivotArea>
    </format>
    <format dxfId="717">
      <pivotArea dataOnly="0" labelOnly="1" outline="0" fieldPosition="0">
        <references count="2">
          <reference field="2" count="1" selected="0">
            <x v="39"/>
          </reference>
          <reference field="5" count="5">
            <x v="42"/>
            <x v="46"/>
            <x v="47"/>
            <x v="69"/>
            <x v="96"/>
          </reference>
        </references>
      </pivotArea>
    </format>
    <format dxfId="716">
      <pivotArea dataOnly="0" labelOnly="1" outline="0" fieldPosition="0">
        <references count="2">
          <reference field="2" count="1" selected="0">
            <x v="40"/>
          </reference>
          <reference field="5" count="7">
            <x v="23"/>
            <x v="24"/>
            <x v="51"/>
            <x v="52"/>
            <x v="53"/>
            <x v="54"/>
            <x v="96"/>
          </reference>
        </references>
      </pivotArea>
    </format>
    <format dxfId="715">
      <pivotArea dataOnly="0" labelOnly="1" outline="0" fieldPosition="0">
        <references count="2">
          <reference field="2" count="1" selected="0">
            <x v="44"/>
          </reference>
          <reference field="5" count="2">
            <x v="53"/>
            <x v="54"/>
          </reference>
        </references>
      </pivotArea>
    </format>
    <format dxfId="714">
      <pivotArea dataOnly="0" labelOnly="1" outline="0" fieldPosition="0">
        <references count="2">
          <reference field="2" count="1" selected="0">
            <x v="45"/>
          </reference>
          <reference field="5" count="1">
            <x v="96"/>
          </reference>
        </references>
      </pivotArea>
    </format>
    <format dxfId="713">
      <pivotArea dataOnly="0" labelOnly="1" outline="0" fieldPosition="0">
        <references count="2">
          <reference field="2" count="1" selected="0">
            <x v="48"/>
          </reference>
          <reference field="5" count="2">
            <x v="53"/>
            <x v="54"/>
          </reference>
        </references>
      </pivotArea>
    </format>
    <format dxfId="712">
      <pivotArea dataOnly="0" labelOnly="1" outline="0" fieldPosition="0">
        <references count="2">
          <reference field="2" count="1" selected="0">
            <x v="50"/>
          </reference>
          <reference field="5" count="2">
            <x v="53"/>
            <x v="54"/>
          </reference>
        </references>
      </pivotArea>
    </format>
    <format dxfId="711">
      <pivotArea dataOnly="0" labelOnly="1" outline="0" fieldPosition="0">
        <references count="2">
          <reference field="2" count="1" selected="0">
            <x v="51"/>
          </reference>
          <reference field="5" count="2">
            <x v="53"/>
            <x v="54"/>
          </reference>
        </references>
      </pivotArea>
    </format>
    <format dxfId="710">
      <pivotArea dataOnly="0" labelOnly="1" outline="0" fieldPosition="0">
        <references count="2">
          <reference field="2" count="1" selected="0">
            <x v="39"/>
          </reference>
          <reference field="5" count="1">
            <x v="96"/>
          </reference>
        </references>
      </pivotArea>
    </format>
    <format dxfId="709">
      <pivotArea dataOnly="0" labelOnly="1" outline="0" fieldPosition="0">
        <references count="2">
          <reference field="2" count="1" selected="0">
            <x v="40"/>
          </reference>
          <reference field="5" count="1">
            <x v="54"/>
          </reference>
        </references>
      </pivotArea>
    </format>
    <format dxfId="708">
      <pivotArea dataOnly="0" labelOnly="1" outline="0" offset="IV1" fieldPosition="0">
        <references count="2">
          <reference field="2" count="1" selected="0">
            <x v="40"/>
          </reference>
          <reference field="5" count="1">
            <x v="96"/>
          </reference>
        </references>
      </pivotArea>
    </format>
    <format dxfId="707">
      <pivotArea dataOnly="0" labelOnly="1" outline="0" fieldPosition="0">
        <references count="2">
          <reference field="2" count="1" selected="0">
            <x v="44"/>
          </reference>
          <reference field="5" count="1">
            <x v="53"/>
          </reference>
        </references>
      </pivotArea>
    </format>
    <format dxfId="706">
      <pivotArea dataOnly="0" labelOnly="1" outline="0" fieldPosition="0">
        <references count="2">
          <reference field="2" count="1" selected="0">
            <x v="44"/>
          </reference>
          <reference field="5" count="1">
            <x v="54"/>
          </reference>
        </references>
      </pivotArea>
    </format>
    <format dxfId="705">
      <pivotArea dataOnly="0" labelOnly="1" outline="0" fieldPosition="0">
        <references count="2">
          <reference field="2" count="1" selected="0">
            <x v="48"/>
          </reference>
          <reference field="5" count="1">
            <x v="53"/>
          </reference>
        </references>
      </pivotArea>
    </format>
    <format dxfId="704">
      <pivotArea dataOnly="0" labelOnly="1" outline="0" fieldPosition="0">
        <references count="2">
          <reference field="2" count="1" selected="0">
            <x v="48"/>
          </reference>
          <reference field="5" count="1">
            <x v="54"/>
          </reference>
        </references>
      </pivotArea>
    </format>
    <format dxfId="703">
      <pivotArea dataOnly="0" labelOnly="1" outline="0" offset="IV1" fieldPosition="0">
        <references count="2">
          <reference field="2" count="1" selected="0">
            <x v="40"/>
          </reference>
          <reference field="5" count="1">
            <x v="96"/>
          </reference>
        </references>
      </pivotArea>
    </format>
    <format dxfId="702">
      <pivotArea dataOnly="0" labelOnly="1" outline="0" offset="IV1" fieldPosition="0">
        <references count="2">
          <reference field="2" count="1" selected="0">
            <x v="40"/>
          </reference>
          <reference field="5" count="1">
            <x v="96"/>
          </reference>
        </references>
      </pivotArea>
    </format>
    <format dxfId="701">
      <pivotArea dataOnly="0" labelOnly="1" outline="0" fieldPosition="0">
        <references count="1">
          <reference field="2" count="12">
            <x v="39"/>
            <x v="40"/>
            <x v="41"/>
            <x v="42"/>
            <x v="43"/>
            <x v="44"/>
            <x v="45"/>
            <x v="46"/>
            <x v="47"/>
            <x v="48"/>
            <x v="50"/>
            <x v="51"/>
          </reference>
        </references>
      </pivotArea>
    </format>
    <format dxfId="700">
      <pivotArea outline="0" fieldPosition="0">
        <references count="4">
          <reference field="4294967294" count="1" selected="0">
            <x v="0"/>
          </reference>
          <reference field="2" count="11" selected="0">
            <x v="39"/>
            <x v="40"/>
            <x v="41"/>
            <x v="42"/>
            <x v="43"/>
            <x v="44"/>
            <x v="45"/>
            <x v="46"/>
            <x v="47"/>
            <x v="48"/>
            <x v="50"/>
          </reference>
          <reference field="4" count="1" selected="0">
            <x v="4"/>
          </reference>
          <reference field="5" count="12" selected="0">
            <x v="23"/>
            <x v="24"/>
            <x v="25"/>
            <x v="42"/>
            <x v="46"/>
            <x v="47"/>
            <x v="51"/>
            <x v="52"/>
            <x v="53"/>
            <x v="54"/>
            <x v="69"/>
            <x v="96"/>
          </reference>
        </references>
      </pivotArea>
    </format>
    <format dxfId="699">
      <pivotArea outline="0" fieldPosition="0">
        <references count="4">
          <reference field="4294967294" count="1" selected="0">
            <x v="0"/>
          </reference>
          <reference field="2" count="1" selected="0">
            <x v="51"/>
          </reference>
          <reference field="4" count="1" selected="0">
            <x v="4"/>
          </reference>
          <reference field="5" count="1" selected="0">
            <x v="53"/>
          </reference>
        </references>
      </pivotArea>
    </format>
    <format dxfId="698">
      <pivotArea field="5" type="button" dataOnly="0" labelOnly="1" outline="0" axis="axisRow" fieldPosition="1"/>
    </format>
    <format dxfId="697">
      <pivotArea dataOnly="0" labelOnly="1" outline="0" fieldPosition="0">
        <references count="2">
          <reference field="2" count="1" selected="0">
            <x v="39"/>
          </reference>
          <reference field="5" count="1">
            <x v="96"/>
          </reference>
        </references>
      </pivotArea>
    </format>
    <format dxfId="696">
      <pivotArea dataOnly="0" labelOnly="1" outline="0" fieldPosition="0">
        <references count="2">
          <reference field="2" count="1" selected="0">
            <x v="40"/>
          </reference>
          <reference field="5" count="1">
            <x v="54"/>
          </reference>
        </references>
      </pivotArea>
    </format>
    <format dxfId="695">
      <pivotArea dataOnly="0" labelOnly="1" outline="0" offset="IV1" fieldPosition="0">
        <references count="2">
          <reference field="2" count="1" selected="0">
            <x v="40"/>
          </reference>
          <reference field="5" count="1">
            <x v="96"/>
          </reference>
        </references>
      </pivotArea>
    </format>
    <format dxfId="694">
      <pivotArea dataOnly="0" labelOnly="1" outline="0" fieldPosition="0">
        <references count="2">
          <reference field="2" count="1" selected="0">
            <x v="44"/>
          </reference>
          <reference field="5" count="1">
            <x v="53"/>
          </reference>
        </references>
      </pivotArea>
    </format>
    <format dxfId="693">
      <pivotArea dataOnly="0" labelOnly="1" outline="0" fieldPosition="0">
        <references count="2">
          <reference field="2" count="1" selected="0">
            <x v="44"/>
          </reference>
          <reference field="5" count="1">
            <x v="54"/>
          </reference>
        </references>
      </pivotArea>
    </format>
    <format dxfId="692">
      <pivotArea dataOnly="0" labelOnly="1" outline="0" fieldPosition="0">
        <references count="2">
          <reference field="2" count="1" selected="0">
            <x v="48"/>
          </reference>
          <reference field="5" count="1">
            <x v="53"/>
          </reference>
        </references>
      </pivotArea>
    </format>
    <format dxfId="691">
      <pivotArea dataOnly="0" labelOnly="1" outline="0" fieldPosition="0">
        <references count="2">
          <reference field="2" count="1" selected="0">
            <x v="48"/>
          </reference>
          <reference field="5" count="1">
            <x v="54"/>
          </reference>
        </references>
      </pivotArea>
    </format>
    <format dxfId="690">
      <pivotArea dataOnly="0" labelOnly="1" outline="0" fieldPosition="0">
        <references count="2">
          <reference field="2" count="1" selected="0">
            <x v="48"/>
          </reference>
          <reference field="5" count="1">
            <x v="53"/>
          </reference>
        </references>
      </pivotArea>
    </format>
    <format dxfId="689">
      <pivotArea dataOnly="0" labelOnly="1" outline="0" fieldPosition="0">
        <references count="2">
          <reference field="2" count="1" selected="0">
            <x v="44"/>
          </reference>
          <reference field="5" count="1">
            <x v="53"/>
          </reference>
        </references>
      </pivotArea>
    </format>
    <format dxfId="688">
      <pivotArea dataOnly="0" labelOnly="1" outline="0" fieldPosition="0">
        <references count="2">
          <reference field="2" count="1" selected="0">
            <x v="40"/>
          </reference>
          <reference field="5" count="1">
            <x v="54"/>
          </reference>
        </references>
      </pivotArea>
    </format>
    <format dxfId="687">
      <pivotArea dataOnly="0" labelOnly="1" outline="0" fieldPosition="0">
        <references count="2">
          <reference field="2" count="1" selected="0">
            <x v="40"/>
          </reference>
          <reference field="5" count="1">
            <x v="54"/>
          </reference>
        </references>
      </pivotArea>
    </format>
    <format dxfId="686">
      <pivotArea dataOnly="0" labelOnly="1" outline="0" offset="IV1" fieldPosition="0">
        <references count="2">
          <reference field="2" count="1" selected="0">
            <x v="40"/>
          </reference>
          <reference field="5" count="1">
            <x v="96"/>
          </reference>
        </references>
      </pivotArea>
    </format>
    <format dxfId="685">
      <pivotArea dataOnly="0" labelOnly="1" outline="0" fieldPosition="0">
        <references count="2">
          <reference field="2" count="1" selected="0">
            <x v="44"/>
          </reference>
          <reference field="5" count="1">
            <x v="53"/>
          </reference>
        </references>
      </pivotArea>
    </format>
    <format dxfId="684">
      <pivotArea dataOnly="0" labelOnly="1" outline="0" fieldPosition="0">
        <references count="2">
          <reference field="2" count="1" selected="0">
            <x v="44"/>
          </reference>
          <reference field="5" count="1">
            <x v="54"/>
          </reference>
        </references>
      </pivotArea>
    </format>
    <format dxfId="683">
      <pivotArea dataOnly="0" labelOnly="1" outline="0" fieldPosition="0">
        <references count="2">
          <reference field="2" count="1" selected="0">
            <x v="48"/>
          </reference>
          <reference field="5" count="1">
            <x v="53"/>
          </reference>
        </references>
      </pivotArea>
    </format>
    <format dxfId="682">
      <pivotArea dataOnly="0" labelOnly="1" outline="0" fieldPosition="0">
        <references count="2">
          <reference field="2" count="1" selected="0">
            <x v="48"/>
          </reference>
          <reference field="5" count="1">
            <x v="54"/>
          </reference>
        </references>
      </pivotArea>
    </format>
    <format dxfId="681">
      <pivotArea outline="0" fieldPosition="0">
        <references count="3">
          <reference field="2" count="1" selected="0">
            <x v="39"/>
          </reference>
          <reference field="4" count="1" selected="0">
            <x v="4"/>
          </reference>
          <reference field="5" count="1" selected="0">
            <x v="96"/>
          </reference>
        </references>
      </pivotArea>
    </format>
    <format dxfId="680">
      <pivotArea dataOnly="0" labelOnly="1" outline="0" fieldPosition="0">
        <references count="2">
          <reference field="2" count="1" selected="0">
            <x v="39"/>
          </reference>
          <reference field="5" count="1">
            <x v="96"/>
          </reference>
        </references>
      </pivotArea>
    </format>
    <format dxfId="679">
      <pivotArea dataOnly="0" labelOnly="1" outline="0" fieldPosition="0">
        <references count="3">
          <reference field="2" count="1" selected="0">
            <x v="39"/>
          </reference>
          <reference field="4" count="1">
            <x v="4"/>
          </reference>
          <reference field="5" count="1" selected="0">
            <x v="96"/>
          </reference>
        </references>
      </pivotArea>
    </format>
    <format dxfId="678">
      <pivotArea outline="0" fieldPosition="0">
        <references count="3">
          <reference field="2" count="1" selected="0">
            <x v="40"/>
          </reference>
          <reference field="4" count="1" selected="0">
            <x v="4"/>
          </reference>
          <reference field="5" count="1" selected="0">
            <x v="54"/>
          </reference>
        </references>
      </pivotArea>
    </format>
    <format dxfId="677">
      <pivotArea dataOnly="0" labelOnly="1" outline="0" fieldPosition="0">
        <references count="2">
          <reference field="2" count="1" selected="0">
            <x v="40"/>
          </reference>
          <reference field="5" count="1">
            <x v="54"/>
          </reference>
        </references>
      </pivotArea>
    </format>
    <format dxfId="676">
      <pivotArea dataOnly="0" labelOnly="1" outline="0" fieldPosition="0">
        <references count="3">
          <reference field="2" count="1" selected="0">
            <x v="40"/>
          </reference>
          <reference field="4" count="1">
            <x v="4"/>
          </reference>
          <reference field="5" count="1" selected="0">
            <x v="54"/>
          </reference>
        </references>
      </pivotArea>
    </format>
    <format dxfId="675">
      <pivotArea outline="0" fieldPosition="0">
        <references count="3">
          <reference field="2" count="1" selected="0">
            <x v="40"/>
          </reference>
          <reference field="4" count="1" selected="0">
            <x v="4"/>
          </reference>
          <reference field="5" count="1" selected="0">
            <x v="96"/>
          </reference>
        </references>
      </pivotArea>
    </format>
    <format dxfId="674">
      <pivotArea dataOnly="0" labelOnly="1" outline="0" offset="IV1" fieldPosition="0">
        <references count="2">
          <reference field="2" count="1" selected="0">
            <x v="40"/>
          </reference>
          <reference field="5" count="1">
            <x v="96"/>
          </reference>
        </references>
      </pivotArea>
    </format>
    <format dxfId="673">
      <pivotArea dataOnly="0" labelOnly="1" outline="0" fieldPosition="0">
        <references count="3">
          <reference field="2" count="1" selected="0">
            <x v="40"/>
          </reference>
          <reference field="4" count="1">
            <x v="4"/>
          </reference>
          <reference field="5" count="1" selected="0">
            <x v="96"/>
          </reference>
        </references>
      </pivotArea>
    </format>
    <format dxfId="672">
      <pivotArea dataOnly="0" labelOnly="1" outline="0" offset="IV6" fieldPosition="0">
        <references count="1">
          <reference field="2" count="1">
            <x v="40"/>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19281CB-321F-4BED-96E5-4E5C1FFFF212}" name="PivotTableDonnéesFIN12" cacheId="3" dataOnRows="1"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9">
  <location ref="B114:I123" firstHeaderRow="1" firstDataRow="2" firstDataCol="1" rowPageCount="3" colPageCount="1"/>
  <pivotFields count="32">
    <pivotField axis="axisPage" compact="0" outline="0" showAll="0">
      <items count="9">
        <item x="0"/>
        <item x="1"/>
        <item x="2"/>
        <item x="3"/>
        <item x="4"/>
        <item x="5"/>
        <item x="6"/>
        <item x="7"/>
        <item t="default"/>
      </items>
      <extLst>
        <ext xmlns:x14="http://schemas.microsoft.com/office/spreadsheetml/2009/9/main" uri="{2946ED86-A175-432a-8AC1-64E0C546D7DE}">
          <x14:pivotField fillDownLabels="1"/>
        </ext>
      </extLst>
    </pivotField>
    <pivotField compact="0" outline="0" showAll="0" defaultSubtotal="0">
      <items count="14">
        <item x="4"/>
        <item x="2"/>
        <item x="0"/>
        <item x="1"/>
        <item x="3"/>
        <item x="5"/>
        <item x="6"/>
        <item x="7"/>
        <item x="8"/>
        <item x="10"/>
        <item x="11"/>
        <item x="12"/>
        <item x="13"/>
        <item x="9"/>
      </items>
      <extLst>
        <ext xmlns:x14="http://schemas.microsoft.com/office/spreadsheetml/2009/9/main" uri="{2946ED86-A175-432a-8AC1-64E0C546D7DE}">
          <x14:pivotField fillDownLabels="1"/>
        </ext>
      </extLst>
    </pivotField>
    <pivotField compact="0" outline="0" showAll="0" defaultSubtotal="0">
      <items count="54">
        <item x="0"/>
        <item x="29"/>
        <item x="35"/>
        <item x="3"/>
        <item x="5"/>
        <item x="6"/>
        <item x="7"/>
        <item x="8"/>
        <item x="9"/>
        <item x="10"/>
        <item x="11"/>
        <item x="13"/>
        <item x="14"/>
        <item x="15"/>
        <item x="1"/>
        <item x="2"/>
        <item x="4"/>
        <item x="12"/>
        <item x="16"/>
        <item x="17"/>
        <item x="18"/>
        <item x="19"/>
        <item x="20"/>
        <item x="21"/>
        <item x="22"/>
        <item x="23"/>
        <item x="24"/>
        <item x="25"/>
        <item x="26"/>
        <item x="27"/>
        <item x="28"/>
        <item x="30"/>
        <item x="31"/>
        <item x="32"/>
        <item x="36"/>
        <item x="37"/>
        <item x="38"/>
        <item x="40"/>
        <item x="41"/>
        <item x="42"/>
        <item x="43"/>
        <item x="44"/>
        <item x="45"/>
        <item x="46"/>
        <item x="47"/>
        <item x="48"/>
        <item x="49"/>
        <item x="50"/>
        <item x="51"/>
        <item x="52"/>
        <item x="53"/>
        <item x="39"/>
        <item x="33"/>
        <item x="3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0">
        <item x="34"/>
        <item x="46"/>
        <item x="32"/>
        <item x="31"/>
        <item x="0"/>
        <item x="1"/>
        <item x="2"/>
        <item x="3"/>
        <item x="4"/>
        <item x="5"/>
        <item x="6"/>
        <item x="7"/>
        <item x="8"/>
        <item x="9"/>
        <item x="10"/>
        <item x="22"/>
        <item x="23"/>
        <item x="24"/>
        <item x="25"/>
        <item x="26"/>
        <item x="27"/>
        <item x="28"/>
        <item x="29"/>
        <item x="30"/>
        <item x="21"/>
        <item x="33"/>
        <item x="35"/>
        <item x="36"/>
        <item x="37"/>
        <item x="38"/>
        <item x="39"/>
        <item x="40"/>
        <item x="41"/>
        <item x="42"/>
        <item x="43"/>
        <item x="44"/>
        <item x="45"/>
        <item x="47"/>
        <item x="48"/>
        <item x="49"/>
        <item x="50"/>
        <item x="51"/>
        <item x="52"/>
        <item x="53"/>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1"/>
        <item x="12"/>
        <item x="13"/>
        <item x="14"/>
        <item x="15"/>
        <item x="16"/>
        <item x="17"/>
        <item x="18"/>
        <item x="19"/>
        <item x="20"/>
        <item x="54"/>
        <item x="55"/>
        <item x="56"/>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Col" compact="0" outline="0" showAll="0">
      <items count="30">
        <item x="18"/>
        <item x="17"/>
        <item x="2"/>
        <item x="16"/>
        <item x="19"/>
        <item x="20"/>
        <item x="23"/>
        <item x="0"/>
        <item x="1"/>
        <item x="15"/>
        <item x="21"/>
        <item x="22"/>
        <item x="26"/>
        <item x="27"/>
        <item x="28"/>
        <item x="3"/>
        <item x="5"/>
        <item x="6"/>
        <item x="7"/>
        <item x="8"/>
        <item x="9"/>
        <item x="10"/>
        <item x="11"/>
        <item x="12"/>
        <item x="13"/>
        <item x="14"/>
        <item x="24"/>
        <item x="25"/>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4">
        <item x="2"/>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5">
        <item x="1"/>
        <item x="0"/>
        <item x="2"/>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2"/>
  </rowFields>
  <rowItems count="8">
    <i>
      <x/>
    </i>
    <i i="1">
      <x v="1"/>
    </i>
    <i i="2">
      <x v="2"/>
    </i>
    <i i="3">
      <x v="3"/>
    </i>
    <i i="4">
      <x v="4"/>
    </i>
    <i i="5">
      <x v="5"/>
    </i>
    <i i="6">
      <x v="6"/>
    </i>
    <i i="7">
      <x v="7"/>
    </i>
  </rowItems>
  <colFields count="1">
    <field x="6"/>
  </colFields>
  <colItems count="7">
    <i>
      <x v="16"/>
    </i>
    <i>
      <x v="17"/>
    </i>
    <i>
      <x v="18"/>
    </i>
    <i>
      <x v="19"/>
    </i>
    <i>
      <x v="20"/>
    </i>
    <i>
      <x v="21"/>
    </i>
    <i>
      <x v="22"/>
    </i>
  </colItems>
  <pageFields count="3">
    <pageField fld="0" item="2" hier="-1"/>
    <pageField fld="28" item="2" hier="-1"/>
    <pageField fld="25" hier="-1"/>
  </pageFields>
  <dataFields count="8">
    <dataField name="Sum of YEAR-2" fld="12" baseField="6" baseItem="35" numFmtId="165"/>
    <dataField name="Sum of YEAR-1" fld="13" baseField="6" baseItem="35" numFmtId="165"/>
    <dataField name="Sum of CURRENT YEAR" fld="16" baseField="6" baseItem="35" numFmtId="165"/>
    <dataField name="Sum of YEAR2" fld="17" baseField="6" baseItem="35" numFmtId="165"/>
    <dataField name="Sum of YEAR3" fld="18" baseField="6" baseItem="35" numFmtId="165"/>
    <dataField name="Sum of YEAR4" fld="19" baseField="6" baseItem="35" numFmtId="165"/>
    <dataField name="Sum of YEAR5" fld="20" baseField="6" baseItem="35" numFmtId="165"/>
    <dataField name="Sum of YEAR6" fld="21" baseField="6" baseItem="35" numFmtId="165"/>
  </dataFields>
  <formats count="45">
    <format dxfId="44">
      <pivotArea type="all" dataOnly="0" outline="0" fieldPosition="0"/>
    </format>
    <format dxfId="43">
      <pivotArea outline="0" collapsedLevelsAreSubtotals="1" fieldPosition="0"/>
    </format>
    <format dxfId="42">
      <pivotArea field="1" type="button" dataOnly="0" labelOnly="1" outline="0"/>
    </format>
    <format dxfId="41">
      <pivotArea field="2" type="button" dataOnly="0" labelOnly="1" outline="0"/>
    </format>
    <format dxfId="40">
      <pivotArea dataOnly="0" labelOnly="1" grandRow="1" outline="0" fieldPosition="0"/>
    </format>
    <format dxfId="39">
      <pivotArea type="all" dataOnly="0" outline="0" fieldPosition="0"/>
    </format>
    <format dxfId="38">
      <pivotArea outline="0" collapsedLevelsAreSubtotals="1" fieldPosition="0"/>
    </format>
    <format dxfId="37">
      <pivotArea field="1" type="button" dataOnly="0" labelOnly="1" outline="0"/>
    </format>
    <format dxfId="36">
      <pivotArea field="2" type="button" dataOnly="0" labelOnly="1" outline="0"/>
    </format>
    <format dxfId="35">
      <pivotArea type="all" dataOnly="0" outline="0" fieldPosition="0"/>
    </format>
    <format dxfId="34">
      <pivotArea outline="0" collapsedLevelsAreSubtotals="1" fieldPosition="0"/>
    </format>
    <format dxfId="33">
      <pivotArea field="1" type="button" dataOnly="0" labelOnly="1" outline="0"/>
    </format>
    <format dxfId="32">
      <pivotArea field="2" type="button" dataOnly="0" labelOnly="1" outline="0"/>
    </format>
    <format dxfId="31">
      <pivotArea field="4" type="button" dataOnly="0" labelOnly="1" outline="0"/>
    </format>
    <format dxfId="30">
      <pivotArea dataOnly="0" labelOnly="1" outline="0" fieldPosition="0">
        <references count="1">
          <reference field="0" count="1">
            <x v="2"/>
          </reference>
        </references>
      </pivotArea>
    </format>
    <format dxfId="29">
      <pivotArea dataOnly="0" labelOnly="1" outline="0" fieldPosition="0">
        <references count="1">
          <reference field="6" count="1">
            <x v="1"/>
          </reference>
        </references>
      </pivotArea>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field="6" type="button" dataOnly="0" labelOnly="1" outline="0" axis="axisCol" fieldPosition="0"/>
    </format>
    <format dxfId="24">
      <pivotArea type="topRight" dataOnly="0" labelOnly="1" outline="0" fieldPosition="0"/>
    </format>
    <format dxfId="23">
      <pivotArea field="-2" type="button" dataOnly="0" labelOnly="1" outline="0" axis="axisRow" fieldPosition="0"/>
    </format>
    <format dxfId="22">
      <pivotArea outline="0" fieldPosition="0">
        <references count="1">
          <reference field="4294967294" count="1">
            <x v="0"/>
          </reference>
        </references>
      </pivotArea>
    </format>
    <format dxfId="21">
      <pivotArea outline="0" fieldPosition="0">
        <references count="1">
          <reference field="4294967294" count="1">
            <x v="1"/>
          </reference>
        </references>
      </pivotArea>
    </format>
    <format dxfId="20">
      <pivotArea outline="0" fieldPosition="0">
        <references count="1">
          <reference field="4294967294" count="1">
            <x v="2"/>
          </reference>
        </references>
      </pivotArea>
    </format>
    <format dxfId="19">
      <pivotArea outline="0" fieldPosition="0">
        <references count="1">
          <reference field="4294967294" count="1">
            <x v="3"/>
          </reference>
        </references>
      </pivotArea>
    </format>
    <format dxfId="18">
      <pivotArea outline="0" fieldPosition="0">
        <references count="1">
          <reference field="4294967294" count="1">
            <x v="4"/>
          </reference>
        </references>
      </pivotArea>
    </format>
    <format dxfId="17">
      <pivotArea outline="0" fieldPosition="0">
        <references count="1">
          <reference field="4294967294" count="1">
            <x v="5"/>
          </reference>
        </references>
      </pivotArea>
    </format>
    <format dxfId="16">
      <pivotArea outline="0" fieldPosition="0">
        <references count="1">
          <reference field="4294967294" count="1">
            <x v="6"/>
          </reference>
        </references>
      </pivotArea>
    </format>
    <format dxfId="15">
      <pivotArea outline="0" fieldPosition="0">
        <references count="1">
          <reference field="4294967294" count="1">
            <x v="7"/>
          </reference>
        </references>
      </pivotArea>
    </format>
    <format dxfId="14">
      <pivotArea type="all" dataOnly="0" outline="0" fieldPosition="0"/>
    </format>
    <format dxfId="13">
      <pivotArea outline="0" collapsedLevelsAreSubtotals="1" fieldPosition="0"/>
    </format>
    <format dxfId="12">
      <pivotArea type="origin" dataOnly="0" labelOnly="1" outline="0" fieldPosition="0"/>
    </format>
    <format dxfId="11">
      <pivotArea field="6" type="button" dataOnly="0" labelOnly="1" outline="0" axis="axisCol" fieldPosition="0"/>
    </format>
    <format dxfId="10">
      <pivotArea type="topRight" dataOnly="0" labelOnly="1" outline="0" fieldPosition="0"/>
    </format>
    <format dxfId="9">
      <pivotArea field="-2" type="button" dataOnly="0" labelOnly="1" outline="0" axis="axisRow" fieldPosition="0"/>
    </format>
    <format dxfId="8">
      <pivotArea dataOnly="0" labelOnly="1" outline="0" fieldPosition="0">
        <references count="1">
          <reference field="4294967294" count="8">
            <x v="0"/>
            <x v="1"/>
            <x v="2"/>
            <x v="3"/>
            <x v="4"/>
            <x v="5"/>
            <x v="6"/>
            <x v="7"/>
          </reference>
        </references>
      </pivotArea>
    </format>
    <format dxfId="7">
      <pivotArea type="all" dataOnly="0" outline="0" fieldPosition="0"/>
    </format>
    <format dxfId="6">
      <pivotArea outline="0" collapsedLevelsAreSubtotals="1" fieldPosition="0"/>
    </format>
    <format dxfId="5">
      <pivotArea type="origin" dataOnly="0" labelOnly="1" outline="0" fieldPosition="0"/>
    </format>
    <format dxfId="4">
      <pivotArea field="6" type="button" dataOnly="0" labelOnly="1" outline="0" axis="axisCol" fieldPosition="0"/>
    </format>
    <format dxfId="3">
      <pivotArea type="topRight" dataOnly="0" labelOnly="1" outline="0" fieldPosition="0"/>
    </format>
    <format dxfId="2">
      <pivotArea field="-2" type="button" dataOnly="0" labelOnly="1" outline="0" axis="axisRow" fieldPosition="0"/>
    </format>
    <format dxfId="1">
      <pivotArea dataOnly="0" labelOnly="1" outline="0" fieldPosition="0">
        <references count="1">
          <reference field="4294967294" count="8">
            <x v="0"/>
            <x v="1"/>
            <x v="2"/>
            <x v="3"/>
            <x v="4"/>
            <x v="5"/>
            <x v="6"/>
            <x v="7"/>
          </reference>
        </references>
      </pivotArea>
    </format>
    <format dxfId="0">
      <pivotArea dataOnly="0" labelOnly="1" outline="0" fieldPosition="0">
        <references count="2">
          <reference field="0" count="1" selected="0">
            <x v="2"/>
          </reference>
          <reference field="28" count="1">
            <x v="2"/>
          </reference>
        </references>
      </pivotArea>
    </format>
  </formats>
  <chartFormats count="10">
    <chartFormat chart="0" format="37" series="1">
      <pivotArea type="data" outline="0" fieldPosition="0">
        <references count="1">
          <reference field="4294967294" count="1" selected="0">
            <x v="0"/>
          </reference>
        </references>
      </pivotArea>
    </chartFormat>
    <chartFormat chart="0" format="41" series="1">
      <pivotArea type="data" outline="0" fieldPosition="0">
        <references count="2">
          <reference field="4294967294" count="1" selected="0">
            <x v="0"/>
          </reference>
          <reference field="6" count="1" selected="0">
            <x v="3"/>
          </reference>
        </references>
      </pivotArea>
    </chartFormat>
    <chartFormat chart="0" format="43" series="1">
      <pivotArea type="data" outline="0" fieldPosition="0">
        <references count="2">
          <reference field="4294967294" count="1" selected="0">
            <x v="0"/>
          </reference>
          <reference field="6" count="1" selected="0">
            <x v="9"/>
          </reference>
        </references>
      </pivotArea>
    </chartFormat>
    <chartFormat chart="0" format="55" series="1">
      <pivotArea type="data" outline="0" fieldPosition="0">
        <references count="2">
          <reference field="4294967294" count="1" selected="0">
            <x v="0"/>
          </reference>
          <reference field="6" count="1" selected="0">
            <x v="16"/>
          </reference>
        </references>
      </pivotArea>
    </chartFormat>
    <chartFormat chart="0" format="56" series="1">
      <pivotArea type="data" outline="0" fieldPosition="0">
        <references count="2">
          <reference field="4294967294" count="1" selected="0">
            <x v="0"/>
          </reference>
          <reference field="6" count="1" selected="0">
            <x v="17"/>
          </reference>
        </references>
      </pivotArea>
    </chartFormat>
    <chartFormat chart="0" format="57" series="1">
      <pivotArea type="data" outline="0" fieldPosition="0">
        <references count="2">
          <reference field="4294967294" count="1" selected="0">
            <x v="0"/>
          </reference>
          <reference field="6" count="1" selected="0">
            <x v="18"/>
          </reference>
        </references>
      </pivotArea>
    </chartFormat>
    <chartFormat chart="0" format="58" series="1">
      <pivotArea type="data" outline="0" fieldPosition="0">
        <references count="2">
          <reference field="4294967294" count="1" selected="0">
            <x v="0"/>
          </reference>
          <reference field="6" count="1" selected="0">
            <x v="19"/>
          </reference>
        </references>
      </pivotArea>
    </chartFormat>
    <chartFormat chart="0" format="59" series="1">
      <pivotArea type="data" outline="0" fieldPosition="0">
        <references count="2">
          <reference field="4294967294" count="1" selected="0">
            <x v="0"/>
          </reference>
          <reference field="6" count="1" selected="0">
            <x v="20"/>
          </reference>
        </references>
      </pivotArea>
    </chartFormat>
    <chartFormat chart="0" format="60" series="1">
      <pivotArea type="data" outline="0" fieldPosition="0">
        <references count="2">
          <reference field="4294967294" count="1" selected="0">
            <x v="0"/>
          </reference>
          <reference field="6" count="1" selected="0">
            <x v="21"/>
          </reference>
        </references>
      </pivotArea>
    </chartFormat>
    <chartFormat chart="0" format="61" series="1">
      <pivotArea type="data" outline="0" fieldPosition="0">
        <references count="2">
          <reference field="4294967294" count="1" selected="0">
            <x v="0"/>
          </reference>
          <reference field="6" count="1" selected="0">
            <x v="22"/>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FERENCE_PRODUCT___SERVICE" xr10:uid="{A1E1A098-8B56-4B9B-BF29-7C4EFADDEDAE}" sourceName="REFERENCE PRODUCT / SERVICE">
  <pivotTables>
    <pivotTable tabId="9" name="PivotTableRevenueData6"/>
  </pivotTables>
  <data>
    <tabular pivotCacheId="2060996307">
      <items count="31">
        <i x="1" s="1"/>
        <i x="2" s="1"/>
        <i x="3"/>
        <i x="4"/>
        <i x="5"/>
        <i x="6"/>
        <i x="7"/>
        <i x="8"/>
        <i x="9"/>
        <i x="10"/>
        <i x="11"/>
        <i x="12"/>
        <i x="13"/>
        <i x="14"/>
        <i x="15"/>
        <i x="16"/>
        <i x="17"/>
        <i x="18"/>
        <i x="19"/>
        <i x="20"/>
        <i x="21"/>
        <i x="22"/>
        <i x="23"/>
        <i x="24"/>
        <i x="25"/>
        <i x="26"/>
        <i x="27"/>
        <i x="28"/>
        <i x="29"/>
        <i x="30"/>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FERENCE PRODUCT / SERVICE" xr10:uid="{992896CA-B0FF-494A-AFDC-41C659223956}" cache="Slicer_REFERENCE_PRODUCT___SERVICE" caption="REFERENCE PRODUCT / SERVICE" columnCount="10" style="SlicerStyleOther1"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4B5721A-23BE-44CD-9B67-22801037F990}" name="TableReadMeAdminStatus" displayName="TableReadMeAdminStatus" ref="B6:B9" totalsRowShown="0" headerRowDxfId="1676" dataDxfId="1675">
  <autoFilter ref="B6:B9" xr:uid="{00000000-0009-0000-0100-000003000000}"/>
  <tableColumns count="1">
    <tableColumn id="1" xr3:uid="{0A4967A2-A4C5-44C5-BED3-0C8315E61295}" name="Status" dataDxfId="1674"/>
  </tableColumns>
  <tableStyleInfo name="TableStyleMediumJB"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BD42389-DCDB-4FC5-A8FB-507CE0A23D1E}" name="TableReadMeStatus" displayName="TableReadMeStatus" ref="D6:O31" totalsRowShown="0" headerRowDxfId="1673" dataDxfId="1671" headerRowBorderDxfId="1672" tableBorderDxfId="1670" headerRowCellStyle="Normal 2" dataCellStyle="Normal 2">
  <autoFilter ref="D6:O31" xr:uid="{FBD42389-DCDB-4FC5-A8FB-507CE0A23D1E}"/>
  <tableColumns count="12">
    <tableColumn id="1" xr3:uid="{5EF2E98C-0067-48D6-83BC-9E2CD9A46E6B}" name="Reference" dataDxfId="1669" dataCellStyle="Normal 2"/>
    <tableColumn id="7" xr3:uid="{452AE06C-6AA5-45D1-9570-9A0C8C9C95FF}" name="English Description" dataDxfId="1668" dataCellStyle="Normal 2"/>
    <tableColumn id="2" xr3:uid="{FD05F450-6290-4C21-AA91-F4CD9ACF5CC6}" name="English Comment" dataDxfId="1667" dataCellStyle="Normal 2"/>
    <tableColumn id="3" xr3:uid="{AC785FBA-AC2E-4B28-9329-14E9325C5CCC}" name="French Description" dataDxfId="1666" dataCellStyle="Normal 2"/>
    <tableColumn id="4" xr3:uid="{B26F5276-566E-444C-A73A-2EF1AFBD9297}" name="French Comment" dataDxfId="1665" dataCellStyle="Normal 2"/>
    <tableColumn id="5" xr3:uid="{B983CAB3-A31E-4D85-AC87-FB8916AF074B}" name="Dutch Description" dataDxfId="1664" dataCellStyle="Normal 2"/>
    <tableColumn id="6" xr3:uid="{AE70B70F-3327-45A6-97CA-3B34935EE85F}" name="Dutch Comment" dataDxfId="1663" dataCellStyle="Normal 2"/>
    <tableColumn id="8" xr3:uid="{8C12E78C-C7AD-4A6B-A06C-BACDC3878FCB}" name="Sheet Tab Name" dataDxfId="1662" dataCellStyle="Hyperlink 2"/>
    <tableColumn id="9" xr3:uid="{E10A257F-49A8-47CB-9B38-8EECA832B44F}" name="Sheet Status" dataDxfId="1661" dataCellStyle="Normal 2"/>
    <tableColumn id="10" xr3:uid="{879FD7E1-3BDD-4DDC-8D6A-7587417191F5}" name="Sheet Instructions" dataDxfId="1660" dataCellStyle="Normal 2"/>
    <tableColumn id="11" xr3:uid="{8BD39BEE-57C0-4AA4-98AA-EC55666783F0}" name="Sheet Description" dataDxfId="1659" dataCellStyle="Normal 2">
      <calculatedColumnFormula>IF(ISERROR(VLOOKUP($K7,TableReadMeStatus[],$N$1,FALSE)),"",VLOOKUP($K7,TableReadMeStatus[],$N$1,FALSE))</calculatedColumnFormula>
    </tableColumn>
    <tableColumn id="12" xr3:uid="{E74E0BC6-7F53-44E5-B348-557F96B42C51}" name="Sheet Comment" dataDxfId="1658" dataCellStyle="Normal 2">
      <calculatedColumnFormula>IF(ISERROR(VLOOKUP(#REF!,TableReadMeStatus[],$O$1,FALSE)),"",VLOOKUP(#REF!,TableReadMeStatus[],$O$1,FALSE))</calculatedColumnFormula>
    </tableColumn>
  </tableColumns>
  <tableStyleInfo name="TableStyleMediumJB"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29B4FAD-3B3F-4B52-BB44-FA7EE731E16A}" name="TableReadMeHistoric" displayName="TableReadMeHistoric" ref="D34:O59" totalsRowShown="0" headerRowDxfId="1657" dataDxfId="1655" headerRowBorderDxfId="1656" tableBorderDxfId="1654" totalsRowBorderDxfId="1653" headerRowCellStyle="Normal 2">
  <autoFilter ref="D34:O59" xr:uid="{F29B4FAD-3B3F-4B52-BB44-FA7EE731E16A}"/>
  <tableColumns count="12">
    <tableColumn id="1" xr3:uid="{97F796CE-82C8-44D1-94DD-99C7A5517AAA}" name="Reference" dataDxfId="1652" dataCellStyle="Normal 2"/>
    <tableColumn id="2" xr3:uid="{0912CC06-64A7-4D4A-B910-C1CCBCA42F7F}" name="English Description" dataDxfId="1651"/>
    <tableColumn id="3" xr3:uid="{305B5311-FEA0-4464-AA16-4A2FD1D9B6E0}" name="English Comment" dataDxfId="1650"/>
    <tableColumn id="4" xr3:uid="{9CC1F79B-EC0C-4AFA-AC84-BD2680213F96}" name="French Description" dataDxfId="1649"/>
    <tableColumn id="5" xr3:uid="{436209F9-8C2D-499C-A662-8BD9D60A4D43}" name="French Comment" dataDxfId="1648"/>
    <tableColumn id="6" xr3:uid="{B6066287-A46C-4455-9DC8-2658FA008AB8}" name="Dutch Description" dataDxfId="1647"/>
    <tableColumn id="7" xr3:uid="{B55AEB36-6C1B-42B1-BFF8-ABFFB4B77CC7}" name="Dutch Comment" dataDxfId="1646"/>
    <tableColumn id="8" xr3:uid="{2E97E9D5-267C-4145-BF0C-0BD3D678103B}" name="Revision" dataDxfId="1645"/>
    <tableColumn id="9" xr3:uid="{67E3EF5F-6615-482F-A223-3CE61014596A}" name="Date" dataDxfId="1644"/>
    <tableColumn id="10" xr3:uid="{E4976181-0E2C-4A6B-9BA6-142D00828593}" name="Author" dataDxfId="1643"/>
    <tableColumn id="11" xr3:uid="{0485E149-D67F-45FF-941E-E79D80B53C76}" name="Content" dataDxfId="1642">
      <calculatedColumnFormula>IF(ISERROR(VLOOKUP($K35,TableReadMeHistoric[],$N$1,FALSE)),"",VLOOKUP($K35,TableReadMeHistoric[],$N$1,FALSE))</calculatedColumnFormula>
    </tableColumn>
    <tableColumn id="12" xr3:uid="{EC3D3BD1-4313-46C4-96E0-A067D549A0B2}" name="Comment" dataDxfId="1641">
      <calculatedColumnFormula>IF(ISERROR(VLOOKUP($K35,TableReadMeHistoric[],$O$1,FALSE)),"",VLOOKUP($K35,TableReadMeHistoric[],$O$1,FALSE))</calculatedColumnFormula>
    </tableColumn>
  </tableColumns>
  <tableStyleInfo name="TableStyleMediumJB"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E46E5C-B9B2-44C1-BBAF-B7F5419BE233}" name="TableReadMeInstallation" displayName="TableReadMeInstallation" ref="D62:O74" totalsRowShown="0" headerRowDxfId="1640" dataDxfId="1638" headerRowBorderDxfId="1639" headerRowCellStyle="Normal 2" dataCellStyle="Normal 2">
  <autoFilter ref="D62:O74" xr:uid="{5AE46E5C-B9B2-44C1-BBAF-B7F5419BE233}"/>
  <tableColumns count="12">
    <tableColumn id="1" xr3:uid="{BDC94B6A-6582-4410-BF97-F66600593D0F}" name="Reference" dataDxfId="1637" dataCellStyle="Normal 2"/>
    <tableColumn id="2" xr3:uid="{48911601-FAC1-4866-B716-45D45E853C31}" name="English Description" dataDxfId="1636" dataCellStyle="Normal 2"/>
    <tableColumn id="3" xr3:uid="{62D66405-C4ED-41FB-A265-8BC5C08C92B2}" name="English Comment" dataDxfId="1635" dataCellStyle="Normal 2"/>
    <tableColumn id="4" xr3:uid="{99013B8D-53E2-4825-986D-394267576975}" name="French Description" dataDxfId="1634" dataCellStyle="Normal 2"/>
    <tableColumn id="5" xr3:uid="{9DB66226-7C97-46DD-9B10-0D2CC2C433C1}" name="French Comment" dataDxfId="1633" dataCellStyle="Normal 2"/>
    <tableColumn id="6" xr3:uid="{8A7FF7DE-8B7C-414A-9608-25E3D0009E00}" name="Dutch Description" dataDxfId="1632" dataCellStyle="Normal 2"/>
    <tableColumn id="7" xr3:uid="{30DFF397-548D-4096-93D0-6197A6CBDE22}" name="Dutch Comment" dataDxfId="1631" dataCellStyle="Normal 2"/>
    <tableColumn id="8" xr3:uid="{2CF234C0-D28D-4A6E-860E-22BA8BABCDBA}" name="Revision" dataDxfId="1630" dataCellStyle="Normal 2"/>
    <tableColumn id="9" xr3:uid="{0299485C-5151-4269-8A6A-A246ABEF8143}" name="Date" dataDxfId="1629" dataCellStyle="Normal 2"/>
    <tableColumn id="10" xr3:uid="{59B49F95-8E59-454B-8B27-D611A48B95C3}" name="Author" dataDxfId="1628" dataCellStyle="Normal 2"/>
    <tableColumn id="11" xr3:uid="{E864E126-1B49-4BD7-BBFF-DC3F19855D19}" name="Installation Steps" dataDxfId="1627" dataCellStyle="Normal 2"/>
    <tableColumn id="12" xr3:uid="{871A0811-341E-4A1F-A689-FFA36B26D1B9}" name="Comment" dataDxfId="1626" dataCellStyle="Normal 2"/>
  </tableColumns>
  <tableStyleInfo name="TableStyleMediumJB"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3EDD052-8E0F-461C-ABB8-CF9569DF1074}" name="TableReadMeCountry" displayName="TableReadMeCountry" ref="D77:O96" totalsRowShown="0" headerRowDxfId="1625" dataDxfId="1623" headerRowBorderDxfId="1624" tableBorderDxfId="1622" totalsRowBorderDxfId="1621" headerRowCellStyle="Normal 2" dataCellStyle="Normal 2">
  <autoFilter ref="D77:O96" xr:uid="{A3EDD052-8E0F-461C-ABB8-CF9569DF1074}"/>
  <tableColumns count="12">
    <tableColumn id="1" xr3:uid="{B21ECA77-DE2C-4576-99F1-1575932C1D41}" name="Reference" dataDxfId="1620" dataCellStyle="Normal 2">
      <calculatedColumnFormula>VLOOKUP($E78,$E78:$J78,$D$1-1,FALSE)</calculatedColumnFormula>
    </tableColumn>
    <tableColumn id="2" xr3:uid="{22E8035F-C9A5-4D64-8210-96930B55056F}" name="English Description" dataDxfId="1619" dataCellStyle="Normal 2"/>
    <tableColumn id="3" xr3:uid="{C8D3BB8B-CD48-478A-AF85-2941D07BED8D}" name="English Comment" dataDxfId="1618" dataCellStyle="Normal 2"/>
    <tableColumn id="4" xr3:uid="{A54BD9DB-52C2-4BCD-9A84-0E4B1A07E749}" name="French Description" dataDxfId="1617" dataCellStyle="Normal 2"/>
    <tableColumn id="5" xr3:uid="{894A39B6-EC74-4D9B-8E8C-403681AB89D2}" name="French Comment" dataDxfId="1616" dataCellStyle="Normal 2"/>
    <tableColumn id="6" xr3:uid="{28A80868-04B8-4500-B7A0-EAAF21697F20}" name="Dutch Description" dataDxfId="1615" dataCellStyle="Normal 2"/>
    <tableColumn id="7" xr3:uid="{7ACAC796-49B6-4A9D-B5A8-D93AC273A966}" name="Dutch Comment" dataDxfId="1614" dataCellStyle="Normal 2"/>
    <tableColumn id="8" xr3:uid="{846589E4-DDA2-488A-83F7-BEDB82434B75}" name="Empty 1" dataDxfId="1613" dataCellStyle="Normal 2"/>
    <tableColumn id="9" xr3:uid="{87B2E580-F820-42A8-B745-6CD6052F1556}" name="Empty 2" dataDxfId="1612" dataCellStyle="Normal 2"/>
    <tableColumn id="10" xr3:uid="{CE5244B3-F092-441F-BFF2-3B427214F3E7}" name="Empty 3" dataDxfId="1611" dataCellStyle="Normal 2"/>
    <tableColumn id="11" xr3:uid="{0CF5415A-76B5-459C-B3F5-C485D5CD5AEA}" name="Empty 4" dataDxfId="1610" dataCellStyle="Normal 2"/>
    <tableColumn id="12" xr3:uid="{DCD310E6-1A45-405F-97D4-D9D69EFB7FC3}" name="Empty 5" dataDxfId="1609" dataCellStyle="Normal 2"/>
  </tableColumns>
  <tableStyleInfo name="TableStyleMediumJB"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3145883-0F03-4832-B5A0-4561EA7D52C3}" name="TableInstructions" displayName="TableInstructions" ref="C5:M203" totalsRowShown="0" headerRowDxfId="1598" dataDxfId="1596" headerRowBorderDxfId="1597" tableBorderDxfId="1595" totalsRowBorderDxfId="1594">
  <autoFilter ref="C5:M203" xr:uid="{63145883-0F03-4832-B5A0-4561EA7D52C3}"/>
  <tableColumns count="11">
    <tableColumn id="1" xr3:uid="{CC18E743-234A-48C1-98AD-F6308C28ECB3}" name="English Item" dataDxfId="1593"/>
    <tableColumn id="2" xr3:uid="{98066F0E-1482-4E3F-B870-859F72F815E0}" name="English Comment" dataDxfId="1592"/>
    <tableColumn id="3" xr3:uid="{B65C7788-7D91-4755-92E0-4788BD509F5A}" name="French Item" dataDxfId="1591"/>
    <tableColumn id="4" xr3:uid="{9BD42CEB-BAF6-4649-B676-2A0F13763DB1}" name="French Comment" dataDxfId="1590"/>
    <tableColumn id="5" xr3:uid="{63157619-4F4F-4183-A7EE-FD5032785E2E}" name="Dutch Item" dataDxfId="1589"/>
    <tableColumn id="6" xr3:uid="{133E9BB8-131A-4F73-9D11-0214E93F5009}" name="Dutch Comment" dataDxfId="1588"/>
    <tableColumn id="7" xr3:uid="{9964805E-57A2-4349-97A2-AFC6061EFCFE}" name="NOTE" dataDxfId="1587"/>
    <tableColumn id="8" xr3:uid="{882D3F48-CDDD-49F8-8398-DE12DDD96D0D}" name="SHEET" dataDxfId="1586"/>
    <tableColumn id="9" xr3:uid="{91FE8932-2574-45DE-81EE-024394D6BB62}" name="DATE" dataDxfId="1585"/>
    <tableColumn id="10" xr3:uid="{0055D48B-1976-49C5-BA23-C2EF0FF5EBCF}" name="ITEM" dataDxfId="1584"/>
    <tableColumn id="11" xr3:uid="{547BA46D-3DD8-4A53-A845-2F436A745954}" name="COMMENT" dataDxfId="158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4929C7-E8B7-4A07-99D0-9D218DEE7112}" name="TableInputsData" displayName="TableInputsData" ref="C3:K503" totalsRowShown="0" headerRowDxfId="1570" dataDxfId="1568" headerRowBorderDxfId="1569" tableBorderDxfId="1567" totalsRowBorderDxfId="1566">
  <autoFilter ref="C3:K503" xr:uid="{604929C7-E8B7-4A07-99D0-9D218DEE7112}">
    <filterColumn colId="1">
      <customFilters>
        <customFilter operator="notEqual" val=" "/>
      </customFilters>
    </filterColumn>
  </autoFilter>
  <tableColumns count="9">
    <tableColumn id="1" xr3:uid="{D92521CE-E6AB-4981-B19E-68419ECAEB70}" name="ITEM" dataDxfId="1565"/>
    <tableColumn id="9" xr3:uid="{8E49F709-2206-4DFC-8619-76FF22A12303}" name="SECTION" dataDxfId="1564"/>
    <tableColumn id="10" xr3:uid="{640BF1D9-8C5B-4710-AB24-AD57B5865029}" name="ITEM_EN" dataDxfId="1563"/>
    <tableColumn id="5" xr3:uid="{AC35DFC3-7988-4745-937D-4D3A2CEFBFF5}" name="ITEM_FR" dataDxfId="1562"/>
    <tableColumn id="6" xr3:uid="{3AAA88E6-EFA8-49A8-9653-F7D3770DCA63}" name="ITEM_NL" dataDxfId="1561"/>
    <tableColumn id="3" xr3:uid="{3EEE5BC3-0886-46A4-A0B2-F3CC2672E9A8}" name="DESCRIPTION1" dataDxfId="1560"/>
    <tableColumn id="4" xr3:uid="{32E2149F-16E6-4139-BCD7-E4CCD74E2132}" name="DESCRIPTION2" dataDxfId="1559"/>
    <tableColumn id="2" xr3:uid="{E81A2E7A-F9D8-4BE6-9DD9-C1B0132BC6E8}" name="VALUE" dataDxfId="1558"/>
    <tableColumn id="7" xr3:uid="{D79B7607-B664-4CC9-97D3-76F65CD2579C}" name="OTHER" dataDxfId="155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87443F9-05E4-4F29-9840-EC58319A9FC3}" name="TableRevenueData" displayName="TableRevenueData" ref="C7:AS1268" totalsRowShown="0" headerRowDxfId="1550" dataDxfId="1548" headerRowBorderDxfId="1549" tableBorderDxfId="1547" totalsRowBorderDxfId="1546">
  <autoFilter ref="C7:AS1268" xr:uid="{F87443F9-05E4-4F29-9840-EC58319A9FC3}">
    <filterColumn colId="2">
      <customFilters>
        <customFilter operator="notEqual" val=" "/>
      </customFilters>
    </filterColumn>
  </autoFilter>
  <tableColumns count="43">
    <tableColumn id="1" xr3:uid="{9E172FB7-69C7-4EB9-A710-0B7F2F51A816}" name="SORT" dataDxfId="1545"/>
    <tableColumn id="2" xr3:uid="{F43D92F8-3FC2-4B5A-9493-93EB085F0214}" name="FILTER" dataDxfId="1544">
      <calculatedColumnFormula>IF(ISERROR(VLOOKUP($I$9,TableInputsData[],3,FALSE)),0,1)</calculatedColumnFormula>
    </tableColumn>
    <tableColumn id="26" xr3:uid="{D4D39980-B30E-42B8-BC6A-3FEFFE0DA978}" name="REF" dataDxfId="1543"/>
    <tableColumn id="4" xr3:uid="{E83B013A-1989-4ECF-8A9F-53AEEEEA0236}" name="REFERENCE YEAR" dataDxfId="1542"/>
    <tableColumn id="5" xr3:uid="{BF2452F2-D44E-48EF-9B95-4124D2EAC050}" name="YEAR" dataDxfId="1541">
      <calculatedColumnFormula>VLOOKUP(G6,TableInputsData[],4,FALSE)</calculatedColumnFormula>
    </tableColumn>
    <tableColumn id="3" xr3:uid="{CDE0FCE5-5015-40CF-A826-8A31A90785CF}" name="TYPE PRODUCT / SERVICE" dataDxfId="1540"/>
    <tableColumn id="7" xr3:uid="{6EB191AF-D263-4E65-9FE5-F2681434558A}" name="REFERENCE PRODUCT / SERVICE" dataDxfId="1539"/>
    <tableColumn id="25" xr3:uid="{63F04B4A-95E2-4EE8-9B2D-684852E82220}" name="PRODUCT / SERVICE" dataDxfId="1538">
      <calculatedColumnFormula>VLOOKUP($I8,TableInputsData[],4,FALSE)</calculatedColumnFormula>
    </tableColumn>
    <tableColumn id="24" xr3:uid="{271F7FF6-0739-45D7-98F7-083B2AB2208D}" name="ITEM" dataDxfId="1537"/>
    <tableColumn id="9" xr3:uid="{15E74486-825B-465D-8D85-3684DB981D6A}" name="UNIT SELLING PRICE RANGE 1" dataDxfId="1536"/>
    <tableColumn id="10" xr3:uid="{6B49E4B3-57CE-4336-A296-E6E6A44EE7D5}" name="UNIT SELLING PRICE RANGE 2" dataDxfId="1535"/>
    <tableColumn id="11" xr3:uid="{8CDD6D6F-2F6D-4C6D-81FC-716C8156D107}" name="UNIT SELLING PRICE RANGE 3" dataDxfId="1534"/>
    <tableColumn id="12" xr3:uid="{B388B20F-0DAB-45CA-9DA1-177ABEE8124E}" name="UNIT SELLING PRICE AVERAGE" dataDxfId="1533">
      <calculatedColumnFormula>$L8*$P8+$M8*$Q8+$N8*$R8</calculatedColumnFormula>
    </tableColumn>
    <tableColumn id="13" xr3:uid="{9705365A-0CAF-4AAD-B7B5-420EC235DD15}" name="MIX VOLUME RANGE 1 %" dataDxfId="1532"/>
    <tableColumn id="14" xr3:uid="{276AB0B1-CF1F-4CCC-9B04-E663C86B6803}" name="MIX VOLUME RANGE 2 %" dataDxfId="1531"/>
    <tableColumn id="15" xr3:uid="{D5E5B318-2DB1-48F8-9893-F61480A2F533}" name="MIX VOLUME RANGE 3 %" dataDxfId="1530">
      <calculatedColumnFormula>1-P8-Q8</calculatedColumnFormula>
    </tableColumn>
    <tableColumn id="16" xr3:uid="{E2FC1523-AEA0-4B0D-9EAA-7A1343CA7DEA}" name="UNIT COGS RANGE 1" dataDxfId="1529"/>
    <tableColumn id="17" xr3:uid="{7D814F4A-7739-42AD-B543-3AE2C97D0CB7}" name="UNIT COGS RANGE 2" dataDxfId="1528"/>
    <tableColumn id="18" xr3:uid="{A663A76C-4A43-4345-B705-5BBE2DA9A55D}" name="UNIT COGS RANGE 3" dataDxfId="1527"/>
    <tableColumn id="19" xr3:uid="{FF1C1FA4-BFC8-4650-9DBA-0CF6A789E667}" name="UNIT COGS AVERAGE" dataDxfId="1526">
      <calculatedColumnFormula>(L8*P8*S8+M8*Q8*T8+N8*R8*U8)/O8</calculatedColumnFormula>
    </tableColumn>
    <tableColumn id="38" xr3:uid="{D9BDE9F8-B788-4FCA-931D-61EFAD66491D}" name="MIX VOLUME RANGE 1 CHANNEL 1 %" dataDxfId="1525"/>
    <tableColumn id="39" xr3:uid="{87A82332-91E7-4AE6-80D9-FC705F9EA470}" name="MIX VOLUME RANGE 2 CHANNEL 1 %" dataDxfId="1524"/>
    <tableColumn id="40" xr3:uid="{8AC8BD60-65D7-4203-9EED-DF9B176D1F28}" name="MIX VOLUME RANGE 3 CHANNEL 1 %" dataDxfId="1523"/>
    <tableColumn id="41" xr3:uid="{F705FA34-761F-4557-AAEF-C731BD8B0D1D}" name="MIX VOLUME RANGE 1 CHANNEL 2 %" dataDxfId="1522"/>
    <tableColumn id="42" xr3:uid="{F83C7E8D-5A1C-4483-A917-281DD04C7DBC}" name="MIX VOLUME RANGE 2 CHANNEL 2 %" dataDxfId="1521"/>
    <tableColumn id="43" xr3:uid="{FAC329F0-7B3B-4262-9E22-6CB42B9996CC}" name="MIX VOLUME RANGE 3 CHANNEL 2 %" dataDxfId="1520"/>
    <tableColumn id="22" xr3:uid="{AA3C5299-401D-4F33-8E96-F73CA4411A8E}" name="UNIT COGS AVERAGE CHANNEL 1" dataDxfId="1519">
      <calculatedColumnFormula>($I8*$M8*$P8*#REF!+$J8*$N8*$Q8*#REF!+$K8*$O8*$R8*#REF!)/$L8</calculatedColumnFormula>
    </tableColumn>
    <tableColumn id="23" xr3:uid="{D0461C95-4525-4029-B4BE-BD9123DFE29F}" name="UNIT COGS AVERAGE CHANNEL 2" dataDxfId="1518">
      <calculatedColumnFormula>($I8*$M8*$P8*#REF!+$J8*$N8*$Q8*#REF!+$K8*$O8*$R8*#REF!)/$L8</calculatedColumnFormula>
    </tableColumn>
    <tableColumn id="27" xr3:uid="{A77A5A30-54ED-45F9-931B-A4BE03041D9C}" name="QUARTER 1" dataDxfId="1517"/>
    <tableColumn id="28" xr3:uid="{73212ACE-D393-46F1-A6E6-998245C354FC}" name="QUARTER 2" dataDxfId="1516"/>
    <tableColumn id="29" xr3:uid="{B01EED00-2C36-4280-A92B-CB073799EB0F}" name="QUARTER 3" dataDxfId="1515"/>
    <tableColumn id="30" xr3:uid="{0E8B941F-5B8A-4FAC-A0BA-7F36030B65E2}" name="QUARTER 4" dataDxfId="1514"/>
    <tableColumn id="31" xr3:uid="{D41C1CAC-D42B-4DBD-8211-E08D1DDD7E9F}" name="TOTAL YEAR" dataDxfId="1513">
      <calculatedColumnFormula>$AE8+$AF8+$AG8+$AH8</calculatedColumnFormula>
    </tableColumn>
    <tableColumn id="32" xr3:uid="{1C795AB6-5C38-41E9-B09F-326D8CCEC341}" name="TOTAL RANGE 1" dataDxfId="1512">
      <calculatedColumnFormula>$AI8*TableRevenueData[[#This Row],[MIX VOLUME RANGE 1 %]]</calculatedColumnFormula>
    </tableColumn>
    <tableColumn id="33" xr3:uid="{9E87A42C-3DB4-4CD8-ACE8-9D03A3DCA079}" name="TOTAL RANGE 2" dataDxfId="1511"/>
    <tableColumn id="34" xr3:uid="{BE0C7498-4DBC-4FC5-8AF7-177C4B8B6D3C}" name="TOTAL RANGE 3" dataDxfId="1510"/>
    <tableColumn id="35" xr3:uid="{055EDDB9-C9BD-422E-8390-FD49A0560651}" name="TOTAL DISTRIBUTION CHANNEL 1" dataDxfId="1509">
      <calculatedColumnFormula>AJ8*#REF!+AK8*#REF!+AL8*#REF!</calculatedColumnFormula>
    </tableColumn>
    <tableColumn id="44" xr3:uid="{DC332B04-67FF-470A-9E45-FC9D890E2D03}" name="TOTAL DISTRIBUTION CHANNEL 1 %" dataDxfId="1508"/>
    <tableColumn id="36" xr3:uid="{E24EC684-2FDC-4865-BAC6-A781890785AF}" name="TOTAL DISTRIBUTION CHANNEL 2" dataDxfId="1507"/>
    <tableColumn id="46" xr3:uid="{5260FB34-7C33-468B-B066-B5C636AAD858}" name="TOTAL DISTRIBUTION CHANNEL 2 %" dataDxfId="1506"/>
    <tableColumn id="8" xr3:uid="{14DA4096-EC2A-4042-9B8C-A882E6B12D33}" name="COMMENT" dataDxfId="1505"/>
    <tableColumn id="6" xr3:uid="{EF466D7D-CE40-477C-9189-49BBD8444060}" name="TRANSLATION NOTE" dataDxfId="1504"/>
    <tableColumn id="37" xr3:uid="{A95D2E36-FDE3-4FDB-865D-42DEC0FB9E53}" name="CHECK" dataDxfId="1503">
      <calculatedColumnFormula>AND(EXACT(AI8,AJ8+AK8+AL8),EXACT(AI8,AM8+AO8))</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9FA70DF-6463-4B39-A2F3-FE0554C42586}" name="TableProductServiceList" displayName="TableProductServiceList" ref="A19:C49" totalsRowShown="0" headerRowDxfId="941" dataDxfId="940">
  <autoFilter ref="A19:C49" xr:uid="{09FA70DF-6463-4B39-A2F3-FE0554C42586}"/>
  <tableColumns count="3">
    <tableColumn id="1" xr3:uid="{234417FC-1BD8-4D15-B3B1-AAA19C932FF6}" name="REFERENCE_EN" dataDxfId="939"/>
    <tableColumn id="2" xr3:uid="{0178FFFF-6D2A-4317-A8B2-CEB65C861AAC}" name="REFERENCE" dataDxfId="938">
      <calculatedColumnFormula>VLOOKUP(A20,TableInputsData[],ReadMe!$M$3,FALSE)</calculatedColumnFormula>
    </tableColumn>
    <tableColumn id="3" xr3:uid="{2F46F744-2146-41DB-8361-2DF54FCC0D9C}" name="NAME" dataDxfId="937">
      <calculatedColumnFormula>VLOOKUP(A20,TableInputsData[],6,FALSE)</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33BDD5-3F0B-464E-9992-36E0ED1107DD}" name="TableRangeList" displayName="TableRangeList" ref="A117:C120" totalsRowShown="0">
  <autoFilter ref="A117:C120" xr:uid="{2433BDD5-3F0B-464E-9992-36E0ED1107DD}"/>
  <tableColumns count="3">
    <tableColumn id="1" xr3:uid="{F51DEDA7-53CF-4C45-8F54-A1CF8ADB0D53}" name="REFERENCE_EN" dataDxfId="936"/>
    <tableColumn id="2" xr3:uid="{6FFC2D50-008F-45BB-B24F-1BC6E585F620}" name="REFERENCE" dataDxfId="935">
      <calculatedColumnFormula>VLOOKUP(A118,TableInputsData[],ReadMe!$M$3,FALSE)</calculatedColumnFormula>
    </tableColumn>
    <tableColumn id="3" xr3:uid="{01E579A6-F35D-4C1B-BDA7-378EF410D4F0}" name="NAME" dataDxfId="934">
      <calculatedColumnFormula>VLOOKUP(A118,TableInputsData[],6,FALSE)</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35FAAEA-1B0A-424E-9B1A-0053932C1657}" name="TableDistributionChannelList" displayName="TableDistributionChannelList" ref="A167:C169" totalsRowShown="0">
  <autoFilter ref="A167:C169" xr:uid="{E35FAAEA-1B0A-424E-9B1A-0053932C1657}"/>
  <tableColumns count="3">
    <tableColumn id="1" xr3:uid="{41B890FA-8BF8-4591-BA3D-8EA765663E96}" name="REFERENCE_EN" dataDxfId="933"/>
    <tableColumn id="2" xr3:uid="{A39419FD-12B9-4C43-B8EA-1F759C2DC774}" name="REFERENCE" dataDxfId="932">
      <calculatedColumnFormula>VLOOKUP(A168,TableInputsData[],ReadMe!$M$3,FALSE)</calculatedColumnFormula>
    </tableColumn>
    <tableColumn id="3" xr3:uid="{94D85905-B470-4740-8882-B745FB032228}" name="NAME" dataDxfId="931">
      <calculatedColumnFormula>VLOOKUP(A168,TableInputsData[],6,FALSE)</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07444B4-9B0A-4F1A-ADA7-6D914D4AC8E6}" name="TableProductServiceType" displayName="TableProductServiceType" ref="A66:C68" totalsRowShown="0">
  <autoFilter ref="A66:C68" xr:uid="{F07444B4-9B0A-4F1A-ADA7-6D914D4AC8E6}"/>
  <tableColumns count="3">
    <tableColumn id="1" xr3:uid="{1AA89596-DD41-48EA-AB11-BB2C42754B50}" name="REFERENCE_EN" dataDxfId="930"/>
    <tableColumn id="2" xr3:uid="{1613F9E4-2CB0-400B-BD93-227F011C3380}" name="REFERENCE" dataDxfId="929">
      <calculatedColumnFormula>VLOOKUP(A67,TableInputsData[],ReadMe!$M$3,FALSE)</calculatedColumnFormula>
    </tableColumn>
    <tableColumn id="3" xr3:uid="{472845C4-D49F-49B0-9DDB-A75E63FAD77C}" name="NAME" dataDxfId="928"/>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8389FF-5548-4414-8FFA-40C4388D26B5}" name="TableFinanceData" displayName="TableFinanceData" ref="C3:AH839" totalsRowShown="0" headerRowDxfId="881" dataDxfId="879" headerRowBorderDxfId="880" tableBorderDxfId="878" totalsRowBorderDxfId="877">
  <autoFilter ref="C3:AH839" xr:uid="{CE8389FF-5548-4414-8FFA-40C4388D26B5}"/>
  <tableColumns count="32">
    <tableColumn id="7" xr3:uid="{C366ACE1-4191-4540-91A8-8E9A5AF6683B}" name="SECTION" dataDxfId="876"/>
    <tableColumn id="1" xr3:uid="{01A227D2-A0E1-4059-8A52-E6D69DFB82AE}" name="ITEM" dataDxfId="875"/>
    <tableColumn id="2" xr3:uid="{28209A30-F1B5-4E11-83B2-50AF219E1480}" name="SUB-ITEM1" dataDxfId="874"/>
    <tableColumn id="3" xr3:uid="{D6E22735-8CE4-4043-967F-885D1C3BD2E2}" name="SUB-ITEM2" dataDxfId="873"/>
    <tableColumn id="4" xr3:uid="{D35CFEB9-5ACB-4EF6-B89E-7260F417F1F3}" name="SUB-ITEM3" dataDxfId="872"/>
    <tableColumn id="5" xr3:uid="{4C8DABCD-4B28-406A-A953-A556EB145932}" name="DESCRIPTION1" dataDxfId="871"/>
    <tableColumn id="6" xr3:uid="{2507C883-6F72-4D93-98B3-36E9A4EA57C8}" name="DESCRIPTION2" dataDxfId="870"/>
    <tableColumn id="32" xr3:uid="{AAB78BC5-1B5A-471E-8228-947B83B07486}" name="PARAMETER" dataDxfId="869"/>
    <tableColumn id="27" xr3:uid="{94E6B9DA-FD0D-48D7-899F-3FEFE9C0D922}" name="ACQUISITION YEAR" dataDxfId="868"/>
    <tableColumn id="28" xr3:uid="{E254177F-14D4-4FA7-9DEB-1AFA7B1F0DCA}" name="ACQUISITION VALUE" dataDxfId="867"/>
    <tableColumn id="29" xr3:uid="{9FD4353F-0E8A-4662-8D18-7FC60437FB0E}" name="% YEARLY AMORTISATION" dataDxfId="866"/>
    <tableColumn id="30" xr3:uid="{3541019E-E35A-4F00-90F1-D120D77F31E0}" name="ACCUMULATED AMORTISATION VALUE" dataDxfId="865"/>
    <tableColumn id="8" xr3:uid="{FB54AD06-A794-458D-9E3D-DEA513B950D1}" name="YEAR-2" dataDxfId="864"/>
    <tableColumn id="9" xr3:uid="{D796C5E9-31C5-46FB-B064-7940E8BF3C7C}" name="YEAR-1" dataDxfId="863"/>
    <tableColumn id="10" xr3:uid="{ABDEA799-FF01-40B5-BB51-7527DF60D499}" name="CURRENT YEAR H1" dataDxfId="862"/>
    <tableColumn id="11" xr3:uid="{AD079626-97C9-4991-BB08-D1FF9CB39A63}" name="CURRENT YEAR H2" dataDxfId="861"/>
    <tableColumn id="12" xr3:uid="{C7AE35A8-E31A-4741-BC05-296A48018026}" name="CURRENT YEAR" dataDxfId="860"/>
    <tableColumn id="13" xr3:uid="{90679A8F-E890-4A3C-9B1D-BB1EB1B5B256}" name="YEAR2" dataDxfId="859"/>
    <tableColumn id="14" xr3:uid="{F3CB3499-9935-4AF1-AEFD-E03535F12CED}" name="YEAR3" dataDxfId="858"/>
    <tableColumn id="15" xr3:uid="{987702E2-98FA-4D30-9F46-125A5862B4E7}" name="YEAR4" dataDxfId="857"/>
    <tableColumn id="16" xr3:uid="{16B4BF1B-2C21-4943-8F58-C3C1B9CD51B3}" name="YEAR5" dataDxfId="856"/>
    <tableColumn id="17" xr3:uid="{CC1518FD-DA22-4552-B896-C88F221FFECD}" name="YEAR6" dataDxfId="855"/>
    <tableColumn id="31" xr3:uid="{0C693B9F-92E0-4618-B0AA-1248268662A4}" name="COMMENT" dataDxfId="854"/>
    <tableColumn id="18" xr3:uid="{6B49448D-6651-4EE5-A190-520B34581E5F}" name="TRANSLATION NOTE" dataDxfId="853"/>
    <tableColumn id="19" xr3:uid="{57805D04-2901-47F5-BC31-4B6FFBB17AAB}" name="CHECK" dataDxfId="852"/>
    <tableColumn id="20" xr3:uid="{DAC329CA-3772-4F70-B905-D57D3FEA4B8E}" name="ITEM FILTER" dataDxfId="851"/>
    <tableColumn id="21" xr3:uid="{9E4DDB59-C9B6-44D5-BCE1-6BBD1E421F01}" name="TOTAL FILTER" dataDxfId="850"/>
    <tableColumn id="22" xr3:uid="{E15C40BB-57BF-4A46-8018-27E4629CDB63}" name="WC FILTER" dataDxfId="849"/>
    <tableColumn id="23" xr3:uid="{E088214D-088E-40AC-BB5D-9D54749172C1}" name="CHART FILTER" dataDxfId="848"/>
    <tableColumn id="24" xr3:uid="{8D95FBE0-FA06-4C07-BE2D-87825370033E}" name="TRANSLATION FILTER" dataDxfId="847"/>
    <tableColumn id="25" xr3:uid="{BE871512-3F49-4905-9896-16D82E532068}" name="PROD-SERVICE FILTER" dataDxfId="846"/>
    <tableColumn id="26" xr3:uid="{FE180964-DBDD-4660-A756-602E65D2C212}" name="SIMULATION PARAMETER" dataDxfId="845"/>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3.bin"/><Relationship Id="rId1" Type="http://schemas.openxmlformats.org/officeDocument/2006/relationships/hyperlink" Target="http://www.xe.com/currencyconverter/"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table" Target="../tables/table8.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pivotTable" Target="../pivotTables/pivotTable9.xml"/><Relationship Id="rId7" Type="http://schemas.openxmlformats.org/officeDocument/2006/relationships/table" Target="../tables/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drawing" Target="../drawings/drawing3.xml"/><Relationship Id="rId11" Type="http://schemas.microsoft.com/office/2007/relationships/slicer" Target="../slicers/slicer1.xml"/><Relationship Id="rId5" Type="http://schemas.openxmlformats.org/officeDocument/2006/relationships/printerSettings" Target="../printerSettings/printerSettings6.bin"/><Relationship Id="rId10" Type="http://schemas.openxmlformats.org/officeDocument/2006/relationships/table" Target="../tables/table12.xml"/><Relationship Id="rId4" Type="http://schemas.openxmlformats.org/officeDocument/2006/relationships/pivotTable" Target="../pivotTables/pivotTable10.xml"/><Relationship Id="rId9"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table" Target="../tables/table1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18.xml"/><Relationship Id="rId3" Type="http://schemas.openxmlformats.org/officeDocument/2006/relationships/pivotTable" Target="../pivotTables/pivotTable13.xml"/><Relationship Id="rId7" Type="http://schemas.openxmlformats.org/officeDocument/2006/relationships/pivotTable" Target="../pivotTables/pivotTable17.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10" Type="http://schemas.openxmlformats.org/officeDocument/2006/relationships/printerSettings" Target="../printerSettings/printerSettings8.bin"/><Relationship Id="rId4" Type="http://schemas.openxmlformats.org/officeDocument/2006/relationships/pivotTable" Target="../pivotTables/pivotTable14.xml"/><Relationship Id="rId9" Type="http://schemas.openxmlformats.org/officeDocument/2006/relationships/pivotTable" Target="../pivotTables/pivotTable19.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ivotTable" Target="../pivotTables/pivotTable20.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B469F-E1F6-44B9-9E5C-0CDF5F506C68}">
  <sheetPr codeName="Sheet15">
    <tabColor theme="0" tint="-0.499984740745262"/>
    <pageSetUpPr fitToPage="1"/>
  </sheetPr>
  <dimension ref="A1:V105"/>
  <sheetViews>
    <sheetView showGridLines="0" tabSelected="1" zoomScale="80" zoomScaleNormal="80" workbookViewId="0">
      <pane ySplit="4" topLeftCell="A5" activePane="bottomLeft" state="frozen"/>
      <selection pane="bottomLeft" activeCell="L3" sqref="L3"/>
    </sheetView>
  </sheetViews>
  <sheetFormatPr baseColWidth="10" defaultColWidth="0" defaultRowHeight="15" customHeight="1" zeroHeight="1" outlineLevelRow="1" outlineLevelCol="1" x14ac:dyDescent="0.2"/>
  <cols>
    <col min="1" max="1" width="2.140625" style="289" customWidth="1"/>
    <col min="2" max="2" width="25.7109375" style="289" hidden="1" customWidth="1" outlineLevel="1"/>
    <col min="3" max="3" width="2.140625" style="289" hidden="1" customWidth="1" outlineLevel="1"/>
    <col min="4" max="4" width="18.140625" style="289" hidden="1" customWidth="1" outlineLevel="1"/>
    <col min="5" max="10" width="35.7109375" style="289" hidden="1" customWidth="1" outlineLevel="1"/>
    <col min="11" max="11" width="15.7109375" style="289" customWidth="1" collapsed="1"/>
    <col min="12" max="13" width="15.7109375" style="289" customWidth="1"/>
    <col min="14" max="14" width="50.7109375" style="289" customWidth="1"/>
    <col min="15" max="15" width="60.7109375" style="289" customWidth="1"/>
    <col min="16" max="16" width="2.140625" style="289" customWidth="1"/>
    <col min="17" max="22" width="0" hidden="1" customWidth="1"/>
    <col min="23" max="16384" width="7.140625" hidden="1"/>
  </cols>
  <sheetData>
    <row r="1" spans="1:16" ht="15" hidden="1" customHeight="1" outlineLevel="1" x14ac:dyDescent="0.2">
      <c r="A1" s="284"/>
      <c r="B1" s="335" t="s">
        <v>277</v>
      </c>
      <c r="C1" s="284"/>
      <c r="D1" s="333">
        <f>IF($L$3="English",$E$1,IF($L$3="French",$G$1,IF($L$3="Dutch",$I$1,$E$1)))</f>
        <v>4</v>
      </c>
      <c r="E1" s="333">
        <v>2</v>
      </c>
      <c r="F1" s="333">
        <v>3</v>
      </c>
      <c r="G1" s="333">
        <v>4</v>
      </c>
      <c r="H1" s="333">
        <v>5</v>
      </c>
      <c r="I1" s="333">
        <v>6</v>
      </c>
      <c r="J1" s="333">
        <v>7</v>
      </c>
      <c r="K1" s="284"/>
      <c r="L1" s="284"/>
      <c r="M1" s="284"/>
      <c r="N1" s="333">
        <f>IF($L$3="English",$E$1,IF($L$3="French",$G$1,IF($L$3="Dutch",$I$1,$E$1)))</f>
        <v>4</v>
      </c>
      <c r="O1" s="333">
        <f>N1+1</f>
        <v>5</v>
      </c>
      <c r="P1" s="284"/>
    </row>
    <row r="2" spans="1:16" ht="15" customHeight="1" collapsed="1" x14ac:dyDescent="0.2">
      <c r="A2" s="284"/>
      <c r="B2" s="335"/>
      <c r="C2" s="284"/>
      <c r="D2" s="333"/>
      <c r="E2" s="333"/>
      <c r="F2" s="333"/>
      <c r="G2" s="333"/>
      <c r="H2" s="333"/>
      <c r="I2" s="333"/>
      <c r="J2" s="333"/>
      <c r="K2" s="335" t="s">
        <v>277</v>
      </c>
      <c r="L2" s="284"/>
      <c r="M2" s="284"/>
      <c r="N2" s="333"/>
      <c r="O2" s="333"/>
      <c r="P2" s="284"/>
    </row>
    <row r="3" spans="1:16" ht="15" customHeight="1" x14ac:dyDescent="0.2">
      <c r="A3" s="284"/>
      <c r="B3" s="284"/>
      <c r="C3" s="284"/>
      <c r="D3" s="284"/>
      <c r="E3" s="284"/>
      <c r="F3" s="284"/>
      <c r="G3" s="284"/>
      <c r="H3" s="284"/>
      <c r="I3" s="284"/>
      <c r="J3" s="284"/>
      <c r="K3" s="334" t="s">
        <v>374</v>
      </c>
      <c r="L3" s="482" t="s">
        <v>2064</v>
      </c>
      <c r="M3" s="357">
        <f>IF($L$3="English",3,IF($L$3="French",4,IF($L$3="Dutch",5,1)))</f>
        <v>4</v>
      </c>
      <c r="N3" s="284"/>
      <c r="O3" s="284"/>
      <c r="P3" s="284"/>
    </row>
    <row r="4" spans="1:16" ht="15" customHeight="1" x14ac:dyDescent="0.2">
      <c r="A4" s="284"/>
      <c r="B4" s="284"/>
      <c r="C4" s="284"/>
      <c r="D4" s="284"/>
      <c r="E4" s="284"/>
      <c r="F4" s="284"/>
      <c r="G4" s="284"/>
      <c r="H4" s="284"/>
      <c r="I4" s="284"/>
      <c r="J4" s="284"/>
      <c r="K4" s="284"/>
      <c r="L4" s="284"/>
      <c r="M4" s="284"/>
      <c r="N4" s="284"/>
      <c r="O4" s="284"/>
      <c r="P4" s="284"/>
    </row>
    <row r="5" spans="1:16" ht="16" x14ac:dyDescent="0.2">
      <c r="A5" s="285"/>
      <c r="B5" s="286" t="s">
        <v>1828</v>
      </c>
      <c r="C5" s="285"/>
      <c r="D5" s="286" t="s">
        <v>1825</v>
      </c>
      <c r="E5" s="284"/>
      <c r="F5" s="284"/>
      <c r="G5" s="284"/>
      <c r="H5" s="284"/>
      <c r="I5" s="284"/>
      <c r="J5" s="284"/>
      <c r="K5" s="284"/>
      <c r="L5" s="284"/>
      <c r="M5" s="284"/>
      <c r="N5" s="284"/>
      <c r="O5" s="284"/>
      <c r="P5" s="284"/>
    </row>
    <row r="6" spans="1:16" ht="36.75" customHeight="1" x14ac:dyDescent="0.2">
      <c r="A6" s="285"/>
      <c r="B6" s="287" t="s">
        <v>278</v>
      </c>
      <c r="C6" s="285"/>
      <c r="D6" s="692" t="s">
        <v>369</v>
      </c>
      <c r="E6" s="693" t="s">
        <v>326</v>
      </c>
      <c r="F6" s="693" t="s">
        <v>327</v>
      </c>
      <c r="G6" s="693" t="s">
        <v>328</v>
      </c>
      <c r="H6" s="693" t="s">
        <v>329</v>
      </c>
      <c r="I6" s="693" t="s">
        <v>330</v>
      </c>
      <c r="J6" s="741" t="s">
        <v>331</v>
      </c>
      <c r="K6" s="692" t="s">
        <v>279</v>
      </c>
      <c r="L6" s="693" t="s">
        <v>280</v>
      </c>
      <c r="M6" s="693" t="s">
        <v>281</v>
      </c>
      <c r="N6" s="693" t="s">
        <v>282</v>
      </c>
      <c r="O6" s="694" t="s">
        <v>283</v>
      </c>
      <c r="P6" s="284"/>
    </row>
    <row r="7" spans="1:16" ht="20" customHeight="1" x14ac:dyDescent="0.2">
      <c r="A7" s="285"/>
      <c r="B7" s="288" t="s">
        <v>284</v>
      </c>
      <c r="C7" s="285"/>
      <c r="D7" s="676" t="s">
        <v>277</v>
      </c>
      <c r="E7" s="677" t="s">
        <v>287</v>
      </c>
      <c r="F7" s="677" t="s">
        <v>286</v>
      </c>
      <c r="G7" s="677" t="s">
        <v>341</v>
      </c>
      <c r="H7" s="677" t="s">
        <v>350</v>
      </c>
      <c r="I7" s="677" t="s">
        <v>332</v>
      </c>
      <c r="J7" s="724" t="s">
        <v>355</v>
      </c>
      <c r="K7" s="766" t="s">
        <v>277</v>
      </c>
      <c r="L7" s="678" t="s">
        <v>284</v>
      </c>
      <c r="M7" s="678" t="s">
        <v>284</v>
      </c>
      <c r="N7" s="678" t="str">
        <f>IF(ISERROR(VLOOKUP($K7,TableReadMeStatus[],$N$1,FALSE)),"",VLOOKUP($K7,TableReadMeStatus[],$N$1,FALSE))</f>
        <v>Contenu du classeur et version du fichier</v>
      </c>
      <c r="O7" s="679" t="str">
        <f>IF(ISERROR(VLOOKUP($K7,TableReadMeStatus[],$O$1,FALSE)),"",VLOOKUP($K7,TableReadMeStatus[],$O$1,FALSE))</f>
        <v>Fiche d'information</v>
      </c>
      <c r="P7" s="284"/>
    </row>
    <row r="8" spans="1:16" ht="20" customHeight="1" x14ac:dyDescent="0.2">
      <c r="A8" s="285"/>
      <c r="B8" s="288" t="s">
        <v>285</v>
      </c>
      <c r="C8" s="285"/>
      <c r="D8" s="680" t="s">
        <v>153</v>
      </c>
      <c r="E8" s="681" t="s">
        <v>307</v>
      </c>
      <c r="F8" s="681" t="s">
        <v>286</v>
      </c>
      <c r="G8" s="681" t="s">
        <v>342</v>
      </c>
      <c r="H8" s="681" t="s">
        <v>350</v>
      </c>
      <c r="I8" s="681" t="s">
        <v>333</v>
      </c>
      <c r="J8" s="725" t="s">
        <v>355</v>
      </c>
      <c r="K8" s="765" t="s">
        <v>153</v>
      </c>
      <c r="L8" s="682" t="s">
        <v>284</v>
      </c>
      <c r="M8" s="682" t="s">
        <v>284</v>
      </c>
      <c r="N8" s="682" t="str">
        <f>IF(ISERROR(VLOOKUP($K8,TableReadMeStatus[],$N$1,FALSE)),"",VLOOKUP($K8,TableReadMeStatus[],$N$1,FALSE))</f>
        <v>Feuille d'instructions</v>
      </c>
      <c r="O8" s="683" t="str">
        <f>IF(ISERROR(VLOOKUP($K8,TableReadMeStatus[],$O$1,FALSE)),"",VLOOKUP($K8,TableReadMeStatus[],$O$1,FALSE))</f>
        <v>Fiche d'information</v>
      </c>
      <c r="P8" s="284"/>
    </row>
    <row r="9" spans="1:16" ht="20" customHeight="1" x14ac:dyDescent="0.2">
      <c r="A9" s="285"/>
      <c r="B9" s="288" t="s">
        <v>288</v>
      </c>
      <c r="C9" s="285"/>
      <c r="D9" s="684" t="s">
        <v>375</v>
      </c>
      <c r="E9" s="681" t="s">
        <v>289</v>
      </c>
      <c r="F9" s="681" t="s">
        <v>290</v>
      </c>
      <c r="G9" s="681" t="s">
        <v>343</v>
      </c>
      <c r="H9" s="681" t="s">
        <v>351</v>
      </c>
      <c r="I9" s="681" t="s">
        <v>334</v>
      </c>
      <c r="J9" s="725" t="s">
        <v>356</v>
      </c>
      <c r="K9" s="728" t="s">
        <v>375</v>
      </c>
      <c r="L9" s="682" t="s">
        <v>284</v>
      </c>
      <c r="M9" s="682" t="s">
        <v>284</v>
      </c>
      <c r="N9" s="682" t="str">
        <f>IF(ISERROR(VLOOKUP($K9,TableReadMeStatus[],$N$1,FALSE)),"",VLOOKUP($K9,TableReadMeStatus[],$N$1,FALSE))</f>
        <v>Feuille de configuration</v>
      </c>
      <c r="O9" s="685" t="str">
        <f>IF(ISERROR(VLOOKUP($K9,TableReadMeStatus[],$O$1,FALSE)),"",VLOOKUP($K9,TableReadMeStatus[],$O$1,FALSE))</f>
        <v>Fiche de saisie</v>
      </c>
      <c r="P9" s="284"/>
    </row>
    <row r="10" spans="1:16" ht="20" customHeight="1" x14ac:dyDescent="0.2">
      <c r="A10" s="285"/>
      <c r="B10" s="285"/>
      <c r="C10" s="285"/>
      <c r="D10" s="680" t="s">
        <v>313</v>
      </c>
      <c r="E10" s="681" t="s">
        <v>320</v>
      </c>
      <c r="F10" s="681" t="s">
        <v>290</v>
      </c>
      <c r="G10" s="681" t="s">
        <v>344</v>
      </c>
      <c r="H10" s="681" t="s">
        <v>351</v>
      </c>
      <c r="I10" s="681" t="s">
        <v>335</v>
      </c>
      <c r="J10" s="725" t="s">
        <v>356</v>
      </c>
      <c r="K10" s="728" t="s">
        <v>313</v>
      </c>
      <c r="L10" s="682" t="s">
        <v>284</v>
      </c>
      <c r="M10" s="682" t="s">
        <v>284</v>
      </c>
      <c r="N10" s="682" t="str">
        <f>IF(ISERROR(VLOOKUP($K10,TableReadMeStatus[],$N$1,FALSE)),"",VLOOKUP($K10,TableReadMeStatus[],$N$1,FALSE))</f>
        <v>Tableau des recettes</v>
      </c>
      <c r="O10" s="685" t="str">
        <f>IF(ISERROR(VLOOKUP($K10,TableReadMeStatus[],$O$1,FALSE)),"",VLOOKUP($K10,TableReadMeStatus[],$O$1,FALSE))</f>
        <v>Fiche de saisie</v>
      </c>
      <c r="P10" s="284"/>
    </row>
    <row r="11" spans="1:16" ht="20" customHeight="1" x14ac:dyDescent="0.2">
      <c r="A11" s="285"/>
      <c r="B11" s="285"/>
      <c r="C11" s="285"/>
      <c r="D11" s="680" t="s">
        <v>314</v>
      </c>
      <c r="E11" s="681" t="s">
        <v>321</v>
      </c>
      <c r="F11" s="681" t="s">
        <v>291</v>
      </c>
      <c r="G11" s="681" t="s">
        <v>345</v>
      </c>
      <c r="H11" s="681" t="s">
        <v>352</v>
      </c>
      <c r="I11" s="681" t="s">
        <v>336</v>
      </c>
      <c r="J11" s="725" t="s">
        <v>357</v>
      </c>
      <c r="K11" s="727" t="s">
        <v>314</v>
      </c>
      <c r="L11" s="682" t="s">
        <v>284</v>
      </c>
      <c r="M11" s="682" t="s">
        <v>284</v>
      </c>
      <c r="N11" s="682" t="str">
        <f>IF(ISERROR(VLOOKUP($K11,TableReadMeStatus[],$N$1,FALSE)),"",VLOOKUP($K11,TableReadMeStatus[],$N$1,FALSE))</f>
        <v>Tableaux croisés dynamiques des recettes</v>
      </c>
      <c r="O11" s="683" t="str">
        <f>IF(ISERROR(VLOOKUP($K11,TableReadMeStatus[],$O$1,FALSE)),"",VLOOKUP($K11,TableReadMeStatus[],$O$1,FALSE))</f>
        <v>Fiche pivot</v>
      </c>
      <c r="P11" s="284"/>
    </row>
    <row r="12" spans="1:16" ht="20" customHeight="1" x14ac:dyDescent="0.2">
      <c r="A12" s="285"/>
      <c r="B12" s="285"/>
      <c r="C12" s="285"/>
      <c r="D12" s="680" t="s">
        <v>315</v>
      </c>
      <c r="E12" s="681" t="s">
        <v>322</v>
      </c>
      <c r="F12" s="681" t="s">
        <v>308</v>
      </c>
      <c r="G12" s="681" t="s">
        <v>346</v>
      </c>
      <c r="H12" s="681" t="s">
        <v>353</v>
      </c>
      <c r="I12" s="681" t="s">
        <v>337</v>
      </c>
      <c r="J12" s="725" t="s">
        <v>358</v>
      </c>
      <c r="K12" s="727" t="s">
        <v>315</v>
      </c>
      <c r="L12" s="682" t="s">
        <v>284</v>
      </c>
      <c r="M12" s="682" t="s">
        <v>284</v>
      </c>
      <c r="N12" s="682" t="str">
        <f>IF(ISERROR(VLOOKUP($K12,TableReadMeStatus[],$N$1,FALSE)),"",VLOOKUP($K12,TableReadMeStatus[],$N$1,FALSE))</f>
        <v>Graphique des recettes</v>
      </c>
      <c r="O12" s="683" t="str">
        <f>IF(ISERROR(VLOOKUP($K12,TableReadMeStatus[],$O$1,FALSE)),"",VLOOKUP($K12,TableReadMeStatus[],$O$1,FALSE))</f>
        <v>Fiche graphique</v>
      </c>
      <c r="P12" s="284"/>
    </row>
    <row r="13" spans="1:16" ht="20" customHeight="1" x14ac:dyDescent="0.2">
      <c r="A13" s="285"/>
      <c r="B13" s="285"/>
      <c r="C13" s="285"/>
      <c r="D13" s="680" t="s">
        <v>317</v>
      </c>
      <c r="E13" s="681" t="s">
        <v>323</v>
      </c>
      <c r="F13" s="681" t="s">
        <v>290</v>
      </c>
      <c r="G13" s="681" t="s">
        <v>347</v>
      </c>
      <c r="H13" s="681" t="s">
        <v>351</v>
      </c>
      <c r="I13" s="681" t="s">
        <v>338</v>
      </c>
      <c r="J13" s="725" t="s">
        <v>356</v>
      </c>
      <c r="K13" s="728" t="s">
        <v>317</v>
      </c>
      <c r="L13" s="682" t="s">
        <v>284</v>
      </c>
      <c r="M13" s="682" t="s">
        <v>284</v>
      </c>
      <c r="N13" s="682" t="str">
        <f>IF(ISERROR(VLOOKUP($K13,TableReadMeStatus[],$N$1,FALSE)),"",VLOOKUP($K13,TableReadMeStatus[],$N$1,FALSE))</f>
        <v>Tableau du plan financier</v>
      </c>
      <c r="O13" s="685" t="str">
        <f>IF(ISERROR(VLOOKUP($K13,TableReadMeStatus[],$O$1,FALSE)),"",VLOOKUP($K13,TableReadMeStatus[],$O$1,FALSE))</f>
        <v>Fiche de saisie</v>
      </c>
      <c r="P13" s="284"/>
    </row>
    <row r="14" spans="1:16" ht="20" customHeight="1" x14ac:dyDescent="0.2">
      <c r="A14" s="285"/>
      <c r="B14" s="285"/>
      <c r="C14" s="285"/>
      <c r="D14" s="680" t="s">
        <v>318</v>
      </c>
      <c r="E14" s="681" t="s">
        <v>324</v>
      </c>
      <c r="F14" s="681" t="s">
        <v>291</v>
      </c>
      <c r="G14" s="681" t="s">
        <v>348</v>
      </c>
      <c r="H14" s="681" t="s">
        <v>352</v>
      </c>
      <c r="I14" s="681" t="s">
        <v>339</v>
      </c>
      <c r="J14" s="725" t="s">
        <v>357</v>
      </c>
      <c r="K14" s="727" t="s">
        <v>318</v>
      </c>
      <c r="L14" s="682" t="s">
        <v>284</v>
      </c>
      <c r="M14" s="682" t="s">
        <v>284</v>
      </c>
      <c r="N14" s="682" t="str">
        <f>IF(ISERROR(VLOOKUP($K14,TableReadMeStatus[],$N$1,FALSE)),"",VLOOKUP($K14,TableReadMeStatus[],$N$1,FALSE))</f>
        <v>Tableaux croisés dynamiques financiers</v>
      </c>
      <c r="O14" s="683" t="str">
        <f>IF(ISERROR(VLOOKUP($K14,TableReadMeStatus[],$O$1,FALSE)),"",VLOOKUP($K14,TableReadMeStatus[],$O$1,FALSE))</f>
        <v>Fiche pivot</v>
      </c>
      <c r="P14" s="284"/>
    </row>
    <row r="15" spans="1:16" ht="20" customHeight="1" x14ac:dyDescent="0.2">
      <c r="A15" s="285"/>
      <c r="B15" s="285"/>
      <c r="C15" s="285"/>
      <c r="D15" s="680" t="s">
        <v>319</v>
      </c>
      <c r="E15" s="681" t="s">
        <v>325</v>
      </c>
      <c r="F15" s="681" t="s">
        <v>308</v>
      </c>
      <c r="G15" s="681" t="s">
        <v>349</v>
      </c>
      <c r="H15" s="681" t="s">
        <v>353</v>
      </c>
      <c r="I15" s="681" t="s">
        <v>340</v>
      </c>
      <c r="J15" s="725" t="s">
        <v>358</v>
      </c>
      <c r="K15" s="727" t="s">
        <v>319</v>
      </c>
      <c r="L15" s="682" t="s">
        <v>284</v>
      </c>
      <c r="M15" s="682" t="s">
        <v>284</v>
      </c>
      <c r="N15" s="682" t="str">
        <f>IF(ISERROR(VLOOKUP($K15,TableReadMeStatus[],$N$1,FALSE)),"",VLOOKUP($K15,TableReadMeStatus[],$N$1,FALSE))</f>
        <v>Graphique financier</v>
      </c>
      <c r="O15" s="683" t="str">
        <f>IF(ISERROR(VLOOKUP($K15,TableReadMeStatus[],$O$1,FALSE)),"",VLOOKUP($K15,TableReadMeStatus[],$O$1,FALSE))</f>
        <v>Fiche graphique</v>
      </c>
      <c r="P15" s="284"/>
    </row>
    <row r="16" spans="1:16" ht="20" customHeight="1" x14ac:dyDescent="0.2">
      <c r="A16" s="285"/>
      <c r="B16" s="285"/>
      <c r="C16" s="285"/>
      <c r="D16" s="680" t="s">
        <v>316</v>
      </c>
      <c r="E16" s="866" t="s">
        <v>2052</v>
      </c>
      <c r="F16" s="681" t="s">
        <v>309</v>
      </c>
      <c r="G16" s="866" t="s">
        <v>2053</v>
      </c>
      <c r="H16" s="681" t="s">
        <v>354</v>
      </c>
      <c r="I16" s="866" t="s">
        <v>2054</v>
      </c>
      <c r="J16" s="725" t="s">
        <v>359</v>
      </c>
      <c r="K16" s="727" t="s">
        <v>316</v>
      </c>
      <c r="L16" s="682" t="s">
        <v>284</v>
      </c>
      <c r="M16" s="682" t="s">
        <v>284</v>
      </c>
      <c r="N16" s="867" t="str">
        <f>IF(ISERROR(VLOOKUP($K16,TableReadMeStatus[],$N$1,FALSE)),"",VLOOKUP($K16,TableReadMeStatus[],$N$1,FALSE))</f>
        <v>Aperçu financier en EUR pour investisseurs</v>
      </c>
      <c r="O16" s="683" t="str">
        <f>IF(ISERROR(VLOOKUP($K16,TableReadMeStatus[],$O$1,FALSE)),"",VLOOKUP($K16,TableReadMeStatus[],$O$1,FALSE))</f>
        <v>Fiche récapitulative</v>
      </c>
      <c r="P16" s="284"/>
    </row>
    <row r="17" spans="1:16" ht="15.75" hidden="1" customHeight="1" outlineLevel="1" x14ac:dyDescent="0.2">
      <c r="A17" s="285"/>
      <c r="B17" s="285"/>
      <c r="C17" s="285"/>
      <c r="D17" s="680"/>
      <c r="E17" s="681"/>
      <c r="F17" s="681"/>
      <c r="G17" s="681"/>
      <c r="H17" s="681"/>
      <c r="I17" s="681"/>
      <c r="J17" s="725"/>
      <c r="K17" s="729"/>
      <c r="L17" s="682"/>
      <c r="M17" s="682"/>
      <c r="N17" s="682" t="str">
        <f>IF(ISERROR(VLOOKUP($K17,TableReadMeStatus[],$N$1,FALSE)),"",VLOOKUP($K17,TableReadMeStatus[],$N$1,FALSE))</f>
        <v/>
      </c>
      <c r="O17" s="683" t="str">
        <f>IF(ISERROR(VLOOKUP($K17,TableReadMeStatus[],$O$1,FALSE)),"",VLOOKUP($K17,TableReadMeStatus[],$O$1,FALSE))</f>
        <v/>
      </c>
      <c r="P17" s="284"/>
    </row>
    <row r="18" spans="1:16" ht="16" hidden="1" outlineLevel="1" x14ac:dyDescent="0.2">
      <c r="A18" s="285"/>
      <c r="B18" s="285"/>
      <c r="C18" s="285"/>
      <c r="D18" s="680"/>
      <c r="E18" s="681"/>
      <c r="F18" s="681"/>
      <c r="G18" s="681"/>
      <c r="H18" s="681"/>
      <c r="I18" s="681"/>
      <c r="J18" s="725"/>
      <c r="K18" s="729"/>
      <c r="L18" s="682"/>
      <c r="M18" s="682"/>
      <c r="N18" s="682" t="str">
        <f>IF(ISERROR(VLOOKUP($K18,TableReadMeStatus[],$N$1,FALSE)),"",VLOOKUP($K18,TableReadMeStatus[],$N$1,FALSE))</f>
        <v/>
      </c>
      <c r="O18" s="683" t="str">
        <f>IF(ISERROR(VLOOKUP($K18,TableReadMeStatus[],$O$1,FALSE)),"",VLOOKUP($K18,TableReadMeStatus[],$O$1,FALSE))</f>
        <v/>
      </c>
      <c r="P18" s="284"/>
    </row>
    <row r="19" spans="1:16" ht="16" hidden="1" outlineLevel="1" x14ac:dyDescent="0.2">
      <c r="A19" s="285"/>
      <c r="B19" s="285"/>
      <c r="C19" s="285"/>
      <c r="D19" s="680"/>
      <c r="E19" s="681"/>
      <c r="F19" s="681"/>
      <c r="G19" s="681"/>
      <c r="H19" s="681"/>
      <c r="I19" s="681"/>
      <c r="J19" s="725"/>
      <c r="K19" s="729"/>
      <c r="L19" s="682"/>
      <c r="M19" s="682"/>
      <c r="N19" s="682" t="str">
        <f>IF(ISERROR(VLOOKUP($K19,TableReadMeStatus[],$N$1,FALSE)),"",VLOOKUP($K19,TableReadMeStatus[],$N$1,FALSE))</f>
        <v/>
      </c>
      <c r="O19" s="683" t="str">
        <f>IF(ISERROR(VLOOKUP($K19,TableReadMeStatus[],$O$1,FALSE)),"",VLOOKUP($K19,TableReadMeStatus[],$O$1,FALSE))</f>
        <v/>
      </c>
      <c r="P19" s="284"/>
    </row>
    <row r="20" spans="1:16" ht="16" hidden="1" outlineLevel="1" x14ac:dyDescent="0.2">
      <c r="A20" s="285"/>
      <c r="B20" s="285"/>
      <c r="C20" s="285"/>
      <c r="D20" s="680"/>
      <c r="E20" s="681"/>
      <c r="F20" s="681"/>
      <c r="G20" s="681"/>
      <c r="H20" s="681"/>
      <c r="I20" s="681"/>
      <c r="J20" s="725"/>
      <c r="K20" s="729"/>
      <c r="L20" s="682"/>
      <c r="M20" s="682"/>
      <c r="N20" s="682" t="str">
        <f>IF(ISERROR(VLOOKUP($K20,TableReadMeStatus[],$N$1,FALSE)),"",VLOOKUP($K20,TableReadMeStatus[],$N$1,FALSE))</f>
        <v/>
      </c>
      <c r="O20" s="683" t="str">
        <f>IF(ISERROR(VLOOKUP($K20,TableReadMeStatus[],$O$1,FALSE)),"",VLOOKUP($K20,TableReadMeStatus[],$O$1,FALSE))</f>
        <v/>
      </c>
      <c r="P20" s="284"/>
    </row>
    <row r="21" spans="1:16" ht="16" hidden="1" outlineLevel="1" x14ac:dyDescent="0.2">
      <c r="A21" s="285"/>
      <c r="B21" s="285"/>
      <c r="C21" s="285"/>
      <c r="D21" s="680"/>
      <c r="E21" s="681"/>
      <c r="F21" s="681"/>
      <c r="G21" s="681"/>
      <c r="H21" s="681"/>
      <c r="I21" s="681"/>
      <c r="J21" s="725"/>
      <c r="K21" s="729"/>
      <c r="L21" s="682"/>
      <c r="M21" s="682"/>
      <c r="N21" s="682" t="str">
        <f>IF(ISERROR(VLOOKUP($K21,TableReadMeStatus[],$N$1,FALSE)),"",VLOOKUP($K21,TableReadMeStatus[],$N$1,FALSE))</f>
        <v/>
      </c>
      <c r="O21" s="686" t="str">
        <f>IF(ISERROR(VLOOKUP($K21,TableReadMeStatus[],$O$1,FALSE)),"",VLOOKUP($K21,TableReadMeStatus[],$O$1,FALSE))</f>
        <v/>
      </c>
      <c r="P21" s="284"/>
    </row>
    <row r="22" spans="1:16" ht="16" hidden="1" outlineLevel="1" x14ac:dyDescent="0.2">
      <c r="A22" s="285"/>
      <c r="B22" s="285"/>
      <c r="C22" s="285"/>
      <c r="D22" s="680"/>
      <c r="E22" s="681"/>
      <c r="F22" s="681"/>
      <c r="G22" s="681"/>
      <c r="H22" s="681"/>
      <c r="I22" s="681"/>
      <c r="J22" s="725"/>
      <c r="K22" s="729"/>
      <c r="L22" s="682"/>
      <c r="M22" s="682"/>
      <c r="N22" s="682" t="str">
        <f>IF(ISERROR(VLOOKUP($K22,TableReadMeStatus[],$N$1,FALSE)),"",VLOOKUP($K22,TableReadMeStatus[],$N$1,FALSE))</f>
        <v/>
      </c>
      <c r="O22" s="687" t="str">
        <f>IF(ISERROR(VLOOKUP($K22,TableReadMeStatus[],$O$1,FALSE)),"",VLOOKUP($K22,TableReadMeStatus[],$O$1,FALSE))</f>
        <v/>
      </c>
      <c r="P22" s="284"/>
    </row>
    <row r="23" spans="1:16" ht="16" hidden="1" outlineLevel="1" x14ac:dyDescent="0.2">
      <c r="A23" s="285"/>
      <c r="B23" s="285"/>
      <c r="C23" s="285"/>
      <c r="D23" s="680"/>
      <c r="E23" s="681"/>
      <c r="F23" s="681"/>
      <c r="G23" s="681"/>
      <c r="H23" s="681"/>
      <c r="I23" s="681"/>
      <c r="J23" s="725"/>
      <c r="K23" s="729"/>
      <c r="L23" s="682"/>
      <c r="M23" s="682"/>
      <c r="N23" s="682" t="str">
        <f>IF(ISERROR(VLOOKUP($K23,TableReadMeStatus[],$N$1,FALSE)),"",VLOOKUP($K23,TableReadMeStatus[],$N$1,FALSE))</f>
        <v/>
      </c>
      <c r="O23" s="686" t="str">
        <f>IF(ISERROR(VLOOKUP($K23,TableReadMeStatus[],$O$1,FALSE)),"",VLOOKUP($K23,TableReadMeStatus[],$O$1,FALSE))</f>
        <v/>
      </c>
      <c r="P23" s="284"/>
    </row>
    <row r="24" spans="1:16" ht="16" hidden="1" outlineLevel="1" x14ac:dyDescent="0.2">
      <c r="A24" s="285"/>
      <c r="B24" s="285"/>
      <c r="C24" s="285"/>
      <c r="D24" s="680"/>
      <c r="E24" s="681"/>
      <c r="F24" s="681"/>
      <c r="G24" s="681"/>
      <c r="H24" s="681"/>
      <c r="I24" s="681"/>
      <c r="J24" s="725"/>
      <c r="K24" s="729"/>
      <c r="L24" s="682"/>
      <c r="M24" s="682"/>
      <c r="N24" s="682" t="str">
        <f>IF(ISERROR(VLOOKUP($K24,TableReadMeStatus[],$N$1,FALSE)),"",VLOOKUP($K24,TableReadMeStatus[],$N$1,FALSE))</f>
        <v/>
      </c>
      <c r="O24" s="687" t="str">
        <f>IF(ISERROR(VLOOKUP($K24,TableReadMeStatus[],$O$1,FALSE)),"",VLOOKUP($K24,TableReadMeStatus[],$O$1,FALSE))</f>
        <v/>
      </c>
      <c r="P24" s="284"/>
    </row>
    <row r="25" spans="1:16" ht="16" hidden="1" outlineLevel="1" x14ac:dyDescent="0.2">
      <c r="A25" s="285"/>
      <c r="B25" s="285"/>
      <c r="C25" s="285"/>
      <c r="D25" s="680"/>
      <c r="E25" s="681"/>
      <c r="F25" s="681"/>
      <c r="G25" s="681"/>
      <c r="H25" s="681"/>
      <c r="I25" s="681"/>
      <c r="J25" s="725"/>
      <c r="K25" s="729"/>
      <c r="L25" s="682"/>
      <c r="M25" s="682"/>
      <c r="N25" s="682" t="str">
        <f>IF(ISERROR(VLOOKUP($K25,TableReadMeStatus[],$N$1,FALSE)),"",VLOOKUP($K25,TableReadMeStatus[],$N$1,FALSE))</f>
        <v/>
      </c>
      <c r="O25" s="687" t="str">
        <f>IF(ISERROR(VLOOKUP($K25,TableReadMeStatus[],$O$1,FALSE)),"",VLOOKUP($K25,TableReadMeStatus[],$O$1,FALSE))</f>
        <v/>
      </c>
      <c r="P25" s="284"/>
    </row>
    <row r="26" spans="1:16" ht="16" hidden="1" outlineLevel="1" x14ac:dyDescent="0.2">
      <c r="A26" s="285"/>
      <c r="B26" s="285"/>
      <c r="C26" s="285"/>
      <c r="D26" s="680"/>
      <c r="E26" s="681"/>
      <c r="F26" s="681"/>
      <c r="G26" s="681"/>
      <c r="H26" s="681"/>
      <c r="I26" s="681"/>
      <c r="J26" s="725"/>
      <c r="K26" s="729"/>
      <c r="L26" s="682"/>
      <c r="M26" s="682"/>
      <c r="N26" s="682" t="str">
        <f>IF(ISERROR(VLOOKUP($K26,TableReadMeStatus[],$N$1,FALSE)),"",VLOOKUP($K26,TableReadMeStatus[],$N$1,FALSE))</f>
        <v/>
      </c>
      <c r="O26" s="683" t="str">
        <f>IF(ISERROR(VLOOKUP($K26,TableReadMeStatus[],$O$1,FALSE)),"",VLOOKUP($K26,TableReadMeStatus[],$O$1,FALSE))</f>
        <v/>
      </c>
      <c r="P26" s="284"/>
    </row>
    <row r="27" spans="1:16" ht="16" hidden="1" outlineLevel="1" x14ac:dyDescent="0.2">
      <c r="A27" s="285"/>
      <c r="B27" s="285"/>
      <c r="C27" s="285"/>
      <c r="D27" s="680"/>
      <c r="E27" s="681"/>
      <c r="F27" s="681"/>
      <c r="G27" s="681"/>
      <c r="H27" s="681"/>
      <c r="I27" s="681"/>
      <c r="J27" s="725"/>
      <c r="K27" s="729"/>
      <c r="L27" s="682"/>
      <c r="M27" s="682"/>
      <c r="N27" s="682" t="str">
        <f>IF(ISERROR(VLOOKUP($K27,TableReadMeStatus[],$N$1,FALSE)),"",VLOOKUP($K27,TableReadMeStatus[],$N$1,FALSE))</f>
        <v/>
      </c>
      <c r="O27" s="683" t="str">
        <f>IF(ISERROR(VLOOKUP($K27,TableReadMeStatus[],$O$1,FALSE)),"",VLOOKUP($K27,TableReadMeStatus[],$O$1,FALSE))</f>
        <v/>
      </c>
      <c r="P27" s="284"/>
    </row>
    <row r="28" spans="1:16" ht="16" hidden="1" outlineLevel="1" x14ac:dyDescent="0.2">
      <c r="A28" s="285"/>
      <c r="B28" s="285"/>
      <c r="C28" s="285"/>
      <c r="D28" s="680"/>
      <c r="E28" s="681"/>
      <c r="F28" s="681"/>
      <c r="G28" s="681"/>
      <c r="H28" s="681"/>
      <c r="I28" s="681"/>
      <c r="J28" s="725"/>
      <c r="K28" s="729"/>
      <c r="L28" s="682"/>
      <c r="M28" s="682"/>
      <c r="N28" s="682" t="str">
        <f>IF(ISERROR(VLOOKUP($K28,TableReadMeStatus[],$N$1,FALSE)),"",VLOOKUP($K28,TableReadMeStatus[],$N$1,FALSE))</f>
        <v/>
      </c>
      <c r="O28" s="683" t="str">
        <f>IF(ISERROR(VLOOKUP($K28,TableReadMeStatus[],$O$1,FALSE)),"",VLOOKUP($K28,TableReadMeStatus[],$O$1,FALSE))</f>
        <v/>
      </c>
      <c r="P28" s="284"/>
    </row>
    <row r="29" spans="1:16" ht="16" hidden="1" outlineLevel="1" x14ac:dyDescent="0.2">
      <c r="A29" s="285"/>
      <c r="B29" s="285"/>
      <c r="C29" s="285"/>
      <c r="D29" s="680"/>
      <c r="E29" s="681"/>
      <c r="F29" s="681"/>
      <c r="G29" s="681"/>
      <c r="H29" s="681"/>
      <c r="I29" s="681"/>
      <c r="J29" s="725"/>
      <c r="K29" s="729"/>
      <c r="L29" s="682"/>
      <c r="M29" s="682"/>
      <c r="N29" s="682" t="str">
        <f>IF(ISERROR(VLOOKUP($K29,TableReadMeStatus[],$N$1,FALSE)),"",VLOOKUP($K29,TableReadMeStatus[],$N$1,FALSE))</f>
        <v/>
      </c>
      <c r="O29" s="683" t="str">
        <f>IF(ISERROR(VLOOKUP($K29,TableReadMeStatus[],$O$1,FALSE)),"",VLOOKUP($K29,TableReadMeStatus[],$O$1,FALSE))</f>
        <v/>
      </c>
      <c r="P29" s="284"/>
    </row>
    <row r="30" spans="1:16" ht="16" hidden="1" outlineLevel="1" x14ac:dyDescent="0.2">
      <c r="A30" s="285"/>
      <c r="B30" s="285"/>
      <c r="C30" s="285"/>
      <c r="D30" s="680"/>
      <c r="E30" s="681"/>
      <c r="F30" s="681"/>
      <c r="G30" s="681"/>
      <c r="H30" s="681"/>
      <c r="I30" s="681"/>
      <c r="J30" s="725"/>
      <c r="K30" s="729"/>
      <c r="L30" s="682"/>
      <c r="M30" s="682"/>
      <c r="N30" s="682" t="str">
        <f>IF(ISERROR(VLOOKUP($K30,TableReadMeStatus[],$N$1,FALSE)),"",VLOOKUP($K30,TableReadMeStatus[],$N$1,FALSE))</f>
        <v/>
      </c>
      <c r="O30" s="683" t="str">
        <f>IF(ISERROR(VLOOKUP($K30,TableReadMeStatus[],$O$1,FALSE)),"",VLOOKUP($K30,TableReadMeStatus[],$O$1,FALSE))</f>
        <v/>
      </c>
      <c r="P30" s="284"/>
    </row>
    <row r="31" spans="1:16" ht="16" collapsed="1" x14ac:dyDescent="0.2">
      <c r="A31" s="285"/>
      <c r="B31" s="285"/>
      <c r="C31" s="285"/>
      <c r="D31" s="688"/>
      <c r="E31" s="689"/>
      <c r="F31" s="689"/>
      <c r="G31" s="689"/>
      <c r="H31" s="689"/>
      <c r="I31" s="689"/>
      <c r="J31" s="726"/>
      <c r="K31" s="730"/>
      <c r="L31" s="690"/>
      <c r="M31" s="690"/>
      <c r="N31" s="690" t="str">
        <f>IF(ISERROR(VLOOKUP($K31,TableReadMeStatus[],$N$1,FALSE)),"",VLOOKUP($K31,TableReadMeStatus[],$N$1,FALSE))</f>
        <v/>
      </c>
      <c r="O31" s="691" t="str">
        <f>IF(ISERROR(VLOOKUP($K31,TableReadMeStatus[],$O$1,FALSE)),"",VLOOKUP($K31,TableReadMeStatus[],$O$1,FALSE))</f>
        <v/>
      </c>
      <c r="P31" s="284"/>
    </row>
    <row r="32" spans="1:16" ht="16" hidden="1" outlineLevel="1" x14ac:dyDescent="0.2">
      <c r="A32" s="285"/>
      <c r="B32" s="285"/>
      <c r="C32" s="285"/>
      <c r="D32" s="285"/>
      <c r="E32" s="285"/>
      <c r="F32" s="285"/>
      <c r="G32" s="285"/>
      <c r="H32" s="285"/>
      <c r="I32" s="285"/>
      <c r="J32" s="285"/>
      <c r="K32" s="285"/>
      <c r="L32" s="285"/>
      <c r="M32" s="285"/>
      <c r="N32" s="285"/>
      <c r="O32" s="285"/>
      <c r="P32" s="284"/>
    </row>
    <row r="33" spans="1:16" ht="16" collapsed="1" x14ac:dyDescent="0.2">
      <c r="A33" s="285"/>
      <c r="B33" s="285"/>
      <c r="C33" s="285"/>
      <c r="D33" s="483" t="s">
        <v>1826</v>
      </c>
      <c r="E33" s="284"/>
      <c r="F33" s="284"/>
      <c r="G33" s="284"/>
      <c r="H33" s="284"/>
      <c r="I33" s="284"/>
      <c r="J33" s="284"/>
      <c r="K33" s="284"/>
      <c r="L33" s="284"/>
      <c r="M33" s="284"/>
      <c r="N33" s="284"/>
      <c r="O33" s="284"/>
      <c r="P33" s="284"/>
    </row>
    <row r="34" spans="1:16" ht="17" x14ac:dyDescent="0.2">
      <c r="A34" s="285"/>
      <c r="B34" s="285"/>
      <c r="C34" s="285"/>
      <c r="D34" s="692" t="s">
        <v>369</v>
      </c>
      <c r="E34" s="693" t="s">
        <v>326</v>
      </c>
      <c r="F34" s="693" t="s">
        <v>327</v>
      </c>
      <c r="G34" s="693" t="s">
        <v>328</v>
      </c>
      <c r="H34" s="693" t="s">
        <v>329</v>
      </c>
      <c r="I34" s="693" t="s">
        <v>330</v>
      </c>
      <c r="J34" s="741" t="s">
        <v>331</v>
      </c>
      <c r="K34" s="692" t="s">
        <v>292</v>
      </c>
      <c r="L34" s="693" t="s">
        <v>293</v>
      </c>
      <c r="M34" s="693" t="s">
        <v>294</v>
      </c>
      <c r="N34" s="693" t="s">
        <v>295</v>
      </c>
      <c r="O34" s="694" t="s">
        <v>296</v>
      </c>
      <c r="P34" s="284"/>
    </row>
    <row r="35" spans="1:16" ht="17" x14ac:dyDescent="0.2">
      <c r="A35" s="285"/>
      <c r="B35" s="285"/>
      <c r="C35" s="285"/>
      <c r="D35" s="695" t="s">
        <v>300</v>
      </c>
      <c r="E35" s="696" t="s">
        <v>363</v>
      </c>
      <c r="F35" s="696" t="s">
        <v>370</v>
      </c>
      <c r="G35" s="696" t="s">
        <v>304</v>
      </c>
      <c r="H35" s="696" t="s">
        <v>370</v>
      </c>
      <c r="I35" s="696" t="s">
        <v>360</v>
      </c>
      <c r="J35" s="731" t="s">
        <v>370</v>
      </c>
      <c r="K35" s="736" t="s">
        <v>300</v>
      </c>
      <c r="L35" s="758">
        <v>44222</v>
      </c>
      <c r="M35" s="697" t="s">
        <v>299</v>
      </c>
      <c r="N35" s="698" t="str">
        <f>IF(ISERROR(VLOOKUP($K35,TableReadMeHistoric[],$N$1,FALSE)),"",VLOOKUP($K35,TableReadMeHistoric[],$N$1,FALSE))</f>
        <v>Conception du plan financier</v>
      </c>
      <c r="O35" s="699" t="str">
        <f>IF(ISERROR(VLOOKUP($K35,TableReadMeHistoric[],$O$1,FALSE)),"",VLOOKUP($K35,TableReadMeHistoric[],$O$1,FALSE))</f>
        <v>-</v>
      </c>
      <c r="P35" s="284"/>
    </row>
    <row r="36" spans="1:16" ht="17" x14ac:dyDescent="0.2">
      <c r="A36" s="285"/>
      <c r="B36" s="285"/>
      <c r="C36" s="285"/>
      <c r="D36" s="700" t="s">
        <v>302</v>
      </c>
      <c r="E36" s="701" t="s">
        <v>364</v>
      </c>
      <c r="F36" s="701" t="s">
        <v>370</v>
      </c>
      <c r="G36" s="701" t="s">
        <v>305</v>
      </c>
      <c r="H36" s="701" t="s">
        <v>370</v>
      </c>
      <c r="I36" s="701" t="s">
        <v>361</v>
      </c>
      <c r="J36" s="732" t="s">
        <v>370</v>
      </c>
      <c r="K36" s="737" t="s">
        <v>302</v>
      </c>
      <c r="L36" s="759">
        <v>45524</v>
      </c>
      <c r="M36" s="702" t="s">
        <v>299</v>
      </c>
      <c r="N36" s="703" t="str">
        <f>IF(ISERROR(VLOOKUP($K36,TableReadMeHistoric[],$N$1,FALSE)),"",VLOOKUP($K36,TableReadMeHistoric[],$N$1,FALSE))</f>
        <v>Mise à jour du formulaire de plan financier</v>
      </c>
      <c r="O36" s="704" t="str">
        <f>IF(ISERROR(VLOOKUP($K36,TableReadMeHistoric[],$O$1,FALSE)),"",VLOOKUP($K36,TableReadMeHistoric[],$O$1,FALSE))</f>
        <v>-</v>
      </c>
      <c r="P36" s="284"/>
    </row>
    <row r="37" spans="1:16" ht="34" x14ac:dyDescent="0.2">
      <c r="A37" s="285"/>
      <c r="B37" s="285"/>
      <c r="C37" s="285"/>
      <c r="D37" s="700" t="s">
        <v>303</v>
      </c>
      <c r="E37" s="701" t="s">
        <v>365</v>
      </c>
      <c r="F37" s="701" t="s">
        <v>367</v>
      </c>
      <c r="G37" s="701" t="s">
        <v>306</v>
      </c>
      <c r="H37" s="701" t="s">
        <v>366</v>
      </c>
      <c r="I37" s="701" t="s">
        <v>362</v>
      </c>
      <c r="J37" s="732" t="s">
        <v>368</v>
      </c>
      <c r="K37" s="737" t="s">
        <v>303</v>
      </c>
      <c r="L37" s="759">
        <v>45865</v>
      </c>
      <c r="M37" s="702" t="s">
        <v>297</v>
      </c>
      <c r="N37" s="703" t="str">
        <f>IF(ISERROR(VLOOKUP($K37,TableReadMeHistoric[],$N$1,FALSE)),"",VLOOKUP($K37,TableReadMeHistoric[],$N$1,FALSE))</f>
        <v>Nouvelle configuration du formulaire de plan financier</v>
      </c>
      <c r="O37" s="704" t="str">
        <f>IF(ISERROR(VLOOKUP($K37,TableReadMeHistoric[],$O$1,FALSE)),"",VLOOKUP($K37,TableReadMeHistoric[],$O$1,FALSE))</f>
        <v>Réorganisation du plan financier, réduction du nombre de feuilles, ajouts de tableaux dynamiques et graphes, ajouts de check, formatting et mise en page</v>
      </c>
      <c r="P37" s="284"/>
    </row>
    <row r="38" spans="1:16" ht="17" x14ac:dyDescent="0.2">
      <c r="A38" s="285"/>
      <c r="B38" s="285"/>
      <c r="C38" s="285"/>
      <c r="D38" s="700" t="s">
        <v>301</v>
      </c>
      <c r="E38" s="701" t="s">
        <v>372</v>
      </c>
      <c r="F38" s="701" t="s">
        <v>370</v>
      </c>
      <c r="G38" s="701" t="s">
        <v>371</v>
      </c>
      <c r="H38" s="701" t="s">
        <v>370</v>
      </c>
      <c r="I38" s="701" t="s">
        <v>373</v>
      </c>
      <c r="J38" s="732" t="s">
        <v>370</v>
      </c>
      <c r="K38" s="737" t="s">
        <v>301</v>
      </c>
      <c r="L38" s="759">
        <v>45898</v>
      </c>
      <c r="M38" s="702" t="s">
        <v>297</v>
      </c>
      <c r="N38" s="703" t="str">
        <f>IF(ISERROR(VLOOKUP($K38,TableReadMeHistoric[],$N$1,FALSE)),"",VLOOKUP($K38,TableReadMeHistoric[],$N$1,FALSE))</f>
        <v>Ajouter une section recettes</v>
      </c>
      <c r="O38" s="704" t="str">
        <f>IF(ISERROR(VLOOKUP($K38,TableReadMeHistoric[],$O$1,FALSE)),"",VLOOKUP($K38,TableReadMeHistoric[],$O$1,FALSE))</f>
        <v>-</v>
      </c>
      <c r="P38" s="284"/>
    </row>
    <row r="39" spans="1:16" ht="51" x14ac:dyDescent="0.2">
      <c r="A39" s="285"/>
      <c r="B39" s="285"/>
      <c r="C39" s="285"/>
      <c r="D39" s="700" t="s">
        <v>312</v>
      </c>
      <c r="E39" s="705" t="s">
        <v>1246</v>
      </c>
      <c r="F39" s="701" t="s">
        <v>370</v>
      </c>
      <c r="G39" s="705" t="s">
        <v>1247</v>
      </c>
      <c r="H39" s="701" t="s">
        <v>370</v>
      </c>
      <c r="I39" s="705" t="s">
        <v>1248</v>
      </c>
      <c r="J39" s="732" t="s">
        <v>370</v>
      </c>
      <c r="K39" s="738" t="s">
        <v>312</v>
      </c>
      <c r="L39" s="759">
        <v>45902</v>
      </c>
      <c r="M39" s="702" t="s">
        <v>297</v>
      </c>
      <c r="N39" s="703" t="str">
        <f>IF(ISERROR(VLOOKUP($K39,TableReadMeHistoric[],$N$1,FALSE)),"",VLOOKUP($K39,TableReadMeHistoric[],$N$1,FALSE))</f>
        <v>Version EN-FR-NL 
Protection du classeur 
Simulation du meilleur/pire scénario</v>
      </c>
      <c r="O39" s="704" t="str">
        <f>IF(ISERROR(VLOOKUP($K39,TableReadMeHistoric[],$O$1,FALSE)),"",VLOOKUP($K39,TableReadMeHistoric[],$O$1,FALSE))</f>
        <v>-</v>
      </c>
      <c r="P39" s="284"/>
    </row>
    <row r="40" spans="1:16" ht="17" collapsed="1" x14ac:dyDescent="0.2">
      <c r="A40" s="285"/>
      <c r="B40" s="285"/>
      <c r="C40" s="285"/>
      <c r="D40" s="700" t="s">
        <v>1487</v>
      </c>
      <c r="E40" s="701" t="s">
        <v>1488</v>
      </c>
      <c r="F40" s="701" t="s">
        <v>370</v>
      </c>
      <c r="G40" s="701" t="s">
        <v>1489</v>
      </c>
      <c r="H40" s="701" t="s">
        <v>370</v>
      </c>
      <c r="I40" s="701" t="s">
        <v>1490</v>
      </c>
      <c r="J40" s="732" t="s">
        <v>370</v>
      </c>
      <c r="K40" s="739" t="s">
        <v>1487</v>
      </c>
      <c r="L40" s="759">
        <v>45902</v>
      </c>
      <c r="M40" s="702" t="s">
        <v>297</v>
      </c>
      <c r="N40" s="703" t="str">
        <f>IF(ISERROR(VLOOKUP($K40,TableReadMeHistoric[],$N$1,FALSE)),"",VLOOKUP($K40,TableReadMeHistoric[],$N$1,FALSE))</f>
        <v>Modifications mineures</v>
      </c>
      <c r="O40" s="704" t="str">
        <f>IF(ISERROR(VLOOKUP($K40,TableReadMeHistoric[],$O$1,FALSE)),"",VLOOKUP($K40,TableReadMeHistoric[],$O$1,FALSE))</f>
        <v>-</v>
      </c>
      <c r="P40" s="284"/>
    </row>
    <row r="41" spans="1:16" ht="81" customHeight="1" x14ac:dyDescent="0.2">
      <c r="A41" s="285"/>
      <c r="B41" s="285"/>
      <c r="C41" s="285"/>
      <c r="D41" s="700" t="s">
        <v>1526</v>
      </c>
      <c r="E41" s="705" t="s">
        <v>1739</v>
      </c>
      <c r="F41" s="705" t="s">
        <v>1744</v>
      </c>
      <c r="G41" s="705" t="s">
        <v>1741</v>
      </c>
      <c r="H41" s="705" t="s">
        <v>1743</v>
      </c>
      <c r="I41" s="705" t="s">
        <v>1740</v>
      </c>
      <c r="J41" s="733" t="s">
        <v>1742</v>
      </c>
      <c r="K41" s="740" t="s">
        <v>1526</v>
      </c>
      <c r="L41" s="759">
        <v>45925</v>
      </c>
      <c r="M41" s="702" t="s">
        <v>297</v>
      </c>
      <c r="N41" s="703" t="str">
        <f>IF(ISERROR(VLOOKUP($K41,TableReadMeHistoric[],$N$1,FALSE)),"",VLOOKUP($K41,TableReadMeHistoric[],$N$1,FALSE))</f>
        <v>Mise à jour basée sur la réunion des utilisateurs à Heverlee le 24/09/25</v>
      </c>
      <c r="O41" s="704" t="str">
        <f>IF(ISERROR(VLOOKUP($K41,TableReadMeHistoric[],$O$1,FALSE)),"",VLOOKUP($K41,TableReadMeHistoric[],$O$1,FALSE))</f>
        <v>Modification des données relatives au chiffre d'affaires (COGS iso GM, 20 produits, gamme iso lox-moyen-haut de gamme, canal de distribution iso B2B-B2C, …)
Données financières (ajouter le calcul des cotisations sociales, ...)
Autres modifications</v>
      </c>
      <c r="P41" s="284"/>
    </row>
    <row r="42" spans="1:16" ht="84" customHeight="1" x14ac:dyDescent="0.2">
      <c r="A42" s="285"/>
      <c r="B42" s="285"/>
      <c r="C42" s="285"/>
      <c r="D42" s="748" t="s">
        <v>1855</v>
      </c>
      <c r="E42" s="801" t="s">
        <v>1883</v>
      </c>
      <c r="F42" s="823" t="s">
        <v>1968</v>
      </c>
      <c r="G42" s="750" t="s">
        <v>1882</v>
      </c>
      <c r="H42" s="823" t="s">
        <v>1969</v>
      </c>
      <c r="I42" s="749" t="s">
        <v>1884</v>
      </c>
      <c r="J42" s="824" t="s">
        <v>1970</v>
      </c>
      <c r="K42" s="740" t="s">
        <v>1855</v>
      </c>
      <c r="L42" s="760">
        <v>45931</v>
      </c>
      <c r="M42" s="762" t="s">
        <v>297</v>
      </c>
      <c r="N42" s="703" t="str">
        <f>IF(ISERROR(VLOOKUP($K42,TableReadMeHistoric[],$N$1,FALSE)),"",VLOOKUP($K42,TableReadMeHistoric[],$N$1,FALSE))</f>
        <v>Modifications supplémentaires et légères modifications de mise en page de certaines feuilles</v>
      </c>
      <c r="O42" s="704" t="str">
        <f>IF(ISERROR(VLOOKUP($K42,TableReadMeHistoric[],$O$1,FALSE)),"",VLOOKUP($K42,TableReadMeHistoric[],$O$1,FALSE))</f>
        <v>Nouvelle configuration de la gamme et du canal de distribution dans la feuille InputsData
Conditions du régime fiscal
Ventes et coût des ventes par unité dans la feuille FinancePivot
Feuille Instructions complétée</v>
      </c>
      <c r="P42" s="284"/>
    </row>
    <row r="43" spans="1:16" ht="35.25" customHeight="1" collapsed="1" x14ac:dyDescent="0.2">
      <c r="A43" s="285"/>
      <c r="B43" s="285"/>
      <c r="C43" s="285"/>
      <c r="D43" s="830" t="s">
        <v>1971</v>
      </c>
      <c r="E43" s="801" t="s">
        <v>1883</v>
      </c>
      <c r="F43" s="831" t="s">
        <v>370</v>
      </c>
      <c r="G43" s="750" t="s">
        <v>1882</v>
      </c>
      <c r="H43" s="831" t="s">
        <v>370</v>
      </c>
      <c r="I43" s="749" t="s">
        <v>1884</v>
      </c>
      <c r="J43" s="832" t="s">
        <v>370</v>
      </c>
      <c r="K43" s="833" t="s">
        <v>1971</v>
      </c>
      <c r="L43" s="760">
        <v>45941</v>
      </c>
      <c r="M43" s="762" t="s">
        <v>297</v>
      </c>
      <c r="N43" s="703" t="str">
        <f>IF(ISERROR(VLOOKUP($K43,TableReadMeHistoric[],$N$1,FALSE)),"",VLOOKUP($K43,TableReadMeHistoric[],$N$1,FALSE))</f>
        <v>Modifications supplémentaires et légères modifications de mise en page de certaines feuilles</v>
      </c>
      <c r="O43" s="704" t="str">
        <f>IF(ISERROR(VLOOKUP($K43,TableReadMeHistoric[],$O$1,FALSE)),"",VLOOKUP($K43,TableReadMeHistoric[],$O$1,FALSE))</f>
        <v>-</v>
      </c>
      <c r="P43" s="284"/>
    </row>
    <row r="44" spans="1:16" ht="48.75" customHeight="1" x14ac:dyDescent="0.2">
      <c r="A44" s="285"/>
      <c r="B44" s="285"/>
      <c r="C44" s="285"/>
      <c r="D44" s="830" t="s">
        <v>2055</v>
      </c>
      <c r="E44" s="801" t="s">
        <v>1883</v>
      </c>
      <c r="F44" s="870" t="s">
        <v>2062</v>
      </c>
      <c r="G44" s="750" t="s">
        <v>1882</v>
      </c>
      <c r="H44" s="870" t="s">
        <v>2061</v>
      </c>
      <c r="I44" s="749" t="s">
        <v>1884</v>
      </c>
      <c r="J44" s="872" t="s">
        <v>2063</v>
      </c>
      <c r="K44" s="869" t="s">
        <v>2055</v>
      </c>
      <c r="L44" s="760">
        <v>45941</v>
      </c>
      <c r="M44" s="762" t="s">
        <v>297</v>
      </c>
      <c r="N44" s="703" t="str">
        <f>IF(ISERROR(VLOOKUP($K44,TableReadMeHistoric[],$N$1,FALSE)),"",VLOOKUP($K44,TableReadMeHistoric[],$N$1,FALSE))</f>
        <v>Modifications supplémentaires et légères modifications de mise en page de certaines feuilles</v>
      </c>
      <c r="O44" s="704" t="str">
        <f>IF(ISERROR(VLOOKUP($K44,TableReadMeHistoric[],$O$1,FALSE)),"",VLOOKUP($K44,TableReadMeHistoric[],$O$1,FALSE))</f>
        <v>Révision des calculs du prêt : correction d'une erreur, ajout d'une option de délai de grâce et ajout d'une option de modification du taux d'intérêt au cours de la période.</v>
      </c>
      <c r="P44" s="284"/>
    </row>
    <row r="45" spans="1:16" ht="67.5" customHeight="1" x14ac:dyDescent="0.2">
      <c r="A45" s="285"/>
      <c r="B45" s="285"/>
      <c r="C45" s="285"/>
      <c r="D45" s="871" t="s">
        <v>2065</v>
      </c>
      <c r="E45" s="801" t="s">
        <v>1883</v>
      </c>
      <c r="F45" s="910" t="s">
        <v>2082</v>
      </c>
      <c r="G45" s="750" t="s">
        <v>1882</v>
      </c>
      <c r="H45" s="910" t="s">
        <v>2081</v>
      </c>
      <c r="I45" s="749" t="s">
        <v>1884</v>
      </c>
      <c r="J45" s="911" t="s">
        <v>2083</v>
      </c>
      <c r="K45" s="869" t="s">
        <v>2065</v>
      </c>
      <c r="L45" s="760">
        <v>45949</v>
      </c>
      <c r="M45" s="762" t="s">
        <v>297</v>
      </c>
      <c r="N45" s="703" t="str">
        <f>IF(ISERROR(VLOOKUP($K45,TableReadMeHistoric[],$N$1,FALSE)),"",VLOOKUP($K45,TableReadMeHistoric[],$N$1,FALSE))</f>
        <v>Modifications supplémentaires et légères modifications de mise en page de certaines feuilles</v>
      </c>
      <c r="O45" s="704" t="str">
        <f>IF(ISERROR(VLOOKUP($K45,TableReadMeHistoric[],$O$1,FALSE)),"",VLOOKUP($K45,TableReadMeHistoric[],$O$1,FALSE))</f>
        <v>Revision du scénario le plus favorable/le plus défavorable : correction d'une erreur dans la consolidation des salaires du personnel
Colonne "Section" déplacée dans la feuille InputsData
Traduction dans la feuille FinanceChart</v>
      </c>
      <c r="P45" s="284"/>
    </row>
    <row r="46" spans="1:16" ht="34" x14ac:dyDescent="0.2">
      <c r="A46" s="285"/>
      <c r="B46" s="285"/>
      <c r="C46" s="285"/>
      <c r="D46" s="871" t="s">
        <v>2084</v>
      </c>
      <c r="E46" s="917" t="s">
        <v>2085</v>
      </c>
      <c r="F46" s="917" t="s">
        <v>2088</v>
      </c>
      <c r="G46" s="917" t="s">
        <v>2086</v>
      </c>
      <c r="H46" s="917" t="s">
        <v>2089</v>
      </c>
      <c r="I46" s="749" t="s">
        <v>2087</v>
      </c>
      <c r="J46" s="918" t="s">
        <v>2090</v>
      </c>
      <c r="K46" s="919" t="s">
        <v>2084</v>
      </c>
      <c r="L46" s="760">
        <v>45952</v>
      </c>
      <c r="M46" s="762" t="s">
        <v>297</v>
      </c>
      <c r="N46" s="703" t="str">
        <f>IF(ISERROR(VLOOKUP($K46,TableReadMeHistoric[],$N$1,FALSE)),"",VLOOKUP($K46,TableReadMeHistoric[],$N$1,FALSE))</f>
        <v>Modifications de formats sur deux feuilles</v>
      </c>
      <c r="O46" s="704" t="str">
        <f>IF(ISERROR(VLOOKUP($K46,TableReadMeHistoric[],$O$1,FALSE)),"",VLOOKUP($K46,TableReadMeHistoric[],$O$1,FALSE))</f>
        <v>Formatage des pourcentages
Formatage des filtres d'un tableau croisé</v>
      </c>
      <c r="P46" s="284"/>
    </row>
    <row r="47" spans="1:16" ht="17" collapsed="1" x14ac:dyDescent="0.2">
      <c r="A47" s="285"/>
      <c r="B47" s="285"/>
      <c r="C47" s="285"/>
      <c r="D47" s="752"/>
      <c r="E47" s="749"/>
      <c r="F47" s="749"/>
      <c r="G47" s="749"/>
      <c r="H47" s="749"/>
      <c r="I47" s="749"/>
      <c r="J47" s="918"/>
      <c r="K47" s="751"/>
      <c r="L47" s="760"/>
      <c r="M47" s="763"/>
      <c r="N47" s="703" t="str">
        <f>IF(ISERROR(VLOOKUP($K47,TableReadMeHistoric[],$N$1,FALSE)),"",VLOOKUP($K47,TableReadMeHistoric[],$N$1,FALSE))</f>
        <v/>
      </c>
      <c r="O47" s="704" t="str">
        <f>IF(ISERROR(VLOOKUP($K47,TableReadMeHistoric[],$O$1,FALSE)),"",VLOOKUP($K47,TableReadMeHistoric[],$O$1,FALSE))</f>
        <v/>
      </c>
      <c r="P47" s="284"/>
    </row>
    <row r="48" spans="1:16" ht="17" hidden="1" outlineLevel="1" x14ac:dyDescent="0.2">
      <c r="A48" s="285"/>
      <c r="B48" s="285"/>
      <c r="C48" s="285"/>
      <c r="D48" s="752"/>
      <c r="E48" s="749"/>
      <c r="F48" s="749"/>
      <c r="G48" s="749"/>
      <c r="H48" s="749"/>
      <c r="I48" s="749"/>
      <c r="J48" s="753"/>
      <c r="K48" s="751"/>
      <c r="L48" s="760"/>
      <c r="M48" s="763"/>
      <c r="N48" s="703" t="str">
        <f>IF(ISERROR(VLOOKUP($K48,TableReadMeHistoric[],$N$1,FALSE)),"",VLOOKUP($K48,TableReadMeHistoric[],$N$1,FALSE))</f>
        <v/>
      </c>
      <c r="O48" s="704" t="str">
        <f>IF(ISERROR(VLOOKUP($K48,TableReadMeHistoric[],$O$1,FALSE)),"",VLOOKUP($K48,TableReadMeHistoric[],$O$1,FALSE))</f>
        <v/>
      </c>
      <c r="P48" s="284"/>
    </row>
    <row r="49" spans="1:16" ht="17" hidden="1" outlineLevel="1" x14ac:dyDescent="0.2">
      <c r="A49" s="285"/>
      <c r="B49" s="285"/>
      <c r="C49" s="285"/>
      <c r="D49" s="752"/>
      <c r="E49" s="749"/>
      <c r="F49" s="749"/>
      <c r="G49" s="749"/>
      <c r="H49" s="749"/>
      <c r="I49" s="749"/>
      <c r="J49" s="753"/>
      <c r="K49" s="751"/>
      <c r="L49" s="760"/>
      <c r="M49" s="763"/>
      <c r="N49" s="703" t="str">
        <f>IF(ISERROR(VLOOKUP($K49,TableReadMeHistoric[],$N$1,FALSE)),"",VLOOKUP($K49,TableReadMeHistoric[],$N$1,FALSE))</f>
        <v/>
      </c>
      <c r="O49" s="704" t="str">
        <f>IF(ISERROR(VLOOKUP($K49,TableReadMeHistoric[],$O$1,FALSE)),"",VLOOKUP($K49,TableReadMeHistoric[],$O$1,FALSE))</f>
        <v/>
      </c>
      <c r="P49" s="284"/>
    </row>
    <row r="50" spans="1:16" ht="17" hidden="1" outlineLevel="1" collapsed="1" x14ac:dyDescent="0.2">
      <c r="A50" s="285"/>
      <c r="B50" s="285"/>
      <c r="C50" s="285"/>
      <c r="D50" s="752"/>
      <c r="E50" s="749"/>
      <c r="F50" s="749"/>
      <c r="G50" s="749"/>
      <c r="H50" s="749"/>
      <c r="I50" s="749"/>
      <c r="J50" s="753"/>
      <c r="K50" s="751"/>
      <c r="L50" s="760"/>
      <c r="M50" s="763"/>
      <c r="N50" s="703" t="str">
        <f>IF(ISERROR(VLOOKUP($K50,TableReadMeHistoric[],$N$1,FALSE)),"",VLOOKUP($K50,TableReadMeHistoric[],$N$1,FALSE))</f>
        <v/>
      </c>
      <c r="O50" s="704" t="str">
        <f>IF(ISERROR(VLOOKUP($K50,TableReadMeHistoric[],$O$1,FALSE)),"",VLOOKUP($K50,TableReadMeHistoric[],$O$1,FALSE))</f>
        <v/>
      </c>
      <c r="P50" s="284"/>
    </row>
    <row r="51" spans="1:16" ht="17" hidden="1" outlineLevel="1" x14ac:dyDescent="0.2">
      <c r="A51" s="285"/>
      <c r="B51" s="285"/>
      <c r="C51" s="285"/>
      <c r="D51" s="752"/>
      <c r="E51" s="749"/>
      <c r="F51" s="749"/>
      <c r="G51" s="749"/>
      <c r="H51" s="749"/>
      <c r="I51" s="749"/>
      <c r="J51" s="753"/>
      <c r="K51" s="751"/>
      <c r="L51" s="760"/>
      <c r="M51" s="763"/>
      <c r="N51" s="703" t="str">
        <f>IF(ISERROR(VLOOKUP($K51,TableReadMeHistoric[],$N$1,FALSE)),"",VLOOKUP($K51,TableReadMeHistoric[],$N$1,FALSE))</f>
        <v/>
      </c>
      <c r="O51" s="704" t="str">
        <f>IF(ISERROR(VLOOKUP($K51,TableReadMeHistoric[],$O$1,FALSE)),"",VLOOKUP($K51,TableReadMeHistoric[],$O$1,FALSE))</f>
        <v/>
      </c>
      <c r="P51" s="284"/>
    </row>
    <row r="52" spans="1:16" ht="17" hidden="1" outlineLevel="1" x14ac:dyDescent="0.2">
      <c r="A52" s="285"/>
      <c r="B52" s="285"/>
      <c r="C52" s="285"/>
      <c r="D52" s="752"/>
      <c r="E52" s="749"/>
      <c r="F52" s="749"/>
      <c r="G52" s="749"/>
      <c r="H52" s="749"/>
      <c r="I52" s="749"/>
      <c r="J52" s="753"/>
      <c r="K52" s="751"/>
      <c r="L52" s="760"/>
      <c r="M52" s="763"/>
      <c r="N52" s="703" t="str">
        <f>IF(ISERROR(VLOOKUP($K52,TableReadMeHistoric[],$N$1,FALSE)),"",VLOOKUP($K52,TableReadMeHistoric[],$N$1,FALSE))</f>
        <v/>
      </c>
      <c r="O52" s="704" t="str">
        <f>IF(ISERROR(VLOOKUP($K52,TableReadMeHistoric[],$O$1,FALSE)),"",VLOOKUP($K52,TableReadMeHistoric[],$O$1,FALSE))</f>
        <v/>
      </c>
      <c r="P52" s="284"/>
    </row>
    <row r="53" spans="1:16" ht="17" hidden="1" outlineLevel="1" x14ac:dyDescent="0.2">
      <c r="A53" s="285"/>
      <c r="B53" s="285"/>
      <c r="C53" s="285"/>
      <c r="D53" s="752"/>
      <c r="E53" s="749"/>
      <c r="F53" s="749"/>
      <c r="G53" s="749"/>
      <c r="H53" s="749"/>
      <c r="I53" s="749"/>
      <c r="J53" s="753"/>
      <c r="K53" s="751"/>
      <c r="L53" s="760"/>
      <c r="M53" s="763"/>
      <c r="N53" s="703" t="str">
        <f>IF(ISERROR(VLOOKUP($K53,TableReadMeHistoric[],$N$1,FALSE)),"",VLOOKUP($K53,TableReadMeHistoric[],$N$1,FALSE))</f>
        <v/>
      </c>
      <c r="O53" s="704" t="str">
        <f>IF(ISERROR(VLOOKUP($K53,TableReadMeHistoric[],$O$1,FALSE)),"",VLOOKUP($K53,TableReadMeHistoric[],$O$1,FALSE))</f>
        <v/>
      </c>
      <c r="P53" s="284"/>
    </row>
    <row r="54" spans="1:16" ht="17" hidden="1" outlineLevel="1" x14ac:dyDescent="0.2">
      <c r="A54" s="285"/>
      <c r="B54" s="285"/>
      <c r="C54" s="285"/>
      <c r="D54" s="752"/>
      <c r="E54" s="749"/>
      <c r="F54" s="749"/>
      <c r="G54" s="749"/>
      <c r="H54" s="749"/>
      <c r="I54" s="749"/>
      <c r="J54" s="753"/>
      <c r="K54" s="751"/>
      <c r="L54" s="760"/>
      <c r="M54" s="763"/>
      <c r="N54" s="703" t="str">
        <f>IF(ISERROR(VLOOKUP($K54,TableReadMeHistoric[],$N$1,FALSE)),"",VLOOKUP($K54,TableReadMeHistoric[],$N$1,FALSE))</f>
        <v/>
      </c>
      <c r="O54" s="704" t="str">
        <f>IF(ISERROR(VLOOKUP($K54,TableReadMeHistoric[],$O$1,FALSE)),"",VLOOKUP($K54,TableReadMeHistoric[],$O$1,FALSE))</f>
        <v/>
      </c>
      <c r="P54" s="284"/>
    </row>
    <row r="55" spans="1:16" ht="17" hidden="1" outlineLevel="1" x14ac:dyDescent="0.2">
      <c r="A55" s="285"/>
      <c r="B55" s="285"/>
      <c r="C55" s="285"/>
      <c r="D55" s="752"/>
      <c r="E55" s="749"/>
      <c r="F55" s="749"/>
      <c r="G55" s="749"/>
      <c r="H55" s="749"/>
      <c r="I55" s="749"/>
      <c r="J55" s="753"/>
      <c r="K55" s="751"/>
      <c r="L55" s="760"/>
      <c r="M55" s="763"/>
      <c r="N55" s="703" t="str">
        <f>IF(ISERROR(VLOOKUP($K55,TableReadMeHistoric[],$N$1,FALSE)),"",VLOOKUP($K55,TableReadMeHistoric[],$N$1,FALSE))</f>
        <v/>
      </c>
      <c r="O55" s="704" t="str">
        <f>IF(ISERROR(VLOOKUP($K55,TableReadMeHistoric[],$O$1,FALSE)),"",VLOOKUP($K55,TableReadMeHistoric[],$O$1,FALSE))</f>
        <v/>
      </c>
      <c r="P55" s="284"/>
    </row>
    <row r="56" spans="1:16" ht="17" hidden="1" outlineLevel="1" x14ac:dyDescent="0.2">
      <c r="A56" s="285"/>
      <c r="B56" s="285"/>
      <c r="C56" s="285"/>
      <c r="D56" s="752"/>
      <c r="E56" s="749"/>
      <c r="F56" s="749"/>
      <c r="G56" s="749"/>
      <c r="H56" s="749"/>
      <c r="I56" s="749"/>
      <c r="J56" s="753"/>
      <c r="K56" s="751"/>
      <c r="L56" s="760"/>
      <c r="M56" s="763"/>
      <c r="N56" s="703" t="str">
        <f>IF(ISERROR(VLOOKUP($K56,TableReadMeHistoric[],$N$1,FALSE)),"",VLOOKUP($K56,TableReadMeHistoric[],$N$1,FALSE))</f>
        <v/>
      </c>
      <c r="O56" s="704" t="str">
        <f>IF(ISERROR(VLOOKUP($K56,TableReadMeHistoric[],$O$1,FALSE)),"",VLOOKUP($K56,TableReadMeHistoric[],$O$1,FALSE))</f>
        <v/>
      </c>
      <c r="P56" s="284"/>
    </row>
    <row r="57" spans="1:16" ht="17" hidden="1" outlineLevel="1" x14ac:dyDescent="0.2">
      <c r="A57" s="285"/>
      <c r="B57" s="285"/>
      <c r="C57" s="285"/>
      <c r="D57" s="752"/>
      <c r="E57" s="749"/>
      <c r="F57" s="749"/>
      <c r="G57" s="749"/>
      <c r="H57" s="749"/>
      <c r="I57" s="749"/>
      <c r="J57" s="753"/>
      <c r="K57" s="751"/>
      <c r="L57" s="760"/>
      <c r="M57" s="763"/>
      <c r="N57" s="703" t="str">
        <f>IF(ISERROR(VLOOKUP($K57,TableReadMeHistoric[],$N$1,FALSE)),"",VLOOKUP($K57,TableReadMeHistoric[],$N$1,FALSE))</f>
        <v/>
      </c>
      <c r="O57" s="704" t="str">
        <f>IF(ISERROR(VLOOKUP($K57,TableReadMeHistoric[],$O$1,FALSE)),"",VLOOKUP($K57,TableReadMeHistoric[],$O$1,FALSE))</f>
        <v/>
      </c>
      <c r="P57" s="284"/>
    </row>
    <row r="58" spans="1:16" ht="17" hidden="1" outlineLevel="1" collapsed="1" x14ac:dyDescent="0.2">
      <c r="A58" s="285"/>
      <c r="B58" s="285"/>
      <c r="C58" s="285"/>
      <c r="D58" s="752"/>
      <c r="E58" s="749"/>
      <c r="F58" s="749"/>
      <c r="G58" s="749"/>
      <c r="H58" s="749"/>
      <c r="I58" s="749"/>
      <c r="J58" s="753"/>
      <c r="K58" s="751"/>
      <c r="L58" s="760"/>
      <c r="M58" s="763"/>
      <c r="N58" s="703" t="str">
        <f>IF(ISERROR(VLOOKUP($K58,TableReadMeHistoric[],$N$1,FALSE)),"",VLOOKUP($K58,TableReadMeHistoric[],$N$1,FALSE))</f>
        <v/>
      </c>
      <c r="O58" s="704" t="str">
        <f>IF(ISERROR(VLOOKUP($K58,TableReadMeHistoric[],$O$1,FALSE)),"",VLOOKUP($K58,TableReadMeHistoric[],$O$1,FALSE))</f>
        <v/>
      </c>
      <c r="P58" s="284"/>
    </row>
    <row r="59" spans="1:16" ht="17" collapsed="1" x14ac:dyDescent="0.2">
      <c r="A59" s="285"/>
      <c r="B59" s="285"/>
      <c r="C59" s="285"/>
      <c r="D59" s="754"/>
      <c r="E59" s="755"/>
      <c r="F59" s="755"/>
      <c r="G59" s="755"/>
      <c r="H59" s="755"/>
      <c r="I59" s="755"/>
      <c r="J59" s="756"/>
      <c r="K59" s="757"/>
      <c r="L59" s="761"/>
      <c r="M59" s="764"/>
      <c r="N59" s="785" t="str">
        <f>IF(ISERROR(VLOOKUP($K59,TableReadMeHistoric[],$N$1,FALSE)),"",VLOOKUP($K59,TableReadMeHistoric[],$N$1,FALSE))</f>
        <v/>
      </c>
      <c r="O59" s="784" t="str">
        <f>IF(ISERROR(VLOOKUP($K59,TableReadMeHistoric[],$O$1,FALSE)),"",VLOOKUP($K59,TableReadMeHistoric[],$O$1,FALSE))</f>
        <v/>
      </c>
      <c r="P59" s="284"/>
    </row>
    <row r="60" spans="1:16" ht="16" hidden="1" outlineLevel="1" x14ac:dyDescent="0.2">
      <c r="A60" s="285"/>
      <c r="B60" s="285"/>
      <c r="C60" s="285"/>
      <c r="D60" s="284"/>
      <c r="E60" s="284"/>
      <c r="F60" s="284"/>
      <c r="G60" s="284"/>
      <c r="H60" s="284"/>
      <c r="I60" s="284"/>
      <c r="J60" s="284"/>
      <c r="K60" s="284"/>
      <c r="L60" s="284"/>
      <c r="M60" s="284"/>
      <c r="N60" s="284"/>
      <c r="O60" s="284"/>
      <c r="P60" s="284"/>
    </row>
    <row r="61" spans="1:16" ht="15" hidden="1" customHeight="1" outlineLevel="1" x14ac:dyDescent="0.2">
      <c r="A61" s="285"/>
      <c r="B61" s="285"/>
      <c r="C61" s="284"/>
      <c r="D61" s="286" t="s">
        <v>1827</v>
      </c>
      <c r="E61" s="284"/>
      <c r="F61" s="284"/>
      <c r="G61" s="284"/>
      <c r="H61" s="284"/>
      <c r="I61" s="284"/>
      <c r="J61" s="284"/>
      <c r="K61" s="284"/>
      <c r="L61" s="284"/>
      <c r="M61" s="284"/>
      <c r="N61" s="284"/>
      <c r="O61" s="284"/>
      <c r="P61" s="284"/>
    </row>
    <row r="62" spans="1:16" ht="15" hidden="1" customHeight="1" outlineLevel="1" x14ac:dyDescent="0.2">
      <c r="A62" s="285"/>
      <c r="B62" s="285"/>
      <c r="C62" s="284"/>
      <c r="D62" s="692" t="s">
        <v>369</v>
      </c>
      <c r="E62" s="693" t="s">
        <v>326</v>
      </c>
      <c r="F62" s="693" t="s">
        <v>327</v>
      </c>
      <c r="G62" s="693" t="s">
        <v>328</v>
      </c>
      <c r="H62" s="693" t="s">
        <v>329</v>
      </c>
      <c r="I62" s="693" t="s">
        <v>330</v>
      </c>
      <c r="J62" s="741" t="s">
        <v>331</v>
      </c>
      <c r="K62" s="692" t="s">
        <v>292</v>
      </c>
      <c r="L62" s="693" t="s">
        <v>293</v>
      </c>
      <c r="M62" s="693" t="s">
        <v>294</v>
      </c>
      <c r="N62" s="693" t="s">
        <v>298</v>
      </c>
      <c r="O62" s="694" t="s">
        <v>296</v>
      </c>
      <c r="P62" s="284"/>
    </row>
    <row r="63" spans="1:16" ht="15" hidden="1" customHeight="1" outlineLevel="1" x14ac:dyDescent="0.2">
      <c r="A63" s="285"/>
      <c r="B63" s="285"/>
      <c r="C63" s="284"/>
      <c r="D63" s="708"/>
      <c r="E63" s="709"/>
      <c r="F63" s="709"/>
      <c r="G63" s="709"/>
      <c r="H63" s="709"/>
      <c r="I63" s="709"/>
      <c r="J63" s="742"/>
      <c r="K63" s="743"/>
      <c r="L63" s="710"/>
      <c r="M63" s="710"/>
      <c r="N63" s="710"/>
      <c r="O63" s="711"/>
      <c r="P63" s="284"/>
    </row>
    <row r="64" spans="1:16" ht="15" hidden="1" customHeight="1" outlineLevel="1" x14ac:dyDescent="0.2">
      <c r="A64" s="285"/>
      <c r="B64" s="285"/>
      <c r="C64" s="284"/>
      <c r="D64" s="712"/>
      <c r="E64" s="706"/>
      <c r="F64" s="706"/>
      <c r="G64" s="706"/>
      <c r="H64" s="706"/>
      <c r="I64" s="706"/>
      <c r="J64" s="734"/>
      <c r="K64" s="720"/>
      <c r="L64" s="713"/>
      <c r="M64" s="713"/>
      <c r="N64" s="713"/>
      <c r="O64" s="714"/>
      <c r="P64" s="284"/>
    </row>
    <row r="65" spans="1:16" ht="15" hidden="1" customHeight="1" outlineLevel="1" x14ac:dyDescent="0.2">
      <c r="A65" s="285"/>
      <c r="B65" s="285"/>
      <c r="C65" s="284"/>
      <c r="D65" s="712"/>
      <c r="E65" s="706"/>
      <c r="F65" s="706"/>
      <c r="G65" s="706"/>
      <c r="H65" s="706"/>
      <c r="I65" s="706"/>
      <c r="J65" s="734"/>
      <c r="K65" s="720"/>
      <c r="L65" s="713"/>
      <c r="M65" s="713"/>
      <c r="N65" s="713"/>
      <c r="O65" s="714"/>
      <c r="P65" s="284"/>
    </row>
    <row r="66" spans="1:16" ht="15" hidden="1" customHeight="1" outlineLevel="1" x14ac:dyDescent="0.2">
      <c r="A66" s="285"/>
      <c r="B66" s="285"/>
      <c r="C66" s="284"/>
      <c r="D66" s="712"/>
      <c r="E66" s="706"/>
      <c r="F66" s="706"/>
      <c r="G66" s="706"/>
      <c r="H66" s="706"/>
      <c r="I66" s="706"/>
      <c r="J66" s="734"/>
      <c r="K66" s="720"/>
      <c r="L66" s="713"/>
      <c r="M66" s="713"/>
      <c r="N66" s="713"/>
      <c r="O66" s="714"/>
      <c r="P66" s="284"/>
    </row>
    <row r="67" spans="1:16" ht="15" hidden="1" customHeight="1" outlineLevel="1" x14ac:dyDescent="0.2">
      <c r="A67" s="285"/>
      <c r="B67" s="285"/>
      <c r="C67" s="284"/>
      <c r="D67" s="712"/>
      <c r="E67" s="706"/>
      <c r="F67" s="706"/>
      <c r="G67" s="706"/>
      <c r="H67" s="706"/>
      <c r="I67" s="706"/>
      <c r="J67" s="734"/>
      <c r="K67" s="720"/>
      <c r="L67" s="713"/>
      <c r="M67" s="713"/>
      <c r="N67" s="713"/>
      <c r="O67" s="714"/>
      <c r="P67" s="284"/>
    </row>
    <row r="68" spans="1:16" ht="15" hidden="1" customHeight="1" outlineLevel="1" x14ac:dyDescent="0.2">
      <c r="A68" s="285"/>
      <c r="B68" s="285"/>
      <c r="C68" s="284"/>
      <c r="D68" s="712"/>
      <c r="E68" s="706"/>
      <c r="F68" s="706"/>
      <c r="G68" s="706"/>
      <c r="H68" s="706"/>
      <c r="I68" s="706"/>
      <c r="J68" s="734"/>
      <c r="K68" s="720"/>
      <c r="L68" s="713"/>
      <c r="M68" s="713"/>
      <c r="N68" s="713"/>
      <c r="O68" s="714"/>
      <c r="P68" s="284"/>
    </row>
    <row r="69" spans="1:16" ht="15" hidden="1" customHeight="1" outlineLevel="1" x14ac:dyDescent="0.2">
      <c r="A69" s="285"/>
      <c r="B69" s="285"/>
      <c r="C69" s="284"/>
      <c r="D69" s="712"/>
      <c r="E69" s="706"/>
      <c r="F69" s="706"/>
      <c r="G69" s="706"/>
      <c r="H69" s="706"/>
      <c r="I69" s="706"/>
      <c r="J69" s="734"/>
      <c r="K69" s="720"/>
      <c r="L69" s="713"/>
      <c r="M69" s="713"/>
      <c r="N69" s="713"/>
      <c r="O69" s="714"/>
      <c r="P69" s="284"/>
    </row>
    <row r="70" spans="1:16" ht="15" hidden="1" customHeight="1" outlineLevel="1" x14ac:dyDescent="0.2">
      <c r="A70" s="285"/>
      <c r="B70" s="285"/>
      <c r="C70" s="284"/>
      <c r="D70" s="712"/>
      <c r="E70" s="706"/>
      <c r="F70" s="706"/>
      <c r="G70" s="706"/>
      <c r="H70" s="706"/>
      <c r="I70" s="706"/>
      <c r="J70" s="734"/>
      <c r="K70" s="720"/>
      <c r="L70" s="713"/>
      <c r="M70" s="713"/>
      <c r="N70" s="713"/>
      <c r="O70" s="714"/>
      <c r="P70" s="284"/>
    </row>
    <row r="71" spans="1:16" ht="15" hidden="1" customHeight="1" outlineLevel="1" x14ac:dyDescent="0.2">
      <c r="A71" s="285"/>
      <c r="B71" s="285"/>
      <c r="C71" s="284"/>
      <c r="D71" s="712"/>
      <c r="E71" s="706"/>
      <c r="F71" s="706"/>
      <c r="G71" s="706"/>
      <c r="H71" s="706"/>
      <c r="I71" s="706"/>
      <c r="J71" s="734"/>
      <c r="K71" s="720"/>
      <c r="L71" s="713"/>
      <c r="M71" s="713"/>
      <c r="N71" s="713"/>
      <c r="O71" s="714"/>
      <c r="P71" s="284"/>
    </row>
    <row r="72" spans="1:16" ht="15" hidden="1" customHeight="1" outlineLevel="1" x14ac:dyDescent="0.2">
      <c r="A72" s="285"/>
      <c r="B72" s="285"/>
      <c r="C72" s="284"/>
      <c r="D72" s="712"/>
      <c r="E72" s="706"/>
      <c r="F72" s="706"/>
      <c r="G72" s="706"/>
      <c r="H72" s="706"/>
      <c r="I72" s="706"/>
      <c r="J72" s="734"/>
      <c r="K72" s="720"/>
      <c r="L72" s="713"/>
      <c r="M72" s="713"/>
      <c r="N72" s="713"/>
      <c r="O72" s="714"/>
      <c r="P72" s="284"/>
    </row>
    <row r="73" spans="1:16" ht="15" hidden="1" customHeight="1" outlineLevel="1" x14ac:dyDescent="0.2">
      <c r="A73" s="285"/>
      <c r="B73" s="285"/>
      <c r="C73" s="284"/>
      <c r="D73" s="712"/>
      <c r="E73" s="706"/>
      <c r="F73" s="706"/>
      <c r="G73" s="706"/>
      <c r="H73" s="706"/>
      <c r="I73" s="706"/>
      <c r="J73" s="734"/>
      <c r="K73" s="720"/>
      <c r="L73" s="713"/>
      <c r="M73" s="713"/>
      <c r="N73" s="713"/>
      <c r="O73" s="714"/>
      <c r="P73" s="284"/>
    </row>
    <row r="74" spans="1:16" ht="15" hidden="1" customHeight="1" outlineLevel="1" x14ac:dyDescent="0.2">
      <c r="A74" s="285"/>
      <c r="B74" s="285"/>
      <c r="C74" s="284"/>
      <c r="D74" s="715"/>
      <c r="E74" s="707"/>
      <c r="F74" s="707"/>
      <c r="G74" s="707"/>
      <c r="H74" s="707"/>
      <c r="I74" s="707"/>
      <c r="J74" s="735"/>
      <c r="K74" s="723"/>
      <c r="L74" s="716"/>
      <c r="M74" s="716"/>
      <c r="N74" s="716"/>
      <c r="O74" s="717"/>
      <c r="P74" s="284"/>
    </row>
    <row r="75" spans="1:16" ht="15" hidden="1" customHeight="1" outlineLevel="1" x14ac:dyDescent="0.2">
      <c r="A75" s="285"/>
      <c r="B75" s="285"/>
      <c r="C75" s="284"/>
      <c r="D75" s="284"/>
      <c r="E75" s="284"/>
      <c r="F75" s="284"/>
      <c r="G75" s="284"/>
      <c r="H75" s="284"/>
      <c r="I75" s="284"/>
      <c r="J75" s="284"/>
      <c r="K75" s="284"/>
      <c r="L75" s="284"/>
      <c r="M75" s="284"/>
      <c r="N75" s="284"/>
      <c r="O75" s="284"/>
      <c r="P75" s="284"/>
    </row>
    <row r="76" spans="1:16" ht="15" hidden="1" customHeight="1" outlineLevel="1" x14ac:dyDescent="0.2">
      <c r="A76" s="285"/>
      <c r="B76" s="285"/>
      <c r="C76" s="284"/>
      <c r="D76" s="286" t="s">
        <v>1829</v>
      </c>
      <c r="E76" s="284"/>
      <c r="F76" s="284"/>
      <c r="G76" s="284"/>
      <c r="H76" s="284"/>
      <c r="I76" s="284"/>
      <c r="J76" s="284"/>
      <c r="K76" s="284"/>
      <c r="L76" s="284"/>
      <c r="M76" s="284"/>
      <c r="N76" s="284"/>
      <c r="O76" s="284"/>
      <c r="P76" s="284"/>
    </row>
    <row r="77" spans="1:16" ht="15" hidden="1" customHeight="1" outlineLevel="1" x14ac:dyDescent="0.2">
      <c r="A77" s="285"/>
      <c r="B77" s="285"/>
      <c r="C77" s="284"/>
      <c r="D77" s="692" t="s">
        <v>369</v>
      </c>
      <c r="E77" s="693" t="s">
        <v>326</v>
      </c>
      <c r="F77" s="693" t="s">
        <v>327</v>
      </c>
      <c r="G77" s="693" t="s">
        <v>328</v>
      </c>
      <c r="H77" s="693" t="s">
        <v>329</v>
      </c>
      <c r="I77" s="693" t="s">
        <v>330</v>
      </c>
      <c r="J77" s="693" t="s">
        <v>331</v>
      </c>
      <c r="K77" s="693" t="s">
        <v>1850</v>
      </c>
      <c r="L77" s="693" t="s">
        <v>1851</v>
      </c>
      <c r="M77" s="693" t="s">
        <v>1852</v>
      </c>
      <c r="N77" s="693" t="s">
        <v>1853</v>
      </c>
      <c r="O77" s="694" t="s">
        <v>1854</v>
      </c>
      <c r="P77" s="284"/>
    </row>
    <row r="78" spans="1:16" ht="15" hidden="1" customHeight="1" outlineLevel="1" x14ac:dyDescent="0.2">
      <c r="A78" s="285"/>
      <c r="B78" s="285"/>
      <c r="C78" s="284"/>
      <c r="D78" s="718" t="str">
        <f t="shared" ref="D78:D96" si="0">VLOOKUP($E78,$E78:$J78,$D$1-1,FALSE)</f>
        <v>-</v>
      </c>
      <c r="E78" s="719" t="s">
        <v>370</v>
      </c>
      <c r="F78" s="719"/>
      <c r="G78" s="719" t="s">
        <v>370</v>
      </c>
      <c r="H78" s="719"/>
      <c r="I78" s="719" t="s">
        <v>370</v>
      </c>
      <c r="J78" s="744"/>
      <c r="K78" s="743"/>
      <c r="L78" s="710"/>
      <c r="M78" s="710"/>
      <c r="N78" s="710"/>
      <c r="O78" s="711"/>
      <c r="P78" s="284"/>
    </row>
    <row r="79" spans="1:16" ht="15" hidden="1" customHeight="1" outlineLevel="1" x14ac:dyDescent="0.2">
      <c r="A79" s="285"/>
      <c r="B79" s="285"/>
      <c r="C79" s="284"/>
      <c r="D79" s="720" t="str">
        <f t="shared" si="0"/>
        <v>BÉNIN</v>
      </c>
      <c r="E79" s="713" t="s">
        <v>1808</v>
      </c>
      <c r="F79" s="713"/>
      <c r="G79" s="713" t="s">
        <v>1830</v>
      </c>
      <c r="H79" s="713"/>
      <c r="I79" s="713" t="s">
        <v>1808</v>
      </c>
      <c r="J79" s="745"/>
      <c r="K79" s="720"/>
      <c r="L79" s="713"/>
      <c r="M79" s="713"/>
      <c r="N79" s="713"/>
      <c r="O79" s="714"/>
      <c r="P79" s="284"/>
    </row>
    <row r="80" spans="1:16" ht="15" hidden="1" customHeight="1" outlineLevel="1" x14ac:dyDescent="0.2">
      <c r="A80" s="285"/>
      <c r="B80" s="285"/>
      <c r="C80" s="284"/>
      <c r="D80" s="721" t="str">
        <f t="shared" si="0"/>
        <v>BURKINA FASO</v>
      </c>
      <c r="E80" s="722" t="s">
        <v>1809</v>
      </c>
      <c r="F80" s="722"/>
      <c r="G80" s="722" t="s">
        <v>1809</v>
      </c>
      <c r="H80" s="722"/>
      <c r="I80" s="722" t="s">
        <v>1809</v>
      </c>
      <c r="J80" s="746"/>
      <c r="K80" s="720"/>
      <c r="L80" s="713"/>
      <c r="M80" s="713"/>
      <c r="N80" s="713"/>
      <c r="O80" s="714"/>
      <c r="P80" s="284"/>
    </row>
    <row r="81" spans="1:16" ht="15" hidden="1" customHeight="1" outlineLevel="1" x14ac:dyDescent="0.2">
      <c r="A81" s="285"/>
      <c r="B81" s="285"/>
      <c r="C81" s="284"/>
      <c r="D81" s="720" t="str">
        <f t="shared" si="0"/>
        <v>BURUNDI</v>
      </c>
      <c r="E81" s="713" t="s">
        <v>1810</v>
      </c>
      <c r="F81" s="713"/>
      <c r="G81" s="713" t="s">
        <v>1810</v>
      </c>
      <c r="H81" s="713"/>
      <c r="I81" s="713" t="s">
        <v>1810</v>
      </c>
      <c r="J81" s="745"/>
      <c r="K81" s="720"/>
      <c r="L81" s="713"/>
      <c r="M81" s="713"/>
      <c r="N81" s="713"/>
      <c r="O81" s="714"/>
      <c r="P81" s="284"/>
    </row>
    <row r="82" spans="1:16" ht="15" hidden="1" customHeight="1" outlineLevel="1" x14ac:dyDescent="0.2">
      <c r="A82" s="285"/>
      <c r="B82" s="285"/>
      <c r="C82" s="284"/>
      <c r="D82" s="721" t="str">
        <f t="shared" si="0"/>
        <v>CAMEROUN</v>
      </c>
      <c r="E82" s="722" t="s">
        <v>1811</v>
      </c>
      <c r="F82" s="722"/>
      <c r="G82" s="722" t="s">
        <v>1831</v>
      </c>
      <c r="H82" s="722"/>
      <c r="I82" s="722" t="s">
        <v>1839</v>
      </c>
      <c r="J82" s="746"/>
      <c r="K82" s="720"/>
      <c r="L82" s="713"/>
      <c r="M82" s="713"/>
      <c r="N82" s="713"/>
      <c r="O82" s="714"/>
      <c r="P82" s="284"/>
    </row>
    <row r="83" spans="1:16" ht="15" hidden="1" customHeight="1" outlineLevel="1" x14ac:dyDescent="0.2">
      <c r="A83" s="285"/>
      <c r="B83" s="285"/>
      <c r="C83" s="284"/>
      <c r="D83" s="720" t="str">
        <f t="shared" si="0"/>
        <v>RÉPUBLIQUE DÉMOCRATIQUE DU CONGO</v>
      </c>
      <c r="E83" s="713" t="s">
        <v>1812</v>
      </c>
      <c r="F83" s="713"/>
      <c r="G83" s="713" t="s">
        <v>1832</v>
      </c>
      <c r="H83" s="713"/>
      <c r="I83" s="713" t="s">
        <v>1812</v>
      </c>
      <c r="J83" s="745"/>
      <c r="K83" s="720"/>
      <c r="L83" s="713"/>
      <c r="M83" s="713"/>
      <c r="N83" s="713"/>
      <c r="O83" s="714"/>
      <c r="P83" s="284"/>
    </row>
    <row r="84" spans="1:16" ht="15" hidden="1" customHeight="1" outlineLevel="1" x14ac:dyDescent="0.2">
      <c r="A84" s="285"/>
      <c r="B84" s="285"/>
      <c r="C84" s="284"/>
      <c r="D84" s="721" t="str">
        <f t="shared" si="0"/>
        <v>ÉTHIOPIE</v>
      </c>
      <c r="E84" s="722" t="s">
        <v>1813</v>
      </c>
      <c r="F84" s="722"/>
      <c r="G84" s="722" t="s">
        <v>1833</v>
      </c>
      <c r="H84" s="722"/>
      <c r="I84" s="722" t="s">
        <v>1840</v>
      </c>
      <c r="J84" s="746"/>
      <c r="K84" s="720"/>
      <c r="L84" s="713"/>
      <c r="M84" s="713"/>
      <c r="N84" s="713"/>
      <c r="O84" s="714"/>
      <c r="P84" s="284"/>
    </row>
    <row r="85" spans="1:16" ht="15" hidden="1" customHeight="1" outlineLevel="1" x14ac:dyDescent="0.2">
      <c r="A85" s="285"/>
      <c r="B85" s="285"/>
      <c r="C85" s="284"/>
      <c r="D85" s="720" t="str">
        <f t="shared" si="0"/>
        <v>PHILIPPINES</v>
      </c>
      <c r="E85" s="713" t="s">
        <v>1814</v>
      </c>
      <c r="F85" s="713"/>
      <c r="G85" s="713" t="s">
        <v>1834</v>
      </c>
      <c r="H85" s="713"/>
      <c r="I85" s="713" t="s">
        <v>1814</v>
      </c>
      <c r="J85" s="745"/>
      <c r="K85" s="720"/>
      <c r="L85" s="713"/>
      <c r="M85" s="713"/>
      <c r="N85" s="713"/>
      <c r="O85" s="714"/>
      <c r="P85" s="284"/>
    </row>
    <row r="86" spans="1:16" ht="15" hidden="1" customHeight="1" outlineLevel="1" x14ac:dyDescent="0.2">
      <c r="A86" s="285"/>
      <c r="B86" s="285"/>
      <c r="C86" s="284"/>
      <c r="D86" s="720" t="str">
        <f t="shared" si="0"/>
        <v>HAÏTI</v>
      </c>
      <c r="E86" s="713" t="s">
        <v>1815</v>
      </c>
      <c r="F86" s="713"/>
      <c r="G86" s="713" t="s">
        <v>1815</v>
      </c>
      <c r="H86" s="713"/>
      <c r="I86" s="713" t="s">
        <v>1815</v>
      </c>
      <c r="J86" s="745"/>
      <c r="K86" s="720"/>
      <c r="L86" s="713"/>
      <c r="M86" s="713"/>
      <c r="N86" s="713"/>
      <c r="O86" s="714"/>
      <c r="P86" s="284"/>
    </row>
    <row r="87" spans="1:16" ht="15" hidden="1" customHeight="1" outlineLevel="1" x14ac:dyDescent="0.2">
      <c r="A87" s="285"/>
      <c r="B87" s="285"/>
      <c r="C87" s="284"/>
      <c r="D87" s="720" t="str">
        <f t="shared" si="0"/>
        <v>CÔTE D'IVOIRE</v>
      </c>
      <c r="E87" s="713" t="s">
        <v>1844</v>
      </c>
      <c r="F87" s="713"/>
      <c r="G87" s="713" t="s">
        <v>1835</v>
      </c>
      <c r="H87" s="713"/>
      <c r="I87" s="713" t="s">
        <v>1841</v>
      </c>
      <c r="J87" s="745"/>
      <c r="K87" s="720"/>
      <c r="L87" s="713"/>
      <c r="M87" s="713"/>
      <c r="N87" s="713"/>
      <c r="O87" s="714"/>
      <c r="P87" s="284"/>
    </row>
    <row r="88" spans="1:16" ht="15" hidden="1" customHeight="1" outlineLevel="1" x14ac:dyDescent="0.2">
      <c r="A88" s="285"/>
      <c r="B88" s="285"/>
      <c r="C88" s="284"/>
      <c r="D88" s="720" t="str">
        <f t="shared" si="0"/>
        <v>KENYA</v>
      </c>
      <c r="E88" s="713" t="s">
        <v>1816</v>
      </c>
      <c r="F88" s="713"/>
      <c r="G88" s="713" t="s">
        <v>1816</v>
      </c>
      <c r="H88" s="713"/>
      <c r="I88" s="713" t="s">
        <v>1842</v>
      </c>
      <c r="J88" s="745"/>
      <c r="K88" s="720"/>
      <c r="L88" s="713"/>
      <c r="M88" s="713"/>
      <c r="N88" s="713"/>
      <c r="O88" s="714"/>
      <c r="P88" s="284"/>
    </row>
    <row r="89" spans="1:16" ht="15" hidden="1" customHeight="1" outlineLevel="1" x14ac:dyDescent="0.2">
      <c r="A89" s="285"/>
      <c r="B89" s="285"/>
      <c r="C89" s="284"/>
      <c r="D89" s="720" t="str">
        <f t="shared" si="0"/>
        <v>MADAGASCAR</v>
      </c>
      <c r="E89" s="713" t="s">
        <v>1817</v>
      </c>
      <c r="F89" s="713"/>
      <c r="G89" s="713" t="s">
        <v>1817</v>
      </c>
      <c r="H89" s="713"/>
      <c r="I89" s="713" t="s">
        <v>1817</v>
      </c>
      <c r="J89" s="745"/>
      <c r="K89" s="720"/>
      <c r="L89" s="713"/>
      <c r="M89" s="713"/>
      <c r="N89" s="713"/>
      <c r="O89" s="714"/>
      <c r="P89" s="284"/>
    </row>
    <row r="90" spans="1:16" ht="15" hidden="1" customHeight="1" outlineLevel="1" x14ac:dyDescent="0.2">
      <c r="A90" s="285"/>
      <c r="B90" s="285"/>
      <c r="C90" s="284"/>
      <c r="D90" s="720" t="str">
        <f t="shared" si="0"/>
        <v>MALAWI</v>
      </c>
      <c r="E90" s="713" t="s">
        <v>1818</v>
      </c>
      <c r="F90" s="713"/>
      <c r="G90" s="713" t="s">
        <v>1818</v>
      </c>
      <c r="H90" s="713"/>
      <c r="I90" s="713" t="s">
        <v>1818</v>
      </c>
      <c r="J90" s="745"/>
      <c r="K90" s="720"/>
      <c r="L90" s="713"/>
      <c r="M90" s="713"/>
      <c r="N90" s="713"/>
      <c r="O90" s="714"/>
      <c r="P90" s="284"/>
    </row>
    <row r="91" spans="1:16" ht="15" hidden="1" customHeight="1" outlineLevel="1" x14ac:dyDescent="0.2">
      <c r="A91" s="285"/>
      <c r="B91" s="285"/>
      <c r="C91" s="284"/>
      <c r="D91" s="720" t="str">
        <f t="shared" si="0"/>
        <v>RWANDA</v>
      </c>
      <c r="E91" s="713" t="s">
        <v>1819</v>
      </c>
      <c r="F91" s="713"/>
      <c r="G91" s="713" t="s">
        <v>1819</v>
      </c>
      <c r="H91" s="713"/>
      <c r="I91" s="713" t="s">
        <v>1819</v>
      </c>
      <c r="J91" s="745"/>
      <c r="K91" s="720"/>
      <c r="L91" s="713"/>
      <c r="M91" s="713"/>
      <c r="N91" s="713"/>
      <c r="O91" s="714"/>
      <c r="P91" s="284"/>
    </row>
    <row r="92" spans="1:16" ht="15" hidden="1" customHeight="1" outlineLevel="1" x14ac:dyDescent="0.2">
      <c r="A92" s="285"/>
      <c r="B92" s="285"/>
      <c r="C92" s="284"/>
      <c r="D92" s="720" t="str">
        <f t="shared" si="0"/>
        <v>SÉNÉGAL</v>
      </c>
      <c r="E92" s="713" t="s">
        <v>1820</v>
      </c>
      <c r="F92" s="713"/>
      <c r="G92" s="713" t="s">
        <v>1836</v>
      </c>
      <c r="H92" s="713"/>
      <c r="I92" s="713" t="s">
        <v>1820</v>
      </c>
      <c r="J92" s="745"/>
      <c r="K92" s="720"/>
      <c r="L92" s="713"/>
      <c r="M92" s="713"/>
      <c r="N92" s="713"/>
      <c r="O92" s="714"/>
      <c r="P92" s="284"/>
    </row>
    <row r="93" spans="1:16" ht="15" hidden="1" customHeight="1" outlineLevel="1" x14ac:dyDescent="0.2">
      <c r="A93" s="285"/>
      <c r="B93" s="285"/>
      <c r="C93" s="284"/>
      <c r="D93" s="720" t="str">
        <f t="shared" si="0"/>
        <v>TANZANIE</v>
      </c>
      <c r="E93" s="713" t="s">
        <v>1821</v>
      </c>
      <c r="F93" s="713"/>
      <c r="G93" s="713" t="s">
        <v>1837</v>
      </c>
      <c r="H93" s="713"/>
      <c r="I93" s="713" t="s">
        <v>1821</v>
      </c>
      <c r="J93" s="745"/>
      <c r="K93" s="720"/>
      <c r="L93" s="713"/>
      <c r="M93" s="713"/>
      <c r="N93" s="713"/>
      <c r="O93" s="714"/>
      <c r="P93" s="284"/>
    </row>
    <row r="94" spans="1:16" ht="16" hidden="1" outlineLevel="1" x14ac:dyDescent="0.2">
      <c r="A94" s="285"/>
      <c r="B94" s="285"/>
      <c r="C94" s="284"/>
      <c r="D94" s="720" t="str">
        <f t="shared" si="0"/>
        <v>TOGO</v>
      </c>
      <c r="E94" s="713" t="s">
        <v>1822</v>
      </c>
      <c r="F94" s="713"/>
      <c r="G94" s="713" t="s">
        <v>1822</v>
      </c>
      <c r="H94" s="713"/>
      <c r="I94" s="713" t="s">
        <v>1822</v>
      </c>
      <c r="J94" s="745"/>
      <c r="K94" s="720"/>
      <c r="L94" s="713"/>
      <c r="M94" s="713"/>
      <c r="N94" s="713"/>
      <c r="O94" s="714"/>
      <c r="P94" s="284"/>
    </row>
    <row r="95" spans="1:16" ht="16" hidden="1" outlineLevel="1" x14ac:dyDescent="0.2">
      <c r="A95" s="285"/>
      <c r="B95" s="285"/>
      <c r="C95" s="284"/>
      <c r="D95" s="720" t="str">
        <f t="shared" si="0"/>
        <v>OUGANDA</v>
      </c>
      <c r="E95" s="713" t="s">
        <v>1823</v>
      </c>
      <c r="F95" s="713"/>
      <c r="G95" s="713" t="s">
        <v>1838</v>
      </c>
      <c r="H95" s="713"/>
      <c r="I95" s="713" t="s">
        <v>1843</v>
      </c>
      <c r="J95" s="745"/>
      <c r="K95" s="720"/>
      <c r="L95" s="713"/>
      <c r="M95" s="713"/>
      <c r="N95" s="713"/>
      <c r="O95" s="714"/>
      <c r="P95" s="284"/>
    </row>
    <row r="96" spans="1:16" ht="15" hidden="1" customHeight="1" outlineLevel="1" x14ac:dyDescent="0.2">
      <c r="A96" s="285"/>
      <c r="B96" s="285"/>
      <c r="C96" s="284"/>
      <c r="D96" s="723" t="str">
        <f t="shared" si="0"/>
        <v>ZIMBABWE</v>
      </c>
      <c r="E96" s="716" t="s">
        <v>1824</v>
      </c>
      <c r="F96" s="716"/>
      <c r="G96" s="716" t="s">
        <v>1824</v>
      </c>
      <c r="H96" s="716"/>
      <c r="I96" s="716" t="s">
        <v>1824</v>
      </c>
      <c r="J96" s="747"/>
      <c r="K96" s="723"/>
      <c r="L96" s="716"/>
      <c r="M96" s="716"/>
      <c r="N96" s="716"/>
      <c r="O96" s="717"/>
      <c r="P96" s="284"/>
    </row>
    <row r="97" spans="1:16" ht="15" hidden="1" customHeight="1" outlineLevel="1" x14ac:dyDescent="0.2">
      <c r="A97" s="285"/>
      <c r="B97" s="285"/>
      <c r="C97" s="285"/>
      <c r="D97" s="285"/>
      <c r="E97" s="285"/>
      <c r="F97" s="285"/>
      <c r="G97" s="285"/>
      <c r="H97" s="285"/>
      <c r="I97" s="285"/>
      <c r="J97" s="285"/>
      <c r="K97" s="285"/>
      <c r="L97" s="285"/>
      <c r="M97" s="285"/>
      <c r="N97" s="285"/>
      <c r="O97" s="285"/>
      <c r="P97" s="284"/>
    </row>
    <row r="98" spans="1:16" ht="15" hidden="1" customHeight="1" outlineLevel="1" x14ac:dyDescent="0.2">
      <c r="A98" s="285"/>
      <c r="B98" s="285"/>
      <c r="C98" s="285"/>
      <c r="D98" s="285"/>
      <c r="E98" s="285"/>
      <c r="F98" s="285"/>
      <c r="G98" s="285"/>
      <c r="H98" s="285"/>
      <c r="I98" s="285"/>
      <c r="J98" s="285"/>
      <c r="K98" s="285"/>
      <c r="L98" s="285"/>
      <c r="M98" s="285"/>
      <c r="N98" s="285"/>
      <c r="O98" s="285"/>
      <c r="P98" s="284"/>
    </row>
    <row r="99" spans="1:16" ht="15" hidden="1" customHeight="1" outlineLevel="1" x14ac:dyDescent="0.2">
      <c r="A99" s="285"/>
      <c r="B99" s="285"/>
      <c r="C99" s="285"/>
      <c r="D99" s="285"/>
      <c r="E99" s="285"/>
      <c r="F99" s="285"/>
      <c r="G99" s="285"/>
      <c r="H99" s="285"/>
      <c r="I99" s="285"/>
      <c r="J99" s="285"/>
      <c r="K99" s="285"/>
      <c r="L99" s="285"/>
      <c r="M99" s="285"/>
      <c r="N99" s="285"/>
      <c r="O99" s="285"/>
      <c r="P99" s="284"/>
    </row>
    <row r="100" spans="1:16" ht="15" hidden="1" customHeight="1" outlineLevel="1" x14ac:dyDescent="0.2">
      <c r="A100" s="285"/>
      <c r="B100" s="285"/>
      <c r="C100" s="285"/>
      <c r="D100" s="285"/>
      <c r="E100" s="285"/>
      <c r="F100" s="285"/>
      <c r="G100" s="285"/>
      <c r="H100" s="285"/>
      <c r="I100" s="285"/>
      <c r="J100" s="285"/>
      <c r="K100" s="285"/>
      <c r="L100" s="285"/>
      <c r="M100" s="285"/>
      <c r="N100" s="285"/>
      <c r="O100" s="285"/>
      <c r="P100" s="284"/>
    </row>
    <row r="101" spans="1:16" ht="15" hidden="1" customHeight="1" outlineLevel="1" x14ac:dyDescent="0.2">
      <c r="A101" s="285"/>
      <c r="B101" s="285"/>
      <c r="C101" s="285"/>
      <c r="D101" s="284"/>
      <c r="E101" s="284"/>
      <c r="F101" s="284"/>
      <c r="G101" s="284"/>
      <c r="H101" s="284"/>
      <c r="I101" s="284"/>
      <c r="J101" s="284"/>
      <c r="K101" s="284"/>
      <c r="L101" s="284"/>
      <c r="M101" s="284"/>
      <c r="N101" s="284"/>
      <c r="O101" s="284"/>
      <c r="P101" s="284"/>
    </row>
    <row r="102" spans="1:16" ht="15" hidden="1" customHeight="1" outlineLevel="1" x14ac:dyDescent="0.2">
      <c r="A102" s="285"/>
      <c r="B102" s="285"/>
      <c r="C102" s="285"/>
      <c r="D102" s="284"/>
      <c r="E102" s="284"/>
      <c r="F102" s="284"/>
      <c r="G102" s="284"/>
      <c r="H102" s="284"/>
      <c r="I102" s="284"/>
      <c r="J102" s="284"/>
      <c r="K102" s="284"/>
      <c r="L102" s="284"/>
      <c r="M102" s="284"/>
      <c r="N102" s="284"/>
      <c r="O102" s="284"/>
      <c r="P102" s="284"/>
    </row>
    <row r="103" spans="1:16" ht="15" customHeight="1" collapsed="1" x14ac:dyDescent="0.2">
      <c r="A103" s="284"/>
      <c r="B103" s="284"/>
      <c r="C103" s="284"/>
      <c r="D103" s="284"/>
      <c r="E103" s="284"/>
      <c r="F103" s="284"/>
      <c r="G103" s="284"/>
      <c r="H103" s="284"/>
      <c r="I103" s="284"/>
      <c r="J103" s="284"/>
      <c r="K103" s="284"/>
      <c r="L103" s="284"/>
      <c r="M103" s="284"/>
      <c r="N103" s="284"/>
      <c r="O103" s="284"/>
      <c r="P103" s="284"/>
    </row>
    <row r="104" spans="1:16" ht="16" hidden="1" x14ac:dyDescent="0.2"/>
    <row r="105" spans="1:16" ht="16" hidden="1" x14ac:dyDescent="0.2"/>
  </sheetData>
  <sheetProtection algorithmName="SHA-512" hashValue="QRdcOrnLyJMIfH7JgBWpT0KXirUSosJz2SE1uaxsUrR58bUS9iiSGAc1iyK78ybNOjtKC1cWRSTe3i35akJ6tw==" saltValue="XU7UzCZ5/L8dew7xuXfjFQ==" spinCount="100000" sheet="1" objects="1" scenarios="1" formatColumns="0" autoFilter="0"/>
  <phoneticPr fontId="16" type="noConversion"/>
  <dataValidations count="2">
    <dataValidation type="list" allowBlank="1" showInputMessage="1" showErrorMessage="1" sqref="L7:M31" xr:uid="{5B0B6244-128D-483D-8BAD-6256D26B3A58}">
      <formula1>$B$7:$B$9</formula1>
    </dataValidation>
    <dataValidation type="list" allowBlank="1" showInputMessage="1" showErrorMessage="1" sqref="L3" xr:uid="{6F7489A9-ADB1-4CF7-B996-F7C88B903C27}">
      <formula1>"English, French,Dutch"</formula1>
    </dataValidation>
  </dataValidations>
  <hyperlinks>
    <hyperlink ref="B1" location="ReadMe!L5" display="ReadMe" xr:uid="{E6547F5A-51DA-4EB1-828A-9712E51A6720}"/>
    <hyperlink ref="K8" location="Instructions!B1" display="Instructions" xr:uid="{DB691595-D764-4F34-B4B9-E6D84663D9FA}"/>
    <hyperlink ref="K9" location="InputsData!B1" display="InputsData" xr:uid="{51701A19-4E8A-4AA5-BD47-B4A018C68A14}"/>
    <hyperlink ref="K10" location="RevenueData!B1" display="RevenueData" xr:uid="{FD2F5D69-C4CD-4F4A-8C99-09DD2EF95C09}"/>
    <hyperlink ref="K11" location="RevenuePivot!B4" display="RevenuePivot" xr:uid="{BF968751-829B-4F5A-B722-52968212F9B3}"/>
    <hyperlink ref="K12" location="RevenueChart!B1" display="RevenueChart" xr:uid="{5E65B57B-CCA4-4844-BBA8-532C7D60CE7F}"/>
    <hyperlink ref="K13" location="ReadMe!B1" display="FinanceData" xr:uid="{6CB3A3B8-371E-4C8A-961A-1474DCDDD9F7}"/>
    <hyperlink ref="K14" location="FinancePivot!B1" display="FinancePivot" xr:uid="{FB6C2919-CBBD-486A-B23A-B720938676F0}"/>
    <hyperlink ref="K15" location="FinanceChart!B1" display="FinanceChart" xr:uid="{BD088E4E-8120-45E0-9D6A-6856AF3851C8}"/>
    <hyperlink ref="K16" location="FinanceEUR!B1" display="FinanceEUR" xr:uid="{994532BF-7AB7-408C-B706-87B5EBA4C5AB}"/>
    <hyperlink ref="K2" location="ReadMe!L5" display="ReadMe" xr:uid="{E5FC10E1-131B-4858-9BCA-5CA168083326}"/>
  </hyperlinks>
  <printOptions horizontalCentered="1" gridLines="1"/>
  <pageMargins left="0.19685039370078741" right="0.19685039370078741" top="0.39370078740157483" bottom="0.39370078740157483" header="0.19685039370078741" footer="0.19685039370078741"/>
  <pageSetup paperSize="9" scale="74" orientation="landscape" r:id="rId1"/>
  <headerFooter>
    <oddHeader>&amp;L&amp;"-,Bold"&amp;12Be²MC © 2013-2025&amp;R&amp;"-,Bold"&amp;12Confidential &amp; Restricted</oddHeader>
    <oddFooter>&amp;L&amp;"-,Bold"&amp;12&amp;F - &amp;A&amp;R&amp;"-,Bold"&amp;12&amp;D - page &amp;P of &amp;N</oddFooter>
  </headerFooter>
  <ignoredErrors>
    <ignoredError sqref="O7:O31" calculatedColumn="1"/>
  </ignoredErrors>
  <drawing r:id="rId2"/>
  <tableParts count="5">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D97BB-2908-41E3-8669-722D66D992CB}">
  <sheetPr codeName="Sheet1">
    <tabColor rgb="FF4E81BD"/>
  </sheetPr>
  <dimension ref="A1:X204"/>
  <sheetViews>
    <sheetView zoomScale="80" zoomScaleNormal="80" workbookViewId="0">
      <pane ySplit="5" topLeftCell="A6" activePane="bottomLeft" state="frozen"/>
      <selection activeCell="I1" sqref="I1"/>
      <selection pane="bottomLeft" activeCell="I5" sqref="I5"/>
    </sheetView>
  </sheetViews>
  <sheetFormatPr baseColWidth="10" defaultColWidth="0" defaultRowHeight="13" zeroHeight="1" outlineLevelRow="1" outlineLevelCol="1" x14ac:dyDescent="0.2"/>
  <cols>
    <col min="1" max="1" width="2.7109375" style="179" customWidth="1"/>
    <col min="2" max="2" width="3.7109375" style="179" hidden="1" customWidth="1" outlineLevel="1"/>
    <col min="3" max="3" width="70.7109375" style="179" hidden="1" customWidth="1" outlineLevel="1"/>
    <col min="4" max="4" width="50.7109375" style="179" hidden="1" customWidth="1" outlineLevel="1"/>
    <col min="5" max="5" width="70.7109375" style="179" hidden="1" customWidth="1" outlineLevel="1"/>
    <col min="6" max="6" width="50.7109375" style="179" hidden="1" customWidth="1" outlineLevel="1"/>
    <col min="7" max="7" width="70.7109375" style="179" hidden="1" customWidth="1" outlineLevel="1"/>
    <col min="8" max="8" width="50.7109375" style="179" hidden="1" customWidth="1" outlineLevel="1"/>
    <col min="9" max="9" width="9.7109375" style="179" customWidth="1" collapsed="1"/>
    <col min="10" max="11" width="12.7109375" style="179" customWidth="1"/>
    <col min="12" max="12" width="95.7109375" style="179" customWidth="1"/>
    <col min="13" max="13" width="60.7109375" style="179" customWidth="1"/>
    <col min="14" max="14" width="2.7109375" style="179" customWidth="1"/>
    <col min="15" max="23" width="8.85546875" style="179" hidden="1" customWidth="1"/>
    <col min="24" max="24" width="2.7109375" style="179" hidden="1" customWidth="1"/>
    <col min="25" max="16384" width="8.85546875" style="179" hidden="1"/>
  </cols>
  <sheetData>
    <row r="1" spans="1:14" ht="16" hidden="1" outlineLevel="1" x14ac:dyDescent="0.2">
      <c r="A1" s="291"/>
      <c r="B1" s="291"/>
      <c r="C1" s="333">
        <f t="shared" ref="C1:H1" si="0">COLUMN(C1)</f>
        <v>3</v>
      </c>
      <c r="D1" s="333">
        <f t="shared" si="0"/>
        <v>4</v>
      </c>
      <c r="E1" s="333">
        <f t="shared" si="0"/>
        <v>5</v>
      </c>
      <c r="F1" s="333">
        <f t="shared" si="0"/>
        <v>6</v>
      </c>
      <c r="G1" s="333">
        <f t="shared" si="0"/>
        <v>7</v>
      </c>
      <c r="H1" s="333">
        <f t="shared" si="0"/>
        <v>8</v>
      </c>
      <c r="I1" s="333"/>
      <c r="J1" s="333"/>
      <c r="K1" s="333"/>
      <c r="L1" s="333">
        <f>IF(ReadMe!$L$3="English",$C$1,IF(ReadMe!$L$3="French",$E$1,IF(ReadMe!$L$3="Dutch",$G$1,$C$1)))-1</f>
        <v>4</v>
      </c>
      <c r="M1" s="333">
        <f>L1+1</f>
        <v>5</v>
      </c>
      <c r="N1" s="291"/>
    </row>
    <row r="2" spans="1:14" ht="16" collapsed="1" x14ac:dyDescent="0.2">
      <c r="A2" s="291"/>
      <c r="B2" s="291"/>
      <c r="C2" s="566" t="s">
        <v>277</v>
      </c>
      <c r="D2" s="291"/>
      <c r="E2" s="291"/>
      <c r="F2" s="291"/>
      <c r="G2" s="291"/>
      <c r="H2" s="291"/>
      <c r="I2" s="566" t="s">
        <v>277</v>
      </c>
      <c r="J2" s="291"/>
      <c r="K2" s="291"/>
      <c r="L2" s="291"/>
      <c r="M2" s="293" t="b">
        <f>AND(M188:M203)</f>
        <v>1</v>
      </c>
      <c r="N2" s="291"/>
    </row>
    <row r="3" spans="1:14" ht="88" customHeight="1" x14ac:dyDescent="0.2">
      <c r="A3" s="291"/>
      <c r="B3" s="291"/>
      <c r="C3" s="291"/>
      <c r="D3" s="291"/>
      <c r="E3" s="291"/>
      <c r="F3" s="291"/>
      <c r="G3" s="291"/>
      <c r="H3" s="291"/>
      <c r="I3" s="921" t="e" vm="1">
        <v>#VALUE!</v>
      </c>
      <c r="J3" s="921"/>
      <c r="K3" s="921"/>
      <c r="L3" s="921"/>
      <c r="M3" s="624" t="str">
        <f>VLOOKUP("Financial Plan",TableInputsData[],ReadMe!$M$3,FALSE)</f>
        <v>PLAN FINANCIER</v>
      </c>
      <c r="N3" s="291"/>
    </row>
    <row r="4" spans="1:14" x14ac:dyDescent="0.2">
      <c r="A4" s="291"/>
      <c r="B4" s="291"/>
      <c r="C4" s="377" t="s">
        <v>1849</v>
      </c>
      <c r="D4" s="291"/>
      <c r="E4" s="291"/>
      <c r="F4" s="291"/>
      <c r="G4" s="291"/>
      <c r="H4" s="291"/>
      <c r="I4" s="291"/>
      <c r="J4" s="291"/>
      <c r="K4" s="291"/>
      <c r="L4" s="291"/>
      <c r="M4" s="291"/>
      <c r="N4" s="291"/>
    </row>
    <row r="5" spans="1:14" ht="32.25" customHeight="1" x14ac:dyDescent="0.2">
      <c r="A5" s="291"/>
      <c r="B5" s="476">
        <f>ROW(B5)</f>
        <v>5</v>
      </c>
      <c r="C5" s="556" t="s">
        <v>1253</v>
      </c>
      <c r="D5" s="557" t="s">
        <v>327</v>
      </c>
      <c r="E5" s="557" t="s">
        <v>1254</v>
      </c>
      <c r="F5" s="557" t="s">
        <v>329</v>
      </c>
      <c r="G5" s="557" t="s">
        <v>1255</v>
      </c>
      <c r="H5" s="557" t="s">
        <v>331</v>
      </c>
      <c r="I5" s="557" t="s">
        <v>95</v>
      </c>
      <c r="J5" s="557" t="s">
        <v>1249</v>
      </c>
      <c r="K5" s="557" t="s">
        <v>154</v>
      </c>
      <c r="L5" s="557" t="s">
        <v>0</v>
      </c>
      <c r="M5" s="558" t="s">
        <v>1250</v>
      </c>
      <c r="N5" s="291"/>
    </row>
    <row r="6" spans="1:14" x14ac:dyDescent="0.2">
      <c r="A6" s="291"/>
      <c r="B6" s="476">
        <f t="shared" ref="B6:B98" si="1">ROW(B6)</f>
        <v>6</v>
      </c>
      <c r="C6" s="553"/>
      <c r="D6" s="554"/>
      <c r="E6" s="554"/>
      <c r="F6" s="554"/>
      <c r="G6" s="554"/>
      <c r="H6" s="554"/>
      <c r="I6" s="516"/>
      <c r="J6" s="516"/>
      <c r="K6" s="517"/>
      <c r="L6" s="567"/>
      <c r="M6" s="661"/>
      <c r="N6" s="291"/>
    </row>
    <row r="7" spans="1:14" ht="14" x14ac:dyDescent="0.2">
      <c r="A7" s="291"/>
      <c r="B7" s="476">
        <f t="shared" si="1"/>
        <v>7</v>
      </c>
      <c r="C7" s="550" t="s">
        <v>1469</v>
      </c>
      <c r="D7" s="149" t="str" cm="1">
        <f t="array" aca="1" ref="D7" ca="1">MID(CELL("address",ReadMe!L3),FIND("]",CELL("address",ReadMe!L3))+1,255)</f>
        <v>ReadMe'!$L$3</v>
      </c>
      <c r="E7" s="149" t="s">
        <v>1471</v>
      </c>
      <c r="F7" s="149" t="str">
        <f ca="1">TableInstructions[[#This Row],[English Comment]]</f>
        <v>ReadMe'!$L$3</v>
      </c>
      <c r="G7" s="149" t="s">
        <v>1470</v>
      </c>
      <c r="H7" s="149" t="str">
        <f ca="1">TableInstructions[[#This Row],[English Comment]]</f>
        <v>ReadMe'!$L$3</v>
      </c>
      <c r="I7" s="496">
        <v>1</v>
      </c>
      <c r="J7" s="555" t="s">
        <v>277</v>
      </c>
      <c r="K7" s="487">
        <v>45902</v>
      </c>
      <c r="L7" s="488" t="str" cm="1">
        <f t="array" ref="L7">IF($C7="","",INDEX($B$1:$H$1017, $B7, L$1))</f>
        <v>Sélectionnez et définissez votre langue (anglais, néerlandais, français)</v>
      </c>
      <c r="M7" s="662" t="str" cm="1">
        <f t="array" aca="1" ref="M7" ca="1">IF($D7="","",INDEX($B$1:$H$1017, $B7, M$1))</f>
        <v>ReadMe'!$L$3</v>
      </c>
      <c r="N7" s="291"/>
    </row>
    <row r="8" spans="1:14" x14ac:dyDescent="0.2">
      <c r="A8" s="291"/>
      <c r="B8" s="476">
        <f t="shared" si="1"/>
        <v>8</v>
      </c>
      <c r="C8" s="551"/>
      <c r="D8" s="480"/>
      <c r="E8" s="480"/>
      <c r="F8" s="480"/>
      <c r="G8" s="480"/>
      <c r="H8" s="480"/>
      <c r="I8" s="484"/>
      <c r="J8" s="484"/>
      <c r="K8" s="485"/>
      <c r="L8" s="568"/>
      <c r="M8" s="663"/>
      <c r="N8" s="291"/>
    </row>
    <row r="9" spans="1:14" ht="14" x14ac:dyDescent="0.2">
      <c r="A9" s="291"/>
      <c r="B9" s="476">
        <f t="shared" si="1"/>
        <v>9</v>
      </c>
      <c r="C9" s="550" t="s">
        <v>1276</v>
      </c>
      <c r="D9" s="149" t="str">
        <f>"See NOTE "&amp;$I19&amp;" below"</f>
        <v>See NOTE 3 below</v>
      </c>
      <c r="E9" s="149" t="s">
        <v>1267</v>
      </c>
      <c r="F9" s="149" t="str">
        <f>"Voir NOTE "&amp;$I19&amp;" ci-dessous"</f>
        <v>Voir NOTE 3 ci-dessous</v>
      </c>
      <c r="G9" s="149" t="s">
        <v>1269</v>
      </c>
      <c r="H9" s="149" t="str">
        <f>"Zie NOTE "&amp;$I19&amp;" hieronder"</f>
        <v>Zie NOTE 3 hieronder</v>
      </c>
      <c r="I9" s="496">
        <f>I7+1</f>
        <v>2</v>
      </c>
      <c r="J9" s="486" t="s">
        <v>153</v>
      </c>
      <c r="K9" s="487">
        <v>45865</v>
      </c>
      <c r="L9" s="488" t="str" cm="1">
        <f t="array" ref="L9">IF($C9="","",INDEX($B$1:$H$1017, $B9, L$1))</f>
        <v>1. Remplir la feuille "InputsData"</v>
      </c>
      <c r="M9" s="662" t="str" cm="1">
        <f t="array" ref="M9">IF($D9="","",INDEX($B$1:$H$1017, $B9, M$1))</f>
        <v>Voir NOTE 3 ci-dessous</v>
      </c>
      <c r="N9" s="291"/>
    </row>
    <row r="10" spans="1:14" ht="14" x14ac:dyDescent="0.2">
      <c r="A10" s="291"/>
      <c r="B10" s="476">
        <f t="shared" si="1"/>
        <v>10</v>
      </c>
      <c r="C10" s="550" t="s">
        <v>1277</v>
      </c>
      <c r="D10" s="149" t="str">
        <f>"See NOTE "&amp;$I45&amp;" below"</f>
        <v>See NOTE 4 below</v>
      </c>
      <c r="E10" s="149" t="s">
        <v>1268</v>
      </c>
      <c r="F10" s="149" t="str">
        <f>"Voir NOTE "&amp;$I45&amp;" ci-dessous"</f>
        <v>Voir NOTE 4 ci-dessous</v>
      </c>
      <c r="G10" s="149" t="s">
        <v>1270</v>
      </c>
      <c r="H10" s="149" t="str">
        <f>"Zie NOTE "&amp;$I45&amp;" hieronder"</f>
        <v>Zie NOTE 4 hieronder</v>
      </c>
      <c r="I10" s="496">
        <f>I9</f>
        <v>2</v>
      </c>
      <c r="J10" s="486" t="s">
        <v>153</v>
      </c>
      <c r="K10" s="487">
        <v>45898</v>
      </c>
      <c r="L10" s="488" t="str" cm="1">
        <f t="array" ref="L10">IF($C10="","",INDEX($B$1:$H$1017, $B10, L$1))</f>
        <v>2. Remplir la feuille "RevenueData"</v>
      </c>
      <c r="M10" s="662" t="str" cm="1">
        <f t="array" ref="M10">IF($D10="","",INDEX($B$1:$H$1017, $B10, M$1))</f>
        <v>Voir NOTE 4 ci-dessous</v>
      </c>
      <c r="N10" s="291"/>
    </row>
    <row r="11" spans="1:14" ht="14" x14ac:dyDescent="0.2">
      <c r="A11" s="291"/>
      <c r="B11" s="476">
        <f t="shared" si="1"/>
        <v>11</v>
      </c>
      <c r="C11" s="550" t="s">
        <v>1409</v>
      </c>
      <c r="D11" s="149" t="str">
        <f>"See NOTE "&amp;$I67&amp;" below"</f>
        <v>See NOTE 5 below</v>
      </c>
      <c r="E11" s="149" t="s">
        <v>1407</v>
      </c>
      <c r="F11" s="149" t="str">
        <f>"Voir NOTE "&amp;$I67&amp;" ci-dessous"</f>
        <v>Voir NOTE 5 ci-dessous</v>
      </c>
      <c r="G11" s="149" t="s">
        <v>1406</v>
      </c>
      <c r="H11" s="149" t="str">
        <f>"Zie NOTE "&amp;$I67&amp;" hieronder"</f>
        <v>Zie NOTE 5 hieronder</v>
      </c>
      <c r="I11" s="496">
        <f t="shared" ref="I11:I16" si="2">I10</f>
        <v>2</v>
      </c>
      <c r="J11" s="486" t="s">
        <v>153</v>
      </c>
      <c r="K11" s="487">
        <v>45898</v>
      </c>
      <c r="L11" s="488" t="str" cm="1">
        <f t="array" ref="L11">IF($C11="","",INDEX($B$1:$H$1017, $B11, L$1))</f>
        <v>3. 🔄 Actualisation des tableaux dynamiques.  Cliquez sur le bouton "Refresh All Pivots"</v>
      </c>
      <c r="M11" s="662" t="str" cm="1">
        <f t="array" ref="M11">IF($D11="","",INDEX($B$1:$H$1017, $B11, M$1))</f>
        <v>Voir NOTE 5 ci-dessous</v>
      </c>
      <c r="N11" s="291"/>
    </row>
    <row r="12" spans="1:14" ht="14" x14ac:dyDescent="0.2">
      <c r="A12" s="291"/>
      <c r="B12" s="476">
        <f t="shared" si="1"/>
        <v>12</v>
      </c>
      <c r="C12" s="550" t="s">
        <v>1278</v>
      </c>
      <c r="D12" s="149" t="str">
        <f>"See NOTE "&amp;$I78&amp;" below"</f>
        <v>See NOTE 8 below</v>
      </c>
      <c r="E12" s="149" t="s">
        <v>1272</v>
      </c>
      <c r="F12" s="149" t="str">
        <f>"Voir NOTE "&amp;$I78&amp;" ci-dessous"</f>
        <v>Voir NOTE 8 ci-dessous</v>
      </c>
      <c r="G12" s="149" t="s">
        <v>1271</v>
      </c>
      <c r="H12" s="149" t="str">
        <f>"Zie NOTE "&amp;$I78&amp;" hieronder"</f>
        <v>Zie NOTE 8 hieronder</v>
      </c>
      <c r="I12" s="496">
        <f t="shared" si="2"/>
        <v>2</v>
      </c>
      <c r="J12" s="486" t="s">
        <v>153</v>
      </c>
      <c r="K12" s="487">
        <v>45865</v>
      </c>
      <c r="L12" s="488" t="str" cm="1">
        <f t="array" ref="L12">IF($C12="","",INDEX($B$1:$H$1017, $B12, L$1))</f>
        <v>4. Remplir la feuille "FinanceData"</v>
      </c>
      <c r="M12" s="662" t="str" cm="1">
        <f t="array" ref="M12">IF($D12="","",INDEX($B$1:$H$1017, $B12, M$1))</f>
        <v>Voir NOTE 8 ci-dessous</v>
      </c>
      <c r="N12" s="291"/>
    </row>
    <row r="13" spans="1:14" ht="14" x14ac:dyDescent="0.2">
      <c r="A13" s="291"/>
      <c r="B13" s="476">
        <f t="shared" si="1"/>
        <v>13</v>
      </c>
      <c r="C13" s="550" t="s">
        <v>1410</v>
      </c>
      <c r="D13" s="149" t="str">
        <f>"See NOTE "&amp;$I139&amp;" below"</f>
        <v>See NOTE 11 below</v>
      </c>
      <c r="E13" s="149" t="s">
        <v>1408</v>
      </c>
      <c r="F13" s="149" t="str">
        <f>"Voir NOTE "&amp;$I139&amp;" ci-dessous"</f>
        <v>Voir NOTE 11 ci-dessous</v>
      </c>
      <c r="G13" s="149" t="s">
        <v>1405</v>
      </c>
      <c r="H13" s="149" t="str">
        <f>"Zie NOTE "&amp;$I139&amp;" hieronder"</f>
        <v>Zie NOTE 11 hieronder</v>
      </c>
      <c r="I13" s="496">
        <f t="shared" si="2"/>
        <v>2</v>
      </c>
      <c r="J13" s="486" t="s">
        <v>153</v>
      </c>
      <c r="K13" s="487">
        <v>45865</v>
      </c>
      <c r="L13" s="488" t="str" cm="1">
        <f t="array" ref="L13">IF($C13="","",INDEX($B$1:$H$1017, $B13, L$1))</f>
        <v>5. 🔄 Actualisation des tableaux dynamiques.  Cliquez sur le bouton "Refresh All Pivots"</v>
      </c>
      <c r="M13" s="662" t="str" cm="1">
        <f t="array" ref="M13">IF($D13="","",INDEX($B$1:$H$1017, $B13, M$1))</f>
        <v>Voir NOTE 11 ci-dessous</v>
      </c>
      <c r="N13" s="291"/>
    </row>
    <row r="14" spans="1:14" ht="14" x14ac:dyDescent="0.2">
      <c r="A14" s="291"/>
      <c r="B14" s="476">
        <f t="shared" si="1"/>
        <v>14</v>
      </c>
      <c r="C14" s="550" t="s">
        <v>1273</v>
      </c>
      <c r="D14" s="149" t="str">
        <f>"See NOTE "&amp;$I188&amp;" below"</f>
        <v>See NOTE 16 below</v>
      </c>
      <c r="E14" s="149" t="s">
        <v>273</v>
      </c>
      <c r="F14" s="149" t="str">
        <f>"Voir NOTE "&amp;$I188&amp;" ci-dessous"</f>
        <v>Voir NOTE 16 ci-dessous</v>
      </c>
      <c r="G14" s="149" t="s">
        <v>1266</v>
      </c>
      <c r="H14" s="149" t="str">
        <f>"Zie NOTE "&amp;$I188&amp;" hieronder"</f>
        <v>Zie NOTE 16 hieronder</v>
      </c>
      <c r="I14" s="496">
        <f t="shared" si="2"/>
        <v>2</v>
      </c>
      <c r="J14" s="486" t="s">
        <v>153</v>
      </c>
      <c r="K14" s="487">
        <v>45865</v>
      </c>
      <c r="L14" s="488" t="str" cm="1">
        <f t="array" ref="L14">IF($C14="","",INDEX($B$1:$H$1017, $B14, L$1))</f>
        <v xml:space="preserve">6. Check if no error. </v>
      </c>
      <c r="M14" s="662" t="str" cm="1">
        <f t="array" ref="M14">IF($D14="","",INDEX($B$1:$H$1017, $B14, M$1))</f>
        <v>Voir NOTE 16 ci-dessous</v>
      </c>
      <c r="N14" s="291"/>
    </row>
    <row r="15" spans="1:14" ht="28" x14ac:dyDescent="0.2">
      <c r="A15" s="291"/>
      <c r="B15" s="476">
        <f t="shared" si="1"/>
        <v>15</v>
      </c>
      <c r="C15" s="550" t="s">
        <v>1274</v>
      </c>
      <c r="D15" s="149" t="s">
        <v>1429</v>
      </c>
      <c r="E15" s="149" t="s">
        <v>310</v>
      </c>
      <c r="F15" s="149" t="s">
        <v>1431</v>
      </c>
      <c r="G15" s="149" t="s">
        <v>1258</v>
      </c>
      <c r="H15" s="149" t="s">
        <v>1430</v>
      </c>
      <c r="I15" s="496">
        <f t="shared" si="2"/>
        <v>2</v>
      </c>
      <c r="J15" s="486" t="s">
        <v>153</v>
      </c>
      <c r="K15" s="487">
        <v>45902</v>
      </c>
      <c r="L15" s="488" t="str" cm="1">
        <f t="array" ref="L15">IF($C15="","",INDEX($B$1:$H$1017, $B15, L$1))</f>
        <v>7. Itérer Instructions 1 -&gt; 2 -&gt; 3 -&gt; 4 -&gt; 5 -&gt; 6 jusqu'à validation du plan financier</v>
      </c>
      <c r="M15" s="662" t="str" cm="1">
        <f t="array" ref="M15">IF($D15="","",INDEX($B$1:$H$1017, $B15, M$1))</f>
        <v>Essayez le scénario le plus favorable/le plus défavorable lorsque le scénario nominal est prêt.</v>
      </c>
      <c r="N15" s="291"/>
    </row>
    <row r="16" spans="1:14" ht="14" x14ac:dyDescent="0.2">
      <c r="A16" s="291"/>
      <c r="B16" s="476">
        <f t="shared" si="1"/>
        <v>16</v>
      </c>
      <c r="C16" s="550" t="s">
        <v>1275</v>
      </c>
      <c r="D16" s="149"/>
      <c r="E16" s="149" t="s">
        <v>274</v>
      </c>
      <c r="F16" s="149"/>
      <c r="G16" s="149" t="s">
        <v>1259</v>
      </c>
      <c r="H16" s="149"/>
      <c r="I16" s="496">
        <f t="shared" si="2"/>
        <v>2</v>
      </c>
      <c r="J16" s="486" t="s">
        <v>153</v>
      </c>
      <c r="K16" s="487">
        <v>45865</v>
      </c>
      <c r="L16" s="488" t="str" cm="1">
        <f t="array" ref="L16">IF($C16="","",INDEX($B$1:$H$1017, $B16, L$1))</f>
        <v>8. Keep cool. It's fun.</v>
      </c>
      <c r="M16" s="662" t="str" cm="1">
        <f t="array" ref="M16">IF($D16="","",INDEX($B$1:$H$1017, $B16, M$1))</f>
        <v/>
      </c>
      <c r="N16" s="291"/>
    </row>
    <row r="17" spans="1:14" ht="14" x14ac:dyDescent="0.2">
      <c r="A17" s="291"/>
      <c r="B17" s="476">
        <f t="shared" si="1"/>
        <v>17</v>
      </c>
      <c r="C17" s="550"/>
      <c r="D17" s="149"/>
      <c r="E17" s="149"/>
      <c r="F17" s="149"/>
      <c r="G17" s="149"/>
      <c r="H17" s="149"/>
      <c r="I17" s="496">
        <f>I16</f>
        <v>2</v>
      </c>
      <c r="J17" s="486" t="s">
        <v>153</v>
      </c>
      <c r="K17" s="487">
        <v>45865</v>
      </c>
      <c r="L17" s="488" t="str" cm="1">
        <f t="array" ref="L17">IF($C17="","",INDEX($B$1:$H$1017, $B17, L$1))</f>
        <v/>
      </c>
      <c r="M17" s="662" t="str" cm="1">
        <f t="array" ref="M17">IF($D17="","",INDEX($B$1:$H$1017, $B17, M$1))</f>
        <v/>
      </c>
      <c r="N17" s="291"/>
    </row>
    <row r="18" spans="1:14" x14ac:dyDescent="0.2">
      <c r="A18" s="291"/>
      <c r="B18" s="476">
        <f t="shared" si="1"/>
        <v>18</v>
      </c>
      <c r="C18" s="551"/>
      <c r="D18" s="480"/>
      <c r="E18" s="480"/>
      <c r="F18" s="480"/>
      <c r="G18" s="480"/>
      <c r="H18" s="480"/>
      <c r="I18" s="484"/>
      <c r="J18" s="484"/>
      <c r="K18" s="485"/>
      <c r="L18" s="568"/>
      <c r="M18" s="663"/>
      <c r="N18" s="291"/>
    </row>
    <row r="19" spans="1:14" ht="14" x14ac:dyDescent="0.2">
      <c r="A19" s="291"/>
      <c r="B19" s="476">
        <f t="shared" si="1"/>
        <v>19</v>
      </c>
      <c r="C19" s="550" t="s">
        <v>1279</v>
      </c>
      <c r="D19" s="149"/>
      <c r="E19" s="149" t="s">
        <v>1256</v>
      </c>
      <c r="F19" s="149"/>
      <c r="G19" s="149" t="s">
        <v>1260</v>
      </c>
      <c r="H19" s="149"/>
      <c r="I19" s="496">
        <f>I9+1</f>
        <v>3</v>
      </c>
      <c r="J19" s="489" t="s">
        <v>375</v>
      </c>
      <c r="K19" s="487">
        <v>45865</v>
      </c>
      <c r="L19" s="569" t="str" cm="1">
        <f t="array" ref="L19">IF($C19="","",INDEX($B$1:$H$1017, $B19, L$1))</f>
        <v>REMPLIR LES CELLULES EN JAUNE</v>
      </c>
      <c r="M19" s="662" t="str" cm="1">
        <f t="array" ref="M19">IF($D19="","",INDEX($B$1:$H$1017, $B19, M$1))</f>
        <v/>
      </c>
      <c r="N19" s="291"/>
    </row>
    <row r="20" spans="1:14" ht="30" customHeight="1" x14ac:dyDescent="0.2">
      <c r="A20" s="291"/>
      <c r="B20" s="476">
        <f t="shared" si="1"/>
        <v>20</v>
      </c>
      <c r="C20" s="550" t="s">
        <v>2024</v>
      </c>
      <c r="D20" s="149"/>
      <c r="E20" s="149" t="s">
        <v>2031</v>
      </c>
      <c r="F20" s="149"/>
      <c r="G20" s="149" t="s">
        <v>2030</v>
      </c>
      <c r="H20" s="149"/>
      <c r="I20" s="496">
        <f>I19</f>
        <v>3</v>
      </c>
      <c r="J20" s="490" t="s">
        <v>375</v>
      </c>
      <c r="K20" s="487">
        <v>45941</v>
      </c>
      <c r="L20" s="658" t="str" cm="1">
        <f t="array" ref="L20">IF($C20="","",INDEX($B$1:$H$1017, $B20, L$1))</f>
        <v>EN LIEN AVEC LE PAYS</v>
      </c>
      <c r="M20" s="663"/>
      <c r="N20" s="291"/>
    </row>
    <row r="21" spans="1:14" ht="30" customHeight="1" x14ac:dyDescent="0.2">
      <c r="A21" s="291"/>
      <c r="B21" s="476">
        <f t="shared" si="1"/>
        <v>21</v>
      </c>
      <c r="C21" s="550" t="s">
        <v>1280</v>
      </c>
      <c r="D21" s="149" t="str" cm="1">
        <f t="array" aca="1" ref="D21" ca="1">MID(CELL("address",InputsData!C5),FIND("]",CELL("address",InputsData!C5))+1,255)</f>
        <v>InputsData'!$C$5</v>
      </c>
      <c r="E21" s="149" t="s">
        <v>155</v>
      </c>
      <c r="F21" s="149" t="str">
        <f ca="1">TableInstructions[[#This Row],[English Comment]]</f>
        <v>InputsData'!$C$5</v>
      </c>
      <c r="G21" s="149" t="s">
        <v>1261</v>
      </c>
      <c r="H21" s="149" t="str">
        <f ca="1">TableInstructions[[#This Row],[English Comment]]</f>
        <v>InputsData'!$C$5</v>
      </c>
      <c r="I21" s="496">
        <f t="shared" ref="I21:I43" si="3">I20</f>
        <v>3</v>
      </c>
      <c r="J21" s="490" t="s">
        <v>375</v>
      </c>
      <c r="K21" s="487">
        <v>45865</v>
      </c>
      <c r="L21" s="572" t="str" cm="1">
        <f t="array" ref="L21">IF($C21="","",INDEX($B$1:$H$1017, $B21, L$1))</f>
        <v>Nom de l'entreprise</v>
      </c>
      <c r="M21" s="662" t="str" cm="1">
        <f t="array" aca="1" ref="M21" ca="1">IF($D21="","",INDEX($B$1:$H$1017, $B21, M$1))</f>
        <v>InputsData'!$C$5</v>
      </c>
      <c r="N21" s="291"/>
    </row>
    <row r="22" spans="1:14" ht="30" customHeight="1" x14ac:dyDescent="0.2">
      <c r="A22" s="291"/>
      <c r="B22" s="476">
        <f t="shared" si="1"/>
        <v>22</v>
      </c>
      <c r="C22" s="550" t="s">
        <v>1281</v>
      </c>
      <c r="D22" s="149" t="str" cm="1">
        <f t="array" aca="1" ref="D22" ca="1">MID(CELL("address",InputsData!C6),FIND("]",CELL("address",InputsData!C6))+1,255)&amp;CHAR(10)&amp;"Select your country in the dropbox"</f>
        <v>InputsData'!$C$6
Select your country in the dropbox</v>
      </c>
      <c r="E22" s="149" t="s">
        <v>156</v>
      </c>
      <c r="F22" s="149" t="str" cm="1">
        <f t="array" aca="1" ref="F22" ca="1">MID(CELL("address",InputsData!C6),FIND("]",CELL("address",InputsData!C6))+1,255)&amp;CHAR(10)&amp;"Sélectionnez votre pays dans la liste déroulante"</f>
        <v>InputsData'!$C$6
Sélectionnez votre pays dans la liste déroulante</v>
      </c>
      <c r="G22" s="149" t="s">
        <v>1262</v>
      </c>
      <c r="H22" s="149" t="str" cm="1">
        <f t="array" aca="1" ref="H22" ca="1">MID(CELL("address",InputsData!C6),FIND("]",CELL("address",InputsData!C6))+1,255)&amp;CHAR(10)&amp;"Selecteer uw land in de dropbox"</f>
        <v>InputsData'!$C$6
Selecteer uw land in de dropbox</v>
      </c>
      <c r="I22" s="496">
        <f t="shared" si="3"/>
        <v>3</v>
      </c>
      <c r="J22" s="490" t="s">
        <v>375</v>
      </c>
      <c r="K22" s="487">
        <v>45865</v>
      </c>
      <c r="L22" s="572" t="str" cm="1">
        <f t="array" ref="L22">IF($C22="","",INDEX($B$1:$H$1017, $B22, L$1))</f>
        <v>Pays</v>
      </c>
      <c r="M22" s="662" t="str" cm="1">
        <f t="array" aca="1" ref="M22" ca="1">IF($D22="","",INDEX($B$1:$H$1017, $B22, M$1))</f>
        <v>InputsData'!$C$6
Sélectionnez votre pays dans la liste déroulante</v>
      </c>
      <c r="N22" s="291"/>
    </row>
    <row r="23" spans="1:14" ht="30" customHeight="1" x14ac:dyDescent="0.2">
      <c r="A23" s="291"/>
      <c r="B23" s="476">
        <f t="shared" si="1"/>
        <v>23</v>
      </c>
      <c r="C23" s="550" t="s">
        <v>1282</v>
      </c>
      <c r="D23" s="149" t="str" cm="1">
        <f t="array" aca="1" ref="D23" ca="1">MID(CELL("address",InputsData!C8),FIND("]",CELL("address",InputsData!C8))+1,255)</f>
        <v>InputsData'!$C$8</v>
      </c>
      <c r="E23" s="149" t="s">
        <v>246</v>
      </c>
      <c r="F23" s="149" t="str">
        <f ca="1">TableInstructions[[#This Row],[English Comment]]</f>
        <v>InputsData'!$C$8</v>
      </c>
      <c r="G23" s="149" t="s">
        <v>1263</v>
      </c>
      <c r="H23" s="149" t="str">
        <f ca="1">TableInstructions[[#This Row],[English Comment]]</f>
        <v>InputsData'!$C$8</v>
      </c>
      <c r="I23" s="496">
        <f t="shared" si="3"/>
        <v>3</v>
      </c>
      <c r="J23" s="490" t="s">
        <v>375</v>
      </c>
      <c r="K23" s="487">
        <v>45865</v>
      </c>
      <c r="L23" s="572" t="str" cm="1">
        <f t="array" ref="L23">IF($C23="","",INDEX($B$1:$H$1017, $B23, L$1))</f>
        <v>Monnaie locale et taux de conversion EUR</v>
      </c>
      <c r="M23" s="662" t="str" cm="1">
        <f t="array" aca="1" ref="M23" ca="1">IF($D23="","",INDEX($B$1:$H$1017, $B23, M$1))</f>
        <v>InputsData'!$C$8</v>
      </c>
      <c r="N23" s="291"/>
    </row>
    <row r="24" spans="1:14" ht="30" customHeight="1" x14ac:dyDescent="0.2">
      <c r="A24" s="291"/>
      <c r="B24" s="476">
        <f t="shared" si="1"/>
        <v>24</v>
      </c>
      <c r="C24" s="550" t="s">
        <v>1283</v>
      </c>
      <c r="D24" s="149" t="str" cm="1">
        <f t="array" aca="1" ref="D24" ca="1">MID(CELL("address",InputsData!C12),FIND("]",CELL("address",InputsData!C12))+1,255)</f>
        <v>InputsData'!$C$12</v>
      </c>
      <c r="E24" s="149" t="s">
        <v>247</v>
      </c>
      <c r="F24" s="149" t="str">
        <f ca="1">TableInstructions[[#This Row],[English Comment]]</f>
        <v>InputsData'!$C$12</v>
      </c>
      <c r="G24" s="149" t="s">
        <v>1288</v>
      </c>
      <c r="H24" s="149" t="str">
        <f ca="1">TableInstructions[[#This Row],[English Comment]]</f>
        <v>InputsData'!$C$12</v>
      </c>
      <c r="I24" s="496">
        <f t="shared" si="3"/>
        <v>3</v>
      </c>
      <c r="J24" s="490" t="s">
        <v>375</v>
      </c>
      <c r="K24" s="487">
        <v>45865</v>
      </c>
      <c r="L24" s="572" t="str" cm="1">
        <f t="array" ref="L24">IF($C24="","",INDEX($B$1:$H$1017, $B24, L$1))</f>
        <v>TVA applicable dans le pays</v>
      </c>
      <c r="M24" s="662" t="str" cm="1">
        <f t="array" aca="1" ref="M24" ca="1">IF($D24="","",INDEX($B$1:$H$1017, $B24, M$1))</f>
        <v>InputsData'!$C$12</v>
      </c>
      <c r="N24" s="291"/>
    </row>
    <row r="25" spans="1:14" ht="30" customHeight="1" x14ac:dyDescent="0.2">
      <c r="A25" s="291"/>
      <c r="B25" s="476">
        <f t="shared" si="1"/>
        <v>25</v>
      </c>
      <c r="C25" s="550" t="s">
        <v>1284</v>
      </c>
      <c r="D25" s="149" t="str" cm="1">
        <f t="array" aca="1" ref="D25" ca="1">MID(CELL("address",InputsData!C14),FIND("]",CELL("address",InputsData!C14))+1,255)</f>
        <v>InputsData'!$C$14</v>
      </c>
      <c r="E25" s="149" t="s">
        <v>248</v>
      </c>
      <c r="F25" s="149" t="str">
        <f ca="1">TableInstructions[[#This Row],[English Comment]]</f>
        <v>InputsData'!$C$14</v>
      </c>
      <c r="G25" s="149" t="s">
        <v>1264</v>
      </c>
      <c r="H25" s="149" t="str">
        <f ca="1">TableInstructions[[#This Row],[English Comment]]</f>
        <v>InputsData'!$C$14</v>
      </c>
      <c r="I25" s="496">
        <f t="shared" ref="I25:I33" si="4">I24</f>
        <v>3</v>
      </c>
      <c r="J25" s="490" t="s">
        <v>375</v>
      </c>
      <c r="K25" s="487">
        <v>45941</v>
      </c>
      <c r="L25" s="572" t="str" cm="1">
        <f t="array" ref="L25">IF($C25="","",INDEX($B$1:$H$1017, $B25, L$1))</f>
        <v>Inflation annuelle dans le pays</v>
      </c>
      <c r="M25" s="662" t="str" cm="1">
        <f t="array" aca="1" ref="M25" ca="1">IF($D25="","",INDEX($B$1:$H$1017, $B25, M$1))</f>
        <v>InputsData'!$C$14</v>
      </c>
      <c r="N25" s="291"/>
    </row>
    <row r="26" spans="1:14" ht="30" customHeight="1" x14ac:dyDescent="0.2">
      <c r="A26" s="291"/>
      <c r="B26" s="476">
        <f t="shared" si="1"/>
        <v>26</v>
      </c>
      <c r="C26" s="550" t="s">
        <v>1285</v>
      </c>
      <c r="D26" s="149" t="str" cm="1">
        <f t="array" aca="1" ref="D26" ca="1">MID(CELL("address",InputsData!C16),FIND("]",CELL("address",InputsData!C16))+1,255)</f>
        <v>InputsData'!$C$16</v>
      </c>
      <c r="E26" s="149" t="s">
        <v>249</v>
      </c>
      <c r="F26" s="149" t="str">
        <f ca="1">TableInstructions[[#This Row],[English Comment]]</f>
        <v>InputsData'!$C$16</v>
      </c>
      <c r="G26" s="149" t="s">
        <v>1265</v>
      </c>
      <c r="H26" s="149" t="str">
        <f ca="1">TableInstructions[[#This Row],[English Comment]]</f>
        <v>InputsData'!$C$16</v>
      </c>
      <c r="I26" s="496">
        <f t="shared" si="4"/>
        <v>3</v>
      </c>
      <c r="J26" s="490" t="s">
        <v>375</v>
      </c>
      <c r="K26" s="487">
        <v>45865</v>
      </c>
      <c r="L26" s="572" t="str" cm="1">
        <f t="array" ref="L26">IF($C26="","",INDEX($B$1:$H$1017, $B26, L$1))</f>
        <v>Impôt des sociétés</v>
      </c>
      <c r="M26" s="662" t="str" cm="1">
        <f t="array" aca="1" ref="M26" ca="1">IF($D26="","",INDEX($B$1:$H$1017, $B26, M$1))</f>
        <v>InputsData'!$C$16</v>
      </c>
      <c r="N26" s="291"/>
    </row>
    <row r="27" spans="1:14" ht="30" customHeight="1" x14ac:dyDescent="0.2">
      <c r="A27" s="291"/>
      <c r="B27" s="476">
        <f t="shared" si="1"/>
        <v>27</v>
      </c>
      <c r="C27" s="550" t="s">
        <v>2042</v>
      </c>
      <c r="D27" s="149"/>
      <c r="E27" s="149" t="s">
        <v>2043</v>
      </c>
      <c r="F27" s="149"/>
      <c r="G27" s="149" t="s">
        <v>2044</v>
      </c>
      <c r="H27" s="149"/>
      <c r="I27" s="496">
        <f t="shared" ref="I27:I31" si="5">I26</f>
        <v>3</v>
      </c>
      <c r="J27" s="490" t="s">
        <v>375</v>
      </c>
      <c r="K27" s="487">
        <v>45941</v>
      </c>
      <c r="L27" s="658" t="str" cm="1">
        <f t="array" ref="L27">IF($C27="","",INDEX($B$1:$H$1017, $B27, L$1))</f>
        <v>EN LIEN AVEC L'ANNEE</v>
      </c>
      <c r="M27" s="663"/>
      <c r="N27" s="291"/>
    </row>
    <row r="28" spans="1:14" ht="30" customHeight="1" x14ac:dyDescent="0.2">
      <c r="A28" s="291"/>
      <c r="B28" s="476">
        <f t="shared" si="1"/>
        <v>28</v>
      </c>
      <c r="C28" s="550" t="s">
        <v>2045</v>
      </c>
      <c r="D28" s="149" t="str" cm="1">
        <f t="array" aca="1" ref="D28" ca="1">MID(CELL("address",InputsData!C23),FIND("]",CELL("address",InputsData!C23))+1,255)</f>
        <v>InputsData'!$C$23</v>
      </c>
      <c r="E28" s="149" t="s">
        <v>2047</v>
      </c>
      <c r="F28" s="149" t="str">
        <f ca="1">TableInstructions[[#This Row],[English Comment]]</f>
        <v>InputsData'!$C$23</v>
      </c>
      <c r="G28" s="149" t="s">
        <v>2046</v>
      </c>
      <c r="H28" s="149" t="str">
        <f ca="1">TableInstructions[[#This Row],[English Comment]]</f>
        <v>InputsData'!$C$23</v>
      </c>
      <c r="I28" s="496">
        <f t="shared" si="5"/>
        <v>3</v>
      </c>
      <c r="J28" s="490" t="s">
        <v>375</v>
      </c>
      <c r="K28" s="487">
        <v>45941</v>
      </c>
      <c r="L28" s="572" t="str" cm="1">
        <f t="array" ref="L28">IF($C28="","",INDEX($B$1:$H$1017, $B28, L$1))</f>
        <v>Saissir ANNEE-2 et ANNEE EN COURS S1</v>
      </c>
      <c r="M28" s="662" t="str" cm="1">
        <f t="array" aca="1" ref="M28" ca="1">IF($D28="","",INDEX($B$1:$H$1017, $B28, M$1))</f>
        <v>InputsData'!$C$23</v>
      </c>
      <c r="N28" s="291"/>
    </row>
    <row r="29" spans="1:14" ht="30" customHeight="1" x14ac:dyDescent="0.2">
      <c r="A29" s="291"/>
      <c r="B29" s="476">
        <f t="shared" si="1"/>
        <v>29</v>
      </c>
      <c r="C29" s="550" t="s">
        <v>2028</v>
      </c>
      <c r="D29" s="149"/>
      <c r="E29" s="149" t="s">
        <v>2032</v>
      </c>
      <c r="F29" s="149"/>
      <c r="G29" s="149" t="s">
        <v>2033</v>
      </c>
      <c r="H29" s="149"/>
      <c r="I29" s="496">
        <f t="shared" si="5"/>
        <v>3</v>
      </c>
      <c r="J29" s="490" t="s">
        <v>375</v>
      </c>
      <c r="K29" s="487">
        <v>45941</v>
      </c>
      <c r="L29" s="658" t="str" cm="1">
        <f t="array" ref="L29">IF($C29="","",INDEX($B$1:$H$1017, $B29, L$1))</f>
        <v>EN LIEN AVEC LES PRODUITS ET LES SERVICES</v>
      </c>
      <c r="M29" s="663"/>
      <c r="N29" s="291"/>
    </row>
    <row r="30" spans="1:14" ht="30" customHeight="1" x14ac:dyDescent="0.2">
      <c r="A30" s="291"/>
      <c r="B30" s="476">
        <f t="shared" si="1"/>
        <v>30</v>
      </c>
      <c r="C30" s="550" t="s">
        <v>1902</v>
      </c>
      <c r="D30" s="149" t="str" cm="1">
        <f t="array" aca="1" ref="D30" ca="1">MID(CELL("address",InputsData!C35),FIND("]",CELL("address",InputsData!C35))+1,255)</f>
        <v>InputsData'!$C$35</v>
      </c>
      <c r="E30" s="149" t="s">
        <v>1903</v>
      </c>
      <c r="F30" s="149" t="str">
        <f ca="1">TableInstructions[[#This Row],[English Comment]]</f>
        <v>InputsData'!$C$35</v>
      </c>
      <c r="G30" s="149" t="s">
        <v>1904</v>
      </c>
      <c r="H30" s="149" t="str">
        <f ca="1">TableInstructions[[#This Row],[English Comment]]</f>
        <v>InputsData'!$C$35</v>
      </c>
      <c r="I30" s="496">
        <f t="shared" si="5"/>
        <v>3</v>
      </c>
      <c r="J30" s="490" t="s">
        <v>375</v>
      </c>
      <c r="K30" s="487">
        <v>45865</v>
      </c>
      <c r="L30" s="572" t="str" cm="1">
        <f t="array" ref="L30">IF($C30="","",INDEX($B$1:$H$1017, $B30, L$1))</f>
        <v>Produits et services</v>
      </c>
      <c r="M30" s="662" t="str" cm="1">
        <f t="array" aca="1" ref="M30" ca="1">IF($D30="","",INDEX($B$1:$H$1017, $B30, M$1))</f>
        <v>InputsData'!$C$35</v>
      </c>
      <c r="N30" s="291"/>
    </row>
    <row r="31" spans="1:14" ht="30" customHeight="1" x14ac:dyDescent="0.2">
      <c r="A31" s="291"/>
      <c r="B31" s="476">
        <f t="shared" si="1"/>
        <v>31</v>
      </c>
      <c r="C31" s="550" t="s">
        <v>1901</v>
      </c>
      <c r="D31" s="149" t="s">
        <v>1287</v>
      </c>
      <c r="E31" s="149" t="s">
        <v>1910</v>
      </c>
      <c r="F31" s="149" t="s">
        <v>272</v>
      </c>
      <c r="G31" s="149" t="s">
        <v>1906</v>
      </c>
      <c r="H31" s="149" t="s">
        <v>1286</v>
      </c>
      <c r="I31" s="496">
        <f t="shared" si="5"/>
        <v>3</v>
      </c>
      <c r="J31" s="490" t="s">
        <v>375</v>
      </c>
      <c r="K31" s="487">
        <v>45865</v>
      </c>
      <c r="L31" s="572" t="str" cm="1">
        <f t="array" ref="L31">IF($C31="","",INDEX($B$1:$H$1017, $B31, L$1))</f>
        <v>Nom des produits et services, filtre, description en texte libre</v>
      </c>
      <c r="M31" s="662" t="str" cm="1">
        <f t="array" ref="M31">IF($D31="","",INDEX($B$1:$H$1017, $B31, M$1))</f>
        <v>Mettre le filtre à "1" si produit ou service est utilisé, sinon "0" en colonne D</v>
      </c>
      <c r="N31" s="291"/>
    </row>
    <row r="32" spans="1:14" ht="30" customHeight="1" x14ac:dyDescent="0.2">
      <c r="A32" s="291"/>
      <c r="B32" s="476">
        <f t="shared" si="1"/>
        <v>32</v>
      </c>
      <c r="C32" s="550" t="s">
        <v>2029</v>
      </c>
      <c r="D32" s="149"/>
      <c r="E32" s="149" t="s">
        <v>2040</v>
      </c>
      <c r="F32" s="149"/>
      <c r="G32" s="149" t="s">
        <v>2041</v>
      </c>
      <c r="H32" s="149"/>
      <c r="I32" s="496">
        <f t="shared" si="4"/>
        <v>3</v>
      </c>
      <c r="J32" s="490" t="s">
        <v>375</v>
      </c>
      <c r="K32" s="487">
        <v>45941</v>
      </c>
      <c r="L32" s="658" t="str" cm="1">
        <f t="array" ref="L32">IF($C32="","",INDEX($B$1:$H$1017, $B32, L$1))</f>
        <v>EN LIEN AVEC LES GAMMES ET LES CANAUX DE DISTRIBUTION</v>
      </c>
      <c r="M32" s="663"/>
      <c r="N32" s="291"/>
    </row>
    <row r="33" spans="1:14" ht="30" customHeight="1" x14ac:dyDescent="0.2">
      <c r="A33" s="291"/>
      <c r="B33" s="476">
        <f t="shared" si="1"/>
        <v>33</v>
      </c>
      <c r="C33" s="550" t="s">
        <v>1900</v>
      </c>
      <c r="D33" s="149" t="str" cm="1">
        <f t="array" aca="1" ref="D33" ca="1">MID(CELL("address",InputsData!H69),FIND("]",CELL("address",InputsData!H69))+1,255)</f>
        <v>InputsData'!$H$69</v>
      </c>
      <c r="E33" s="149" t="s">
        <v>1911</v>
      </c>
      <c r="F33" s="149" t="str">
        <f ca="1">TableInstructions[[#This Row],[English Comment]]</f>
        <v>InputsData'!$H$69</v>
      </c>
      <c r="G33" s="149" t="s">
        <v>1907</v>
      </c>
      <c r="H33" s="149" t="str">
        <f ca="1">TableInstructions[[#This Row],[English Comment]]</f>
        <v>InputsData'!$H$69</v>
      </c>
      <c r="I33" s="496">
        <f t="shared" si="4"/>
        <v>3</v>
      </c>
      <c r="J33" s="490" t="s">
        <v>375</v>
      </c>
      <c r="K33" s="487">
        <v>45865</v>
      </c>
      <c r="L33" s="572" t="str" cm="1">
        <f t="array" ref="L33">IF($C33="","",INDEX($B$1:$H$1017, $B33, L$1))</f>
        <v>Nom de la gamme, description en texte libre</v>
      </c>
      <c r="M33" s="662" t="str" cm="1">
        <f t="array" aca="1" ref="M33" ca="1">IF($D33="","",INDEX($B$1:$H$1017, $B33, M$1))</f>
        <v>InputsData'!$H$69</v>
      </c>
      <c r="N33" s="291"/>
    </row>
    <row r="34" spans="1:14" ht="30" customHeight="1" x14ac:dyDescent="0.2">
      <c r="A34" s="291"/>
      <c r="B34" s="476">
        <f t="shared" si="1"/>
        <v>34</v>
      </c>
      <c r="C34" s="550" t="s">
        <v>1899</v>
      </c>
      <c r="D34" s="149" t="str" cm="1">
        <f t="array" aca="1" ref="D34" ca="1">MID(CELL("address",InputsData!H74),FIND("]",CELL("address",InputsData!H74))+1,255)</f>
        <v>InputsData'!$H$74</v>
      </c>
      <c r="E34" s="149" t="s">
        <v>1912</v>
      </c>
      <c r="F34" s="149" t="str">
        <f ca="1">TableInstructions[[#This Row],[English Comment]]</f>
        <v>InputsData'!$H$74</v>
      </c>
      <c r="G34" s="149" t="s">
        <v>1908</v>
      </c>
      <c r="H34" s="149" t="str">
        <f ca="1">TableInstructions[[#This Row],[English Comment]]</f>
        <v>InputsData'!$H$74</v>
      </c>
      <c r="I34" s="496">
        <f t="shared" si="3"/>
        <v>3</v>
      </c>
      <c r="J34" s="490" t="s">
        <v>375</v>
      </c>
      <c r="K34" s="487">
        <v>45865</v>
      </c>
      <c r="L34" s="572" t="str" cm="1">
        <f t="array" ref="L34">IF($C34="","",INDEX($B$1:$H$1017, $B34, L$1))</f>
        <v>Nom du canal de distribution, description en texte libre</v>
      </c>
      <c r="M34" s="662" t="str" cm="1">
        <f t="array" aca="1" ref="M34" ca="1">IF($D34="","",INDEX($B$1:$H$1017, $B34, M$1))</f>
        <v>InputsData'!$H$74</v>
      </c>
      <c r="N34" s="291"/>
    </row>
    <row r="35" spans="1:14" ht="30" customHeight="1" x14ac:dyDescent="0.2">
      <c r="A35" s="291"/>
      <c r="B35" s="476">
        <f t="shared" si="1"/>
        <v>35</v>
      </c>
      <c r="C35" s="550" t="s">
        <v>1905</v>
      </c>
      <c r="D35" s="149" t="s">
        <v>1914</v>
      </c>
      <c r="E35" s="149" t="s">
        <v>1913</v>
      </c>
      <c r="F35" s="149" t="s">
        <v>1915</v>
      </c>
      <c r="G35" s="149" t="s">
        <v>1909</v>
      </c>
      <c r="H35" s="149" t="s">
        <v>1916</v>
      </c>
      <c r="I35" s="496">
        <f t="shared" si="3"/>
        <v>3</v>
      </c>
      <c r="J35" s="490" t="s">
        <v>375</v>
      </c>
      <c r="K35" s="487">
        <v>45865</v>
      </c>
      <c r="L35" s="572" t="str" cm="1">
        <f t="array" ref="L35">IF($C35="","",INDEX($B$1:$H$1017, $B35, L$1))</f>
        <v>Produits et services par gamme et par canal de distribution</v>
      </c>
      <c r="M35" s="662" t="str" cm="1">
        <f t="array" ref="M35">IF($D35="","",INDEX($B$1:$H$1017, $B35, M$1))</f>
        <v>Mettre à "1" si le produit ou le service appartient à une gamme ou à un canal de distribution</v>
      </c>
      <c r="N35" s="291"/>
    </row>
    <row r="36" spans="1:14" ht="30" customHeight="1" x14ac:dyDescent="0.2">
      <c r="A36" s="291"/>
      <c r="B36" s="476">
        <f t="shared" si="1"/>
        <v>36</v>
      </c>
      <c r="C36" s="550" t="s">
        <v>2027</v>
      </c>
      <c r="D36" s="149"/>
      <c r="E36" s="149" t="s">
        <v>2035</v>
      </c>
      <c r="F36" s="149"/>
      <c r="G36" s="149" t="s">
        <v>2034</v>
      </c>
      <c r="H36" s="149"/>
      <c r="I36" s="496">
        <f t="shared" si="3"/>
        <v>3</v>
      </c>
      <c r="J36" s="490" t="s">
        <v>375</v>
      </c>
      <c r="K36" s="487">
        <v>45941</v>
      </c>
      <c r="L36" s="658" t="str" cm="1">
        <f t="array" ref="L36">IF($C36="","",INDEX($B$1:$H$1017, $B36, L$1))</f>
        <v>EN LIEN AVEC LE PERSONNEL</v>
      </c>
      <c r="M36" s="663"/>
      <c r="N36" s="291"/>
    </row>
    <row r="37" spans="1:14" ht="30" customHeight="1" x14ac:dyDescent="0.2">
      <c r="A37" s="291"/>
      <c r="B37" s="476">
        <f t="shared" si="1"/>
        <v>37</v>
      </c>
      <c r="C37" s="550" t="s">
        <v>1845</v>
      </c>
      <c r="D37" s="149" t="str" cm="1">
        <f t="array" aca="1" ref="D37" ca="1">MID(CELL("address",InputsData!C112),FIND("]",CELL("address",InputsData!C112))+1,255)</f>
        <v>InputsData'!$C$112</v>
      </c>
      <c r="E37" s="149" t="s">
        <v>1846</v>
      </c>
      <c r="F37" s="149" t="str">
        <f ca="1">TableInstructions[[#This Row],[English Comment]]</f>
        <v>InputsData'!$C$112</v>
      </c>
      <c r="G37" s="149" t="s">
        <v>1847</v>
      </c>
      <c r="H37" s="149" t="str">
        <f ca="1">TableInstructions[[#This Row],[English Comment]]</f>
        <v>InputsData'!$C$112</v>
      </c>
      <c r="I37" s="496">
        <f t="shared" si="3"/>
        <v>3</v>
      </c>
      <c r="J37" s="490" t="s">
        <v>375</v>
      </c>
      <c r="K37" s="487">
        <v>45865</v>
      </c>
      <c r="L37" s="572" t="str" cm="1">
        <f t="array" ref="L37">IF($C37="","",INDEX($B$1:$H$1017, $B37, L$1))</f>
        <v>Effectif : catégorie professionnelle, nom du département, sécurité sociale (% du salaire brut)</v>
      </c>
      <c r="M37" s="662" t="str" cm="1">
        <f t="array" aca="1" ref="M37" ca="1">IF($D37="","",INDEX($B$1:$H$1017, $B37, M$1))</f>
        <v>InputsData'!$C$112</v>
      </c>
      <c r="N37" s="291"/>
    </row>
    <row r="38" spans="1:14" ht="30" customHeight="1" x14ac:dyDescent="0.2">
      <c r="A38" s="291"/>
      <c r="B38" s="476">
        <f t="shared" si="1"/>
        <v>38</v>
      </c>
      <c r="C38" s="550" t="s">
        <v>2026</v>
      </c>
      <c r="D38" s="149"/>
      <c r="E38" s="149" t="s">
        <v>2036</v>
      </c>
      <c r="F38" s="149"/>
      <c r="G38" s="149" t="s">
        <v>2037</v>
      </c>
      <c r="H38" s="149"/>
      <c r="I38" s="496">
        <f t="shared" si="3"/>
        <v>3</v>
      </c>
      <c r="J38" s="490" t="s">
        <v>375</v>
      </c>
      <c r="K38" s="487">
        <v>45941</v>
      </c>
      <c r="L38" s="658" t="str" cm="1">
        <f t="array" ref="L38">IF($C38="","",INDEX($B$1:$H$1017, $B38, L$1))</f>
        <v>EN LIEN AVEC LES PRETS</v>
      </c>
      <c r="M38" s="663"/>
      <c r="N38" s="291"/>
    </row>
    <row r="39" spans="1:14" ht="30" customHeight="1" x14ac:dyDescent="0.2">
      <c r="A39" s="291"/>
      <c r="B39" s="476">
        <f t="shared" si="1"/>
        <v>39</v>
      </c>
      <c r="C39" s="550" t="s">
        <v>1917</v>
      </c>
      <c r="D39" s="149" t="str" cm="1">
        <f t="array" aca="1" ref="D39" ca="1">MID(CELL("address",InputsData!C124),FIND("]",CELL("address",InputsData!C124))+1,255)</f>
        <v>InputsData'!$C$124</v>
      </c>
      <c r="E39" s="149" t="s">
        <v>1919</v>
      </c>
      <c r="F39" s="149" t="str">
        <f ca="1">TableInstructions[[#This Row],[English Comment]]</f>
        <v>InputsData'!$C$124</v>
      </c>
      <c r="G39" s="149" t="s">
        <v>1918</v>
      </c>
      <c r="H39" s="149" t="str">
        <f ca="1">TableInstructions[[#This Row],[English Comment]]</f>
        <v>InputsData'!$C$124</v>
      </c>
      <c r="I39" s="496">
        <f t="shared" si="3"/>
        <v>3</v>
      </c>
      <c r="J39" s="490" t="s">
        <v>375</v>
      </c>
      <c r="K39" s="487">
        <v>45866</v>
      </c>
      <c r="L39" s="572" t="str" cm="1">
        <f t="array" ref="L39">IF($C39="","",INDEX($B$1:$H$1017, $B39, L$1))</f>
        <v>Intérêt annuel du prêt et période de remboursement</v>
      </c>
      <c r="M39" s="662" t="str" cm="1">
        <f t="array" aca="1" ref="M39" ca="1">IF($D39="","",INDEX($B$1:$H$1017, $B39, M$1))</f>
        <v>InputsData'!$C$124</v>
      </c>
      <c r="N39" s="291"/>
    </row>
    <row r="40" spans="1:14" ht="30" customHeight="1" x14ac:dyDescent="0.2">
      <c r="A40" s="291"/>
      <c r="B40" s="476">
        <f t="shared" si="1"/>
        <v>40</v>
      </c>
      <c r="C40" s="550" t="s">
        <v>2025</v>
      </c>
      <c r="D40" s="149"/>
      <c r="E40" s="149" t="s">
        <v>2038</v>
      </c>
      <c r="F40" s="149"/>
      <c r="G40" s="149" t="s">
        <v>2039</v>
      </c>
      <c r="H40" s="149"/>
      <c r="I40" s="496">
        <f t="shared" si="3"/>
        <v>3</v>
      </c>
      <c r="J40" s="490" t="s">
        <v>375</v>
      </c>
      <c r="K40" s="487">
        <v>45865</v>
      </c>
      <c r="L40" s="658" t="str" cm="1">
        <f t="array" ref="L40">IF($C40="","",INDEX($B$1:$H$1017, $B40, L$1))</f>
        <v>EN LIEN AVEC LA SIMULATION</v>
      </c>
      <c r="M40" s="663"/>
      <c r="N40" s="291"/>
    </row>
    <row r="41" spans="1:14" ht="30" customHeight="1" x14ac:dyDescent="0.2">
      <c r="A41" s="291"/>
      <c r="B41" s="476">
        <f t="shared" si="1"/>
        <v>41</v>
      </c>
      <c r="C41" s="550" t="s">
        <v>1426</v>
      </c>
      <c r="D41" s="149" t="str" cm="1">
        <f t="array" aca="1" ref="D41" ca="1">MID(CELL("address",InputsData!C129),FIND("]",CELL("address",InputsData!C129))+1,255)&amp;CHAR(10)&amp;"Set best/worst case parameters"</f>
        <v>InputsData'!$C$129
Set best/worst case parameters</v>
      </c>
      <c r="E41" s="149" t="s">
        <v>1427</v>
      </c>
      <c r="F41" s="149" t="str" cm="1">
        <f t="array" aca="1" ref="F41" ca="1">MID(CELL("address",InputsData!C129),FIND("]",CELL("address",InputsData!C129))+1,255)&amp;CHAR(10)&amp;"Définir les paramètres du meilleur/pire scénario"</f>
        <v>InputsData'!$C$129
Définir les paramètres du meilleur/pire scénario</v>
      </c>
      <c r="G41" s="149" t="s">
        <v>1428</v>
      </c>
      <c r="H41" s="149" t="str" cm="1">
        <f t="array" aca="1" ref="H41" ca="1">MID(CELL("address",InputsData!C129),FIND("]",CELL("address",InputsData!C129))+1,255)&amp;CHAR(10)&amp;"Stel parameters voor het beste/slechtste geval in"</f>
        <v>InputsData'!$C$129
Stel parameters voor het beste/slechtste geval in</v>
      </c>
      <c r="I41" s="496">
        <f t="shared" si="3"/>
        <v>3</v>
      </c>
      <c r="J41" s="490" t="s">
        <v>375</v>
      </c>
      <c r="K41" s="487">
        <v>45902</v>
      </c>
      <c r="L41" s="572" t="str" cm="1">
        <f t="array" ref="L41">IF($C41="","",INDEX($B$1:$H$1017, $B41, L$1))</f>
        <v>Scenario de simulation</v>
      </c>
      <c r="M41" s="662" t="str" cm="1">
        <f t="array" aca="1" ref="M41" ca="1">IF($D41="","",INDEX($B$1:$H$1017, $B41, M$1))</f>
        <v>InputsData'!$C$129
Définir les paramètres du meilleur/pire scénario</v>
      </c>
      <c r="N41" s="291"/>
    </row>
    <row r="42" spans="1:14" ht="30" customHeight="1" x14ac:dyDescent="0.2">
      <c r="A42" s="291"/>
      <c r="B42" s="476">
        <f t="shared" si="1"/>
        <v>42</v>
      </c>
      <c r="C42" s="550" t="s">
        <v>1476</v>
      </c>
      <c r="D42" s="149" t="s">
        <v>1477</v>
      </c>
      <c r="E42" s="149" t="s">
        <v>1482</v>
      </c>
      <c r="F42" s="149" t="s">
        <v>1483</v>
      </c>
      <c r="G42" s="149" t="s">
        <v>1479</v>
      </c>
      <c r="H42" s="149" t="s">
        <v>1485</v>
      </c>
      <c r="I42" s="496">
        <f t="shared" si="3"/>
        <v>3</v>
      </c>
      <c r="J42" s="490" t="s">
        <v>375</v>
      </c>
      <c r="K42" s="487">
        <v>45902</v>
      </c>
      <c r="L42" s="488" t="str" cm="1">
        <f t="array" ref="L42">IF($C42="","",INDEX($B$1:$H$1017, $B42, L$1))</f>
        <v>Paramètres chiffre d'affaires</v>
      </c>
      <c r="M42" s="662" t="str" cm="1">
        <f t="array" ref="M42">IF($D42="","",INDEX($B$1:$H$1017, $B42, M$1))</f>
        <v>Doit être inférieur à 100 % (dans le pire des cas) et supérieur à 100 % (dans le meilleur des cas)</v>
      </c>
      <c r="N42" s="291"/>
    </row>
    <row r="43" spans="1:14" ht="30" customHeight="1" x14ac:dyDescent="0.2">
      <c r="A43" s="291"/>
      <c r="B43" s="476">
        <f t="shared" si="1"/>
        <v>43</v>
      </c>
      <c r="C43" s="550" t="s">
        <v>1475</v>
      </c>
      <c r="D43" s="149" t="s">
        <v>1478</v>
      </c>
      <c r="E43" s="149" t="s">
        <v>1481</v>
      </c>
      <c r="F43" s="149" t="s">
        <v>1484</v>
      </c>
      <c r="G43" s="149" t="s">
        <v>1480</v>
      </c>
      <c r="H43" s="149" t="s">
        <v>1486</v>
      </c>
      <c r="I43" s="496">
        <f t="shared" si="3"/>
        <v>3</v>
      </c>
      <c r="J43" s="490" t="s">
        <v>375</v>
      </c>
      <c r="K43" s="487">
        <v>45902</v>
      </c>
      <c r="L43" s="488" t="str" cm="1">
        <f t="array" ref="L43">IF($C43="","",INDEX($B$1:$H$1017, $B43, L$1))</f>
        <v>Autres paramètres</v>
      </c>
      <c r="M43" s="662" t="str" cm="1">
        <f t="array" ref="M43">IF($D43="","",INDEX($B$1:$H$1017, $B43, M$1))</f>
        <v>Doit être supérieur à 100 % (dans le pire des cas) et inférieur à 100 % (dans le meilleur des cas)</v>
      </c>
      <c r="N43" s="291"/>
    </row>
    <row r="44" spans="1:14" x14ac:dyDescent="0.2">
      <c r="A44" s="291"/>
      <c r="B44" s="476">
        <f t="shared" si="1"/>
        <v>44</v>
      </c>
      <c r="C44" s="551"/>
      <c r="D44" s="480"/>
      <c r="E44" s="480"/>
      <c r="F44" s="480"/>
      <c r="G44" s="480"/>
      <c r="H44" s="480"/>
      <c r="I44" s="484"/>
      <c r="J44" s="484"/>
      <c r="K44" s="485"/>
      <c r="L44" s="568"/>
      <c r="M44" s="663"/>
      <c r="N44" s="291"/>
    </row>
    <row r="45" spans="1:14" ht="14" x14ac:dyDescent="0.2">
      <c r="A45" s="291"/>
      <c r="B45" s="476">
        <f t="shared" si="1"/>
        <v>45</v>
      </c>
      <c r="C45" s="550" t="s">
        <v>1279</v>
      </c>
      <c r="D45" s="149"/>
      <c r="E45" s="149" t="s">
        <v>1256</v>
      </c>
      <c r="F45" s="149"/>
      <c r="G45" s="149" t="s">
        <v>1260</v>
      </c>
      <c r="H45" s="149"/>
      <c r="I45" s="496">
        <f>I19+1</f>
        <v>4</v>
      </c>
      <c r="J45" s="489" t="s">
        <v>313</v>
      </c>
      <c r="K45" s="487">
        <v>45925</v>
      </c>
      <c r="L45" s="569" t="str" cm="1">
        <f t="array" ref="L45">IF($C45="","",INDEX($B$1:$H$1017, $B45, L$1))</f>
        <v>REMPLIR LES CELLULES EN JAUNE</v>
      </c>
      <c r="M45" s="662" t="str" cm="1">
        <f t="array" ref="M45">IF($D45="","",INDEX($B$1:$H$1017, $B45, M$1))</f>
        <v/>
      </c>
      <c r="N45" s="291"/>
    </row>
    <row r="46" spans="1:14" ht="30" customHeight="1" x14ac:dyDescent="0.2">
      <c r="A46" s="291"/>
      <c r="B46" s="476">
        <f t="shared" si="1"/>
        <v>46</v>
      </c>
      <c r="C46" s="550" t="s">
        <v>1759</v>
      </c>
      <c r="D46" s="149"/>
      <c r="E46" s="149" t="s">
        <v>1760</v>
      </c>
      <c r="F46" s="149"/>
      <c r="G46" s="149" t="s">
        <v>1761</v>
      </c>
      <c r="H46" s="149"/>
      <c r="I46" s="496">
        <f>I45</f>
        <v>4</v>
      </c>
      <c r="J46" s="490" t="s">
        <v>313</v>
      </c>
      <c r="K46" s="487">
        <v>45925</v>
      </c>
      <c r="L46" s="658" t="str" cm="1">
        <f t="array" ref="L46">IF($C46="","",INDEX($B$1:$H$1017, $B46, L$1))</f>
        <v>UN PRODUIT - UNE GAMME - UN CANAL DE DISTRIBUTION</v>
      </c>
      <c r="M46" s="663" t="str" cm="1">
        <f t="array" ref="M46">IF($D46="","",INDEX($B$1:$H$1017, $B46, M$1))</f>
        <v/>
      </c>
      <c r="N46" s="291"/>
    </row>
    <row r="47" spans="1:14" ht="30" customHeight="1" x14ac:dyDescent="0.2">
      <c r="A47" s="291"/>
      <c r="B47" s="476">
        <f t="shared" si="1"/>
        <v>47</v>
      </c>
      <c r="C47" s="550" t="s">
        <v>1746</v>
      </c>
      <c r="D47" s="149" t="s">
        <v>1747</v>
      </c>
      <c r="E47" s="149" t="s">
        <v>1769</v>
      </c>
      <c r="F47" s="149" t="s">
        <v>1749</v>
      </c>
      <c r="G47" s="149" t="s">
        <v>1770</v>
      </c>
      <c r="H47" s="149" t="s">
        <v>1748</v>
      </c>
      <c r="I47" s="496">
        <f t="shared" ref="I47:I65" si="6">I46</f>
        <v>4</v>
      </c>
      <c r="J47" s="490" t="s">
        <v>313</v>
      </c>
      <c r="K47" s="487">
        <v>45925</v>
      </c>
      <c r="L47" s="488" t="str" cm="1">
        <f t="array" ref="L47">IF($C47="","",INDEX($B$1:$H$1017, $B47, L$1))</f>
        <v>Étapes à suivre pour chaque produit et chaque service défini dans la feuille « InputsData »</v>
      </c>
      <c r="M47" s="662" t="str" cm="1">
        <f t="array" ref="M47">IF($D47="","",INDEX($B$1:$H$1017, $B47, M$1))</f>
        <v>Filtrez la colonne (REF) en sélectionnant « 1 » dans la cellule E7</v>
      </c>
      <c r="N47" s="291"/>
    </row>
    <row r="48" spans="1:14" ht="30" customHeight="1" x14ac:dyDescent="0.2">
      <c r="A48" s="291"/>
      <c r="B48" s="476">
        <f t="shared" si="1"/>
        <v>48</v>
      </c>
      <c r="C48" s="550" t="s">
        <v>1784</v>
      </c>
      <c r="D48" s="149" t="s">
        <v>1750</v>
      </c>
      <c r="E48" s="149" t="s">
        <v>1787</v>
      </c>
      <c r="F48" s="149" t="s">
        <v>1753</v>
      </c>
      <c r="G48" s="149" t="s">
        <v>1771</v>
      </c>
      <c r="H48" s="149" t="s">
        <v>1756</v>
      </c>
      <c r="I48" s="496">
        <f t="shared" si="6"/>
        <v>4</v>
      </c>
      <c r="J48" s="490" t="s">
        <v>313</v>
      </c>
      <c r="K48" s="487">
        <v>45925</v>
      </c>
      <c r="L48" s="660" t="str" cm="1">
        <f t="array" ref="L48">IF($C48="","",INDEX($B$1:$H$1017, $B48, L$1))</f>
        <v>1. Saisissez le prix unitaire moyen par an. Le prix peut varier chaque année. Veuillez noter que les prix s'entendent hors TVA et en devise locale.</v>
      </c>
      <c r="M48" s="662" t="str" cm="1">
        <f t="array" ref="M48">IF($D48="","",INDEX($B$1:$H$1017, $B48, M$1))</f>
        <v>Colonne RevenueData'!L</v>
      </c>
      <c r="N48" s="291"/>
    </row>
    <row r="49" spans="1:14" ht="30" customHeight="1" x14ac:dyDescent="0.2">
      <c r="A49" s="291"/>
      <c r="B49" s="476">
        <f t="shared" si="1"/>
        <v>49</v>
      </c>
      <c r="C49" s="550" t="s">
        <v>1785</v>
      </c>
      <c r="D49" s="149" t="s">
        <v>1751</v>
      </c>
      <c r="E49" s="149" t="s">
        <v>1788</v>
      </c>
      <c r="F49" s="149" t="s">
        <v>1754</v>
      </c>
      <c r="G49" s="149" t="s">
        <v>1772</v>
      </c>
      <c r="H49" s="149" t="s">
        <v>1757</v>
      </c>
      <c r="I49" s="496">
        <f t="shared" si="6"/>
        <v>4</v>
      </c>
      <c r="J49" s="490" t="s">
        <v>313</v>
      </c>
      <c r="K49" s="487">
        <v>45925</v>
      </c>
      <c r="L49" s="660" t="str" cm="1">
        <f t="array" ref="L49">IF($C49="","",INDEX($B$1:$H$1017, $B49, L$1))</f>
        <v>2. Saisissez le coût moyen des ventes par unité et par an. Le coût peut varier chaque année.</v>
      </c>
      <c r="M49" s="662" t="str" cm="1">
        <f t="array" ref="M49">IF($D49="","",INDEX($B$1:$H$1017, $B49, M$1))</f>
        <v>Colonne RevenueData'!S</v>
      </c>
      <c r="N49" s="291"/>
    </row>
    <row r="50" spans="1:14" ht="30" customHeight="1" x14ac:dyDescent="0.2">
      <c r="A50" s="291"/>
      <c r="B50" s="476">
        <f t="shared" si="1"/>
        <v>50</v>
      </c>
      <c r="C50" s="550" t="s">
        <v>1786</v>
      </c>
      <c r="D50" s="149" t="s">
        <v>1752</v>
      </c>
      <c r="E50" s="149" t="s">
        <v>1789</v>
      </c>
      <c r="F50" s="149" t="s">
        <v>1755</v>
      </c>
      <c r="G50" s="149" t="s">
        <v>1745</v>
      </c>
      <c r="H50" s="149" t="s">
        <v>1758</v>
      </c>
      <c r="I50" s="496">
        <f t="shared" si="6"/>
        <v>4</v>
      </c>
      <c r="J50" s="490" t="s">
        <v>313</v>
      </c>
      <c r="K50" s="487">
        <v>45925</v>
      </c>
      <c r="L50" s="660" t="str" cm="1">
        <f t="array" ref="L50">IF($C50="","",INDEX($B$1:$H$1017, $B50, L$1))</f>
        <v>3. Saisissez la quantité par trimestre ou par an.</v>
      </c>
      <c r="M50" s="662" t="str" cm="1">
        <f t="array" ref="M50">IF($D50="","",INDEX($B$1:$H$1017, $B50, M$1))</f>
        <v>Colonne RevenueData'!AE:AI</v>
      </c>
      <c r="N50" s="291"/>
    </row>
    <row r="51" spans="1:14" ht="30" customHeight="1" x14ac:dyDescent="0.2">
      <c r="A51" s="291"/>
      <c r="B51" s="476">
        <f t="shared" si="1"/>
        <v>51</v>
      </c>
      <c r="C51" s="550" t="s">
        <v>1796</v>
      </c>
      <c r="D51" s="149"/>
      <c r="E51" s="149" t="s">
        <v>1797</v>
      </c>
      <c r="F51" s="149"/>
      <c r="G51" s="149" t="s">
        <v>1798</v>
      </c>
      <c r="H51" s="149"/>
      <c r="I51" s="496">
        <f t="shared" si="6"/>
        <v>4</v>
      </c>
      <c r="J51" s="490" t="s">
        <v>313</v>
      </c>
      <c r="K51" s="487">
        <v>45925</v>
      </c>
      <c r="L51" s="658" t="str" cm="1">
        <f t="array" ref="L51">IF($C51="","",INDEX($B$1:$H$1017, $B51, L$1))</f>
        <v>UN PRODUIT - TROIS GAMMES - DEUX CANAUX DE DISTRIBUTION !!!!!!! FACULTATIF !!!!!!!</v>
      </c>
      <c r="M51" s="663" t="str" cm="1">
        <f t="array" ref="M51">IF($D51="","",INDEX($B$1:$H$1017, $B51, M$1))</f>
        <v/>
      </c>
      <c r="N51" s="291"/>
    </row>
    <row r="52" spans="1:14" ht="30" customHeight="1" x14ac:dyDescent="0.2">
      <c r="A52" s="291"/>
      <c r="B52" s="476">
        <f t="shared" si="1"/>
        <v>52</v>
      </c>
      <c r="C52" s="550" t="s">
        <v>1805</v>
      </c>
      <c r="D52" s="149" t="s">
        <v>1747</v>
      </c>
      <c r="E52" s="149" t="s">
        <v>1806</v>
      </c>
      <c r="F52" s="149" t="s">
        <v>1749</v>
      </c>
      <c r="G52" s="149" t="s">
        <v>1807</v>
      </c>
      <c r="H52" s="149" t="s">
        <v>1748</v>
      </c>
      <c r="I52" s="496">
        <f t="shared" si="6"/>
        <v>4</v>
      </c>
      <c r="J52" s="490" t="s">
        <v>313</v>
      </c>
      <c r="K52" s="487">
        <v>45925</v>
      </c>
      <c r="L52" s="488" t="str" cm="1">
        <f t="array" ref="L52">IF($C52="","",INDEX($B$1:$H$1017, $B52, L$1))</f>
        <v>Étapes à suivre pour chaque produit et chaque service défini dans la feuille « InputsData »
Vous devrez peut-être afficher certaines colonnes (cliquez sur « + » en haut de l'en-tête de colonne).</v>
      </c>
      <c r="M52" s="662" t="str" cm="1">
        <f t="array" ref="M52">IF($D52="","",INDEX($B$1:$H$1017, $B52, M$1))</f>
        <v>Filtrez la colonne (REF) en sélectionnant « 1 » dans la cellule E7</v>
      </c>
      <c r="N52" s="291"/>
    </row>
    <row r="53" spans="1:14" ht="30" customHeight="1" x14ac:dyDescent="0.2">
      <c r="A53" s="291"/>
      <c r="B53" s="476">
        <f t="shared" si="1"/>
        <v>53</v>
      </c>
      <c r="C53" s="550" t="s">
        <v>1767</v>
      </c>
      <c r="D53" s="149" t="s">
        <v>1762</v>
      </c>
      <c r="E53" s="149" t="s">
        <v>1790</v>
      </c>
      <c r="F53" s="149" t="s">
        <v>1780</v>
      </c>
      <c r="G53" s="149" t="s">
        <v>1773</v>
      </c>
      <c r="H53" s="149" t="s">
        <v>1776</v>
      </c>
      <c r="I53" s="496">
        <f t="shared" si="6"/>
        <v>4</v>
      </c>
      <c r="J53" s="490" t="s">
        <v>313</v>
      </c>
      <c r="K53" s="487">
        <v>45925</v>
      </c>
      <c r="L53" s="660" t="str" cm="1">
        <f t="array" ref="L53">IF($C53="","",INDEX($B$1:$H$1017, $B53, L$1))</f>
        <v>1. Saisissez le prix unitaire moyen par an pour les GAMMES 1, 2 et 3. Le prix peut varier chaque année.  Veuillez noter que les prix s'entendent hors TVA et en monnaie locale</v>
      </c>
      <c r="M53" s="662" t="str" cm="1">
        <f t="array" ref="M53">IF($D53="","",INDEX($B$1:$H$1017, $B53, M$1))</f>
        <v>Colonne RevenueData'!L:N</v>
      </c>
      <c r="N53" s="291"/>
    </row>
    <row r="54" spans="1:14" ht="30" customHeight="1" x14ac:dyDescent="0.2">
      <c r="A54" s="291"/>
      <c r="B54" s="476">
        <f t="shared" si="1"/>
        <v>54</v>
      </c>
      <c r="C54" s="550" t="s">
        <v>1768</v>
      </c>
      <c r="D54" s="149" t="s">
        <v>1763</v>
      </c>
      <c r="E54" s="149" t="s">
        <v>1791</v>
      </c>
      <c r="F54" s="149" t="s">
        <v>1781</v>
      </c>
      <c r="G54" s="149" t="s">
        <v>1774</v>
      </c>
      <c r="H54" s="149" t="s">
        <v>1777</v>
      </c>
      <c r="I54" s="496">
        <f t="shared" si="6"/>
        <v>4</v>
      </c>
      <c r="J54" s="490" t="s">
        <v>313</v>
      </c>
      <c r="K54" s="487">
        <v>45925</v>
      </c>
      <c r="L54" s="660" t="str" cm="1">
        <f t="array" ref="L54">IF($C54="","",INDEX($B$1:$H$1017, $B54, L$1))</f>
        <v>2. Saisissez le pourcentage de volume (mix) pour chaque gamme (GAMME 1, GAMME 2, GAMME 3) par produit et par an. Le calcul est effectué automatiquement pour la GAMME 3</v>
      </c>
      <c r="M54" s="662" t="str" cm="1">
        <f t="array" ref="M54">IF($D54="","",INDEX($B$1:$H$1017, $B54, M$1))</f>
        <v>Colonne RevenueData'!P:R</v>
      </c>
      <c r="N54" s="291"/>
    </row>
    <row r="55" spans="1:14" ht="30" customHeight="1" x14ac:dyDescent="0.2">
      <c r="A55" s="291"/>
      <c r="B55" s="476">
        <f t="shared" si="1"/>
        <v>55</v>
      </c>
      <c r="C55" s="550" t="s">
        <v>1766</v>
      </c>
      <c r="D55" s="149" t="s">
        <v>1764</v>
      </c>
      <c r="E55" s="149" t="s">
        <v>1792</v>
      </c>
      <c r="F55" s="149" t="s">
        <v>1782</v>
      </c>
      <c r="G55" s="149" t="s">
        <v>1775</v>
      </c>
      <c r="H55" s="149" t="s">
        <v>1778</v>
      </c>
      <c r="I55" s="496">
        <f t="shared" si="6"/>
        <v>4</v>
      </c>
      <c r="J55" s="490" t="s">
        <v>313</v>
      </c>
      <c r="K55" s="487">
        <v>45925</v>
      </c>
      <c r="L55" s="660" t="str" cm="1">
        <f t="array" ref="L55">IF($C55="","",INDEX($B$1:$H$1017, $B55, L$1))</f>
        <v>3. Saisissez le coût des ventes (COGS) par unité et par an pour les GAMMES 1, 2 et 3. Le coût peut varier chaque année</v>
      </c>
      <c r="M55" s="662" t="str" cm="1">
        <f t="array" ref="M55">IF($D55="","",INDEX($B$1:$H$1017, $B55, M$1))</f>
        <v>Colonne RevenueData'!S:U</v>
      </c>
      <c r="N55" s="291"/>
    </row>
    <row r="56" spans="1:14" ht="30" customHeight="1" x14ac:dyDescent="0.2">
      <c r="A56" s="291"/>
      <c r="B56" s="476">
        <f t="shared" si="1"/>
        <v>56</v>
      </c>
      <c r="C56" s="550" t="s">
        <v>1804</v>
      </c>
      <c r="D56" s="149" t="s">
        <v>1765</v>
      </c>
      <c r="E56" s="149" t="s">
        <v>1802</v>
      </c>
      <c r="F56" s="149" t="s">
        <v>1783</v>
      </c>
      <c r="G56" s="149" t="s">
        <v>1803</v>
      </c>
      <c r="H56" s="149" t="s">
        <v>1779</v>
      </c>
      <c r="I56" s="496">
        <f t="shared" si="6"/>
        <v>4</v>
      </c>
      <c r="J56" s="490" t="s">
        <v>313</v>
      </c>
      <c r="K56" s="487">
        <v>45925</v>
      </c>
      <c r="L56" s="660" t="str" cm="1">
        <f t="array" ref="L56">IF($C56="","",INDEX($B$1:$H$1017, $B56, L$1))</f>
        <v>4. Pour la distribution par canal, Saisissez le pourcentage en volume (mix) de la GAMME 1, la GAMME 2 et la GAMME 3 pour le CHANNEL 1.  Le calcul (la différence) est effectué automatiquement pour le CANAL 2</v>
      </c>
      <c r="M56" s="662" t="str" cm="1">
        <f t="array" ref="M56">IF($D56="","",INDEX($B$1:$H$1017, $B56, M$1))</f>
        <v>Colonne RevenueData'!W:AB</v>
      </c>
      <c r="N56" s="291"/>
    </row>
    <row r="57" spans="1:14" ht="30" customHeight="1" x14ac:dyDescent="0.2">
      <c r="A57" s="291"/>
      <c r="B57" s="476">
        <f t="shared" si="1"/>
        <v>57</v>
      </c>
      <c r="C57" s="550" t="s">
        <v>1794</v>
      </c>
      <c r="D57" s="149" t="s">
        <v>1752</v>
      </c>
      <c r="E57" s="149" t="s">
        <v>1793</v>
      </c>
      <c r="F57" s="149" t="s">
        <v>1755</v>
      </c>
      <c r="G57" s="149" t="s">
        <v>1795</v>
      </c>
      <c r="H57" s="149" t="s">
        <v>1758</v>
      </c>
      <c r="I57" s="496">
        <f t="shared" si="6"/>
        <v>4</v>
      </c>
      <c r="J57" s="490" t="s">
        <v>313</v>
      </c>
      <c r="K57" s="487">
        <v>45925</v>
      </c>
      <c r="L57" s="660" t="str" cm="1">
        <f t="array" ref="L57">IF($C57="","",INDEX($B$1:$H$1017, $B57, L$1))</f>
        <v>5. Saisissez les quantités par produit et par trimestre ou par an</v>
      </c>
      <c r="M57" s="662" t="str" cm="1">
        <f t="array" ref="M57">IF($D57="","",INDEX($B$1:$H$1017, $B57, M$1))</f>
        <v>Colonne RevenueData'!AE:AI</v>
      </c>
      <c r="N57" s="291"/>
    </row>
    <row r="58" spans="1:14" ht="30" customHeight="1" x14ac:dyDescent="0.2">
      <c r="A58" s="291"/>
      <c r="B58" s="476">
        <f t="shared" si="1"/>
        <v>58</v>
      </c>
      <c r="C58" s="550" t="s">
        <v>1289</v>
      </c>
      <c r="D58" s="149"/>
      <c r="E58" s="149" t="s">
        <v>275</v>
      </c>
      <c r="F58" s="149"/>
      <c r="G58" s="149" t="s">
        <v>1290</v>
      </c>
      <c r="H58" s="149"/>
      <c r="I58" s="496">
        <f t="shared" si="6"/>
        <v>4</v>
      </c>
      <c r="J58" s="490" t="s">
        <v>313</v>
      </c>
      <c r="K58" s="487">
        <v>45925</v>
      </c>
      <c r="L58" s="658" t="str" cm="1">
        <f t="array" ref="L58">IF($C58="","",INDEX($B$1:$H$1017, $B58, L$1))</f>
        <v>MARGE ET COUT DES PRODUITS</v>
      </c>
      <c r="M58" s="663" t="str" cm="1">
        <f t="array" ref="M58">IF($D58="","",INDEX($B$1:$H$1017, $B58, M$1))</f>
        <v/>
      </c>
      <c r="N58" s="291"/>
    </row>
    <row r="59" spans="1:14" ht="57" customHeight="1" x14ac:dyDescent="0.2">
      <c r="A59" s="291"/>
      <c r="B59" s="476">
        <f t="shared" si="1"/>
        <v>59</v>
      </c>
      <c r="C59" s="550" t="s">
        <v>1291</v>
      </c>
      <c r="D59" s="149"/>
      <c r="E59" s="149" t="s">
        <v>157</v>
      </c>
      <c r="F59" s="149"/>
      <c r="G59" s="149" t="s">
        <v>1292</v>
      </c>
      <c r="H59" s="149"/>
      <c r="I59" s="496">
        <f t="shared" si="6"/>
        <v>4</v>
      </c>
      <c r="J59" s="490" t="s">
        <v>313</v>
      </c>
      <c r="K59" s="487">
        <v>45925</v>
      </c>
      <c r="L59" s="488" t="str" cm="1">
        <f t="array" ref="L59">IF($C59="","",INDEX($B$1:$H$1017, $B59, L$1))</f>
        <v>Par souci de simplification, nous ne prenons en compte que le coût d'achat (dans le cas d'un produit) ou le coût matériel de l'utilisation des matières premières pour les transformer en un produit semi-fini ou fini (incluant éventuellement le coût de l'emballage non consigné).  Les autres coûts générés comme le travail et l'énergie utilisée, nous les calculerons dans l'étape suivante de la liste des dépenses opérationnelles.</v>
      </c>
      <c r="M59" s="662" t="str" cm="1">
        <f t="array" ref="M59">IF($D59="","",INDEX($B$1:$H$1017, $B59, M$1))</f>
        <v/>
      </c>
      <c r="N59" s="291"/>
    </row>
    <row r="60" spans="1:14" ht="30" customHeight="1" x14ac:dyDescent="0.2">
      <c r="A60" s="291"/>
      <c r="B60" s="476">
        <f t="shared" si="1"/>
        <v>60</v>
      </c>
      <c r="C60" s="550" t="s">
        <v>1293</v>
      </c>
      <c r="D60" s="149"/>
      <c r="E60" s="149" t="s">
        <v>276</v>
      </c>
      <c r="F60" s="149"/>
      <c r="G60" s="149" t="s">
        <v>1294</v>
      </c>
      <c r="H60" s="149"/>
      <c r="I60" s="496">
        <f t="shared" si="6"/>
        <v>4</v>
      </c>
      <c r="J60" s="490" t="s">
        <v>313</v>
      </c>
      <c r="K60" s="487">
        <v>45925</v>
      </c>
      <c r="L60" s="658" t="str" cm="1">
        <f t="array" ref="L60">IF($C60="","",INDEX($B$1:$H$1017, $B60, L$1))</f>
        <v>MARGE ET COUT DES SERVICES</v>
      </c>
      <c r="M60" s="663" t="str" cm="1">
        <f t="array" ref="M60">IF($D60="","",INDEX($B$1:$H$1017, $B60, M$1))</f>
        <v/>
      </c>
      <c r="N60" s="291"/>
    </row>
    <row r="61" spans="1:14" ht="57" customHeight="1" x14ac:dyDescent="0.2">
      <c r="A61" s="291"/>
      <c r="B61" s="476">
        <f t="shared" si="1"/>
        <v>61</v>
      </c>
      <c r="C61" s="550" t="s">
        <v>1295</v>
      </c>
      <c r="D61" s="149"/>
      <c r="E61" s="149" t="s">
        <v>158</v>
      </c>
      <c r="F61" s="149"/>
      <c r="G61" s="149" t="s">
        <v>1296</v>
      </c>
      <c r="H61" s="149"/>
      <c r="I61" s="496">
        <f t="shared" si="6"/>
        <v>4</v>
      </c>
      <c r="J61" s="490" t="s">
        <v>313</v>
      </c>
      <c r="K61" s="487">
        <v>45925</v>
      </c>
      <c r="L61" s="488" t="str" cm="1">
        <f t="array" ref="L61">IF($C61="","",INDEX($B$1:$H$1017, $B61, L$1))</f>
        <v>Dans le cas d'un service, nous ne calculons ni un coût de vente ni un coût de production, de sorte que la marge brute d'un service sera égale au revenu. Tous les coûts réalisés dans l'entreprise seront calculés dans la liste des dépenses opérationnelles.  Néanmoins, dans le cas où des commissions ou redevances extérieures sont payées, il y a lieu de les indiquer dans le cout des services.</v>
      </c>
      <c r="M61" s="662" t="str" cm="1">
        <f t="array" ref="M61">IF($D61="","",INDEX($B$1:$H$1017, $B61, M$1))</f>
        <v/>
      </c>
      <c r="N61" s="291"/>
    </row>
    <row r="62" spans="1:14" ht="30" customHeight="1" x14ac:dyDescent="0.2">
      <c r="A62" s="291"/>
      <c r="B62" s="476">
        <f t="shared" si="1"/>
        <v>62</v>
      </c>
      <c r="C62" s="550" t="s">
        <v>1297</v>
      </c>
      <c r="D62" s="149"/>
      <c r="E62" s="149" t="s">
        <v>160</v>
      </c>
      <c r="F62" s="149"/>
      <c r="G62" s="149" t="s">
        <v>1298</v>
      </c>
      <c r="H62" s="149"/>
      <c r="I62" s="496">
        <f t="shared" si="6"/>
        <v>4</v>
      </c>
      <c r="J62" s="490" t="s">
        <v>313</v>
      </c>
      <c r="K62" s="487">
        <v>45925</v>
      </c>
      <c r="L62" s="658" t="str" cm="1">
        <f t="array" ref="L62">IF($C62="","",INDEX($B$1:$H$1017, $B62, L$1))</f>
        <v>PRIX UNITAIRE DE VENTE DES PRODUITS</v>
      </c>
      <c r="M62" s="663" t="str" cm="1">
        <f t="array" ref="M62">IF($D62="","",INDEX($B$1:$H$1017, $B62, M$1))</f>
        <v/>
      </c>
      <c r="N62" s="291"/>
    </row>
    <row r="63" spans="1:14" ht="69.75" customHeight="1" x14ac:dyDescent="0.2">
      <c r="A63" s="291"/>
      <c r="B63" s="476">
        <f t="shared" si="1"/>
        <v>63</v>
      </c>
      <c r="C63" s="550" t="s">
        <v>1799</v>
      </c>
      <c r="D63" s="149"/>
      <c r="E63" s="149" t="s">
        <v>1800</v>
      </c>
      <c r="F63" s="149"/>
      <c r="G63" s="149" t="s">
        <v>1801</v>
      </c>
      <c r="H63" s="149"/>
      <c r="I63" s="496">
        <f t="shared" si="6"/>
        <v>4</v>
      </c>
      <c r="J63" s="490" t="s">
        <v>313</v>
      </c>
      <c r="K63" s="487">
        <v>45925</v>
      </c>
      <c r="L63" s="488" t="str" cm="1">
        <f t="array" ref="L63">IF($C63="","",INDEX($B$1:$H$1017, $B63, L$1))</f>
        <v>Proposition de calcul du prix unitaire de vente d'un produit : 
  1. Faites la somme (1) des matières premières ou parties consommées, (2) le nombre d'heures de travail pour arriver à un produit final multiplié par le salaire horaire et (3) le cas échéant, les coûts d'énergie consommés.
  2. Multipliez cette somme par un facteur entre de 1,5 à 2 afin d'obtenir votre prix de vente.</v>
      </c>
      <c r="M63" s="662" t="str" cm="1">
        <f t="array" ref="M63">IF($D63="","",INDEX($B$1:$H$1017, $B63, M$1))</f>
        <v/>
      </c>
      <c r="N63" s="291"/>
    </row>
    <row r="64" spans="1:14" ht="14" x14ac:dyDescent="0.2">
      <c r="A64" s="291"/>
      <c r="B64" s="476">
        <f t="shared" si="1"/>
        <v>64</v>
      </c>
      <c r="C64" s="550" t="s">
        <v>1299</v>
      </c>
      <c r="D64" s="149"/>
      <c r="E64" s="149" t="s">
        <v>159</v>
      </c>
      <c r="F64" s="149"/>
      <c r="G64" s="149" t="s">
        <v>1300</v>
      </c>
      <c r="H64" s="149"/>
      <c r="I64" s="496">
        <f t="shared" si="6"/>
        <v>4</v>
      </c>
      <c r="J64" s="490" t="s">
        <v>313</v>
      </c>
      <c r="K64" s="487">
        <v>45925</v>
      </c>
      <c r="L64" s="488" t="str" cm="1">
        <f t="array" ref="L64">IF($C64="","",INDEX($B$1:$H$1017, $B64, L$1))</f>
        <v>Pour finir, comparez si possible votre prix de vente calculé avec les prix actuels du marché</v>
      </c>
      <c r="M64" s="662" t="str" cm="1">
        <f t="array" ref="M64">IF($D64="","",INDEX($B$1:$H$1017, $B64, M$1))</f>
        <v/>
      </c>
      <c r="N64" s="291"/>
    </row>
    <row r="65" spans="1:14" ht="14" x14ac:dyDescent="0.2">
      <c r="A65" s="291"/>
      <c r="B65" s="476">
        <f t="shared" si="1"/>
        <v>65</v>
      </c>
      <c r="C65" s="550"/>
      <c r="D65" s="149"/>
      <c r="E65" s="149"/>
      <c r="F65" s="149"/>
      <c r="G65" s="149"/>
      <c r="H65" s="149"/>
      <c r="I65" s="496">
        <f t="shared" si="6"/>
        <v>4</v>
      </c>
      <c r="J65" s="490" t="s">
        <v>313</v>
      </c>
      <c r="K65" s="487">
        <v>45925</v>
      </c>
      <c r="L65" s="488" t="str" cm="1">
        <f t="array" ref="L65">IF($C65="","",INDEX($B$1:$H$1017, $B65, L$1))</f>
        <v/>
      </c>
      <c r="M65" s="662" t="str" cm="1">
        <f t="array" ref="M65">IF($D65="","",INDEX($B$1:$H$1017, $B65, M$1))</f>
        <v/>
      </c>
      <c r="N65" s="291"/>
    </row>
    <row r="66" spans="1:14" x14ac:dyDescent="0.2">
      <c r="A66" s="291"/>
      <c r="B66" s="476">
        <f t="shared" si="1"/>
        <v>66</v>
      </c>
      <c r="C66" s="551"/>
      <c r="D66" s="480"/>
      <c r="E66" s="480"/>
      <c r="F66" s="480"/>
      <c r="G66" s="480"/>
      <c r="H66" s="480"/>
      <c r="I66" s="484"/>
      <c r="J66" s="484"/>
      <c r="K66" s="485"/>
      <c r="L66" s="568"/>
      <c r="M66" s="663"/>
      <c r="N66" s="291"/>
    </row>
    <row r="67" spans="1:14" ht="42" x14ac:dyDescent="0.2">
      <c r="A67" s="291"/>
      <c r="B67" s="476">
        <f t="shared" si="1"/>
        <v>67</v>
      </c>
      <c r="C67" s="550" t="s">
        <v>1301</v>
      </c>
      <c r="D67" s="149"/>
      <c r="E67" s="149" t="s">
        <v>1302</v>
      </c>
      <c r="F67" s="149"/>
      <c r="G67" s="149" t="s">
        <v>1303</v>
      </c>
      <c r="H67" s="149"/>
      <c r="I67" s="496">
        <f>I45+1</f>
        <v>5</v>
      </c>
      <c r="J67" s="489" t="s">
        <v>313</v>
      </c>
      <c r="K67" s="487">
        <v>45898</v>
      </c>
      <c r="L67" s="659" t="str" cm="1">
        <f t="array" ref="L67">IF($C67="","",INDEX($B$1:$H$1017, $B67, L$1))</f>
        <v>Une fois les données saisies ou mises à jour dans la feuille "RevenueCA", il est indispensable de rafraîchir les tableaux dynamiques afin qu’ils reflètent les dernières informations. Sans cette actualisation, les tableaux risquent d’afficher des données obsolètes.</v>
      </c>
      <c r="M67" s="662" t="str" cm="1">
        <f t="array" ref="M67">IF($D67="","",INDEX($B$1:$H$1017, $B67, M$1))</f>
        <v/>
      </c>
      <c r="N67" s="291"/>
    </row>
    <row r="68" spans="1:14" ht="42" x14ac:dyDescent="0.2">
      <c r="A68" s="291"/>
      <c r="B68" s="476">
        <f t="shared" si="1"/>
        <v>68</v>
      </c>
      <c r="C68" s="550" t="s">
        <v>1413</v>
      </c>
      <c r="D68" s="149" t="str" cm="1">
        <f t="array" aca="1" ref="D68" ca="1">MID(CELL("address",RevenueData!G1),FIND("]",CELL("address",RevenueData!G1))+1,255)</f>
        <v>RevenueData'!$G$1</v>
      </c>
      <c r="E68" s="149" t="s">
        <v>1411</v>
      </c>
      <c r="F68" s="149" t="str">
        <f ca="1">TableInstructions[[#This Row],[English Comment]]</f>
        <v>RevenueData'!$G$1</v>
      </c>
      <c r="G68" s="149" t="s">
        <v>1416</v>
      </c>
      <c r="H68" s="149" t="str">
        <f ca="1">TableInstructions[[#This Row],[English Comment]]</f>
        <v>RevenueData'!$G$1</v>
      </c>
      <c r="I68" s="496">
        <f>I67</f>
        <v>5</v>
      </c>
      <c r="J68" s="490" t="s">
        <v>313</v>
      </c>
      <c r="K68" s="487">
        <v>45898</v>
      </c>
      <c r="L68" s="665" t="str" cm="1">
        <f t="array" ref="L68">IF($C68="","",INDEX($B$1:$H$1017, $B68, L$1))</f>
        <v>🔄 Actualisation des tableaux dynamiques
Cliquez sur le bouton "Refresh All Pivots" dans la feuille "RevenueData"
Cela garantit que les tableaux affichent les données les plus récentes</v>
      </c>
      <c r="M68" s="662" t="str" cm="1">
        <f t="array" aca="1" ref="M68" ca="1">IF($D68="","",INDEX($B$1:$H$1017, $B68, M$1))</f>
        <v>RevenueData'!$G$1</v>
      </c>
      <c r="N68" s="291"/>
    </row>
    <row r="69" spans="1:14" x14ac:dyDescent="0.2">
      <c r="A69" s="291"/>
      <c r="B69" s="476">
        <f t="shared" si="1"/>
        <v>69</v>
      </c>
      <c r="C69" s="551"/>
      <c r="D69" s="480"/>
      <c r="E69" s="480"/>
      <c r="F69" s="480"/>
      <c r="G69" s="480"/>
      <c r="H69" s="480"/>
      <c r="I69" s="484"/>
      <c r="J69" s="484"/>
      <c r="K69" s="485"/>
      <c r="L69" s="568"/>
      <c r="M69" s="663"/>
      <c r="N69" s="291"/>
    </row>
    <row r="70" spans="1:14" ht="28" x14ac:dyDescent="0.2">
      <c r="A70" s="291"/>
      <c r="B70" s="476">
        <f t="shared" si="1"/>
        <v>70</v>
      </c>
      <c r="C70" s="550" t="s">
        <v>1454</v>
      </c>
      <c r="D70" s="149" t="str" cm="1">
        <f t="array" aca="1" ref="D70" ca="1">MID(CELL("address",RevenuePivot!D7),FIND("]",CELL("address",RevenuePivot!D7))+1,255)</f>
        <v>RevenuePivot'!$D$7</v>
      </c>
      <c r="E70" s="149" t="s">
        <v>1455</v>
      </c>
      <c r="F70" s="149" t="str">
        <f ca="1">TableInstructions[[#This Row],[English Comment]]</f>
        <v>RevenuePivot'!$D$7</v>
      </c>
      <c r="G70" s="149" t="s">
        <v>1456</v>
      </c>
      <c r="H70" s="149" t="str">
        <f ca="1">TableInstructions[[#This Row],[English Comment]]</f>
        <v>RevenuePivot'!$D$7</v>
      </c>
      <c r="I70" s="496">
        <f>I67+1</f>
        <v>6</v>
      </c>
      <c r="J70" s="492" t="s">
        <v>314</v>
      </c>
      <c r="K70" s="487">
        <v>45898</v>
      </c>
      <c r="L70" s="665" t="str" cm="1">
        <f t="array" ref="L70">IF($C70="","",INDEX($B$1:$H$1017, $B70, L$1))</f>
        <v>Les tableaux croisés dynamiques en devise locale sont mis à jour automatiquement après avoir cliqué sur le bouton "Refresh All Pivots" dans la feuille "RevenueData"</v>
      </c>
      <c r="M70" s="662" t="str" cm="1">
        <f t="array" aca="1" ref="M70" ca="1">IF($D70="","",INDEX($B$1:$H$1017, $B70, M$1))</f>
        <v>RevenuePivot'!$D$7</v>
      </c>
      <c r="N70" s="291"/>
    </row>
    <row r="71" spans="1:14" ht="14" x14ac:dyDescent="0.2">
      <c r="A71" s="291"/>
      <c r="B71" s="476">
        <f t="shared" si="1"/>
        <v>71</v>
      </c>
      <c r="C71" s="550"/>
      <c r="D71" s="149"/>
      <c r="E71" s="149"/>
      <c r="F71" s="149"/>
      <c r="G71" s="149"/>
      <c r="H71" s="149"/>
      <c r="I71" s="496">
        <f t="shared" ref="I71:I73" si="7">I70</f>
        <v>6</v>
      </c>
      <c r="J71" s="493" t="s">
        <v>314</v>
      </c>
      <c r="K71" s="487">
        <v>45898</v>
      </c>
      <c r="L71" s="488" t="str" cm="1">
        <f t="array" ref="L71">IF($C71="","",INDEX($B$1:$H$1017, $B71, L$1))</f>
        <v/>
      </c>
      <c r="M71" s="662" t="str" cm="1">
        <f t="array" ref="M71">IF($D71="","",INDEX($B$1:$H$1017, $B71, M$1))</f>
        <v/>
      </c>
      <c r="N71" s="291"/>
    </row>
    <row r="72" spans="1:14" ht="14" x14ac:dyDescent="0.2">
      <c r="A72" s="291"/>
      <c r="B72" s="476">
        <f t="shared" si="1"/>
        <v>72</v>
      </c>
      <c r="C72" s="550"/>
      <c r="D72" s="149"/>
      <c r="E72" s="149"/>
      <c r="F72" s="149"/>
      <c r="G72" s="149"/>
      <c r="H72" s="149"/>
      <c r="I72" s="496">
        <f t="shared" si="7"/>
        <v>6</v>
      </c>
      <c r="J72" s="493" t="s">
        <v>314</v>
      </c>
      <c r="K72" s="487">
        <v>45898</v>
      </c>
      <c r="L72" s="488" t="str" cm="1">
        <f t="array" ref="L72">IF($C72="","",INDEX($B$1:$H$1017, $B72, L$1))</f>
        <v/>
      </c>
      <c r="M72" s="662" t="str" cm="1">
        <f t="array" ref="M72">IF($D72="","",INDEX($B$1:$H$1017, $B72, M$1))</f>
        <v/>
      </c>
      <c r="N72" s="291"/>
    </row>
    <row r="73" spans="1:14" ht="14" x14ac:dyDescent="0.2">
      <c r="A73" s="291"/>
      <c r="B73" s="476">
        <f t="shared" si="1"/>
        <v>73</v>
      </c>
      <c r="C73" s="550"/>
      <c r="D73" s="149"/>
      <c r="E73" s="149"/>
      <c r="F73" s="149"/>
      <c r="G73" s="149"/>
      <c r="H73" s="149"/>
      <c r="I73" s="496">
        <f t="shared" si="7"/>
        <v>6</v>
      </c>
      <c r="J73" s="493" t="s">
        <v>314</v>
      </c>
      <c r="K73" s="487">
        <v>45898</v>
      </c>
      <c r="L73" s="488" t="str" cm="1">
        <f t="array" ref="L73">IF($C73="","",INDEX($B$1:$H$1017, $B73, L$1))</f>
        <v/>
      </c>
      <c r="M73" s="662" t="str" cm="1">
        <f t="array" ref="M73">IF($D73="","",INDEX($B$1:$H$1017, $B73, M$1))</f>
        <v/>
      </c>
      <c r="N73" s="291"/>
    </row>
    <row r="74" spans="1:14" x14ac:dyDescent="0.2">
      <c r="A74" s="291"/>
      <c r="B74" s="476">
        <f t="shared" si="1"/>
        <v>74</v>
      </c>
      <c r="C74" s="551"/>
      <c r="D74" s="480"/>
      <c r="E74" s="480"/>
      <c r="F74" s="480"/>
      <c r="G74" s="480"/>
      <c r="H74" s="480"/>
      <c r="I74" s="484"/>
      <c r="J74" s="484"/>
      <c r="K74" s="485"/>
      <c r="L74" s="568"/>
      <c r="M74" s="663"/>
      <c r="N74" s="291"/>
    </row>
    <row r="75" spans="1:14" ht="14" x14ac:dyDescent="0.2">
      <c r="A75" s="291"/>
      <c r="B75" s="476">
        <f t="shared" si="1"/>
        <v>75</v>
      </c>
      <c r="C75" s="550" t="s">
        <v>1304</v>
      </c>
      <c r="D75" s="149" t="str" cm="1">
        <f t="array" aca="1" ref="D75" ca="1">MID(CELL("address",RevenueChart!B8),FIND("]",CELL("address",RevenueChart!B8))+1,255)</f>
        <v>RevenueChart'!$B$8</v>
      </c>
      <c r="E75" s="149" t="s">
        <v>1305</v>
      </c>
      <c r="F75" s="149" t="str">
        <f ca="1">TableInstructions[[#This Row],[English Comment]]</f>
        <v>RevenueChart'!$B$8</v>
      </c>
      <c r="G75" s="149" t="s">
        <v>1306</v>
      </c>
      <c r="H75" s="149" t="str">
        <f ca="1">TableInstructions[[#This Row],[English Comment]]</f>
        <v>RevenueChart'!$B$8</v>
      </c>
      <c r="I75" s="496">
        <f>I70+1</f>
        <v>7</v>
      </c>
      <c r="J75" s="492" t="s">
        <v>315</v>
      </c>
      <c r="K75" s="487">
        <v>45898</v>
      </c>
      <c r="L75" s="665" t="str" cm="1">
        <f t="array" ref="L75">IF($C75="","",INDEX($B$1:$H$1017, $B75, L$1))</f>
        <v>Les graphes en monnaie locale sont mis à jour en même temps que la feuille "RevenuePivot"</v>
      </c>
      <c r="M75" s="662" t="str" cm="1">
        <f t="array" aca="1" ref="M75" ca="1">IF($D75="","",INDEX($B$1:$H$1017, $B75, M$1))</f>
        <v>RevenueChart'!$B$8</v>
      </c>
      <c r="N75" s="291"/>
    </row>
    <row r="76" spans="1:14" ht="14" x14ac:dyDescent="0.2">
      <c r="A76" s="291"/>
      <c r="B76" s="476">
        <f t="shared" si="1"/>
        <v>76</v>
      </c>
      <c r="C76" s="550" t="s">
        <v>1307</v>
      </c>
      <c r="D76" s="149"/>
      <c r="E76" s="149" t="s">
        <v>311</v>
      </c>
      <c r="F76" s="149"/>
      <c r="G76" s="149" t="s">
        <v>1308</v>
      </c>
      <c r="H76" s="149"/>
      <c r="I76" s="496">
        <f>I75</f>
        <v>7</v>
      </c>
      <c r="J76" s="570" t="s">
        <v>315</v>
      </c>
      <c r="K76" s="487">
        <v>45898</v>
      </c>
      <c r="L76" s="665" t="str" cm="1">
        <f t="array" ref="L76">IF($C76="","",INDEX($B$1:$H$1017, $B76, L$1))</f>
        <v>Selectionner les produits</v>
      </c>
      <c r="M76" s="662" t="str" cm="1">
        <f t="array" ref="M76">IF($D76="","",INDEX($B$1:$H$1017, $B76, M$1))</f>
        <v/>
      </c>
      <c r="N76" s="291"/>
    </row>
    <row r="77" spans="1:14" x14ac:dyDescent="0.2">
      <c r="A77" s="291"/>
      <c r="B77" s="476">
        <f t="shared" si="1"/>
        <v>77</v>
      </c>
      <c r="C77" s="551"/>
      <c r="D77" s="480"/>
      <c r="E77" s="480"/>
      <c r="F77" s="480"/>
      <c r="G77" s="480"/>
      <c r="H77" s="480"/>
      <c r="I77" s="484"/>
      <c r="J77" s="484"/>
      <c r="K77" s="485"/>
      <c r="L77" s="568"/>
      <c r="M77" s="663"/>
      <c r="N77" s="291"/>
    </row>
    <row r="78" spans="1:14" ht="14" x14ac:dyDescent="0.2">
      <c r="A78" s="291"/>
      <c r="B78" s="476">
        <f t="shared" si="1"/>
        <v>78</v>
      </c>
      <c r="C78" s="550" t="s">
        <v>1309</v>
      </c>
      <c r="D78" s="149"/>
      <c r="E78" s="149" t="s">
        <v>1257</v>
      </c>
      <c r="F78" s="149"/>
      <c r="G78" s="149" t="s">
        <v>1310</v>
      </c>
      <c r="H78" s="149"/>
      <c r="I78" s="496">
        <f>I75+1</f>
        <v>8</v>
      </c>
      <c r="J78" s="489" t="s">
        <v>317</v>
      </c>
      <c r="K78" s="487">
        <v>45865</v>
      </c>
      <c r="L78" s="659" t="str" cm="1">
        <f t="array" ref="L78">IF($C78="","",INDEX($B$1:$H$1017, $B78, L$1))</f>
        <v>REMPLIR LES CELLULES EN JAUNE EN MONNAIE LOCALE</v>
      </c>
      <c r="M78" s="669" t="str" cm="1">
        <f t="array" ref="M78">IF($D78="","",INDEX($B$1:$H$1017, $B78, M$1))</f>
        <v/>
      </c>
      <c r="N78" s="291"/>
    </row>
    <row r="79" spans="1:14" ht="68.25" customHeight="1" x14ac:dyDescent="0.2">
      <c r="A79" s="291"/>
      <c r="B79" s="476">
        <f t="shared" si="1"/>
        <v>79</v>
      </c>
      <c r="C79" s="550" t="s">
        <v>2014</v>
      </c>
      <c r="D79" s="149"/>
      <c r="E79" s="149" t="s">
        <v>2012</v>
      </c>
      <c r="F79" s="149"/>
      <c r="G79" s="149" t="s">
        <v>2013</v>
      </c>
      <c r="H79" s="149"/>
      <c r="I79" s="496">
        <f>I78</f>
        <v>8</v>
      </c>
      <c r="J79" s="490" t="s">
        <v>317</v>
      </c>
      <c r="K79" s="487">
        <v>45865</v>
      </c>
      <c r="L79" s="488" t="str" cm="1">
        <f t="array" ref="L79">IF($C79="","",INDEX($B$1:$H$1017, $B79, L$1))</f>
        <v>POUR NAVIGUER ENTRE LES SECTIONS, VOUS DISPOSEZ DE DIFFÉRENTES OPTIONS :
     1. FAITES DÉFILER LA FEUILLE VERS LE BAS
     2. FILTREZ SUR LA SECTION DE CELLULE (C3)
     3. CLIQUEZ SUR LA COLONNE B ET UTILISEZ LES FLÈCHES VERS LE BAS OU VERS LE HAUT DU CLAVIER POUR NAVIGUER ENTRE LES SECTIONS</v>
      </c>
      <c r="M79" s="669" t="str" cm="1">
        <f t="array" ref="M79">IF($D79="","",INDEX($B$1:$H$1017, $B79, M$1))</f>
        <v/>
      </c>
      <c r="N79" s="291"/>
    </row>
    <row r="80" spans="1:14" ht="28" x14ac:dyDescent="0.2">
      <c r="A80" s="291"/>
      <c r="B80" s="476">
        <f t="shared" si="1"/>
        <v>80</v>
      </c>
      <c r="C80" s="550" t="s">
        <v>1945</v>
      </c>
      <c r="D80" s="149" t="s">
        <v>2021</v>
      </c>
      <c r="E80" s="149" t="s">
        <v>1946</v>
      </c>
      <c r="F80" s="149" t="s">
        <v>2015</v>
      </c>
      <c r="G80" s="149" t="s">
        <v>1944</v>
      </c>
      <c r="H80" s="149" t="s">
        <v>2019</v>
      </c>
      <c r="I80" s="496">
        <f>I79</f>
        <v>8</v>
      </c>
      <c r="J80" s="490" t="s">
        <v>317</v>
      </c>
      <c r="K80" s="487">
        <v>45865</v>
      </c>
      <c r="L80" s="488" t="str" cm="1">
        <f t="array" ref="L80">IF($C80="","",INDEX($B$1:$H$1017, $B80, L$1))</f>
        <v>TOUT COMMENTAIRE LIBRE PEUT ÊTRE AJOUTÉ DANS LES CELLULES JAUNES DE LA COLONNE Y DE CETTE FEUILLE</v>
      </c>
      <c r="M80" s="669" t="str" cm="1">
        <f t="array" ref="M80">IF($D80="","",INDEX($B$1:$H$1017, $B80, M$1))</f>
        <v>Colonne FinanceData'!Y</v>
      </c>
      <c r="N80" s="291"/>
    </row>
    <row r="81" spans="1:14" ht="28" x14ac:dyDescent="0.2">
      <c r="A81" s="291"/>
      <c r="B81" s="476">
        <f t="shared" si="1"/>
        <v>81</v>
      </c>
      <c r="C81" s="550" t="s">
        <v>2023</v>
      </c>
      <c r="D81" s="149" t="s">
        <v>2022</v>
      </c>
      <c r="E81" s="149" t="s">
        <v>2017</v>
      </c>
      <c r="F81" s="149" t="s">
        <v>2016</v>
      </c>
      <c r="G81" s="149" t="s">
        <v>2018</v>
      </c>
      <c r="H81" s="149" t="s">
        <v>2020</v>
      </c>
      <c r="I81" s="496">
        <f t="shared" ref="I81:I97" si="8">I80</f>
        <v>8</v>
      </c>
      <c r="J81" s="490" t="s">
        <v>317</v>
      </c>
      <c r="K81" s="487">
        <v>45866</v>
      </c>
      <c r="L81" s="488" t="str" cm="1">
        <f t="array" ref="L81">IF($C81="","",INDEX($B$1:$H$1017, $B81, L$1))</f>
        <v>CONSULTER EGALEMENT LA COLONNE Z DANS CETTE FEUILLE QUI PEUT CONTENIR UNE NOTE DE TRADUCTION !!!!!!!!!!!!!!!!!!!!!!!!!!!</v>
      </c>
      <c r="M81" s="669" t="str" cm="1">
        <f t="array" ref="M81">IF($D81="","",INDEX($B$1:$H$1017, $B81, M$1))</f>
        <v>Colonne FinanceData'!Z</v>
      </c>
      <c r="N81" s="291"/>
    </row>
    <row r="82" spans="1:14" ht="30" customHeight="1" x14ac:dyDescent="0.2">
      <c r="A82" s="291"/>
      <c r="B82" s="476">
        <f t="shared" si="1"/>
        <v>82</v>
      </c>
      <c r="C82" s="550" t="s">
        <v>1432</v>
      </c>
      <c r="D82" s="149" t="str" cm="1">
        <f t="array" aca="1" ref="D82" ca="1">"Section 1 : "&amp;MID(CELL("address",FinanceData!B6),FIND("]",CELL("address",FinanceData!B6))+1,255)</f>
        <v>Section 1 : FinanceData'!$B$6</v>
      </c>
      <c r="E82" s="149" t="s">
        <v>1439</v>
      </c>
      <c r="F82" s="149" t="str">
        <f ca="1">TableInstructions[[#This Row],[English Comment]]</f>
        <v>Section 1 : FinanceData'!$B$6</v>
      </c>
      <c r="G82" s="149" t="s">
        <v>1447</v>
      </c>
      <c r="H82" s="149" t="str">
        <f ca="1">TableInstructions[[#This Row],[English Comment]]</f>
        <v>Section 1 : FinanceData'!$B$6</v>
      </c>
      <c r="I82" s="496">
        <f t="shared" si="8"/>
        <v>8</v>
      </c>
      <c r="J82" s="490" t="s">
        <v>317</v>
      </c>
      <c r="K82" s="487">
        <v>45867</v>
      </c>
      <c r="L82" s="821" t="str" cm="1">
        <f t="array" ref="L82">IF($C82="","",INDEX($B$1:$H$1017, $B82, L$1))</f>
        <v>Section 1 : CHIFFRE D'AFFAIRES ET MARGE BRUTE</v>
      </c>
      <c r="M82" s="669" t="str" cm="1">
        <f t="array" aca="1" ref="M82" ca="1">IF($D82="","",INDEX($B$1:$H$1017, $B82, M$1))</f>
        <v>Section 1 : FinanceData'!$B$6</v>
      </c>
      <c r="N82" s="291"/>
    </row>
    <row r="83" spans="1:14" ht="30" customHeight="1" x14ac:dyDescent="0.2">
      <c r="A83" s="291"/>
      <c r="B83" s="476">
        <f t="shared" si="1"/>
        <v>83</v>
      </c>
      <c r="C83" s="550" t="s">
        <v>1311</v>
      </c>
      <c r="D83" s="149"/>
      <c r="E83" s="149" t="s">
        <v>1446</v>
      </c>
      <c r="F83" s="149"/>
      <c r="G83" s="149" t="s">
        <v>1312</v>
      </c>
      <c r="H83" s="149"/>
      <c r="I83" s="496">
        <f t="shared" si="8"/>
        <v>8</v>
      </c>
      <c r="J83" s="490" t="s">
        <v>317</v>
      </c>
      <c r="K83" s="487">
        <v>45868</v>
      </c>
      <c r="L83" s="660" t="str" cm="1">
        <f t="array" ref="L83">IF($C83="","",INDEX($B$1:$H$1017, $B83, L$1))</f>
        <v>La Section 1 est préremplie avec les résultats de la feuille "RevenueData"</v>
      </c>
      <c r="M83" s="669" t="str" cm="1">
        <f t="array" ref="M83">IF($D83="","",INDEX($B$1:$H$1017, $B83, M$1))</f>
        <v/>
      </c>
      <c r="N83" s="291"/>
    </row>
    <row r="84" spans="1:14" ht="30" customHeight="1" x14ac:dyDescent="0.2">
      <c r="A84" s="291"/>
      <c r="B84" s="476">
        <f t="shared" si="1"/>
        <v>84</v>
      </c>
      <c r="C84" s="550" t="s">
        <v>1434</v>
      </c>
      <c r="D84" s="149" t="str" cm="1">
        <f t="array" aca="1" ref="D84" ca="1">"Section 2 : "&amp;MID(CELL("address",FinanceData!B199),FIND("]",CELL("address",FinanceData!B199))+1,255)</f>
        <v>Section 2 : FinanceData'!$B$199</v>
      </c>
      <c r="E84" s="149" t="s">
        <v>1440</v>
      </c>
      <c r="F84" s="149" t="str">
        <f ca="1">TableInstructions[[#This Row],[English Comment]]</f>
        <v>Section 2 : FinanceData'!$B$199</v>
      </c>
      <c r="G84" s="149" t="s">
        <v>1448</v>
      </c>
      <c r="H84" s="149" t="str">
        <f ca="1">TableInstructions[[#This Row],[English Comment]]</f>
        <v>Section 2 : FinanceData'!$B$199</v>
      </c>
      <c r="I84" s="496">
        <f t="shared" si="8"/>
        <v>8</v>
      </c>
      <c r="J84" s="490" t="s">
        <v>317</v>
      </c>
      <c r="K84" s="487">
        <v>45869</v>
      </c>
      <c r="L84" s="822" t="str" cm="1">
        <f t="array" ref="L84">IF($C84="","",INDEX($B$1:$H$1017, $B84, L$1))</f>
        <v>Section 2 : DEPENSES OPERATIONNELLES</v>
      </c>
      <c r="M84" s="669" t="str" cm="1">
        <f t="array" aca="1" ref="M84" ca="1">IF($D84="","",INDEX($B$1:$H$1017, $B84, M$1))</f>
        <v>Section 2 : FinanceData'!$B$199</v>
      </c>
      <c r="N84" s="291"/>
    </row>
    <row r="85" spans="1:14" ht="30" customHeight="1" x14ac:dyDescent="0.2">
      <c r="A85" s="291"/>
      <c r="B85" s="476">
        <f t="shared" si="1"/>
        <v>85</v>
      </c>
      <c r="C85" s="550" t="s">
        <v>642</v>
      </c>
      <c r="D85" s="149" t="s">
        <v>1920</v>
      </c>
      <c r="E85" s="149" t="s">
        <v>33</v>
      </c>
      <c r="F85" s="149" t="s">
        <v>1921</v>
      </c>
      <c r="G85" s="149" t="s">
        <v>643</v>
      </c>
      <c r="H85" s="149" t="s">
        <v>1922</v>
      </c>
      <c r="I85" s="496">
        <f t="shared" si="8"/>
        <v>8</v>
      </c>
      <c r="J85" s="490" t="s">
        <v>317</v>
      </c>
      <c r="K85" s="487">
        <v>45870</v>
      </c>
      <c r="L85" s="665" t="str" cm="1">
        <f t="array" ref="L85">IF($C85="","",INDEX($B$1:$H$1017, $B85, L$1))</f>
        <v>COUT DE MARKETING</v>
      </c>
      <c r="M85" s="662" t="str" cm="1">
        <f t="array" ref="M85">IF($D85="","",INDEX($B$1:$H$1017, $B85, M$1))</f>
        <v>Colonne FinanceData'!H
5 dépenses prédéfinies et 5 dépenses définies par l'utilisateur</v>
      </c>
      <c r="N85" s="291"/>
    </row>
    <row r="86" spans="1:14" ht="30" customHeight="1" x14ac:dyDescent="0.2">
      <c r="A86" s="291"/>
      <c r="B86" s="476">
        <f t="shared" si="1"/>
        <v>86</v>
      </c>
      <c r="C86" s="550" t="s">
        <v>646</v>
      </c>
      <c r="D86" s="149"/>
      <c r="E86" s="149" t="s">
        <v>39</v>
      </c>
      <c r="F86" s="149"/>
      <c r="G86" s="149" t="s">
        <v>647</v>
      </c>
      <c r="H86" s="149"/>
      <c r="I86" s="496">
        <f t="shared" si="8"/>
        <v>8</v>
      </c>
      <c r="J86" s="490" t="s">
        <v>317</v>
      </c>
      <c r="K86" s="487">
        <v>45871</v>
      </c>
      <c r="L86" s="665" t="str" cm="1">
        <f t="array" ref="L86">IF($C86="","",INDEX($B$1:$H$1017, $B86, L$1))</f>
        <v>SALAIRES DE PERSONNEL</v>
      </c>
      <c r="M86" s="662" t="str" cm="1">
        <f t="array" ref="M86">IF($D86="","",INDEX($B$1:$H$1017, $B86, M$1))</f>
        <v/>
      </c>
      <c r="N86" s="291"/>
    </row>
    <row r="87" spans="1:14" ht="30" customHeight="1" x14ac:dyDescent="0.2">
      <c r="A87" s="291"/>
      <c r="B87" s="476">
        <f t="shared" si="1"/>
        <v>87</v>
      </c>
      <c r="C87" s="550" t="s">
        <v>648</v>
      </c>
      <c r="D87" s="149" t="s">
        <v>1923</v>
      </c>
      <c r="E87" s="149" t="s">
        <v>53</v>
      </c>
      <c r="F87" s="149" t="s">
        <v>1928</v>
      </c>
      <c r="G87" s="149" t="s">
        <v>649</v>
      </c>
      <c r="H87" s="149" t="s">
        <v>1933</v>
      </c>
      <c r="I87" s="496">
        <f t="shared" si="8"/>
        <v>8</v>
      </c>
      <c r="J87" s="490" t="s">
        <v>317</v>
      </c>
      <c r="K87" s="487">
        <v>45872</v>
      </c>
      <c r="L87" s="665" t="str" cm="1">
        <f t="array" ref="L87">IF($C87="","",INDEX($B$1:$H$1017, $B87, L$1))</f>
        <v>IMPOTS ET TAXES SUR PERSONNEL</v>
      </c>
      <c r="M87" s="662" t="str" cm="1">
        <f t="array" ref="M87">IF($D87="","",INDEX($B$1:$H$1017, $B87, M$1))</f>
        <v>Colonne FinanceData'!H
4 dépenses prédéfinies et 5 dépenses définies par l'utilisateur</v>
      </c>
      <c r="N87" s="291"/>
    </row>
    <row r="88" spans="1:14" ht="30" customHeight="1" x14ac:dyDescent="0.2">
      <c r="A88" s="291"/>
      <c r="B88" s="476">
        <f t="shared" si="1"/>
        <v>88</v>
      </c>
      <c r="C88" s="550" t="s">
        <v>650</v>
      </c>
      <c r="D88" s="149" t="s">
        <v>1924</v>
      </c>
      <c r="E88" s="149" t="s">
        <v>59</v>
      </c>
      <c r="F88" s="149" t="s">
        <v>1929</v>
      </c>
      <c r="G88" s="149" t="s">
        <v>651</v>
      </c>
      <c r="H88" s="149" t="s">
        <v>1934</v>
      </c>
      <c r="I88" s="496">
        <f t="shared" si="8"/>
        <v>8</v>
      </c>
      <c r="J88" s="490" t="s">
        <v>317</v>
      </c>
      <c r="K88" s="487">
        <v>45873</v>
      </c>
      <c r="L88" s="665" t="str" cm="1">
        <f t="array" ref="L88">IF($C88="","",INDEX($B$1:$H$1017, $B88, L$1))</f>
        <v>COUTS DE L'OFFICE</v>
      </c>
      <c r="M88" s="662" t="str" cm="1">
        <f t="array" ref="M88">IF($D88="","",INDEX($B$1:$H$1017, $B88, M$1))</f>
        <v>Colonne FinanceData'!H
10 dépenses prédéfinies et 5 dépenses définies par l'utilisateur</v>
      </c>
      <c r="N88" s="291"/>
    </row>
    <row r="89" spans="1:14" ht="30" customHeight="1" x14ac:dyDescent="0.2">
      <c r="A89" s="291"/>
      <c r="B89" s="476">
        <f t="shared" si="1"/>
        <v>89</v>
      </c>
      <c r="C89" s="550" t="s">
        <v>657</v>
      </c>
      <c r="D89" s="149" t="s">
        <v>1923</v>
      </c>
      <c r="E89" s="149" t="s">
        <v>71</v>
      </c>
      <c r="F89" s="149" t="s">
        <v>1928</v>
      </c>
      <c r="G89" s="149" t="s">
        <v>652</v>
      </c>
      <c r="H89" s="149" t="s">
        <v>1933</v>
      </c>
      <c r="I89" s="496">
        <f t="shared" si="8"/>
        <v>8</v>
      </c>
      <c r="J89" s="490" t="s">
        <v>317</v>
      </c>
      <c r="K89" s="487">
        <v>45874</v>
      </c>
      <c r="L89" s="665" t="str" cm="1">
        <f t="array" ref="L89">IF($C89="","",INDEX($B$1:$H$1017, $B89, L$1))</f>
        <v>AUTRES CHARGES</v>
      </c>
      <c r="M89" s="662" t="str" cm="1">
        <f t="array" ref="M89">IF($D89="","",INDEX($B$1:$H$1017, $B89, M$1))</f>
        <v>Colonne FinanceData'!H
4 dépenses prédéfinies et 5 dépenses définies par l'utilisateur</v>
      </c>
      <c r="N89" s="291"/>
    </row>
    <row r="90" spans="1:14" ht="30" customHeight="1" x14ac:dyDescent="0.2">
      <c r="A90" s="291"/>
      <c r="B90" s="476">
        <f t="shared" si="1"/>
        <v>90</v>
      </c>
      <c r="C90" s="550" t="s">
        <v>658</v>
      </c>
      <c r="D90" s="149"/>
      <c r="E90" s="149" t="s">
        <v>74</v>
      </c>
      <c r="F90" s="149"/>
      <c r="G90" s="149" t="s">
        <v>653</v>
      </c>
      <c r="H90" s="149"/>
      <c r="I90" s="496">
        <f t="shared" si="8"/>
        <v>8</v>
      </c>
      <c r="J90" s="490" t="s">
        <v>317</v>
      </c>
      <c r="K90" s="487">
        <v>45875</v>
      </c>
      <c r="L90" s="665" t="str" cm="1">
        <f t="array" ref="L90">IF($C90="","",INDEX($B$1:$H$1017, $B90, L$1))</f>
        <v>VOYAGE &amp; DEPLACEMENT</v>
      </c>
      <c r="M90" s="662" t="str" cm="1">
        <f t="array" ref="M90">IF($D90="","",INDEX($B$1:$H$1017, $B90, M$1))</f>
        <v/>
      </c>
      <c r="N90" s="291"/>
    </row>
    <row r="91" spans="1:14" ht="30" customHeight="1" x14ac:dyDescent="0.2">
      <c r="A91" s="291"/>
      <c r="B91" s="476">
        <f t="shared" si="1"/>
        <v>91</v>
      </c>
      <c r="C91" s="550" t="s">
        <v>659</v>
      </c>
      <c r="D91" s="149" t="s">
        <v>1926</v>
      </c>
      <c r="E91" s="149" t="s">
        <v>72</v>
      </c>
      <c r="F91" s="149" t="s">
        <v>1930</v>
      </c>
      <c r="G91" s="149" t="s">
        <v>654</v>
      </c>
      <c r="H91" s="149" t="s">
        <v>1935</v>
      </c>
      <c r="I91" s="496">
        <f t="shared" si="8"/>
        <v>8</v>
      </c>
      <c r="J91" s="490" t="s">
        <v>317</v>
      </c>
      <c r="K91" s="487">
        <v>45876</v>
      </c>
      <c r="L91" s="665" t="str" cm="1">
        <f t="array" ref="L91">IF($C91="","",INDEX($B$1:$H$1017, $B91, L$1))</f>
        <v>ASSURANCES</v>
      </c>
      <c r="M91" s="662" t="str" cm="1">
        <f t="array" ref="M91">IF($D91="","",INDEX($B$1:$H$1017, $B91, M$1))</f>
        <v>Colonne FinanceData'!H
3 dépenses prédéfinies et 5 dépenses définies par l'utilisateur</v>
      </c>
      <c r="N91" s="291"/>
    </row>
    <row r="92" spans="1:14" ht="30" customHeight="1" x14ac:dyDescent="0.2">
      <c r="A92" s="291"/>
      <c r="B92" s="476">
        <f t="shared" si="1"/>
        <v>92</v>
      </c>
      <c r="C92" s="550" t="s">
        <v>660</v>
      </c>
      <c r="D92" s="149" t="s">
        <v>1925</v>
      </c>
      <c r="E92" s="149" t="s">
        <v>73</v>
      </c>
      <c r="F92" s="149" t="s">
        <v>1931</v>
      </c>
      <c r="G92" s="149" t="s">
        <v>655</v>
      </c>
      <c r="H92" s="149" t="s">
        <v>1936</v>
      </c>
      <c r="I92" s="496">
        <f t="shared" si="8"/>
        <v>8</v>
      </c>
      <c r="J92" s="490" t="s">
        <v>317</v>
      </c>
      <c r="K92" s="487">
        <v>45877</v>
      </c>
      <c r="L92" s="665" t="str" cm="1">
        <f t="array" ref="L92">IF($C92="","",INDEX($B$1:$H$1017, $B92, L$1))</f>
        <v>ENTRETIEN</v>
      </c>
      <c r="M92" s="662" t="str" cm="1">
        <f t="array" ref="M92">IF($D92="","",INDEX($B$1:$H$1017, $B92, M$1))</f>
        <v>Colonne FinanceData'!H
2 dépenses prédéfinies et 5 dépenses définies par l'utilisateur</v>
      </c>
      <c r="N92" s="291"/>
    </row>
    <row r="93" spans="1:14" ht="30" customHeight="1" x14ac:dyDescent="0.2">
      <c r="A93" s="291"/>
      <c r="B93" s="476">
        <f t="shared" si="1"/>
        <v>93</v>
      </c>
      <c r="C93" s="550" t="s">
        <v>661</v>
      </c>
      <c r="D93" s="149" t="s">
        <v>1927</v>
      </c>
      <c r="E93" s="149" t="s">
        <v>94</v>
      </c>
      <c r="F93" s="149" t="s">
        <v>1932</v>
      </c>
      <c r="G93" s="149" t="s">
        <v>656</v>
      </c>
      <c r="H93" s="149" t="s">
        <v>1937</v>
      </c>
      <c r="I93" s="496">
        <f t="shared" si="8"/>
        <v>8</v>
      </c>
      <c r="J93" s="490" t="s">
        <v>317</v>
      </c>
      <c r="K93" s="487">
        <v>45878</v>
      </c>
      <c r="L93" s="665" t="str" cm="1">
        <f t="array" ref="L93">IF($C93="","",INDEX($B$1:$H$1017, $B93, L$1))</f>
        <v>TIERCES PARTIES</v>
      </c>
      <c r="M93" s="662" t="str" cm="1">
        <f t="array" ref="M93">IF($D93="","",INDEX($B$1:$H$1017, $B93, M$1))</f>
        <v>Colonne FinanceData'!H
8 dépenses prédéfinies et 5 dépenses définies par l'utilisateur</v>
      </c>
      <c r="N93" s="291"/>
    </row>
    <row r="94" spans="1:14" ht="30" customHeight="1" x14ac:dyDescent="0.2">
      <c r="A94" s="291"/>
      <c r="B94" s="476">
        <f t="shared" si="1"/>
        <v>94</v>
      </c>
      <c r="C94" s="550" t="s">
        <v>1435</v>
      </c>
      <c r="D94" s="149" t="str" cm="1">
        <f t="array" aca="1" ref="D94" ca="1">"Section 3 : "&amp;MID(CELL("address",FinanceData!B406),FIND("]",CELL("address",FinanceData!B406))+1,255)</f>
        <v>Section 3 : FinanceData'!$B$406</v>
      </c>
      <c r="E94" s="149" t="s">
        <v>1441</v>
      </c>
      <c r="F94" s="149" t="str">
        <f ca="1">TableInstructions[[#This Row],[English Comment]]</f>
        <v>Section 3 : FinanceData'!$B$406</v>
      </c>
      <c r="G94" s="149" t="s">
        <v>1449</v>
      </c>
      <c r="H94" s="149" t="str">
        <f ca="1">TableInstructions[[#This Row],[English Comment]]</f>
        <v>Section 3 : FinanceData'!$B$406</v>
      </c>
      <c r="I94" s="496">
        <f t="shared" si="8"/>
        <v>8</v>
      </c>
      <c r="J94" s="490" t="s">
        <v>317</v>
      </c>
      <c r="K94" s="487">
        <v>45879</v>
      </c>
      <c r="L94" s="821" t="str" cm="1">
        <f t="array" ref="L94">IF($C94="","",INDEX($B$1:$H$1017, $B94, L$1))</f>
        <v>Section 3 : INVESTISSEMENTS ET AMORTISSEMENTS</v>
      </c>
      <c r="M94" s="669" t="str" cm="1">
        <f t="array" aca="1" ref="M94" ca="1">IF($D94="","",INDEX($B$1:$H$1017, $B94, M$1))</f>
        <v>Section 3 : FinanceData'!$B$406</v>
      </c>
      <c r="N94" s="291"/>
    </row>
    <row r="95" spans="1:14" ht="30" customHeight="1" x14ac:dyDescent="0.2">
      <c r="A95" s="291"/>
      <c r="B95" s="476">
        <f t="shared" si="1"/>
        <v>95</v>
      </c>
      <c r="C95" s="550" t="s">
        <v>1938</v>
      </c>
      <c r="D95" s="149" t="str" cm="1">
        <f t="array" aca="1" ref="D95" ca="1">MID(CELL("address",FinanceData!I408),FIND("]",CELL("address",FinanceData!I408))+1,255)&amp;":"&amp;MID(CELL("address",FinanceData!I497),FIND("!",CELL("address",FinanceData!I497))+1,255)&amp;CHAR(10)&amp;MID(CELL("address",FinanceData!K408),FIND("]",CELL("address",FinanceData!K408))+1,255)&amp;":"&amp;MID(CELL("address",FinanceData!N497),FIND("!",CELL("address",FinanceData!N497))+1,255)</f>
        <v>FinanceData'!$I$408:$I$497
FinanceData'!$K$408:$N$497</v>
      </c>
      <c r="E95" s="149" t="s">
        <v>1940</v>
      </c>
      <c r="F95" s="149" t="str">
        <f ca="1">TableInstructions[[#This Row],[English Comment]]</f>
        <v>FinanceData'!$I$408:$I$497
FinanceData'!$K$408:$N$497</v>
      </c>
      <c r="G95" s="149" t="s">
        <v>1939</v>
      </c>
      <c r="H95" s="149" t="str">
        <f ca="1">TableInstructions[[#This Row],[English Comment]]</f>
        <v>FinanceData'!$I$408:$I$497
FinanceData'!$K$408:$N$497</v>
      </c>
      <c r="I95" s="496">
        <f t="shared" si="8"/>
        <v>8</v>
      </c>
      <c r="J95" s="490" t="s">
        <v>317</v>
      </c>
      <c r="K95" s="487">
        <v>45879</v>
      </c>
      <c r="L95" s="665" t="str" cm="1">
        <f t="array" ref="L95">IF($C95="","",INDEX($B$1:$H$1017, $B95, L$1))</f>
        <v>Remplir les investissements passés et futurs : description, année d'acquisition, valeur d'acquisition (hors TVA), % d'amortissement annuel, valeur d'amortissement cumulée (avant ANNEE-2)</v>
      </c>
      <c r="M95" s="662" t="str" cm="1">
        <f t="array" aca="1" ref="M95" ca="1">IF($D95="","",INDEX($B$1:$H$1017, $B95, M$1))</f>
        <v>FinanceData'!$I$408:$I$497
FinanceData'!$K$408:$N$497</v>
      </c>
      <c r="N95" s="291"/>
    </row>
    <row r="96" spans="1:14" ht="30" customHeight="1" x14ac:dyDescent="0.2">
      <c r="A96" s="291"/>
      <c r="B96" s="476">
        <f t="shared" si="1"/>
        <v>96</v>
      </c>
      <c r="C96" s="550" t="s">
        <v>1941</v>
      </c>
      <c r="D96" s="149" t="str" cm="1">
        <f t="array" aca="1" ref="D96" ca="1">MID(CELL("address",FinanceData!O502),FIND("]",CELL("address",FinanceData!O502))+1,255)&amp;":"&amp;MID(CELL("address",FinanceData!P591),FIND("!",CELL("address",FinanceData!P591))+1,255)</f>
        <v>FinanceData'!$O$502:$P$591</v>
      </c>
      <c r="E96" s="149" t="s">
        <v>1942</v>
      </c>
      <c r="F96" s="149" t="str">
        <f ca="1">TableInstructions[[#This Row],[English Comment]]</f>
        <v>FinanceData'!$O$502:$P$591</v>
      </c>
      <c r="G96" s="149" t="s">
        <v>1943</v>
      </c>
      <c r="H96" s="149" t="str">
        <f ca="1">TableInstructions[[#This Row],[English Comment]]</f>
        <v>FinanceData'!$O$502:$P$591</v>
      </c>
      <c r="I96" s="496">
        <f t="shared" si="8"/>
        <v>8</v>
      </c>
      <c r="J96" s="490" t="s">
        <v>317</v>
      </c>
      <c r="K96" s="487">
        <v>45880</v>
      </c>
      <c r="L96" s="665" t="str" cm="1">
        <f t="array" ref="L96">IF($C96="","",INDEX($B$1:$H$1017, $B96, L$1))</f>
        <v>Ajuster si nécessaire les amortissements pour l'ANNEE 2 et l'ANNEE 1</v>
      </c>
      <c r="M96" s="662" t="str" cm="1">
        <f t="array" aca="1" ref="M96" ca="1">IF($D96="","",INDEX($B$1:$H$1017, $B96, M$1))</f>
        <v>FinanceData'!$O$502:$P$591</v>
      </c>
      <c r="N96" s="291"/>
    </row>
    <row r="97" spans="1:14" ht="30" customHeight="1" x14ac:dyDescent="0.2">
      <c r="A97" s="291"/>
      <c r="B97" s="476">
        <f t="shared" si="1"/>
        <v>97</v>
      </c>
      <c r="C97" s="550" t="s">
        <v>1436</v>
      </c>
      <c r="D97" s="149" t="str" cm="1">
        <f t="array" aca="1" ref="D97" ca="1">"Section 4 : "&amp;MID(CELL("address",FinanceData!B691),FIND("]",CELL("address",FinanceData!B691))+1,255)</f>
        <v>Section 4 : FinanceData'!$B$691</v>
      </c>
      <c r="E97" s="149" t="s">
        <v>1442</v>
      </c>
      <c r="F97" s="149" t="str">
        <f ca="1">TableInstructions[[#This Row],[English Comment]]</f>
        <v>Section 4 : FinanceData'!$B$691</v>
      </c>
      <c r="G97" s="149" t="s">
        <v>1450</v>
      </c>
      <c r="H97" s="149" t="str">
        <f ca="1">TableInstructions[[#This Row],[English Comment]]</f>
        <v>Section 4 : FinanceData'!$B$691</v>
      </c>
      <c r="I97" s="496">
        <f t="shared" si="8"/>
        <v>8</v>
      </c>
      <c r="J97" s="490" t="s">
        <v>317</v>
      </c>
      <c r="K97" s="487">
        <v>45882</v>
      </c>
      <c r="L97" s="822" t="str" cm="1">
        <f t="array" ref="L97">IF($C97="","",INDEX($B$1:$H$1017, $B97, L$1))</f>
        <v>Section 4 : FONDS DE ROULEMENT</v>
      </c>
      <c r="M97" s="669" t="str" cm="1">
        <f t="array" aca="1" ref="M97" ca="1">IF($D97="","",INDEX($B$1:$H$1017, $B97, M$1))</f>
        <v>Section 4 : FinanceData'!$B$691</v>
      </c>
      <c r="N97" s="291"/>
    </row>
    <row r="98" spans="1:14" ht="30" customHeight="1" x14ac:dyDescent="0.2">
      <c r="A98" s="291"/>
      <c r="B98" s="476">
        <f t="shared" si="1"/>
        <v>98</v>
      </c>
      <c r="C98" s="550" t="s">
        <v>1947</v>
      </c>
      <c r="D98" s="149" t="str" cm="1">
        <f t="array" aca="1" ref="D98" ca="1">MID(CELL("address",FinanceData!O693),FIND("]",CELL("address",FinanceData!O693))+1,255)&amp;":"&amp;MID(CELL("address",FinanceData!P702),FIND("!",CELL("address",FinanceData!P702))+1,255)</f>
        <v>FinanceData'!$O$693:$P$702</v>
      </c>
      <c r="E98" s="149" t="s">
        <v>1949</v>
      </c>
      <c r="F98" s="149" t="str">
        <f ca="1">TableInstructions[[#This Row],[English Comment]]</f>
        <v>FinanceData'!$O$693:$P$702</v>
      </c>
      <c r="G98" s="149" t="s">
        <v>1951</v>
      </c>
      <c r="H98" s="149" t="str">
        <f ca="1">TableInstructions[[#This Row],[English Comment]]</f>
        <v>FinanceData'!$O$693:$P$702</v>
      </c>
      <c r="I98" s="496">
        <f t="shared" ref="I98:I100" si="9">I97</f>
        <v>8</v>
      </c>
      <c r="J98" s="490" t="s">
        <v>317</v>
      </c>
      <c r="K98" s="487">
        <v>45882</v>
      </c>
      <c r="L98" s="665" t="str" cm="1">
        <f t="array" ref="L98">IF($C98="","",INDEX($B$1:$H$1017, $B98, L$1))</f>
        <v>Remplissez les champs ANNEE-2 et ANNEE-1 avec la valeur des stocks, la valeur des comptes clients et la valeur des comptes fournisseurs.  Vous pouvez également saisir le nombre de jours équivalent (facultatif).</v>
      </c>
      <c r="M98" s="662" t="str" cm="1">
        <f t="array" aca="1" ref="M98" ca="1">IF($D98="","",INDEX($B$1:$H$1017, $B98, M$1))</f>
        <v>FinanceData'!$O$693:$P$702</v>
      </c>
      <c r="N98" s="291"/>
    </row>
    <row r="99" spans="1:14" ht="30" customHeight="1" x14ac:dyDescent="0.2">
      <c r="A99" s="291"/>
      <c r="B99" s="476">
        <f t="shared" ref="B99:B112" si="10">ROW(B99)</f>
        <v>99</v>
      </c>
      <c r="C99" s="550" t="s">
        <v>1948</v>
      </c>
      <c r="D99" s="149" t="str" cm="1">
        <f t="array" aca="1" ref="D99" ca="1">MID(CELL("address",FinanceData!S693),FIND("]",CELL("address",FinanceData!S693))+1,255)&amp;":"&amp;MID(CELL("address",FinanceData!X701),FIND("!",CELL("address",FinanceData!X701))+1,255)</f>
        <v>FinanceData'!$S$693:$X$701</v>
      </c>
      <c r="E99" s="149" t="s">
        <v>1950</v>
      </c>
      <c r="F99" s="149" t="str">
        <f ca="1">TableInstructions[[#This Row],[English Comment]]</f>
        <v>FinanceData'!$S$693:$X$701</v>
      </c>
      <c r="G99" s="149" t="s">
        <v>1952</v>
      </c>
      <c r="H99" s="149" t="str">
        <f ca="1">TableInstructions[[#This Row],[English Comment]]</f>
        <v>FinanceData'!$S$693:$X$701</v>
      </c>
      <c r="I99" s="496">
        <f t="shared" si="9"/>
        <v>8</v>
      </c>
      <c r="J99" s="490" t="s">
        <v>317</v>
      </c>
      <c r="K99" s="487">
        <v>45882</v>
      </c>
      <c r="L99" s="665" t="str" cm="1">
        <f t="array" ref="L99">IF($C99="","",INDEX($B$1:$H$1017, $B99, L$1))</f>
        <v>Remplissez les champs ANNEE EN COURS à ANNEE 6 avec le nombre de jours pour le calcul des stocks, des comptes clients et des comptes fournisseurs.  La valeur sera calculée automatiquement.</v>
      </c>
      <c r="M99" s="662" t="str" cm="1">
        <f t="array" aca="1" ref="M99" ca="1">IF($D99="","",INDEX($B$1:$H$1017, $B99, M$1))</f>
        <v>FinanceData'!$S$693:$X$701</v>
      </c>
      <c r="N99" s="291"/>
    </row>
    <row r="100" spans="1:14" ht="30" customHeight="1" x14ac:dyDescent="0.2">
      <c r="A100" s="291"/>
      <c r="B100" s="476">
        <f t="shared" si="10"/>
        <v>100</v>
      </c>
      <c r="C100" s="550" t="s">
        <v>1437</v>
      </c>
      <c r="D100" s="149" t="str" cm="1">
        <f t="array" aca="1" ref="D100" ca="1">"Section 5 : "&amp;MID(CELL("address",FinanceData!B708),FIND("]",CELL("address",FinanceData!B708))+1,255)</f>
        <v>Section 5 : FinanceData'!$B$708</v>
      </c>
      <c r="E100" s="149" t="s">
        <v>1443</v>
      </c>
      <c r="F100" s="149" t="str">
        <f ca="1">TableInstructions[[#This Row],[English Comment]]</f>
        <v>Section 5 : FinanceData'!$B$708</v>
      </c>
      <c r="G100" s="149" t="s">
        <v>1451</v>
      </c>
      <c r="H100" s="149" t="str">
        <f ca="1">TableInstructions[[#This Row],[English Comment]]</f>
        <v>Section 5 : FinanceData'!$B$708</v>
      </c>
      <c r="I100" s="496">
        <f t="shared" si="9"/>
        <v>8</v>
      </c>
      <c r="J100" s="490" t="s">
        <v>317</v>
      </c>
      <c r="K100" s="487">
        <v>45882</v>
      </c>
      <c r="L100" s="821" t="str" cm="1">
        <f t="array" ref="L100">IF($C100="","",INDEX($B$1:$H$1017, $B100, L$1))</f>
        <v>Section 5 : COMPTE DE PERTES ET PROFITS</v>
      </c>
      <c r="M100" s="669" t="str" cm="1">
        <f t="array" aca="1" ref="M100" ca="1">IF($D100="","",INDEX($B$1:$H$1017, $B100, M$1))</f>
        <v>Section 5 : FinanceData'!$B$708</v>
      </c>
      <c r="N100" s="291"/>
    </row>
    <row r="101" spans="1:14" ht="30" customHeight="1" x14ac:dyDescent="0.2">
      <c r="A101" s="291"/>
      <c r="B101" s="476">
        <f t="shared" si="10"/>
        <v>101</v>
      </c>
      <c r="C101" s="550" t="s">
        <v>1953</v>
      </c>
      <c r="D101" s="149" t="str" cm="1">
        <f t="array" aca="1" ref="D101" ca="1">MID(CELL("address",FinanceData!O724),FIND("]",CELL("address",FinanceData!O724))+1,255)&amp;":"&amp;MID(CELL("address",FinanceData!X726),FIND("!",CELL("address",FinanceData!X726))+1,255)</f>
        <v>FinanceData'!$O$724:$X$726</v>
      </c>
      <c r="E101" s="149" t="s">
        <v>1965</v>
      </c>
      <c r="F101" s="149" t="str">
        <f ca="1">TableInstructions[[#This Row],[English Comment]]</f>
        <v>FinanceData'!$O$724:$X$726</v>
      </c>
      <c r="G101" s="149" t="s">
        <v>1956</v>
      </c>
      <c r="H101" s="149" t="str">
        <f ca="1">TableInstructions[[#This Row],[English Comment]]</f>
        <v>FinanceData'!$O$724:$X$726</v>
      </c>
      <c r="I101" s="496">
        <f t="shared" ref="I101" si="11">I100</f>
        <v>8</v>
      </c>
      <c r="J101" s="490" t="s">
        <v>317</v>
      </c>
      <c r="K101" s="487">
        <v>45882</v>
      </c>
      <c r="L101" s="665" t="str" cm="1">
        <f t="array" ref="L101">IF($C101="","",INDEX($B$1:$H$1017, $B101, L$1))</f>
        <v>Remplir toute variation dans les stocks, les créances et les dettes d'exploitation</v>
      </c>
      <c r="M101" s="662" t="str" cm="1">
        <f t="array" aca="1" ref="M101" ca="1">IF($D101="","",INDEX($B$1:$H$1017, $B101, M$1))</f>
        <v>FinanceData'!$O$724:$X$726</v>
      </c>
      <c r="N101" s="291"/>
    </row>
    <row r="102" spans="1:14" ht="30" customHeight="1" x14ac:dyDescent="0.2">
      <c r="A102" s="291"/>
      <c r="B102" s="476">
        <f t="shared" si="10"/>
        <v>102</v>
      </c>
      <c r="C102" s="550" t="s">
        <v>1954</v>
      </c>
      <c r="D102" s="149" t="str" cm="1">
        <f t="array" aca="1" ref="D102" ca="1">MID(CELL("address",FinanceData!O729),FIND("]",CELL("address",FinanceData!O729))+1,255)&amp;":"&amp;MID(CELL("address",FinanceData!X732),FIND("!",CELL("address",FinanceData!X732))+1,255)</f>
        <v>FinanceData'!$O$729:$X$732</v>
      </c>
      <c r="E102" s="149" t="s">
        <v>1967</v>
      </c>
      <c r="F102" s="149" t="str">
        <f ca="1">TableInstructions[[#This Row],[English Comment]]</f>
        <v>FinanceData'!$O$729:$X$732</v>
      </c>
      <c r="G102" s="149" t="s">
        <v>1957</v>
      </c>
      <c r="H102" s="149" t="str">
        <f ca="1">TableInstructions[[#This Row],[English Comment]]</f>
        <v>FinanceData'!$O$729:$X$732</v>
      </c>
      <c r="I102" s="496">
        <f t="shared" ref="I102:I103" si="12">I101</f>
        <v>8</v>
      </c>
      <c r="J102" s="490" t="s">
        <v>317</v>
      </c>
      <c r="K102" s="487">
        <v>45882</v>
      </c>
      <c r="L102" s="665" t="str" cm="1">
        <f t="array" ref="L102">IF($C102="","",INDEX($B$1:$H$1017, $B102, L$1))</f>
        <v>Remplir les frais bancaires</v>
      </c>
      <c r="M102" s="662" t="str" cm="1">
        <f t="array" aca="1" ref="M102" ca="1">IF($D102="","",INDEX($B$1:$H$1017, $B102, M$1))</f>
        <v>FinanceData'!$O$729:$X$732</v>
      </c>
      <c r="N102" s="291"/>
    </row>
    <row r="103" spans="1:14" ht="30" customHeight="1" x14ac:dyDescent="0.2">
      <c r="A103" s="291"/>
      <c r="B103" s="476">
        <f t="shared" si="10"/>
        <v>103</v>
      </c>
      <c r="C103" s="550" t="s">
        <v>1955</v>
      </c>
      <c r="D103" s="149" t="str" cm="1">
        <f t="array" aca="1" ref="D103" ca="1">MID(CELL("address",FinanceData!O737),FIND("]",CELL("address",FinanceData!O737))+1,255)&amp;":"&amp;MID(CELL("address",FinanceData!X741),FIND("!",CELL("address",FinanceData!X741))+1,255)</f>
        <v>FinanceData'!$O$737:$X$741</v>
      </c>
      <c r="E103" s="149" t="s">
        <v>1966</v>
      </c>
      <c r="F103" s="149" t="str">
        <f ca="1">TableInstructions[[#This Row],[English Comment]]</f>
        <v>FinanceData'!$O$737:$X$741</v>
      </c>
      <c r="G103" s="149" t="s">
        <v>1958</v>
      </c>
      <c r="H103" s="149" t="str">
        <f ca="1">TableInstructions[[#This Row],[English Comment]]</f>
        <v>FinanceData'!$O$737:$X$741</v>
      </c>
      <c r="I103" s="496">
        <f t="shared" si="12"/>
        <v>8</v>
      </c>
      <c r="J103" s="490" t="s">
        <v>317</v>
      </c>
      <c r="K103" s="487">
        <v>45882</v>
      </c>
      <c r="L103" s="665" t="str" cm="1">
        <f t="array" ref="L103">IF($C103="","",INDEX($B$1:$H$1017, $B103, L$1))</f>
        <v>Remplir les impôts</v>
      </c>
      <c r="M103" s="662" t="str" cm="1">
        <f t="array" aca="1" ref="M103" ca="1">IF($D103="","",INDEX($B$1:$H$1017, $B103, M$1))</f>
        <v>FinanceData'!$O$737:$X$741</v>
      </c>
      <c r="N103" s="291"/>
    </row>
    <row r="104" spans="1:14" ht="30" customHeight="1" x14ac:dyDescent="0.2">
      <c r="A104" s="291"/>
      <c r="B104" s="476">
        <f t="shared" si="10"/>
        <v>104</v>
      </c>
      <c r="C104" s="550" t="s">
        <v>1438</v>
      </c>
      <c r="D104" s="149" t="str" cm="1">
        <f t="array" aca="1" ref="D104" ca="1">"Section 6 : "&amp;MID(CELL("address",FinanceData!B747),FIND("]",CELL("address",FinanceData!B747))+1,255)</f>
        <v>Section 6 : FinanceData'!$B$747</v>
      </c>
      <c r="E104" s="149" t="s">
        <v>1444</v>
      </c>
      <c r="F104" s="149" t="str">
        <f ca="1">TableInstructions[[#This Row],[English Comment]]</f>
        <v>Section 6 : FinanceData'!$B$747</v>
      </c>
      <c r="G104" s="149" t="s">
        <v>1452</v>
      </c>
      <c r="H104" s="149" t="str">
        <f ca="1">TableInstructions[[#This Row],[English Comment]]</f>
        <v>Section 6 : FinanceData'!$B$747</v>
      </c>
      <c r="I104" s="496">
        <f t="shared" ref="I104:I106" si="13">I103</f>
        <v>8</v>
      </c>
      <c r="J104" s="490" t="s">
        <v>317</v>
      </c>
      <c r="K104" s="487">
        <v>45882</v>
      </c>
      <c r="L104" s="822" t="str" cm="1">
        <f t="array" ref="L104">IF($C104="","",INDEX($B$1:$H$1017, $B104, L$1))</f>
        <v>Section 6 : ETAT FLUX DE TRESORERIE</v>
      </c>
      <c r="M104" s="669" t="str" cm="1">
        <f t="array" aca="1" ref="M104" ca="1">IF($D104="","",INDEX($B$1:$H$1017, $B104, M$1))</f>
        <v>Section 6 : FinanceData'!$B$747</v>
      </c>
      <c r="N104" s="291"/>
    </row>
    <row r="105" spans="1:14" ht="30" customHeight="1" x14ac:dyDescent="0.2">
      <c r="A105" s="291"/>
      <c r="B105" s="476">
        <f t="shared" si="10"/>
        <v>105</v>
      </c>
      <c r="C105" s="550" t="s">
        <v>1959</v>
      </c>
      <c r="D105" s="149" t="str" cm="1">
        <f t="array" aca="1" ref="D105" ca="1">MID(CELL("address",FinanceData!O773),FIND("]",CELL("address",FinanceData!O773))+1,255)&amp;":"&amp;MID(CELL("address",FinanceData!P773),FIND("!",CELL("address",FinanceData!P773))+1,255)</f>
        <v>FinanceData'!$O$773:$P$773</v>
      </c>
      <c r="E105" s="149" t="s">
        <v>1960</v>
      </c>
      <c r="F105" s="149" t="str">
        <f ca="1">TableInstructions[[#This Row],[English Comment]]</f>
        <v>FinanceData'!$O$773:$P$773</v>
      </c>
      <c r="G105" s="149" t="s">
        <v>1961</v>
      </c>
      <c r="H105" s="149" t="str">
        <f ca="1">TableInstructions[[#This Row],[English Comment]]</f>
        <v>FinanceData'!$O$773:$P$773</v>
      </c>
      <c r="I105" s="496">
        <f t="shared" si="13"/>
        <v>8</v>
      </c>
      <c r="J105" s="490" t="s">
        <v>317</v>
      </c>
      <c r="K105" s="487">
        <v>45882</v>
      </c>
      <c r="L105" s="665" t="str" cm="1">
        <f t="array" ref="L105">IF($C105="","",INDEX($B$1:$H$1017, $B105, L$1))</f>
        <v>Remplir la position de trésorerie à la fin de l'ANNEE 2 et de l'ANNEE 1</v>
      </c>
      <c r="M105" s="662" t="str" cm="1">
        <f t="array" aca="1" ref="M105" ca="1">IF($D105="","",INDEX($B$1:$H$1017, $B105, M$1))</f>
        <v>FinanceData'!$O$773:$P$773</v>
      </c>
      <c r="N105" s="291"/>
    </row>
    <row r="106" spans="1:14" ht="30" customHeight="1" x14ac:dyDescent="0.2">
      <c r="A106" s="291"/>
      <c r="B106" s="476">
        <f t="shared" si="10"/>
        <v>106</v>
      </c>
      <c r="C106" s="550" t="s">
        <v>1433</v>
      </c>
      <c r="D106" s="149" t="str" cm="1">
        <f t="array" aca="1" ref="D106" ca="1">"Section 7 : "&amp;MID(CELL("address",FinanceData!B776),FIND("]",CELL("address",FinanceData!B776))+1,255)</f>
        <v>Section 7 : FinanceData'!$B$776</v>
      </c>
      <c r="E106" s="149" t="s">
        <v>1445</v>
      </c>
      <c r="F106" s="149" t="str">
        <f ca="1">TableInstructions[[#This Row],[English Comment]]</f>
        <v>Section 7 : FinanceData'!$B$776</v>
      </c>
      <c r="G106" s="149" t="s">
        <v>1453</v>
      </c>
      <c r="H106" s="149" t="str">
        <f ca="1">TableInstructions[[#This Row],[English Comment]]</f>
        <v>Section 7 : FinanceData'!$B$776</v>
      </c>
      <c r="I106" s="496">
        <f t="shared" si="13"/>
        <v>8</v>
      </c>
      <c r="J106" s="490" t="s">
        <v>317</v>
      </c>
      <c r="K106" s="487">
        <v>45882</v>
      </c>
      <c r="L106" s="821" t="str" cm="1">
        <f t="array" ref="L106">IF($C106="","",INDEX($B$1:$H$1017, $B106, L$1))</f>
        <v>Section 7 : SOURCE DE FINANCEMENT</v>
      </c>
      <c r="M106" s="669" t="str" cm="1">
        <f t="array" aca="1" ref="M106" ca="1">IF($D106="","",INDEX($B$1:$H$1017, $B106, M$1))</f>
        <v>Section 7 : FinanceData'!$B$776</v>
      </c>
      <c r="N106" s="291"/>
    </row>
    <row r="107" spans="1:14" ht="30" customHeight="1" x14ac:dyDescent="0.2">
      <c r="A107" s="291"/>
      <c r="B107" s="476">
        <f t="shared" si="10"/>
        <v>107</v>
      </c>
      <c r="C107" s="550" t="s">
        <v>1962</v>
      </c>
      <c r="D107" s="149" t="str" cm="1">
        <f t="array" aca="1" ref="D107" ca="1">MID(CELL("address",FinanceData!O785),FIND("]",CELL("address",FinanceData!O785))+1,255)&amp;":"&amp;MID(CELL("address",FinanceData!X790),FIND("!",CELL("address",FinanceData!X790))+1,255)</f>
        <v>FinanceData'!$O$785:$X$790</v>
      </c>
      <c r="E107" s="149" t="s">
        <v>1964</v>
      </c>
      <c r="F107" s="149" t="str">
        <f ca="1">TableInstructions[[#This Row],[English Comment]]</f>
        <v>FinanceData'!$O$785:$X$790</v>
      </c>
      <c r="G107" s="149" t="s">
        <v>1963</v>
      </c>
      <c r="H107" s="149" t="str">
        <f ca="1">TableInstructions[[#This Row],[English Comment]]</f>
        <v>FinanceData'!$O$785:$X$790</v>
      </c>
      <c r="I107" s="496">
        <f t="shared" ref="I107:I108" si="14">I106</f>
        <v>8</v>
      </c>
      <c r="J107" s="490" t="s">
        <v>317</v>
      </c>
      <c r="K107" s="487">
        <v>45882</v>
      </c>
      <c r="L107" s="665" t="str" cm="1">
        <f t="array" ref="L107">IF($C107="","",INDEX($B$1:$H$1017, $B107, L$1))</f>
        <v>Remplir les sources de financement : prêt et apport en capital</v>
      </c>
      <c r="M107" s="662" t="str" cm="1">
        <f t="array" aca="1" ref="M107" ca="1">IF($D107="","",INDEX($B$1:$H$1017, $B107, M$1))</f>
        <v>FinanceData'!$O$785:$X$790</v>
      </c>
      <c r="N107" s="291"/>
    </row>
    <row r="108" spans="1:14" ht="14" x14ac:dyDescent="0.2">
      <c r="A108" s="291"/>
      <c r="B108" s="476">
        <f t="shared" si="10"/>
        <v>108</v>
      </c>
      <c r="C108" s="550"/>
      <c r="D108" s="149"/>
      <c r="E108" s="149"/>
      <c r="F108" s="149"/>
      <c r="G108" s="149"/>
      <c r="H108" s="149"/>
      <c r="I108" s="496">
        <f t="shared" si="14"/>
        <v>8</v>
      </c>
      <c r="J108" s="490" t="s">
        <v>317</v>
      </c>
      <c r="K108" s="487">
        <v>45882</v>
      </c>
      <c r="L108" s="659" t="str" cm="1">
        <f t="array" ref="L108">IF($C108="","",INDEX($B$1:$H$1017, $B108, L$1))</f>
        <v/>
      </c>
      <c r="M108" s="669" t="str" cm="1">
        <f t="array" ref="M108">IF($D108="","",INDEX($B$1:$H$1017, $B108, M$1))</f>
        <v/>
      </c>
      <c r="N108" s="291"/>
    </row>
    <row r="109" spans="1:14" x14ac:dyDescent="0.2">
      <c r="A109" s="291"/>
      <c r="B109" s="476">
        <f t="shared" si="10"/>
        <v>109</v>
      </c>
      <c r="C109" s="551"/>
      <c r="D109" s="480"/>
      <c r="E109" s="480"/>
      <c r="F109" s="480"/>
      <c r="G109" s="480"/>
      <c r="H109" s="480"/>
      <c r="I109" s="484"/>
      <c r="J109" s="484"/>
      <c r="K109" s="485"/>
      <c r="L109" s="568"/>
      <c r="M109" s="663"/>
      <c r="N109" s="291"/>
    </row>
    <row r="110" spans="1:14" ht="14" x14ac:dyDescent="0.2">
      <c r="A110" s="291"/>
      <c r="B110" s="476">
        <f t="shared" si="10"/>
        <v>110</v>
      </c>
      <c r="C110" s="550" t="s">
        <v>762</v>
      </c>
      <c r="D110" s="149" t="str" cm="1">
        <f t="array" aca="1" ref="D110" ca="1">"Section 3 : "&amp;MID(CELL("address",FinanceData!D408),FIND("]",CELL("address",FinanceData!D408))+1,255)</f>
        <v>Section 3 : FinanceData'!$D$408</v>
      </c>
      <c r="E110" s="149" t="s">
        <v>128</v>
      </c>
      <c r="F110" s="149" t="str">
        <f ca="1">TableInstructions[[#This Row],[English Comment]]</f>
        <v>Section 3 : FinanceData'!$D$408</v>
      </c>
      <c r="G110" s="149" t="s">
        <v>765</v>
      </c>
      <c r="H110" s="149" t="str">
        <f ca="1">TableInstructions[[#This Row],[English Comment]]</f>
        <v>Section 3 : FinanceData'!$D$408</v>
      </c>
      <c r="I110" s="496">
        <f>I78+1</f>
        <v>9</v>
      </c>
      <c r="J110" s="489" t="s">
        <v>317</v>
      </c>
      <c r="K110" s="487">
        <v>45865</v>
      </c>
      <c r="L110" s="659" t="str" cm="1">
        <f t="array" ref="L110">IF($C110="","",INDEX($B$1:$H$1017, $B110, L$1))</f>
        <v>ACTIFS MATERIEL IMMOBILISES</v>
      </c>
      <c r="M110" s="662" t="str" cm="1">
        <f t="array" aca="1" ref="M110" ca="1">IF($D110="","",INDEX($B$1:$H$1017, $B110, M$1))</f>
        <v>Section 3 : FinanceData'!$D$408</v>
      </c>
      <c r="N110" s="291"/>
    </row>
    <row r="111" spans="1:14" ht="28" x14ac:dyDescent="0.2">
      <c r="A111" s="291"/>
      <c r="B111" s="476">
        <f t="shared" si="10"/>
        <v>111</v>
      </c>
      <c r="C111" s="550" t="s">
        <v>1313</v>
      </c>
      <c r="D111" s="149"/>
      <c r="E111" s="149" t="s">
        <v>231</v>
      </c>
      <c r="F111" s="149"/>
      <c r="G111" s="149" t="s">
        <v>1314</v>
      </c>
      <c r="H111" s="149"/>
      <c r="I111" s="496">
        <f t="shared" ref="I111:I128" si="15">I110</f>
        <v>9</v>
      </c>
      <c r="J111" s="490" t="s">
        <v>317</v>
      </c>
      <c r="K111" s="487">
        <v>45865</v>
      </c>
      <c r="L111" s="665" t="str" cm="1">
        <f t="array" ref="L111">IF($C111="","",INDEX($B$1:$H$1017, $B111, L$1))</f>
        <v>Régles de dépréciation habituelles.  Si d'autres normes existent dans votre pays, vous pouvez modifier les pourcentages d'amortissement habituels</v>
      </c>
      <c r="M111" s="662" t="str" cm="1">
        <f t="array" ref="M111">IF($D111="","",INDEX($B$1:$H$1017, $B111, M$1))</f>
        <v/>
      </c>
      <c r="N111" s="291"/>
    </row>
    <row r="112" spans="1:14" ht="14" x14ac:dyDescent="0.2">
      <c r="A112" s="291"/>
      <c r="B112" s="476">
        <f t="shared" si="10"/>
        <v>112</v>
      </c>
      <c r="C112" s="550" t="s">
        <v>1315</v>
      </c>
      <c r="D112" s="149"/>
      <c r="E112" s="149" t="s">
        <v>220</v>
      </c>
      <c r="F112" s="149"/>
      <c r="G112" s="149" t="s">
        <v>1316</v>
      </c>
      <c r="H112" s="149"/>
      <c r="I112" s="496">
        <f t="shared" si="15"/>
        <v>9</v>
      </c>
      <c r="J112" s="490" t="s">
        <v>317</v>
      </c>
      <c r="K112" s="487">
        <v>45865</v>
      </c>
      <c r="L112" s="667" t="str" cm="1">
        <f t="array" ref="L112">IF($C112="","",INDEX($B$1:$H$1017, $B112, L$1))</f>
        <v>Régles de dépréciation</v>
      </c>
      <c r="M112" s="662" t="str" cm="1">
        <f t="array" ref="M112">IF($D112="","",INDEX($B$1:$H$1017, $B112, M$1))</f>
        <v/>
      </c>
      <c r="N112" s="291"/>
    </row>
    <row r="113" spans="1:14" ht="14" x14ac:dyDescent="0.2">
      <c r="A113" s="291"/>
      <c r="B113" s="476">
        <f t="shared" ref="B113:B164" si="16">ROW(B113)</f>
        <v>113</v>
      </c>
      <c r="C113" s="550" t="s">
        <v>1262</v>
      </c>
      <c r="D113" s="571">
        <v>0</v>
      </c>
      <c r="E113" s="149" t="s">
        <v>221</v>
      </c>
      <c r="F113" s="571">
        <f>TableInstructions[[#This Row],[English Comment]]</f>
        <v>0</v>
      </c>
      <c r="G113" s="149" t="s">
        <v>1317</v>
      </c>
      <c r="H113" s="571">
        <f>TableInstructions[[#This Row],[English Comment]]</f>
        <v>0</v>
      </c>
      <c r="I113" s="496">
        <f t="shared" si="15"/>
        <v>9</v>
      </c>
      <c r="J113" s="490" t="s">
        <v>317</v>
      </c>
      <c r="K113" s="487">
        <v>45865</v>
      </c>
      <c r="L113" s="668" t="str" cm="1">
        <f t="array" ref="L113">IF($C113="","",INDEX($B$1:$H$1017, $B113, L$1))</f>
        <v>Terrain</v>
      </c>
      <c r="M113" s="666" cm="1">
        <f t="array" ref="M113">IF($D113="","",INDEX($B$1:$H$1017, $B113, M$1))</f>
        <v>0</v>
      </c>
      <c r="N113" s="291"/>
    </row>
    <row r="114" spans="1:14" ht="14" x14ac:dyDescent="0.2">
      <c r="A114" s="291"/>
      <c r="B114" s="476">
        <f t="shared" si="16"/>
        <v>114</v>
      </c>
      <c r="C114" s="550" t="s">
        <v>1318</v>
      </c>
      <c r="D114" s="571">
        <v>0.05</v>
      </c>
      <c r="E114" s="149" t="s">
        <v>222</v>
      </c>
      <c r="F114" s="571">
        <f>TableInstructions[[#This Row],[English Comment]]</f>
        <v>0.05</v>
      </c>
      <c r="G114" s="149" t="s">
        <v>1319</v>
      </c>
      <c r="H114" s="571">
        <f>TableInstructions[[#This Row],[English Comment]]</f>
        <v>0.05</v>
      </c>
      <c r="I114" s="496">
        <f t="shared" si="15"/>
        <v>9</v>
      </c>
      <c r="J114" s="490" t="s">
        <v>317</v>
      </c>
      <c r="K114" s="487">
        <v>45865</v>
      </c>
      <c r="L114" s="668" t="str" cm="1">
        <f t="array" ref="L114">IF($C114="","",INDEX($B$1:$H$1017, $B114, L$1))</f>
        <v>Bâtiments</v>
      </c>
      <c r="M114" s="666" cm="1">
        <f t="array" ref="M114">IF($D114="","",INDEX($B$1:$H$1017, $B114, M$1))</f>
        <v>0.05</v>
      </c>
      <c r="N114" s="291"/>
    </row>
    <row r="115" spans="1:14" ht="14" x14ac:dyDescent="0.2">
      <c r="A115" s="291"/>
      <c r="B115" s="476">
        <f t="shared" si="16"/>
        <v>115</v>
      </c>
      <c r="C115" s="550" t="s">
        <v>1320</v>
      </c>
      <c r="D115" s="571">
        <v>0.1</v>
      </c>
      <c r="E115" s="149" t="s">
        <v>223</v>
      </c>
      <c r="F115" s="571">
        <f>TableInstructions[[#This Row],[English Comment]]</f>
        <v>0.1</v>
      </c>
      <c r="G115" s="149" t="s">
        <v>1321</v>
      </c>
      <c r="H115" s="571">
        <f>TableInstructions[[#This Row],[English Comment]]</f>
        <v>0.1</v>
      </c>
      <c r="I115" s="496">
        <f t="shared" si="15"/>
        <v>9</v>
      </c>
      <c r="J115" s="490" t="s">
        <v>317</v>
      </c>
      <c r="K115" s="487">
        <v>45865</v>
      </c>
      <c r="L115" s="668" t="str" cm="1">
        <f t="array" ref="L115">IF($C115="","",INDEX($B$1:$H$1017, $B115, L$1))</f>
        <v>Meubles</v>
      </c>
      <c r="M115" s="666" cm="1">
        <f t="array" ref="M115">IF($D115="","",INDEX($B$1:$H$1017, $B115, M$1))</f>
        <v>0.1</v>
      </c>
      <c r="N115" s="291"/>
    </row>
    <row r="116" spans="1:14" ht="14" x14ac:dyDescent="0.2">
      <c r="A116" s="291"/>
      <c r="B116" s="476">
        <f t="shared" si="16"/>
        <v>116</v>
      </c>
      <c r="C116" s="550" t="s">
        <v>1322</v>
      </c>
      <c r="D116" s="571">
        <v>0.1</v>
      </c>
      <c r="E116" s="149" t="s">
        <v>224</v>
      </c>
      <c r="F116" s="571">
        <f>TableInstructions[[#This Row],[English Comment]]</f>
        <v>0.1</v>
      </c>
      <c r="G116" s="149" t="s">
        <v>1323</v>
      </c>
      <c r="H116" s="571">
        <f>TableInstructions[[#This Row],[English Comment]]</f>
        <v>0.1</v>
      </c>
      <c r="I116" s="496">
        <f t="shared" si="15"/>
        <v>9</v>
      </c>
      <c r="J116" s="490" t="s">
        <v>317</v>
      </c>
      <c r="K116" s="487">
        <v>45865</v>
      </c>
      <c r="L116" s="668" t="str" cm="1">
        <f t="array" ref="L116">IF($C116="","",INDEX($B$1:$H$1017, $B116, L$1))</f>
        <v>Équipement</v>
      </c>
      <c r="M116" s="666" cm="1">
        <f t="array" ref="M116">IF($D116="","",INDEX($B$1:$H$1017, $B116, M$1))</f>
        <v>0.1</v>
      </c>
      <c r="N116" s="291"/>
    </row>
    <row r="117" spans="1:14" ht="14" x14ac:dyDescent="0.2">
      <c r="A117" s="291"/>
      <c r="B117" s="476">
        <f t="shared" si="16"/>
        <v>117</v>
      </c>
      <c r="C117" s="550" t="s">
        <v>1324</v>
      </c>
      <c r="D117" s="571">
        <v>0.1</v>
      </c>
      <c r="E117" s="149" t="s">
        <v>225</v>
      </c>
      <c r="F117" s="571">
        <f>TableInstructions[[#This Row],[English Comment]]</f>
        <v>0.1</v>
      </c>
      <c r="G117" s="149" t="s">
        <v>225</v>
      </c>
      <c r="H117" s="571">
        <f>TableInstructions[[#This Row],[English Comment]]</f>
        <v>0.1</v>
      </c>
      <c r="I117" s="496">
        <f t="shared" si="15"/>
        <v>9</v>
      </c>
      <c r="J117" s="490" t="s">
        <v>317</v>
      </c>
      <c r="K117" s="487">
        <v>45865</v>
      </c>
      <c r="L117" s="668" t="str" cm="1">
        <f t="array" ref="L117">IF($C117="","",INDEX($B$1:$H$1017, $B117, L$1))</f>
        <v>Machines</v>
      </c>
      <c r="M117" s="666" cm="1">
        <f t="array" ref="M117">IF($D117="","",INDEX($B$1:$H$1017, $B117, M$1))</f>
        <v>0.1</v>
      </c>
      <c r="N117" s="291"/>
    </row>
    <row r="118" spans="1:14" ht="14" x14ac:dyDescent="0.2">
      <c r="A118" s="291"/>
      <c r="B118" s="476">
        <f t="shared" si="16"/>
        <v>118</v>
      </c>
      <c r="C118" s="550" t="s">
        <v>1325</v>
      </c>
      <c r="D118" s="571">
        <v>0.1</v>
      </c>
      <c r="E118" s="149" t="s">
        <v>226</v>
      </c>
      <c r="F118" s="571">
        <f>TableInstructions[[#This Row],[English Comment]]</f>
        <v>0.1</v>
      </c>
      <c r="G118" s="149" t="s">
        <v>1326</v>
      </c>
      <c r="H118" s="571">
        <f>TableInstructions[[#This Row],[English Comment]]</f>
        <v>0.1</v>
      </c>
      <c r="I118" s="496">
        <f t="shared" si="15"/>
        <v>9</v>
      </c>
      <c r="J118" s="490" t="s">
        <v>317</v>
      </c>
      <c r="K118" s="487">
        <v>45865</v>
      </c>
      <c r="L118" s="668" t="str" cm="1">
        <f t="array" ref="L118">IF($C118="","",INDEX($B$1:$H$1017, $B118, L$1))</f>
        <v>Installation d'électricité</v>
      </c>
      <c r="M118" s="666" cm="1">
        <f t="array" ref="M118">IF($D118="","",INDEX($B$1:$H$1017, $B118, M$1))</f>
        <v>0.1</v>
      </c>
      <c r="N118" s="291"/>
    </row>
    <row r="119" spans="1:14" ht="14" x14ac:dyDescent="0.2">
      <c r="A119" s="291"/>
      <c r="B119" s="476">
        <f t="shared" si="16"/>
        <v>119</v>
      </c>
      <c r="C119" s="550" t="s">
        <v>1327</v>
      </c>
      <c r="D119" s="571">
        <v>0.2</v>
      </c>
      <c r="E119" s="149" t="s">
        <v>227</v>
      </c>
      <c r="F119" s="571">
        <f>TableInstructions[[#This Row],[English Comment]]</f>
        <v>0.2</v>
      </c>
      <c r="G119" s="149" t="s">
        <v>1328</v>
      </c>
      <c r="H119" s="571">
        <f>TableInstructions[[#This Row],[English Comment]]</f>
        <v>0.2</v>
      </c>
      <c r="I119" s="496">
        <f t="shared" si="15"/>
        <v>9</v>
      </c>
      <c r="J119" s="490" t="s">
        <v>317</v>
      </c>
      <c r="K119" s="487">
        <v>45865</v>
      </c>
      <c r="L119" s="668" t="str" cm="1">
        <f t="array" ref="L119">IF($C119="","",INDEX($B$1:$H$1017, $B119, L$1))</f>
        <v>Voitures / motos</v>
      </c>
      <c r="M119" s="666" cm="1">
        <f t="array" ref="M119">IF($D119="","",INDEX($B$1:$H$1017, $B119, M$1))</f>
        <v>0.2</v>
      </c>
      <c r="N119" s="291"/>
    </row>
    <row r="120" spans="1:14" ht="14" x14ac:dyDescent="0.2">
      <c r="A120" s="291"/>
      <c r="B120" s="476">
        <f t="shared" si="16"/>
        <v>120</v>
      </c>
      <c r="C120" s="550" t="s">
        <v>1329</v>
      </c>
      <c r="D120" s="571">
        <v>0.1</v>
      </c>
      <c r="E120" s="149" t="s">
        <v>228</v>
      </c>
      <c r="F120" s="571">
        <f>TableInstructions[[#This Row],[English Comment]]</f>
        <v>0.1</v>
      </c>
      <c r="G120" s="149" t="s">
        <v>1330</v>
      </c>
      <c r="H120" s="571">
        <f>TableInstructions[[#This Row],[English Comment]]</f>
        <v>0.1</v>
      </c>
      <c r="I120" s="496">
        <f t="shared" si="15"/>
        <v>9</v>
      </c>
      <c r="J120" s="490" t="s">
        <v>317</v>
      </c>
      <c r="K120" s="487">
        <v>45865</v>
      </c>
      <c r="L120" s="668" t="str" cm="1">
        <f t="array" ref="L120">IF($C120="","",INDEX($B$1:$H$1017, $B120, L$1))</f>
        <v>Camions</v>
      </c>
      <c r="M120" s="666" cm="1">
        <f t="array" ref="M120">IF($D120="","",INDEX($B$1:$H$1017, $B120, M$1))</f>
        <v>0.1</v>
      </c>
      <c r="N120" s="291"/>
    </row>
    <row r="121" spans="1:14" ht="14" x14ac:dyDescent="0.2">
      <c r="A121" s="291"/>
      <c r="B121" s="476">
        <f t="shared" si="16"/>
        <v>121</v>
      </c>
      <c r="C121" s="550" t="s">
        <v>1331</v>
      </c>
      <c r="D121" s="571">
        <v>0.25</v>
      </c>
      <c r="E121" s="149" t="s">
        <v>229</v>
      </c>
      <c r="F121" s="571">
        <f>TableInstructions[[#This Row],[English Comment]]</f>
        <v>0.25</v>
      </c>
      <c r="G121" s="149" t="s">
        <v>1331</v>
      </c>
      <c r="H121" s="571">
        <f>TableInstructions[[#This Row],[English Comment]]</f>
        <v>0.25</v>
      </c>
      <c r="I121" s="496">
        <f t="shared" si="15"/>
        <v>9</v>
      </c>
      <c r="J121" s="490" t="s">
        <v>317</v>
      </c>
      <c r="K121" s="487">
        <v>45865</v>
      </c>
      <c r="L121" s="668" t="str" cm="1">
        <f t="array" ref="L121">IF($C121="","",INDEX($B$1:$H$1017, $B121, L$1))</f>
        <v>Ordinateurs + imprimantes</v>
      </c>
      <c r="M121" s="666" cm="1">
        <f t="array" ref="M121">IF($D121="","",INDEX($B$1:$H$1017, $B121, M$1))</f>
        <v>0.25</v>
      </c>
      <c r="N121" s="291"/>
    </row>
    <row r="122" spans="1:14" ht="14" x14ac:dyDescent="0.2">
      <c r="A122" s="291"/>
      <c r="B122" s="476">
        <f t="shared" si="16"/>
        <v>122</v>
      </c>
      <c r="C122" s="550" t="s">
        <v>1332</v>
      </c>
      <c r="D122" s="571">
        <v>0.25</v>
      </c>
      <c r="E122" s="149" t="s">
        <v>230</v>
      </c>
      <c r="F122" s="571">
        <f>TableInstructions[[#This Row],[English Comment]]</f>
        <v>0.25</v>
      </c>
      <c r="G122" s="149" t="s">
        <v>1333</v>
      </c>
      <c r="H122" s="571">
        <f>TableInstructions[[#This Row],[English Comment]]</f>
        <v>0.25</v>
      </c>
      <c r="I122" s="496">
        <f t="shared" si="15"/>
        <v>9</v>
      </c>
      <c r="J122" s="490" t="s">
        <v>317</v>
      </c>
      <c r="K122" s="487">
        <v>45865</v>
      </c>
      <c r="L122" s="668" t="str" cm="1">
        <f t="array" ref="L122">IF($C122="","",INDEX($B$1:$H$1017, $B122, L$1))</f>
        <v>Téléphones portables</v>
      </c>
      <c r="M122" s="666" cm="1">
        <f t="array" ref="M122">IF($D122="","",INDEX($B$1:$H$1017, $B122, M$1))</f>
        <v>0.25</v>
      </c>
      <c r="N122" s="291"/>
    </row>
    <row r="123" spans="1:14" ht="14" x14ac:dyDescent="0.2">
      <c r="A123" s="291"/>
      <c r="B123" s="476">
        <f t="shared" si="16"/>
        <v>123</v>
      </c>
      <c r="C123" s="550" t="s">
        <v>763</v>
      </c>
      <c r="D123" s="149" t="str" cm="1">
        <f t="array" aca="1" ref="D123" ca="1">"Section 3 : "&amp;MID(CELL("address",FinanceData!D486),FIND("]",CELL("address",FinanceData!D486))+1,255)</f>
        <v>Section 3 : FinanceData'!$D$486</v>
      </c>
      <c r="E123" s="149" t="s">
        <v>129</v>
      </c>
      <c r="F123" s="149" t="str">
        <f ca="1">TableInstructions[[#This Row],[English Comment]]</f>
        <v>Section 3 : FinanceData'!$D$486</v>
      </c>
      <c r="G123" s="149" t="s">
        <v>766</v>
      </c>
      <c r="H123" s="149" t="str">
        <f ca="1">TableInstructions[[#This Row],[English Comment]]</f>
        <v>Section 3 : FinanceData'!$D$486</v>
      </c>
      <c r="I123" s="496">
        <f t="shared" si="15"/>
        <v>9</v>
      </c>
      <c r="J123" s="489" t="s">
        <v>317</v>
      </c>
      <c r="K123" s="487">
        <v>45865</v>
      </c>
      <c r="L123" s="659" t="str" cm="1">
        <f t="array" ref="L123">IF($C123="","",INDEX($B$1:$H$1017, $B123, L$1))</f>
        <v>ACTIFS IMMATERIELS</v>
      </c>
      <c r="M123" s="662" t="str" cm="1">
        <f t="array" aca="1" ref="M123" ca="1">IF($D123="","",INDEX($B$1:$H$1017, $B123, M$1))</f>
        <v>Section 3 : FinanceData'!$D$486</v>
      </c>
      <c r="N123" s="291"/>
    </row>
    <row r="124" spans="1:14" ht="42" x14ac:dyDescent="0.2">
      <c r="A124" s="291"/>
      <c r="B124" s="476">
        <f t="shared" si="16"/>
        <v>124</v>
      </c>
      <c r="C124" s="550" t="s">
        <v>1334</v>
      </c>
      <c r="D124" s="149"/>
      <c r="E124" s="149" t="s">
        <v>219</v>
      </c>
      <c r="F124" s="149"/>
      <c r="G124" s="149" t="s">
        <v>1335</v>
      </c>
      <c r="H124" s="149"/>
      <c r="I124" s="496">
        <f t="shared" si="15"/>
        <v>9</v>
      </c>
      <c r="J124" s="490" t="s">
        <v>317</v>
      </c>
      <c r="K124" s="487">
        <v>45865</v>
      </c>
      <c r="L124" s="665" t="str" cm="1">
        <f t="array" ref="L124">IF($C124="","",INDEX($B$1:$H$1017, $B124, L$1))</f>
        <v>Ces investissements ne sont pas tangibles. Il s'agit des coûts de recherche, de seuil (écart d'acquisition ou prix d'achat de la clientèle), de connexion de franchise, de brevets, de licences, de savoir-faire, de marques et d'autres droits équivalents.</v>
      </c>
      <c r="M124" s="662" t="str" cm="1">
        <f t="array" ref="M124">IF($D124="","",INDEX($B$1:$H$1017, $B124, M$1))</f>
        <v/>
      </c>
      <c r="N124" s="291"/>
    </row>
    <row r="125" spans="1:14" ht="14" x14ac:dyDescent="0.2">
      <c r="A125" s="291"/>
      <c r="B125" s="476">
        <f t="shared" si="16"/>
        <v>125</v>
      </c>
      <c r="C125" s="550" t="s">
        <v>1315</v>
      </c>
      <c r="D125" s="571">
        <v>0.2</v>
      </c>
      <c r="E125" s="149" t="s">
        <v>220</v>
      </c>
      <c r="F125" s="571">
        <f>TableInstructions[[#This Row],[English Comment]]</f>
        <v>0.2</v>
      </c>
      <c r="G125" s="149" t="s">
        <v>1316</v>
      </c>
      <c r="H125" s="571">
        <f>TableInstructions[[#This Row],[English Comment]]</f>
        <v>0.2</v>
      </c>
      <c r="I125" s="496">
        <f t="shared" si="15"/>
        <v>9</v>
      </c>
      <c r="J125" s="490" t="s">
        <v>317</v>
      </c>
      <c r="K125" s="487">
        <v>45865</v>
      </c>
      <c r="L125" s="667" t="str" cm="1">
        <f t="array" ref="L125">IF($C125="","",INDEX($B$1:$H$1017, $B125, L$1))</f>
        <v>Régles de dépréciation</v>
      </c>
      <c r="M125" s="666" cm="1">
        <f t="array" ref="M125">IF($D125="","",INDEX($B$1:$H$1017, $B125, M$1))</f>
        <v>0.2</v>
      </c>
      <c r="N125" s="291"/>
    </row>
    <row r="126" spans="1:14" ht="14" x14ac:dyDescent="0.2">
      <c r="A126" s="291"/>
      <c r="B126" s="476">
        <f t="shared" si="16"/>
        <v>126</v>
      </c>
      <c r="C126" s="550" t="s">
        <v>764</v>
      </c>
      <c r="D126" s="149" t="str" cm="1">
        <f t="array" aca="1" ref="D126" ca="1">"Section 3 : "&amp;MID(CELL("address",FinanceData!D493),FIND("]",CELL("address",FinanceData!D493))+1,255)</f>
        <v>Section 3 : FinanceData'!$D$493</v>
      </c>
      <c r="E126" s="149" t="s">
        <v>130</v>
      </c>
      <c r="F126" s="149" t="str">
        <f ca="1">TableInstructions[[#This Row],[English Comment]]</f>
        <v>Section 3 : FinanceData'!$D$493</v>
      </c>
      <c r="G126" s="149" t="s">
        <v>767</v>
      </c>
      <c r="H126" s="149" t="str">
        <f ca="1">TableInstructions[[#This Row],[English Comment]]</f>
        <v>Section 3 : FinanceData'!$D$493</v>
      </c>
      <c r="I126" s="496">
        <f t="shared" si="15"/>
        <v>9</v>
      </c>
      <c r="J126" s="489" t="s">
        <v>317</v>
      </c>
      <c r="K126" s="487">
        <v>45865</v>
      </c>
      <c r="L126" s="659" t="str" cm="1">
        <f t="array" ref="L126">IF($C126="","",INDEX($B$1:$H$1017, $B126, L$1))</f>
        <v>FRAIS DE DEMARRAGE</v>
      </c>
      <c r="M126" s="662" t="str" cm="1">
        <f t="array" aca="1" ref="M126" ca="1">IF($D126="","",INDEX($B$1:$H$1017, $B126, M$1))</f>
        <v>Section 3 : FinanceData'!$D$493</v>
      </c>
      <c r="N126" s="291"/>
    </row>
    <row r="127" spans="1:14" ht="42" x14ac:dyDescent="0.2">
      <c r="A127" s="291"/>
      <c r="B127" s="476">
        <f t="shared" si="16"/>
        <v>127</v>
      </c>
      <c r="C127" s="550" t="s">
        <v>1336</v>
      </c>
      <c r="D127" s="149"/>
      <c r="E127" s="149" t="s">
        <v>218</v>
      </c>
      <c r="F127" s="149"/>
      <c r="G127" s="149" t="s">
        <v>1337</v>
      </c>
      <c r="H127" s="149"/>
      <c r="I127" s="496">
        <f t="shared" si="15"/>
        <v>9</v>
      </c>
      <c r="J127" s="490" t="s">
        <v>317</v>
      </c>
      <c r="K127" s="487">
        <v>45865</v>
      </c>
      <c r="L127" s="665" t="str" cm="1">
        <f t="array" ref="L127">IF($C127="","",INDEX($B$1:$H$1017, $B127, L$1))</f>
        <v>Toutes les dépenses que vous avez faites avant de créer l'entreprise, vous pouvez les activer si elles sont d'un montant assez élevé, sinon vous les prenez comme une charge dans votre compte de profits et pertes</v>
      </c>
      <c r="M127" s="662" t="str" cm="1">
        <f t="array" ref="M127">IF($D127="","",INDEX($B$1:$H$1017, $B127, M$1))</f>
        <v/>
      </c>
      <c r="N127" s="291"/>
    </row>
    <row r="128" spans="1:14" ht="14" x14ac:dyDescent="0.2">
      <c r="A128" s="291"/>
      <c r="B128" s="476">
        <f t="shared" si="16"/>
        <v>128</v>
      </c>
      <c r="C128" s="550" t="s">
        <v>1315</v>
      </c>
      <c r="D128" s="571">
        <v>0.33</v>
      </c>
      <c r="E128" s="149" t="s">
        <v>220</v>
      </c>
      <c r="F128" s="571">
        <f>TableInstructions[[#This Row],[English Comment]]</f>
        <v>0.33</v>
      </c>
      <c r="G128" s="149" t="s">
        <v>1316</v>
      </c>
      <c r="H128" s="571">
        <f>TableInstructions[[#This Row],[English Comment]]</f>
        <v>0.33</v>
      </c>
      <c r="I128" s="496">
        <f t="shared" si="15"/>
        <v>9</v>
      </c>
      <c r="J128" s="490" t="s">
        <v>317</v>
      </c>
      <c r="K128" s="487">
        <v>45865</v>
      </c>
      <c r="L128" s="667" t="str" cm="1">
        <f t="array" ref="L128">IF($C128="","",INDEX($B$1:$H$1017, $B128, L$1))</f>
        <v>Régles de dépréciation</v>
      </c>
      <c r="M128" s="666" cm="1">
        <f t="array" ref="M128">IF($D128="","",INDEX($B$1:$H$1017, $B128, M$1))</f>
        <v>0.33</v>
      </c>
      <c r="N128" s="291"/>
    </row>
    <row r="129" spans="1:14" x14ac:dyDescent="0.2">
      <c r="A129" s="291"/>
      <c r="B129" s="476">
        <f t="shared" si="16"/>
        <v>129</v>
      </c>
      <c r="C129" s="551"/>
      <c r="D129" s="480"/>
      <c r="E129" s="480"/>
      <c r="F129" s="480"/>
      <c r="G129" s="480"/>
      <c r="H129" s="480"/>
      <c r="I129" s="484"/>
      <c r="J129" s="484"/>
      <c r="K129" s="485"/>
      <c r="L129" s="568"/>
      <c r="M129" s="663"/>
      <c r="N129" s="291"/>
    </row>
    <row r="130" spans="1:14" ht="14" x14ac:dyDescent="0.2">
      <c r="A130" s="291"/>
      <c r="B130" s="476">
        <f t="shared" si="16"/>
        <v>130</v>
      </c>
      <c r="C130" s="550" t="s">
        <v>1338</v>
      </c>
      <c r="D130" s="149" t="str" cm="1">
        <f t="array" aca="1" ref="D130" ca="1">"Section 7 : "&amp;MID(CELL("address",FinanceData!H785),FIND("]",CELL("address",FinanceData!H785))+1,255)</f>
        <v>Section 7 : FinanceData'!$H$785</v>
      </c>
      <c r="E130" s="149" t="s">
        <v>165</v>
      </c>
      <c r="F130" s="149" t="str">
        <f ca="1">TableInstructions[[#This Row],[English Comment]]</f>
        <v>Section 7 : FinanceData'!$H$785</v>
      </c>
      <c r="G130" s="149" t="s">
        <v>165</v>
      </c>
      <c r="H130" s="149" t="str">
        <f ca="1">TableInstructions[[#This Row],[English Comment]]</f>
        <v>Section 7 : FinanceData'!$H$785</v>
      </c>
      <c r="I130" s="496">
        <f>I110+1</f>
        <v>10</v>
      </c>
      <c r="J130" s="489" t="s">
        <v>317</v>
      </c>
      <c r="K130" s="487">
        <v>45865</v>
      </c>
      <c r="L130" s="659" t="str" cm="1">
        <f t="array" ref="L130">IF($C130="","",INDEX($B$1:$H$1017, $B130, L$1))</f>
        <v>PRET OVO</v>
      </c>
      <c r="M130" s="662" t="str" cm="1">
        <f t="array" aca="1" ref="M130" ca="1">IF($D130="","",INDEX($B$1:$H$1017, $B130, M$1))</f>
        <v>Section 7 : FinanceData'!$H$785</v>
      </c>
      <c r="N130" s="291"/>
    </row>
    <row r="131" spans="1:14" ht="14" x14ac:dyDescent="0.2">
      <c r="A131" s="291"/>
      <c r="B131" s="476">
        <f t="shared" si="16"/>
        <v>131</v>
      </c>
      <c r="C131" s="550" t="s">
        <v>1339</v>
      </c>
      <c r="D131" s="149"/>
      <c r="E131" s="149" t="s">
        <v>233</v>
      </c>
      <c r="F131" s="149"/>
      <c r="G131" s="149" t="s">
        <v>1340</v>
      </c>
      <c r="H131" s="149"/>
      <c r="I131" s="496">
        <f t="shared" ref="I131:I137" si="17">I130</f>
        <v>10</v>
      </c>
      <c r="J131" s="490" t="s">
        <v>317</v>
      </c>
      <c r="K131" s="487">
        <v>45865</v>
      </c>
      <c r="L131" s="491" t="str" cm="1">
        <f t="array" ref="L131">IF($C131="","",INDEX($B$1:$H$1017, $B131, L$1))</f>
        <v>Régles générales :</v>
      </c>
      <c r="M131" s="662" t="str" cm="1">
        <f t="array" ref="M131">IF($D131="","",INDEX($B$1:$H$1017, $B131, M$1))</f>
        <v/>
      </c>
      <c r="N131" s="291"/>
    </row>
    <row r="132" spans="1:14" ht="14" x14ac:dyDescent="0.2">
      <c r="A132" s="291"/>
      <c r="B132" s="476">
        <f t="shared" si="16"/>
        <v>132</v>
      </c>
      <c r="C132" s="550" t="s">
        <v>1341</v>
      </c>
      <c r="D132" s="149"/>
      <c r="E132" s="149" t="s">
        <v>234</v>
      </c>
      <c r="F132" s="149"/>
      <c r="G132" s="149" t="s">
        <v>1342</v>
      </c>
      <c r="H132" s="149"/>
      <c r="I132" s="496">
        <f t="shared" si="17"/>
        <v>10</v>
      </c>
      <c r="J132" s="490" t="s">
        <v>317</v>
      </c>
      <c r="K132" s="487">
        <v>45865</v>
      </c>
      <c r="L132" s="665" t="str" cm="1">
        <f t="array" ref="L132">IF($C132="","",INDEX($B$1:$H$1017, $B132, L$1))</f>
        <v>Montant le plus élevé que OVO suggère de soutenir est de 50,000 EUR.</v>
      </c>
      <c r="M132" s="662" t="str" cm="1">
        <f t="array" ref="M132">IF($D132="","",INDEX($B$1:$H$1017, $B132, M$1))</f>
        <v/>
      </c>
      <c r="N132" s="291"/>
    </row>
    <row r="133" spans="1:14" ht="28" x14ac:dyDescent="0.2">
      <c r="A133" s="291"/>
      <c r="B133" s="476">
        <f t="shared" si="16"/>
        <v>133</v>
      </c>
      <c r="C133" s="550" t="s">
        <v>1343</v>
      </c>
      <c r="D133" s="149"/>
      <c r="E133" s="149" t="s">
        <v>232</v>
      </c>
      <c r="F133" s="149"/>
      <c r="G133" s="149" t="s">
        <v>1344</v>
      </c>
      <c r="H133" s="149"/>
      <c r="I133" s="496">
        <f t="shared" si="17"/>
        <v>10</v>
      </c>
      <c r="J133" s="490" t="s">
        <v>317</v>
      </c>
      <c r="K133" s="487">
        <v>45865</v>
      </c>
      <c r="L133" s="665" t="str" cm="1">
        <f t="array" ref="L133">IF($C133="","",INDEX($B$1:$H$1017, $B133, L$1))</f>
        <v>Prêt de 4 ans (période maximale de remboursement) prévue par OVO et dépendant de l'évolution de la trésorerie.</v>
      </c>
      <c r="M133" s="662" t="str" cm="1">
        <f t="array" ref="M133">IF($D133="","",INDEX($B$1:$H$1017, $B133, M$1))</f>
        <v/>
      </c>
      <c r="N133" s="291"/>
    </row>
    <row r="134" spans="1:14" ht="28" x14ac:dyDescent="0.2">
      <c r="A134" s="291"/>
      <c r="B134" s="476">
        <f t="shared" si="16"/>
        <v>134</v>
      </c>
      <c r="C134" s="550" t="s">
        <v>1345</v>
      </c>
      <c r="D134" s="149"/>
      <c r="E134" s="149" t="s">
        <v>235</v>
      </c>
      <c r="F134" s="149"/>
      <c r="G134" s="149" t="s">
        <v>1346</v>
      </c>
      <c r="H134" s="149"/>
      <c r="I134" s="496">
        <f t="shared" si="17"/>
        <v>10</v>
      </c>
      <c r="J134" s="490" t="s">
        <v>317</v>
      </c>
      <c r="K134" s="487">
        <v>45865</v>
      </c>
      <c r="L134" s="665" t="str" cm="1">
        <f t="array" ref="L134">IF($C134="","",INDEX($B$1:$H$1017, $B134, L$1))</f>
        <v>Intérêt de 7 % sur base annuelle et en EUR.  A augmenter éventuellement avec le % de la dévaluation prévue de la monnaie locale par rapport à l'EUR.</v>
      </c>
      <c r="M134" s="662" t="str" cm="1">
        <f t="array" ref="M134">IF($D134="","",INDEX($B$1:$H$1017, $B134, M$1))</f>
        <v/>
      </c>
      <c r="N134" s="291"/>
    </row>
    <row r="135" spans="1:14" ht="14" x14ac:dyDescent="0.2">
      <c r="A135" s="291"/>
      <c r="B135" s="476">
        <f t="shared" si="16"/>
        <v>135</v>
      </c>
      <c r="C135" s="550" t="s">
        <v>1347</v>
      </c>
      <c r="D135" s="149"/>
      <c r="E135" s="149" t="s">
        <v>236</v>
      </c>
      <c r="F135" s="149"/>
      <c r="G135" s="149" t="s">
        <v>1348</v>
      </c>
      <c r="H135" s="149"/>
      <c r="I135" s="496">
        <f t="shared" si="17"/>
        <v>10</v>
      </c>
      <c r="J135" s="490" t="s">
        <v>317</v>
      </c>
      <c r="K135" s="487">
        <v>45865</v>
      </c>
      <c r="L135" s="491" t="str" cm="1">
        <f t="array" ref="L135">IF($C135="","",INDEX($B$1:$H$1017, $B135, L$1))</f>
        <v>Exception :</v>
      </c>
      <c r="M135" s="662" t="str" cm="1">
        <f t="array" ref="M135">IF($D135="","",INDEX($B$1:$H$1017, $B135, M$1))</f>
        <v/>
      </c>
      <c r="N135" s="291"/>
    </row>
    <row r="136" spans="1:14" ht="14" x14ac:dyDescent="0.2">
      <c r="A136" s="291"/>
      <c r="B136" s="476">
        <f t="shared" si="16"/>
        <v>136</v>
      </c>
      <c r="C136" s="550" t="s">
        <v>1349</v>
      </c>
      <c r="D136" s="149"/>
      <c r="E136" s="149" t="s">
        <v>237</v>
      </c>
      <c r="F136" s="149"/>
      <c r="G136" s="149" t="s">
        <v>1350</v>
      </c>
      <c r="H136" s="149"/>
      <c r="I136" s="496">
        <f t="shared" si="17"/>
        <v>10</v>
      </c>
      <c r="J136" s="490" t="s">
        <v>317</v>
      </c>
      <c r="K136" s="487">
        <v>45865</v>
      </c>
      <c r="L136" s="665" t="str" cm="1">
        <f t="array" ref="L136">IF($C136="","",INDEX($B$1:$H$1017, $B136, L$1))</f>
        <v>Prêts à court terme pour un an maximum.</v>
      </c>
      <c r="M136" s="662" t="str" cm="1">
        <f t="array" ref="M136">IF($D136="","",INDEX($B$1:$H$1017, $B136, M$1))</f>
        <v/>
      </c>
      <c r="N136" s="291"/>
    </row>
    <row r="137" spans="1:14" ht="28" x14ac:dyDescent="0.2">
      <c r="A137" s="291"/>
      <c r="B137" s="476">
        <f t="shared" si="16"/>
        <v>137</v>
      </c>
      <c r="C137" s="550" t="s">
        <v>1351</v>
      </c>
      <c r="D137" s="149"/>
      <c r="E137" s="149" t="s">
        <v>238</v>
      </c>
      <c r="F137" s="149"/>
      <c r="G137" s="149" t="s">
        <v>1352</v>
      </c>
      <c r="H137" s="149"/>
      <c r="I137" s="496">
        <f t="shared" si="17"/>
        <v>10</v>
      </c>
      <c r="J137" s="490" t="s">
        <v>317</v>
      </c>
      <c r="K137" s="487">
        <v>45865</v>
      </c>
      <c r="L137" s="665" t="str" cm="1">
        <f t="array" ref="L137">IF($C137="","",INDEX($B$1:$H$1017, $B137, L$1))</f>
        <v>Intérêt de 12% sur une base annuelle.  A augmenter éventuellement avec le % de la dévaluation prévue de la monnaie locale par rapport à l'EUR.</v>
      </c>
      <c r="M137" s="662" t="str" cm="1">
        <f t="array" ref="M137">IF($D137="","",INDEX($B$1:$H$1017, $B137, M$1))</f>
        <v/>
      </c>
      <c r="N137" s="291"/>
    </row>
    <row r="138" spans="1:14" x14ac:dyDescent="0.2">
      <c r="A138" s="291"/>
      <c r="B138" s="476">
        <f t="shared" si="16"/>
        <v>138</v>
      </c>
      <c r="C138" s="551"/>
      <c r="D138" s="480"/>
      <c r="E138" s="480"/>
      <c r="F138" s="480"/>
      <c r="G138" s="480"/>
      <c r="H138" s="480"/>
      <c r="I138" s="484"/>
      <c r="J138" s="484"/>
      <c r="K138" s="485"/>
      <c r="L138" s="568"/>
      <c r="M138" s="663"/>
      <c r="N138" s="291"/>
    </row>
    <row r="139" spans="1:14" ht="42" x14ac:dyDescent="0.2">
      <c r="A139" s="291"/>
      <c r="B139" s="476">
        <f t="shared" si="16"/>
        <v>139</v>
      </c>
      <c r="C139" s="550" t="s">
        <v>1353</v>
      </c>
      <c r="D139" s="149"/>
      <c r="E139" s="149" t="s">
        <v>1354</v>
      </c>
      <c r="F139" s="149"/>
      <c r="G139" s="149" t="s">
        <v>1355</v>
      </c>
      <c r="H139" s="149"/>
      <c r="I139" s="496">
        <f>I130+1</f>
        <v>11</v>
      </c>
      <c r="J139" s="489" t="s">
        <v>317</v>
      </c>
      <c r="K139" s="487">
        <v>45865</v>
      </c>
      <c r="L139" s="659" t="str" cm="1">
        <f t="array" ref="L139">IF($C139="","",INDEX($B$1:$H$1017, $B139, L$1))</f>
        <v>Une fois les données saisies ou mises à jour dans la feuille "FinanceData", il est indispensable de rafraîchir les tableaux dynamiques afin qu’ils reflètent les dernières informations. Sans cette actualisation, les tableaux risquent d’afficher des données obsolètes.</v>
      </c>
      <c r="M139" s="662" t="str" cm="1">
        <f t="array" ref="M139">IF($D139="","",INDEX($B$1:$H$1017, $B139, M$1))</f>
        <v/>
      </c>
      <c r="N139" s="291"/>
    </row>
    <row r="140" spans="1:14" ht="42" x14ac:dyDescent="0.2">
      <c r="A140" s="291"/>
      <c r="B140" s="476">
        <f t="shared" si="16"/>
        <v>140</v>
      </c>
      <c r="C140" s="550" t="s">
        <v>1414</v>
      </c>
      <c r="D140" s="149" t="str" cm="1">
        <f t="array" aca="1" ref="D140" ca="1">MID(CELL("address",FinanceData!E2),FIND("]",CELL("address",FinanceData!E2))+1,255)</f>
        <v>FinanceData'!$E$2</v>
      </c>
      <c r="E140" s="149" t="s">
        <v>1412</v>
      </c>
      <c r="F140" s="149" t="str">
        <f ca="1">TableInstructions[[#This Row],[English Comment]]</f>
        <v>FinanceData'!$E$2</v>
      </c>
      <c r="G140" s="149" t="s">
        <v>1415</v>
      </c>
      <c r="H140" s="149" t="str">
        <f ca="1">TableInstructions[[#This Row],[English Comment]]</f>
        <v>FinanceData'!$E$2</v>
      </c>
      <c r="I140" s="496">
        <f>I139</f>
        <v>11</v>
      </c>
      <c r="J140" s="490" t="s">
        <v>317</v>
      </c>
      <c r="K140" s="487">
        <v>45865</v>
      </c>
      <c r="L140" s="665" t="str" cm="1">
        <f t="array" ref="L140">IF($C140="","",INDEX($B$1:$H$1017, $B140, L$1))</f>
        <v>🔄 Actualisation des tableaux dynamiques
Cliquez sur le bouton "Refresh All Pivots" dans la feuille "FinanceData"
Cela garantit que les tableaux affichent les données les plus récentes</v>
      </c>
      <c r="M140" s="662" t="str" cm="1">
        <f t="array" aca="1" ref="M140" ca="1">IF($D140="","",INDEX($B$1:$H$1017, $B140, M$1))</f>
        <v>FinanceData'!$E$2</v>
      </c>
      <c r="N140" s="291"/>
    </row>
    <row r="141" spans="1:14" x14ac:dyDescent="0.2">
      <c r="A141" s="291"/>
      <c r="B141" s="476">
        <f t="shared" si="16"/>
        <v>141</v>
      </c>
      <c r="C141" s="551"/>
      <c r="D141" s="480"/>
      <c r="E141" s="480"/>
      <c r="F141" s="480"/>
      <c r="G141" s="480"/>
      <c r="H141" s="480"/>
      <c r="I141" s="484"/>
      <c r="J141" s="484"/>
      <c r="K141" s="485"/>
      <c r="L141" s="568"/>
      <c r="M141" s="663"/>
      <c r="N141" s="291"/>
    </row>
    <row r="142" spans="1:14" ht="28" x14ac:dyDescent="0.2">
      <c r="A142" s="291"/>
      <c r="B142" s="476">
        <f t="shared" si="16"/>
        <v>142</v>
      </c>
      <c r="C142" s="550" t="s">
        <v>1460</v>
      </c>
      <c r="D142" s="149"/>
      <c r="E142" s="149" t="s">
        <v>1462</v>
      </c>
      <c r="F142" s="149"/>
      <c r="G142" s="149" t="s">
        <v>1461</v>
      </c>
      <c r="H142" s="149"/>
      <c r="I142" s="496">
        <f>I139+1</f>
        <v>12</v>
      </c>
      <c r="J142" s="489" t="s">
        <v>317</v>
      </c>
      <c r="K142" s="487">
        <v>45902</v>
      </c>
      <c r="L142" s="659" t="str" cm="1">
        <f t="array" ref="L142">IF($C142="","",INDEX($B$1:$H$1017, $B142, L$1))</f>
        <v>Une fois les données finalisées sur la base d'un scénario type, vous pouvez simuler le meilleur scénario et le pire scénario.</v>
      </c>
      <c r="M142" s="662" t="str" cm="1">
        <f t="array" ref="M142">IF($D142="","",INDEX($B$1:$H$1017, $B142, M$1))</f>
        <v/>
      </c>
      <c r="N142" s="291"/>
    </row>
    <row r="143" spans="1:14" ht="14" x14ac:dyDescent="0.2">
      <c r="A143" s="291"/>
      <c r="B143" s="476">
        <f t="shared" si="16"/>
        <v>143</v>
      </c>
      <c r="C143" s="550" t="s">
        <v>1465</v>
      </c>
      <c r="D143" s="149" t="str" cm="1">
        <f t="array" aca="1" ref="D143" ca="1">MID(CELL("address",InputsData!C129),FIND("]",CELL("address",InputsData!C129))+1,255)</f>
        <v>InputsData'!$C$129</v>
      </c>
      <c r="E143" s="149" t="s">
        <v>1466</v>
      </c>
      <c r="F143" s="149" t="str">
        <f ca="1">TableInstructions[[#This Row],[English Comment]]</f>
        <v>InputsData'!$C$129</v>
      </c>
      <c r="G143" s="149" t="s">
        <v>1467</v>
      </c>
      <c r="H143" s="149" t="str">
        <f ca="1">TableInstructions[[#This Row],[English Comment]]</f>
        <v>InputsData'!$C$129</v>
      </c>
      <c r="I143" s="496">
        <f>I142</f>
        <v>12</v>
      </c>
      <c r="J143" s="490" t="s">
        <v>317</v>
      </c>
      <c r="K143" s="487">
        <v>45902</v>
      </c>
      <c r="L143" s="665" t="str" cm="1">
        <f t="array" ref="L143">IF($C143="","",INDEX($B$1:$H$1017, $B143, L$1))</f>
        <v>Ajustez si nécessaire les paramètres du scénario de la feuille « InputsData »</v>
      </c>
      <c r="M143" s="662" t="str" cm="1">
        <f t="array" aca="1" ref="M143" ca="1">IF($D143="","",INDEX($B$1:$H$1017, $B143, M$1))</f>
        <v>InputsData'!$C$129</v>
      </c>
      <c r="N143" s="291"/>
    </row>
    <row r="144" spans="1:14" ht="14" x14ac:dyDescent="0.2">
      <c r="A144" s="291"/>
      <c r="B144" s="476">
        <f t="shared" si="16"/>
        <v>144</v>
      </c>
      <c r="C144" s="550" t="s">
        <v>1463</v>
      </c>
      <c r="D144" s="149" t="str" cm="1">
        <f t="array" aca="1" ref="D144" ca="1">MID(CELL("address",FinanceData!H2),FIND("]",CELL("address",FinanceData!H2))+1,255)</f>
        <v>FinanceData'!$H$2</v>
      </c>
      <c r="E144" s="149" t="s">
        <v>1464</v>
      </c>
      <c r="F144" s="149" t="str">
        <f ca="1">TableInstructions[[#This Row],[English Comment]]</f>
        <v>FinanceData'!$H$2</v>
      </c>
      <c r="G144" s="149" t="s">
        <v>1468</v>
      </c>
      <c r="H144" s="149" t="str">
        <f ca="1">TableInstructions[[#This Row],[English Comment]]</f>
        <v>FinanceData'!$H$2</v>
      </c>
      <c r="I144" s="496">
        <f t="shared" ref="I144:I146" si="18">I143</f>
        <v>12</v>
      </c>
      <c r="J144" s="490" t="s">
        <v>317</v>
      </c>
      <c r="K144" s="487">
        <v>45902</v>
      </c>
      <c r="L144" s="665" t="str" cm="1">
        <f t="array" ref="L144">IF($C144="","",INDEX($B$1:$H$1017, $B144, L$1))</f>
        <v>Sélectionnez le scénario dans la feuille « FinanceData »</v>
      </c>
      <c r="M144" s="662" t="str" cm="1">
        <f t="array" aca="1" ref="M144" ca="1">IF($D144="","",INDEX($B$1:$H$1017, $B144, M$1))</f>
        <v>FinanceData'!$H$2</v>
      </c>
      <c r="N144" s="291"/>
    </row>
    <row r="145" spans="1:14" ht="42" x14ac:dyDescent="0.2">
      <c r="A145" s="291"/>
      <c r="B145" s="476">
        <f t="shared" si="16"/>
        <v>145</v>
      </c>
      <c r="C145" s="550" t="s">
        <v>1414</v>
      </c>
      <c r="D145" s="149" t="str" cm="1">
        <f t="array" aca="1" ref="D145" ca="1">MID(CELL("address",FinanceData!E7),FIND("]",CELL("address",FinanceData!E7))+1,255)</f>
        <v>FinanceData'!$E$7</v>
      </c>
      <c r="E145" s="149" t="s">
        <v>1412</v>
      </c>
      <c r="F145" s="149" t="str">
        <f ca="1">TableInstructions[[#This Row],[English Comment]]</f>
        <v>FinanceData'!$E$7</v>
      </c>
      <c r="G145" s="149" t="s">
        <v>1415</v>
      </c>
      <c r="H145" s="149" t="str">
        <f ca="1">TableInstructions[[#This Row],[English Comment]]</f>
        <v>FinanceData'!$E$7</v>
      </c>
      <c r="I145" s="496">
        <f t="shared" si="18"/>
        <v>12</v>
      </c>
      <c r="J145" s="490" t="s">
        <v>317</v>
      </c>
      <c r="K145" s="487">
        <v>45902</v>
      </c>
      <c r="L145" s="665" t="str" cm="1">
        <f t="array" ref="L145">IF($C145="","",INDEX($B$1:$H$1017, $B145, L$1))</f>
        <v>🔄 Actualisation des tableaux dynamiques
Cliquez sur le bouton "Refresh All Pivots" dans la feuille "FinanceData"
Cela garantit que les tableaux affichent les données les plus récentes</v>
      </c>
      <c r="M145" s="662" t="str" cm="1">
        <f t="array" aca="1" ref="M145" ca="1">IF($D145="","",INDEX($B$1:$H$1017, $B145, M$1))</f>
        <v>FinanceData'!$E$7</v>
      </c>
      <c r="N145" s="291"/>
    </row>
    <row r="146" spans="1:14" ht="14" x14ac:dyDescent="0.2">
      <c r="A146" s="291"/>
      <c r="B146" s="476">
        <f t="shared" si="16"/>
        <v>146</v>
      </c>
      <c r="C146" s="550"/>
      <c r="D146" s="149"/>
      <c r="E146" s="149"/>
      <c r="F146" s="149"/>
      <c r="G146" s="149"/>
      <c r="H146" s="149"/>
      <c r="I146" s="496">
        <f t="shared" si="18"/>
        <v>12</v>
      </c>
      <c r="J146" s="490" t="s">
        <v>317</v>
      </c>
      <c r="K146" s="487">
        <v>45902</v>
      </c>
      <c r="L146" s="488" t="str" cm="1">
        <f t="array" ref="L146">IF($C146="","",INDEX($B$1:$H$1017, $B146, L$1))</f>
        <v/>
      </c>
      <c r="M146" s="662" t="str" cm="1">
        <f t="array" ref="M146">IF($D146="","",INDEX($B$1:$H$1017, $B146, M$1))</f>
        <v/>
      </c>
      <c r="N146" s="291"/>
    </row>
    <row r="147" spans="1:14" x14ac:dyDescent="0.2">
      <c r="A147" s="291"/>
      <c r="B147" s="476">
        <f t="shared" si="16"/>
        <v>147</v>
      </c>
      <c r="C147" s="551"/>
      <c r="D147" s="480"/>
      <c r="E147" s="480"/>
      <c r="F147" s="480"/>
      <c r="G147" s="480"/>
      <c r="H147" s="480"/>
      <c r="I147" s="484"/>
      <c r="J147" s="484"/>
      <c r="K147" s="485"/>
      <c r="L147" s="568"/>
      <c r="M147" s="663"/>
      <c r="N147" s="291"/>
    </row>
    <row r="148" spans="1:14" ht="28" x14ac:dyDescent="0.2">
      <c r="A148" s="291"/>
      <c r="B148" s="476">
        <f t="shared" si="16"/>
        <v>148</v>
      </c>
      <c r="C148" s="550" t="s">
        <v>1457</v>
      </c>
      <c r="D148" s="149" t="str" cm="1">
        <f t="array" aca="1" ref="D148" ca="1">MID(CELL("address",FinancePivot!B1),FIND("]",CELL("address",FinancePivot!D60))+1,255)</f>
        <v>FinancePivot'!$B$1</v>
      </c>
      <c r="E148" s="149" t="s">
        <v>1458</v>
      </c>
      <c r="F148" s="149" t="str">
        <f ca="1">TableInstructions[[#This Row],[English Comment]]</f>
        <v>FinancePivot'!$B$1</v>
      </c>
      <c r="G148" s="149" t="s">
        <v>1459</v>
      </c>
      <c r="H148" s="149" t="str">
        <f ca="1">TableInstructions[[#This Row],[English Comment]]</f>
        <v>FinancePivot'!$B$1</v>
      </c>
      <c r="I148" s="496">
        <f>I142+1</f>
        <v>13</v>
      </c>
      <c r="J148" s="494" t="s">
        <v>318</v>
      </c>
      <c r="K148" s="487">
        <v>45865</v>
      </c>
      <c r="L148" s="488" t="str" cm="1">
        <f t="array" ref="L148">IF($C148="","",INDEX($B$1:$H$1017, $B148, L$1))</f>
        <v>Les tableaux croisés dynamiques en devise locale sont mis à jour automatiquement après avoir cliqué sur le bouton "Refresh All Pivots" dans la feuille "FinanceData"</v>
      </c>
      <c r="M148" s="662" t="str" cm="1">
        <f t="array" aca="1" ref="M148" ca="1">IF($D148="","",INDEX($B$1:$H$1017, $B148, M$1))</f>
        <v>FinancePivot'!$B$1</v>
      </c>
      <c r="N148" s="291"/>
    </row>
    <row r="149" spans="1:14" ht="14" x14ac:dyDescent="0.2">
      <c r="A149" s="291"/>
      <c r="B149" s="476">
        <f t="shared" si="16"/>
        <v>149</v>
      </c>
      <c r="C149" s="550"/>
      <c r="D149" s="149"/>
      <c r="E149" s="149"/>
      <c r="F149" s="149"/>
      <c r="G149" s="149"/>
      <c r="H149" s="149"/>
      <c r="I149" s="496">
        <f t="shared" ref="I149:I182" si="19">I148</f>
        <v>13</v>
      </c>
      <c r="J149" s="495" t="s">
        <v>318</v>
      </c>
      <c r="K149" s="487">
        <v>45865</v>
      </c>
      <c r="L149" s="488" t="str" cm="1">
        <f t="array" ref="L149">IF($C149="","",INDEX($B$1:$H$1017, $B149, L$1))</f>
        <v/>
      </c>
      <c r="M149" s="662" t="str" cm="1">
        <f t="array" ref="M149">IF($D149="","",INDEX($B$1:$H$1017, $B149, M$1))</f>
        <v/>
      </c>
      <c r="N149" s="291"/>
    </row>
    <row r="150" spans="1:14" ht="14" x14ac:dyDescent="0.2">
      <c r="A150" s="291"/>
      <c r="B150" s="476">
        <f t="shared" si="16"/>
        <v>150</v>
      </c>
      <c r="C150" s="550" t="s">
        <v>204</v>
      </c>
      <c r="D150" s="149" t="str" cm="1">
        <f t="array" aca="1" ref="D150" ca="1">MID(CELL("address",FinancePivot!E83),FIND("]",CELL("address",FinancePivot!E83))+1,255)</f>
        <v>FinancePivot'!$E$83</v>
      </c>
      <c r="E150" s="149" t="s">
        <v>204</v>
      </c>
      <c r="F150" s="149" t="str">
        <f ca="1">TableInstructions[[#This Row],[English Comment]]</f>
        <v>FinancePivot'!$E$83</v>
      </c>
      <c r="G150" s="149" t="s">
        <v>204</v>
      </c>
      <c r="H150" s="149" t="str">
        <f ca="1">TableInstructions[[#This Row],[English Comment]]</f>
        <v>FinancePivot'!$E$83</v>
      </c>
      <c r="I150" s="496">
        <f t="shared" si="19"/>
        <v>13</v>
      </c>
      <c r="J150" s="495" t="s">
        <v>318</v>
      </c>
      <c r="K150" s="487">
        <v>45865</v>
      </c>
      <c r="L150" s="488" t="str" cm="1">
        <f t="array" ref="L150">IF($C150="","",INDEX($B$1:$H$1017, $B150, L$1))</f>
        <v>RATIOS</v>
      </c>
      <c r="M150" s="662" t="str" cm="1">
        <f t="array" aca="1" ref="M150" ca="1">IF($D150="","",INDEX($B$1:$H$1017, $B150, M$1))</f>
        <v>FinancePivot'!$E$83</v>
      </c>
      <c r="N150" s="291"/>
    </row>
    <row r="151" spans="1:14" ht="14" x14ac:dyDescent="0.2">
      <c r="A151" s="291"/>
      <c r="B151" s="476">
        <f t="shared" si="16"/>
        <v>151</v>
      </c>
      <c r="C151" s="550" t="s">
        <v>1066</v>
      </c>
      <c r="D151" s="149"/>
      <c r="E151" s="149" t="s">
        <v>209</v>
      </c>
      <c r="F151" s="149"/>
      <c r="G151" s="149" t="s">
        <v>1036</v>
      </c>
      <c r="H151" s="149"/>
      <c r="I151" s="496">
        <f t="shared" si="19"/>
        <v>13</v>
      </c>
      <c r="J151" s="495" t="s">
        <v>318</v>
      </c>
      <c r="K151" s="487">
        <v>45865</v>
      </c>
      <c r="L151" s="488" t="str" cm="1">
        <f t="array" ref="L151">IF($C151="","",INDEX($B$1:$H$1017, $B151, L$1))</f>
        <v>RATIOS COMPTE DE PERTES ET PROFITS</v>
      </c>
      <c r="M151" s="662" t="str" cm="1">
        <f t="array" ref="M151">IF($D151="","",INDEX($B$1:$H$1017, $B151, M$1))</f>
        <v/>
      </c>
      <c r="N151" s="291"/>
    </row>
    <row r="152" spans="1:14" ht="14" x14ac:dyDescent="0.2">
      <c r="A152" s="291"/>
      <c r="B152" s="476">
        <f t="shared" si="16"/>
        <v>152</v>
      </c>
      <c r="C152" s="550" t="s">
        <v>1029</v>
      </c>
      <c r="D152" s="149"/>
      <c r="E152" s="149" t="s">
        <v>210</v>
      </c>
      <c r="F152" s="149"/>
      <c r="G152" s="149" t="s">
        <v>1037</v>
      </c>
      <c r="H152" s="149"/>
      <c r="I152" s="496">
        <f t="shared" si="19"/>
        <v>13</v>
      </c>
      <c r="J152" s="495" t="s">
        <v>318</v>
      </c>
      <c r="K152" s="487">
        <v>45865</v>
      </c>
      <c r="L152" s="488" t="str" cm="1">
        <f t="array" ref="L152">IF($C152="","",INDEX($B$1:$H$1017, $B152, L$1))</f>
        <v>MARGE BRUTE / REVENUS</v>
      </c>
      <c r="M152" s="662" t="str" cm="1">
        <f t="array" ref="M152">IF($D152="","",INDEX($B$1:$H$1017, $B152, M$1))</f>
        <v/>
      </c>
      <c r="N152" s="291"/>
    </row>
    <row r="153" spans="1:14" ht="14" x14ac:dyDescent="0.2">
      <c r="A153" s="291"/>
      <c r="B153" s="476">
        <f t="shared" si="16"/>
        <v>153</v>
      </c>
      <c r="C153" s="550" t="s">
        <v>1067</v>
      </c>
      <c r="D153" s="149"/>
      <c r="E153" s="149" t="s">
        <v>211</v>
      </c>
      <c r="F153" s="149"/>
      <c r="G153" s="149" t="s">
        <v>1038</v>
      </c>
      <c r="H153" s="149"/>
      <c r="I153" s="496">
        <f t="shared" si="19"/>
        <v>13</v>
      </c>
      <c r="J153" s="495" t="s">
        <v>318</v>
      </c>
      <c r="K153" s="487">
        <v>45865</v>
      </c>
      <c r="L153" s="488" t="str" cm="1">
        <f t="array" ref="L153">IF($C153="","",INDEX($B$1:$H$1017, $B153, L$1))</f>
        <v>MARGE BRUTE PRODUITS / REVENUS PRODUITS</v>
      </c>
      <c r="M153" s="662" t="str" cm="1">
        <f t="array" ref="M153">IF($D153="","",INDEX($B$1:$H$1017, $B153, M$1))</f>
        <v/>
      </c>
      <c r="N153" s="291"/>
    </row>
    <row r="154" spans="1:14" ht="14" x14ac:dyDescent="0.2">
      <c r="A154" s="291"/>
      <c r="B154" s="476">
        <f t="shared" si="16"/>
        <v>154</v>
      </c>
      <c r="C154" s="550" t="s">
        <v>1030</v>
      </c>
      <c r="D154" s="149"/>
      <c r="E154" s="149" t="s">
        <v>212</v>
      </c>
      <c r="F154" s="149"/>
      <c r="G154" s="149" t="s">
        <v>1039</v>
      </c>
      <c r="H154" s="149"/>
      <c r="I154" s="496">
        <f t="shared" si="19"/>
        <v>13</v>
      </c>
      <c r="J154" s="495" t="s">
        <v>318</v>
      </c>
      <c r="K154" s="487">
        <v>45865</v>
      </c>
      <c r="L154" s="488" t="str" cm="1">
        <f t="array" ref="L154">IF($C154="","",INDEX($B$1:$H$1017, $B154, L$1))</f>
        <v>EBITDA / REVENUS</v>
      </c>
      <c r="M154" s="662" t="str" cm="1">
        <f t="array" ref="M154">IF($D154="","",INDEX($B$1:$H$1017, $B154, M$1))</f>
        <v/>
      </c>
      <c r="N154" s="291"/>
    </row>
    <row r="155" spans="1:14" ht="14" x14ac:dyDescent="0.2">
      <c r="A155" s="291"/>
      <c r="B155" s="476">
        <f t="shared" si="16"/>
        <v>155</v>
      </c>
      <c r="C155" s="550" t="s">
        <v>1031</v>
      </c>
      <c r="D155" s="149"/>
      <c r="E155" s="149" t="s">
        <v>215</v>
      </c>
      <c r="F155" s="149"/>
      <c r="G155" s="149" t="s">
        <v>1040</v>
      </c>
      <c r="H155" s="149"/>
      <c r="I155" s="496">
        <f t="shared" si="19"/>
        <v>13</v>
      </c>
      <c r="J155" s="495" t="s">
        <v>318</v>
      </c>
      <c r="K155" s="487">
        <v>45865</v>
      </c>
      <c r="L155" s="488" t="str" cm="1">
        <f t="array" ref="L155">IF($C155="","",INDEX($B$1:$H$1017, $B155, L$1))</f>
        <v>EBIT / REVENUS</v>
      </c>
      <c r="M155" s="662" t="str" cm="1">
        <f t="array" ref="M155">IF($D155="","",INDEX($B$1:$H$1017, $B155, M$1))</f>
        <v/>
      </c>
      <c r="N155" s="291"/>
    </row>
    <row r="156" spans="1:14" ht="14" x14ac:dyDescent="0.2">
      <c r="A156" s="291"/>
      <c r="B156" s="476">
        <f t="shared" si="16"/>
        <v>156</v>
      </c>
      <c r="C156" s="550" t="s">
        <v>1032</v>
      </c>
      <c r="D156" s="149"/>
      <c r="E156" s="149" t="s">
        <v>213</v>
      </c>
      <c r="F156" s="149"/>
      <c r="G156" s="149" t="s">
        <v>1041</v>
      </c>
      <c r="H156" s="149"/>
      <c r="I156" s="496">
        <f t="shared" si="19"/>
        <v>13</v>
      </c>
      <c r="J156" s="495" t="s">
        <v>318</v>
      </c>
      <c r="K156" s="487">
        <v>45865</v>
      </c>
      <c r="L156" s="488" t="str" cm="1">
        <f t="array" ref="L156">IF($C156="","",INDEX($B$1:$H$1017, $B156, L$1))</f>
        <v>BENEFICE BRUT AVANT IMPOTS / REVENUS</v>
      </c>
      <c r="M156" s="662" t="str" cm="1">
        <f t="array" ref="M156">IF($D156="","",INDEX($B$1:$H$1017, $B156, M$1))</f>
        <v/>
      </c>
      <c r="N156" s="291"/>
    </row>
    <row r="157" spans="1:14" ht="14" x14ac:dyDescent="0.2">
      <c r="A157" s="291"/>
      <c r="B157" s="476">
        <f t="shared" si="16"/>
        <v>157</v>
      </c>
      <c r="C157" s="550" t="s">
        <v>1033</v>
      </c>
      <c r="D157" s="149"/>
      <c r="E157" s="149" t="s">
        <v>214</v>
      </c>
      <c r="F157" s="149"/>
      <c r="G157" s="149" t="s">
        <v>1042</v>
      </c>
      <c r="H157" s="149"/>
      <c r="I157" s="496">
        <f t="shared" si="19"/>
        <v>13</v>
      </c>
      <c r="J157" s="495" t="s">
        <v>318</v>
      </c>
      <c r="K157" s="487">
        <v>45865</v>
      </c>
      <c r="L157" s="488" t="str" cm="1">
        <f t="array" ref="L157">IF($C157="","",INDEX($B$1:$H$1017, $B157, L$1))</f>
        <v>BENEFICE NET / REVENUS</v>
      </c>
      <c r="M157" s="662" t="str" cm="1">
        <f t="array" ref="M157">IF($D157="","",INDEX($B$1:$H$1017, $B157, M$1))</f>
        <v/>
      </c>
      <c r="N157" s="291"/>
    </row>
    <row r="158" spans="1:14" ht="14" x14ac:dyDescent="0.2">
      <c r="A158" s="291"/>
      <c r="B158" s="476">
        <f t="shared" si="16"/>
        <v>158</v>
      </c>
      <c r="C158" s="550"/>
      <c r="D158" s="149"/>
      <c r="E158" s="149"/>
      <c r="F158" s="149"/>
      <c r="G158" s="149"/>
      <c r="H158" s="149"/>
      <c r="I158" s="496">
        <f t="shared" si="19"/>
        <v>13</v>
      </c>
      <c r="J158" s="495" t="s">
        <v>318</v>
      </c>
      <c r="K158" s="487">
        <v>45865</v>
      </c>
      <c r="L158" s="488" t="str" cm="1">
        <f t="array" ref="L158">IF($C158="","",INDEX($B$1:$H$1017, $B158, L$1))</f>
        <v/>
      </c>
      <c r="M158" s="662" t="str" cm="1">
        <f t="array" ref="M158">IF($D158="","",INDEX($B$1:$H$1017, $B158, M$1))</f>
        <v/>
      </c>
      <c r="N158" s="291"/>
    </row>
    <row r="159" spans="1:14" ht="14" x14ac:dyDescent="0.2">
      <c r="A159" s="291"/>
      <c r="B159" s="476">
        <f t="shared" si="16"/>
        <v>159</v>
      </c>
      <c r="C159" s="550" t="s">
        <v>1057</v>
      </c>
      <c r="D159" s="149"/>
      <c r="E159" s="149" t="s">
        <v>193</v>
      </c>
      <c r="F159" s="149"/>
      <c r="G159" s="149" t="s">
        <v>1043</v>
      </c>
      <c r="H159" s="149"/>
      <c r="I159" s="496">
        <f t="shared" si="19"/>
        <v>13</v>
      </c>
      <c r="J159" s="495" t="s">
        <v>318</v>
      </c>
      <c r="K159" s="487">
        <v>45865</v>
      </c>
      <c r="L159" s="488" t="str" cm="1">
        <f t="array" ref="L159">IF($C159="","",INDEX($B$1:$H$1017, $B159, L$1))</f>
        <v>RATIOS DE SOLVABILITE</v>
      </c>
      <c r="M159" s="662" t="str" cm="1">
        <f t="array" ref="M159">IF($D159="","",INDEX($B$1:$H$1017, $B159, M$1))</f>
        <v/>
      </c>
      <c r="N159" s="291"/>
    </row>
    <row r="160" spans="1:14" ht="14" x14ac:dyDescent="0.2">
      <c r="A160" s="291"/>
      <c r="B160" s="476">
        <f t="shared" si="16"/>
        <v>160</v>
      </c>
      <c r="C160" s="550" t="s">
        <v>1058</v>
      </c>
      <c r="D160" s="149"/>
      <c r="E160" s="149" t="s">
        <v>196</v>
      </c>
      <c r="F160" s="149"/>
      <c r="G160" s="149" t="s">
        <v>1044</v>
      </c>
      <c r="H160" s="149"/>
      <c r="I160" s="496">
        <f t="shared" si="19"/>
        <v>13</v>
      </c>
      <c r="J160" s="495" t="s">
        <v>318</v>
      </c>
      <c r="K160" s="487">
        <v>45865</v>
      </c>
      <c r="L160" s="488" t="str" cm="1">
        <f t="array" ref="L160">IF($C160="","",INDEX($B$1:$H$1017, $B160, L$1))</f>
        <v>FONDS DE ROULEMENT NET</v>
      </c>
      <c r="M160" s="662" t="str" cm="1">
        <f t="array" ref="M160">IF($D160="","",INDEX($B$1:$H$1017, $B160, M$1))</f>
        <v/>
      </c>
      <c r="N160" s="291"/>
    </row>
    <row r="161" spans="1:14" ht="14" x14ac:dyDescent="0.2">
      <c r="A161" s="291"/>
      <c r="B161" s="476">
        <f t="shared" si="16"/>
        <v>161</v>
      </c>
      <c r="C161" s="550" t="s">
        <v>1059</v>
      </c>
      <c r="D161" s="481" t="s">
        <v>1356</v>
      </c>
      <c r="E161" s="149" t="s">
        <v>205</v>
      </c>
      <c r="F161" s="149" t="str">
        <f>TableInstructions[[#This Row],[English Comment]]</f>
        <v>= CURRENT ASSETS - CURRENT LIABILITIES</v>
      </c>
      <c r="G161" s="149" t="s">
        <v>1045</v>
      </c>
      <c r="H161" s="481" t="str">
        <f>TableInstructions[[#This Row],[English Comment]]</f>
        <v>= CURRENT ASSETS - CURRENT LIABILITIES</v>
      </c>
      <c r="I161" s="496">
        <f t="shared" si="19"/>
        <v>13</v>
      </c>
      <c r="J161" s="495" t="s">
        <v>318</v>
      </c>
      <c r="K161" s="487">
        <v>45865</v>
      </c>
      <c r="L161" s="488" t="str" cm="1">
        <f t="array" ref="L161">IF($C161="","",INDEX($B$1:$H$1017, $B161, L$1))</f>
        <v>ACTIF A COURT TERME - PASSIF A COURT TERME</v>
      </c>
      <c r="M161" s="662" t="str" cm="1">
        <f t="array" ref="M161">IF($D161="","",INDEX($B$1:$H$1017, $B161, M$1))</f>
        <v>= CURRENT ASSETS - CURRENT LIABILITIES</v>
      </c>
      <c r="N161" s="291"/>
    </row>
    <row r="162" spans="1:14" ht="14" x14ac:dyDescent="0.2">
      <c r="A162" s="291"/>
      <c r="B162" s="476">
        <f t="shared" si="16"/>
        <v>162</v>
      </c>
      <c r="C162" s="550" t="s">
        <v>1060</v>
      </c>
      <c r="D162" s="481" t="s">
        <v>1357</v>
      </c>
      <c r="E162" s="149" t="s">
        <v>206</v>
      </c>
      <c r="F162" s="149" t="str">
        <f>TableInstructions[[#This Row],[English Comment]]</f>
        <v>= PERMANENT EQUITY - FIXED ASSETS</v>
      </c>
      <c r="G162" s="149" t="s">
        <v>1046</v>
      </c>
      <c r="H162" s="481" t="str">
        <f>TableInstructions[[#This Row],[English Comment]]</f>
        <v>= PERMANENT EQUITY - FIXED ASSETS</v>
      </c>
      <c r="I162" s="496">
        <f t="shared" si="19"/>
        <v>13</v>
      </c>
      <c r="J162" s="495" t="s">
        <v>318</v>
      </c>
      <c r="K162" s="487">
        <v>45865</v>
      </c>
      <c r="L162" s="488" t="str" cm="1">
        <f t="array" ref="L162">IF($C162="","",INDEX($B$1:$H$1017, $B162, L$1))</f>
        <v>CAPITAUX PROPRES PERMANENTS - IMMOBILISATIONS</v>
      </c>
      <c r="M162" s="662" t="str" cm="1">
        <f t="array" ref="M162">IF($D162="","",INDEX($B$1:$H$1017, $B162, M$1))</f>
        <v>= PERMANENT EQUITY - FIXED ASSETS</v>
      </c>
      <c r="N162" s="291"/>
    </row>
    <row r="163" spans="1:14" ht="14" x14ac:dyDescent="0.2">
      <c r="A163" s="291"/>
      <c r="B163" s="476">
        <f t="shared" si="16"/>
        <v>163</v>
      </c>
      <c r="C163" s="550" t="s">
        <v>1061</v>
      </c>
      <c r="D163" s="481" t="s">
        <v>1358</v>
      </c>
      <c r="E163" s="149" t="s">
        <v>200</v>
      </c>
      <c r="F163" s="149" t="str">
        <f>TableInstructions[[#This Row],[English Comment]]</f>
        <v>= PERMANENT EQUITY / FIXED ASSETS</v>
      </c>
      <c r="G163" s="149" t="s">
        <v>1047</v>
      </c>
      <c r="H163" s="481" t="str">
        <f>TableInstructions[[#This Row],[English Comment]]</f>
        <v>= PERMANENT EQUITY / FIXED ASSETS</v>
      </c>
      <c r="I163" s="496">
        <f t="shared" si="19"/>
        <v>13</v>
      </c>
      <c r="J163" s="495" t="s">
        <v>318</v>
      </c>
      <c r="K163" s="487">
        <v>45865</v>
      </c>
      <c r="L163" s="488" t="str" cm="1">
        <f t="array" ref="L163">IF($C163="","",INDEX($B$1:$H$1017, $B163, L$1))</f>
        <v>FINANCEMENT GENERAL</v>
      </c>
      <c r="M163" s="662" t="str" cm="1">
        <f t="array" ref="M163">IF($D163="","",INDEX($B$1:$H$1017, $B163, M$1))</f>
        <v>= PERMANENT EQUITY / FIXED ASSETS</v>
      </c>
      <c r="N163" s="291"/>
    </row>
    <row r="164" spans="1:14" ht="14" x14ac:dyDescent="0.2">
      <c r="A164" s="291"/>
      <c r="B164" s="476">
        <f t="shared" si="16"/>
        <v>164</v>
      </c>
      <c r="C164" s="550" t="s">
        <v>1062</v>
      </c>
      <c r="D164" s="481" t="s">
        <v>1359</v>
      </c>
      <c r="E164" s="149" t="s">
        <v>201</v>
      </c>
      <c r="F164" s="149" t="str">
        <f>TableInstructions[[#This Row],[English Comment]]</f>
        <v>= DEBTS / EQUITY</v>
      </c>
      <c r="G164" s="149" t="s">
        <v>1048</v>
      </c>
      <c r="H164" s="481" t="str">
        <f>TableInstructions[[#This Row],[English Comment]]</f>
        <v>= DEBTS / EQUITY</v>
      </c>
      <c r="I164" s="496">
        <f t="shared" si="19"/>
        <v>13</v>
      </c>
      <c r="J164" s="495" t="s">
        <v>318</v>
      </c>
      <c r="K164" s="487">
        <v>45865</v>
      </c>
      <c r="L164" s="488" t="str" cm="1">
        <f t="array" ref="L164">IF($C164="","",INDEX($B$1:$H$1017, $B164, L$1))</f>
        <v>DEBTRATIO GENERAL</v>
      </c>
      <c r="M164" s="662" t="str" cm="1">
        <f t="array" ref="M164">IF($D164="","",INDEX($B$1:$H$1017, $B164, M$1))</f>
        <v>= DEBTS / EQUITY</v>
      </c>
      <c r="N164" s="291"/>
    </row>
    <row r="165" spans="1:14" ht="14" x14ac:dyDescent="0.2">
      <c r="A165" s="291"/>
      <c r="B165" s="476">
        <f t="shared" ref="B165:B204" si="20">ROW(B165)</f>
        <v>165</v>
      </c>
      <c r="C165" s="550" t="s">
        <v>1063</v>
      </c>
      <c r="D165" s="481" t="s">
        <v>1360</v>
      </c>
      <c r="E165" s="149" t="s">
        <v>202</v>
      </c>
      <c r="F165" s="149" t="str">
        <f>TableInstructions[[#This Row],[English Comment]]</f>
        <v>= LONG-TERM LIABILITIES / EQUITY</v>
      </c>
      <c r="G165" s="149" t="s">
        <v>1049</v>
      </c>
      <c r="H165" s="481" t="str">
        <f>TableInstructions[[#This Row],[English Comment]]</f>
        <v>= LONG-TERM LIABILITIES / EQUITY</v>
      </c>
      <c r="I165" s="496">
        <f t="shared" si="19"/>
        <v>13</v>
      </c>
      <c r="J165" s="495" t="s">
        <v>318</v>
      </c>
      <c r="K165" s="487">
        <v>45865</v>
      </c>
      <c r="L165" s="488" t="str" cm="1">
        <f t="array" ref="L165">IF($C165="","",INDEX($B$1:$H$1017, $B165, L$1))</f>
        <v>DEBTRATIO A LONG TERME</v>
      </c>
      <c r="M165" s="662" t="str" cm="1">
        <f t="array" ref="M165">IF($D165="","",INDEX($B$1:$H$1017, $B165, M$1))</f>
        <v>= LONG-TERM LIABILITIES / EQUITY</v>
      </c>
      <c r="N165" s="291"/>
    </row>
    <row r="166" spans="1:14" ht="14" x14ac:dyDescent="0.2">
      <c r="A166" s="291"/>
      <c r="B166" s="476">
        <f t="shared" si="20"/>
        <v>166</v>
      </c>
      <c r="C166" s="550" t="s">
        <v>1064</v>
      </c>
      <c r="D166" s="481" t="s">
        <v>1361</v>
      </c>
      <c r="E166" s="149" t="s">
        <v>203</v>
      </c>
      <c r="F166" s="149" t="str">
        <f>TableInstructions[[#This Row],[English Comment]]</f>
        <v>= EQUITY / TOTAL SOURCES</v>
      </c>
      <c r="G166" s="149" t="s">
        <v>1050</v>
      </c>
      <c r="H166" s="481" t="str">
        <f>TableInstructions[[#This Row],[English Comment]]</f>
        <v>= EQUITY / TOTAL SOURCES</v>
      </c>
      <c r="I166" s="496">
        <f t="shared" si="19"/>
        <v>13</v>
      </c>
      <c r="J166" s="495" t="s">
        <v>318</v>
      </c>
      <c r="K166" s="487">
        <v>45865</v>
      </c>
      <c r="L166" s="488" t="str" cm="1">
        <f t="array" ref="L166">IF($C166="","",INDEX($B$1:$H$1017, $B166, L$1))</f>
        <v>DEGRE D'INDEPENDANCE</v>
      </c>
      <c r="M166" s="662" t="str" cm="1">
        <f t="array" ref="M166">IF($D166="","",INDEX($B$1:$H$1017, $B166, M$1))</f>
        <v>= EQUITY / TOTAL SOURCES</v>
      </c>
      <c r="N166" s="291"/>
    </row>
    <row r="167" spans="1:14" ht="14" x14ac:dyDescent="0.2">
      <c r="A167" s="291"/>
      <c r="B167" s="476">
        <f t="shared" si="20"/>
        <v>167</v>
      </c>
      <c r="C167" s="550"/>
      <c r="D167" s="149"/>
      <c r="E167" s="149"/>
      <c r="F167" s="149"/>
      <c r="G167" s="149"/>
      <c r="H167" s="149"/>
      <c r="I167" s="496">
        <f t="shared" si="19"/>
        <v>13</v>
      </c>
      <c r="J167" s="495" t="s">
        <v>318</v>
      </c>
      <c r="K167" s="487">
        <v>45865</v>
      </c>
      <c r="L167" s="488" t="str" cm="1">
        <f t="array" ref="L167">IF($C167="","",INDEX($B$1:$H$1017, $B167, L$1))</f>
        <v/>
      </c>
      <c r="M167" s="662" t="str" cm="1">
        <f t="array" ref="M167">IF($D167="","",INDEX($B$1:$H$1017, $B167, M$1))</f>
        <v/>
      </c>
      <c r="N167" s="291"/>
    </row>
    <row r="168" spans="1:14" ht="14" x14ac:dyDescent="0.2">
      <c r="A168" s="291"/>
      <c r="B168" s="476">
        <f t="shared" si="20"/>
        <v>168</v>
      </c>
      <c r="C168" s="550" t="s">
        <v>1065</v>
      </c>
      <c r="D168" s="149"/>
      <c r="E168" s="149" t="s">
        <v>194</v>
      </c>
      <c r="F168" s="149"/>
      <c r="G168" s="149" t="s">
        <v>1051</v>
      </c>
      <c r="H168" s="149"/>
      <c r="I168" s="496">
        <f t="shared" si="19"/>
        <v>13</v>
      </c>
      <c r="J168" s="495" t="s">
        <v>318</v>
      </c>
      <c r="K168" s="487">
        <v>45865</v>
      </c>
      <c r="L168" s="488" t="str" cm="1">
        <f t="array" ref="L168">IF($C168="","",INDEX($B$1:$H$1017, $B168, L$1))</f>
        <v>RATIOS DE LIQUIDITE</v>
      </c>
      <c r="M168" s="662" t="str" cm="1">
        <f t="array" ref="M168">IF($D168="","",INDEX($B$1:$H$1017, $B168, M$1))</f>
        <v/>
      </c>
      <c r="N168" s="291"/>
    </row>
    <row r="169" spans="1:14" ht="14" x14ac:dyDescent="0.2">
      <c r="A169" s="291"/>
      <c r="B169" s="476">
        <f t="shared" si="20"/>
        <v>169</v>
      </c>
      <c r="C169" s="550" t="s">
        <v>1068</v>
      </c>
      <c r="D169" s="481" t="s">
        <v>1362</v>
      </c>
      <c r="E169" s="149" t="s">
        <v>1071</v>
      </c>
      <c r="F169" s="149" t="str">
        <f>TableInstructions[[#This Row],[English Comment]]</f>
        <v>= ASSETS / CURRENT LIABILITIES</v>
      </c>
      <c r="G169" s="149" t="s">
        <v>1090</v>
      </c>
      <c r="H169" s="481" t="str">
        <f>TableInstructions[[#This Row],[English Comment]]</f>
        <v>= ASSETS / CURRENT LIABILITIES</v>
      </c>
      <c r="I169" s="496">
        <f t="shared" si="19"/>
        <v>13</v>
      </c>
      <c r="J169" s="495" t="s">
        <v>318</v>
      </c>
      <c r="K169" s="487">
        <v>45865</v>
      </c>
      <c r="L169" s="488" t="str" cm="1">
        <f t="array" ref="L169">IF($C169="","",INDEX($B$1:$H$1017, $B169, L$1))</f>
        <v>RATIO ACTUEL</v>
      </c>
      <c r="M169" s="662" t="str" cm="1">
        <f t="array" ref="M169">IF($D169="","",INDEX($B$1:$H$1017, $B169, M$1))</f>
        <v>= ASSETS / CURRENT LIABILITIES</v>
      </c>
      <c r="N169" s="291"/>
    </row>
    <row r="170" spans="1:14" ht="14" x14ac:dyDescent="0.2">
      <c r="A170" s="291"/>
      <c r="B170" s="476">
        <f t="shared" si="20"/>
        <v>170</v>
      </c>
      <c r="C170" s="550" t="s">
        <v>1069</v>
      </c>
      <c r="D170" s="481" t="s">
        <v>1363</v>
      </c>
      <c r="E170" s="149" t="s">
        <v>1072</v>
      </c>
      <c r="F170" s="149" t="str">
        <f>TableInstructions[[#This Row],[English Comment]]</f>
        <v>= (CURRENT ASSETS - INVENTORIES) / CURRENT LIABILITIES</v>
      </c>
      <c r="G170" s="149" t="s">
        <v>1091</v>
      </c>
      <c r="H170" s="481" t="str">
        <f>TableInstructions[[#This Row],[English Comment]]</f>
        <v>= (CURRENT ASSETS - INVENTORIES) / CURRENT LIABILITIES</v>
      </c>
      <c r="I170" s="496">
        <f t="shared" si="19"/>
        <v>13</v>
      </c>
      <c r="J170" s="495" t="s">
        <v>318</v>
      </c>
      <c r="K170" s="487">
        <v>45865</v>
      </c>
      <c r="L170" s="488" t="str" cm="1">
        <f t="array" ref="L170">IF($C170="","",INDEX($B$1:$H$1017, $B170, L$1))</f>
        <v>RATIO RAPIDE</v>
      </c>
      <c r="M170" s="662" t="str" cm="1">
        <f t="array" ref="M170">IF($D170="","",INDEX($B$1:$H$1017, $B170, M$1))</f>
        <v>= (CURRENT ASSETS - INVENTORIES) / CURRENT LIABILITIES</v>
      </c>
      <c r="N170" s="291"/>
    </row>
    <row r="171" spans="1:14" ht="14" x14ac:dyDescent="0.2">
      <c r="A171" s="291"/>
      <c r="B171" s="476">
        <f t="shared" si="20"/>
        <v>171</v>
      </c>
      <c r="C171" s="550" t="s">
        <v>1070</v>
      </c>
      <c r="D171" s="481" t="s">
        <v>1364</v>
      </c>
      <c r="E171" s="149" t="s">
        <v>1073</v>
      </c>
      <c r="F171" s="149" t="str">
        <f>TableInstructions[[#This Row],[English Comment]]</f>
        <v>= LIQUIDITY / CURRENT LIABILITIES</v>
      </c>
      <c r="G171" s="149" t="s">
        <v>1092</v>
      </c>
      <c r="H171" s="481" t="str">
        <f>TableInstructions[[#This Row],[English Comment]]</f>
        <v>= LIQUIDITY / CURRENT LIABILITIES</v>
      </c>
      <c r="I171" s="496">
        <f t="shared" si="19"/>
        <v>13</v>
      </c>
      <c r="J171" s="495" t="s">
        <v>318</v>
      </c>
      <c r="K171" s="487">
        <v>45865</v>
      </c>
      <c r="L171" s="488" t="str" cm="1">
        <f t="array" ref="L171">IF($C171="","",INDEX($B$1:$H$1017, $B171, L$1))</f>
        <v>RATIO DE TRESORERIE</v>
      </c>
      <c r="M171" s="662" t="str" cm="1">
        <f t="array" ref="M171">IF($D171="","",INDEX($B$1:$H$1017, $B171, M$1))</f>
        <v>= LIQUIDITY / CURRENT LIABILITIES</v>
      </c>
      <c r="N171" s="291"/>
    </row>
    <row r="172" spans="1:14" ht="14" x14ac:dyDescent="0.2">
      <c r="A172" s="291"/>
      <c r="B172" s="476">
        <f t="shared" si="20"/>
        <v>172</v>
      </c>
      <c r="C172" s="550"/>
      <c r="D172" s="149"/>
      <c r="E172" s="149"/>
      <c r="F172" s="149"/>
      <c r="G172" s="149"/>
      <c r="H172" s="149"/>
      <c r="I172" s="496">
        <f t="shared" si="19"/>
        <v>13</v>
      </c>
      <c r="J172" s="495" t="s">
        <v>318</v>
      </c>
      <c r="K172" s="487">
        <v>45865</v>
      </c>
      <c r="L172" s="488" t="str" cm="1">
        <f t="array" ref="L172">IF($C172="","",INDEX($B$1:$H$1017, $B172, L$1))</f>
        <v/>
      </c>
      <c r="M172" s="662" t="str" cm="1">
        <f t="array" ref="M172">IF($D172="","",INDEX($B$1:$H$1017, $B172, M$1))</f>
        <v/>
      </c>
      <c r="N172" s="291"/>
    </row>
    <row r="173" spans="1:14" ht="14" x14ac:dyDescent="0.2">
      <c r="A173" s="291"/>
      <c r="B173" s="476">
        <f t="shared" si="20"/>
        <v>173</v>
      </c>
      <c r="C173" s="550" t="s">
        <v>1074</v>
      </c>
      <c r="D173" s="149"/>
      <c r="E173" s="149" t="s">
        <v>1084</v>
      </c>
      <c r="F173" s="149"/>
      <c r="G173" s="149" t="s">
        <v>1074</v>
      </c>
      <c r="H173" s="149"/>
      <c r="I173" s="496">
        <f t="shared" si="19"/>
        <v>13</v>
      </c>
      <c r="J173" s="495" t="s">
        <v>318</v>
      </c>
      <c r="K173" s="487">
        <v>45865</v>
      </c>
      <c r="L173" s="488" t="str" cm="1">
        <f t="array" ref="L173">IF($C173="","",INDEX($B$1:$H$1017, $B173, L$1))</f>
        <v>SEUIL DE RENTABILITÉ</v>
      </c>
      <c r="M173" s="662" t="str" cm="1">
        <f t="array" ref="M173">IF($D173="","",INDEX($B$1:$H$1017, $B173, M$1))</f>
        <v/>
      </c>
      <c r="N173" s="291"/>
    </row>
    <row r="174" spans="1:14" ht="14" x14ac:dyDescent="0.2">
      <c r="A174" s="291"/>
      <c r="B174" s="476">
        <f t="shared" si="20"/>
        <v>174</v>
      </c>
      <c r="C174" s="550" t="s">
        <v>1075</v>
      </c>
      <c r="D174" s="481" t="s">
        <v>1365</v>
      </c>
      <c r="E174" s="149" t="s">
        <v>1085</v>
      </c>
      <c r="F174" s="149" t="str">
        <f>TableInstructions[[#This Row],[English Comment]]</f>
        <v>= FIXED COSTS / GROSS PROFIT PER UNIT</v>
      </c>
      <c r="G174" s="149" t="s">
        <v>1075</v>
      </c>
      <c r="H174" s="481" t="str">
        <f>TableInstructions[[#This Row],[English Comment]]</f>
        <v>= FIXED COSTS / GROSS PROFIT PER UNIT</v>
      </c>
      <c r="I174" s="496">
        <f t="shared" si="19"/>
        <v>13</v>
      </c>
      <c r="J174" s="495" t="s">
        <v>318</v>
      </c>
      <c r="K174" s="487">
        <v>45865</v>
      </c>
      <c r="L174" s="488" t="str" cm="1">
        <f t="array" ref="L174">IF($C174="","",INDEX($B$1:$H$1017, $B174, L$1))</f>
        <v>VOLUME DE RENTABILITÉ</v>
      </c>
      <c r="M174" s="662" t="str" cm="1">
        <f t="array" ref="M174">IF($D174="","",INDEX($B$1:$H$1017, $B174, M$1))</f>
        <v>= FIXED COSTS / GROSS PROFIT PER UNIT</v>
      </c>
      <c r="N174" s="291"/>
    </row>
    <row r="175" spans="1:14" ht="14" x14ac:dyDescent="0.2">
      <c r="A175" s="291"/>
      <c r="B175" s="476">
        <f t="shared" si="20"/>
        <v>175</v>
      </c>
      <c r="C175" s="550" t="s">
        <v>1076</v>
      </c>
      <c r="D175" s="481" t="s">
        <v>1366</v>
      </c>
      <c r="E175" s="149" t="s">
        <v>1086</v>
      </c>
      <c r="F175" s="149" t="str">
        <f>TableInstructions[[#This Row],[English Comment]]</f>
        <v>= FIXED COSTS / GROSS MARGIN</v>
      </c>
      <c r="G175" s="149" t="s">
        <v>1088</v>
      </c>
      <c r="H175" s="481" t="str">
        <f>TableInstructions[[#This Row],[English Comment]]</f>
        <v>= FIXED COSTS / GROSS MARGIN</v>
      </c>
      <c r="I175" s="496">
        <f t="shared" si="19"/>
        <v>13</v>
      </c>
      <c r="J175" s="495" t="s">
        <v>318</v>
      </c>
      <c r="K175" s="487">
        <v>45865</v>
      </c>
      <c r="L175" s="488" t="str" cm="1">
        <f t="array" ref="L175">IF($C175="","",INDEX($B$1:$H$1017, $B175, L$1))</f>
        <v>VALEUR DE RENTABILITÉ</v>
      </c>
      <c r="M175" s="662" t="str" cm="1">
        <f t="array" ref="M175">IF($D175="","",INDEX($B$1:$H$1017, $B175, M$1))</f>
        <v>= FIXED COSTS / GROSS MARGIN</v>
      </c>
      <c r="N175" s="291"/>
    </row>
    <row r="176" spans="1:14" ht="14" x14ac:dyDescent="0.2">
      <c r="A176" s="291"/>
      <c r="B176" s="476">
        <f t="shared" si="20"/>
        <v>176</v>
      </c>
      <c r="C176" s="550" t="s">
        <v>1077</v>
      </c>
      <c r="D176" s="149" t="s">
        <v>1367</v>
      </c>
      <c r="E176" s="149" t="s">
        <v>1087</v>
      </c>
      <c r="F176" s="481" t="str">
        <f>TableInstructions[[#This Row],[English Comment]]</f>
        <v>-&gt; RELATED TO FORECASTED REVENUE</v>
      </c>
      <c r="G176" s="149" t="s">
        <v>1089</v>
      </c>
      <c r="H176" s="149" t="str">
        <f>TableInstructions[[#This Row],[English Comment]]</f>
        <v>-&gt; RELATED TO FORECASTED REVENUE</v>
      </c>
      <c r="I176" s="496">
        <f t="shared" si="19"/>
        <v>13</v>
      </c>
      <c r="J176" s="495" t="s">
        <v>318</v>
      </c>
      <c r="K176" s="487">
        <v>45865</v>
      </c>
      <c r="L176" s="488" t="str" cm="1">
        <f t="array" ref="L176">IF($C176="","",INDEX($B$1:$H$1017, $B176, L$1))</f>
        <v>RATIO DE RENTABILITÉ</v>
      </c>
      <c r="M176" s="662" t="str" cm="1">
        <f t="array" ref="M176">IF($D176="","",INDEX($B$1:$H$1017, $B176, M$1))</f>
        <v>-&gt; RELATED TO FORECASTED REVENUE</v>
      </c>
      <c r="N176" s="291"/>
    </row>
    <row r="177" spans="1:14" ht="14" x14ac:dyDescent="0.2">
      <c r="A177" s="291"/>
      <c r="B177" s="476">
        <f t="shared" si="20"/>
        <v>177</v>
      </c>
      <c r="C177" s="550"/>
      <c r="D177" s="149"/>
      <c r="E177" s="149"/>
      <c r="F177" s="149"/>
      <c r="G177" s="149"/>
      <c r="H177" s="149"/>
      <c r="I177" s="496">
        <f t="shared" si="19"/>
        <v>13</v>
      </c>
      <c r="J177" s="495" t="s">
        <v>318</v>
      </c>
      <c r="K177" s="487">
        <v>45865</v>
      </c>
      <c r="L177" s="488" t="str" cm="1">
        <f t="array" ref="L177">IF($C177="","",INDEX($B$1:$H$1017, $B177, L$1))</f>
        <v/>
      </c>
      <c r="M177" s="662" t="str" cm="1">
        <f t="array" ref="M177">IF($D177="","",INDEX($B$1:$H$1017, $B177, M$1))</f>
        <v/>
      </c>
      <c r="N177" s="291"/>
    </row>
    <row r="178" spans="1:14" ht="14" x14ac:dyDescent="0.2">
      <c r="A178" s="291"/>
      <c r="B178" s="476">
        <f t="shared" si="20"/>
        <v>178</v>
      </c>
      <c r="C178" s="550" t="s">
        <v>195</v>
      </c>
      <c r="D178" s="149" t="s">
        <v>1368</v>
      </c>
      <c r="E178" s="149" t="s">
        <v>1079</v>
      </c>
      <c r="F178" s="149" t="str">
        <f>TableInstructions[[#This Row],[English Comment]]</f>
        <v>RETURN = NET PROFIT</v>
      </c>
      <c r="G178" s="149" t="s">
        <v>1052</v>
      </c>
      <c r="H178" s="149" t="str">
        <f>TableInstructions[[#This Row],[English Comment]]</f>
        <v>RETURN = NET PROFIT</v>
      </c>
      <c r="I178" s="496">
        <f t="shared" si="19"/>
        <v>13</v>
      </c>
      <c r="J178" s="495" t="s">
        <v>318</v>
      </c>
      <c r="K178" s="487">
        <v>45865</v>
      </c>
      <c r="L178" s="488" t="str" cm="1">
        <f t="array" ref="L178">IF($C178="","",INDEX($B$1:$H$1017, $B178, L$1))</f>
        <v>CHIFFRES DE RENDEMENT</v>
      </c>
      <c r="M178" s="662" t="str" cm="1">
        <f t="array" ref="M178">IF($D178="","",INDEX($B$1:$H$1017, $B178, M$1))</f>
        <v>RETURN = NET PROFIT</v>
      </c>
      <c r="N178" s="291"/>
    </row>
    <row r="179" spans="1:14" ht="14" x14ac:dyDescent="0.2">
      <c r="A179" s="291"/>
      <c r="B179" s="476">
        <f t="shared" si="20"/>
        <v>179</v>
      </c>
      <c r="C179" s="550" t="s">
        <v>1078</v>
      </c>
      <c r="D179" s="149"/>
      <c r="E179" s="149" t="s">
        <v>1080</v>
      </c>
      <c r="F179" s="149" t="s">
        <v>76</v>
      </c>
      <c r="G179" s="149" t="s">
        <v>1053</v>
      </c>
      <c r="H179" s="149"/>
      <c r="I179" s="496">
        <f t="shared" si="19"/>
        <v>13</v>
      </c>
      <c r="J179" s="495" t="s">
        <v>318</v>
      </c>
      <c r="K179" s="487">
        <v>45865</v>
      </c>
      <c r="L179" s="488" t="str" cm="1">
        <f t="array" ref="L179">IF($C179="","",INDEX($B$1:$H$1017, $B179, L$1))</f>
        <v>RENDEMENT SUR LE CHIFFRE D'AFFAIRES</v>
      </c>
      <c r="M179" s="662" t="str" cm="1">
        <f t="array" ref="M179">IF($D179="","",INDEX($B$1:$H$1017, $B179, M$1))</f>
        <v/>
      </c>
      <c r="N179" s="291"/>
    </row>
    <row r="180" spans="1:14" ht="14" x14ac:dyDescent="0.2">
      <c r="A180" s="291"/>
      <c r="B180" s="476">
        <f t="shared" si="20"/>
        <v>180</v>
      </c>
      <c r="C180" s="550" t="s">
        <v>197</v>
      </c>
      <c r="D180" s="149"/>
      <c r="E180" s="149" t="s">
        <v>1081</v>
      </c>
      <c r="F180" s="149" t="s">
        <v>76</v>
      </c>
      <c r="G180" s="149" t="s">
        <v>1054</v>
      </c>
      <c r="H180" s="149"/>
      <c r="I180" s="496">
        <f t="shared" si="19"/>
        <v>13</v>
      </c>
      <c r="J180" s="495" t="s">
        <v>318</v>
      </c>
      <c r="K180" s="487">
        <v>45865</v>
      </c>
      <c r="L180" s="488" t="str" cm="1">
        <f t="array" ref="L180">IF($C180="","",INDEX($B$1:$H$1017, $B180, L$1))</f>
        <v>RENDEMENT SUR LES INVESTISSEMENTS</v>
      </c>
      <c r="M180" s="662" t="str" cm="1">
        <f t="array" ref="M180">IF($D180="","",INDEX($B$1:$H$1017, $B180, M$1))</f>
        <v/>
      </c>
      <c r="N180" s="291"/>
    </row>
    <row r="181" spans="1:14" ht="14" x14ac:dyDescent="0.2">
      <c r="A181" s="291"/>
      <c r="B181" s="476">
        <f t="shared" si="20"/>
        <v>181</v>
      </c>
      <c r="C181" s="550" t="s">
        <v>198</v>
      </c>
      <c r="D181" s="149"/>
      <c r="E181" s="149" t="s">
        <v>1082</v>
      </c>
      <c r="F181" s="149" t="s">
        <v>76</v>
      </c>
      <c r="G181" s="149" t="s">
        <v>1055</v>
      </c>
      <c r="H181" s="149"/>
      <c r="I181" s="496">
        <f t="shared" si="19"/>
        <v>13</v>
      </c>
      <c r="J181" s="495" t="s">
        <v>318</v>
      </c>
      <c r="K181" s="487">
        <v>45865</v>
      </c>
      <c r="L181" s="488" t="str" cm="1">
        <f t="array" ref="L181">IF($C181="","",INDEX($B$1:$H$1017, $B181, L$1))</f>
        <v>RENDEMENT SUR LES SOURCES TOTALES</v>
      </c>
      <c r="M181" s="662" t="str" cm="1">
        <f t="array" ref="M181">IF($D181="","",INDEX($B$1:$H$1017, $B181, M$1))</f>
        <v/>
      </c>
      <c r="N181" s="291"/>
    </row>
    <row r="182" spans="1:14" ht="14" x14ac:dyDescent="0.2">
      <c r="A182" s="291"/>
      <c r="B182" s="476">
        <f t="shared" si="20"/>
        <v>182</v>
      </c>
      <c r="C182" s="550" t="s">
        <v>199</v>
      </c>
      <c r="D182" s="149"/>
      <c r="E182" s="149" t="s">
        <v>1083</v>
      </c>
      <c r="F182" s="149" t="s">
        <v>76</v>
      </c>
      <c r="G182" s="149" t="s">
        <v>1056</v>
      </c>
      <c r="H182" s="149"/>
      <c r="I182" s="496">
        <f t="shared" si="19"/>
        <v>13</v>
      </c>
      <c r="J182" s="495" t="s">
        <v>318</v>
      </c>
      <c r="K182" s="487">
        <v>45865</v>
      </c>
      <c r="L182" s="488" t="str" cm="1">
        <f t="array" ref="L182">IF($C182="","",INDEX($B$1:$H$1017, $B182, L$1))</f>
        <v>RENDEMENT SUR LES CAPITAUX PROPRES</v>
      </c>
      <c r="M182" s="662" t="str" cm="1">
        <f t="array" ref="M182">IF($D182="","",INDEX($B$1:$H$1017, $B182, M$1))</f>
        <v/>
      </c>
      <c r="N182" s="291"/>
    </row>
    <row r="183" spans="1:14" x14ac:dyDescent="0.2">
      <c r="A183" s="291"/>
      <c r="B183" s="476">
        <f t="shared" si="20"/>
        <v>183</v>
      </c>
      <c r="C183" s="551"/>
      <c r="D183" s="480"/>
      <c r="E183" s="480"/>
      <c r="F183" s="480"/>
      <c r="G183" s="480"/>
      <c r="H183" s="480"/>
      <c r="I183" s="484"/>
      <c r="J183" s="484"/>
      <c r="K183" s="485"/>
      <c r="L183" s="568"/>
      <c r="M183" s="663"/>
      <c r="N183" s="291"/>
    </row>
    <row r="184" spans="1:14" ht="14" x14ac:dyDescent="0.2">
      <c r="A184" s="291"/>
      <c r="B184" s="476">
        <f t="shared" si="20"/>
        <v>184</v>
      </c>
      <c r="C184" s="550" t="s">
        <v>1369</v>
      </c>
      <c r="D184" s="149" t="str" cm="1">
        <f t="array" aca="1" ref="D184" ca="1">MID(CELL("address",FinanceChart!B4),FIND("]",CELL("address",FinanceChart!B4))+1,255)</f>
        <v>FinanceChart'!$B$4</v>
      </c>
      <c r="E184" s="149" t="s">
        <v>1370</v>
      </c>
      <c r="F184" s="149" t="str">
        <f ca="1">TableInstructions[[#This Row],[English Comment]]</f>
        <v>FinanceChart'!$B$4</v>
      </c>
      <c r="G184" s="149" t="s">
        <v>1371</v>
      </c>
      <c r="H184" s="149" t="str">
        <f ca="1">TableInstructions[[#This Row],[English Comment]]</f>
        <v>FinanceChart'!$B$4</v>
      </c>
      <c r="I184" s="496">
        <f>I148+1</f>
        <v>14</v>
      </c>
      <c r="J184" s="494" t="s">
        <v>319</v>
      </c>
      <c r="K184" s="487">
        <v>45865</v>
      </c>
      <c r="L184" s="488" t="str" cm="1">
        <f t="array" ref="L184">IF($C184="","",INDEX($B$1:$H$1017, $B184, L$1))</f>
        <v>Les graphes en monnaie locale sont mis à jour en même temps que la feuille "FinancePivot"</v>
      </c>
      <c r="M184" s="662" t="str" cm="1">
        <f t="array" aca="1" ref="M184" ca="1">IF($D184="","",INDEX($B$1:$H$1017, $B184, M$1))</f>
        <v>FinanceChart'!$B$4</v>
      </c>
      <c r="N184" s="291"/>
    </row>
    <row r="185" spans="1:14" x14ac:dyDescent="0.2">
      <c r="A185" s="291"/>
      <c r="B185" s="476">
        <f t="shared" si="20"/>
        <v>185</v>
      </c>
      <c r="C185" s="551"/>
      <c r="D185" s="480"/>
      <c r="E185" s="480"/>
      <c r="F185" s="480"/>
      <c r="G185" s="480"/>
      <c r="H185" s="480"/>
      <c r="I185" s="484"/>
      <c r="J185" s="484"/>
      <c r="K185" s="485"/>
      <c r="L185" s="568"/>
      <c r="M185" s="663"/>
      <c r="N185" s="291"/>
    </row>
    <row r="186" spans="1:14" ht="14" x14ac:dyDescent="0.2">
      <c r="A186" s="291"/>
      <c r="B186" s="476">
        <f t="shared" si="20"/>
        <v>186</v>
      </c>
      <c r="C186" s="550" t="s">
        <v>1372</v>
      </c>
      <c r="D186" s="149" t="str" cm="1">
        <f t="array" aca="1" ref="D186" ca="1">MID(CELL("address",FinanceEUR!B6),FIND("]",CELL("address",FinanceEUR!B6))+1,255)</f>
        <v>FinanceEUR'!$B$6</v>
      </c>
      <c r="E186" s="149" t="s">
        <v>1373</v>
      </c>
      <c r="F186" s="149" t="str">
        <f ca="1">TableInstructions[[#This Row],[English Comment]]</f>
        <v>FinanceEUR'!$B$6</v>
      </c>
      <c r="G186" s="149" t="s">
        <v>1374</v>
      </c>
      <c r="H186" s="149" t="str">
        <f ca="1">TableInstructions[[#This Row],[English Comment]]</f>
        <v>FinanceEUR'!$B$6</v>
      </c>
      <c r="I186" s="496">
        <f>I184+1</f>
        <v>15</v>
      </c>
      <c r="J186" s="494" t="s">
        <v>316</v>
      </c>
      <c r="K186" s="487">
        <v>45865</v>
      </c>
      <c r="L186" s="488" t="str" cm="1">
        <f t="array" ref="L186">IF($C186="","",INDEX($B$1:$H$1017, $B186, L$1))</f>
        <v>Les tableaux et graphes en EUR sont mis à jour en même temps que la feuille "FinancePivot"</v>
      </c>
      <c r="M186" s="662" t="str" cm="1">
        <f t="array" aca="1" ref="M186" ca="1">IF($D186="","",INDEX($B$1:$H$1017, $B186, M$1))</f>
        <v>FinanceEUR'!$B$6</v>
      </c>
      <c r="N186" s="291"/>
    </row>
    <row r="187" spans="1:14" x14ac:dyDescent="0.2">
      <c r="A187" s="291"/>
      <c r="B187" s="476">
        <f t="shared" si="20"/>
        <v>187</v>
      </c>
      <c r="C187" s="551"/>
      <c r="D187" s="480"/>
      <c r="E187" s="480"/>
      <c r="F187" s="480"/>
      <c r="G187" s="480"/>
      <c r="H187" s="480"/>
      <c r="I187" s="484"/>
      <c r="J187" s="484"/>
      <c r="K187" s="485"/>
      <c r="L187" s="568"/>
      <c r="M187" s="663"/>
      <c r="N187" s="291"/>
    </row>
    <row r="188" spans="1:14" ht="14" x14ac:dyDescent="0.2">
      <c r="A188" s="291"/>
      <c r="B188" s="476">
        <f t="shared" si="20"/>
        <v>188</v>
      </c>
      <c r="C188" s="550" t="s">
        <v>1375</v>
      </c>
      <c r="D188" s="149"/>
      <c r="E188" s="149" t="s">
        <v>1376</v>
      </c>
      <c r="F188" s="149"/>
      <c r="G188" s="149" t="s">
        <v>1377</v>
      </c>
      <c r="H188" s="149"/>
      <c r="I188" s="496">
        <f>I186+1</f>
        <v>16</v>
      </c>
      <c r="J188" s="496" t="s">
        <v>239</v>
      </c>
      <c r="K188" s="487">
        <v>45898</v>
      </c>
      <c r="L188" s="488" t="str" cm="1">
        <f t="array" ref="L188">IF($C188="","",INDEX($B$1:$H$1017, $B188, L$1))</f>
        <v>Feuille "RevenueData" | Check Total</v>
      </c>
      <c r="M188" s="664" t="b">
        <f>RevenueData!J1</f>
        <v>1</v>
      </c>
      <c r="N188" s="291"/>
    </row>
    <row r="189" spans="1:14" ht="14" x14ac:dyDescent="0.2">
      <c r="A189" s="291"/>
      <c r="B189" s="476">
        <f t="shared" si="20"/>
        <v>189</v>
      </c>
      <c r="C189" s="550"/>
      <c r="D189" s="149"/>
      <c r="E189" s="149"/>
      <c r="F189" s="149"/>
      <c r="G189" s="149"/>
      <c r="H189" s="149"/>
      <c r="I189" s="496">
        <f t="shared" ref="I189:I202" si="21">I188</f>
        <v>16</v>
      </c>
      <c r="J189" s="496" t="s">
        <v>239</v>
      </c>
      <c r="K189" s="487">
        <v>45898</v>
      </c>
      <c r="L189" s="488" t="str" cm="1">
        <f t="array" ref="L189">IF($C189="","",INDEX($B$1:$H$1017, $B189, L$1))</f>
        <v/>
      </c>
      <c r="M189" s="662"/>
      <c r="N189" s="291"/>
    </row>
    <row r="190" spans="1:14" ht="14" x14ac:dyDescent="0.2">
      <c r="A190" s="291"/>
      <c r="B190" s="476">
        <f t="shared" si="20"/>
        <v>190</v>
      </c>
      <c r="C190" s="550" t="s">
        <v>1378</v>
      </c>
      <c r="D190" s="149"/>
      <c r="E190" s="149" t="s">
        <v>1379</v>
      </c>
      <c r="F190" s="149"/>
      <c r="G190" s="149" t="s">
        <v>1380</v>
      </c>
      <c r="H190" s="149"/>
      <c r="I190" s="496">
        <f t="shared" si="21"/>
        <v>16</v>
      </c>
      <c r="J190" s="496" t="s">
        <v>239</v>
      </c>
      <c r="K190" s="487">
        <v>45898</v>
      </c>
      <c r="L190" s="488" t="str" cm="1">
        <f t="array" ref="L190">IF($C190="","",INDEX($B$1:$H$1017, $B190, L$1))</f>
        <v>Feuille "RevenueData" | Check CHIFFRE D'AFFAIRE</v>
      </c>
      <c r="M190" s="664" t="b">
        <f>RevenuePivot!D1</f>
        <v>1</v>
      </c>
      <c r="N190" s="291"/>
    </row>
    <row r="191" spans="1:14" ht="14" x14ac:dyDescent="0.2">
      <c r="A191" s="291"/>
      <c r="B191" s="476">
        <f t="shared" si="20"/>
        <v>191</v>
      </c>
      <c r="C191" s="550" t="s">
        <v>1381</v>
      </c>
      <c r="D191" s="149"/>
      <c r="E191" s="149" t="s">
        <v>1382</v>
      </c>
      <c r="F191" s="149"/>
      <c r="G191" s="149" t="s">
        <v>1383</v>
      </c>
      <c r="H191" s="149"/>
      <c r="I191" s="496">
        <f t="shared" si="21"/>
        <v>16</v>
      </c>
      <c r="J191" s="496" t="s">
        <v>239</v>
      </c>
      <c r="K191" s="487">
        <v>45898</v>
      </c>
      <c r="L191" s="488" t="str" cm="1">
        <f t="array" ref="L191">IF($C191="","",INDEX($B$1:$H$1017, $B191, L$1))</f>
        <v>Feuille "RevenueData" | Check MARGE BRUTE</v>
      </c>
      <c r="M191" s="664" t="b">
        <f>RevenuePivot!D2</f>
        <v>1</v>
      </c>
      <c r="N191" s="291"/>
    </row>
    <row r="192" spans="1:14" ht="14" x14ac:dyDescent="0.2">
      <c r="A192" s="291"/>
      <c r="B192" s="476">
        <f t="shared" si="20"/>
        <v>192</v>
      </c>
      <c r="C192" s="550"/>
      <c r="D192" s="149"/>
      <c r="E192" s="149"/>
      <c r="F192" s="149"/>
      <c r="G192" s="149"/>
      <c r="H192" s="149"/>
      <c r="I192" s="496">
        <f t="shared" si="21"/>
        <v>16</v>
      </c>
      <c r="J192" s="496" t="s">
        <v>239</v>
      </c>
      <c r="K192" s="487">
        <v>45898</v>
      </c>
      <c r="L192" s="488" t="str" cm="1">
        <f t="array" ref="L192">IF($C192="","",INDEX($B$1:$H$1017, $B192, L$1))</f>
        <v/>
      </c>
      <c r="M192" s="662"/>
      <c r="N192" s="291"/>
    </row>
    <row r="193" spans="1:14" ht="14" x14ac:dyDescent="0.2">
      <c r="A193" s="291"/>
      <c r="B193" s="476">
        <f t="shared" si="20"/>
        <v>193</v>
      </c>
      <c r="C193" s="550" t="s">
        <v>1418</v>
      </c>
      <c r="D193" s="149"/>
      <c r="E193" s="149" t="s">
        <v>1419</v>
      </c>
      <c r="F193" s="149"/>
      <c r="G193" s="149" t="s">
        <v>1417</v>
      </c>
      <c r="H193" s="149"/>
      <c r="I193" s="496">
        <f t="shared" si="21"/>
        <v>16</v>
      </c>
      <c r="J193" s="496" t="s">
        <v>239</v>
      </c>
      <c r="K193" s="487">
        <v>45865</v>
      </c>
      <c r="L193" s="488" t="str" cm="1">
        <f t="array" ref="L193">IF($C193="","",INDEX($B$1:$H$1017, $B193, L$1))</f>
        <v>Feuille "FinanceData" | Check Global</v>
      </c>
      <c r="M193" s="664" t="b">
        <f>FinanceData!AA1</f>
        <v>1</v>
      </c>
      <c r="N193" s="291"/>
    </row>
    <row r="194" spans="1:14" ht="14" x14ac:dyDescent="0.2">
      <c r="A194" s="291"/>
      <c r="B194" s="476">
        <f t="shared" si="20"/>
        <v>194</v>
      </c>
      <c r="C194" s="550" t="s">
        <v>1384</v>
      </c>
      <c r="D194" s="149"/>
      <c r="E194" s="149" t="s">
        <v>1385</v>
      </c>
      <c r="F194" s="149"/>
      <c r="G194" s="149" t="s">
        <v>1386</v>
      </c>
      <c r="H194" s="149"/>
      <c r="I194" s="496">
        <f t="shared" si="21"/>
        <v>16</v>
      </c>
      <c r="J194" s="496" t="s">
        <v>239</v>
      </c>
      <c r="K194" s="487">
        <v>45865</v>
      </c>
      <c r="L194" s="488" t="str" cm="1">
        <f t="array" ref="L194">IF($C194="","",INDEX($B$1:$H$1017, $B194, L$1))</f>
        <v>Feuille "FinanceData" | Check Marge Brute Produits</v>
      </c>
      <c r="M194" s="664" t="b">
        <f>FinanceData!AA144</f>
        <v>1</v>
      </c>
      <c r="N194" s="291"/>
    </row>
    <row r="195" spans="1:14" ht="14" x14ac:dyDescent="0.2">
      <c r="A195" s="291"/>
      <c r="B195" s="476">
        <f t="shared" si="20"/>
        <v>195</v>
      </c>
      <c r="C195" s="550" t="s">
        <v>1387</v>
      </c>
      <c r="D195" s="149"/>
      <c r="E195" s="149" t="s">
        <v>1388</v>
      </c>
      <c r="F195" s="149"/>
      <c r="G195" s="149" t="s">
        <v>1389</v>
      </c>
      <c r="H195" s="149"/>
      <c r="I195" s="496">
        <f t="shared" si="21"/>
        <v>16</v>
      </c>
      <c r="J195" s="496" t="s">
        <v>239</v>
      </c>
      <c r="K195" s="487">
        <v>45865</v>
      </c>
      <c r="L195" s="488" t="str" cm="1">
        <f t="array" ref="L195">IF($C195="","",INDEX($B$1:$H$1017, $B195, L$1))</f>
        <v>Feuille "FinanceData" | Check Marge Brute Services</v>
      </c>
      <c r="M195" s="664" t="b">
        <f>FinanceData!AA186</f>
        <v>1</v>
      </c>
      <c r="N195" s="291"/>
    </row>
    <row r="196" spans="1:14" ht="14" x14ac:dyDescent="0.2">
      <c r="A196" s="291"/>
      <c r="B196" s="476">
        <f t="shared" si="20"/>
        <v>196</v>
      </c>
      <c r="C196" s="550" t="s">
        <v>1390</v>
      </c>
      <c r="D196" s="149"/>
      <c r="E196" s="149" t="s">
        <v>1391</v>
      </c>
      <c r="F196" s="149"/>
      <c r="G196" s="149" t="s">
        <v>1392</v>
      </c>
      <c r="H196" s="149"/>
      <c r="I196" s="496">
        <f t="shared" si="21"/>
        <v>16</v>
      </c>
      <c r="J196" s="496" t="s">
        <v>239</v>
      </c>
      <c r="K196" s="487">
        <v>45865</v>
      </c>
      <c r="L196" s="488" t="str" cm="1">
        <f t="array" ref="L196">IF($C196="","",INDEX($B$1:$H$1017, $B196, L$1))</f>
        <v>Feuille "FinanceData" | Check Marge Brute</v>
      </c>
      <c r="M196" s="664" t="b">
        <f>FinanceData!AA196</f>
        <v>1</v>
      </c>
      <c r="N196" s="291"/>
    </row>
    <row r="197" spans="1:14" ht="14" x14ac:dyDescent="0.2">
      <c r="A197" s="291"/>
      <c r="B197" s="476">
        <f t="shared" si="20"/>
        <v>197</v>
      </c>
      <c r="C197" s="550" t="s">
        <v>1393</v>
      </c>
      <c r="D197" s="149"/>
      <c r="E197" s="149" t="s">
        <v>1394</v>
      </c>
      <c r="F197" s="149"/>
      <c r="G197" s="149" t="s">
        <v>1395</v>
      </c>
      <c r="H197" s="149"/>
      <c r="I197" s="496">
        <f t="shared" si="21"/>
        <v>16</v>
      </c>
      <c r="J197" s="496" t="s">
        <v>239</v>
      </c>
      <c r="K197" s="487">
        <v>45865</v>
      </c>
      <c r="L197" s="488" t="str" cm="1">
        <f t="array" ref="L197">IF($C197="","",INDEX($B$1:$H$1017, $B197, L$1))</f>
        <v>Feuille "FinanceData" | Check Dépenses Opérationnelles</v>
      </c>
      <c r="M197" s="664" t="b">
        <f>FinanceData!AA370</f>
        <v>1</v>
      </c>
      <c r="N197" s="291"/>
    </row>
    <row r="198" spans="1:14" ht="14" x14ac:dyDescent="0.2">
      <c r="A198" s="291"/>
      <c r="B198" s="476">
        <f t="shared" si="20"/>
        <v>198</v>
      </c>
      <c r="C198" s="550" t="s">
        <v>1396</v>
      </c>
      <c r="D198" s="149"/>
      <c r="E198" s="149" t="s">
        <v>1397</v>
      </c>
      <c r="F198" s="149"/>
      <c r="G198" s="149" t="s">
        <v>1398</v>
      </c>
      <c r="H198" s="149"/>
      <c r="I198" s="496">
        <f t="shared" si="21"/>
        <v>16</v>
      </c>
      <c r="J198" s="496" t="s">
        <v>239</v>
      </c>
      <c r="K198" s="487">
        <v>45865</v>
      </c>
      <c r="L198" s="488" t="str" cm="1">
        <f t="array" ref="L198">IF($C198="","",INDEX($B$1:$H$1017, $B198, L$1))</f>
        <v>Feuille "FinanceData" | Check Dépenses Opérationnelles %</v>
      </c>
      <c r="M198" s="664" t="b">
        <f>FinanceData!AA385</f>
        <v>1</v>
      </c>
      <c r="N198" s="291"/>
    </row>
    <row r="199" spans="1:14" ht="14" x14ac:dyDescent="0.2">
      <c r="A199" s="291"/>
      <c r="B199" s="476">
        <f t="shared" si="20"/>
        <v>199</v>
      </c>
      <c r="C199" s="550"/>
      <c r="D199" s="149"/>
      <c r="E199" s="149"/>
      <c r="F199" s="149"/>
      <c r="G199" s="149"/>
      <c r="H199" s="149"/>
      <c r="I199" s="496">
        <f t="shared" si="21"/>
        <v>16</v>
      </c>
      <c r="J199" s="496" t="s">
        <v>239</v>
      </c>
      <c r="K199" s="487">
        <v>45865</v>
      </c>
      <c r="L199" s="488" t="str" cm="1">
        <f t="array" ref="L199">IF($C199="","",INDEX($B$1:$H$1017, $B199, L$1))</f>
        <v/>
      </c>
      <c r="M199" s="662"/>
      <c r="N199" s="291"/>
    </row>
    <row r="200" spans="1:14" ht="14" x14ac:dyDescent="0.2">
      <c r="A200" s="291"/>
      <c r="B200" s="476">
        <f t="shared" si="20"/>
        <v>200</v>
      </c>
      <c r="C200" s="550" t="s">
        <v>1399</v>
      </c>
      <c r="D200" s="149"/>
      <c r="E200" s="149" t="s">
        <v>1400</v>
      </c>
      <c r="F200" s="149"/>
      <c r="G200" s="149" t="s">
        <v>1401</v>
      </c>
      <c r="H200" s="149"/>
      <c r="I200" s="496">
        <f t="shared" si="21"/>
        <v>16</v>
      </c>
      <c r="J200" s="496" t="s">
        <v>239</v>
      </c>
      <c r="K200" s="487">
        <v>45865</v>
      </c>
      <c r="L200" s="488" t="str" cm="1">
        <f t="array" ref="L200">IF($C200="","",INDEX($B$1:$H$1017, $B200, L$1))</f>
        <v>Feuille "FinancePivot" | Check bénéfice net</v>
      </c>
      <c r="M200" s="664" t="b">
        <f>FinancePivot!D1</f>
        <v>1</v>
      </c>
      <c r="N200" s="291"/>
    </row>
    <row r="201" spans="1:14" ht="14" x14ac:dyDescent="0.2">
      <c r="A201" s="291"/>
      <c r="B201" s="476">
        <f t="shared" si="20"/>
        <v>201</v>
      </c>
      <c r="C201" s="550" t="s">
        <v>1402</v>
      </c>
      <c r="D201" s="149"/>
      <c r="E201" s="149" t="s">
        <v>1403</v>
      </c>
      <c r="F201" s="149"/>
      <c r="G201" s="149" t="s">
        <v>1404</v>
      </c>
      <c r="H201" s="149"/>
      <c r="I201" s="496">
        <f t="shared" si="21"/>
        <v>16</v>
      </c>
      <c r="J201" s="496" t="s">
        <v>239</v>
      </c>
      <c r="K201" s="487">
        <v>45865</v>
      </c>
      <c r="L201" s="488" t="str" cm="1">
        <f t="array" ref="L201">IF($C201="","",INDEX($B$1:$H$1017, $B201, L$1))</f>
        <v>Feuille "FinancePivot" | Actif = Passif</v>
      </c>
      <c r="M201" s="664" t="b">
        <f>FinancePivot!D2</f>
        <v>1</v>
      </c>
      <c r="N201" s="291"/>
    </row>
    <row r="202" spans="1:14" ht="14" x14ac:dyDescent="0.2">
      <c r="A202" s="291"/>
      <c r="B202" s="476">
        <f t="shared" si="20"/>
        <v>202</v>
      </c>
      <c r="C202" s="550"/>
      <c r="D202" s="149"/>
      <c r="E202" s="149"/>
      <c r="F202" s="149"/>
      <c r="G202" s="149"/>
      <c r="H202" s="149"/>
      <c r="I202" s="496">
        <f t="shared" si="21"/>
        <v>16</v>
      </c>
      <c r="J202" s="496" t="s">
        <v>239</v>
      </c>
      <c r="K202" s="487">
        <v>45865</v>
      </c>
      <c r="L202" s="488" t="str" cm="1">
        <f t="array" ref="L202">IF($C202="","",INDEX($B$1:$H$1017, $B200, L$1))</f>
        <v/>
      </c>
      <c r="M202" s="662"/>
      <c r="N202" s="291"/>
    </row>
    <row r="203" spans="1:14" x14ac:dyDescent="0.2">
      <c r="A203" s="291"/>
      <c r="B203" s="476">
        <f t="shared" si="20"/>
        <v>203</v>
      </c>
      <c r="C203" s="670"/>
      <c r="D203" s="671"/>
      <c r="E203" s="671"/>
      <c r="F203" s="671"/>
      <c r="G203" s="671"/>
      <c r="H203" s="671"/>
      <c r="I203" s="672"/>
      <c r="J203" s="672"/>
      <c r="K203" s="673"/>
      <c r="L203" s="674"/>
      <c r="M203" s="675"/>
      <c r="N203" s="291"/>
    </row>
    <row r="204" spans="1:14" x14ac:dyDescent="0.2">
      <c r="A204" s="291"/>
      <c r="B204" s="476">
        <f t="shared" si="20"/>
        <v>204</v>
      </c>
      <c r="C204" s="291"/>
      <c r="D204" s="291"/>
      <c r="E204" s="291"/>
      <c r="F204" s="291"/>
      <c r="G204" s="291"/>
      <c r="H204" s="291"/>
      <c r="I204" s="291"/>
      <c r="J204" s="291"/>
      <c r="K204" s="291"/>
      <c r="L204" s="291"/>
      <c r="M204" s="291"/>
      <c r="N204" s="291"/>
    </row>
  </sheetData>
  <sheetProtection algorithmName="SHA-512" hashValue="gNQwZhirk31+XEm3LuYOvh4WeveDJL/uHx1aciIgWwXmc0+rDOLVtXm6UpqVFO3hxZN1sSamP31/fwN1A9zBow==" saltValue="Xc4x5Qm7g3Pf168ejRU9bA==" spinCount="100000" sheet="1" objects="1" scenarios="1" formatColumns="0" autoFilter="0"/>
  <mergeCells count="1">
    <mergeCell ref="I3:L3"/>
  </mergeCells>
  <conditionalFormatting sqref="M2">
    <cfRule type="cellIs" dxfId="1608" priority="19" operator="equal">
      <formula>FALSE</formula>
    </cfRule>
    <cfRule type="cellIs" dxfId="1607" priority="20" operator="equal">
      <formula>TRUE</formula>
    </cfRule>
  </conditionalFormatting>
  <conditionalFormatting sqref="M188">
    <cfRule type="cellIs" dxfId="1606" priority="17" operator="equal">
      <formula>FALSE</formula>
    </cfRule>
    <cfRule type="cellIs" dxfId="1605" priority="18" operator="equal">
      <formula>TRUE</formula>
    </cfRule>
  </conditionalFormatting>
  <conditionalFormatting sqref="M190:M191">
    <cfRule type="cellIs" dxfId="1604" priority="13" operator="equal">
      <formula>FALSE</formula>
    </cfRule>
    <cfRule type="cellIs" dxfId="1603" priority="14" operator="equal">
      <formula>TRUE</formula>
    </cfRule>
  </conditionalFormatting>
  <conditionalFormatting sqref="M193:M198">
    <cfRule type="cellIs" dxfId="1602" priority="11" operator="equal">
      <formula>FALSE</formula>
    </cfRule>
    <cfRule type="cellIs" dxfId="1601" priority="12" operator="equal">
      <formula>TRUE</formula>
    </cfRule>
  </conditionalFormatting>
  <conditionalFormatting sqref="M200:M201">
    <cfRule type="cellIs" dxfId="1600" priority="9" operator="equal">
      <formula>FALSE</formula>
    </cfRule>
    <cfRule type="cellIs" dxfId="1599" priority="10" operator="equal">
      <formula>TRUE</formula>
    </cfRule>
  </conditionalFormatting>
  <hyperlinks>
    <hyperlink ref="I2" location="ReadMe!L5" display="ReadMe" xr:uid="{6A18E935-0BE5-4C5B-B221-C513772D2692}"/>
    <hyperlink ref="C2" location="ReadMe!L5" display="ReadMe" xr:uid="{731DE4A6-EC8B-44EE-A203-FFBEE3137FF8}"/>
    <hyperlink ref="J184" location="FinanceChart!B1" display="FinanceChart" xr:uid="{F828FAD7-E215-4900-8C57-0C0AA9B37D5A}"/>
    <hyperlink ref="J186" location="FinanceEUR!B1" display="FinanceEUR" xr:uid="{ACC0207E-0EED-4A8B-9724-C7707A124826}"/>
    <hyperlink ref="J123" location="'Données Fin'!D448" display="Données Fin" xr:uid="{A6C06B55-B828-496A-9CFC-13C4EDB99304}"/>
    <hyperlink ref="J126" location="'Données Fin'!D455" display="Données Fin" xr:uid="{CAE8197E-1464-4BC5-9DDB-E3B554DE3D6D}"/>
    <hyperlink ref="J75" location="RevenueChart!B1" display="RevenueChart" xr:uid="{E54A0135-F535-4154-B6F8-B6DCDBB6A1EE}"/>
    <hyperlink ref="J19" location="InputsData!B1" display="InputsData" xr:uid="{8A5E1CE7-6695-436E-B2BA-685983082112}"/>
    <hyperlink ref="J45" location="RevenueData!B1" display="RevenueData" xr:uid="{97C25CB0-A8AA-46CA-AB21-B46C08D08C37}"/>
    <hyperlink ref="J78" location="FinanceData!B1" display="FinanceData" xr:uid="{0D2D196A-9ED9-4F15-B914-5AD9D02A0EE9}"/>
    <hyperlink ref="J110" location="FinanceData!B1" display="FinanceData" xr:uid="{9690D301-792F-4BDF-A3DE-8D47AE3DF270}"/>
    <hyperlink ref="J130" location="FinanceData!B1" display="FinanceData" xr:uid="{8F211823-F835-4B37-B0A4-8E6492A7AEED}"/>
    <hyperlink ref="J70" location="RevenuePivot!B4" display="RevenuePivot" xr:uid="{B595EFC2-9D43-4230-AB04-0D1D14FF816D}"/>
    <hyperlink ref="J67" location="RevenueData!B1" display="RevenueData" xr:uid="{6F98FB12-1D53-4BEE-AA5C-BD561AAD0CD5}"/>
    <hyperlink ref="J139" location="FinanceData!B1" display="FinanceData" xr:uid="{94460440-CAB2-4ECF-B301-C52D57EFEF3C}"/>
    <hyperlink ref="J148" location="FinancePivot!B1" display="FinancePivot" xr:uid="{F6F7A89C-7F4E-4B1B-853E-5EC5C6CDDEC1}"/>
    <hyperlink ref="J142" location="FinanceData!B1" display="FinanceData" xr:uid="{50CB6830-FB74-4ECB-ABC8-C10D2D818207}"/>
    <hyperlink ref="J7" location="ReadMe!M2" display="ReadMe" xr:uid="{B466D4C9-2EA2-4A84-8E39-DF6403326C22}"/>
  </hyperlinks>
  <printOptions horizontalCentered="1"/>
  <pageMargins left="0.19685039370078741" right="0.19685039370078741" top="0.39370078740157483" bottom="0.39370078740157483" header="0.19685039370078741" footer="0.19685039370078741"/>
  <pageSetup paperSize="9" scale="61" fitToHeight="7" orientation="landscape" r:id="rId1"/>
  <headerFooter>
    <oddFooter>&amp;L&amp;F - &amp;A&amp;R| &amp;D | &amp;P/&amp;N</oddFooter>
  </headerFooter>
  <rowBreaks count="4" manualBreakCount="4">
    <brk id="43" min="8" max="12" man="1"/>
    <brk id="65" min="8" max="12" man="1"/>
    <brk id="93" min="8" max="12" man="1"/>
    <brk id="128" min="8" max="12" man="1"/>
  </rowBreaks>
  <ignoredErrors>
    <ignoredError sqref="F22:H22" formula="1"/>
  </ignoredError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D1319-D5D5-450E-8286-FCF77F043E29}">
  <sheetPr codeName="Sheet2">
    <tabColor rgb="FFFFFF00"/>
  </sheetPr>
  <dimension ref="A1:M504"/>
  <sheetViews>
    <sheetView zoomScale="80" zoomScaleNormal="80" workbookViewId="0">
      <pane xSplit="4" ySplit="3" topLeftCell="E4" activePane="bottomRight" state="frozen"/>
      <selection pane="topRight" activeCell="E1" sqref="E1"/>
      <selection pane="bottomLeft" activeCell="A4" sqref="A4"/>
      <selection pane="bottomRight" activeCell="D3" sqref="D3"/>
    </sheetView>
  </sheetViews>
  <sheetFormatPr baseColWidth="10" defaultColWidth="0" defaultRowHeight="13" zeroHeight="1" outlineLevelRow="1" outlineLevelCol="1" x14ac:dyDescent="0.2"/>
  <cols>
    <col min="1" max="1" width="2.7109375" style="25" customWidth="1"/>
    <col min="2" max="2" width="4.7109375" style="25" customWidth="1"/>
    <col min="3" max="3" width="32.7109375" style="1" hidden="1" customWidth="1" outlineLevel="1"/>
    <col min="4" max="4" width="7.7109375" style="1" customWidth="1" collapsed="1"/>
    <col min="5" max="5" width="32.7109375" style="1" customWidth="1"/>
    <col min="6" max="7" width="30.7109375" style="1" customWidth="1" outlineLevel="1"/>
    <col min="8" max="10" width="26.7109375" style="1" customWidth="1"/>
    <col min="11" max="11" width="37.28515625" style="212" hidden="1" customWidth="1" outlineLevel="1"/>
    <col min="12" max="12" width="2.7109375" style="1" customWidth="1" collapsed="1"/>
    <col min="13" max="13" width="0" style="1" hidden="1" customWidth="1"/>
    <col min="14" max="16384" width="8.85546875" style="1" hidden="1"/>
  </cols>
  <sheetData>
    <row r="1" spans="1:12" x14ac:dyDescent="0.2">
      <c r="A1" s="309"/>
      <c r="B1" s="309"/>
      <c r="C1" s="290" t="s">
        <v>153</v>
      </c>
      <c r="D1" s="294"/>
      <c r="E1" s="290" t="s">
        <v>153</v>
      </c>
      <c r="F1" s="294"/>
      <c r="G1" s="294"/>
      <c r="H1" s="294"/>
      <c r="I1" s="294"/>
      <c r="J1" s="295" t="str">
        <f>VLOOKUP("LOCAL CURRENCY",TableInputsData[],ReadMe!$M$3,FALSE)&amp;" : "&amp;InputsData!$J$8</f>
        <v>MONNAIE LOCALE : CFA</v>
      </c>
      <c r="K1" s="769"/>
      <c r="L1" s="294"/>
    </row>
    <row r="2" spans="1:12" x14ac:dyDescent="0.2">
      <c r="A2" s="309"/>
      <c r="B2" s="309"/>
      <c r="C2" s="377" t="s">
        <v>377</v>
      </c>
      <c r="D2" s="377"/>
      <c r="E2" s="377" t="s">
        <v>377</v>
      </c>
      <c r="F2" s="377"/>
      <c r="G2" s="377"/>
      <c r="H2" s="294"/>
      <c r="I2" s="294"/>
      <c r="J2" s="295" t="str">
        <f>IF(ReadMe!$L$3="English","STRICTLY CONFIDENTIAL",IF(ReadMe!$L$3="French","STRICTEMENT CONFIDENTIEL",IF(ReadMe!$L$3="Dutch","STRIKT VERTROUWELIJK","STRICTLY CONFIDENTIAL")))&amp;" | "&amp;InputsData!$J$5</f>
        <v>STRICTEMENT CONFIDENTIEL | ABC CORPORATION</v>
      </c>
      <c r="K2" s="769"/>
      <c r="L2" s="294"/>
    </row>
    <row r="3" spans="1:12" ht="37.5" customHeight="1" x14ac:dyDescent="0.2">
      <c r="A3" s="309"/>
      <c r="B3" s="309"/>
      <c r="C3" s="767" t="s">
        <v>0</v>
      </c>
      <c r="D3" s="874" t="s">
        <v>122</v>
      </c>
      <c r="E3" s="767" t="s">
        <v>385</v>
      </c>
      <c r="F3" s="768" t="s">
        <v>383</v>
      </c>
      <c r="G3" s="768" t="s">
        <v>384</v>
      </c>
      <c r="H3" s="768" t="s">
        <v>30</v>
      </c>
      <c r="I3" s="768" t="s">
        <v>31</v>
      </c>
      <c r="J3" s="768" t="s">
        <v>21</v>
      </c>
      <c r="K3" s="768" t="s">
        <v>1874</v>
      </c>
      <c r="L3" s="294"/>
    </row>
    <row r="4" spans="1:12" x14ac:dyDescent="0.2">
      <c r="A4" s="309"/>
      <c r="B4" s="922" t="s">
        <v>1972</v>
      </c>
      <c r="C4" s="887"/>
      <c r="D4" s="899">
        <v>1</v>
      </c>
      <c r="E4" s="612"/>
      <c r="F4" s="612"/>
      <c r="G4" s="612"/>
      <c r="H4" s="612"/>
      <c r="I4" s="612"/>
      <c r="J4" s="612"/>
      <c r="K4" s="876"/>
      <c r="L4" s="294"/>
    </row>
    <row r="5" spans="1:12" ht="14" x14ac:dyDescent="0.2">
      <c r="A5" s="309"/>
      <c r="B5" s="922"/>
      <c r="C5" s="888" t="s">
        <v>386</v>
      </c>
      <c r="D5" s="912">
        <v>1</v>
      </c>
      <c r="E5" s="825" t="s">
        <v>386</v>
      </c>
      <c r="F5" s="825" t="s">
        <v>26</v>
      </c>
      <c r="G5" s="825" t="s">
        <v>453</v>
      </c>
      <c r="H5" s="826"/>
      <c r="I5" s="826"/>
      <c r="J5" s="497" t="s">
        <v>2048</v>
      </c>
      <c r="K5" s="877"/>
      <c r="L5" s="294"/>
    </row>
    <row r="6" spans="1:12" ht="14" x14ac:dyDescent="0.2">
      <c r="A6" s="309"/>
      <c r="B6" s="922"/>
      <c r="C6" s="888" t="s">
        <v>387</v>
      </c>
      <c r="D6" s="912">
        <v>1</v>
      </c>
      <c r="E6" s="825" t="s">
        <v>387</v>
      </c>
      <c r="F6" s="825" t="s">
        <v>27</v>
      </c>
      <c r="G6" s="825" t="s">
        <v>420</v>
      </c>
      <c r="H6" s="826"/>
      <c r="I6" s="826"/>
      <c r="J6" s="497" t="s">
        <v>1836</v>
      </c>
      <c r="K6" s="877"/>
      <c r="L6" s="294"/>
    </row>
    <row r="7" spans="1:12" x14ac:dyDescent="0.2">
      <c r="A7" s="309"/>
      <c r="B7" s="922"/>
      <c r="C7" s="889"/>
      <c r="D7" s="900">
        <v>1</v>
      </c>
      <c r="E7" s="614"/>
      <c r="F7" s="614"/>
      <c r="G7" s="614"/>
      <c r="H7" s="614"/>
      <c r="I7" s="614"/>
      <c r="J7" s="614"/>
      <c r="K7" s="878"/>
      <c r="L7" s="294"/>
    </row>
    <row r="8" spans="1:12" ht="14" x14ac:dyDescent="0.2">
      <c r="A8" s="309"/>
      <c r="B8" s="922"/>
      <c r="C8" s="888" t="s">
        <v>388</v>
      </c>
      <c r="D8" s="912">
        <v>1</v>
      </c>
      <c r="E8" s="825" t="s">
        <v>388</v>
      </c>
      <c r="F8" s="825" t="s">
        <v>14</v>
      </c>
      <c r="G8" s="825" t="s">
        <v>441</v>
      </c>
      <c r="H8" s="826"/>
      <c r="I8" s="826"/>
      <c r="J8" s="497" t="s">
        <v>22</v>
      </c>
      <c r="K8" s="877"/>
      <c r="L8" s="294"/>
    </row>
    <row r="9" spans="1:12" ht="28" x14ac:dyDescent="0.2">
      <c r="A9" s="309"/>
      <c r="B9" s="922"/>
      <c r="C9" s="888" t="s">
        <v>389</v>
      </c>
      <c r="D9" s="912">
        <v>1</v>
      </c>
      <c r="E9" s="825" t="s">
        <v>389</v>
      </c>
      <c r="F9" s="825" t="s">
        <v>15</v>
      </c>
      <c r="G9" s="825" t="s">
        <v>442</v>
      </c>
      <c r="H9" s="828" t="s">
        <v>25</v>
      </c>
      <c r="I9" s="828"/>
      <c r="J9" s="497">
        <v>655.95699999999999</v>
      </c>
      <c r="K9" s="877"/>
      <c r="L9" s="294"/>
    </row>
    <row r="10" spans="1:12" ht="14" x14ac:dyDescent="0.2">
      <c r="A10" s="309"/>
      <c r="B10" s="922"/>
      <c r="C10" s="888" t="s">
        <v>390</v>
      </c>
      <c r="D10" s="912">
        <v>1</v>
      </c>
      <c r="E10" s="825" t="s">
        <v>390</v>
      </c>
      <c r="F10" s="825" t="s">
        <v>16</v>
      </c>
      <c r="G10" s="825" t="s">
        <v>421</v>
      </c>
      <c r="H10" s="826"/>
      <c r="I10" s="826"/>
      <c r="J10" s="834">
        <v>45937</v>
      </c>
      <c r="K10" s="879"/>
      <c r="L10" s="294"/>
    </row>
    <row r="11" spans="1:12" x14ac:dyDescent="0.2">
      <c r="A11" s="309"/>
      <c r="B11" s="922"/>
      <c r="C11" s="889"/>
      <c r="D11" s="900">
        <v>1</v>
      </c>
      <c r="E11" s="614"/>
      <c r="F11" s="614"/>
      <c r="G11" s="614"/>
      <c r="H11" s="614"/>
      <c r="I11" s="614"/>
      <c r="J11" s="614"/>
      <c r="K11" s="878"/>
      <c r="L11" s="294"/>
    </row>
    <row r="12" spans="1:12" ht="14" x14ac:dyDescent="0.2">
      <c r="A12" s="309"/>
      <c r="B12" s="922"/>
      <c r="C12" s="888" t="s">
        <v>412</v>
      </c>
      <c r="D12" s="913">
        <v>1</v>
      </c>
      <c r="E12" s="825" t="s">
        <v>412</v>
      </c>
      <c r="F12" s="825" t="s">
        <v>19</v>
      </c>
      <c r="G12" s="825" t="s">
        <v>433</v>
      </c>
      <c r="H12" s="826"/>
      <c r="I12" s="826"/>
      <c r="J12" s="835">
        <v>0.18</v>
      </c>
      <c r="K12" s="880"/>
      <c r="L12" s="294"/>
    </row>
    <row r="13" spans="1:12" x14ac:dyDescent="0.2">
      <c r="A13" s="309"/>
      <c r="B13" s="922"/>
      <c r="C13" s="889"/>
      <c r="D13" s="900">
        <v>1</v>
      </c>
      <c r="E13" s="614"/>
      <c r="F13" s="614"/>
      <c r="G13" s="614"/>
      <c r="H13" s="614"/>
      <c r="I13" s="614"/>
      <c r="J13" s="614"/>
      <c r="K13" s="878"/>
      <c r="L13" s="294"/>
    </row>
    <row r="14" spans="1:12" ht="14" x14ac:dyDescent="0.2">
      <c r="A14" s="309"/>
      <c r="B14" s="922"/>
      <c r="C14" s="888" t="s">
        <v>413</v>
      </c>
      <c r="D14" s="913">
        <v>1</v>
      </c>
      <c r="E14" s="825" t="s">
        <v>413</v>
      </c>
      <c r="F14" s="825" t="s">
        <v>20</v>
      </c>
      <c r="G14" s="825" t="s">
        <v>434</v>
      </c>
      <c r="H14" s="826"/>
      <c r="I14" s="826"/>
      <c r="J14" s="835">
        <v>0.03</v>
      </c>
      <c r="K14" s="880"/>
      <c r="L14" s="294"/>
    </row>
    <row r="15" spans="1:12" x14ac:dyDescent="0.2">
      <c r="A15" s="309"/>
      <c r="B15" s="922"/>
      <c r="C15" s="889"/>
      <c r="D15" s="900">
        <v>1</v>
      </c>
      <c r="E15" s="614"/>
      <c r="F15" s="614"/>
      <c r="G15" s="614"/>
      <c r="H15" s="614"/>
      <c r="I15" s="614"/>
      <c r="J15" s="614"/>
      <c r="K15" s="878"/>
      <c r="L15" s="294"/>
    </row>
    <row r="16" spans="1:12" ht="42" x14ac:dyDescent="0.2">
      <c r="A16" s="309"/>
      <c r="B16" s="922"/>
      <c r="C16" s="888" t="s">
        <v>414</v>
      </c>
      <c r="D16" s="912">
        <v>1</v>
      </c>
      <c r="E16" s="825" t="s">
        <v>414</v>
      </c>
      <c r="F16" s="825" t="s">
        <v>245</v>
      </c>
      <c r="G16" s="825" t="s">
        <v>435</v>
      </c>
      <c r="H16" s="825" t="s">
        <v>1871</v>
      </c>
      <c r="I16" s="825" t="s">
        <v>1519</v>
      </c>
      <c r="J16" s="825" t="s">
        <v>112</v>
      </c>
      <c r="K16" s="881"/>
      <c r="L16" s="294"/>
    </row>
    <row r="17" spans="1:12" ht="14" x14ac:dyDescent="0.2">
      <c r="A17" s="309"/>
      <c r="B17" s="922"/>
      <c r="C17" s="890" t="s">
        <v>415</v>
      </c>
      <c r="D17" s="913">
        <v>1</v>
      </c>
      <c r="E17" s="826" t="s">
        <v>415</v>
      </c>
      <c r="F17" s="826" t="s">
        <v>240</v>
      </c>
      <c r="G17" s="826" t="s">
        <v>436</v>
      </c>
      <c r="H17" s="497" t="s">
        <v>2049</v>
      </c>
      <c r="I17" s="497" t="s">
        <v>1885</v>
      </c>
      <c r="J17" s="835">
        <v>0.04</v>
      </c>
      <c r="K17" s="880"/>
      <c r="L17" s="294"/>
    </row>
    <row r="18" spans="1:12" ht="14" x14ac:dyDescent="0.2">
      <c r="A18" s="309"/>
      <c r="B18" s="922"/>
      <c r="C18" s="890" t="s">
        <v>416</v>
      </c>
      <c r="D18" s="913">
        <v>1</v>
      </c>
      <c r="E18" s="826" t="s">
        <v>416</v>
      </c>
      <c r="F18" s="826" t="s">
        <v>241</v>
      </c>
      <c r="G18" s="826" t="s">
        <v>437</v>
      </c>
      <c r="H18" s="497" t="s">
        <v>2050</v>
      </c>
      <c r="I18" s="497" t="s">
        <v>1886</v>
      </c>
      <c r="J18" s="835">
        <v>0.3</v>
      </c>
      <c r="K18" s="880"/>
      <c r="L18" s="294"/>
    </row>
    <row r="19" spans="1:12" ht="14" x14ac:dyDescent="0.2">
      <c r="A19" s="309"/>
      <c r="B19" s="922"/>
      <c r="C19" s="890" t="s">
        <v>417</v>
      </c>
      <c r="D19" s="913">
        <v>1</v>
      </c>
      <c r="E19" s="826" t="s">
        <v>417</v>
      </c>
      <c r="F19" s="826" t="s">
        <v>242</v>
      </c>
      <c r="G19" s="826" t="s">
        <v>438</v>
      </c>
      <c r="H19" s="497"/>
      <c r="I19" s="497"/>
      <c r="J19" s="835"/>
      <c r="K19" s="880"/>
      <c r="L19" s="294"/>
    </row>
    <row r="20" spans="1:12" ht="14" x14ac:dyDescent="0.2">
      <c r="A20" s="309"/>
      <c r="B20" s="922"/>
      <c r="C20" s="890" t="s">
        <v>418</v>
      </c>
      <c r="D20" s="913">
        <v>1</v>
      </c>
      <c r="E20" s="826" t="s">
        <v>418</v>
      </c>
      <c r="F20" s="826" t="s">
        <v>243</v>
      </c>
      <c r="G20" s="826" t="s">
        <v>439</v>
      </c>
      <c r="H20" s="497"/>
      <c r="I20" s="497"/>
      <c r="J20" s="835"/>
      <c r="K20" s="880"/>
      <c r="L20" s="294"/>
    </row>
    <row r="21" spans="1:12" ht="14" x14ac:dyDescent="0.2">
      <c r="A21" s="309"/>
      <c r="B21" s="922"/>
      <c r="C21" s="890" t="s">
        <v>419</v>
      </c>
      <c r="D21" s="913">
        <v>1</v>
      </c>
      <c r="E21" s="826" t="s">
        <v>419</v>
      </c>
      <c r="F21" s="826" t="s">
        <v>244</v>
      </c>
      <c r="G21" s="826" t="s">
        <v>440</v>
      </c>
      <c r="H21" s="497"/>
      <c r="I21" s="497"/>
      <c r="J21" s="835"/>
      <c r="K21" s="880"/>
      <c r="L21" s="294"/>
    </row>
    <row r="22" spans="1:12" x14ac:dyDescent="0.2">
      <c r="A22" s="309"/>
      <c r="B22" s="922"/>
      <c r="C22" s="891"/>
      <c r="D22" s="901">
        <v>1</v>
      </c>
      <c r="E22" s="620"/>
      <c r="F22" s="620"/>
      <c r="G22" s="620"/>
      <c r="H22" s="620"/>
      <c r="I22" s="620"/>
      <c r="J22" s="620"/>
      <c r="K22" s="882"/>
      <c r="L22" s="294"/>
    </row>
    <row r="23" spans="1:12" ht="42" x14ac:dyDescent="0.2">
      <c r="A23" s="309"/>
      <c r="B23" s="923" t="s">
        <v>1973</v>
      </c>
      <c r="C23" s="888" t="s">
        <v>1520</v>
      </c>
      <c r="D23" s="912">
        <v>2</v>
      </c>
      <c r="E23" s="825" t="s">
        <v>1520</v>
      </c>
      <c r="F23" s="825" t="s">
        <v>1521</v>
      </c>
      <c r="G23" s="825" t="s">
        <v>1522</v>
      </c>
      <c r="H23" s="825" t="s">
        <v>1523</v>
      </c>
      <c r="I23" s="825" t="s">
        <v>1524</v>
      </c>
      <c r="J23" s="825" t="s">
        <v>1525</v>
      </c>
      <c r="K23" s="881"/>
      <c r="L23" s="294"/>
    </row>
    <row r="24" spans="1:12" ht="14" x14ac:dyDescent="0.2">
      <c r="A24" s="309"/>
      <c r="B24" s="923"/>
      <c r="C24" s="890" t="s">
        <v>392</v>
      </c>
      <c r="D24" s="912">
        <v>2</v>
      </c>
      <c r="E24" s="826" t="s">
        <v>392</v>
      </c>
      <c r="F24" s="826" t="s">
        <v>4</v>
      </c>
      <c r="G24" s="826" t="s">
        <v>422</v>
      </c>
      <c r="H24" s="826"/>
      <c r="I24" s="826" t="s">
        <v>516</v>
      </c>
      <c r="J24" s="497">
        <v>2023</v>
      </c>
      <c r="K24" s="877"/>
      <c r="L24" s="294"/>
    </row>
    <row r="25" spans="1:12" ht="14" x14ac:dyDescent="0.2">
      <c r="A25" s="309"/>
      <c r="B25" s="923"/>
      <c r="C25" s="890" t="s">
        <v>391</v>
      </c>
      <c r="D25" s="912">
        <v>2</v>
      </c>
      <c r="E25" s="826" t="s">
        <v>391</v>
      </c>
      <c r="F25" s="826" t="s">
        <v>5</v>
      </c>
      <c r="G25" s="826" t="s">
        <v>423</v>
      </c>
      <c r="H25" s="826"/>
      <c r="I25" s="826" t="s">
        <v>516</v>
      </c>
      <c r="J25" s="826">
        <f>J24+1</f>
        <v>2024</v>
      </c>
      <c r="K25" s="877"/>
      <c r="L25" s="294"/>
    </row>
    <row r="26" spans="1:12" ht="14" x14ac:dyDescent="0.2">
      <c r="A26" s="309"/>
      <c r="B26" s="923"/>
      <c r="C26" s="890" t="s">
        <v>393</v>
      </c>
      <c r="D26" s="912">
        <v>2</v>
      </c>
      <c r="E26" s="826" t="s">
        <v>393</v>
      </c>
      <c r="F26" s="826" t="s">
        <v>6</v>
      </c>
      <c r="G26" s="826" t="s">
        <v>424</v>
      </c>
      <c r="H26" s="826"/>
      <c r="I26" s="826" t="s">
        <v>515</v>
      </c>
      <c r="J26" s="826">
        <f>J25+1</f>
        <v>2025</v>
      </c>
      <c r="K26" s="877"/>
      <c r="L26" s="294"/>
    </row>
    <row r="27" spans="1:12" ht="14" x14ac:dyDescent="0.2">
      <c r="A27" s="309"/>
      <c r="B27" s="923"/>
      <c r="C27" s="890" t="s">
        <v>394</v>
      </c>
      <c r="D27" s="912">
        <v>2</v>
      </c>
      <c r="E27" s="826" t="s">
        <v>394</v>
      </c>
      <c r="F27" s="826" t="s">
        <v>23</v>
      </c>
      <c r="G27" s="826" t="s">
        <v>425</v>
      </c>
      <c r="H27" s="826" t="s">
        <v>509</v>
      </c>
      <c r="I27" s="497" t="s">
        <v>516</v>
      </c>
      <c r="J27" s="826">
        <f>J26</f>
        <v>2025</v>
      </c>
      <c r="K27" s="877"/>
      <c r="L27" s="294"/>
    </row>
    <row r="28" spans="1:12" ht="14" x14ac:dyDescent="0.2">
      <c r="A28" s="309"/>
      <c r="B28" s="923"/>
      <c r="C28" s="890" t="s">
        <v>395</v>
      </c>
      <c r="D28" s="912">
        <v>2</v>
      </c>
      <c r="E28" s="826" t="s">
        <v>395</v>
      </c>
      <c r="F28" s="826" t="s">
        <v>24</v>
      </c>
      <c r="G28" s="826" t="s">
        <v>426</v>
      </c>
      <c r="H28" s="826" t="s">
        <v>510</v>
      </c>
      <c r="I28" s="826" t="s">
        <v>515</v>
      </c>
      <c r="J28" s="826">
        <f>J27</f>
        <v>2025</v>
      </c>
      <c r="K28" s="877"/>
      <c r="L28" s="294"/>
    </row>
    <row r="29" spans="1:12" ht="14" x14ac:dyDescent="0.2">
      <c r="A29" s="309"/>
      <c r="B29" s="923"/>
      <c r="C29" s="890" t="s">
        <v>396</v>
      </c>
      <c r="D29" s="912">
        <v>2</v>
      </c>
      <c r="E29" s="826" t="s">
        <v>396</v>
      </c>
      <c r="F29" s="826" t="s">
        <v>7</v>
      </c>
      <c r="G29" s="826" t="s">
        <v>427</v>
      </c>
      <c r="H29" s="826"/>
      <c r="I29" s="826" t="s">
        <v>515</v>
      </c>
      <c r="J29" s="826">
        <f>J28+1</f>
        <v>2026</v>
      </c>
      <c r="K29" s="877"/>
      <c r="L29" s="294"/>
    </row>
    <row r="30" spans="1:12" ht="14" x14ac:dyDescent="0.2">
      <c r="A30" s="309"/>
      <c r="B30" s="923"/>
      <c r="C30" s="890" t="s">
        <v>397</v>
      </c>
      <c r="D30" s="912">
        <v>2</v>
      </c>
      <c r="E30" s="826" t="s">
        <v>397</v>
      </c>
      <c r="F30" s="826" t="s">
        <v>8</v>
      </c>
      <c r="G30" s="826" t="s">
        <v>428</v>
      </c>
      <c r="H30" s="826"/>
      <c r="I30" s="826" t="s">
        <v>515</v>
      </c>
      <c r="J30" s="826">
        <f>J29+1</f>
        <v>2027</v>
      </c>
      <c r="K30" s="877"/>
      <c r="L30" s="294"/>
    </row>
    <row r="31" spans="1:12" ht="14" x14ac:dyDescent="0.2">
      <c r="A31" s="309"/>
      <c r="B31" s="923"/>
      <c r="C31" s="890" t="s">
        <v>398</v>
      </c>
      <c r="D31" s="912">
        <v>2</v>
      </c>
      <c r="E31" s="826" t="s">
        <v>398</v>
      </c>
      <c r="F31" s="826" t="s">
        <v>9</v>
      </c>
      <c r="G31" s="826" t="s">
        <v>429</v>
      </c>
      <c r="H31" s="826"/>
      <c r="I31" s="826" t="s">
        <v>515</v>
      </c>
      <c r="J31" s="826">
        <f>J30+1</f>
        <v>2028</v>
      </c>
      <c r="K31" s="877"/>
      <c r="L31" s="294"/>
    </row>
    <row r="32" spans="1:12" ht="14" x14ac:dyDescent="0.2">
      <c r="A32" s="309"/>
      <c r="B32" s="923"/>
      <c r="C32" s="890" t="s">
        <v>399</v>
      </c>
      <c r="D32" s="912">
        <v>2</v>
      </c>
      <c r="E32" s="826" t="s">
        <v>399</v>
      </c>
      <c r="F32" s="826" t="s">
        <v>10</v>
      </c>
      <c r="G32" s="826" t="s">
        <v>430</v>
      </c>
      <c r="H32" s="826"/>
      <c r="I32" s="826" t="s">
        <v>515</v>
      </c>
      <c r="J32" s="826">
        <f>J31+1</f>
        <v>2029</v>
      </c>
      <c r="K32" s="877"/>
      <c r="L32" s="294"/>
    </row>
    <row r="33" spans="1:12" ht="14" x14ac:dyDescent="0.2">
      <c r="A33" s="309"/>
      <c r="B33" s="923"/>
      <c r="C33" s="890" t="s">
        <v>400</v>
      </c>
      <c r="D33" s="912">
        <v>2</v>
      </c>
      <c r="E33" s="826" t="s">
        <v>400</v>
      </c>
      <c r="F33" s="826" t="s">
        <v>11</v>
      </c>
      <c r="G33" s="826" t="s">
        <v>431</v>
      </c>
      <c r="H33" s="826"/>
      <c r="I33" s="826" t="s">
        <v>515</v>
      </c>
      <c r="J33" s="826">
        <f>J32+1</f>
        <v>2030</v>
      </c>
      <c r="K33" s="877"/>
      <c r="L33" s="294"/>
    </row>
    <row r="34" spans="1:12" x14ac:dyDescent="0.2">
      <c r="A34" s="309"/>
      <c r="B34" s="923"/>
      <c r="C34" s="891"/>
      <c r="D34" s="901">
        <v>2</v>
      </c>
      <c r="E34" s="620"/>
      <c r="F34" s="620"/>
      <c r="G34" s="620"/>
      <c r="H34" s="620"/>
      <c r="I34" s="620"/>
      <c r="J34" s="620"/>
      <c r="K34" s="882"/>
      <c r="L34" s="294"/>
    </row>
    <row r="35" spans="1:12" ht="38.25" customHeight="1" x14ac:dyDescent="0.2">
      <c r="A35" s="309"/>
      <c r="B35" s="922" t="s">
        <v>1974</v>
      </c>
      <c r="C35" s="888" t="s">
        <v>1512</v>
      </c>
      <c r="D35" s="912">
        <v>3</v>
      </c>
      <c r="E35" s="825" t="s">
        <v>1512</v>
      </c>
      <c r="F35" s="825" t="s">
        <v>1513</v>
      </c>
      <c r="G35" s="825" t="s">
        <v>1512</v>
      </c>
      <c r="H35" s="825" t="s">
        <v>1514</v>
      </c>
      <c r="I35" s="825" t="s">
        <v>1518</v>
      </c>
      <c r="J35" s="825" t="s">
        <v>1848</v>
      </c>
      <c r="K35" s="881" t="s">
        <v>1875</v>
      </c>
      <c r="L35" s="294"/>
    </row>
    <row r="36" spans="1:12" ht="14" x14ac:dyDescent="0.2">
      <c r="A36" s="309"/>
      <c r="B36" s="922"/>
      <c r="C36" s="890" t="s">
        <v>537</v>
      </c>
      <c r="D36" s="912">
        <v>3</v>
      </c>
      <c r="E36" s="826" t="s">
        <v>537</v>
      </c>
      <c r="F36" s="826" t="s">
        <v>555</v>
      </c>
      <c r="G36" s="826" t="s">
        <v>537</v>
      </c>
      <c r="H36" s="497" t="s">
        <v>2079</v>
      </c>
      <c r="I36" s="498">
        <v>1</v>
      </c>
      <c r="J36" s="497"/>
      <c r="K36" s="883" t="str">
        <f>IF(ReadMe!$L$3="English",$C$69,IF(ReadMe!$L$3="French",$F$69,$G$69))&amp;" : "&amp;SUM($F79:$H79)&amp;" + "&amp;IF(ReadMe!$L$3="English",$C$74,IF(ReadMe!$L$3="French",$F$74,$G$74))&amp;" : "&amp;SUM($I79:$J79)</f>
        <v>GAMME # : 1 + CANAL DE DISTRIBUTION # : 1</v>
      </c>
      <c r="L36" s="294"/>
    </row>
    <row r="37" spans="1:12" ht="14" x14ac:dyDescent="0.2">
      <c r="A37" s="309"/>
      <c r="B37" s="922"/>
      <c r="C37" s="890" t="s">
        <v>538</v>
      </c>
      <c r="D37" s="912">
        <v>3</v>
      </c>
      <c r="E37" s="826" t="s">
        <v>538</v>
      </c>
      <c r="F37" s="826" t="s">
        <v>556</v>
      </c>
      <c r="G37" s="826" t="s">
        <v>538</v>
      </c>
      <c r="H37" s="497" t="s">
        <v>2080</v>
      </c>
      <c r="I37" s="498">
        <v>1</v>
      </c>
      <c r="J37" s="497"/>
      <c r="K37" s="883" t="str">
        <f>IF(ReadMe!$L$3="English",$C$69,IF(ReadMe!$L$3="French",$F$69,$G$69))&amp;" : "&amp;SUM($F80:$H80)&amp;" + "&amp;IF(ReadMe!$L$3="English",$C$74,IF(ReadMe!$L$3="French",$F$74,$G$74))&amp;" : "&amp;SUM($I80:$J80)</f>
        <v>GAMME # : 1 + CANAL DE DISTRIBUTION # : 1</v>
      </c>
      <c r="L37" s="294"/>
    </row>
    <row r="38" spans="1:12" ht="14" x14ac:dyDescent="0.2">
      <c r="A38" s="309"/>
      <c r="B38" s="922"/>
      <c r="C38" s="890" t="s">
        <v>539</v>
      </c>
      <c r="D38" s="912">
        <v>3</v>
      </c>
      <c r="E38" s="826" t="s">
        <v>539</v>
      </c>
      <c r="F38" s="826" t="s">
        <v>557</v>
      </c>
      <c r="G38" s="826" t="s">
        <v>539</v>
      </c>
      <c r="H38" s="497" t="s">
        <v>370</v>
      </c>
      <c r="I38" s="498">
        <v>0</v>
      </c>
      <c r="J38" s="497"/>
      <c r="K38" s="883" t="str">
        <f>IF(ReadMe!$L$3="English",$C$69,IF(ReadMe!$L$3="French",$F$69,$G$69))&amp;" : "&amp;SUM($F81:$H81)&amp;" + "&amp;IF(ReadMe!$L$3="English",$C$74,IF(ReadMe!$L$3="French",$F$74,$G$74))&amp;" : "&amp;SUM($I81:$J81)</f>
        <v>GAMME # : 1 + CANAL DE DISTRIBUTION # : 1</v>
      </c>
      <c r="L38" s="294"/>
    </row>
    <row r="39" spans="1:12" ht="14" x14ac:dyDescent="0.2">
      <c r="A39" s="309"/>
      <c r="B39" s="922"/>
      <c r="C39" s="890" t="s">
        <v>540</v>
      </c>
      <c r="D39" s="912">
        <v>3</v>
      </c>
      <c r="E39" s="826" t="s">
        <v>540</v>
      </c>
      <c r="F39" s="826" t="s">
        <v>558</v>
      </c>
      <c r="G39" s="826" t="s">
        <v>540</v>
      </c>
      <c r="H39" s="497" t="s">
        <v>370</v>
      </c>
      <c r="I39" s="498">
        <v>0</v>
      </c>
      <c r="J39" s="497"/>
      <c r="K39" s="883" t="str">
        <f>IF(ReadMe!$L$3="English",$C$69,IF(ReadMe!$L$3="French",$F$69,$G$69))&amp;" : "&amp;SUM($F82:$H82)&amp;" + "&amp;IF(ReadMe!$L$3="English",$C$74,IF(ReadMe!$L$3="French",$F$74,$G$74))&amp;" : "&amp;SUM($I82:$J82)</f>
        <v>GAMME # : 1 + CANAL DE DISTRIBUTION # : 1</v>
      </c>
      <c r="L39" s="294"/>
    </row>
    <row r="40" spans="1:12" ht="14" x14ac:dyDescent="0.2">
      <c r="A40" s="309"/>
      <c r="B40" s="922"/>
      <c r="C40" s="890" t="s">
        <v>541</v>
      </c>
      <c r="D40" s="912">
        <v>3</v>
      </c>
      <c r="E40" s="826" t="s">
        <v>541</v>
      </c>
      <c r="F40" s="826" t="s">
        <v>559</v>
      </c>
      <c r="G40" s="826" t="s">
        <v>541</v>
      </c>
      <c r="H40" s="497" t="s">
        <v>370</v>
      </c>
      <c r="I40" s="498">
        <v>0</v>
      </c>
      <c r="J40" s="497"/>
      <c r="K40" s="883" t="str">
        <f>IF(ReadMe!$L$3="English",$C$69,IF(ReadMe!$L$3="French",$F$69,$G$69))&amp;" : "&amp;SUM($F83:$H83)&amp;" + "&amp;IF(ReadMe!$L$3="English",$C$74,IF(ReadMe!$L$3="French",$F$74,$G$74))&amp;" : "&amp;SUM($I83:$J83)</f>
        <v>GAMME # : 1 + CANAL DE DISTRIBUTION # : 1</v>
      </c>
      <c r="L40" s="294"/>
    </row>
    <row r="41" spans="1:12" ht="14" x14ac:dyDescent="0.2">
      <c r="A41" s="309"/>
      <c r="B41" s="922"/>
      <c r="C41" s="890" t="s">
        <v>542</v>
      </c>
      <c r="D41" s="912">
        <v>3</v>
      </c>
      <c r="E41" s="826" t="s">
        <v>542</v>
      </c>
      <c r="F41" s="826" t="s">
        <v>560</v>
      </c>
      <c r="G41" s="826" t="s">
        <v>542</v>
      </c>
      <c r="H41" s="497" t="s">
        <v>370</v>
      </c>
      <c r="I41" s="498">
        <v>0</v>
      </c>
      <c r="J41" s="497"/>
      <c r="K41" s="883" t="str">
        <f>IF(ReadMe!$L$3="English",$C$69,IF(ReadMe!$L$3="French",$F$69,$G$69))&amp;" : "&amp;SUM($F84:$H84)&amp;" + "&amp;IF(ReadMe!$L$3="English",$C$74,IF(ReadMe!$L$3="French",$F$74,$G$74))&amp;" : "&amp;SUM($I84:$J84)</f>
        <v>GAMME # : 1 + CANAL DE DISTRIBUTION # : 1</v>
      </c>
      <c r="L41" s="294"/>
    </row>
    <row r="42" spans="1:12" ht="14" x14ac:dyDescent="0.2">
      <c r="A42" s="309"/>
      <c r="B42" s="922"/>
      <c r="C42" s="890" t="s">
        <v>543</v>
      </c>
      <c r="D42" s="912">
        <v>3</v>
      </c>
      <c r="E42" s="826" t="s">
        <v>543</v>
      </c>
      <c r="F42" s="826" t="s">
        <v>561</v>
      </c>
      <c r="G42" s="826" t="s">
        <v>543</v>
      </c>
      <c r="H42" s="497" t="s">
        <v>370</v>
      </c>
      <c r="I42" s="498">
        <v>0</v>
      </c>
      <c r="J42" s="497"/>
      <c r="K42" s="883" t="str">
        <f>IF(ReadMe!$L$3="English",$C$69,IF(ReadMe!$L$3="French",$F$69,$G$69))&amp;" : "&amp;SUM($F85:$H85)&amp;" + "&amp;IF(ReadMe!$L$3="English",$C$74,IF(ReadMe!$L$3="French",$F$74,$G$74))&amp;" : "&amp;SUM($I85:$J85)</f>
        <v>GAMME # : 1 + CANAL DE DISTRIBUTION # : 1</v>
      </c>
      <c r="L42" s="294"/>
    </row>
    <row r="43" spans="1:12" ht="14" x14ac:dyDescent="0.2">
      <c r="A43" s="309"/>
      <c r="B43" s="922"/>
      <c r="C43" s="890" t="s">
        <v>544</v>
      </c>
      <c r="D43" s="912">
        <v>3</v>
      </c>
      <c r="E43" s="826" t="s">
        <v>544</v>
      </c>
      <c r="F43" s="826" t="s">
        <v>562</v>
      </c>
      <c r="G43" s="826" t="s">
        <v>544</v>
      </c>
      <c r="H43" s="497" t="s">
        <v>370</v>
      </c>
      <c r="I43" s="498">
        <v>0</v>
      </c>
      <c r="J43" s="497"/>
      <c r="K43" s="883" t="str">
        <f>IF(ReadMe!$L$3="English",$C$69,IF(ReadMe!$L$3="French",$F$69,$G$69))&amp;" : "&amp;SUM($F86:$H86)&amp;" + "&amp;IF(ReadMe!$L$3="English",$C$74,IF(ReadMe!$L$3="French",$F$74,$G$74))&amp;" : "&amp;SUM($I86:$J86)</f>
        <v>GAMME # : 1 + CANAL DE DISTRIBUTION # : 1</v>
      </c>
      <c r="L43" s="294"/>
    </row>
    <row r="44" spans="1:12" ht="14" x14ac:dyDescent="0.2">
      <c r="A44" s="309"/>
      <c r="B44" s="922"/>
      <c r="C44" s="890" t="s">
        <v>545</v>
      </c>
      <c r="D44" s="912">
        <v>3</v>
      </c>
      <c r="E44" s="826" t="s">
        <v>545</v>
      </c>
      <c r="F44" s="826" t="s">
        <v>563</v>
      </c>
      <c r="G44" s="826" t="s">
        <v>545</v>
      </c>
      <c r="H44" s="497" t="s">
        <v>370</v>
      </c>
      <c r="I44" s="498">
        <v>0</v>
      </c>
      <c r="J44" s="497"/>
      <c r="K44" s="883" t="str">
        <f>IF(ReadMe!$L$3="English",$C$69,IF(ReadMe!$L$3="French",$F$69,$G$69))&amp;" : "&amp;SUM($F87:$H87)&amp;" + "&amp;IF(ReadMe!$L$3="English",$C$74,IF(ReadMe!$L$3="French",$F$74,$G$74))&amp;" : "&amp;SUM($I87:$J87)</f>
        <v>GAMME # : 1 + CANAL DE DISTRIBUTION # : 1</v>
      </c>
      <c r="L44" s="294"/>
    </row>
    <row r="45" spans="1:12" ht="14" x14ac:dyDescent="0.2">
      <c r="A45" s="309"/>
      <c r="B45" s="922"/>
      <c r="C45" s="890" t="s">
        <v>401</v>
      </c>
      <c r="D45" s="912">
        <v>3</v>
      </c>
      <c r="E45" s="826" t="s">
        <v>401</v>
      </c>
      <c r="F45" s="826" t="s">
        <v>28</v>
      </c>
      <c r="G45" s="826" t="s">
        <v>401</v>
      </c>
      <c r="H45" s="497" t="s">
        <v>370</v>
      </c>
      <c r="I45" s="498">
        <v>0</v>
      </c>
      <c r="J45" s="497"/>
      <c r="K45" s="883" t="str">
        <f>IF(ReadMe!$L$3="English",$C$69,IF(ReadMe!$L$3="French",$F$69,$G$69))&amp;" : "&amp;SUM($F88:$H88)&amp;" + "&amp;IF(ReadMe!$L$3="English",$C$74,IF(ReadMe!$L$3="French",$F$74,$G$74))&amp;" : "&amp;SUM($I88:$J88)</f>
        <v>GAMME # : 1 + CANAL DE DISTRIBUTION # : 1</v>
      </c>
      <c r="L45" s="294"/>
    </row>
    <row r="46" spans="1:12" ht="14" x14ac:dyDescent="0.2">
      <c r="A46" s="309"/>
      <c r="B46" s="922"/>
      <c r="C46" s="890" t="s">
        <v>1710</v>
      </c>
      <c r="D46" s="912">
        <v>3</v>
      </c>
      <c r="E46" s="826" t="s">
        <v>1710</v>
      </c>
      <c r="F46" s="826" t="s">
        <v>1711</v>
      </c>
      <c r="G46" s="826" t="s">
        <v>1710</v>
      </c>
      <c r="H46" s="497" t="s">
        <v>370</v>
      </c>
      <c r="I46" s="498">
        <v>0</v>
      </c>
      <c r="J46" s="497"/>
      <c r="K46" s="883" t="str">
        <f>IF(ReadMe!$L$3="English",$C$69,IF(ReadMe!$L$3="French",$F$69,$G$69))&amp;" : "&amp;SUM($F89:$H89)&amp;" + "&amp;IF(ReadMe!$L$3="English",$C$74,IF(ReadMe!$L$3="French",$F$74,$G$74))&amp;" : "&amp;SUM($I89:$J89)</f>
        <v>GAMME # : 1 + CANAL DE DISTRIBUTION # : 1</v>
      </c>
      <c r="L46" s="294"/>
    </row>
    <row r="47" spans="1:12" ht="14" x14ac:dyDescent="0.2">
      <c r="A47" s="309"/>
      <c r="B47" s="922"/>
      <c r="C47" s="890" t="s">
        <v>1712</v>
      </c>
      <c r="D47" s="912">
        <v>3</v>
      </c>
      <c r="E47" s="826" t="s">
        <v>1712</v>
      </c>
      <c r="F47" s="826" t="s">
        <v>1713</v>
      </c>
      <c r="G47" s="826" t="s">
        <v>1712</v>
      </c>
      <c r="H47" s="497" t="s">
        <v>370</v>
      </c>
      <c r="I47" s="498">
        <v>0</v>
      </c>
      <c r="J47" s="497"/>
      <c r="K47" s="883" t="str">
        <f>IF(ReadMe!$L$3="English",$C$69,IF(ReadMe!$L$3="French",$F$69,$G$69))&amp;" : "&amp;SUM($F90:$H90)&amp;" + "&amp;IF(ReadMe!$L$3="English",$C$74,IF(ReadMe!$L$3="French",$F$74,$G$74))&amp;" : "&amp;SUM($I90:$J90)</f>
        <v>GAMME # : 1 + CANAL DE DISTRIBUTION # : 1</v>
      </c>
      <c r="L47" s="294"/>
    </row>
    <row r="48" spans="1:12" ht="14" x14ac:dyDescent="0.2">
      <c r="A48" s="309"/>
      <c r="B48" s="922"/>
      <c r="C48" s="890" t="s">
        <v>1714</v>
      </c>
      <c r="D48" s="912">
        <v>3</v>
      </c>
      <c r="E48" s="826" t="s">
        <v>1714</v>
      </c>
      <c r="F48" s="826" t="s">
        <v>1715</v>
      </c>
      <c r="G48" s="826" t="s">
        <v>1714</v>
      </c>
      <c r="H48" s="497" t="s">
        <v>370</v>
      </c>
      <c r="I48" s="498">
        <v>0</v>
      </c>
      <c r="J48" s="497"/>
      <c r="K48" s="883" t="str">
        <f>IF(ReadMe!$L$3="English",$C$69,IF(ReadMe!$L$3="French",$F$69,$G$69))&amp;" : "&amp;SUM($F91:$H91)&amp;" + "&amp;IF(ReadMe!$L$3="English",$C$74,IF(ReadMe!$L$3="French",$F$74,$G$74))&amp;" : "&amp;SUM($I91:$J91)</f>
        <v>GAMME # : 1 + CANAL DE DISTRIBUTION # : 1</v>
      </c>
      <c r="L48" s="294"/>
    </row>
    <row r="49" spans="1:12" ht="14" x14ac:dyDescent="0.2">
      <c r="A49" s="309"/>
      <c r="B49" s="922"/>
      <c r="C49" s="890" t="s">
        <v>1716</v>
      </c>
      <c r="D49" s="912">
        <v>3</v>
      </c>
      <c r="E49" s="826" t="s">
        <v>1716</v>
      </c>
      <c r="F49" s="826" t="s">
        <v>1717</v>
      </c>
      <c r="G49" s="826" t="s">
        <v>1716</v>
      </c>
      <c r="H49" s="497" t="s">
        <v>370</v>
      </c>
      <c r="I49" s="498">
        <v>0</v>
      </c>
      <c r="J49" s="497"/>
      <c r="K49" s="883" t="str">
        <f>IF(ReadMe!$L$3="English",$C$69,IF(ReadMe!$L$3="French",$F$69,$G$69))&amp;" : "&amp;SUM($F92:$H92)&amp;" + "&amp;IF(ReadMe!$L$3="English",$C$74,IF(ReadMe!$L$3="French",$F$74,$G$74))&amp;" : "&amp;SUM($I92:$J92)</f>
        <v>GAMME # : 1 + CANAL DE DISTRIBUTION # : 1</v>
      </c>
      <c r="L49" s="294"/>
    </row>
    <row r="50" spans="1:12" ht="14" x14ac:dyDescent="0.2">
      <c r="A50" s="309"/>
      <c r="B50" s="922"/>
      <c r="C50" s="890" t="s">
        <v>1718</v>
      </c>
      <c r="D50" s="912">
        <v>3</v>
      </c>
      <c r="E50" s="826" t="s">
        <v>1718</v>
      </c>
      <c r="F50" s="826" t="s">
        <v>1719</v>
      </c>
      <c r="G50" s="826" t="s">
        <v>1718</v>
      </c>
      <c r="H50" s="497" t="s">
        <v>370</v>
      </c>
      <c r="I50" s="498">
        <v>0</v>
      </c>
      <c r="J50" s="497"/>
      <c r="K50" s="883" t="str">
        <f>IF(ReadMe!$L$3="English",$C$69,IF(ReadMe!$L$3="French",$F$69,$G$69))&amp;" : "&amp;SUM($F93:$H93)&amp;" + "&amp;IF(ReadMe!$L$3="English",$C$74,IF(ReadMe!$L$3="French",$F$74,$G$74))&amp;" : "&amp;SUM($I93:$J93)</f>
        <v>GAMME # : 1 + CANAL DE DISTRIBUTION # : 1</v>
      </c>
      <c r="L50" s="294"/>
    </row>
    <row r="51" spans="1:12" ht="14" x14ac:dyDescent="0.2">
      <c r="A51" s="309"/>
      <c r="B51" s="922"/>
      <c r="C51" s="890" t="s">
        <v>1720</v>
      </c>
      <c r="D51" s="912">
        <v>3</v>
      </c>
      <c r="E51" s="826" t="s">
        <v>1720</v>
      </c>
      <c r="F51" s="826" t="s">
        <v>1721</v>
      </c>
      <c r="G51" s="826" t="s">
        <v>1720</v>
      </c>
      <c r="H51" s="497" t="s">
        <v>370</v>
      </c>
      <c r="I51" s="498">
        <v>0</v>
      </c>
      <c r="J51" s="497"/>
      <c r="K51" s="883" t="str">
        <f>IF(ReadMe!$L$3="English",$C$69,IF(ReadMe!$L$3="French",$F$69,$G$69))&amp;" : "&amp;SUM($F94:$H94)&amp;" + "&amp;IF(ReadMe!$L$3="English",$C$74,IF(ReadMe!$L$3="French",$F$74,$G$74))&amp;" : "&amp;SUM($I94:$J94)</f>
        <v>GAMME # : 1 + CANAL DE DISTRIBUTION # : 1</v>
      </c>
      <c r="L51" s="294"/>
    </row>
    <row r="52" spans="1:12" ht="14" x14ac:dyDescent="0.2">
      <c r="A52" s="309"/>
      <c r="B52" s="922"/>
      <c r="C52" s="890" t="s">
        <v>1722</v>
      </c>
      <c r="D52" s="912">
        <v>3</v>
      </c>
      <c r="E52" s="826" t="s">
        <v>1722</v>
      </c>
      <c r="F52" s="826" t="s">
        <v>1723</v>
      </c>
      <c r="G52" s="826" t="s">
        <v>1722</v>
      </c>
      <c r="H52" s="497" t="s">
        <v>370</v>
      </c>
      <c r="I52" s="498">
        <v>0</v>
      </c>
      <c r="J52" s="497"/>
      <c r="K52" s="883" t="str">
        <f>IF(ReadMe!$L$3="English",$C$69,IF(ReadMe!$L$3="French",$F$69,$G$69))&amp;" : "&amp;SUM($F95:$H95)&amp;" + "&amp;IF(ReadMe!$L$3="English",$C$74,IF(ReadMe!$L$3="French",$F$74,$G$74))&amp;" : "&amp;SUM($I95:$J95)</f>
        <v>GAMME # : 1 + CANAL DE DISTRIBUTION # : 1</v>
      </c>
      <c r="L52" s="294"/>
    </row>
    <row r="53" spans="1:12" ht="14" x14ac:dyDescent="0.2">
      <c r="A53" s="309"/>
      <c r="B53" s="922"/>
      <c r="C53" s="890" t="s">
        <v>1724</v>
      </c>
      <c r="D53" s="912">
        <v>3</v>
      </c>
      <c r="E53" s="826" t="s">
        <v>1724</v>
      </c>
      <c r="F53" s="826" t="s">
        <v>1725</v>
      </c>
      <c r="G53" s="826" t="s">
        <v>1724</v>
      </c>
      <c r="H53" s="497" t="s">
        <v>370</v>
      </c>
      <c r="I53" s="498">
        <v>0</v>
      </c>
      <c r="J53" s="497"/>
      <c r="K53" s="883" t="str">
        <f>IF(ReadMe!$L$3="English",$C$69,IF(ReadMe!$L$3="French",$F$69,$G$69))&amp;" : "&amp;SUM($F96:$H96)&amp;" + "&amp;IF(ReadMe!$L$3="English",$C$74,IF(ReadMe!$L$3="French",$F$74,$G$74))&amp;" : "&amp;SUM($I96:$J96)</f>
        <v>GAMME # : 1 + CANAL DE DISTRIBUTION # : 1</v>
      </c>
      <c r="L53" s="294"/>
    </row>
    <row r="54" spans="1:12" ht="14" x14ac:dyDescent="0.2">
      <c r="A54" s="309"/>
      <c r="B54" s="922"/>
      <c r="C54" s="890" t="s">
        <v>1726</v>
      </c>
      <c r="D54" s="912">
        <v>3</v>
      </c>
      <c r="E54" s="826" t="s">
        <v>1726</v>
      </c>
      <c r="F54" s="826" t="s">
        <v>1727</v>
      </c>
      <c r="G54" s="826" t="s">
        <v>1726</v>
      </c>
      <c r="H54" s="497" t="s">
        <v>370</v>
      </c>
      <c r="I54" s="498">
        <v>0</v>
      </c>
      <c r="J54" s="497"/>
      <c r="K54" s="883" t="str">
        <f>IF(ReadMe!$L$3="English",$C$69,IF(ReadMe!$L$3="French",$F$69,$G$69))&amp;" : "&amp;SUM($F97:$H97)&amp;" + "&amp;IF(ReadMe!$L$3="English",$C$74,IF(ReadMe!$L$3="French",$F$74,$G$74))&amp;" : "&amp;SUM($I97:$J97)</f>
        <v>GAMME # : 1 + CANAL DE DISTRIBUTION # : 1</v>
      </c>
      <c r="L54" s="294"/>
    </row>
    <row r="55" spans="1:12" ht="14" x14ac:dyDescent="0.2">
      <c r="A55" s="309"/>
      <c r="B55" s="922"/>
      <c r="C55" s="890" t="s">
        <v>1728</v>
      </c>
      <c r="D55" s="912">
        <v>3</v>
      </c>
      <c r="E55" s="826" t="s">
        <v>1728</v>
      </c>
      <c r="F55" s="826" t="s">
        <v>1729</v>
      </c>
      <c r="G55" s="826" t="s">
        <v>1728</v>
      </c>
      <c r="H55" s="497" t="s">
        <v>370</v>
      </c>
      <c r="I55" s="498">
        <v>0</v>
      </c>
      <c r="J55" s="497"/>
      <c r="K55" s="883" t="str">
        <f>IF(ReadMe!$L$3="English",$C$69,IF(ReadMe!$L$3="French",$F$69,$G$69))&amp;" : "&amp;SUM($F98:$H98)&amp;" + "&amp;IF(ReadMe!$L$3="English",$C$74,IF(ReadMe!$L$3="French",$F$74,$G$74))&amp;" : "&amp;SUM($I98:$J98)</f>
        <v>GAMME # : 1 + CANAL DE DISTRIBUTION # : 1</v>
      </c>
      <c r="L55" s="294"/>
    </row>
    <row r="56" spans="1:12" x14ac:dyDescent="0.2">
      <c r="A56" s="309"/>
      <c r="B56" s="922"/>
      <c r="C56" s="889"/>
      <c r="D56" s="900">
        <v>3</v>
      </c>
      <c r="E56" s="614"/>
      <c r="F56" s="614"/>
      <c r="G56" s="614"/>
      <c r="H56" s="614"/>
      <c r="I56" s="614"/>
      <c r="J56" s="614"/>
      <c r="K56" s="878"/>
      <c r="L56" s="294"/>
    </row>
    <row r="57" spans="1:12" ht="42" x14ac:dyDescent="0.2">
      <c r="A57" s="309"/>
      <c r="B57" s="922"/>
      <c r="C57" s="888" t="s">
        <v>1515</v>
      </c>
      <c r="D57" s="912">
        <v>3</v>
      </c>
      <c r="E57" s="825" t="s">
        <v>1515</v>
      </c>
      <c r="F57" s="825" t="s">
        <v>1515</v>
      </c>
      <c r="G57" s="825" t="s">
        <v>1516</v>
      </c>
      <c r="H57" s="825" t="s">
        <v>1517</v>
      </c>
      <c r="I57" s="825" t="s">
        <v>1518</v>
      </c>
      <c r="J57" s="825" t="s">
        <v>1848</v>
      </c>
      <c r="K57" s="881" t="s">
        <v>1875</v>
      </c>
      <c r="L57" s="294"/>
    </row>
    <row r="58" spans="1:12" ht="14" x14ac:dyDescent="0.2">
      <c r="A58" s="309"/>
      <c r="B58" s="922"/>
      <c r="C58" s="890" t="s">
        <v>546</v>
      </c>
      <c r="D58" s="912">
        <v>3</v>
      </c>
      <c r="E58" s="826" t="s">
        <v>546</v>
      </c>
      <c r="F58" s="826" t="s">
        <v>546</v>
      </c>
      <c r="G58" s="826" t="s">
        <v>564</v>
      </c>
      <c r="H58" s="497" t="s">
        <v>370</v>
      </c>
      <c r="I58" s="498">
        <v>0</v>
      </c>
      <c r="J58" s="497"/>
      <c r="K58" s="883" t="str">
        <f>IF(ReadMe!$L$3="English",$C$69,IF(ReadMe!$L$3="French",$F$69,$G$69))&amp;" : "&amp;SUM($F101:$H101)&amp;" + "&amp;IF(ReadMe!$L$3="English",$C$74,IF(ReadMe!$L$3="French",$F$74,$G$74))&amp;" : "&amp;SUM($I101:$J101)</f>
        <v>GAMME # : 1 + CANAL DE DISTRIBUTION # : 1</v>
      </c>
      <c r="L58" s="294"/>
    </row>
    <row r="59" spans="1:12" ht="14" x14ac:dyDescent="0.2">
      <c r="A59" s="309"/>
      <c r="B59" s="922"/>
      <c r="C59" s="890" t="s">
        <v>547</v>
      </c>
      <c r="D59" s="912">
        <v>3</v>
      </c>
      <c r="E59" s="826" t="s">
        <v>547</v>
      </c>
      <c r="F59" s="826" t="s">
        <v>547</v>
      </c>
      <c r="G59" s="826" t="s">
        <v>565</v>
      </c>
      <c r="H59" s="497" t="s">
        <v>370</v>
      </c>
      <c r="I59" s="498">
        <v>0</v>
      </c>
      <c r="J59" s="497"/>
      <c r="K59" s="883" t="str">
        <f>IF(ReadMe!$L$3="English",$C$69,IF(ReadMe!$L$3="French",$F$69,$G$69))&amp;" : "&amp;SUM($F102:$H102)&amp;" + "&amp;IF(ReadMe!$L$3="English",$C$74,IF(ReadMe!$L$3="French",$F$74,$G$74))&amp;" : "&amp;SUM($I102:$J102)</f>
        <v>GAMME # : 1 + CANAL DE DISTRIBUTION # : 1</v>
      </c>
      <c r="L59" s="294"/>
    </row>
    <row r="60" spans="1:12" ht="14" x14ac:dyDescent="0.2">
      <c r="A60" s="309"/>
      <c r="B60" s="922"/>
      <c r="C60" s="890" t="s">
        <v>548</v>
      </c>
      <c r="D60" s="912">
        <v>3</v>
      </c>
      <c r="E60" s="826" t="s">
        <v>548</v>
      </c>
      <c r="F60" s="826" t="s">
        <v>548</v>
      </c>
      <c r="G60" s="826" t="s">
        <v>566</v>
      </c>
      <c r="H60" s="497" t="s">
        <v>370</v>
      </c>
      <c r="I60" s="498">
        <v>0</v>
      </c>
      <c r="J60" s="497"/>
      <c r="K60" s="883" t="str">
        <f>IF(ReadMe!$L$3="English",$C$69,IF(ReadMe!$L$3="French",$F$69,$G$69))&amp;" : "&amp;SUM($F103:$H103)&amp;" + "&amp;IF(ReadMe!$L$3="English",$C$74,IF(ReadMe!$L$3="French",$F$74,$G$74))&amp;" : "&amp;SUM($I103:$J103)</f>
        <v>GAMME # : 1 + CANAL DE DISTRIBUTION # : 1</v>
      </c>
      <c r="L60" s="294"/>
    </row>
    <row r="61" spans="1:12" ht="14" x14ac:dyDescent="0.2">
      <c r="A61" s="309"/>
      <c r="B61" s="922"/>
      <c r="C61" s="890" t="s">
        <v>549</v>
      </c>
      <c r="D61" s="912">
        <v>3</v>
      </c>
      <c r="E61" s="826" t="s">
        <v>549</v>
      </c>
      <c r="F61" s="826" t="s">
        <v>549</v>
      </c>
      <c r="G61" s="826" t="s">
        <v>567</v>
      </c>
      <c r="H61" s="497" t="s">
        <v>370</v>
      </c>
      <c r="I61" s="498">
        <v>0</v>
      </c>
      <c r="J61" s="497"/>
      <c r="K61" s="883" t="str">
        <f>IF(ReadMe!$L$3="English",$C$69,IF(ReadMe!$L$3="French",$F$69,$G$69))&amp;" : "&amp;SUM($F104:$H104)&amp;" + "&amp;IF(ReadMe!$L$3="English",$C$74,IF(ReadMe!$L$3="French",$F$74,$G$74))&amp;" : "&amp;SUM($I104:$J104)</f>
        <v>GAMME # : 1 + CANAL DE DISTRIBUTION # : 1</v>
      </c>
      <c r="L61" s="294"/>
    </row>
    <row r="62" spans="1:12" ht="14" x14ac:dyDescent="0.2">
      <c r="A62" s="309"/>
      <c r="B62" s="922"/>
      <c r="C62" s="890" t="s">
        <v>550</v>
      </c>
      <c r="D62" s="912">
        <v>3</v>
      </c>
      <c r="E62" s="826" t="s">
        <v>550</v>
      </c>
      <c r="F62" s="826" t="s">
        <v>550</v>
      </c>
      <c r="G62" s="826" t="s">
        <v>568</v>
      </c>
      <c r="H62" s="497" t="s">
        <v>370</v>
      </c>
      <c r="I62" s="498">
        <v>0</v>
      </c>
      <c r="J62" s="497"/>
      <c r="K62" s="883" t="str">
        <f>IF(ReadMe!$L$3="English",$C$69,IF(ReadMe!$L$3="French",$F$69,$G$69))&amp;" : "&amp;SUM($F105:$H105)&amp;" + "&amp;IF(ReadMe!$L$3="English",$C$74,IF(ReadMe!$L$3="French",$F$74,$G$74))&amp;" : "&amp;SUM($I105:$J105)</f>
        <v>GAMME # : 1 + CANAL DE DISTRIBUTION # : 1</v>
      </c>
      <c r="L62" s="294"/>
    </row>
    <row r="63" spans="1:12" ht="14" x14ac:dyDescent="0.2">
      <c r="A63" s="309"/>
      <c r="B63" s="922"/>
      <c r="C63" s="890" t="s">
        <v>551</v>
      </c>
      <c r="D63" s="912">
        <v>3</v>
      </c>
      <c r="E63" s="826" t="s">
        <v>551</v>
      </c>
      <c r="F63" s="826" t="s">
        <v>551</v>
      </c>
      <c r="G63" s="826" t="s">
        <v>569</v>
      </c>
      <c r="H63" s="497" t="s">
        <v>370</v>
      </c>
      <c r="I63" s="498">
        <v>0</v>
      </c>
      <c r="J63" s="497"/>
      <c r="K63" s="883" t="str">
        <f>IF(ReadMe!$L$3="English",$C$69,IF(ReadMe!$L$3="French",$F$69,$G$69))&amp;" : "&amp;SUM($F106:$H106)&amp;" + "&amp;IF(ReadMe!$L$3="English",$C$74,IF(ReadMe!$L$3="French",$F$74,$G$74))&amp;" : "&amp;SUM($I106:$J106)</f>
        <v>GAMME # : 1 + CANAL DE DISTRIBUTION # : 1</v>
      </c>
      <c r="L63" s="294"/>
    </row>
    <row r="64" spans="1:12" ht="14" x14ac:dyDescent="0.2">
      <c r="A64" s="309"/>
      <c r="B64" s="922"/>
      <c r="C64" s="890" t="s">
        <v>552</v>
      </c>
      <c r="D64" s="912">
        <v>3</v>
      </c>
      <c r="E64" s="826" t="s">
        <v>552</v>
      </c>
      <c r="F64" s="826" t="s">
        <v>552</v>
      </c>
      <c r="G64" s="826" t="s">
        <v>570</v>
      </c>
      <c r="H64" s="497" t="s">
        <v>370</v>
      </c>
      <c r="I64" s="498">
        <v>0</v>
      </c>
      <c r="J64" s="497"/>
      <c r="K64" s="883" t="str">
        <f>IF(ReadMe!$L$3="English",$C$69,IF(ReadMe!$L$3="French",$F$69,$G$69))&amp;" : "&amp;SUM($F107:$H107)&amp;" + "&amp;IF(ReadMe!$L$3="English",$C$74,IF(ReadMe!$L$3="French",$F$74,$G$74))&amp;" : "&amp;SUM($I107:$J107)</f>
        <v>GAMME # : 1 + CANAL DE DISTRIBUTION # : 1</v>
      </c>
      <c r="L64" s="294"/>
    </row>
    <row r="65" spans="1:12" ht="14" x14ac:dyDescent="0.2">
      <c r="A65" s="309"/>
      <c r="B65" s="922"/>
      <c r="C65" s="890" t="s">
        <v>553</v>
      </c>
      <c r="D65" s="912">
        <v>3</v>
      </c>
      <c r="E65" s="826" t="s">
        <v>553</v>
      </c>
      <c r="F65" s="826" t="s">
        <v>553</v>
      </c>
      <c r="G65" s="826" t="s">
        <v>571</v>
      </c>
      <c r="H65" s="497" t="s">
        <v>370</v>
      </c>
      <c r="I65" s="498">
        <v>0</v>
      </c>
      <c r="J65" s="497"/>
      <c r="K65" s="883" t="str">
        <f>IF(ReadMe!$L$3="English",$C$69,IF(ReadMe!$L$3="French",$F$69,$G$69))&amp;" : "&amp;SUM($F108:$H108)&amp;" + "&amp;IF(ReadMe!$L$3="English",$C$74,IF(ReadMe!$L$3="French",$F$74,$G$74))&amp;" : "&amp;SUM($I108:$J108)</f>
        <v>GAMME # : 1 + CANAL DE DISTRIBUTION # : 1</v>
      </c>
      <c r="L65" s="294"/>
    </row>
    <row r="66" spans="1:12" ht="14" x14ac:dyDescent="0.2">
      <c r="A66" s="309"/>
      <c r="B66" s="922"/>
      <c r="C66" s="890" t="s">
        <v>554</v>
      </c>
      <c r="D66" s="912">
        <v>3</v>
      </c>
      <c r="E66" s="826" t="s">
        <v>554</v>
      </c>
      <c r="F66" s="826" t="s">
        <v>554</v>
      </c>
      <c r="G66" s="826" t="s">
        <v>572</v>
      </c>
      <c r="H66" s="497" t="s">
        <v>370</v>
      </c>
      <c r="I66" s="498">
        <v>0</v>
      </c>
      <c r="J66" s="497"/>
      <c r="K66" s="883" t="str">
        <f>IF(ReadMe!$L$3="English",$C$69,IF(ReadMe!$L$3="French",$F$69,$G$69))&amp;" : "&amp;SUM($F109:$H109)&amp;" + "&amp;IF(ReadMe!$L$3="English",$C$74,IF(ReadMe!$L$3="French",$F$74,$G$74))&amp;" : "&amp;SUM($I109:$J109)</f>
        <v>GAMME # : 1 + CANAL DE DISTRIBUTION # : 1</v>
      </c>
      <c r="L66" s="294"/>
    </row>
    <row r="67" spans="1:12" ht="14" x14ac:dyDescent="0.2">
      <c r="A67" s="309"/>
      <c r="B67" s="922"/>
      <c r="C67" s="890" t="s">
        <v>115</v>
      </c>
      <c r="D67" s="912">
        <v>3</v>
      </c>
      <c r="E67" s="826" t="s">
        <v>115</v>
      </c>
      <c r="F67" s="826" t="s">
        <v>115</v>
      </c>
      <c r="G67" s="826" t="s">
        <v>432</v>
      </c>
      <c r="H67" s="497" t="s">
        <v>370</v>
      </c>
      <c r="I67" s="498">
        <v>0</v>
      </c>
      <c r="J67" s="497"/>
      <c r="K67" s="883" t="str">
        <f>IF(ReadMe!$L$3="English",$C$69,IF(ReadMe!$L$3="French",$F$69,$G$69))&amp;" : "&amp;SUM($F110:$H110)&amp;" + "&amp;IF(ReadMe!$L$3="English",$C$74,IF(ReadMe!$L$3="French",$F$74,$G$74))&amp;" : "&amp;SUM($I110:$J110)</f>
        <v>GAMME # : 1 + CANAL DE DISTRIBUTION # : 1</v>
      </c>
      <c r="L67" s="294"/>
    </row>
    <row r="68" spans="1:12" x14ac:dyDescent="0.2">
      <c r="A68" s="309"/>
      <c r="B68" s="922"/>
      <c r="C68" s="891"/>
      <c r="D68" s="901">
        <v>3</v>
      </c>
      <c r="E68" s="620"/>
      <c r="F68" s="620"/>
      <c r="G68" s="620"/>
      <c r="H68" s="620"/>
      <c r="I68" s="620"/>
      <c r="J68" s="620"/>
      <c r="K68" s="882"/>
      <c r="L68" s="294"/>
    </row>
    <row r="69" spans="1:12" ht="38.25" customHeight="1" x14ac:dyDescent="0.2">
      <c r="A69" s="309"/>
      <c r="B69" s="923" t="s">
        <v>1975</v>
      </c>
      <c r="C69" s="888" t="s">
        <v>1673</v>
      </c>
      <c r="D69" s="912">
        <v>4</v>
      </c>
      <c r="E69" s="825" t="s">
        <v>1673</v>
      </c>
      <c r="F69" s="825" t="s">
        <v>1674</v>
      </c>
      <c r="G69" s="825" t="s">
        <v>1675</v>
      </c>
      <c r="H69" s="825" t="s">
        <v>1676</v>
      </c>
      <c r="I69" s="825"/>
      <c r="J69" s="825" t="s">
        <v>1848</v>
      </c>
      <c r="K69" s="881"/>
      <c r="L69" s="294"/>
    </row>
    <row r="70" spans="1:12" ht="14" x14ac:dyDescent="0.2">
      <c r="A70" s="309"/>
      <c r="B70" s="923"/>
      <c r="C70" s="890" t="s">
        <v>1680</v>
      </c>
      <c r="D70" s="912">
        <v>4</v>
      </c>
      <c r="E70" s="826" t="s">
        <v>1680</v>
      </c>
      <c r="F70" s="826" t="s">
        <v>1683</v>
      </c>
      <c r="G70" s="826" t="s">
        <v>1686</v>
      </c>
      <c r="H70" s="497" t="s">
        <v>269</v>
      </c>
      <c r="I70" s="826"/>
      <c r="J70" s="497" t="s">
        <v>1868</v>
      </c>
      <c r="K70" s="877"/>
      <c r="L70" s="294"/>
    </row>
    <row r="71" spans="1:12" ht="14" x14ac:dyDescent="0.2">
      <c r="A71" s="309"/>
      <c r="B71" s="923"/>
      <c r="C71" s="890" t="s">
        <v>1681</v>
      </c>
      <c r="D71" s="912">
        <v>4</v>
      </c>
      <c r="E71" s="826" t="s">
        <v>1681</v>
      </c>
      <c r="F71" s="826" t="s">
        <v>1684</v>
      </c>
      <c r="G71" s="826" t="s">
        <v>1687</v>
      </c>
      <c r="H71" s="497" t="s">
        <v>270</v>
      </c>
      <c r="I71" s="826"/>
      <c r="J71" s="497" t="s">
        <v>1870</v>
      </c>
      <c r="K71" s="877"/>
      <c r="L71" s="294"/>
    </row>
    <row r="72" spans="1:12" ht="14" x14ac:dyDescent="0.2">
      <c r="A72" s="309"/>
      <c r="B72" s="923"/>
      <c r="C72" s="890" t="s">
        <v>1682</v>
      </c>
      <c r="D72" s="912">
        <v>4</v>
      </c>
      <c r="E72" s="826" t="s">
        <v>1682</v>
      </c>
      <c r="F72" s="826" t="s">
        <v>1685</v>
      </c>
      <c r="G72" s="826" t="s">
        <v>1688</v>
      </c>
      <c r="H72" s="497" t="s">
        <v>271</v>
      </c>
      <c r="I72" s="826"/>
      <c r="J72" s="497" t="s">
        <v>1869</v>
      </c>
      <c r="K72" s="877"/>
      <c r="L72" s="294"/>
    </row>
    <row r="73" spans="1:12" x14ac:dyDescent="0.2">
      <c r="A73" s="309"/>
      <c r="B73" s="923"/>
      <c r="C73" s="889"/>
      <c r="D73" s="900">
        <v>4</v>
      </c>
      <c r="E73" s="614"/>
      <c r="F73" s="614"/>
      <c r="G73" s="614"/>
      <c r="H73" s="614"/>
      <c r="I73" s="614"/>
      <c r="J73" s="614"/>
      <c r="K73" s="878"/>
      <c r="L73" s="294"/>
    </row>
    <row r="74" spans="1:12" ht="42" x14ac:dyDescent="0.2">
      <c r="A74" s="309"/>
      <c r="B74" s="923"/>
      <c r="C74" s="888" t="s">
        <v>1677</v>
      </c>
      <c r="D74" s="912">
        <v>4</v>
      </c>
      <c r="E74" s="825" t="s">
        <v>1677</v>
      </c>
      <c r="F74" s="825" t="s">
        <v>1872</v>
      </c>
      <c r="G74" s="825" t="s">
        <v>1873</v>
      </c>
      <c r="H74" s="825" t="s">
        <v>1696</v>
      </c>
      <c r="I74" s="825"/>
      <c r="J74" s="825" t="s">
        <v>1848</v>
      </c>
      <c r="K74" s="881"/>
      <c r="L74" s="294"/>
    </row>
    <row r="75" spans="1:12" ht="14" x14ac:dyDescent="0.2">
      <c r="A75" s="309"/>
      <c r="B75" s="923"/>
      <c r="C75" s="890" t="s">
        <v>1678</v>
      </c>
      <c r="D75" s="912">
        <v>4</v>
      </c>
      <c r="E75" s="826" t="s">
        <v>1678</v>
      </c>
      <c r="F75" s="826" t="s">
        <v>1692</v>
      </c>
      <c r="G75" s="826" t="s">
        <v>1694</v>
      </c>
      <c r="H75" s="497" t="s">
        <v>267</v>
      </c>
      <c r="I75" s="826"/>
      <c r="J75" s="497" t="s">
        <v>1866</v>
      </c>
      <c r="K75" s="877"/>
      <c r="L75" s="294"/>
    </row>
    <row r="76" spans="1:12" ht="14" x14ac:dyDescent="0.2">
      <c r="A76" s="309"/>
      <c r="B76" s="923"/>
      <c r="C76" s="890" t="s">
        <v>1679</v>
      </c>
      <c r="D76" s="912">
        <v>4</v>
      </c>
      <c r="E76" s="826" t="s">
        <v>1679</v>
      </c>
      <c r="F76" s="826" t="s">
        <v>1693</v>
      </c>
      <c r="G76" s="826" t="s">
        <v>1695</v>
      </c>
      <c r="H76" s="497" t="s">
        <v>268</v>
      </c>
      <c r="I76" s="826"/>
      <c r="J76" s="497" t="s">
        <v>1867</v>
      </c>
      <c r="K76" s="877"/>
      <c r="L76" s="294"/>
    </row>
    <row r="77" spans="1:12" x14ac:dyDescent="0.2">
      <c r="A77" s="309"/>
      <c r="B77" s="923"/>
      <c r="C77" s="889"/>
      <c r="D77" s="900">
        <v>4</v>
      </c>
      <c r="E77" s="614"/>
      <c r="F77" s="614"/>
      <c r="G77" s="614"/>
      <c r="H77" s="614"/>
      <c r="I77" s="614"/>
      <c r="J77" s="614"/>
      <c r="K77" s="878"/>
      <c r="L77" s="294"/>
    </row>
    <row r="78" spans="1:12" ht="42" x14ac:dyDescent="0.2">
      <c r="A78" s="309"/>
      <c r="B78" s="923"/>
      <c r="C78" s="888" t="s">
        <v>1856</v>
      </c>
      <c r="D78" s="912">
        <v>4</v>
      </c>
      <c r="E78" s="825" t="s">
        <v>1856</v>
      </c>
      <c r="F78" s="825" t="s">
        <v>1857</v>
      </c>
      <c r="G78" s="825" t="s">
        <v>1858</v>
      </c>
      <c r="H78" s="825" t="s">
        <v>1859</v>
      </c>
      <c r="I78" s="825" t="s">
        <v>1860</v>
      </c>
      <c r="J78" s="825" t="s">
        <v>1861</v>
      </c>
      <c r="K78" s="881"/>
      <c r="L78" s="294"/>
    </row>
    <row r="79" spans="1:12" ht="14" x14ac:dyDescent="0.2">
      <c r="A79" s="309"/>
      <c r="B79" s="923"/>
      <c r="C79" s="890" t="str">
        <f>C36&amp;" / "&amp;F36&amp;" / "&amp;G36</f>
        <v>PRODUCT 01 / PRODUIT 01 / PRODUCT 01</v>
      </c>
      <c r="D79" s="912">
        <v>4</v>
      </c>
      <c r="E79" s="826" t="str">
        <f>E36&amp;" / "&amp;H36&amp;" / "&amp;I36</f>
        <v>PRODUCT 01 / XYZ / 1</v>
      </c>
      <c r="F79" s="497">
        <v>1</v>
      </c>
      <c r="G79" s="497">
        <v>0</v>
      </c>
      <c r="H79" s="497">
        <v>0</v>
      </c>
      <c r="I79" s="497">
        <v>1</v>
      </c>
      <c r="J79" s="497">
        <v>0</v>
      </c>
      <c r="K79" s="877"/>
      <c r="L79" s="294"/>
    </row>
    <row r="80" spans="1:12" ht="14" x14ac:dyDescent="0.2">
      <c r="A80" s="309"/>
      <c r="B80" s="923"/>
      <c r="C80" s="890" t="str">
        <f t="shared" ref="C80:E98" si="0">C37&amp;" / "&amp;F37&amp;" / "&amp;G37</f>
        <v>PRODUCT 02 / PRODUIT 02 / PRODUCT 02</v>
      </c>
      <c r="D80" s="912">
        <v>4</v>
      </c>
      <c r="E80" s="826" t="str">
        <f t="shared" si="0"/>
        <v>PRODUCT 02 / ABC / 1</v>
      </c>
      <c r="F80" s="497">
        <v>1</v>
      </c>
      <c r="G80" s="497">
        <v>0</v>
      </c>
      <c r="H80" s="497">
        <v>0</v>
      </c>
      <c r="I80" s="497">
        <v>1</v>
      </c>
      <c r="J80" s="497">
        <v>0</v>
      </c>
      <c r="K80" s="877"/>
      <c r="L80" s="294"/>
    </row>
    <row r="81" spans="1:12" ht="14" x14ac:dyDescent="0.2">
      <c r="A81" s="309"/>
      <c r="B81" s="923"/>
      <c r="C81" s="890" t="str">
        <f t="shared" si="0"/>
        <v>PRODUCT 03 / PRODUIT 03 / PRODUCT 03</v>
      </c>
      <c r="D81" s="912">
        <v>4</v>
      </c>
      <c r="E81" s="826" t="str">
        <f t="shared" si="0"/>
        <v>PRODUCT 03 / - / 0</v>
      </c>
      <c r="F81" s="497">
        <v>1</v>
      </c>
      <c r="G81" s="497">
        <v>0</v>
      </c>
      <c r="H81" s="497">
        <v>0</v>
      </c>
      <c r="I81" s="497">
        <v>1</v>
      </c>
      <c r="J81" s="497">
        <v>0</v>
      </c>
      <c r="K81" s="877"/>
      <c r="L81" s="294"/>
    </row>
    <row r="82" spans="1:12" ht="14" x14ac:dyDescent="0.2">
      <c r="A82" s="309"/>
      <c r="B82" s="923"/>
      <c r="C82" s="890" t="str">
        <f t="shared" si="0"/>
        <v>PRODUCT 04 / PRODUIT 04 / PRODUCT 04</v>
      </c>
      <c r="D82" s="912">
        <v>4</v>
      </c>
      <c r="E82" s="826" t="str">
        <f t="shared" si="0"/>
        <v>PRODUCT 04 / - / 0</v>
      </c>
      <c r="F82" s="497">
        <v>1</v>
      </c>
      <c r="G82" s="497">
        <v>0</v>
      </c>
      <c r="H82" s="497">
        <v>0</v>
      </c>
      <c r="I82" s="497">
        <v>1</v>
      </c>
      <c r="J82" s="497">
        <v>0</v>
      </c>
      <c r="K82" s="877"/>
      <c r="L82" s="294"/>
    </row>
    <row r="83" spans="1:12" ht="14" x14ac:dyDescent="0.2">
      <c r="A83" s="309"/>
      <c r="B83" s="923"/>
      <c r="C83" s="890" t="str">
        <f t="shared" si="0"/>
        <v>PRODUCT 05 / PRODUIT 05 / PRODUCT 05</v>
      </c>
      <c r="D83" s="912">
        <v>4</v>
      </c>
      <c r="E83" s="826" t="str">
        <f t="shared" si="0"/>
        <v>PRODUCT 05 / - / 0</v>
      </c>
      <c r="F83" s="497">
        <v>1</v>
      </c>
      <c r="G83" s="497">
        <v>0</v>
      </c>
      <c r="H83" s="497">
        <v>0</v>
      </c>
      <c r="I83" s="497">
        <v>1</v>
      </c>
      <c r="J83" s="497">
        <v>0</v>
      </c>
      <c r="K83" s="877"/>
      <c r="L83" s="294"/>
    </row>
    <row r="84" spans="1:12" ht="14" x14ac:dyDescent="0.2">
      <c r="A84" s="309"/>
      <c r="B84" s="923"/>
      <c r="C84" s="890" t="str">
        <f t="shared" si="0"/>
        <v>PRODUCT 06 / PRODUIT 06 / PRODUCT 06</v>
      </c>
      <c r="D84" s="912">
        <v>4</v>
      </c>
      <c r="E84" s="826" t="str">
        <f t="shared" si="0"/>
        <v>PRODUCT 06 / - / 0</v>
      </c>
      <c r="F84" s="497">
        <v>1</v>
      </c>
      <c r="G84" s="497">
        <v>0</v>
      </c>
      <c r="H84" s="497">
        <v>0</v>
      </c>
      <c r="I84" s="497">
        <v>1</v>
      </c>
      <c r="J84" s="497">
        <v>0</v>
      </c>
      <c r="K84" s="877"/>
      <c r="L84" s="294"/>
    </row>
    <row r="85" spans="1:12" ht="14" x14ac:dyDescent="0.2">
      <c r="A85" s="309"/>
      <c r="B85" s="923"/>
      <c r="C85" s="890" t="str">
        <f t="shared" si="0"/>
        <v>PRODUCT 07 / PRODUIT 07 / PRODUCT 07</v>
      </c>
      <c r="D85" s="912">
        <v>4</v>
      </c>
      <c r="E85" s="826" t="str">
        <f t="shared" si="0"/>
        <v>PRODUCT 07 / - / 0</v>
      </c>
      <c r="F85" s="497">
        <v>1</v>
      </c>
      <c r="G85" s="497">
        <v>0</v>
      </c>
      <c r="H85" s="497">
        <v>0</v>
      </c>
      <c r="I85" s="497">
        <v>1</v>
      </c>
      <c r="J85" s="497">
        <v>0</v>
      </c>
      <c r="K85" s="877"/>
      <c r="L85" s="294"/>
    </row>
    <row r="86" spans="1:12" ht="14" x14ac:dyDescent="0.2">
      <c r="A86" s="309"/>
      <c r="B86" s="923"/>
      <c r="C86" s="890" t="str">
        <f t="shared" si="0"/>
        <v>PRODUCT 08 / PRODUIT 08 / PRODUCT 08</v>
      </c>
      <c r="D86" s="912">
        <v>4</v>
      </c>
      <c r="E86" s="826" t="str">
        <f t="shared" si="0"/>
        <v>PRODUCT 08 / - / 0</v>
      </c>
      <c r="F86" s="497">
        <v>1</v>
      </c>
      <c r="G86" s="497">
        <v>0</v>
      </c>
      <c r="H86" s="497">
        <v>0</v>
      </c>
      <c r="I86" s="497">
        <v>1</v>
      </c>
      <c r="J86" s="497">
        <v>0</v>
      </c>
      <c r="K86" s="877"/>
      <c r="L86" s="294"/>
    </row>
    <row r="87" spans="1:12" ht="14" x14ac:dyDescent="0.2">
      <c r="A87" s="309"/>
      <c r="B87" s="923"/>
      <c r="C87" s="890" t="str">
        <f t="shared" si="0"/>
        <v>PRODUCT 09 / PRODUIT 09 / PRODUCT 09</v>
      </c>
      <c r="D87" s="912">
        <v>4</v>
      </c>
      <c r="E87" s="826" t="str">
        <f t="shared" si="0"/>
        <v>PRODUCT 09 / - / 0</v>
      </c>
      <c r="F87" s="497">
        <v>1</v>
      </c>
      <c r="G87" s="497">
        <v>0</v>
      </c>
      <c r="H87" s="497">
        <v>0</v>
      </c>
      <c r="I87" s="497">
        <v>1</v>
      </c>
      <c r="J87" s="497">
        <v>0</v>
      </c>
      <c r="K87" s="877"/>
      <c r="L87" s="294"/>
    </row>
    <row r="88" spans="1:12" ht="14" x14ac:dyDescent="0.2">
      <c r="A88" s="309"/>
      <c r="B88" s="923"/>
      <c r="C88" s="890" t="str">
        <f t="shared" si="0"/>
        <v>PRODUCT 10 / PRODUIT 10 / PRODUCT 10</v>
      </c>
      <c r="D88" s="912">
        <v>4</v>
      </c>
      <c r="E88" s="826" t="str">
        <f t="shared" si="0"/>
        <v>PRODUCT 10 / - / 0</v>
      </c>
      <c r="F88" s="497">
        <v>1</v>
      </c>
      <c r="G88" s="497">
        <v>0</v>
      </c>
      <c r="H88" s="497">
        <v>0</v>
      </c>
      <c r="I88" s="497">
        <v>1</v>
      </c>
      <c r="J88" s="497">
        <v>0</v>
      </c>
      <c r="K88" s="877"/>
      <c r="L88" s="294"/>
    </row>
    <row r="89" spans="1:12" ht="14" x14ac:dyDescent="0.2">
      <c r="A89" s="309"/>
      <c r="B89" s="923"/>
      <c r="C89" s="890" t="str">
        <f t="shared" si="0"/>
        <v>PRODUCT 11 / PRODUIT 11 / PRODUCT 11</v>
      </c>
      <c r="D89" s="912">
        <v>4</v>
      </c>
      <c r="E89" s="826" t="str">
        <f t="shared" si="0"/>
        <v>PRODUCT 11 / - / 0</v>
      </c>
      <c r="F89" s="497">
        <v>1</v>
      </c>
      <c r="G89" s="497">
        <v>0</v>
      </c>
      <c r="H89" s="497">
        <v>0</v>
      </c>
      <c r="I89" s="497">
        <v>1</v>
      </c>
      <c r="J89" s="497">
        <v>0</v>
      </c>
      <c r="K89" s="877"/>
      <c r="L89" s="294"/>
    </row>
    <row r="90" spans="1:12" ht="14" x14ac:dyDescent="0.2">
      <c r="A90" s="309"/>
      <c r="B90" s="923"/>
      <c r="C90" s="890" t="str">
        <f t="shared" si="0"/>
        <v>PRODUCT 12 / PRODUIT 12 / PRODUCT 12</v>
      </c>
      <c r="D90" s="912">
        <v>4</v>
      </c>
      <c r="E90" s="826" t="str">
        <f t="shared" si="0"/>
        <v>PRODUCT 12 / - / 0</v>
      </c>
      <c r="F90" s="497">
        <v>1</v>
      </c>
      <c r="G90" s="497">
        <v>0</v>
      </c>
      <c r="H90" s="497">
        <v>0</v>
      </c>
      <c r="I90" s="497">
        <v>1</v>
      </c>
      <c r="J90" s="497">
        <v>0</v>
      </c>
      <c r="K90" s="877"/>
      <c r="L90" s="294"/>
    </row>
    <row r="91" spans="1:12" ht="14" x14ac:dyDescent="0.2">
      <c r="A91" s="309"/>
      <c r="B91" s="923"/>
      <c r="C91" s="890" t="str">
        <f t="shared" si="0"/>
        <v>PRODUCT 13 / PRODUIT 13 / PRODUCT 13</v>
      </c>
      <c r="D91" s="912">
        <v>4</v>
      </c>
      <c r="E91" s="826" t="str">
        <f t="shared" si="0"/>
        <v>PRODUCT 13 / - / 0</v>
      </c>
      <c r="F91" s="497">
        <v>1</v>
      </c>
      <c r="G91" s="497">
        <v>0</v>
      </c>
      <c r="H91" s="497">
        <v>0</v>
      </c>
      <c r="I91" s="497">
        <v>1</v>
      </c>
      <c r="J91" s="497">
        <v>0</v>
      </c>
      <c r="K91" s="877"/>
      <c r="L91" s="294"/>
    </row>
    <row r="92" spans="1:12" ht="14" x14ac:dyDescent="0.2">
      <c r="A92" s="309"/>
      <c r="B92" s="923"/>
      <c r="C92" s="890" t="str">
        <f t="shared" si="0"/>
        <v>PRODUCT 14 / PRODUIT 14 / PRODUCT 14</v>
      </c>
      <c r="D92" s="912">
        <v>4</v>
      </c>
      <c r="E92" s="826" t="str">
        <f t="shared" si="0"/>
        <v>PRODUCT 14 / - / 0</v>
      </c>
      <c r="F92" s="497">
        <v>1</v>
      </c>
      <c r="G92" s="497">
        <v>0</v>
      </c>
      <c r="H92" s="497">
        <v>0</v>
      </c>
      <c r="I92" s="497">
        <v>1</v>
      </c>
      <c r="J92" s="497">
        <v>0</v>
      </c>
      <c r="K92" s="877"/>
      <c r="L92" s="294"/>
    </row>
    <row r="93" spans="1:12" ht="14" x14ac:dyDescent="0.2">
      <c r="A93" s="309"/>
      <c r="B93" s="923"/>
      <c r="C93" s="890" t="str">
        <f t="shared" si="0"/>
        <v>PRODUCT 15 / PRODUIT 15 / PRODUCT 15</v>
      </c>
      <c r="D93" s="912">
        <v>4</v>
      </c>
      <c r="E93" s="826" t="str">
        <f t="shared" si="0"/>
        <v>PRODUCT 15 / - / 0</v>
      </c>
      <c r="F93" s="497">
        <v>1</v>
      </c>
      <c r="G93" s="497">
        <v>0</v>
      </c>
      <c r="H93" s="497">
        <v>0</v>
      </c>
      <c r="I93" s="497">
        <v>1</v>
      </c>
      <c r="J93" s="497">
        <v>0</v>
      </c>
      <c r="K93" s="877"/>
      <c r="L93" s="294"/>
    </row>
    <row r="94" spans="1:12" ht="14" x14ac:dyDescent="0.2">
      <c r="A94" s="309"/>
      <c r="B94" s="923"/>
      <c r="C94" s="890" t="str">
        <f t="shared" si="0"/>
        <v>PRODUCT 16 / PRODUIT 16 / PRODUCT 16</v>
      </c>
      <c r="D94" s="912">
        <v>4</v>
      </c>
      <c r="E94" s="826" t="str">
        <f t="shared" si="0"/>
        <v>PRODUCT 16 / - / 0</v>
      </c>
      <c r="F94" s="497">
        <v>1</v>
      </c>
      <c r="G94" s="497">
        <v>0</v>
      </c>
      <c r="H94" s="497">
        <v>0</v>
      </c>
      <c r="I94" s="497">
        <v>1</v>
      </c>
      <c r="J94" s="497">
        <v>0</v>
      </c>
      <c r="K94" s="877"/>
      <c r="L94" s="294"/>
    </row>
    <row r="95" spans="1:12" ht="14" x14ac:dyDescent="0.2">
      <c r="A95" s="309"/>
      <c r="B95" s="923"/>
      <c r="C95" s="890" t="str">
        <f t="shared" si="0"/>
        <v>PRODUCT 17 / PRODUIT 17 / PRODUCT 17</v>
      </c>
      <c r="D95" s="912">
        <v>4</v>
      </c>
      <c r="E95" s="826" t="str">
        <f t="shared" si="0"/>
        <v>PRODUCT 17 / - / 0</v>
      </c>
      <c r="F95" s="497">
        <v>1</v>
      </c>
      <c r="G95" s="497">
        <v>0</v>
      </c>
      <c r="H95" s="497">
        <v>0</v>
      </c>
      <c r="I95" s="497">
        <v>1</v>
      </c>
      <c r="J95" s="497">
        <v>0</v>
      </c>
      <c r="K95" s="877"/>
      <c r="L95" s="294"/>
    </row>
    <row r="96" spans="1:12" ht="14" x14ac:dyDescent="0.2">
      <c r="A96" s="309"/>
      <c r="B96" s="923"/>
      <c r="C96" s="890" t="str">
        <f t="shared" si="0"/>
        <v>PRODUCT 18 / PRODUIT 18 / PRODUCT 18</v>
      </c>
      <c r="D96" s="912">
        <v>4</v>
      </c>
      <c r="E96" s="826" t="str">
        <f t="shared" si="0"/>
        <v>PRODUCT 18 / - / 0</v>
      </c>
      <c r="F96" s="497">
        <v>1</v>
      </c>
      <c r="G96" s="497">
        <v>0</v>
      </c>
      <c r="H96" s="497">
        <v>0</v>
      </c>
      <c r="I96" s="497">
        <v>1</v>
      </c>
      <c r="J96" s="497">
        <v>0</v>
      </c>
      <c r="K96" s="877"/>
      <c r="L96" s="294"/>
    </row>
    <row r="97" spans="1:12" ht="14" x14ac:dyDescent="0.2">
      <c r="A97" s="309"/>
      <c r="B97" s="923"/>
      <c r="C97" s="890" t="str">
        <f t="shared" si="0"/>
        <v>PRODUCT 19 / PRODUIT 19 / PRODUCT 19</v>
      </c>
      <c r="D97" s="912">
        <v>4</v>
      </c>
      <c r="E97" s="826" t="str">
        <f t="shared" si="0"/>
        <v>PRODUCT 19 / - / 0</v>
      </c>
      <c r="F97" s="497">
        <v>1</v>
      </c>
      <c r="G97" s="497">
        <v>0</v>
      </c>
      <c r="H97" s="497">
        <v>0</v>
      </c>
      <c r="I97" s="497">
        <v>1</v>
      </c>
      <c r="J97" s="497">
        <v>0</v>
      </c>
      <c r="K97" s="877"/>
      <c r="L97" s="294"/>
    </row>
    <row r="98" spans="1:12" ht="14" x14ac:dyDescent="0.2">
      <c r="A98" s="309"/>
      <c r="B98" s="923"/>
      <c r="C98" s="890" t="str">
        <f t="shared" si="0"/>
        <v>PRODUCT 20 / PRODUIT 20 / PRODUCT 20</v>
      </c>
      <c r="D98" s="912">
        <v>4</v>
      </c>
      <c r="E98" s="826" t="str">
        <f t="shared" si="0"/>
        <v>PRODUCT 20 / - / 0</v>
      </c>
      <c r="F98" s="497">
        <v>1</v>
      </c>
      <c r="G98" s="497">
        <v>0</v>
      </c>
      <c r="H98" s="497">
        <v>0</v>
      </c>
      <c r="I98" s="497">
        <v>1</v>
      </c>
      <c r="J98" s="497">
        <v>0</v>
      </c>
      <c r="K98" s="877"/>
      <c r="L98" s="294"/>
    </row>
    <row r="99" spans="1:12" x14ac:dyDescent="0.2">
      <c r="A99" s="309"/>
      <c r="B99" s="923"/>
      <c r="C99" s="889"/>
      <c r="D99" s="900">
        <v>4</v>
      </c>
      <c r="E99" s="614"/>
      <c r="F99" s="614"/>
      <c r="G99" s="614"/>
      <c r="H99" s="614"/>
      <c r="I99" s="614"/>
      <c r="J99" s="614"/>
      <c r="K99" s="878"/>
      <c r="L99" s="294"/>
    </row>
    <row r="100" spans="1:12" ht="42" x14ac:dyDescent="0.2">
      <c r="A100" s="309"/>
      <c r="B100" s="923"/>
      <c r="C100" s="888" t="s">
        <v>1862</v>
      </c>
      <c r="D100" s="912">
        <v>4</v>
      </c>
      <c r="E100" s="825" t="s">
        <v>1862</v>
      </c>
      <c r="F100" s="825" t="s">
        <v>1857</v>
      </c>
      <c r="G100" s="825" t="s">
        <v>1858</v>
      </c>
      <c r="H100" s="825" t="s">
        <v>1859</v>
      </c>
      <c r="I100" s="825" t="s">
        <v>1860</v>
      </c>
      <c r="J100" s="825" t="s">
        <v>1861</v>
      </c>
      <c r="K100" s="881"/>
      <c r="L100" s="294"/>
    </row>
    <row r="101" spans="1:12" ht="14" x14ac:dyDescent="0.2">
      <c r="A101" s="309"/>
      <c r="B101" s="923"/>
      <c r="C101" s="890" t="str">
        <f>C58&amp;" / "&amp;F58&amp;" / "&amp;G58</f>
        <v>SERVICE 01 / SERVICE 01 / DIENST 01</v>
      </c>
      <c r="D101" s="912">
        <v>4</v>
      </c>
      <c r="E101" s="826" t="str">
        <f>E58&amp;" / "&amp;H58&amp;" / "&amp;I58</f>
        <v>SERVICE 01 / - / 0</v>
      </c>
      <c r="F101" s="497">
        <v>1</v>
      </c>
      <c r="G101" s="497">
        <v>0</v>
      </c>
      <c r="H101" s="497">
        <v>0</v>
      </c>
      <c r="I101" s="497">
        <v>1</v>
      </c>
      <c r="J101" s="497">
        <v>0</v>
      </c>
      <c r="K101" s="877"/>
      <c r="L101" s="294"/>
    </row>
    <row r="102" spans="1:12" ht="14" x14ac:dyDescent="0.2">
      <c r="A102" s="309"/>
      <c r="B102" s="923"/>
      <c r="C102" s="890" t="str">
        <f t="shared" ref="C102:E110" si="1">C59&amp;" / "&amp;F59&amp;" / "&amp;G59</f>
        <v>SERVICE 02 / SERVICE 02 / DIENST 02</v>
      </c>
      <c r="D102" s="912">
        <v>4</v>
      </c>
      <c r="E102" s="826" t="str">
        <f t="shared" si="1"/>
        <v>SERVICE 02 / - / 0</v>
      </c>
      <c r="F102" s="497">
        <v>1</v>
      </c>
      <c r="G102" s="497">
        <v>0</v>
      </c>
      <c r="H102" s="497">
        <v>0</v>
      </c>
      <c r="I102" s="497">
        <v>1</v>
      </c>
      <c r="J102" s="497">
        <v>0</v>
      </c>
      <c r="K102" s="877"/>
      <c r="L102" s="294"/>
    </row>
    <row r="103" spans="1:12" ht="14" x14ac:dyDescent="0.2">
      <c r="A103" s="309"/>
      <c r="B103" s="923"/>
      <c r="C103" s="890" t="str">
        <f t="shared" si="1"/>
        <v>SERVICE 03 / SERVICE 03 / DIENST 03</v>
      </c>
      <c r="D103" s="912">
        <v>4</v>
      </c>
      <c r="E103" s="826" t="str">
        <f t="shared" si="1"/>
        <v>SERVICE 03 / - / 0</v>
      </c>
      <c r="F103" s="497">
        <v>1</v>
      </c>
      <c r="G103" s="497">
        <v>0</v>
      </c>
      <c r="H103" s="497">
        <v>0</v>
      </c>
      <c r="I103" s="497">
        <v>1</v>
      </c>
      <c r="J103" s="497">
        <v>0</v>
      </c>
      <c r="K103" s="877"/>
      <c r="L103" s="294"/>
    </row>
    <row r="104" spans="1:12" ht="14" x14ac:dyDescent="0.2">
      <c r="A104" s="309"/>
      <c r="B104" s="923"/>
      <c r="C104" s="890" t="str">
        <f t="shared" si="1"/>
        <v>SERVICE 04 / SERVICE 04 / DIENST 04</v>
      </c>
      <c r="D104" s="912">
        <v>4</v>
      </c>
      <c r="E104" s="826" t="str">
        <f t="shared" si="1"/>
        <v>SERVICE 04 / - / 0</v>
      </c>
      <c r="F104" s="497">
        <v>1</v>
      </c>
      <c r="G104" s="497">
        <v>0</v>
      </c>
      <c r="H104" s="497">
        <v>0</v>
      </c>
      <c r="I104" s="497">
        <v>1</v>
      </c>
      <c r="J104" s="497">
        <v>0</v>
      </c>
      <c r="K104" s="877"/>
      <c r="L104" s="294"/>
    </row>
    <row r="105" spans="1:12" ht="14" x14ac:dyDescent="0.2">
      <c r="A105" s="309"/>
      <c r="B105" s="923"/>
      <c r="C105" s="890" t="str">
        <f t="shared" si="1"/>
        <v>SERVICE 05 / SERVICE 05 / DIENST 05</v>
      </c>
      <c r="D105" s="912">
        <v>4</v>
      </c>
      <c r="E105" s="826" t="str">
        <f t="shared" si="1"/>
        <v>SERVICE 05 / - / 0</v>
      </c>
      <c r="F105" s="497">
        <v>1</v>
      </c>
      <c r="G105" s="497">
        <v>0</v>
      </c>
      <c r="H105" s="497">
        <v>0</v>
      </c>
      <c r="I105" s="497">
        <v>1</v>
      </c>
      <c r="J105" s="497">
        <v>0</v>
      </c>
      <c r="K105" s="877"/>
      <c r="L105" s="294"/>
    </row>
    <row r="106" spans="1:12" ht="14" x14ac:dyDescent="0.2">
      <c r="A106" s="309"/>
      <c r="B106" s="923"/>
      <c r="C106" s="890" t="str">
        <f t="shared" si="1"/>
        <v>SERVICE 06 / SERVICE 06 / DIENST 06</v>
      </c>
      <c r="D106" s="912">
        <v>4</v>
      </c>
      <c r="E106" s="826" t="str">
        <f t="shared" si="1"/>
        <v>SERVICE 06 / - / 0</v>
      </c>
      <c r="F106" s="497">
        <v>1</v>
      </c>
      <c r="G106" s="497">
        <v>0</v>
      </c>
      <c r="H106" s="497">
        <v>0</v>
      </c>
      <c r="I106" s="497">
        <v>1</v>
      </c>
      <c r="J106" s="497">
        <v>0</v>
      </c>
      <c r="K106" s="877"/>
      <c r="L106" s="294"/>
    </row>
    <row r="107" spans="1:12" ht="14" x14ac:dyDescent="0.2">
      <c r="A107" s="309"/>
      <c r="B107" s="923"/>
      <c r="C107" s="890" t="str">
        <f t="shared" si="1"/>
        <v>SERVICE 07 / SERVICE 07 / DIENST 07</v>
      </c>
      <c r="D107" s="912">
        <v>4</v>
      </c>
      <c r="E107" s="826" t="str">
        <f t="shared" si="1"/>
        <v>SERVICE 07 / - / 0</v>
      </c>
      <c r="F107" s="497">
        <v>1</v>
      </c>
      <c r="G107" s="497">
        <v>0</v>
      </c>
      <c r="H107" s="497">
        <v>0</v>
      </c>
      <c r="I107" s="497">
        <v>1</v>
      </c>
      <c r="J107" s="497">
        <v>0</v>
      </c>
      <c r="K107" s="877"/>
      <c r="L107" s="294"/>
    </row>
    <row r="108" spans="1:12" ht="14" x14ac:dyDescent="0.2">
      <c r="A108" s="309"/>
      <c r="B108" s="923"/>
      <c r="C108" s="890" t="str">
        <f t="shared" si="1"/>
        <v>SERVICE 08 / SERVICE 08 / DIENST 08</v>
      </c>
      <c r="D108" s="912">
        <v>4</v>
      </c>
      <c r="E108" s="826" t="str">
        <f t="shared" si="1"/>
        <v>SERVICE 08 / - / 0</v>
      </c>
      <c r="F108" s="497">
        <v>1</v>
      </c>
      <c r="G108" s="497">
        <v>0</v>
      </c>
      <c r="H108" s="497">
        <v>0</v>
      </c>
      <c r="I108" s="497">
        <v>1</v>
      </c>
      <c r="J108" s="497">
        <v>0</v>
      </c>
      <c r="K108" s="877"/>
      <c r="L108" s="294"/>
    </row>
    <row r="109" spans="1:12" ht="14" x14ac:dyDescent="0.2">
      <c r="A109" s="309"/>
      <c r="B109" s="923"/>
      <c r="C109" s="890" t="str">
        <f t="shared" si="1"/>
        <v>SERVICE 09 / SERVICE 09 / DIENST 09</v>
      </c>
      <c r="D109" s="912">
        <v>4</v>
      </c>
      <c r="E109" s="826" t="str">
        <f t="shared" si="1"/>
        <v>SERVICE 09 / - / 0</v>
      </c>
      <c r="F109" s="497">
        <v>1</v>
      </c>
      <c r="G109" s="497">
        <v>0</v>
      </c>
      <c r="H109" s="497">
        <v>0</v>
      </c>
      <c r="I109" s="497">
        <v>1</v>
      </c>
      <c r="J109" s="497">
        <v>0</v>
      </c>
      <c r="K109" s="877"/>
      <c r="L109" s="294"/>
    </row>
    <row r="110" spans="1:12" ht="14" x14ac:dyDescent="0.2">
      <c r="A110" s="309"/>
      <c r="B110" s="923"/>
      <c r="C110" s="890" t="str">
        <f t="shared" si="1"/>
        <v>SERVICE 10 / SERVICE 10 / DIENST 10</v>
      </c>
      <c r="D110" s="912">
        <v>4</v>
      </c>
      <c r="E110" s="826" t="str">
        <f t="shared" si="1"/>
        <v>SERVICE 10 / - / 0</v>
      </c>
      <c r="F110" s="497">
        <v>1</v>
      </c>
      <c r="G110" s="497">
        <v>0</v>
      </c>
      <c r="H110" s="497">
        <v>0</v>
      </c>
      <c r="I110" s="497">
        <v>1</v>
      </c>
      <c r="J110" s="497">
        <v>0</v>
      </c>
      <c r="K110" s="877"/>
      <c r="L110" s="294"/>
    </row>
    <row r="111" spans="1:12" x14ac:dyDescent="0.2">
      <c r="A111" s="309"/>
      <c r="B111" s="923"/>
      <c r="C111" s="891"/>
      <c r="D111" s="901">
        <v>4</v>
      </c>
      <c r="E111" s="620"/>
      <c r="F111" s="620"/>
      <c r="G111" s="620"/>
      <c r="H111" s="620"/>
      <c r="I111" s="620"/>
      <c r="J111" s="620"/>
      <c r="K111" s="882"/>
      <c r="L111" s="294"/>
    </row>
    <row r="112" spans="1:12" ht="76.5" customHeight="1" x14ac:dyDescent="0.2">
      <c r="A112" s="309"/>
      <c r="B112" s="922" t="s">
        <v>1976</v>
      </c>
      <c r="C112" s="888" t="s">
        <v>1508</v>
      </c>
      <c r="D112" s="912">
        <v>5</v>
      </c>
      <c r="E112" s="825" t="s">
        <v>1508</v>
      </c>
      <c r="F112" s="825" t="s">
        <v>1509</v>
      </c>
      <c r="G112" s="825" t="s">
        <v>1510</v>
      </c>
      <c r="H112" s="825" t="s">
        <v>1511</v>
      </c>
      <c r="I112" s="825" t="s">
        <v>1507</v>
      </c>
      <c r="J112" s="825" t="s">
        <v>1655</v>
      </c>
      <c r="K112" s="881"/>
      <c r="L112" s="294"/>
    </row>
    <row r="113" spans="1:12" ht="14" x14ac:dyDescent="0.2">
      <c r="A113" s="309"/>
      <c r="B113" s="922"/>
      <c r="C113" s="890" t="s">
        <v>402</v>
      </c>
      <c r="D113" s="913">
        <v>5</v>
      </c>
      <c r="E113" s="826" t="s">
        <v>402</v>
      </c>
      <c r="F113" s="826" t="s">
        <v>102</v>
      </c>
      <c r="G113" s="826" t="s">
        <v>443</v>
      </c>
      <c r="H113" s="497" t="s">
        <v>119</v>
      </c>
      <c r="I113" s="497" t="s">
        <v>47</v>
      </c>
      <c r="J113" s="835">
        <v>0</v>
      </c>
      <c r="K113" s="880"/>
      <c r="L113" s="294"/>
    </row>
    <row r="114" spans="1:12" ht="14" x14ac:dyDescent="0.2">
      <c r="A114" s="309"/>
      <c r="B114" s="922"/>
      <c r="C114" s="890" t="s">
        <v>403</v>
      </c>
      <c r="D114" s="913">
        <v>5</v>
      </c>
      <c r="E114" s="826" t="s">
        <v>403</v>
      </c>
      <c r="F114" s="826" t="s">
        <v>103</v>
      </c>
      <c r="G114" s="826" t="s">
        <v>444</v>
      </c>
      <c r="H114" s="497" t="s">
        <v>120</v>
      </c>
      <c r="I114" s="497" t="s">
        <v>48</v>
      </c>
      <c r="J114" s="835">
        <v>0.16450000000000001</v>
      </c>
      <c r="K114" s="880"/>
      <c r="L114" s="294"/>
    </row>
    <row r="115" spans="1:12" ht="14" x14ac:dyDescent="0.2">
      <c r="A115" s="309"/>
      <c r="B115" s="922"/>
      <c r="C115" s="890" t="s">
        <v>404</v>
      </c>
      <c r="D115" s="913">
        <v>5</v>
      </c>
      <c r="E115" s="826" t="s">
        <v>404</v>
      </c>
      <c r="F115" s="826" t="s">
        <v>104</v>
      </c>
      <c r="G115" s="826" t="s">
        <v>445</v>
      </c>
      <c r="H115" s="497" t="s">
        <v>120</v>
      </c>
      <c r="I115" s="497" t="s">
        <v>49</v>
      </c>
      <c r="J115" s="835">
        <v>0.16450000000000001</v>
      </c>
      <c r="K115" s="880"/>
      <c r="L115" s="294"/>
    </row>
    <row r="116" spans="1:12" ht="14" x14ac:dyDescent="0.2">
      <c r="A116" s="309"/>
      <c r="B116" s="922"/>
      <c r="C116" s="890" t="s">
        <v>405</v>
      </c>
      <c r="D116" s="913">
        <v>5</v>
      </c>
      <c r="E116" s="826" t="s">
        <v>405</v>
      </c>
      <c r="F116" s="826" t="s">
        <v>105</v>
      </c>
      <c r="G116" s="826" t="s">
        <v>446</v>
      </c>
      <c r="H116" s="497" t="s">
        <v>120</v>
      </c>
      <c r="I116" s="497" t="s">
        <v>50</v>
      </c>
      <c r="J116" s="835">
        <v>0.16450000000000001</v>
      </c>
      <c r="K116" s="880"/>
      <c r="L116" s="294"/>
    </row>
    <row r="117" spans="1:12" ht="14" x14ac:dyDescent="0.2">
      <c r="A117" s="309"/>
      <c r="B117" s="922"/>
      <c r="C117" s="890" t="s">
        <v>406</v>
      </c>
      <c r="D117" s="913">
        <v>5</v>
      </c>
      <c r="E117" s="826" t="s">
        <v>406</v>
      </c>
      <c r="F117" s="826" t="s">
        <v>106</v>
      </c>
      <c r="G117" s="826" t="s">
        <v>447</v>
      </c>
      <c r="H117" s="497" t="s">
        <v>120</v>
      </c>
      <c r="I117" s="497" t="s">
        <v>217</v>
      </c>
      <c r="J117" s="835">
        <v>0.16450000000000001</v>
      </c>
      <c r="K117" s="880"/>
      <c r="L117" s="294"/>
    </row>
    <row r="118" spans="1:12" ht="14" x14ac:dyDescent="0.2">
      <c r="A118" s="309"/>
      <c r="B118" s="922"/>
      <c r="C118" s="890" t="s">
        <v>407</v>
      </c>
      <c r="D118" s="913">
        <v>5</v>
      </c>
      <c r="E118" s="826" t="s">
        <v>407</v>
      </c>
      <c r="F118" s="826" t="s">
        <v>107</v>
      </c>
      <c r="G118" s="826" t="s">
        <v>448</v>
      </c>
      <c r="H118" s="497" t="s">
        <v>120</v>
      </c>
      <c r="I118" s="497" t="s">
        <v>51</v>
      </c>
      <c r="J118" s="835">
        <v>0.16450000000000001</v>
      </c>
      <c r="K118" s="880"/>
      <c r="L118" s="294"/>
    </row>
    <row r="119" spans="1:12" ht="14" x14ac:dyDescent="0.2">
      <c r="A119" s="309"/>
      <c r="B119" s="922"/>
      <c r="C119" s="890" t="s">
        <v>408</v>
      </c>
      <c r="D119" s="913">
        <v>5</v>
      </c>
      <c r="E119" s="826" t="s">
        <v>408</v>
      </c>
      <c r="F119" s="826" t="s">
        <v>108</v>
      </c>
      <c r="G119" s="826" t="s">
        <v>449</v>
      </c>
      <c r="H119" s="497" t="s">
        <v>120</v>
      </c>
      <c r="I119" s="497" t="s">
        <v>52</v>
      </c>
      <c r="J119" s="835">
        <v>0.16450000000000001</v>
      </c>
      <c r="K119" s="880"/>
      <c r="L119" s="294"/>
    </row>
    <row r="120" spans="1:12" ht="14" x14ac:dyDescent="0.2">
      <c r="A120" s="309"/>
      <c r="B120" s="922"/>
      <c r="C120" s="890" t="s">
        <v>409</v>
      </c>
      <c r="D120" s="913">
        <v>5</v>
      </c>
      <c r="E120" s="826" t="s">
        <v>409</v>
      </c>
      <c r="F120" s="826" t="s">
        <v>109</v>
      </c>
      <c r="G120" s="826" t="s">
        <v>450</v>
      </c>
      <c r="H120" s="497" t="s">
        <v>120</v>
      </c>
      <c r="I120" s="497" t="s">
        <v>116</v>
      </c>
      <c r="J120" s="835">
        <v>0</v>
      </c>
      <c r="K120" s="880"/>
      <c r="L120" s="294"/>
    </row>
    <row r="121" spans="1:12" ht="14" x14ac:dyDescent="0.2">
      <c r="A121" s="309"/>
      <c r="B121" s="922"/>
      <c r="C121" s="890" t="s">
        <v>410</v>
      </c>
      <c r="D121" s="913">
        <v>5</v>
      </c>
      <c r="E121" s="826" t="s">
        <v>410</v>
      </c>
      <c r="F121" s="826" t="s">
        <v>110</v>
      </c>
      <c r="G121" s="826" t="s">
        <v>451</v>
      </c>
      <c r="H121" s="497" t="s">
        <v>120</v>
      </c>
      <c r="I121" s="497" t="s">
        <v>117</v>
      </c>
      <c r="J121" s="835">
        <v>0</v>
      </c>
      <c r="K121" s="880"/>
      <c r="L121" s="294"/>
    </row>
    <row r="122" spans="1:12" ht="14" x14ac:dyDescent="0.2">
      <c r="A122" s="309"/>
      <c r="B122" s="922"/>
      <c r="C122" s="890" t="s">
        <v>411</v>
      </c>
      <c r="D122" s="913">
        <v>5</v>
      </c>
      <c r="E122" s="826" t="s">
        <v>411</v>
      </c>
      <c r="F122" s="826" t="s">
        <v>101</v>
      </c>
      <c r="G122" s="826" t="s">
        <v>452</v>
      </c>
      <c r="H122" s="497" t="s">
        <v>120</v>
      </c>
      <c r="I122" s="497" t="s">
        <v>118</v>
      </c>
      <c r="J122" s="835">
        <v>0</v>
      </c>
      <c r="K122" s="880"/>
      <c r="L122" s="294"/>
    </row>
    <row r="123" spans="1:12" x14ac:dyDescent="0.2">
      <c r="A123" s="309"/>
      <c r="B123" s="922"/>
      <c r="C123" s="891"/>
      <c r="D123" s="901">
        <v>5</v>
      </c>
      <c r="E123" s="620"/>
      <c r="F123" s="620"/>
      <c r="G123" s="620"/>
      <c r="H123" s="620"/>
      <c r="I123" s="620"/>
      <c r="J123" s="620"/>
      <c r="K123" s="882"/>
      <c r="L123" s="294"/>
    </row>
    <row r="124" spans="1:12" ht="38.25" customHeight="1" x14ac:dyDescent="0.2">
      <c r="A124" s="309"/>
      <c r="B124" s="923" t="s">
        <v>1977</v>
      </c>
      <c r="C124" s="888" t="s">
        <v>1499</v>
      </c>
      <c r="D124" s="913">
        <v>6</v>
      </c>
      <c r="E124" s="825" t="s">
        <v>1499</v>
      </c>
      <c r="F124" s="825" t="s">
        <v>1503</v>
      </c>
      <c r="G124" s="825" t="s">
        <v>1500</v>
      </c>
      <c r="H124" s="825"/>
      <c r="I124" s="825" t="s">
        <v>1504</v>
      </c>
      <c r="J124" s="836" t="s">
        <v>1505</v>
      </c>
      <c r="K124" s="884"/>
      <c r="L124" s="294"/>
    </row>
    <row r="125" spans="1:12" ht="14" x14ac:dyDescent="0.2">
      <c r="A125" s="309"/>
      <c r="B125" s="923"/>
      <c r="C125" s="890" t="s">
        <v>921</v>
      </c>
      <c r="D125" s="913">
        <v>6</v>
      </c>
      <c r="E125" s="826" t="s">
        <v>921</v>
      </c>
      <c r="F125" s="826" t="s">
        <v>165</v>
      </c>
      <c r="G125" s="826" t="s">
        <v>926</v>
      </c>
      <c r="H125" s="826"/>
      <c r="I125" s="520">
        <v>7.0000000000000007E-2</v>
      </c>
      <c r="J125" s="837">
        <v>5</v>
      </c>
      <c r="K125" s="885"/>
      <c r="L125" s="294"/>
    </row>
    <row r="126" spans="1:12" ht="14" x14ac:dyDescent="0.2">
      <c r="A126" s="309"/>
      <c r="B126" s="923"/>
      <c r="C126" s="890" t="s">
        <v>916</v>
      </c>
      <c r="D126" s="913">
        <v>6</v>
      </c>
      <c r="E126" s="826" t="s">
        <v>916</v>
      </c>
      <c r="F126" s="826" t="s">
        <v>1501</v>
      </c>
      <c r="G126" s="826" t="s">
        <v>922</v>
      </c>
      <c r="H126" s="826"/>
      <c r="I126" s="520">
        <v>0.1</v>
      </c>
      <c r="J126" s="837">
        <v>3</v>
      </c>
      <c r="K126" s="885"/>
      <c r="L126" s="294"/>
    </row>
    <row r="127" spans="1:12" ht="14" x14ac:dyDescent="0.2">
      <c r="A127" s="309"/>
      <c r="B127" s="923"/>
      <c r="C127" s="890" t="s">
        <v>920</v>
      </c>
      <c r="D127" s="913">
        <v>6</v>
      </c>
      <c r="E127" s="826" t="s">
        <v>920</v>
      </c>
      <c r="F127" s="826" t="s">
        <v>1502</v>
      </c>
      <c r="G127" s="826" t="s">
        <v>927</v>
      </c>
      <c r="H127" s="826"/>
      <c r="I127" s="520">
        <v>0.2</v>
      </c>
      <c r="J127" s="837">
        <v>2</v>
      </c>
      <c r="K127" s="885"/>
      <c r="L127" s="294"/>
    </row>
    <row r="128" spans="1:12" x14ac:dyDescent="0.2">
      <c r="A128" s="309"/>
      <c r="B128" s="923"/>
      <c r="C128" s="891"/>
      <c r="D128" s="901">
        <v>6</v>
      </c>
      <c r="E128" s="620"/>
      <c r="F128" s="620"/>
      <c r="G128" s="620"/>
      <c r="H128" s="620"/>
      <c r="I128" s="620"/>
      <c r="J128" s="620"/>
      <c r="K128" s="882"/>
      <c r="L128" s="294"/>
    </row>
    <row r="129" spans="1:12" ht="38.25" customHeight="1" x14ac:dyDescent="0.2">
      <c r="A129" s="309"/>
      <c r="B129" s="922" t="s">
        <v>1978</v>
      </c>
      <c r="C129" s="888" t="s">
        <v>1423</v>
      </c>
      <c r="D129" s="912">
        <v>7</v>
      </c>
      <c r="E129" s="825" t="s">
        <v>1423</v>
      </c>
      <c r="F129" s="825" t="s">
        <v>1421</v>
      </c>
      <c r="G129" s="825" t="s">
        <v>1422</v>
      </c>
      <c r="H129" s="825" t="s">
        <v>1863</v>
      </c>
      <c r="I129" s="825" t="s">
        <v>1865</v>
      </c>
      <c r="J129" s="825" t="s">
        <v>1864</v>
      </c>
      <c r="K129" s="881"/>
      <c r="L129" s="294"/>
    </row>
    <row r="130" spans="1:12" ht="14" x14ac:dyDescent="0.2">
      <c r="A130" s="309"/>
      <c r="B130" s="922"/>
      <c r="C130" s="892" t="s">
        <v>616</v>
      </c>
      <c r="D130" s="913">
        <v>7</v>
      </c>
      <c r="E130" s="827" t="s">
        <v>616</v>
      </c>
      <c r="F130" s="827" t="s">
        <v>1115</v>
      </c>
      <c r="G130" s="826" t="s">
        <v>1105</v>
      </c>
      <c r="H130" s="520">
        <v>0.95</v>
      </c>
      <c r="I130" s="829">
        <v>1</v>
      </c>
      <c r="J130" s="520">
        <v>1.2</v>
      </c>
      <c r="K130" s="880"/>
      <c r="L130" s="294"/>
    </row>
    <row r="131" spans="1:12" ht="28" x14ac:dyDescent="0.2">
      <c r="A131" s="309"/>
      <c r="B131" s="922"/>
      <c r="C131" s="892" t="s">
        <v>619</v>
      </c>
      <c r="D131" s="913">
        <v>7</v>
      </c>
      <c r="E131" s="827" t="s">
        <v>619</v>
      </c>
      <c r="F131" s="827" t="s">
        <v>1113</v>
      </c>
      <c r="G131" s="826" t="s">
        <v>1108</v>
      </c>
      <c r="H131" s="520">
        <v>1.1000000000000001</v>
      </c>
      <c r="I131" s="829">
        <v>1</v>
      </c>
      <c r="J131" s="520">
        <v>0.95</v>
      </c>
      <c r="K131" s="880"/>
      <c r="L131" s="294"/>
    </row>
    <row r="132" spans="1:12" ht="14" x14ac:dyDescent="0.2">
      <c r="A132" s="309"/>
      <c r="B132" s="922"/>
      <c r="C132" s="892" t="s">
        <v>627</v>
      </c>
      <c r="D132" s="913">
        <v>7</v>
      </c>
      <c r="E132" s="827" t="s">
        <v>627</v>
      </c>
      <c r="F132" s="827" t="s">
        <v>1116</v>
      </c>
      <c r="G132" s="826" t="s">
        <v>1106</v>
      </c>
      <c r="H132" s="520">
        <v>0.6</v>
      </c>
      <c r="I132" s="829">
        <v>1</v>
      </c>
      <c r="J132" s="520">
        <v>1.2</v>
      </c>
      <c r="K132" s="880"/>
      <c r="L132" s="294"/>
    </row>
    <row r="133" spans="1:12" ht="28" x14ac:dyDescent="0.2">
      <c r="A133" s="309"/>
      <c r="B133" s="922"/>
      <c r="C133" s="892" t="s">
        <v>628</v>
      </c>
      <c r="D133" s="913">
        <v>7</v>
      </c>
      <c r="E133" s="827" t="s">
        <v>628</v>
      </c>
      <c r="F133" s="827" t="s">
        <v>1114</v>
      </c>
      <c r="G133" s="826" t="s">
        <v>1109</v>
      </c>
      <c r="H133" s="520">
        <v>1.1000000000000001</v>
      </c>
      <c r="I133" s="829">
        <v>1</v>
      </c>
      <c r="J133" s="520">
        <v>0.95</v>
      </c>
      <c r="K133" s="880"/>
      <c r="L133" s="294"/>
    </row>
    <row r="134" spans="1:12" ht="14" x14ac:dyDescent="0.2">
      <c r="A134" s="309"/>
      <c r="B134" s="922"/>
      <c r="C134" s="892" t="s">
        <v>642</v>
      </c>
      <c r="D134" s="913">
        <v>7</v>
      </c>
      <c r="E134" s="827" t="s">
        <v>642</v>
      </c>
      <c r="F134" s="827" t="s">
        <v>33</v>
      </c>
      <c r="G134" s="826" t="s">
        <v>643</v>
      </c>
      <c r="H134" s="520">
        <v>1.25</v>
      </c>
      <c r="I134" s="829">
        <v>1</v>
      </c>
      <c r="J134" s="520">
        <v>0.85</v>
      </c>
      <c r="K134" s="880"/>
      <c r="L134" s="294"/>
    </row>
    <row r="135" spans="1:12" ht="14" x14ac:dyDescent="0.2">
      <c r="A135" s="309"/>
      <c r="B135" s="922"/>
      <c r="C135" s="892" t="s">
        <v>646</v>
      </c>
      <c r="D135" s="913">
        <v>7</v>
      </c>
      <c r="E135" s="827" t="s">
        <v>646</v>
      </c>
      <c r="F135" s="827" t="s">
        <v>39</v>
      </c>
      <c r="G135" s="826" t="s">
        <v>647</v>
      </c>
      <c r="H135" s="520">
        <v>1.25</v>
      </c>
      <c r="I135" s="829">
        <v>1</v>
      </c>
      <c r="J135" s="520">
        <v>0.85</v>
      </c>
      <c r="K135" s="880"/>
      <c r="L135" s="294"/>
    </row>
    <row r="136" spans="1:12" ht="28" x14ac:dyDescent="0.2">
      <c r="A136" s="309"/>
      <c r="B136" s="922"/>
      <c r="C136" s="892" t="s">
        <v>648</v>
      </c>
      <c r="D136" s="913">
        <v>7</v>
      </c>
      <c r="E136" s="827" t="s">
        <v>648</v>
      </c>
      <c r="F136" s="827" t="s">
        <v>53</v>
      </c>
      <c r="G136" s="826" t="s">
        <v>649</v>
      </c>
      <c r="H136" s="520">
        <v>1.25</v>
      </c>
      <c r="I136" s="829">
        <v>1</v>
      </c>
      <c r="J136" s="520">
        <v>0.85</v>
      </c>
      <c r="K136" s="880"/>
      <c r="L136" s="294"/>
    </row>
    <row r="137" spans="1:12" ht="14" x14ac:dyDescent="0.2">
      <c r="A137" s="309"/>
      <c r="B137" s="922"/>
      <c r="C137" s="892" t="s">
        <v>650</v>
      </c>
      <c r="D137" s="913">
        <v>7</v>
      </c>
      <c r="E137" s="827" t="s">
        <v>650</v>
      </c>
      <c r="F137" s="827" t="s">
        <v>59</v>
      </c>
      <c r="G137" s="826" t="s">
        <v>651</v>
      </c>
      <c r="H137" s="520">
        <v>1.1000000000000001</v>
      </c>
      <c r="I137" s="829">
        <v>1</v>
      </c>
      <c r="J137" s="520">
        <v>0.9</v>
      </c>
      <c r="K137" s="880"/>
      <c r="L137" s="294"/>
    </row>
    <row r="138" spans="1:12" ht="14" x14ac:dyDescent="0.2">
      <c r="A138" s="309"/>
      <c r="B138" s="922"/>
      <c r="C138" s="892" t="s">
        <v>657</v>
      </c>
      <c r="D138" s="913">
        <v>7</v>
      </c>
      <c r="E138" s="827" t="s">
        <v>657</v>
      </c>
      <c r="F138" s="827" t="s">
        <v>71</v>
      </c>
      <c r="G138" s="826" t="s">
        <v>652</v>
      </c>
      <c r="H138" s="520">
        <v>1.1000000000000001</v>
      </c>
      <c r="I138" s="829">
        <v>1</v>
      </c>
      <c r="J138" s="520">
        <v>0.9</v>
      </c>
      <c r="K138" s="880"/>
      <c r="L138" s="294"/>
    </row>
    <row r="139" spans="1:12" ht="14" x14ac:dyDescent="0.2">
      <c r="A139" s="309"/>
      <c r="B139" s="922"/>
      <c r="C139" s="892" t="s">
        <v>658</v>
      </c>
      <c r="D139" s="913">
        <v>7</v>
      </c>
      <c r="E139" s="827" t="s">
        <v>658</v>
      </c>
      <c r="F139" s="827" t="s">
        <v>74</v>
      </c>
      <c r="G139" s="826" t="s">
        <v>653</v>
      </c>
      <c r="H139" s="520">
        <v>1.1000000000000001</v>
      </c>
      <c r="I139" s="829">
        <v>1</v>
      </c>
      <c r="J139" s="520">
        <v>0.9</v>
      </c>
      <c r="K139" s="880"/>
      <c r="L139" s="294"/>
    </row>
    <row r="140" spans="1:12" ht="14" x14ac:dyDescent="0.2">
      <c r="A140" s="309"/>
      <c r="B140" s="922"/>
      <c r="C140" s="892" t="s">
        <v>659</v>
      </c>
      <c r="D140" s="913">
        <v>7</v>
      </c>
      <c r="E140" s="827" t="s">
        <v>659</v>
      </c>
      <c r="F140" s="827" t="s">
        <v>72</v>
      </c>
      <c r="G140" s="826" t="s">
        <v>654</v>
      </c>
      <c r="H140" s="520">
        <v>1.1000000000000001</v>
      </c>
      <c r="I140" s="829">
        <v>1</v>
      </c>
      <c r="J140" s="520">
        <v>0.9</v>
      </c>
      <c r="K140" s="880"/>
      <c r="L140" s="294"/>
    </row>
    <row r="141" spans="1:12" ht="14" x14ac:dyDescent="0.2">
      <c r="A141" s="309"/>
      <c r="B141" s="922"/>
      <c r="C141" s="892" t="s">
        <v>660</v>
      </c>
      <c r="D141" s="913">
        <v>7</v>
      </c>
      <c r="E141" s="827" t="s">
        <v>660</v>
      </c>
      <c r="F141" s="827" t="s">
        <v>73</v>
      </c>
      <c r="G141" s="826" t="s">
        <v>655</v>
      </c>
      <c r="H141" s="520">
        <v>1.1000000000000001</v>
      </c>
      <c r="I141" s="829">
        <v>1</v>
      </c>
      <c r="J141" s="520">
        <v>0.9</v>
      </c>
      <c r="K141" s="880"/>
      <c r="L141" s="294"/>
    </row>
    <row r="142" spans="1:12" ht="14" x14ac:dyDescent="0.2">
      <c r="A142" s="309"/>
      <c r="B142" s="922"/>
      <c r="C142" s="892" t="s">
        <v>661</v>
      </c>
      <c r="D142" s="913">
        <v>7</v>
      </c>
      <c r="E142" s="827" t="s">
        <v>661</v>
      </c>
      <c r="F142" s="827" t="s">
        <v>94</v>
      </c>
      <c r="G142" s="826" t="s">
        <v>656</v>
      </c>
      <c r="H142" s="520">
        <v>1.2</v>
      </c>
      <c r="I142" s="829">
        <v>1</v>
      </c>
      <c r="J142" s="520">
        <v>0.85</v>
      </c>
      <c r="K142" s="880"/>
      <c r="L142" s="294"/>
    </row>
    <row r="143" spans="1:12" x14ac:dyDescent="0.2">
      <c r="A143" s="309"/>
      <c r="B143" s="922"/>
      <c r="C143" s="891"/>
      <c r="D143" s="901">
        <v>7</v>
      </c>
      <c r="E143" s="620"/>
      <c r="F143" s="620"/>
      <c r="G143" s="620"/>
      <c r="H143" s="620"/>
      <c r="I143" s="620"/>
      <c r="J143" s="620"/>
      <c r="K143" s="882"/>
      <c r="L143" s="294"/>
    </row>
    <row r="144" spans="1:12" hidden="1" outlineLevel="1" x14ac:dyDescent="0.2">
      <c r="A144" s="309"/>
      <c r="B144" s="455"/>
      <c r="C144" s="893"/>
      <c r="D144" s="615"/>
      <c r="E144" s="613"/>
      <c r="F144" s="613"/>
      <c r="G144" s="613"/>
      <c r="H144" s="613"/>
      <c r="I144" s="613"/>
      <c r="J144" s="613"/>
      <c r="K144" s="877"/>
      <c r="L144" s="294"/>
    </row>
    <row r="145" spans="1:12" ht="14" hidden="1" outlineLevel="1" x14ac:dyDescent="0.2">
      <c r="A145" s="309"/>
      <c r="B145" s="455"/>
      <c r="C145" s="894" t="s">
        <v>597</v>
      </c>
      <c r="D145" s="617"/>
      <c r="E145" s="875" t="s">
        <v>597</v>
      </c>
      <c r="F145" s="614"/>
      <c r="G145" s="614"/>
      <c r="H145" s="614"/>
      <c r="I145" s="614"/>
      <c r="J145" s="614"/>
      <c r="K145" s="878"/>
      <c r="L145" s="294"/>
    </row>
    <row r="146" spans="1:12" ht="24" hidden="1" customHeight="1" outlineLevel="1" x14ac:dyDescent="0.2">
      <c r="A146" s="652" t="s">
        <v>96</v>
      </c>
      <c r="B146" s="455"/>
      <c r="C146" s="895" t="s">
        <v>0</v>
      </c>
      <c r="D146" s="618"/>
      <c r="E146" s="619" t="s">
        <v>385</v>
      </c>
      <c r="F146" s="619" t="s">
        <v>383</v>
      </c>
      <c r="G146" s="619" t="s">
        <v>384</v>
      </c>
      <c r="H146" s="620"/>
      <c r="I146" s="620"/>
      <c r="J146" s="620"/>
      <c r="K146" s="882"/>
      <c r="L146" s="294"/>
    </row>
    <row r="147" spans="1:12" hidden="1" outlineLevel="1" x14ac:dyDescent="0.2">
      <c r="A147" s="309"/>
      <c r="B147" s="455"/>
      <c r="C147" s="893"/>
      <c r="D147" s="615"/>
      <c r="E147" s="613"/>
      <c r="F147" s="613"/>
      <c r="G147" s="613"/>
      <c r="H147" s="613"/>
      <c r="I147" s="613"/>
      <c r="J147" s="613"/>
      <c r="K147" s="877"/>
      <c r="L147" s="294"/>
    </row>
    <row r="148" spans="1:12" s="179" customFormat="1" ht="28" hidden="1" outlineLevel="1" x14ac:dyDescent="0.2">
      <c r="A148" s="455"/>
      <c r="B148" s="455"/>
      <c r="C148" s="893" t="s">
        <v>919</v>
      </c>
      <c r="D148" s="615"/>
      <c r="E148" s="613" t="s">
        <v>919</v>
      </c>
      <c r="F148" s="613" t="s">
        <v>147</v>
      </c>
      <c r="G148" s="613" t="s">
        <v>925</v>
      </c>
      <c r="H148" s="613"/>
      <c r="I148" s="613"/>
      <c r="J148" s="613"/>
      <c r="K148" s="877"/>
      <c r="L148" s="291"/>
    </row>
    <row r="149" spans="1:12" s="179" customFormat="1" ht="28" hidden="1" outlineLevel="1" x14ac:dyDescent="0.2">
      <c r="A149" s="455"/>
      <c r="B149" s="455"/>
      <c r="C149" s="893" t="s">
        <v>1213</v>
      </c>
      <c r="D149" s="615"/>
      <c r="E149" s="613" t="s">
        <v>1213</v>
      </c>
      <c r="F149" s="613" t="s">
        <v>1233</v>
      </c>
      <c r="G149" s="613" t="s">
        <v>1223</v>
      </c>
      <c r="H149" s="613"/>
      <c r="I149" s="613"/>
      <c r="J149" s="613"/>
      <c r="K149" s="877"/>
      <c r="L149" s="291"/>
    </row>
    <row r="150" spans="1:12" s="179" customFormat="1" ht="14" hidden="1" outlineLevel="1" x14ac:dyDescent="0.2">
      <c r="A150" s="455"/>
      <c r="B150" s="455"/>
      <c r="C150" s="893" t="s">
        <v>1214</v>
      </c>
      <c r="D150" s="615"/>
      <c r="E150" s="613" t="s">
        <v>1214</v>
      </c>
      <c r="F150" s="613" t="s">
        <v>1234</v>
      </c>
      <c r="G150" s="613" t="s">
        <v>1224</v>
      </c>
      <c r="H150" s="613"/>
      <c r="I150" s="613"/>
      <c r="J150" s="613"/>
      <c r="K150" s="877"/>
      <c r="L150" s="291"/>
    </row>
    <row r="151" spans="1:12" s="179" customFormat="1" ht="28" hidden="1" outlineLevel="1" x14ac:dyDescent="0.2">
      <c r="A151" s="455"/>
      <c r="B151" s="455"/>
      <c r="C151" s="893" t="s">
        <v>1207</v>
      </c>
      <c r="D151" s="615"/>
      <c r="E151" s="613" t="s">
        <v>1207</v>
      </c>
      <c r="F151" s="613" t="s">
        <v>1227</v>
      </c>
      <c r="G151" s="613" t="s">
        <v>1217</v>
      </c>
      <c r="H151" s="613"/>
      <c r="I151" s="613"/>
      <c r="J151" s="613"/>
      <c r="K151" s="877"/>
      <c r="L151" s="291"/>
    </row>
    <row r="152" spans="1:12" s="179" customFormat="1" ht="28" hidden="1" outlineLevel="1" x14ac:dyDescent="0.2">
      <c r="A152" s="455"/>
      <c r="B152" s="455"/>
      <c r="C152" s="893" t="s">
        <v>1210</v>
      </c>
      <c r="D152" s="615"/>
      <c r="E152" s="613" t="s">
        <v>1210</v>
      </c>
      <c r="F152" s="613" t="s">
        <v>1230</v>
      </c>
      <c r="G152" s="613" t="s">
        <v>1220</v>
      </c>
      <c r="H152" s="613"/>
      <c r="I152" s="613"/>
      <c r="J152" s="613"/>
      <c r="K152" s="877"/>
      <c r="L152" s="291"/>
    </row>
    <row r="153" spans="1:12" s="179" customFormat="1" ht="28" hidden="1" outlineLevel="1" x14ac:dyDescent="0.2">
      <c r="A153" s="455"/>
      <c r="B153" s="455"/>
      <c r="C153" s="893" t="s">
        <v>1216</v>
      </c>
      <c r="D153" s="615"/>
      <c r="E153" s="613" t="s">
        <v>1216</v>
      </c>
      <c r="F153" s="613" t="s">
        <v>1236</v>
      </c>
      <c r="G153" s="613" t="s">
        <v>1226</v>
      </c>
      <c r="H153" s="613"/>
      <c r="I153" s="613"/>
      <c r="J153" s="613"/>
      <c r="K153" s="877"/>
      <c r="L153" s="291"/>
    </row>
    <row r="154" spans="1:12" s="179" customFormat="1" ht="28" hidden="1" outlineLevel="1" x14ac:dyDescent="0.2">
      <c r="A154" s="455"/>
      <c r="B154" s="455"/>
      <c r="C154" s="893" t="s">
        <v>1211</v>
      </c>
      <c r="D154" s="615"/>
      <c r="E154" s="613" t="s">
        <v>1211</v>
      </c>
      <c r="F154" s="613" t="s">
        <v>1231</v>
      </c>
      <c r="G154" s="613" t="s">
        <v>1221</v>
      </c>
      <c r="H154" s="613"/>
      <c r="I154" s="613"/>
      <c r="J154" s="613"/>
      <c r="K154" s="877"/>
      <c r="L154" s="291"/>
    </row>
    <row r="155" spans="1:12" s="179" customFormat="1" ht="28" hidden="1" outlineLevel="1" x14ac:dyDescent="0.2">
      <c r="A155" s="455"/>
      <c r="B155" s="455"/>
      <c r="C155" s="893" t="s">
        <v>1208</v>
      </c>
      <c r="D155" s="615"/>
      <c r="E155" s="613" t="s">
        <v>1208</v>
      </c>
      <c r="F155" s="613" t="s">
        <v>1228</v>
      </c>
      <c r="G155" s="613" t="s">
        <v>1218</v>
      </c>
      <c r="H155" s="613"/>
      <c r="I155" s="613"/>
      <c r="J155" s="613"/>
      <c r="K155" s="877"/>
      <c r="L155" s="291"/>
    </row>
    <row r="156" spans="1:12" s="179" customFormat="1" ht="28" hidden="1" outlineLevel="1" x14ac:dyDescent="0.2">
      <c r="A156" s="455"/>
      <c r="B156" s="455"/>
      <c r="C156" s="893" t="s">
        <v>1209</v>
      </c>
      <c r="D156" s="615"/>
      <c r="E156" s="613" t="s">
        <v>1209</v>
      </c>
      <c r="F156" s="613" t="s">
        <v>1229</v>
      </c>
      <c r="G156" s="613" t="s">
        <v>1219</v>
      </c>
      <c r="H156" s="613"/>
      <c r="I156" s="613"/>
      <c r="J156" s="613"/>
      <c r="K156" s="877"/>
      <c r="L156" s="291"/>
    </row>
    <row r="157" spans="1:12" s="179" customFormat="1" ht="14" hidden="1" outlineLevel="1" x14ac:dyDescent="0.2">
      <c r="A157" s="455"/>
      <c r="B157" s="455"/>
      <c r="C157" s="893" t="s">
        <v>1215</v>
      </c>
      <c r="D157" s="615"/>
      <c r="E157" s="613" t="s">
        <v>1215</v>
      </c>
      <c r="F157" s="613" t="s">
        <v>1235</v>
      </c>
      <c r="G157" s="613" t="s">
        <v>1225</v>
      </c>
      <c r="H157" s="613"/>
      <c r="I157" s="613"/>
      <c r="J157" s="613"/>
      <c r="K157" s="877"/>
      <c r="L157" s="291"/>
    </row>
    <row r="158" spans="1:12" s="179" customFormat="1" ht="28" hidden="1" outlineLevel="1" x14ac:dyDescent="0.2">
      <c r="A158" s="455"/>
      <c r="B158" s="455"/>
      <c r="C158" s="893" t="s">
        <v>1212</v>
      </c>
      <c r="D158" s="615"/>
      <c r="E158" s="613" t="s">
        <v>1212</v>
      </c>
      <c r="F158" s="613" t="s">
        <v>1232</v>
      </c>
      <c r="G158" s="613" t="s">
        <v>1222</v>
      </c>
      <c r="H158" s="613"/>
      <c r="I158" s="613"/>
      <c r="J158" s="613"/>
      <c r="K158" s="877"/>
      <c r="L158" s="291"/>
    </row>
    <row r="159" spans="1:12" s="179" customFormat="1" ht="28" hidden="1" outlineLevel="1" x14ac:dyDescent="0.2">
      <c r="A159" s="455"/>
      <c r="B159" s="455"/>
      <c r="C159" s="893" t="s">
        <v>621</v>
      </c>
      <c r="D159" s="615"/>
      <c r="E159" s="613" t="s">
        <v>621</v>
      </c>
      <c r="F159" s="613" t="s">
        <v>1205</v>
      </c>
      <c r="G159" s="613" t="s">
        <v>1206</v>
      </c>
      <c r="H159" s="613"/>
      <c r="I159" s="613"/>
      <c r="J159" s="613"/>
      <c r="K159" s="877"/>
      <c r="L159" s="291"/>
    </row>
    <row r="160" spans="1:12" s="179" customFormat="1" ht="14" hidden="1" outlineLevel="1" x14ac:dyDescent="0.2">
      <c r="A160" s="455"/>
      <c r="B160" s="455"/>
      <c r="C160" s="893" t="s">
        <v>602</v>
      </c>
      <c r="D160" s="615"/>
      <c r="E160" s="613" t="s">
        <v>602</v>
      </c>
      <c r="F160" s="613" t="s">
        <v>600</v>
      </c>
      <c r="G160" s="613" t="s">
        <v>606</v>
      </c>
      <c r="H160" s="613"/>
      <c r="I160" s="613"/>
      <c r="J160" s="613"/>
      <c r="K160" s="877"/>
      <c r="L160" s="291"/>
    </row>
    <row r="161" spans="1:12" s="179" customFormat="1" ht="28" hidden="1" outlineLevel="1" x14ac:dyDescent="0.2">
      <c r="A161" s="455"/>
      <c r="B161" s="455"/>
      <c r="C161" s="893" t="s">
        <v>917</v>
      </c>
      <c r="D161" s="615"/>
      <c r="E161" s="613" t="s">
        <v>917</v>
      </c>
      <c r="F161" s="613" t="s">
        <v>177</v>
      </c>
      <c r="G161" s="613" t="s">
        <v>923</v>
      </c>
      <c r="H161" s="613"/>
      <c r="I161" s="613"/>
      <c r="J161" s="613"/>
      <c r="K161" s="877"/>
      <c r="L161" s="291"/>
    </row>
    <row r="162" spans="1:12" s="179" customFormat="1" ht="14" hidden="1" outlineLevel="1" x14ac:dyDescent="0.2">
      <c r="A162" s="455"/>
      <c r="B162" s="455"/>
      <c r="C162" s="893" t="s">
        <v>918</v>
      </c>
      <c r="D162" s="615"/>
      <c r="E162" s="613" t="s">
        <v>918</v>
      </c>
      <c r="F162" s="613" t="s">
        <v>151</v>
      </c>
      <c r="G162" s="613" t="s">
        <v>924</v>
      </c>
      <c r="H162" s="613"/>
      <c r="I162" s="613"/>
      <c r="J162" s="613"/>
      <c r="K162" s="877"/>
      <c r="L162" s="291"/>
    </row>
    <row r="163" spans="1:12" s="179" customFormat="1" ht="14" hidden="1" outlineLevel="1" x14ac:dyDescent="0.2">
      <c r="A163" s="455"/>
      <c r="B163" s="455"/>
      <c r="C163" s="893" t="s">
        <v>675</v>
      </c>
      <c r="D163" s="615"/>
      <c r="E163" s="613" t="s">
        <v>675</v>
      </c>
      <c r="F163" s="613" t="s">
        <v>81</v>
      </c>
      <c r="G163" s="613" t="s">
        <v>717</v>
      </c>
      <c r="H163" s="613"/>
      <c r="I163" s="613"/>
      <c r="J163" s="613"/>
      <c r="K163" s="877"/>
      <c r="L163" s="291"/>
    </row>
    <row r="164" spans="1:12" s="179" customFormat="1" ht="14" hidden="1" outlineLevel="1" x14ac:dyDescent="0.2">
      <c r="A164" s="455"/>
      <c r="B164" s="455"/>
      <c r="C164" s="893" t="s">
        <v>865</v>
      </c>
      <c r="D164" s="615"/>
      <c r="E164" s="613" t="s">
        <v>865</v>
      </c>
      <c r="F164" s="613" t="s">
        <v>138</v>
      </c>
      <c r="G164" s="613" t="s">
        <v>880</v>
      </c>
      <c r="H164" s="613"/>
      <c r="I164" s="613"/>
      <c r="J164" s="613"/>
      <c r="K164" s="877"/>
      <c r="L164" s="291"/>
    </row>
    <row r="165" spans="1:12" s="179" customFormat="1" ht="14" hidden="1" outlineLevel="1" x14ac:dyDescent="0.2">
      <c r="A165" s="455"/>
      <c r="B165" s="455"/>
      <c r="C165" s="893" t="s">
        <v>864</v>
      </c>
      <c r="D165" s="615"/>
      <c r="E165" s="613" t="s">
        <v>864</v>
      </c>
      <c r="F165" s="613" t="s">
        <v>137</v>
      </c>
      <c r="G165" s="613" t="s">
        <v>879</v>
      </c>
      <c r="H165" s="613"/>
      <c r="I165" s="613"/>
      <c r="J165" s="613"/>
      <c r="K165" s="877"/>
      <c r="L165" s="291"/>
    </row>
    <row r="166" spans="1:12" s="179" customFormat="1" ht="28" hidden="1" outlineLevel="1" x14ac:dyDescent="0.2">
      <c r="A166" s="455"/>
      <c r="B166" s="455"/>
      <c r="C166" s="893" t="s">
        <v>601</v>
      </c>
      <c r="D166" s="615"/>
      <c r="E166" s="613" t="s">
        <v>601</v>
      </c>
      <c r="F166" s="613" t="s">
        <v>603</v>
      </c>
      <c r="G166" s="613" t="s">
        <v>607</v>
      </c>
      <c r="H166" s="613"/>
      <c r="I166" s="613"/>
      <c r="J166" s="613"/>
      <c r="K166" s="877"/>
      <c r="L166" s="291"/>
    </row>
    <row r="167" spans="1:12" s="179" customFormat="1" ht="14" hidden="1" outlineLevel="1" x14ac:dyDescent="0.2">
      <c r="A167" s="455"/>
      <c r="B167" s="455"/>
      <c r="C167" s="893" t="s">
        <v>596</v>
      </c>
      <c r="D167" s="615"/>
      <c r="E167" s="613" t="s">
        <v>596</v>
      </c>
      <c r="F167" s="613" t="s">
        <v>599</v>
      </c>
      <c r="G167" s="613" t="s">
        <v>605</v>
      </c>
      <c r="H167" s="613"/>
      <c r="I167" s="613"/>
      <c r="J167" s="613"/>
      <c r="K167" s="877"/>
      <c r="L167" s="291"/>
    </row>
    <row r="168" spans="1:12" s="179" customFormat="1" ht="14" hidden="1" outlineLevel="1" x14ac:dyDescent="0.2">
      <c r="A168" s="455"/>
      <c r="B168" s="455"/>
      <c r="C168" s="893" t="s">
        <v>595</v>
      </c>
      <c r="D168" s="615"/>
      <c r="E168" s="613" t="s">
        <v>595</v>
      </c>
      <c r="F168" s="613" t="s">
        <v>598</v>
      </c>
      <c r="G168" s="613" t="s">
        <v>604</v>
      </c>
      <c r="H168" s="613"/>
      <c r="I168" s="613"/>
      <c r="J168" s="613"/>
      <c r="K168" s="877"/>
      <c r="L168" s="291"/>
    </row>
    <row r="169" spans="1:12" s="179" customFormat="1" ht="14" hidden="1" outlineLevel="1" x14ac:dyDescent="0.2">
      <c r="A169" s="455"/>
      <c r="B169" s="455"/>
      <c r="C169" s="893" t="s">
        <v>183</v>
      </c>
      <c r="D169" s="615"/>
      <c r="E169" s="613" t="s">
        <v>183</v>
      </c>
      <c r="F169" s="613" t="s">
        <v>183</v>
      </c>
      <c r="G169" s="613" t="s">
        <v>1124</v>
      </c>
      <c r="H169" s="613"/>
      <c r="I169" s="613"/>
      <c r="J169" s="613"/>
      <c r="K169" s="877"/>
      <c r="L169" s="291"/>
    </row>
    <row r="170" spans="1:12" s="179" customFormat="1" ht="14" hidden="1" outlineLevel="1" x14ac:dyDescent="0.2">
      <c r="A170" s="455"/>
      <c r="B170" s="455"/>
      <c r="C170" s="893" t="s">
        <v>701</v>
      </c>
      <c r="D170" s="615"/>
      <c r="E170" s="613" t="s">
        <v>701</v>
      </c>
      <c r="F170" s="613" t="s">
        <v>38</v>
      </c>
      <c r="G170" s="613" t="s">
        <v>743</v>
      </c>
      <c r="H170" s="613"/>
      <c r="I170" s="613"/>
      <c r="J170" s="613"/>
      <c r="K170" s="877"/>
      <c r="L170" s="291"/>
    </row>
    <row r="171" spans="1:12" s="179" customFormat="1" ht="14" hidden="1" outlineLevel="1" x14ac:dyDescent="0.2">
      <c r="A171" s="455"/>
      <c r="B171" s="455"/>
      <c r="C171" s="893" t="s">
        <v>664</v>
      </c>
      <c r="D171" s="615"/>
      <c r="E171" s="613" t="s">
        <v>664</v>
      </c>
      <c r="F171" s="613" t="s">
        <v>1203</v>
      </c>
      <c r="G171" s="613" t="s">
        <v>1202</v>
      </c>
      <c r="H171" s="613"/>
      <c r="I171" s="613"/>
      <c r="J171" s="613"/>
      <c r="K171" s="877"/>
      <c r="L171" s="291"/>
    </row>
    <row r="172" spans="1:12" s="179" customFormat="1" ht="14" hidden="1" outlineLevel="1" x14ac:dyDescent="0.2">
      <c r="A172" s="455"/>
      <c r="B172" s="455"/>
      <c r="C172" s="893" t="s">
        <v>756</v>
      </c>
      <c r="D172" s="615"/>
      <c r="E172" s="613" t="s">
        <v>756</v>
      </c>
      <c r="F172" s="613" t="s">
        <v>131</v>
      </c>
      <c r="G172" s="613" t="s">
        <v>757</v>
      </c>
      <c r="H172" s="613"/>
      <c r="I172" s="613"/>
      <c r="J172" s="613"/>
      <c r="K172" s="877"/>
      <c r="L172" s="291"/>
    </row>
    <row r="173" spans="1:12" s="179" customFormat="1" ht="14" hidden="1" outlineLevel="1" x14ac:dyDescent="0.2">
      <c r="A173" s="455"/>
      <c r="B173" s="455"/>
      <c r="C173" s="893" t="s">
        <v>704</v>
      </c>
      <c r="D173" s="615"/>
      <c r="E173" s="613" t="s">
        <v>704</v>
      </c>
      <c r="F173" s="613" t="s">
        <v>56</v>
      </c>
      <c r="G173" s="613" t="s">
        <v>747</v>
      </c>
      <c r="H173" s="613"/>
      <c r="I173" s="613"/>
      <c r="J173" s="613"/>
      <c r="K173" s="877"/>
      <c r="L173" s="291"/>
    </row>
    <row r="174" spans="1:12" s="179" customFormat="1" ht="14" hidden="1" outlineLevel="1" x14ac:dyDescent="0.2">
      <c r="A174" s="455"/>
      <c r="B174" s="455"/>
      <c r="C174" s="893" t="s">
        <v>1534</v>
      </c>
      <c r="D174" s="615"/>
      <c r="E174" s="613" t="s">
        <v>1534</v>
      </c>
      <c r="F174" s="613" t="s">
        <v>1697</v>
      </c>
      <c r="G174" s="613" t="s">
        <v>1581</v>
      </c>
      <c r="H174" s="613"/>
      <c r="I174" s="613"/>
      <c r="J174" s="613"/>
      <c r="K174" s="877"/>
      <c r="L174" s="291"/>
    </row>
    <row r="175" spans="1:12" s="179" customFormat="1" ht="14" hidden="1" outlineLevel="1" x14ac:dyDescent="0.2">
      <c r="A175" s="455"/>
      <c r="B175" s="455"/>
      <c r="C175" s="893" t="s">
        <v>1577</v>
      </c>
      <c r="D175" s="615"/>
      <c r="E175" s="613" t="s">
        <v>1577</v>
      </c>
      <c r="F175" s="613" t="s">
        <v>1698</v>
      </c>
      <c r="G175" s="613" t="s">
        <v>1588</v>
      </c>
      <c r="H175" s="613"/>
      <c r="I175" s="613"/>
      <c r="J175" s="613"/>
      <c r="K175" s="877"/>
      <c r="L175" s="291"/>
    </row>
    <row r="176" spans="1:12" s="179" customFormat="1" ht="14" hidden="1" outlineLevel="1" x14ac:dyDescent="0.2">
      <c r="A176" s="455"/>
      <c r="B176" s="455"/>
      <c r="C176" s="893" t="s">
        <v>1578</v>
      </c>
      <c r="D176" s="615"/>
      <c r="E176" s="613" t="s">
        <v>1578</v>
      </c>
      <c r="F176" s="613" t="s">
        <v>1698</v>
      </c>
      <c r="G176" s="613" t="s">
        <v>1588</v>
      </c>
      <c r="H176" s="613"/>
      <c r="I176" s="613"/>
      <c r="J176" s="613"/>
      <c r="K176" s="877"/>
      <c r="L176" s="291"/>
    </row>
    <row r="177" spans="1:12" s="179" customFormat="1" ht="42" hidden="1" outlineLevel="1" x14ac:dyDescent="0.2">
      <c r="A177" s="455"/>
      <c r="B177" s="455"/>
      <c r="C177" s="893" t="s">
        <v>532</v>
      </c>
      <c r="D177" s="615"/>
      <c r="E177" s="613" t="s">
        <v>532</v>
      </c>
      <c r="F177" s="613" t="s">
        <v>529</v>
      </c>
      <c r="G177" s="613" t="s">
        <v>460</v>
      </c>
      <c r="H177" s="613"/>
      <c r="I177" s="613"/>
      <c r="J177" s="613"/>
      <c r="K177" s="877"/>
      <c r="L177" s="291"/>
    </row>
    <row r="178" spans="1:12" s="179" customFormat="1" ht="14" hidden="1" outlineLevel="1" x14ac:dyDescent="0.2">
      <c r="A178" s="455"/>
      <c r="B178" s="455"/>
      <c r="C178" s="893" t="s">
        <v>469</v>
      </c>
      <c r="D178" s="615"/>
      <c r="E178" s="613" t="s">
        <v>469</v>
      </c>
      <c r="F178" s="613" t="s">
        <v>252</v>
      </c>
      <c r="G178" s="613" t="s">
        <v>478</v>
      </c>
      <c r="H178" s="613"/>
      <c r="I178" s="613"/>
      <c r="J178" s="613"/>
      <c r="K178" s="877"/>
      <c r="L178" s="291"/>
    </row>
    <row r="179" spans="1:12" s="179" customFormat="1" ht="14" hidden="1" outlineLevel="1" x14ac:dyDescent="0.2">
      <c r="A179" s="455"/>
      <c r="B179" s="455"/>
      <c r="C179" s="893" t="s">
        <v>1527</v>
      </c>
      <c r="D179" s="615"/>
      <c r="E179" s="613" t="s">
        <v>1527</v>
      </c>
      <c r="F179" s="613" t="s">
        <v>1554</v>
      </c>
      <c r="G179" s="613" t="s">
        <v>1545</v>
      </c>
      <c r="H179" s="613"/>
      <c r="I179" s="613"/>
      <c r="J179" s="613"/>
      <c r="K179" s="877"/>
      <c r="L179" s="291"/>
    </row>
    <row r="180" spans="1:12" s="179" customFormat="1" ht="28" hidden="1" outlineLevel="1" x14ac:dyDescent="0.2">
      <c r="A180" s="455"/>
      <c r="B180" s="455"/>
      <c r="C180" s="893" t="s">
        <v>456</v>
      </c>
      <c r="D180" s="615"/>
      <c r="E180" s="613" t="s">
        <v>456</v>
      </c>
      <c r="F180" s="613" t="s">
        <v>455</v>
      </c>
      <c r="G180" s="613" t="s">
        <v>458</v>
      </c>
      <c r="H180" s="613"/>
      <c r="I180" s="613"/>
      <c r="J180" s="613"/>
      <c r="K180" s="877"/>
      <c r="L180" s="291"/>
    </row>
    <row r="181" spans="1:12" s="179" customFormat="1" ht="28" hidden="1" outlineLevel="1" x14ac:dyDescent="0.2">
      <c r="A181" s="455"/>
      <c r="B181" s="455"/>
      <c r="C181" s="893" t="s">
        <v>678</v>
      </c>
      <c r="D181" s="615"/>
      <c r="E181" s="613" t="s">
        <v>678</v>
      </c>
      <c r="F181" s="613" t="s">
        <v>85</v>
      </c>
      <c r="G181" s="613" t="s">
        <v>720</v>
      </c>
      <c r="H181" s="613"/>
      <c r="I181" s="613"/>
      <c r="J181" s="613"/>
      <c r="K181" s="877"/>
      <c r="L181" s="291"/>
    </row>
    <row r="182" spans="1:12" s="179" customFormat="1" ht="14" hidden="1" outlineLevel="1" x14ac:dyDescent="0.2">
      <c r="A182" s="455"/>
      <c r="B182" s="455"/>
      <c r="C182" s="893" t="s">
        <v>267</v>
      </c>
      <c r="D182" s="615"/>
      <c r="E182" s="613" t="s">
        <v>267</v>
      </c>
      <c r="F182" s="613" t="s">
        <v>267</v>
      </c>
      <c r="G182" s="613" t="s">
        <v>267</v>
      </c>
      <c r="H182" s="613" t="s">
        <v>476</v>
      </c>
      <c r="I182" s="613"/>
      <c r="J182" s="613"/>
      <c r="K182" s="877"/>
      <c r="L182" s="291"/>
    </row>
    <row r="183" spans="1:12" s="179" customFormat="1" ht="14" hidden="1" outlineLevel="1" x14ac:dyDescent="0.2">
      <c r="A183" s="455"/>
      <c r="B183" s="455"/>
      <c r="C183" s="893" t="s">
        <v>268</v>
      </c>
      <c r="D183" s="615"/>
      <c r="E183" s="613" t="s">
        <v>268</v>
      </c>
      <c r="F183" s="613" t="s">
        <v>268</v>
      </c>
      <c r="G183" s="613" t="s">
        <v>268</v>
      </c>
      <c r="H183" s="613" t="s">
        <v>477</v>
      </c>
      <c r="I183" s="613"/>
      <c r="J183" s="613"/>
      <c r="K183" s="877"/>
      <c r="L183" s="291"/>
    </row>
    <row r="184" spans="1:12" s="179" customFormat="1" ht="14" hidden="1" outlineLevel="1" x14ac:dyDescent="0.2">
      <c r="A184" s="455"/>
      <c r="B184" s="455"/>
      <c r="C184" s="893" t="s">
        <v>1000</v>
      </c>
      <c r="D184" s="615"/>
      <c r="E184" s="613" t="s">
        <v>1000</v>
      </c>
      <c r="F184" s="613" t="s">
        <v>182</v>
      </c>
      <c r="G184" s="613" t="s">
        <v>1126</v>
      </c>
      <c r="H184" s="613"/>
      <c r="I184" s="613"/>
      <c r="J184" s="613"/>
      <c r="K184" s="877"/>
      <c r="L184" s="291"/>
    </row>
    <row r="185" spans="1:12" s="179" customFormat="1" ht="14" hidden="1" outlineLevel="1" x14ac:dyDescent="0.2">
      <c r="A185" s="455"/>
      <c r="B185" s="455"/>
      <c r="C185" s="893" t="s">
        <v>906</v>
      </c>
      <c r="D185" s="615"/>
      <c r="E185" s="613" t="s">
        <v>906</v>
      </c>
      <c r="F185" s="613" t="s">
        <v>148</v>
      </c>
      <c r="G185" s="613" t="s">
        <v>900</v>
      </c>
      <c r="H185" s="613"/>
      <c r="I185" s="613"/>
      <c r="J185" s="613"/>
      <c r="K185" s="877"/>
      <c r="L185" s="291"/>
    </row>
    <row r="186" spans="1:12" s="179" customFormat="1" ht="14" hidden="1" outlineLevel="1" x14ac:dyDescent="0.2">
      <c r="A186" s="455"/>
      <c r="B186" s="455"/>
      <c r="C186" s="893" t="s">
        <v>907</v>
      </c>
      <c r="D186" s="615"/>
      <c r="E186" s="613" t="s">
        <v>907</v>
      </c>
      <c r="F186" s="613" t="s">
        <v>173</v>
      </c>
      <c r="G186" s="613" t="s">
        <v>901</v>
      </c>
      <c r="H186" s="613"/>
      <c r="I186" s="613"/>
      <c r="J186" s="613"/>
      <c r="K186" s="877"/>
      <c r="L186" s="291"/>
    </row>
    <row r="187" spans="1:12" s="179" customFormat="1" ht="28" hidden="1" outlineLevel="1" x14ac:dyDescent="0.2">
      <c r="A187" s="455"/>
      <c r="B187" s="455"/>
      <c r="C187" s="893" t="s">
        <v>1025</v>
      </c>
      <c r="D187" s="615"/>
      <c r="E187" s="613" t="s">
        <v>1025</v>
      </c>
      <c r="F187" s="613" t="s">
        <v>187</v>
      </c>
      <c r="G187" s="613" t="s">
        <v>1020</v>
      </c>
      <c r="H187" s="613"/>
      <c r="I187" s="613"/>
      <c r="J187" s="613"/>
      <c r="K187" s="877"/>
      <c r="L187" s="291"/>
    </row>
    <row r="188" spans="1:12" s="179" customFormat="1" ht="28" hidden="1" outlineLevel="1" x14ac:dyDescent="0.2">
      <c r="A188" s="455"/>
      <c r="B188" s="455"/>
      <c r="C188" s="893" t="s">
        <v>1023</v>
      </c>
      <c r="D188" s="615"/>
      <c r="E188" s="613" t="s">
        <v>1023</v>
      </c>
      <c r="F188" s="613" t="s">
        <v>189</v>
      </c>
      <c r="G188" s="613" t="s">
        <v>1017</v>
      </c>
      <c r="H188" s="613"/>
      <c r="I188" s="613"/>
      <c r="J188" s="613"/>
      <c r="K188" s="877"/>
      <c r="L188" s="291"/>
    </row>
    <row r="189" spans="1:12" s="179" customFormat="1" ht="14" hidden="1" outlineLevel="1" x14ac:dyDescent="0.2">
      <c r="A189" s="455"/>
      <c r="B189" s="455"/>
      <c r="C189" s="893" t="s">
        <v>1183</v>
      </c>
      <c r="D189" s="615"/>
      <c r="E189" s="613" t="s">
        <v>1183</v>
      </c>
      <c r="F189" s="613" t="s">
        <v>1184</v>
      </c>
      <c r="G189" s="613" t="s">
        <v>1185</v>
      </c>
      <c r="H189" s="613"/>
      <c r="I189" s="613"/>
      <c r="J189" s="613"/>
      <c r="K189" s="877"/>
      <c r="L189" s="291"/>
    </row>
    <row r="190" spans="1:12" s="179" customFormat="1" ht="14" hidden="1" outlineLevel="1" x14ac:dyDescent="0.2">
      <c r="A190" s="455"/>
      <c r="B190" s="455"/>
      <c r="C190" s="893" t="s">
        <v>2069</v>
      </c>
      <c r="D190" s="615"/>
      <c r="E190" s="613" t="s">
        <v>2069</v>
      </c>
      <c r="F190" s="613" t="s">
        <v>2070</v>
      </c>
      <c r="G190" s="613" t="s">
        <v>2071</v>
      </c>
      <c r="H190" s="613"/>
      <c r="I190" s="613"/>
      <c r="J190" s="613"/>
      <c r="K190" s="877"/>
      <c r="L190" s="291"/>
    </row>
    <row r="191" spans="1:12" s="179" customFormat="1" ht="14" hidden="1" outlineLevel="1" x14ac:dyDescent="0.2">
      <c r="A191" s="455"/>
      <c r="B191" s="455"/>
      <c r="C191" s="893" t="s">
        <v>1074</v>
      </c>
      <c r="D191" s="615"/>
      <c r="E191" s="613" t="s">
        <v>1074</v>
      </c>
      <c r="F191" s="613" t="s">
        <v>1084</v>
      </c>
      <c r="G191" s="613" t="s">
        <v>1074</v>
      </c>
      <c r="H191" s="613"/>
      <c r="I191" s="613"/>
      <c r="J191" s="613"/>
      <c r="K191" s="877"/>
      <c r="L191" s="291"/>
    </row>
    <row r="192" spans="1:12" s="179" customFormat="1" ht="14" hidden="1" outlineLevel="1" x14ac:dyDescent="0.2">
      <c r="A192" s="455"/>
      <c r="B192" s="455"/>
      <c r="C192" s="893" t="s">
        <v>1189</v>
      </c>
      <c r="D192" s="615"/>
      <c r="E192" s="613" t="s">
        <v>1189</v>
      </c>
      <c r="F192" s="613" t="s">
        <v>1191</v>
      </c>
      <c r="G192" s="613" t="s">
        <v>1190</v>
      </c>
      <c r="H192" s="613"/>
      <c r="I192" s="613"/>
      <c r="J192" s="613"/>
      <c r="K192" s="877"/>
      <c r="L192" s="291"/>
    </row>
    <row r="193" spans="1:12" s="179" customFormat="1" ht="14" hidden="1" outlineLevel="1" x14ac:dyDescent="0.2">
      <c r="A193" s="455"/>
      <c r="B193" s="455"/>
      <c r="C193" s="893" t="s">
        <v>1077</v>
      </c>
      <c r="D193" s="615"/>
      <c r="E193" s="613" t="s">
        <v>1077</v>
      </c>
      <c r="F193" s="613" t="s">
        <v>1087</v>
      </c>
      <c r="G193" s="613" t="s">
        <v>1089</v>
      </c>
      <c r="H193" s="613"/>
      <c r="I193" s="613"/>
      <c r="J193" s="613"/>
      <c r="K193" s="877"/>
      <c r="L193" s="291"/>
    </row>
    <row r="194" spans="1:12" s="179" customFormat="1" ht="14" hidden="1" outlineLevel="1" x14ac:dyDescent="0.2">
      <c r="A194" s="455"/>
      <c r="B194" s="455"/>
      <c r="C194" s="893" t="s">
        <v>1076</v>
      </c>
      <c r="D194" s="615"/>
      <c r="E194" s="613" t="s">
        <v>1076</v>
      </c>
      <c r="F194" s="613" t="s">
        <v>1086</v>
      </c>
      <c r="G194" s="613" t="s">
        <v>1088</v>
      </c>
      <c r="H194" s="613"/>
      <c r="I194" s="613"/>
      <c r="J194" s="613"/>
      <c r="K194" s="877"/>
      <c r="L194" s="291"/>
    </row>
    <row r="195" spans="1:12" s="179" customFormat="1" ht="14" hidden="1" outlineLevel="1" x14ac:dyDescent="0.2">
      <c r="A195" s="455"/>
      <c r="B195" s="455"/>
      <c r="C195" s="893" t="s">
        <v>1075</v>
      </c>
      <c r="D195" s="615"/>
      <c r="E195" s="613" t="s">
        <v>1075</v>
      </c>
      <c r="F195" s="613" t="s">
        <v>1085</v>
      </c>
      <c r="G195" s="613" t="s">
        <v>1075</v>
      </c>
      <c r="H195" s="613"/>
      <c r="I195" s="613"/>
      <c r="J195" s="613"/>
      <c r="K195" s="877"/>
      <c r="L195" s="291"/>
    </row>
    <row r="196" spans="1:12" s="179" customFormat="1" ht="14" hidden="1" outlineLevel="1" x14ac:dyDescent="0.2">
      <c r="A196" s="455"/>
      <c r="B196" s="455"/>
      <c r="C196" s="893" t="s">
        <v>668</v>
      </c>
      <c r="D196" s="615"/>
      <c r="E196" s="613" t="s">
        <v>668</v>
      </c>
      <c r="F196" s="613" t="s">
        <v>86</v>
      </c>
      <c r="G196" s="613" t="s">
        <v>710</v>
      </c>
      <c r="H196" s="613"/>
      <c r="I196" s="613"/>
      <c r="J196" s="613"/>
      <c r="K196" s="877"/>
      <c r="L196" s="291"/>
    </row>
    <row r="197" spans="1:12" s="179" customFormat="1" ht="42" hidden="1" outlineLevel="1" x14ac:dyDescent="0.2">
      <c r="A197" s="455"/>
      <c r="B197" s="455"/>
      <c r="C197" s="893" t="s">
        <v>1896</v>
      </c>
      <c r="D197" s="615"/>
      <c r="E197" s="613" t="s">
        <v>1896</v>
      </c>
      <c r="F197" s="613" t="s">
        <v>1897</v>
      </c>
      <c r="G197" s="613" t="s">
        <v>1898</v>
      </c>
      <c r="H197" s="613"/>
      <c r="I197" s="613"/>
      <c r="J197" s="613"/>
      <c r="K197" s="877"/>
      <c r="L197" s="291"/>
    </row>
    <row r="198" spans="1:12" s="179" customFormat="1" ht="28" hidden="1" outlineLevel="1" x14ac:dyDescent="0.2">
      <c r="A198" s="455"/>
      <c r="B198" s="455"/>
      <c r="C198" s="893" t="s">
        <v>933</v>
      </c>
      <c r="D198" s="615"/>
      <c r="E198" s="613" t="s">
        <v>933</v>
      </c>
      <c r="F198" s="613" t="s">
        <v>179</v>
      </c>
      <c r="G198" s="613" t="s">
        <v>931</v>
      </c>
      <c r="H198" s="613"/>
      <c r="I198" s="613"/>
      <c r="J198" s="613"/>
      <c r="K198" s="877"/>
      <c r="L198" s="291"/>
    </row>
    <row r="199" spans="1:12" s="179" customFormat="1" ht="28" hidden="1" outlineLevel="1" x14ac:dyDescent="0.2">
      <c r="A199" s="455"/>
      <c r="B199" s="455"/>
      <c r="C199" s="893" t="s">
        <v>933</v>
      </c>
      <c r="D199" s="615"/>
      <c r="E199" s="613" t="s">
        <v>933</v>
      </c>
      <c r="F199" s="613" t="s">
        <v>1006</v>
      </c>
      <c r="G199" s="613" t="s">
        <v>931</v>
      </c>
      <c r="H199" s="613"/>
      <c r="I199" s="613"/>
      <c r="J199" s="613"/>
      <c r="K199" s="877"/>
      <c r="L199" s="291"/>
    </row>
    <row r="200" spans="1:12" s="179" customFormat="1" ht="15" hidden="1" customHeight="1" outlineLevel="1" x14ac:dyDescent="0.2">
      <c r="A200" s="455"/>
      <c r="B200" s="455"/>
      <c r="C200" s="893" t="s">
        <v>934</v>
      </c>
      <c r="D200" s="615"/>
      <c r="E200" s="613" t="s">
        <v>934</v>
      </c>
      <c r="F200" s="613" t="s">
        <v>180</v>
      </c>
      <c r="G200" s="613" t="s">
        <v>932</v>
      </c>
      <c r="H200" s="613"/>
      <c r="I200" s="613"/>
      <c r="J200" s="613"/>
      <c r="K200" s="877"/>
      <c r="L200" s="291"/>
    </row>
    <row r="201" spans="1:12" s="179" customFormat="1" ht="28" hidden="1" outlineLevel="1" x14ac:dyDescent="0.2">
      <c r="A201" s="455"/>
      <c r="B201" s="455"/>
      <c r="C201" s="893" t="s">
        <v>934</v>
      </c>
      <c r="D201" s="615"/>
      <c r="E201" s="613" t="s">
        <v>934</v>
      </c>
      <c r="F201" s="613" t="s">
        <v>1007</v>
      </c>
      <c r="G201" s="613" t="s">
        <v>932</v>
      </c>
      <c r="H201" s="613"/>
      <c r="I201" s="613"/>
      <c r="J201" s="613"/>
      <c r="K201" s="877"/>
      <c r="L201" s="291"/>
    </row>
    <row r="202" spans="1:12" s="179" customFormat="1" ht="14" hidden="1" outlineLevel="1" x14ac:dyDescent="0.2">
      <c r="A202" s="455"/>
      <c r="B202" s="455"/>
      <c r="C202" s="893" t="s">
        <v>1003</v>
      </c>
      <c r="D202" s="615"/>
      <c r="E202" s="613" t="s">
        <v>1003</v>
      </c>
      <c r="F202" s="613" t="s">
        <v>1121</v>
      </c>
      <c r="G202" s="613" t="s">
        <v>1123</v>
      </c>
      <c r="H202" s="613"/>
      <c r="I202" s="613"/>
      <c r="J202" s="613"/>
      <c r="K202" s="877"/>
      <c r="L202" s="291"/>
    </row>
    <row r="203" spans="1:12" s="179" customFormat="1" ht="14" hidden="1" outlineLevel="1" x14ac:dyDescent="0.2">
      <c r="A203" s="455"/>
      <c r="B203" s="455"/>
      <c r="C203" s="893" t="s">
        <v>935</v>
      </c>
      <c r="D203" s="615"/>
      <c r="E203" s="613" t="s">
        <v>935</v>
      </c>
      <c r="F203" s="613" t="s">
        <v>161</v>
      </c>
      <c r="G203" s="613" t="s">
        <v>940</v>
      </c>
      <c r="H203" s="613"/>
      <c r="I203" s="613"/>
      <c r="J203" s="613"/>
      <c r="K203" s="877"/>
      <c r="L203" s="291"/>
    </row>
    <row r="204" spans="1:12" s="179" customFormat="1" ht="28" hidden="1" outlineLevel="1" x14ac:dyDescent="0.2">
      <c r="A204" s="455"/>
      <c r="B204" s="455"/>
      <c r="C204" s="893" t="s">
        <v>948</v>
      </c>
      <c r="D204" s="615"/>
      <c r="E204" s="613" t="s">
        <v>948</v>
      </c>
      <c r="F204" s="613" t="s">
        <v>168</v>
      </c>
      <c r="G204" s="613" t="s">
        <v>950</v>
      </c>
      <c r="H204" s="613"/>
      <c r="I204" s="613"/>
      <c r="J204" s="613"/>
      <c r="K204" s="877"/>
      <c r="L204" s="291"/>
    </row>
    <row r="205" spans="1:12" s="179" customFormat="1" ht="28" hidden="1" outlineLevel="1" x14ac:dyDescent="0.2">
      <c r="A205" s="455"/>
      <c r="B205" s="455"/>
      <c r="C205" s="893" t="s">
        <v>972</v>
      </c>
      <c r="D205" s="615"/>
      <c r="E205" s="613" t="s">
        <v>972</v>
      </c>
      <c r="F205" s="613" t="s">
        <v>1158</v>
      </c>
      <c r="G205" s="613" t="s">
        <v>1162</v>
      </c>
      <c r="H205" s="613"/>
      <c r="I205" s="613"/>
      <c r="J205" s="613"/>
      <c r="K205" s="877"/>
      <c r="L205" s="291"/>
    </row>
    <row r="206" spans="1:12" s="179" customFormat="1" ht="28" hidden="1" outlineLevel="1" x14ac:dyDescent="0.2">
      <c r="A206" s="455"/>
      <c r="B206" s="455"/>
      <c r="C206" s="893" t="s">
        <v>936</v>
      </c>
      <c r="D206" s="615"/>
      <c r="E206" s="613" t="s">
        <v>936</v>
      </c>
      <c r="F206" s="613" t="s">
        <v>162</v>
      </c>
      <c r="G206" s="613" t="s">
        <v>941</v>
      </c>
      <c r="H206" s="613"/>
      <c r="I206" s="613"/>
      <c r="J206" s="613"/>
      <c r="K206" s="877"/>
      <c r="L206" s="291"/>
    </row>
    <row r="207" spans="1:12" s="179" customFormat="1" ht="14" hidden="1" outlineLevel="1" x14ac:dyDescent="0.2">
      <c r="A207" s="455"/>
      <c r="B207" s="455"/>
      <c r="C207" s="893" t="s">
        <v>1070</v>
      </c>
      <c r="D207" s="615"/>
      <c r="E207" s="613" t="s">
        <v>1070</v>
      </c>
      <c r="F207" s="613" t="s">
        <v>1073</v>
      </c>
      <c r="G207" s="613" t="s">
        <v>1092</v>
      </c>
      <c r="H207" s="613"/>
      <c r="I207" s="613"/>
      <c r="J207" s="613"/>
      <c r="K207" s="877"/>
      <c r="L207" s="291"/>
    </row>
    <row r="208" spans="1:12" s="179" customFormat="1" ht="14" hidden="1" outlineLevel="1" x14ac:dyDescent="0.2">
      <c r="A208" s="455"/>
      <c r="B208" s="455"/>
      <c r="C208" s="893" t="s">
        <v>697</v>
      </c>
      <c r="D208" s="615"/>
      <c r="E208" s="613" t="s">
        <v>697</v>
      </c>
      <c r="F208" s="613" t="s">
        <v>66</v>
      </c>
      <c r="G208" s="613" t="s">
        <v>739</v>
      </c>
      <c r="H208" s="613"/>
      <c r="I208" s="613"/>
      <c r="J208" s="613"/>
      <c r="K208" s="877"/>
      <c r="L208" s="291"/>
    </row>
    <row r="209" spans="1:12" s="179" customFormat="1" ht="14" hidden="1" outlineLevel="1" x14ac:dyDescent="0.2">
      <c r="A209" s="455"/>
      <c r="B209" s="455"/>
      <c r="C209" s="893" t="s">
        <v>1617</v>
      </c>
      <c r="D209" s="615"/>
      <c r="E209" s="613" t="s">
        <v>1617</v>
      </c>
      <c r="F209" s="613" t="s">
        <v>1699</v>
      </c>
      <c r="G209" s="613" t="s">
        <v>1581</v>
      </c>
      <c r="H209" s="613"/>
      <c r="I209" s="613"/>
      <c r="J209" s="613"/>
      <c r="K209" s="877"/>
      <c r="L209" s="291"/>
    </row>
    <row r="210" spans="1:12" s="179" customFormat="1" ht="14" hidden="1" outlineLevel="1" x14ac:dyDescent="0.2">
      <c r="A210" s="455"/>
      <c r="B210" s="455"/>
      <c r="C210" s="893" t="s">
        <v>1618</v>
      </c>
      <c r="D210" s="615"/>
      <c r="E210" s="613" t="s">
        <v>1618</v>
      </c>
      <c r="F210" s="613" t="s">
        <v>2008</v>
      </c>
      <c r="G210" s="613" t="s">
        <v>1588</v>
      </c>
      <c r="H210" s="613"/>
      <c r="I210" s="613"/>
      <c r="J210" s="613"/>
      <c r="K210" s="877"/>
      <c r="L210" s="291"/>
    </row>
    <row r="211" spans="1:12" s="179" customFormat="1" ht="14" hidden="1" outlineLevel="1" x14ac:dyDescent="0.2">
      <c r="A211" s="455"/>
      <c r="B211" s="455"/>
      <c r="C211" s="893" t="s">
        <v>1619</v>
      </c>
      <c r="D211" s="615"/>
      <c r="E211" s="613" t="s">
        <v>1619</v>
      </c>
      <c r="F211" s="613" t="s">
        <v>2009</v>
      </c>
      <c r="G211" s="613" t="s">
        <v>2010</v>
      </c>
      <c r="H211" s="613"/>
      <c r="I211" s="613"/>
      <c r="J211" s="613"/>
      <c r="K211" s="877"/>
      <c r="L211" s="291"/>
    </row>
    <row r="212" spans="1:12" s="179" customFormat="1" ht="14" hidden="1" outlineLevel="1" x14ac:dyDescent="0.2">
      <c r="A212" s="455"/>
      <c r="B212" s="455"/>
      <c r="C212" s="893" t="s">
        <v>1614</v>
      </c>
      <c r="D212" s="615"/>
      <c r="E212" s="613" t="s">
        <v>1614</v>
      </c>
      <c r="F212" s="613" t="s">
        <v>1689</v>
      </c>
      <c r="G212" s="613" t="s">
        <v>1620</v>
      </c>
      <c r="H212" s="613"/>
      <c r="I212" s="613"/>
      <c r="J212" s="613"/>
      <c r="K212" s="877"/>
      <c r="L212" s="291"/>
    </row>
    <row r="213" spans="1:12" s="179" customFormat="1" ht="14" hidden="1" outlineLevel="1" x14ac:dyDescent="0.2">
      <c r="A213" s="455"/>
      <c r="B213" s="455"/>
      <c r="C213" s="893" t="s">
        <v>1615</v>
      </c>
      <c r="D213" s="615"/>
      <c r="E213" s="613" t="s">
        <v>1615</v>
      </c>
      <c r="F213" s="613" t="s">
        <v>1690</v>
      </c>
      <c r="G213" s="613" t="s">
        <v>1621</v>
      </c>
      <c r="H213" s="613"/>
      <c r="I213" s="613"/>
      <c r="J213" s="613"/>
      <c r="K213" s="877"/>
      <c r="L213" s="291"/>
    </row>
    <row r="214" spans="1:12" s="179" customFormat="1" ht="14" hidden="1" outlineLevel="1" x14ac:dyDescent="0.2">
      <c r="A214" s="455"/>
      <c r="B214" s="455"/>
      <c r="C214" s="893" t="s">
        <v>1616</v>
      </c>
      <c r="D214" s="615"/>
      <c r="E214" s="613" t="s">
        <v>1616</v>
      </c>
      <c r="F214" s="613" t="s">
        <v>1691</v>
      </c>
      <c r="G214" s="613" t="s">
        <v>1622</v>
      </c>
      <c r="H214" s="613"/>
      <c r="I214" s="613"/>
      <c r="J214" s="613"/>
      <c r="K214" s="877"/>
      <c r="L214" s="291"/>
    </row>
    <row r="215" spans="1:12" s="179" customFormat="1" ht="14" hidden="1" outlineLevel="1" x14ac:dyDescent="0.2">
      <c r="A215" s="455"/>
      <c r="B215" s="455"/>
      <c r="C215" s="893" t="s">
        <v>1250</v>
      </c>
      <c r="D215" s="615"/>
      <c r="E215" s="613" t="s">
        <v>1250</v>
      </c>
      <c r="F215" s="613" t="s">
        <v>1497</v>
      </c>
      <c r="G215" s="613" t="s">
        <v>1498</v>
      </c>
      <c r="H215" s="613"/>
      <c r="I215" s="613"/>
      <c r="J215" s="613"/>
      <c r="K215" s="877"/>
      <c r="L215" s="291"/>
    </row>
    <row r="216" spans="1:12" s="179" customFormat="1" ht="28" hidden="1" outlineLevel="1" x14ac:dyDescent="0.2">
      <c r="A216" s="455"/>
      <c r="B216" s="455"/>
      <c r="C216" s="893" t="s">
        <v>674</v>
      </c>
      <c r="D216" s="615"/>
      <c r="E216" s="613" t="s">
        <v>674</v>
      </c>
      <c r="F216" s="613" t="s">
        <v>80</v>
      </c>
      <c r="G216" s="613" t="s">
        <v>716</v>
      </c>
      <c r="H216" s="613"/>
      <c r="I216" s="613"/>
      <c r="J216" s="613"/>
      <c r="K216" s="877"/>
      <c r="L216" s="291"/>
    </row>
    <row r="217" spans="1:12" s="179" customFormat="1" ht="14" hidden="1" outlineLevel="1" x14ac:dyDescent="0.2">
      <c r="A217" s="455"/>
      <c r="B217" s="455"/>
      <c r="C217" s="893" t="s">
        <v>667</v>
      </c>
      <c r="D217" s="615"/>
      <c r="E217" s="613" t="s">
        <v>667</v>
      </c>
      <c r="F217" s="613" t="s">
        <v>78</v>
      </c>
      <c r="G217" s="613" t="s">
        <v>709</v>
      </c>
      <c r="H217" s="613"/>
      <c r="I217" s="613"/>
      <c r="J217" s="613"/>
      <c r="K217" s="877"/>
      <c r="L217" s="291"/>
    </row>
    <row r="218" spans="1:12" s="179" customFormat="1" ht="28" hidden="1" outlineLevel="1" x14ac:dyDescent="0.2">
      <c r="A218" s="455"/>
      <c r="B218" s="455"/>
      <c r="C218" s="893" t="s">
        <v>684</v>
      </c>
      <c r="D218" s="615"/>
      <c r="E218" s="613" t="s">
        <v>684</v>
      </c>
      <c r="F218" s="613" t="s">
        <v>57</v>
      </c>
      <c r="G218" s="613" t="s">
        <v>726</v>
      </c>
      <c r="H218" s="613"/>
      <c r="I218" s="613"/>
      <c r="J218" s="613"/>
      <c r="K218" s="877"/>
      <c r="L218" s="291"/>
    </row>
    <row r="219" spans="1:12" s="179" customFormat="1" ht="14" hidden="1" outlineLevel="1" x14ac:dyDescent="0.2">
      <c r="A219" s="455"/>
      <c r="B219" s="455"/>
      <c r="C219" s="893" t="s">
        <v>531</v>
      </c>
      <c r="D219" s="615"/>
      <c r="E219" s="613" t="s">
        <v>531</v>
      </c>
      <c r="F219" s="613" t="s">
        <v>262</v>
      </c>
      <c r="G219" s="613" t="s">
        <v>459</v>
      </c>
      <c r="H219" s="613"/>
      <c r="I219" s="613"/>
      <c r="J219" s="613"/>
      <c r="K219" s="877"/>
      <c r="L219" s="291"/>
    </row>
    <row r="220" spans="1:12" s="179" customFormat="1" ht="28" hidden="1" outlineLevel="1" x14ac:dyDescent="0.2">
      <c r="A220" s="455"/>
      <c r="B220" s="455"/>
      <c r="C220" s="893" t="s">
        <v>619</v>
      </c>
      <c r="D220" s="615"/>
      <c r="E220" s="613" t="s">
        <v>619</v>
      </c>
      <c r="F220" s="613" t="s">
        <v>1113</v>
      </c>
      <c r="G220" s="613" t="s">
        <v>1108</v>
      </c>
      <c r="H220" s="613"/>
      <c r="I220" s="613"/>
      <c r="J220" s="613"/>
      <c r="K220" s="877"/>
      <c r="L220" s="291"/>
    </row>
    <row r="221" spans="1:12" s="179" customFormat="1" ht="28" hidden="1" outlineLevel="1" x14ac:dyDescent="0.2">
      <c r="A221" s="455"/>
      <c r="B221" s="455"/>
      <c r="C221" s="893" t="s">
        <v>628</v>
      </c>
      <c r="D221" s="615"/>
      <c r="E221" s="613" t="s">
        <v>628</v>
      </c>
      <c r="F221" s="613" t="s">
        <v>1114</v>
      </c>
      <c r="G221" s="613" t="s">
        <v>1109</v>
      </c>
      <c r="H221" s="613"/>
      <c r="I221" s="613"/>
      <c r="J221" s="613"/>
      <c r="K221" s="877"/>
      <c r="L221" s="291"/>
    </row>
    <row r="222" spans="1:12" s="179" customFormat="1" ht="28" hidden="1" outlineLevel="1" x14ac:dyDescent="0.2">
      <c r="A222" s="455"/>
      <c r="B222" s="455"/>
      <c r="C222" s="893" t="s">
        <v>867</v>
      </c>
      <c r="D222" s="615"/>
      <c r="E222" s="613" t="s">
        <v>867</v>
      </c>
      <c r="F222" s="613" t="s">
        <v>142</v>
      </c>
      <c r="G222" s="613" t="s">
        <v>882</v>
      </c>
      <c r="H222" s="613"/>
      <c r="I222" s="613"/>
      <c r="J222" s="613"/>
      <c r="K222" s="877"/>
      <c r="L222" s="291"/>
    </row>
    <row r="223" spans="1:12" s="179" customFormat="1" ht="56" hidden="1" outlineLevel="1" x14ac:dyDescent="0.2">
      <c r="A223" s="455"/>
      <c r="B223" s="455"/>
      <c r="C223" s="893" t="s">
        <v>875</v>
      </c>
      <c r="D223" s="615"/>
      <c r="E223" s="613" t="s">
        <v>875</v>
      </c>
      <c r="F223" s="613" t="s">
        <v>874</v>
      </c>
      <c r="G223" s="613" t="s">
        <v>889</v>
      </c>
      <c r="H223" s="613"/>
      <c r="I223" s="613"/>
      <c r="J223" s="613"/>
      <c r="K223" s="877"/>
      <c r="L223" s="291"/>
    </row>
    <row r="224" spans="1:12" s="179" customFormat="1" ht="28" hidden="1" outlineLevel="1" x14ac:dyDescent="0.2">
      <c r="A224" s="455"/>
      <c r="B224" s="455"/>
      <c r="C224" s="893" t="s">
        <v>679</v>
      </c>
      <c r="D224" s="615"/>
      <c r="E224" s="613" t="s">
        <v>679</v>
      </c>
      <c r="F224" s="613" t="s">
        <v>44</v>
      </c>
      <c r="G224" s="613" t="s">
        <v>721</v>
      </c>
      <c r="H224" s="613"/>
      <c r="I224" s="613"/>
      <c r="J224" s="613"/>
      <c r="K224" s="877"/>
      <c r="L224" s="291"/>
    </row>
    <row r="225" spans="1:12" s="179" customFormat="1" ht="14" hidden="1" outlineLevel="1" x14ac:dyDescent="0.2">
      <c r="A225" s="455"/>
      <c r="B225" s="455"/>
      <c r="C225" s="893" t="s">
        <v>1879</v>
      </c>
      <c r="D225" s="615"/>
      <c r="E225" s="613" t="s">
        <v>1879</v>
      </c>
      <c r="F225" s="613" t="s">
        <v>1880</v>
      </c>
      <c r="G225" s="613" t="s">
        <v>1881</v>
      </c>
      <c r="H225" s="613"/>
      <c r="I225" s="613"/>
      <c r="J225" s="613"/>
      <c r="K225" s="877"/>
      <c r="L225" s="291"/>
    </row>
    <row r="226" spans="1:12" s="179" customFormat="1" ht="14" hidden="1" outlineLevel="1" x14ac:dyDescent="0.2">
      <c r="A226" s="455"/>
      <c r="B226" s="455"/>
      <c r="C226" s="893" t="s">
        <v>1119</v>
      </c>
      <c r="D226" s="615"/>
      <c r="E226" s="613" t="s">
        <v>1119</v>
      </c>
      <c r="F226" s="613" t="s">
        <v>1120</v>
      </c>
      <c r="G226" s="613" t="s">
        <v>1122</v>
      </c>
      <c r="H226" s="613"/>
      <c r="I226" s="613"/>
      <c r="J226" s="613"/>
      <c r="K226" s="877"/>
      <c r="L226" s="291"/>
    </row>
    <row r="227" spans="1:12" s="179" customFormat="1" ht="28" hidden="1" outlineLevel="1" x14ac:dyDescent="0.2">
      <c r="A227" s="455"/>
      <c r="B227" s="455"/>
      <c r="C227" s="893" t="s">
        <v>1059</v>
      </c>
      <c r="D227" s="615"/>
      <c r="E227" s="613" t="s">
        <v>1059</v>
      </c>
      <c r="F227" s="613" t="s">
        <v>205</v>
      </c>
      <c r="G227" s="613" t="s">
        <v>1045</v>
      </c>
      <c r="H227" s="613"/>
      <c r="I227" s="613"/>
      <c r="J227" s="613"/>
      <c r="K227" s="877"/>
      <c r="L227" s="291"/>
    </row>
    <row r="228" spans="1:12" s="179" customFormat="1" ht="14" hidden="1" outlineLevel="1" x14ac:dyDescent="0.2">
      <c r="A228" s="455"/>
      <c r="B228" s="455"/>
      <c r="C228" s="893" t="s">
        <v>1068</v>
      </c>
      <c r="D228" s="615"/>
      <c r="E228" s="613" t="s">
        <v>1068</v>
      </c>
      <c r="F228" s="613" t="s">
        <v>1071</v>
      </c>
      <c r="G228" s="613" t="s">
        <v>1090</v>
      </c>
      <c r="H228" s="613"/>
      <c r="I228" s="613"/>
      <c r="J228" s="613"/>
      <c r="K228" s="877"/>
      <c r="L228" s="291"/>
    </row>
    <row r="229" spans="1:12" s="179" customFormat="1" ht="28" hidden="1" outlineLevel="1" x14ac:dyDescent="0.2">
      <c r="A229" s="455"/>
      <c r="B229" s="455"/>
      <c r="C229" s="893" t="s">
        <v>869</v>
      </c>
      <c r="D229" s="615"/>
      <c r="E229" s="613" t="s">
        <v>869</v>
      </c>
      <c r="F229" s="613" t="s">
        <v>141</v>
      </c>
      <c r="G229" s="613" t="s">
        <v>884</v>
      </c>
      <c r="H229" s="613"/>
      <c r="I229" s="613"/>
      <c r="J229" s="613"/>
      <c r="K229" s="877"/>
      <c r="L229" s="291"/>
    </row>
    <row r="230" spans="1:12" s="179" customFormat="1" ht="14" hidden="1" outlineLevel="1" x14ac:dyDescent="0.2">
      <c r="A230" s="455"/>
      <c r="B230" s="455"/>
      <c r="C230" s="893" t="s">
        <v>634</v>
      </c>
      <c r="D230" s="615"/>
      <c r="E230" s="613" t="s">
        <v>634</v>
      </c>
      <c r="F230" s="613" t="s">
        <v>636</v>
      </c>
      <c r="G230" s="613" t="s">
        <v>637</v>
      </c>
      <c r="H230" s="613"/>
      <c r="I230" s="613"/>
      <c r="J230" s="613"/>
      <c r="K230" s="877"/>
      <c r="L230" s="291"/>
    </row>
    <row r="231" spans="1:12" s="179" customFormat="1" ht="14" hidden="1" outlineLevel="1" x14ac:dyDescent="0.2">
      <c r="A231" s="455"/>
      <c r="B231" s="455"/>
      <c r="C231" s="893" t="s">
        <v>1022</v>
      </c>
      <c r="D231" s="615"/>
      <c r="E231" s="613" t="s">
        <v>1022</v>
      </c>
      <c r="F231" s="613" t="s">
        <v>1013</v>
      </c>
      <c r="G231" s="613" t="s">
        <v>1015</v>
      </c>
      <c r="H231" s="613"/>
      <c r="I231" s="613"/>
      <c r="J231" s="613"/>
      <c r="K231" s="877"/>
      <c r="L231" s="291"/>
    </row>
    <row r="232" spans="1:12" s="179" customFormat="1" ht="14" hidden="1" outlineLevel="1" x14ac:dyDescent="0.2">
      <c r="A232" s="455"/>
      <c r="B232" s="455"/>
      <c r="C232" s="893" t="s">
        <v>1004</v>
      </c>
      <c r="D232" s="615"/>
      <c r="E232" s="613" t="s">
        <v>1004</v>
      </c>
      <c r="F232" s="613" t="s">
        <v>1008</v>
      </c>
      <c r="G232" s="613" t="s">
        <v>1005</v>
      </c>
      <c r="H232" s="613"/>
      <c r="I232" s="613"/>
      <c r="J232" s="613"/>
      <c r="K232" s="877"/>
      <c r="L232" s="291"/>
    </row>
    <row r="233" spans="1:12" s="179" customFormat="1" ht="14" hidden="1" outlineLevel="1" x14ac:dyDescent="0.2">
      <c r="A233" s="455"/>
      <c r="B233" s="455"/>
      <c r="C233" s="893" t="s">
        <v>1064</v>
      </c>
      <c r="D233" s="615"/>
      <c r="E233" s="613" t="s">
        <v>1064</v>
      </c>
      <c r="F233" s="613" t="s">
        <v>203</v>
      </c>
      <c r="G233" s="613" t="s">
        <v>1050</v>
      </c>
      <c r="H233" s="613"/>
      <c r="I233" s="613"/>
      <c r="J233" s="613"/>
      <c r="K233" s="877"/>
      <c r="L233" s="291"/>
    </row>
    <row r="234" spans="1:12" s="179" customFormat="1" ht="14" hidden="1" outlineLevel="1" x14ac:dyDescent="0.2">
      <c r="A234" s="455"/>
      <c r="B234" s="455"/>
      <c r="C234" s="893" t="s">
        <v>692</v>
      </c>
      <c r="D234" s="615"/>
      <c r="E234" s="613" t="s">
        <v>692</v>
      </c>
      <c r="F234" s="613" t="s">
        <v>665</v>
      </c>
      <c r="G234" s="613" t="s">
        <v>734</v>
      </c>
      <c r="H234" s="613"/>
      <c r="I234" s="613"/>
      <c r="J234" s="613"/>
      <c r="K234" s="877"/>
      <c r="L234" s="291"/>
    </row>
    <row r="235" spans="1:12" s="179" customFormat="1" ht="28" hidden="1" outlineLevel="1" x14ac:dyDescent="0.2">
      <c r="A235" s="455"/>
      <c r="B235" s="455"/>
      <c r="C235" s="893" t="s">
        <v>673</v>
      </c>
      <c r="D235" s="615"/>
      <c r="E235" s="613" t="s">
        <v>673</v>
      </c>
      <c r="F235" s="613" t="s">
        <v>88</v>
      </c>
      <c r="G235" s="613" t="s">
        <v>715</v>
      </c>
      <c r="H235" s="613"/>
      <c r="I235" s="613"/>
      <c r="J235" s="613"/>
      <c r="K235" s="877"/>
      <c r="L235" s="291"/>
    </row>
    <row r="236" spans="1:12" s="179" customFormat="1" ht="42" hidden="1" outlineLevel="1" x14ac:dyDescent="0.2">
      <c r="A236" s="455"/>
      <c r="B236" s="455"/>
      <c r="C236" s="893" t="s">
        <v>938</v>
      </c>
      <c r="D236" s="615"/>
      <c r="E236" s="613" t="s">
        <v>938</v>
      </c>
      <c r="F236" s="613" t="s">
        <v>163</v>
      </c>
      <c r="G236" s="613" t="s">
        <v>943</v>
      </c>
      <c r="H236" s="613"/>
      <c r="I236" s="613"/>
      <c r="J236" s="613"/>
      <c r="K236" s="877"/>
      <c r="L236" s="291"/>
    </row>
    <row r="237" spans="1:12" s="179" customFormat="1" ht="14" hidden="1" outlineLevel="1" x14ac:dyDescent="0.2">
      <c r="A237" s="455"/>
      <c r="B237" s="455"/>
      <c r="C237" s="893" t="s">
        <v>681</v>
      </c>
      <c r="D237" s="615"/>
      <c r="E237" s="613" t="s">
        <v>681</v>
      </c>
      <c r="F237" s="613" t="s">
        <v>75</v>
      </c>
      <c r="G237" s="613" t="s">
        <v>723</v>
      </c>
      <c r="H237" s="613"/>
      <c r="I237" s="613"/>
      <c r="J237" s="613"/>
      <c r="K237" s="877"/>
      <c r="L237" s="291"/>
    </row>
    <row r="238" spans="1:12" s="179" customFormat="1" ht="14" hidden="1" outlineLevel="1" x14ac:dyDescent="0.2">
      <c r="A238" s="455"/>
      <c r="B238" s="455"/>
      <c r="C238" s="893" t="s">
        <v>170</v>
      </c>
      <c r="D238" s="615"/>
      <c r="E238" s="613" t="s">
        <v>170</v>
      </c>
      <c r="F238" s="613" t="s">
        <v>170</v>
      </c>
      <c r="G238" s="613" t="s">
        <v>170</v>
      </c>
      <c r="H238" s="613"/>
      <c r="I238" s="613"/>
      <c r="J238" s="613"/>
      <c r="K238" s="877"/>
      <c r="L238" s="291"/>
    </row>
    <row r="239" spans="1:12" s="179" customFormat="1" ht="28" hidden="1" outlineLevel="1" x14ac:dyDescent="0.2">
      <c r="A239" s="455"/>
      <c r="B239" s="455"/>
      <c r="C239" s="893" t="s">
        <v>910</v>
      </c>
      <c r="D239" s="615"/>
      <c r="E239" s="613" t="s">
        <v>910</v>
      </c>
      <c r="F239" s="613" t="s">
        <v>915</v>
      </c>
      <c r="G239" s="613" t="s">
        <v>912</v>
      </c>
      <c r="H239" s="613"/>
      <c r="I239" s="613"/>
      <c r="J239" s="613"/>
      <c r="K239" s="877"/>
      <c r="L239" s="291"/>
    </row>
    <row r="240" spans="1:12" s="179" customFormat="1" ht="14" hidden="1" outlineLevel="1" x14ac:dyDescent="0.2">
      <c r="A240" s="455"/>
      <c r="B240" s="455"/>
      <c r="C240" s="893" t="s">
        <v>1031</v>
      </c>
      <c r="D240" s="615"/>
      <c r="E240" s="613" t="s">
        <v>1031</v>
      </c>
      <c r="F240" s="613" t="s">
        <v>215</v>
      </c>
      <c r="G240" s="613" t="s">
        <v>1040</v>
      </c>
      <c r="H240" s="613"/>
      <c r="I240" s="613"/>
      <c r="J240" s="613"/>
      <c r="K240" s="877"/>
      <c r="L240" s="291"/>
    </row>
    <row r="241" spans="1:12" s="179" customFormat="1" ht="14" hidden="1" outlineLevel="1" x14ac:dyDescent="0.2">
      <c r="A241" s="455"/>
      <c r="B241" s="455"/>
      <c r="C241" s="893" t="s">
        <v>169</v>
      </c>
      <c r="D241" s="615"/>
      <c r="E241" s="613" t="s">
        <v>169</v>
      </c>
      <c r="F241" s="613" t="s">
        <v>169</v>
      </c>
      <c r="G241" s="613" t="s">
        <v>169</v>
      </c>
      <c r="H241" s="613"/>
      <c r="I241" s="613"/>
      <c r="J241" s="613"/>
      <c r="K241" s="877"/>
      <c r="L241" s="291"/>
    </row>
    <row r="242" spans="1:12" s="179" customFormat="1" ht="42" hidden="1" outlineLevel="1" x14ac:dyDescent="0.2">
      <c r="A242" s="455"/>
      <c r="B242" s="455"/>
      <c r="C242" s="893" t="s">
        <v>911</v>
      </c>
      <c r="D242" s="615"/>
      <c r="E242" s="613" t="s">
        <v>911</v>
      </c>
      <c r="F242" s="613" t="s">
        <v>914</v>
      </c>
      <c r="G242" s="613" t="s">
        <v>913</v>
      </c>
      <c r="H242" s="613"/>
      <c r="I242" s="613"/>
      <c r="J242" s="613"/>
      <c r="K242" s="877"/>
      <c r="L242" s="291"/>
    </row>
    <row r="243" spans="1:12" s="179" customFormat="1" ht="14" hidden="1" outlineLevel="1" x14ac:dyDescent="0.2">
      <c r="A243" s="455"/>
      <c r="B243" s="455"/>
      <c r="C243" s="893" t="s">
        <v>1030</v>
      </c>
      <c r="D243" s="615"/>
      <c r="E243" s="613" t="s">
        <v>1030</v>
      </c>
      <c r="F243" s="613" t="s">
        <v>212</v>
      </c>
      <c r="G243" s="613" t="s">
        <v>1039</v>
      </c>
      <c r="H243" s="613"/>
      <c r="I243" s="613"/>
      <c r="J243" s="613"/>
      <c r="K243" s="877"/>
      <c r="L243" s="291"/>
    </row>
    <row r="244" spans="1:12" s="179" customFormat="1" ht="28" hidden="1" outlineLevel="1" x14ac:dyDescent="0.2">
      <c r="A244" s="455"/>
      <c r="B244" s="455"/>
      <c r="C244" s="893" t="s">
        <v>677</v>
      </c>
      <c r="D244" s="615"/>
      <c r="E244" s="613" t="s">
        <v>677</v>
      </c>
      <c r="F244" s="613" t="s">
        <v>43</v>
      </c>
      <c r="G244" s="613" t="s">
        <v>719</v>
      </c>
      <c r="H244" s="613"/>
      <c r="I244" s="613"/>
      <c r="J244" s="613"/>
      <c r="K244" s="877"/>
      <c r="L244" s="291"/>
    </row>
    <row r="245" spans="1:12" s="179" customFormat="1" ht="14" hidden="1" outlineLevel="1" x14ac:dyDescent="0.2">
      <c r="A245" s="455"/>
      <c r="B245" s="455"/>
      <c r="C245" s="893" t="s">
        <v>1187</v>
      </c>
      <c r="D245" s="615"/>
      <c r="E245" s="613" t="s">
        <v>1187</v>
      </c>
      <c r="F245" s="613" t="s">
        <v>1188</v>
      </c>
      <c r="G245" s="613" t="s">
        <v>1186</v>
      </c>
      <c r="H245" s="613"/>
      <c r="I245" s="613"/>
      <c r="J245" s="613"/>
      <c r="K245" s="877"/>
      <c r="L245" s="291"/>
    </row>
    <row r="246" spans="1:12" s="179" customFormat="1" ht="14" hidden="1" outlineLevel="1" x14ac:dyDescent="0.2">
      <c r="A246" s="455"/>
      <c r="B246" s="455"/>
      <c r="C246" s="893" t="s">
        <v>1009</v>
      </c>
      <c r="D246" s="615"/>
      <c r="E246" s="613" t="s">
        <v>1009</v>
      </c>
      <c r="F246" s="613" t="s">
        <v>184</v>
      </c>
      <c r="G246" s="613" t="s">
        <v>1010</v>
      </c>
      <c r="H246" s="613"/>
      <c r="I246" s="613"/>
      <c r="J246" s="613"/>
      <c r="K246" s="877"/>
      <c r="L246" s="291"/>
    </row>
    <row r="247" spans="1:12" s="179" customFormat="1" ht="28" hidden="1" outlineLevel="1" x14ac:dyDescent="0.2">
      <c r="A247" s="455"/>
      <c r="B247" s="455"/>
      <c r="C247" s="893" t="s">
        <v>1026</v>
      </c>
      <c r="D247" s="615"/>
      <c r="E247" s="613" t="s">
        <v>1026</v>
      </c>
      <c r="F247" s="613" t="s">
        <v>188</v>
      </c>
      <c r="G247" s="613" t="s">
        <v>1021</v>
      </c>
      <c r="H247" s="613"/>
      <c r="I247" s="613"/>
      <c r="J247" s="613"/>
      <c r="K247" s="877"/>
      <c r="L247" s="291"/>
    </row>
    <row r="248" spans="1:12" s="179" customFormat="1" ht="28" hidden="1" outlineLevel="1" x14ac:dyDescent="0.2">
      <c r="A248" s="455"/>
      <c r="B248" s="455"/>
      <c r="C248" s="893" t="s">
        <v>1024</v>
      </c>
      <c r="D248" s="615"/>
      <c r="E248" s="613" t="s">
        <v>1024</v>
      </c>
      <c r="F248" s="613" t="s">
        <v>190</v>
      </c>
      <c r="G248" s="613" t="s">
        <v>1018</v>
      </c>
      <c r="H248" s="613"/>
      <c r="I248" s="613"/>
      <c r="J248" s="613"/>
      <c r="K248" s="877"/>
      <c r="L248" s="291"/>
    </row>
    <row r="249" spans="1:12" s="179" customFormat="1" ht="14" hidden="1" outlineLevel="1" x14ac:dyDescent="0.2">
      <c r="A249" s="455"/>
      <c r="B249" s="455"/>
      <c r="C249" s="893" t="s">
        <v>1252</v>
      </c>
      <c r="D249" s="615"/>
      <c r="E249" s="613" t="s">
        <v>1252</v>
      </c>
      <c r="F249" s="613" t="s">
        <v>152</v>
      </c>
      <c r="G249" s="613" t="s">
        <v>1251</v>
      </c>
      <c r="H249" s="613"/>
      <c r="I249" s="613"/>
      <c r="J249" s="613"/>
      <c r="K249" s="877"/>
      <c r="L249" s="291"/>
    </row>
    <row r="250" spans="1:12" s="179" customFormat="1" ht="14" hidden="1" outlineLevel="1" x14ac:dyDescent="0.2">
      <c r="A250" s="455"/>
      <c r="B250" s="455"/>
      <c r="C250" s="893" t="s">
        <v>962</v>
      </c>
      <c r="D250" s="615"/>
      <c r="E250" s="613" t="s">
        <v>962</v>
      </c>
      <c r="F250" s="613" t="s">
        <v>178</v>
      </c>
      <c r="G250" s="613" t="s">
        <v>962</v>
      </c>
      <c r="H250" s="613"/>
      <c r="I250" s="613"/>
      <c r="J250" s="613"/>
      <c r="K250" s="877"/>
      <c r="L250" s="291"/>
    </row>
    <row r="251" spans="1:12" s="179" customFormat="1" ht="14" hidden="1" outlineLevel="1" x14ac:dyDescent="0.2">
      <c r="A251" s="455"/>
      <c r="B251" s="455"/>
      <c r="C251" s="893" t="s">
        <v>762</v>
      </c>
      <c r="D251" s="615"/>
      <c r="E251" s="613" t="s">
        <v>762</v>
      </c>
      <c r="F251" s="613" t="s">
        <v>128</v>
      </c>
      <c r="G251" s="613" t="s">
        <v>765</v>
      </c>
      <c r="H251" s="613"/>
      <c r="I251" s="613"/>
      <c r="J251" s="613"/>
      <c r="K251" s="877"/>
      <c r="L251" s="291"/>
    </row>
    <row r="252" spans="1:12" s="179" customFormat="1" ht="14" hidden="1" outlineLevel="1" x14ac:dyDescent="0.2">
      <c r="A252" s="455"/>
      <c r="B252" s="455"/>
      <c r="C252" s="893" t="s">
        <v>762</v>
      </c>
      <c r="D252" s="615"/>
      <c r="E252" s="613" t="s">
        <v>762</v>
      </c>
      <c r="F252" s="613" t="s">
        <v>124</v>
      </c>
      <c r="G252" s="613" t="s">
        <v>986</v>
      </c>
      <c r="H252" s="613"/>
      <c r="I252" s="613"/>
      <c r="J252" s="613"/>
      <c r="K252" s="877"/>
      <c r="L252" s="291"/>
    </row>
    <row r="253" spans="1:12" s="179" customFormat="1" ht="28" hidden="1" outlineLevel="1" x14ac:dyDescent="0.2">
      <c r="A253" s="455"/>
      <c r="B253" s="455"/>
      <c r="C253" s="893" t="s">
        <v>608</v>
      </c>
      <c r="D253" s="615"/>
      <c r="E253" s="613" t="s">
        <v>608</v>
      </c>
      <c r="F253" s="613" t="s">
        <v>609</v>
      </c>
      <c r="G253" s="613" t="s">
        <v>610</v>
      </c>
      <c r="H253" s="613"/>
      <c r="I253" s="613"/>
      <c r="J253" s="613"/>
      <c r="K253" s="877"/>
      <c r="L253" s="291"/>
    </row>
    <row r="254" spans="1:12" s="179" customFormat="1" ht="14" hidden="1" outlineLevel="1" x14ac:dyDescent="0.2">
      <c r="A254" s="455"/>
      <c r="B254" s="455"/>
      <c r="C254" s="893" t="s">
        <v>694</v>
      </c>
      <c r="D254" s="615"/>
      <c r="E254" s="613" t="s">
        <v>694</v>
      </c>
      <c r="F254" s="613" t="s">
        <v>64</v>
      </c>
      <c r="G254" s="613" t="s">
        <v>736</v>
      </c>
      <c r="H254" s="613"/>
      <c r="I254" s="613"/>
      <c r="J254" s="613"/>
      <c r="K254" s="877"/>
      <c r="L254" s="291"/>
    </row>
    <row r="255" spans="1:12" s="179" customFormat="1" ht="42" hidden="1" outlineLevel="1" x14ac:dyDescent="0.2">
      <c r="A255" s="455"/>
      <c r="B255" s="455"/>
      <c r="C255" s="893" t="s">
        <v>690</v>
      </c>
      <c r="D255" s="615"/>
      <c r="E255" s="613" t="s">
        <v>690</v>
      </c>
      <c r="F255" s="613" t="s">
        <v>83</v>
      </c>
      <c r="G255" s="613" t="s">
        <v>732</v>
      </c>
      <c r="H255" s="613"/>
      <c r="I255" s="613"/>
      <c r="J255" s="613"/>
      <c r="K255" s="877"/>
      <c r="L255" s="291"/>
    </row>
    <row r="256" spans="1:12" s="179" customFormat="1" ht="14" hidden="1" outlineLevel="1" x14ac:dyDescent="0.2">
      <c r="A256" s="455"/>
      <c r="B256" s="455"/>
      <c r="C256" s="893" t="s">
        <v>1062</v>
      </c>
      <c r="D256" s="615"/>
      <c r="E256" s="613" t="s">
        <v>1062</v>
      </c>
      <c r="F256" s="613" t="s">
        <v>201</v>
      </c>
      <c r="G256" s="613" t="s">
        <v>1048</v>
      </c>
      <c r="H256" s="613"/>
      <c r="I256" s="613"/>
      <c r="J256" s="613"/>
      <c r="K256" s="877"/>
      <c r="L256" s="291"/>
    </row>
    <row r="257" spans="1:12" s="179" customFormat="1" ht="14" hidden="1" outlineLevel="1" x14ac:dyDescent="0.2">
      <c r="A257" s="455"/>
      <c r="B257" s="455"/>
      <c r="C257" s="893" t="s">
        <v>680</v>
      </c>
      <c r="D257" s="615"/>
      <c r="E257" s="613" t="s">
        <v>680</v>
      </c>
      <c r="F257" s="613" t="s">
        <v>37</v>
      </c>
      <c r="G257" s="613" t="s">
        <v>722</v>
      </c>
      <c r="H257" s="613"/>
      <c r="I257" s="613"/>
      <c r="J257" s="613"/>
      <c r="K257" s="877"/>
      <c r="L257" s="291"/>
    </row>
    <row r="258" spans="1:12" s="179" customFormat="1" ht="14" hidden="1" outlineLevel="1" x14ac:dyDescent="0.2">
      <c r="A258" s="455"/>
      <c r="B258" s="455"/>
      <c r="C258" s="893" t="s">
        <v>1061</v>
      </c>
      <c r="D258" s="615"/>
      <c r="E258" s="613" t="s">
        <v>1061</v>
      </c>
      <c r="F258" s="613" t="s">
        <v>200</v>
      </c>
      <c r="G258" s="613" t="s">
        <v>1047</v>
      </c>
      <c r="H258" s="613"/>
      <c r="I258" s="613"/>
      <c r="J258" s="613"/>
      <c r="K258" s="877"/>
      <c r="L258" s="291"/>
    </row>
    <row r="259" spans="1:12" s="179" customFormat="1" ht="14" hidden="1" outlineLevel="1" x14ac:dyDescent="0.2">
      <c r="A259" s="455"/>
      <c r="B259" s="455"/>
      <c r="C259" s="893" t="s">
        <v>625</v>
      </c>
      <c r="D259" s="615"/>
      <c r="E259" s="613" t="s">
        <v>625</v>
      </c>
      <c r="F259" s="613" t="s">
        <v>1181</v>
      </c>
      <c r="G259" s="613" t="s">
        <v>1182</v>
      </c>
      <c r="H259" s="613"/>
      <c r="I259" s="613"/>
      <c r="J259" s="613"/>
      <c r="K259" s="877"/>
      <c r="L259" s="291"/>
    </row>
    <row r="260" spans="1:12" s="179" customFormat="1" ht="14" hidden="1" outlineLevel="1" x14ac:dyDescent="0.2">
      <c r="A260" s="455"/>
      <c r="B260" s="455"/>
      <c r="C260" s="893" t="s">
        <v>522</v>
      </c>
      <c r="D260" s="615"/>
      <c r="E260" s="613" t="s">
        <v>522</v>
      </c>
      <c r="F260" s="613" t="s">
        <v>146</v>
      </c>
      <c r="G260" s="613" t="s">
        <v>576</v>
      </c>
      <c r="H260" s="613"/>
      <c r="I260" s="613"/>
      <c r="J260" s="613"/>
      <c r="K260" s="877"/>
      <c r="L260" s="291"/>
    </row>
    <row r="261" spans="1:12" s="179" customFormat="1" ht="14" hidden="1" outlineLevel="1" x14ac:dyDescent="0.2">
      <c r="A261" s="455"/>
      <c r="B261" s="455"/>
      <c r="C261" s="893" t="s">
        <v>524</v>
      </c>
      <c r="D261" s="615"/>
      <c r="E261" s="613" t="s">
        <v>524</v>
      </c>
      <c r="F261" s="613" t="s">
        <v>1099</v>
      </c>
      <c r="G261" s="613" t="s">
        <v>1100</v>
      </c>
      <c r="H261" s="613"/>
      <c r="I261" s="613"/>
      <c r="J261" s="613"/>
      <c r="K261" s="877"/>
      <c r="L261" s="291"/>
    </row>
    <row r="262" spans="1:12" s="179" customFormat="1" ht="14" hidden="1" outlineLevel="1" x14ac:dyDescent="0.2">
      <c r="A262" s="455"/>
      <c r="B262" s="455"/>
      <c r="C262" s="893" t="s">
        <v>1029</v>
      </c>
      <c r="D262" s="615"/>
      <c r="E262" s="613" t="s">
        <v>1029</v>
      </c>
      <c r="F262" s="613" t="s">
        <v>210</v>
      </c>
      <c r="G262" s="613" t="s">
        <v>1037</v>
      </c>
      <c r="H262" s="613"/>
      <c r="I262" s="613"/>
      <c r="J262" s="613"/>
      <c r="K262" s="877"/>
      <c r="L262" s="291"/>
    </row>
    <row r="263" spans="1:12" s="179" customFormat="1" ht="42" hidden="1" outlineLevel="1" x14ac:dyDescent="0.2">
      <c r="A263" s="455"/>
      <c r="B263" s="455"/>
      <c r="C263" s="893" t="s">
        <v>937</v>
      </c>
      <c r="D263" s="615"/>
      <c r="E263" s="613" t="s">
        <v>937</v>
      </c>
      <c r="F263" s="613" t="s">
        <v>174</v>
      </c>
      <c r="G263" s="613" t="s">
        <v>942</v>
      </c>
      <c r="H263" s="613"/>
      <c r="I263" s="613"/>
      <c r="J263" s="613"/>
      <c r="K263" s="877"/>
      <c r="L263" s="291"/>
    </row>
    <row r="264" spans="1:12" s="179" customFormat="1" ht="14" hidden="1" outlineLevel="1" x14ac:dyDescent="0.2">
      <c r="A264" s="455"/>
      <c r="B264" s="455"/>
      <c r="C264" s="893" t="s">
        <v>474</v>
      </c>
      <c r="D264" s="615"/>
      <c r="E264" s="613" t="s">
        <v>474</v>
      </c>
      <c r="F264" s="613" t="s">
        <v>259</v>
      </c>
      <c r="G264" s="613" t="s">
        <v>482</v>
      </c>
      <c r="H264" s="613" t="s">
        <v>476</v>
      </c>
      <c r="I264" s="613"/>
      <c r="J264" s="613"/>
      <c r="K264" s="877"/>
      <c r="L264" s="291"/>
    </row>
    <row r="265" spans="1:12" s="179" customFormat="1" ht="14" hidden="1" outlineLevel="1" x14ac:dyDescent="0.2">
      <c r="A265" s="455"/>
      <c r="B265" s="455"/>
      <c r="C265" s="893" t="s">
        <v>475</v>
      </c>
      <c r="D265" s="615"/>
      <c r="E265" s="613" t="s">
        <v>475</v>
      </c>
      <c r="F265" s="613" t="s">
        <v>260</v>
      </c>
      <c r="G265" s="613" t="s">
        <v>483</v>
      </c>
      <c r="H265" s="613" t="s">
        <v>477</v>
      </c>
      <c r="I265" s="613"/>
      <c r="J265" s="613"/>
      <c r="K265" s="877"/>
      <c r="L265" s="291"/>
    </row>
    <row r="266" spans="1:12" s="179" customFormat="1" ht="14" hidden="1" outlineLevel="1" x14ac:dyDescent="0.2">
      <c r="A266" s="455"/>
      <c r="B266" s="455"/>
      <c r="C266" s="893" t="s">
        <v>904</v>
      </c>
      <c r="D266" s="615"/>
      <c r="E266" s="613" t="s">
        <v>904</v>
      </c>
      <c r="F266" s="613" t="s">
        <v>171</v>
      </c>
      <c r="G266" s="613" t="s">
        <v>898</v>
      </c>
      <c r="H266" s="613"/>
      <c r="I266" s="613"/>
      <c r="J266" s="613"/>
      <c r="K266" s="877"/>
      <c r="L266" s="291"/>
    </row>
    <row r="267" spans="1:12" s="179" customFormat="1" ht="14" hidden="1" outlineLevel="1" x14ac:dyDescent="0.2">
      <c r="A267" s="455"/>
      <c r="B267" s="455"/>
      <c r="C267" s="893" t="s">
        <v>473</v>
      </c>
      <c r="D267" s="615"/>
      <c r="E267" s="613" t="s">
        <v>473</v>
      </c>
      <c r="F267" s="613" t="s">
        <v>256</v>
      </c>
      <c r="G267" s="613" t="s">
        <v>479</v>
      </c>
      <c r="H267" s="613"/>
      <c r="I267" s="613"/>
      <c r="J267" s="613"/>
      <c r="K267" s="877"/>
      <c r="L267" s="291"/>
    </row>
    <row r="268" spans="1:12" s="179" customFormat="1" ht="14" hidden="1" outlineLevel="1" x14ac:dyDescent="0.2">
      <c r="A268" s="455"/>
      <c r="B268" s="455"/>
      <c r="C268" s="893" t="s">
        <v>472</v>
      </c>
      <c r="D268" s="615"/>
      <c r="E268" s="613" t="s">
        <v>472</v>
      </c>
      <c r="F268" s="613" t="s">
        <v>501</v>
      </c>
      <c r="G268" s="613" t="s">
        <v>492</v>
      </c>
      <c r="H268" s="613"/>
      <c r="I268" s="613"/>
      <c r="J268" s="613"/>
      <c r="K268" s="877"/>
      <c r="L268" s="291"/>
    </row>
    <row r="269" spans="1:12" s="179" customFormat="1" ht="14" hidden="1" outlineLevel="1" x14ac:dyDescent="0.2">
      <c r="A269" s="455"/>
      <c r="B269" s="455"/>
      <c r="C269" s="893" t="s">
        <v>470</v>
      </c>
      <c r="D269" s="615"/>
      <c r="E269" s="613" t="s">
        <v>470</v>
      </c>
      <c r="F269" s="613" t="s">
        <v>499</v>
      </c>
      <c r="G269" s="613" t="s">
        <v>490</v>
      </c>
      <c r="H269" s="613"/>
      <c r="I269" s="613"/>
      <c r="J269" s="613"/>
      <c r="K269" s="877"/>
      <c r="L269" s="291"/>
    </row>
    <row r="270" spans="1:12" s="179" customFormat="1" ht="28" hidden="1" outlineLevel="1" x14ac:dyDescent="0.2">
      <c r="A270" s="455"/>
      <c r="B270" s="455"/>
      <c r="C270" s="893" t="s">
        <v>471</v>
      </c>
      <c r="D270" s="615"/>
      <c r="E270" s="613" t="s">
        <v>471</v>
      </c>
      <c r="F270" s="613" t="s">
        <v>500</v>
      </c>
      <c r="G270" s="613" t="s">
        <v>491</v>
      </c>
      <c r="H270" s="613"/>
      <c r="I270" s="613"/>
      <c r="J270" s="613"/>
      <c r="K270" s="877"/>
      <c r="L270" s="291"/>
    </row>
    <row r="271" spans="1:12" s="179" customFormat="1" ht="28" hidden="1" outlineLevel="1" x14ac:dyDescent="0.2">
      <c r="A271" s="455"/>
      <c r="B271" s="455"/>
      <c r="C271" s="893" t="s">
        <v>1067</v>
      </c>
      <c r="D271" s="615"/>
      <c r="E271" s="613" t="s">
        <v>1067</v>
      </c>
      <c r="F271" s="613" t="s">
        <v>211</v>
      </c>
      <c r="G271" s="613" t="s">
        <v>1038</v>
      </c>
      <c r="H271" s="613"/>
      <c r="I271" s="613"/>
      <c r="J271" s="613"/>
      <c r="K271" s="877"/>
      <c r="L271" s="291"/>
    </row>
    <row r="272" spans="1:12" s="179" customFormat="1" ht="14" hidden="1" outlineLevel="1" x14ac:dyDescent="0.2">
      <c r="A272" s="455"/>
      <c r="B272" s="455"/>
      <c r="C272" s="893" t="s">
        <v>620</v>
      </c>
      <c r="D272" s="615"/>
      <c r="E272" s="613" t="s">
        <v>620</v>
      </c>
      <c r="F272" s="613" t="s">
        <v>1129</v>
      </c>
      <c r="G272" s="613" t="s">
        <v>1131</v>
      </c>
      <c r="H272" s="613"/>
      <c r="I272" s="613"/>
      <c r="J272" s="613"/>
      <c r="K272" s="877"/>
      <c r="L272" s="291"/>
    </row>
    <row r="273" spans="1:12" s="179" customFormat="1" ht="14" hidden="1" outlineLevel="1" x14ac:dyDescent="0.2">
      <c r="A273" s="455"/>
      <c r="B273" s="455"/>
      <c r="C273" s="893" t="s">
        <v>629</v>
      </c>
      <c r="D273" s="615"/>
      <c r="E273" s="613" t="s">
        <v>629</v>
      </c>
      <c r="F273" s="613" t="s">
        <v>1130</v>
      </c>
      <c r="G273" s="613" t="s">
        <v>1132</v>
      </c>
      <c r="H273" s="613"/>
      <c r="I273" s="613"/>
      <c r="J273" s="613"/>
      <c r="K273" s="877"/>
      <c r="L273" s="291"/>
    </row>
    <row r="274" spans="1:12" s="179" customFormat="1" ht="28" hidden="1" outlineLevel="1" x14ac:dyDescent="0.2">
      <c r="A274" s="455"/>
      <c r="B274" s="455"/>
      <c r="C274" s="893" t="s">
        <v>703</v>
      </c>
      <c r="D274" s="615"/>
      <c r="E274" s="613" t="s">
        <v>703</v>
      </c>
      <c r="F274" s="613" t="s">
        <v>41</v>
      </c>
      <c r="G274" s="613" t="s">
        <v>746</v>
      </c>
      <c r="H274" s="613"/>
      <c r="I274" s="613"/>
      <c r="J274" s="613"/>
      <c r="K274" s="877"/>
      <c r="L274" s="291"/>
    </row>
    <row r="275" spans="1:12" s="179" customFormat="1" ht="14" hidden="1" outlineLevel="1" x14ac:dyDescent="0.2">
      <c r="A275" s="455"/>
      <c r="B275" s="455"/>
      <c r="C275" s="893" t="s">
        <v>271</v>
      </c>
      <c r="D275" s="615"/>
      <c r="E275" s="613" t="s">
        <v>271</v>
      </c>
      <c r="F275" s="613" t="s">
        <v>535</v>
      </c>
      <c r="G275" s="613" t="s">
        <v>579</v>
      </c>
      <c r="H275" s="613"/>
      <c r="I275" s="613"/>
      <c r="J275" s="613"/>
      <c r="K275" s="877"/>
      <c r="L275" s="291"/>
    </row>
    <row r="276" spans="1:12" s="179" customFormat="1" ht="27.75" hidden="1" customHeight="1" outlineLevel="1" x14ac:dyDescent="0.2">
      <c r="A276" s="455"/>
      <c r="B276" s="455"/>
      <c r="C276" s="893" t="s">
        <v>467</v>
      </c>
      <c r="D276" s="615"/>
      <c r="E276" s="613" t="s">
        <v>467</v>
      </c>
      <c r="F276" s="613" t="s">
        <v>495</v>
      </c>
      <c r="G276" s="613" t="s">
        <v>486</v>
      </c>
      <c r="H276" s="613"/>
      <c r="I276" s="613"/>
      <c r="J276" s="613"/>
      <c r="K276" s="877"/>
      <c r="L276" s="291"/>
    </row>
    <row r="277" spans="1:12" s="179" customFormat="1" ht="14" hidden="1" outlineLevel="1" x14ac:dyDescent="0.2">
      <c r="A277" s="455"/>
      <c r="B277" s="455"/>
      <c r="C277" s="893" t="s">
        <v>659</v>
      </c>
      <c r="D277" s="615"/>
      <c r="E277" s="613" t="s">
        <v>659</v>
      </c>
      <c r="F277" s="613" t="s">
        <v>72</v>
      </c>
      <c r="G277" s="613" t="s">
        <v>654</v>
      </c>
      <c r="H277" s="613"/>
      <c r="I277" s="613"/>
      <c r="J277" s="613"/>
      <c r="K277" s="877"/>
      <c r="L277" s="291"/>
    </row>
    <row r="278" spans="1:12" s="179" customFormat="1" ht="14" hidden="1" outlineLevel="1" x14ac:dyDescent="0.2">
      <c r="A278" s="455"/>
      <c r="B278" s="455"/>
      <c r="C278" s="893" t="s">
        <v>763</v>
      </c>
      <c r="D278" s="615"/>
      <c r="E278" s="613" t="s">
        <v>763</v>
      </c>
      <c r="F278" s="613" t="s">
        <v>129</v>
      </c>
      <c r="G278" s="613" t="s">
        <v>766</v>
      </c>
      <c r="H278" s="613"/>
      <c r="I278" s="613"/>
      <c r="J278" s="613"/>
      <c r="K278" s="877"/>
      <c r="L278" s="291"/>
    </row>
    <row r="279" spans="1:12" s="179" customFormat="1" ht="14" hidden="1" outlineLevel="1" x14ac:dyDescent="0.2">
      <c r="A279" s="455"/>
      <c r="B279" s="455"/>
      <c r="C279" s="893" t="s">
        <v>909</v>
      </c>
      <c r="D279" s="615"/>
      <c r="E279" s="613" t="s">
        <v>909</v>
      </c>
      <c r="F279" s="613" t="s">
        <v>149</v>
      </c>
      <c r="G279" s="613" t="s">
        <v>903</v>
      </c>
      <c r="H279" s="613"/>
      <c r="I279" s="613"/>
      <c r="J279" s="613"/>
      <c r="K279" s="877"/>
      <c r="L279" s="291"/>
    </row>
    <row r="280" spans="1:12" s="179" customFormat="1" ht="28" hidden="1" outlineLevel="1" x14ac:dyDescent="0.2">
      <c r="A280" s="455"/>
      <c r="B280" s="455"/>
      <c r="C280" s="893" t="s">
        <v>959</v>
      </c>
      <c r="D280" s="615"/>
      <c r="E280" s="613" t="s">
        <v>959</v>
      </c>
      <c r="F280" s="613" t="s">
        <v>1151</v>
      </c>
      <c r="G280" s="613" t="s">
        <v>1141</v>
      </c>
      <c r="H280" s="613"/>
      <c r="I280" s="613"/>
      <c r="J280" s="613"/>
      <c r="K280" s="877"/>
      <c r="L280" s="291"/>
    </row>
    <row r="281" spans="1:12" s="179" customFormat="1" ht="28" hidden="1" outlineLevel="1" x14ac:dyDescent="0.2">
      <c r="A281" s="455"/>
      <c r="B281" s="455"/>
      <c r="C281" s="893" t="s">
        <v>961</v>
      </c>
      <c r="D281" s="615"/>
      <c r="E281" s="613" t="s">
        <v>961</v>
      </c>
      <c r="F281" s="613" t="s">
        <v>1152</v>
      </c>
      <c r="G281" s="613" t="s">
        <v>1142</v>
      </c>
      <c r="H281" s="613"/>
      <c r="I281" s="613"/>
      <c r="J281" s="613"/>
      <c r="K281" s="877"/>
      <c r="L281" s="291"/>
    </row>
    <row r="282" spans="1:12" s="179" customFormat="1" ht="14" hidden="1" outlineLevel="1" x14ac:dyDescent="0.2">
      <c r="A282" s="455"/>
      <c r="B282" s="455"/>
      <c r="C282" s="893" t="s">
        <v>957</v>
      </c>
      <c r="D282" s="615"/>
      <c r="E282" s="613" t="s">
        <v>957</v>
      </c>
      <c r="F282" s="613" t="s">
        <v>1150</v>
      </c>
      <c r="G282" s="613" t="s">
        <v>1140</v>
      </c>
      <c r="H282" s="613"/>
      <c r="I282" s="613"/>
      <c r="J282" s="613"/>
      <c r="K282" s="877"/>
      <c r="L282" s="291"/>
    </row>
    <row r="283" spans="1:12" s="179" customFormat="1" ht="14" hidden="1" outlineLevel="1" x14ac:dyDescent="0.2">
      <c r="A283" s="455"/>
      <c r="B283" s="455"/>
      <c r="C283" s="893" t="s">
        <v>969</v>
      </c>
      <c r="D283" s="615"/>
      <c r="E283" s="613" t="s">
        <v>969</v>
      </c>
      <c r="F283" s="613" t="s">
        <v>1157</v>
      </c>
      <c r="G283" s="613" t="s">
        <v>1160</v>
      </c>
      <c r="H283" s="613"/>
      <c r="I283" s="613"/>
      <c r="J283" s="613"/>
      <c r="K283" s="877"/>
      <c r="L283" s="291"/>
    </row>
    <row r="284" spans="1:12" s="179" customFormat="1" ht="14" hidden="1" outlineLevel="1" x14ac:dyDescent="0.2">
      <c r="A284" s="455"/>
      <c r="B284" s="455"/>
      <c r="C284" s="893" t="s">
        <v>691</v>
      </c>
      <c r="D284" s="615"/>
      <c r="E284" s="613" t="s">
        <v>691</v>
      </c>
      <c r="F284" s="613" t="s">
        <v>67</v>
      </c>
      <c r="G284" s="613" t="s">
        <v>733</v>
      </c>
      <c r="H284" s="613"/>
      <c r="I284" s="613"/>
      <c r="J284" s="613"/>
      <c r="K284" s="877"/>
      <c r="L284" s="291"/>
    </row>
    <row r="285" spans="1:12" s="179" customFormat="1" ht="14" hidden="1" outlineLevel="1" x14ac:dyDescent="0.2">
      <c r="A285" s="455"/>
      <c r="B285" s="455"/>
      <c r="C285" s="893" t="s">
        <v>939</v>
      </c>
      <c r="D285" s="615"/>
      <c r="E285" s="613" t="s">
        <v>939</v>
      </c>
      <c r="F285" s="613" t="s">
        <v>164</v>
      </c>
      <c r="G285" s="613" t="s">
        <v>944</v>
      </c>
      <c r="H285" s="613"/>
      <c r="I285" s="613"/>
      <c r="J285" s="613"/>
      <c r="K285" s="877"/>
      <c r="L285" s="291"/>
    </row>
    <row r="286" spans="1:12" s="179" customFormat="1" ht="14" hidden="1" outlineLevel="1" x14ac:dyDescent="0.2">
      <c r="A286" s="455"/>
      <c r="B286" s="455"/>
      <c r="C286" s="893" t="s">
        <v>755</v>
      </c>
      <c r="D286" s="615"/>
      <c r="E286" s="613" t="s">
        <v>755</v>
      </c>
      <c r="F286" s="613" t="s">
        <v>123</v>
      </c>
      <c r="G286" s="613" t="s">
        <v>754</v>
      </c>
      <c r="H286" s="613"/>
      <c r="I286" s="613"/>
      <c r="J286" s="613"/>
      <c r="K286" s="877"/>
      <c r="L286" s="291"/>
    </row>
    <row r="287" spans="1:12" s="179" customFormat="1" ht="14" hidden="1" outlineLevel="1" x14ac:dyDescent="0.2">
      <c r="A287" s="455"/>
      <c r="B287" s="455"/>
      <c r="C287" s="893" t="s">
        <v>676</v>
      </c>
      <c r="D287" s="615"/>
      <c r="E287" s="613" t="s">
        <v>676</v>
      </c>
      <c r="F287" s="613" t="s">
        <v>93</v>
      </c>
      <c r="G287" s="613" t="s">
        <v>718</v>
      </c>
      <c r="H287" s="613"/>
      <c r="I287" s="613"/>
      <c r="J287" s="613"/>
      <c r="K287" s="877"/>
      <c r="L287" s="291"/>
    </row>
    <row r="288" spans="1:12" s="179" customFormat="1" ht="42" hidden="1" outlineLevel="1" x14ac:dyDescent="0.2">
      <c r="A288" s="455"/>
      <c r="B288" s="455"/>
      <c r="C288" s="893" t="s">
        <v>688</v>
      </c>
      <c r="D288" s="615"/>
      <c r="E288" s="613" t="s">
        <v>688</v>
      </c>
      <c r="F288" s="613" t="s">
        <v>90</v>
      </c>
      <c r="G288" s="613" t="s">
        <v>730</v>
      </c>
      <c r="H288" s="613"/>
      <c r="I288" s="613"/>
      <c r="J288" s="613"/>
      <c r="K288" s="877"/>
      <c r="L288" s="291"/>
    </row>
    <row r="289" spans="1:12" s="179" customFormat="1" ht="14" hidden="1" outlineLevel="1" x14ac:dyDescent="0.2">
      <c r="A289" s="455"/>
      <c r="B289" s="455"/>
      <c r="C289" s="893" t="s">
        <v>1065</v>
      </c>
      <c r="D289" s="615"/>
      <c r="E289" s="613" t="s">
        <v>1065</v>
      </c>
      <c r="F289" s="613" t="s">
        <v>194</v>
      </c>
      <c r="G289" s="613" t="s">
        <v>1051</v>
      </c>
      <c r="H289" s="613"/>
      <c r="I289" s="613"/>
      <c r="J289" s="613"/>
      <c r="K289" s="877"/>
      <c r="L289" s="291"/>
    </row>
    <row r="290" spans="1:12" s="179" customFormat="1" ht="28" hidden="1" outlineLevel="1" x14ac:dyDescent="0.2">
      <c r="A290" s="455"/>
      <c r="B290" s="455"/>
      <c r="C290" s="893" t="s">
        <v>689</v>
      </c>
      <c r="D290" s="615"/>
      <c r="E290" s="613" t="s">
        <v>689</v>
      </c>
      <c r="F290" s="613" t="s">
        <v>91</v>
      </c>
      <c r="G290" s="613" t="s">
        <v>731</v>
      </c>
      <c r="H290" s="613"/>
      <c r="I290" s="613"/>
      <c r="J290" s="613"/>
      <c r="K290" s="877"/>
      <c r="L290" s="291"/>
    </row>
    <row r="291" spans="1:12" s="179" customFormat="1" ht="14" hidden="1" outlineLevel="1" x14ac:dyDescent="0.2">
      <c r="A291" s="455"/>
      <c r="B291" s="455"/>
      <c r="C291" s="893" t="s">
        <v>916</v>
      </c>
      <c r="D291" s="615"/>
      <c r="E291" s="613" t="s">
        <v>916</v>
      </c>
      <c r="F291" s="613" t="s">
        <v>166</v>
      </c>
      <c r="G291" s="613" t="s">
        <v>922</v>
      </c>
      <c r="H291" s="613"/>
      <c r="I291" s="613"/>
      <c r="J291" s="613"/>
      <c r="K291" s="877"/>
      <c r="L291" s="291"/>
    </row>
    <row r="292" spans="1:12" s="179" customFormat="1" ht="14" hidden="1" outlineLevel="1" x14ac:dyDescent="0.2">
      <c r="A292" s="455"/>
      <c r="B292" s="455"/>
      <c r="C292" s="893" t="s">
        <v>920</v>
      </c>
      <c r="D292" s="615"/>
      <c r="E292" s="613" t="s">
        <v>920</v>
      </c>
      <c r="F292" s="613" t="s">
        <v>167</v>
      </c>
      <c r="G292" s="613" t="s">
        <v>927</v>
      </c>
      <c r="H292" s="613"/>
      <c r="I292" s="613"/>
      <c r="J292" s="613"/>
      <c r="K292" s="877"/>
      <c r="L292" s="291"/>
    </row>
    <row r="293" spans="1:12" s="179" customFormat="1" ht="14" hidden="1" outlineLevel="1" x14ac:dyDescent="0.2">
      <c r="A293" s="455"/>
      <c r="B293" s="455"/>
      <c r="C293" s="893" t="s">
        <v>921</v>
      </c>
      <c r="D293" s="615"/>
      <c r="E293" s="613" t="s">
        <v>921</v>
      </c>
      <c r="F293" s="613" t="s">
        <v>165</v>
      </c>
      <c r="G293" s="613" t="s">
        <v>926</v>
      </c>
      <c r="H293" s="613"/>
      <c r="I293" s="613"/>
      <c r="J293" s="613"/>
      <c r="K293" s="877"/>
      <c r="L293" s="291"/>
    </row>
    <row r="294" spans="1:12" s="179" customFormat="1" ht="28" hidden="1" outlineLevel="1" x14ac:dyDescent="0.2">
      <c r="A294" s="455"/>
      <c r="B294" s="455"/>
      <c r="C294" s="893" t="s">
        <v>963</v>
      </c>
      <c r="D294" s="615"/>
      <c r="E294" s="613" t="s">
        <v>963</v>
      </c>
      <c r="F294" s="613" t="s">
        <v>1146</v>
      </c>
      <c r="G294" s="613" t="s">
        <v>1136</v>
      </c>
      <c r="H294" s="613"/>
      <c r="I294" s="613"/>
      <c r="J294" s="613"/>
      <c r="K294" s="877"/>
      <c r="L294" s="291"/>
    </row>
    <row r="295" spans="1:12" s="179" customFormat="1" ht="14" hidden="1" outlineLevel="1" x14ac:dyDescent="0.2">
      <c r="A295" s="455"/>
      <c r="B295" s="455"/>
      <c r="C295" s="893" t="s">
        <v>1011</v>
      </c>
      <c r="D295" s="615"/>
      <c r="E295" s="613" t="s">
        <v>1011</v>
      </c>
      <c r="F295" s="613" t="s">
        <v>1014</v>
      </c>
      <c r="G295" s="613" t="s">
        <v>1016</v>
      </c>
      <c r="H295" s="613"/>
      <c r="I295" s="613"/>
      <c r="J295" s="613"/>
      <c r="K295" s="877"/>
      <c r="L295" s="291"/>
    </row>
    <row r="296" spans="1:12" s="179" customFormat="1" ht="14" hidden="1" outlineLevel="1" x14ac:dyDescent="0.2">
      <c r="A296" s="455"/>
      <c r="B296" s="455"/>
      <c r="C296" s="893" t="s">
        <v>1063</v>
      </c>
      <c r="D296" s="615"/>
      <c r="E296" s="613" t="s">
        <v>1063</v>
      </c>
      <c r="F296" s="613" t="s">
        <v>202</v>
      </c>
      <c r="G296" s="613" t="s">
        <v>1049</v>
      </c>
      <c r="H296" s="613"/>
      <c r="I296" s="613"/>
      <c r="J296" s="613"/>
      <c r="K296" s="877"/>
      <c r="L296" s="291"/>
    </row>
    <row r="297" spans="1:12" s="179" customFormat="1" ht="14" hidden="1" outlineLevel="1" x14ac:dyDescent="0.2">
      <c r="A297" s="455"/>
      <c r="B297" s="455"/>
      <c r="C297" s="893" t="s">
        <v>682</v>
      </c>
      <c r="D297" s="615"/>
      <c r="E297" s="613" t="s">
        <v>682</v>
      </c>
      <c r="F297" s="613" t="s">
        <v>62</v>
      </c>
      <c r="G297" s="613" t="s">
        <v>724</v>
      </c>
      <c r="H297" s="613"/>
      <c r="I297" s="613"/>
      <c r="J297" s="613"/>
      <c r="K297" s="877"/>
      <c r="L297" s="291"/>
    </row>
    <row r="298" spans="1:12" s="179" customFormat="1" ht="14" hidden="1" outlineLevel="1" x14ac:dyDescent="0.2">
      <c r="A298" s="455"/>
      <c r="B298" s="455"/>
      <c r="C298" s="893" t="s">
        <v>269</v>
      </c>
      <c r="D298" s="615"/>
      <c r="E298" s="613" t="s">
        <v>269</v>
      </c>
      <c r="F298" s="613" t="s">
        <v>533</v>
      </c>
      <c r="G298" s="613" t="s">
        <v>577</v>
      </c>
      <c r="H298" s="613"/>
      <c r="I298" s="613"/>
      <c r="J298" s="613"/>
      <c r="K298" s="877"/>
      <c r="L298" s="291"/>
    </row>
    <row r="299" spans="1:12" s="179" customFormat="1" ht="14" hidden="1" outlineLevel="1" x14ac:dyDescent="0.2">
      <c r="A299" s="455"/>
      <c r="B299" s="455"/>
      <c r="C299" s="893" t="s">
        <v>466</v>
      </c>
      <c r="D299" s="615"/>
      <c r="E299" s="613" t="s">
        <v>466</v>
      </c>
      <c r="F299" s="613" t="s">
        <v>493</v>
      </c>
      <c r="G299" s="613" t="s">
        <v>484</v>
      </c>
      <c r="H299" s="613"/>
      <c r="I299" s="613"/>
      <c r="J299" s="613"/>
      <c r="K299" s="877"/>
      <c r="L299" s="291"/>
    </row>
    <row r="300" spans="1:12" s="179" customFormat="1" ht="14" hidden="1" outlineLevel="1" x14ac:dyDescent="0.2">
      <c r="A300" s="455"/>
      <c r="B300" s="455"/>
      <c r="C300" s="893" t="s">
        <v>660</v>
      </c>
      <c r="D300" s="615"/>
      <c r="E300" s="613" t="s">
        <v>660</v>
      </c>
      <c r="F300" s="613" t="s">
        <v>73</v>
      </c>
      <c r="G300" s="613" t="s">
        <v>655</v>
      </c>
      <c r="H300" s="613"/>
      <c r="I300" s="613"/>
      <c r="J300" s="613"/>
      <c r="K300" s="877"/>
      <c r="L300" s="291"/>
    </row>
    <row r="301" spans="1:12" s="179" customFormat="1" ht="28" hidden="1" outlineLevel="1" x14ac:dyDescent="0.2">
      <c r="A301" s="455"/>
      <c r="B301" s="455"/>
      <c r="C301" s="893" t="s">
        <v>683</v>
      </c>
      <c r="D301" s="615"/>
      <c r="E301" s="613" t="s">
        <v>683</v>
      </c>
      <c r="F301" s="613" t="s">
        <v>87</v>
      </c>
      <c r="G301" s="613" t="s">
        <v>725</v>
      </c>
      <c r="H301" s="613"/>
      <c r="I301" s="613"/>
      <c r="J301" s="613"/>
      <c r="K301" s="877"/>
      <c r="L301" s="291"/>
    </row>
    <row r="302" spans="1:12" s="179" customFormat="1" ht="14" hidden="1" outlineLevel="1" x14ac:dyDescent="0.2">
      <c r="A302" s="455"/>
      <c r="B302" s="455"/>
      <c r="C302" s="893" t="s">
        <v>46</v>
      </c>
      <c r="D302" s="615"/>
      <c r="E302" s="613" t="s">
        <v>46</v>
      </c>
      <c r="F302" s="613" t="s">
        <v>46</v>
      </c>
      <c r="G302" s="613" t="s">
        <v>46</v>
      </c>
      <c r="H302" s="613"/>
      <c r="I302" s="613"/>
      <c r="J302" s="613"/>
      <c r="K302" s="877"/>
      <c r="L302" s="291"/>
    </row>
    <row r="303" spans="1:12" s="179" customFormat="1" ht="14" hidden="1" outlineLevel="1" x14ac:dyDescent="0.2">
      <c r="A303" s="455"/>
      <c r="B303" s="455"/>
      <c r="C303" s="893" t="s">
        <v>642</v>
      </c>
      <c r="D303" s="615"/>
      <c r="E303" s="613" t="s">
        <v>642</v>
      </c>
      <c r="F303" s="613" t="s">
        <v>33</v>
      </c>
      <c r="G303" s="613" t="s">
        <v>643</v>
      </c>
      <c r="H303" s="613"/>
      <c r="I303" s="613"/>
      <c r="J303" s="613"/>
      <c r="K303" s="877"/>
      <c r="L303" s="291"/>
    </row>
    <row r="304" spans="1:12" s="179" customFormat="1" ht="14" hidden="1" outlineLevel="1" x14ac:dyDescent="0.2">
      <c r="A304" s="455"/>
      <c r="B304" s="455"/>
      <c r="C304" s="893" t="s">
        <v>270</v>
      </c>
      <c r="D304" s="615"/>
      <c r="E304" s="613" t="s">
        <v>270</v>
      </c>
      <c r="F304" s="613" t="s">
        <v>534</v>
      </c>
      <c r="G304" s="613" t="s">
        <v>578</v>
      </c>
      <c r="H304" s="613"/>
      <c r="I304" s="613"/>
      <c r="J304" s="613"/>
      <c r="K304" s="877"/>
      <c r="L304" s="291"/>
    </row>
    <row r="305" spans="1:12" s="179" customFormat="1" ht="14" hidden="1" outlineLevel="1" x14ac:dyDescent="0.2">
      <c r="A305" s="455"/>
      <c r="B305" s="455"/>
      <c r="C305" s="893" t="s">
        <v>468</v>
      </c>
      <c r="D305" s="615"/>
      <c r="E305" s="613" t="s">
        <v>468</v>
      </c>
      <c r="F305" s="613" t="s">
        <v>494</v>
      </c>
      <c r="G305" s="613" t="s">
        <v>485</v>
      </c>
      <c r="H305" s="613"/>
      <c r="I305" s="613"/>
      <c r="J305" s="613"/>
      <c r="K305" s="877"/>
      <c r="L305" s="291"/>
    </row>
    <row r="306" spans="1:12" s="179" customFormat="1" ht="14" hidden="1" outlineLevel="1" x14ac:dyDescent="0.2">
      <c r="A306" s="455"/>
      <c r="B306" s="455"/>
      <c r="C306" s="893" t="s">
        <v>257</v>
      </c>
      <c r="D306" s="615"/>
      <c r="E306" s="613" t="s">
        <v>257</v>
      </c>
      <c r="F306" s="613" t="s">
        <v>502</v>
      </c>
      <c r="G306" s="613" t="s">
        <v>480</v>
      </c>
      <c r="H306" s="613" t="s">
        <v>476</v>
      </c>
      <c r="I306" s="613"/>
      <c r="J306" s="613"/>
      <c r="K306" s="877"/>
      <c r="L306" s="291"/>
    </row>
    <row r="307" spans="1:12" s="179" customFormat="1" ht="14" hidden="1" outlineLevel="1" x14ac:dyDescent="0.2">
      <c r="A307" s="455"/>
      <c r="B307" s="455"/>
      <c r="C307" s="893" t="s">
        <v>258</v>
      </c>
      <c r="D307" s="615"/>
      <c r="E307" s="613" t="s">
        <v>258</v>
      </c>
      <c r="F307" s="613" t="s">
        <v>503</v>
      </c>
      <c r="G307" s="613" t="s">
        <v>481</v>
      </c>
      <c r="H307" s="613" t="s">
        <v>477</v>
      </c>
      <c r="I307" s="613"/>
      <c r="J307" s="613"/>
      <c r="K307" s="877"/>
      <c r="L307" s="291"/>
    </row>
    <row r="308" spans="1:12" s="179" customFormat="1" ht="14" hidden="1" outlineLevel="1" x14ac:dyDescent="0.2">
      <c r="A308" s="455"/>
      <c r="B308" s="455"/>
      <c r="C308" s="893" t="s">
        <v>255</v>
      </c>
      <c r="D308" s="615"/>
      <c r="E308" s="613" t="s">
        <v>255</v>
      </c>
      <c r="F308" s="613" t="s">
        <v>498</v>
      </c>
      <c r="G308" s="613" t="s">
        <v>489</v>
      </c>
      <c r="H308" s="613"/>
      <c r="I308" s="613"/>
      <c r="J308" s="613"/>
      <c r="K308" s="877"/>
      <c r="L308" s="291"/>
    </row>
    <row r="309" spans="1:12" s="179" customFormat="1" ht="14" hidden="1" outlineLevel="1" x14ac:dyDescent="0.2">
      <c r="A309" s="455"/>
      <c r="B309" s="455"/>
      <c r="C309" s="893" t="s">
        <v>253</v>
      </c>
      <c r="D309" s="615"/>
      <c r="E309" s="613" t="s">
        <v>253</v>
      </c>
      <c r="F309" s="613" t="s">
        <v>496</v>
      </c>
      <c r="G309" s="613" t="s">
        <v>487</v>
      </c>
      <c r="H309" s="613"/>
      <c r="I309" s="613"/>
      <c r="J309" s="613"/>
      <c r="K309" s="877"/>
      <c r="L309" s="291"/>
    </row>
    <row r="310" spans="1:12" s="179" customFormat="1" ht="28" hidden="1" outlineLevel="1" x14ac:dyDescent="0.2">
      <c r="A310" s="455"/>
      <c r="B310" s="455"/>
      <c r="C310" s="893" t="s">
        <v>254</v>
      </c>
      <c r="D310" s="615"/>
      <c r="E310" s="613" t="s">
        <v>254</v>
      </c>
      <c r="F310" s="613" t="s">
        <v>497</v>
      </c>
      <c r="G310" s="613" t="s">
        <v>488</v>
      </c>
      <c r="H310" s="613"/>
      <c r="I310" s="613"/>
      <c r="J310" s="613"/>
      <c r="K310" s="877"/>
      <c r="L310" s="291"/>
    </row>
    <row r="311" spans="1:12" s="179" customFormat="1" ht="28" hidden="1" outlineLevel="1" x14ac:dyDescent="0.2">
      <c r="A311" s="455"/>
      <c r="B311" s="455"/>
      <c r="C311" s="893" t="s">
        <v>1528</v>
      </c>
      <c r="D311" s="615"/>
      <c r="E311" s="613" t="s">
        <v>1528</v>
      </c>
      <c r="F311" s="613" t="s">
        <v>1555</v>
      </c>
      <c r="G311" s="613" t="s">
        <v>1546</v>
      </c>
      <c r="H311" s="613"/>
      <c r="I311" s="613"/>
      <c r="J311" s="613"/>
      <c r="K311" s="877"/>
      <c r="L311" s="291"/>
    </row>
    <row r="312" spans="1:12" s="179" customFormat="1" ht="28" hidden="1" outlineLevel="1" x14ac:dyDescent="0.2">
      <c r="A312" s="455"/>
      <c r="B312" s="455"/>
      <c r="C312" s="893" t="s">
        <v>1563</v>
      </c>
      <c r="D312" s="615"/>
      <c r="E312" s="613" t="s">
        <v>1563</v>
      </c>
      <c r="F312" s="613" t="s">
        <v>1591</v>
      </c>
      <c r="G312" s="613" t="s">
        <v>1582</v>
      </c>
      <c r="H312" s="613"/>
      <c r="I312" s="613"/>
      <c r="J312" s="613"/>
      <c r="K312" s="877"/>
      <c r="L312" s="291"/>
    </row>
    <row r="313" spans="1:12" s="179" customFormat="1" ht="28" hidden="1" outlineLevel="1" x14ac:dyDescent="0.2">
      <c r="A313" s="455"/>
      <c r="B313" s="455"/>
      <c r="C313" s="893" t="s">
        <v>1566</v>
      </c>
      <c r="D313" s="615"/>
      <c r="E313" s="613" t="s">
        <v>1566</v>
      </c>
      <c r="F313" s="613" t="s">
        <v>1592</v>
      </c>
      <c r="G313" s="613" t="s">
        <v>1585</v>
      </c>
      <c r="H313" s="613"/>
      <c r="I313" s="613"/>
      <c r="J313" s="613"/>
      <c r="K313" s="877"/>
      <c r="L313" s="291"/>
    </row>
    <row r="314" spans="1:12" s="179" customFormat="1" ht="28" hidden="1" outlineLevel="1" x14ac:dyDescent="0.2">
      <c r="A314" s="455"/>
      <c r="B314" s="455"/>
      <c r="C314" s="893" t="s">
        <v>1529</v>
      </c>
      <c r="D314" s="615"/>
      <c r="E314" s="613" t="s">
        <v>1529</v>
      </c>
      <c r="F314" s="613" t="s">
        <v>1556</v>
      </c>
      <c r="G314" s="613" t="s">
        <v>1547</v>
      </c>
      <c r="H314" s="613"/>
      <c r="I314" s="613"/>
      <c r="J314" s="613"/>
      <c r="K314" s="877"/>
      <c r="L314" s="291"/>
    </row>
    <row r="315" spans="1:12" s="179" customFormat="1" ht="28" hidden="1" outlineLevel="1" x14ac:dyDescent="0.2">
      <c r="A315" s="455"/>
      <c r="B315" s="455"/>
      <c r="C315" s="893" t="s">
        <v>1564</v>
      </c>
      <c r="D315" s="615"/>
      <c r="E315" s="613" t="s">
        <v>1564</v>
      </c>
      <c r="F315" s="613" t="s">
        <v>1593</v>
      </c>
      <c r="G315" s="613" t="s">
        <v>1583</v>
      </c>
      <c r="H315" s="613"/>
      <c r="I315" s="613"/>
      <c r="J315" s="613"/>
      <c r="K315" s="877"/>
      <c r="L315" s="291"/>
    </row>
    <row r="316" spans="1:12" s="179" customFormat="1" ht="28" hidden="1" outlineLevel="1" x14ac:dyDescent="0.2">
      <c r="A316" s="455"/>
      <c r="B316" s="455"/>
      <c r="C316" s="893" t="s">
        <v>1567</v>
      </c>
      <c r="D316" s="615"/>
      <c r="E316" s="613" t="s">
        <v>1567</v>
      </c>
      <c r="F316" s="613" t="s">
        <v>1594</v>
      </c>
      <c r="G316" s="613" t="s">
        <v>1586</v>
      </c>
      <c r="H316" s="613"/>
      <c r="I316" s="613"/>
      <c r="J316" s="613"/>
      <c r="K316" s="877"/>
      <c r="L316" s="291"/>
    </row>
    <row r="317" spans="1:12" s="179" customFormat="1" ht="28" hidden="1" outlineLevel="1" x14ac:dyDescent="0.2">
      <c r="A317" s="455"/>
      <c r="B317" s="455"/>
      <c r="C317" s="893" t="s">
        <v>1530</v>
      </c>
      <c r="D317" s="615"/>
      <c r="E317" s="613" t="s">
        <v>1530</v>
      </c>
      <c r="F317" s="613" t="s">
        <v>1557</v>
      </c>
      <c r="G317" s="613" t="s">
        <v>1548</v>
      </c>
      <c r="H317" s="613"/>
      <c r="I317" s="613"/>
      <c r="J317" s="613"/>
      <c r="K317" s="877"/>
      <c r="L317" s="291"/>
    </row>
    <row r="318" spans="1:12" s="179" customFormat="1" ht="28" hidden="1" outlineLevel="1" x14ac:dyDescent="0.2">
      <c r="A318" s="455"/>
      <c r="B318" s="455"/>
      <c r="C318" s="893" t="s">
        <v>1565</v>
      </c>
      <c r="D318" s="615"/>
      <c r="E318" s="613" t="s">
        <v>1565</v>
      </c>
      <c r="F318" s="613" t="s">
        <v>1595</v>
      </c>
      <c r="G318" s="613" t="s">
        <v>1584</v>
      </c>
      <c r="H318" s="613"/>
      <c r="I318" s="613"/>
      <c r="J318" s="613"/>
      <c r="K318" s="877"/>
      <c r="L318" s="291"/>
    </row>
    <row r="319" spans="1:12" s="179" customFormat="1" ht="28" hidden="1" outlineLevel="1" x14ac:dyDescent="0.2">
      <c r="A319" s="455"/>
      <c r="B319" s="455"/>
      <c r="C319" s="893" t="s">
        <v>1568</v>
      </c>
      <c r="D319" s="615"/>
      <c r="E319" s="613" t="s">
        <v>1568</v>
      </c>
      <c r="F319" s="613" t="s">
        <v>1596</v>
      </c>
      <c r="G319" s="613" t="s">
        <v>1587</v>
      </c>
      <c r="H319" s="613"/>
      <c r="I319" s="613"/>
      <c r="J319" s="613"/>
      <c r="K319" s="877"/>
      <c r="L319" s="291"/>
    </row>
    <row r="320" spans="1:12" s="179" customFormat="1" ht="14" hidden="1" outlineLevel="1" x14ac:dyDescent="0.2">
      <c r="A320" s="455"/>
      <c r="B320" s="455"/>
      <c r="C320" s="893" t="s">
        <v>1601</v>
      </c>
      <c r="D320" s="615"/>
      <c r="E320" s="613" t="s">
        <v>1601</v>
      </c>
      <c r="F320" s="613" t="s">
        <v>1628</v>
      </c>
      <c r="G320" s="613" t="s">
        <v>1629</v>
      </c>
      <c r="H320" s="613"/>
      <c r="I320" s="613"/>
      <c r="J320" s="613"/>
      <c r="K320" s="877"/>
      <c r="L320" s="291"/>
    </row>
    <row r="321" spans="1:12" s="179" customFormat="1" ht="28" hidden="1" outlineLevel="1" x14ac:dyDescent="0.2">
      <c r="A321" s="455"/>
      <c r="B321" s="455"/>
      <c r="C321" s="893" t="s">
        <v>1604</v>
      </c>
      <c r="D321" s="615"/>
      <c r="E321" s="613" t="s">
        <v>1604</v>
      </c>
      <c r="F321" s="613" t="s">
        <v>1635</v>
      </c>
      <c r="G321" s="613" t="s">
        <v>1636</v>
      </c>
      <c r="H321" s="613"/>
      <c r="I321" s="613"/>
      <c r="J321" s="613"/>
      <c r="K321" s="877"/>
      <c r="L321" s="291"/>
    </row>
    <row r="322" spans="1:12" s="179" customFormat="1" ht="28" hidden="1" outlineLevel="1" x14ac:dyDescent="0.2">
      <c r="A322" s="455"/>
      <c r="B322" s="455"/>
      <c r="C322" s="893" t="s">
        <v>1607</v>
      </c>
      <c r="D322" s="615"/>
      <c r="E322" s="613" t="s">
        <v>1607</v>
      </c>
      <c r="F322" s="613" t="s">
        <v>1634</v>
      </c>
      <c r="G322" s="613" t="s">
        <v>1638</v>
      </c>
      <c r="H322" s="613"/>
      <c r="I322" s="613"/>
      <c r="J322" s="613"/>
      <c r="K322" s="877"/>
      <c r="L322" s="291"/>
    </row>
    <row r="323" spans="1:12" s="179" customFormat="1" ht="14" hidden="1" outlineLevel="1" x14ac:dyDescent="0.2">
      <c r="A323" s="455"/>
      <c r="B323" s="455"/>
      <c r="C323" s="893" t="s">
        <v>1602</v>
      </c>
      <c r="D323" s="615"/>
      <c r="E323" s="613" t="s">
        <v>1602</v>
      </c>
      <c r="F323" s="613" t="s">
        <v>1632</v>
      </c>
      <c r="G323" s="613" t="s">
        <v>1630</v>
      </c>
      <c r="H323" s="613"/>
      <c r="I323" s="613"/>
      <c r="J323" s="613"/>
      <c r="K323" s="877"/>
      <c r="L323" s="291"/>
    </row>
    <row r="324" spans="1:12" s="179" customFormat="1" ht="28" hidden="1" outlineLevel="1" x14ac:dyDescent="0.2">
      <c r="A324" s="455"/>
      <c r="B324" s="455"/>
      <c r="C324" s="893" t="s">
        <v>1605</v>
      </c>
      <c r="D324" s="615"/>
      <c r="E324" s="613" t="s">
        <v>1605</v>
      </c>
      <c r="F324" s="613" t="s">
        <v>1642</v>
      </c>
      <c r="G324" s="613" t="s">
        <v>1639</v>
      </c>
      <c r="H324" s="613"/>
      <c r="I324" s="613"/>
      <c r="J324" s="613"/>
      <c r="K324" s="877"/>
      <c r="L324" s="291"/>
    </row>
    <row r="325" spans="1:12" s="179" customFormat="1" ht="28" hidden="1" outlineLevel="1" x14ac:dyDescent="0.2">
      <c r="A325" s="455"/>
      <c r="B325" s="455"/>
      <c r="C325" s="893" t="s">
        <v>1608</v>
      </c>
      <c r="D325" s="615"/>
      <c r="E325" s="613" t="s">
        <v>1608</v>
      </c>
      <c r="F325" s="613" t="s">
        <v>1643</v>
      </c>
      <c r="G325" s="613" t="s">
        <v>1637</v>
      </c>
      <c r="H325" s="613"/>
      <c r="I325" s="613"/>
      <c r="J325" s="613"/>
      <c r="K325" s="877"/>
      <c r="L325" s="291"/>
    </row>
    <row r="326" spans="1:12" s="179" customFormat="1" ht="14" hidden="1" outlineLevel="1" x14ac:dyDescent="0.2">
      <c r="A326" s="455"/>
      <c r="B326" s="455"/>
      <c r="C326" s="893" t="s">
        <v>1603</v>
      </c>
      <c r="D326" s="615"/>
      <c r="E326" s="613" t="s">
        <v>1603</v>
      </c>
      <c r="F326" s="613" t="s">
        <v>1633</v>
      </c>
      <c r="G326" s="613" t="s">
        <v>1631</v>
      </c>
      <c r="H326" s="613"/>
      <c r="I326" s="613"/>
      <c r="J326" s="613"/>
      <c r="K326" s="877"/>
      <c r="L326" s="291"/>
    </row>
    <row r="327" spans="1:12" s="179" customFormat="1" ht="28" hidden="1" outlineLevel="1" x14ac:dyDescent="0.2">
      <c r="A327" s="455"/>
      <c r="B327" s="455"/>
      <c r="C327" s="893" t="s">
        <v>1606</v>
      </c>
      <c r="D327" s="615"/>
      <c r="E327" s="613" t="s">
        <v>1606</v>
      </c>
      <c r="F327" s="613" t="s">
        <v>1644</v>
      </c>
      <c r="G327" s="613" t="s">
        <v>1640</v>
      </c>
      <c r="H327" s="613"/>
      <c r="I327" s="613"/>
      <c r="J327" s="613"/>
      <c r="K327" s="877"/>
      <c r="L327" s="291"/>
    </row>
    <row r="328" spans="1:12" s="179" customFormat="1" ht="28" hidden="1" outlineLevel="1" x14ac:dyDescent="0.2">
      <c r="A328" s="455"/>
      <c r="B328" s="455"/>
      <c r="C328" s="893" t="s">
        <v>1609</v>
      </c>
      <c r="D328" s="615"/>
      <c r="E328" s="613" t="s">
        <v>1609</v>
      </c>
      <c r="F328" s="613" t="s">
        <v>1645</v>
      </c>
      <c r="G328" s="613" t="s">
        <v>1641</v>
      </c>
      <c r="H328" s="613"/>
      <c r="I328" s="613"/>
      <c r="J328" s="613"/>
      <c r="K328" s="877"/>
      <c r="L328" s="291"/>
    </row>
    <row r="329" spans="1:12" s="179" customFormat="1" ht="14" hidden="1" outlineLevel="1" x14ac:dyDescent="0.2">
      <c r="A329" s="455"/>
      <c r="B329" s="455"/>
      <c r="C329" s="893" t="s">
        <v>905</v>
      </c>
      <c r="D329" s="615"/>
      <c r="E329" s="613" t="s">
        <v>905</v>
      </c>
      <c r="F329" s="613" t="s">
        <v>150</v>
      </c>
      <c r="G329" s="613" t="s">
        <v>899</v>
      </c>
      <c r="H329" s="613"/>
      <c r="I329" s="613"/>
      <c r="J329" s="613"/>
      <c r="K329" s="877"/>
      <c r="L329" s="291"/>
    </row>
    <row r="330" spans="1:12" s="179" customFormat="1" ht="14" hidden="1" outlineLevel="1" x14ac:dyDescent="0.2">
      <c r="A330" s="455"/>
      <c r="B330" s="455"/>
      <c r="C330" s="893" t="s">
        <v>905</v>
      </c>
      <c r="D330" s="615"/>
      <c r="E330" s="613" t="s">
        <v>905</v>
      </c>
      <c r="F330" s="613" t="s">
        <v>150</v>
      </c>
      <c r="G330" s="613" t="s">
        <v>992</v>
      </c>
      <c r="H330" s="613"/>
      <c r="I330" s="613"/>
      <c r="J330" s="613"/>
      <c r="K330" s="877"/>
      <c r="L330" s="291"/>
    </row>
    <row r="331" spans="1:12" s="179" customFormat="1" ht="14" hidden="1" outlineLevel="1" x14ac:dyDescent="0.2">
      <c r="A331" s="455"/>
      <c r="B331" s="455"/>
      <c r="C331" s="893" t="s">
        <v>1033</v>
      </c>
      <c r="D331" s="615"/>
      <c r="E331" s="613" t="s">
        <v>1033</v>
      </c>
      <c r="F331" s="613" t="s">
        <v>214</v>
      </c>
      <c r="G331" s="613" t="s">
        <v>1042</v>
      </c>
      <c r="H331" s="613"/>
      <c r="I331" s="613"/>
      <c r="J331" s="613"/>
      <c r="K331" s="877"/>
      <c r="L331" s="291"/>
    </row>
    <row r="332" spans="1:12" s="179" customFormat="1" ht="14" hidden="1" outlineLevel="1" x14ac:dyDescent="0.2">
      <c r="A332" s="455"/>
      <c r="B332" s="455"/>
      <c r="C332" s="893" t="s">
        <v>1058</v>
      </c>
      <c r="D332" s="615"/>
      <c r="E332" s="613" t="s">
        <v>1058</v>
      </c>
      <c r="F332" s="613" t="s">
        <v>196</v>
      </c>
      <c r="G332" s="613" t="s">
        <v>1044</v>
      </c>
      <c r="H332" s="613"/>
      <c r="I332" s="613"/>
      <c r="J332" s="613"/>
      <c r="K332" s="877"/>
      <c r="L332" s="291"/>
    </row>
    <row r="333" spans="1:12" s="179" customFormat="1" ht="28" hidden="1" outlineLevel="1" x14ac:dyDescent="0.2">
      <c r="A333" s="455"/>
      <c r="B333" s="455"/>
      <c r="C333" s="893" t="s">
        <v>687</v>
      </c>
      <c r="D333" s="615"/>
      <c r="E333" s="613" t="s">
        <v>687</v>
      </c>
      <c r="F333" s="613" t="s">
        <v>65</v>
      </c>
      <c r="G333" s="613" t="s">
        <v>729</v>
      </c>
      <c r="H333" s="613"/>
      <c r="I333" s="613"/>
      <c r="J333" s="613"/>
      <c r="K333" s="877"/>
      <c r="L333" s="291"/>
    </row>
    <row r="334" spans="1:12" s="179" customFormat="1" ht="28" hidden="1" outlineLevel="1" x14ac:dyDescent="0.2">
      <c r="A334" s="455"/>
      <c r="B334" s="455"/>
      <c r="C334" s="893" t="s">
        <v>686</v>
      </c>
      <c r="D334" s="615"/>
      <c r="E334" s="613" t="s">
        <v>686</v>
      </c>
      <c r="F334" s="613" t="s">
        <v>63</v>
      </c>
      <c r="G334" s="613" t="s">
        <v>728</v>
      </c>
      <c r="H334" s="613"/>
      <c r="I334" s="613"/>
      <c r="J334" s="613"/>
      <c r="K334" s="877"/>
      <c r="L334" s="291"/>
    </row>
    <row r="335" spans="1:12" s="179" customFormat="1" ht="14" hidden="1" outlineLevel="1" x14ac:dyDescent="0.2">
      <c r="A335" s="455"/>
      <c r="B335" s="455"/>
      <c r="C335" s="893" t="s">
        <v>1001</v>
      </c>
      <c r="D335" s="615"/>
      <c r="E335" s="613" t="s">
        <v>1001</v>
      </c>
      <c r="F335" s="613" t="s">
        <v>207</v>
      </c>
      <c r="G335" s="613" t="s">
        <v>1002</v>
      </c>
      <c r="H335" s="613"/>
      <c r="I335" s="613"/>
      <c r="J335" s="613"/>
      <c r="K335" s="877"/>
      <c r="L335" s="291"/>
    </row>
    <row r="336" spans="1:12" s="179" customFormat="1" ht="14" hidden="1" outlineLevel="1" x14ac:dyDescent="0.2">
      <c r="A336" s="455"/>
      <c r="B336" s="455"/>
      <c r="C336" s="893" t="s">
        <v>892</v>
      </c>
      <c r="D336" s="615"/>
      <c r="E336" s="613" t="s">
        <v>892</v>
      </c>
      <c r="F336" s="613" t="s">
        <v>928</v>
      </c>
      <c r="G336" s="613" t="s">
        <v>929</v>
      </c>
      <c r="H336" s="613"/>
      <c r="I336" s="613"/>
      <c r="J336" s="613"/>
      <c r="K336" s="877"/>
      <c r="L336" s="291"/>
    </row>
    <row r="337" spans="1:12" s="179" customFormat="1" ht="14" hidden="1" outlineLevel="1" x14ac:dyDescent="0.2">
      <c r="A337" s="455"/>
      <c r="B337" s="455"/>
      <c r="C337" s="893" t="s">
        <v>699</v>
      </c>
      <c r="D337" s="615"/>
      <c r="E337" s="613" t="s">
        <v>699</v>
      </c>
      <c r="F337" s="613" t="s">
        <v>40</v>
      </c>
      <c r="G337" s="613" t="s">
        <v>741</v>
      </c>
      <c r="H337" s="613"/>
      <c r="I337" s="613"/>
      <c r="J337" s="613"/>
      <c r="K337" s="877"/>
      <c r="L337" s="291"/>
    </row>
    <row r="338" spans="1:12" s="179" customFormat="1" ht="14" hidden="1" outlineLevel="1" x14ac:dyDescent="0.2">
      <c r="A338" s="455"/>
      <c r="B338" s="455"/>
      <c r="C338" s="893" t="s">
        <v>698</v>
      </c>
      <c r="D338" s="615"/>
      <c r="E338" s="613" t="s">
        <v>698</v>
      </c>
      <c r="F338" s="613" t="s">
        <v>77</v>
      </c>
      <c r="G338" s="613" t="s">
        <v>740</v>
      </c>
      <c r="H338" s="613"/>
      <c r="I338" s="613"/>
      <c r="J338" s="613"/>
      <c r="K338" s="877"/>
      <c r="L338" s="291"/>
    </row>
    <row r="339" spans="1:12" s="179" customFormat="1" ht="28" hidden="1" outlineLevel="1" x14ac:dyDescent="0.2">
      <c r="A339" s="455"/>
      <c r="B339" s="455"/>
      <c r="C339" s="893" t="s">
        <v>696</v>
      </c>
      <c r="D339" s="615"/>
      <c r="E339" s="613" t="s">
        <v>696</v>
      </c>
      <c r="F339" s="613" t="s">
        <v>82</v>
      </c>
      <c r="G339" s="613" t="s">
        <v>738</v>
      </c>
      <c r="H339" s="613"/>
      <c r="I339" s="613"/>
      <c r="J339" s="613"/>
      <c r="K339" s="877"/>
      <c r="L339" s="291"/>
    </row>
    <row r="340" spans="1:12" s="179" customFormat="1" ht="14" hidden="1" outlineLevel="1" x14ac:dyDescent="0.2">
      <c r="A340" s="455"/>
      <c r="B340" s="455"/>
      <c r="C340" s="893" t="s">
        <v>70</v>
      </c>
      <c r="D340" s="615"/>
      <c r="E340" s="613" t="s">
        <v>70</v>
      </c>
      <c r="F340" s="613" t="s">
        <v>70</v>
      </c>
      <c r="G340" s="613" t="s">
        <v>1197</v>
      </c>
      <c r="H340" s="613"/>
      <c r="I340" s="613"/>
      <c r="J340" s="613"/>
      <c r="K340" s="877"/>
      <c r="L340" s="291"/>
    </row>
    <row r="341" spans="1:12" s="179" customFormat="1" ht="14" hidden="1" outlineLevel="1" x14ac:dyDescent="0.2">
      <c r="A341" s="455"/>
      <c r="B341" s="455"/>
      <c r="C341" s="893" t="s">
        <v>650</v>
      </c>
      <c r="D341" s="615"/>
      <c r="E341" s="613" t="s">
        <v>650</v>
      </c>
      <c r="F341" s="613" t="s">
        <v>59</v>
      </c>
      <c r="G341" s="613" t="s">
        <v>651</v>
      </c>
      <c r="H341" s="613"/>
      <c r="I341" s="613"/>
      <c r="J341" s="613"/>
      <c r="K341" s="877"/>
      <c r="L341" s="291"/>
    </row>
    <row r="342" spans="1:12" s="179" customFormat="1" ht="14" hidden="1" outlineLevel="1" x14ac:dyDescent="0.2">
      <c r="A342" s="455"/>
      <c r="B342" s="455"/>
      <c r="C342" s="893" t="s">
        <v>768</v>
      </c>
      <c r="D342" s="615"/>
      <c r="E342" s="613" t="s">
        <v>768</v>
      </c>
      <c r="F342" s="613" t="s">
        <v>126</v>
      </c>
      <c r="G342" s="613" t="s">
        <v>769</v>
      </c>
      <c r="H342" s="613"/>
      <c r="I342" s="613"/>
      <c r="J342" s="613"/>
      <c r="K342" s="877"/>
      <c r="L342" s="291"/>
    </row>
    <row r="343" spans="1:12" s="179" customFormat="1" ht="14" hidden="1" outlineLevel="1" x14ac:dyDescent="0.2">
      <c r="A343" s="455"/>
      <c r="B343" s="455"/>
      <c r="C343" s="893" t="s">
        <v>685</v>
      </c>
      <c r="D343" s="615"/>
      <c r="E343" s="613" t="s">
        <v>685</v>
      </c>
      <c r="F343" s="613" t="s">
        <v>61</v>
      </c>
      <c r="G343" s="613" t="s">
        <v>727</v>
      </c>
      <c r="H343" s="613"/>
      <c r="I343" s="613"/>
      <c r="J343" s="613"/>
      <c r="K343" s="877"/>
      <c r="L343" s="291"/>
    </row>
    <row r="344" spans="1:12" s="179" customFormat="1" ht="14" hidden="1" outlineLevel="1" x14ac:dyDescent="0.2">
      <c r="A344" s="455"/>
      <c r="B344" s="455"/>
      <c r="C344" s="893" t="s">
        <v>645</v>
      </c>
      <c r="D344" s="615"/>
      <c r="E344" s="613" t="s">
        <v>645</v>
      </c>
      <c r="F344" s="613" t="s">
        <v>32</v>
      </c>
      <c r="G344" s="613" t="s">
        <v>644</v>
      </c>
      <c r="H344" s="613"/>
      <c r="I344" s="613"/>
      <c r="J344" s="613"/>
      <c r="K344" s="877"/>
      <c r="L344" s="291"/>
    </row>
    <row r="345" spans="1:12" s="179" customFormat="1" ht="42" hidden="1" outlineLevel="1" x14ac:dyDescent="0.2">
      <c r="A345" s="455"/>
      <c r="B345" s="455"/>
      <c r="C345" s="893" t="s">
        <v>672</v>
      </c>
      <c r="D345" s="615"/>
      <c r="E345" s="613" t="s">
        <v>672</v>
      </c>
      <c r="F345" s="613" t="s">
        <v>42</v>
      </c>
      <c r="G345" s="613" t="s">
        <v>714</v>
      </c>
      <c r="H345" s="613"/>
      <c r="I345" s="613"/>
      <c r="J345" s="613"/>
      <c r="K345" s="877"/>
      <c r="L345" s="291"/>
    </row>
    <row r="346" spans="1:12" s="179" customFormat="1" ht="14" hidden="1" outlineLevel="1" x14ac:dyDescent="0.2">
      <c r="A346" s="455"/>
      <c r="B346" s="455"/>
      <c r="C346" s="893" t="s">
        <v>773</v>
      </c>
      <c r="D346" s="615"/>
      <c r="E346" s="613" t="s">
        <v>773</v>
      </c>
      <c r="F346" s="613" t="s">
        <v>127</v>
      </c>
      <c r="G346" s="613" t="s">
        <v>772</v>
      </c>
      <c r="H346" s="613"/>
      <c r="I346" s="613"/>
      <c r="J346" s="613"/>
      <c r="K346" s="877"/>
      <c r="L346" s="291"/>
    </row>
    <row r="347" spans="1:12" s="179" customFormat="1" ht="14" hidden="1" outlineLevel="1" x14ac:dyDescent="0.2">
      <c r="A347" s="455"/>
      <c r="B347" s="455"/>
      <c r="C347" s="893" t="s">
        <v>862</v>
      </c>
      <c r="D347" s="615"/>
      <c r="E347" s="613" t="s">
        <v>862</v>
      </c>
      <c r="F347" s="613" t="s">
        <v>71</v>
      </c>
      <c r="G347" s="613" t="s">
        <v>652</v>
      </c>
      <c r="H347" s="613"/>
      <c r="I347" s="613"/>
      <c r="J347" s="613"/>
      <c r="K347" s="877"/>
      <c r="L347" s="291"/>
    </row>
    <row r="348" spans="1:12" s="179" customFormat="1" ht="14" hidden="1" outlineLevel="1" x14ac:dyDescent="0.2">
      <c r="A348" s="455"/>
      <c r="B348" s="455"/>
      <c r="C348" s="893" t="s">
        <v>657</v>
      </c>
      <c r="D348" s="615"/>
      <c r="E348" s="613" t="s">
        <v>657</v>
      </c>
      <c r="F348" s="613" t="s">
        <v>71</v>
      </c>
      <c r="G348" s="613" t="s">
        <v>652</v>
      </c>
      <c r="H348" s="613"/>
      <c r="I348" s="613"/>
      <c r="J348" s="613"/>
      <c r="K348" s="877"/>
      <c r="L348" s="291"/>
    </row>
    <row r="349" spans="1:12" s="179" customFormat="1" ht="28" hidden="1" outlineLevel="1" x14ac:dyDescent="0.2">
      <c r="A349" s="455"/>
      <c r="B349" s="455"/>
      <c r="C349" s="893" t="s">
        <v>669</v>
      </c>
      <c r="D349" s="615"/>
      <c r="E349" s="613" t="s">
        <v>669</v>
      </c>
      <c r="F349" s="613" t="s">
        <v>89</v>
      </c>
      <c r="G349" s="613" t="s">
        <v>711</v>
      </c>
      <c r="H349" s="613"/>
      <c r="I349" s="613"/>
      <c r="J349" s="613"/>
      <c r="K349" s="877"/>
      <c r="L349" s="291"/>
    </row>
    <row r="350" spans="1:12" s="179" customFormat="1" ht="28" hidden="1" outlineLevel="1" x14ac:dyDescent="0.2">
      <c r="A350" s="455"/>
      <c r="B350" s="455"/>
      <c r="C350" s="893" t="s">
        <v>670</v>
      </c>
      <c r="D350" s="615"/>
      <c r="E350" s="613" t="s">
        <v>670</v>
      </c>
      <c r="F350" s="613" t="s">
        <v>92</v>
      </c>
      <c r="G350" s="613" t="s">
        <v>712</v>
      </c>
      <c r="H350" s="613"/>
      <c r="I350" s="613"/>
      <c r="J350" s="613"/>
      <c r="K350" s="877"/>
      <c r="L350" s="291"/>
    </row>
    <row r="351" spans="1:12" s="179" customFormat="1" ht="28" hidden="1" outlineLevel="1" x14ac:dyDescent="0.2">
      <c r="A351" s="455"/>
      <c r="B351" s="455"/>
      <c r="C351" s="893" t="s">
        <v>671</v>
      </c>
      <c r="D351" s="615"/>
      <c r="E351" s="613" t="s">
        <v>671</v>
      </c>
      <c r="F351" s="613" t="s">
        <v>58</v>
      </c>
      <c r="G351" s="613" t="s">
        <v>713</v>
      </c>
      <c r="H351" s="613"/>
      <c r="I351" s="613"/>
      <c r="J351" s="613"/>
      <c r="K351" s="877"/>
      <c r="L351" s="291"/>
    </row>
    <row r="352" spans="1:12" s="179" customFormat="1" ht="28" hidden="1" outlineLevel="1" x14ac:dyDescent="0.2">
      <c r="A352" s="455"/>
      <c r="B352" s="455"/>
      <c r="C352" s="893" t="s">
        <v>2058</v>
      </c>
      <c r="D352" s="615"/>
      <c r="E352" s="613" t="s">
        <v>2058</v>
      </c>
      <c r="F352" s="613" t="s">
        <v>2059</v>
      </c>
      <c r="G352" s="613" t="s">
        <v>2060</v>
      </c>
      <c r="H352" s="613"/>
      <c r="I352" s="613"/>
      <c r="J352" s="613"/>
      <c r="K352" s="877"/>
      <c r="L352" s="291"/>
    </row>
    <row r="353" spans="1:12" s="179" customFormat="1" ht="14" hidden="1" outlineLevel="1" x14ac:dyDescent="0.2">
      <c r="A353" s="455"/>
      <c r="B353" s="455"/>
      <c r="C353" s="893" t="s">
        <v>1736</v>
      </c>
      <c r="D353" s="615"/>
      <c r="E353" s="613" t="s">
        <v>1736</v>
      </c>
      <c r="F353" s="613" t="s">
        <v>1737</v>
      </c>
      <c r="G353" s="613" t="s">
        <v>1736</v>
      </c>
      <c r="H353" s="613"/>
      <c r="I353" s="613"/>
      <c r="J353" s="613"/>
      <c r="K353" s="877"/>
      <c r="L353" s="291"/>
    </row>
    <row r="354" spans="1:12" s="179" customFormat="1" ht="14" hidden="1" outlineLevel="1" x14ac:dyDescent="0.2">
      <c r="A354" s="455"/>
      <c r="B354" s="455"/>
      <c r="C354" s="893" t="s">
        <v>186</v>
      </c>
      <c r="D354" s="615"/>
      <c r="E354" s="613" t="s">
        <v>186</v>
      </c>
      <c r="F354" s="613" t="s">
        <v>186</v>
      </c>
      <c r="G354" s="613" t="s">
        <v>1125</v>
      </c>
      <c r="H354" s="613"/>
      <c r="I354" s="613"/>
      <c r="J354" s="613"/>
      <c r="K354" s="877"/>
      <c r="L354" s="291"/>
    </row>
    <row r="355" spans="1:12" s="179" customFormat="1" ht="28" hidden="1" outlineLevel="1" x14ac:dyDescent="0.2">
      <c r="A355" s="455"/>
      <c r="B355" s="455"/>
      <c r="C355" s="893" t="s">
        <v>1060</v>
      </c>
      <c r="D355" s="615"/>
      <c r="E355" s="613" t="s">
        <v>1060</v>
      </c>
      <c r="F355" s="613" t="s">
        <v>206</v>
      </c>
      <c r="G355" s="613" t="s">
        <v>1046</v>
      </c>
      <c r="H355" s="613"/>
      <c r="I355" s="613"/>
      <c r="J355" s="613"/>
      <c r="K355" s="877"/>
      <c r="L355" s="291"/>
    </row>
    <row r="356" spans="1:12" s="179" customFormat="1" ht="14" hidden="1" outlineLevel="1" x14ac:dyDescent="0.2">
      <c r="A356" s="455"/>
      <c r="B356" s="455"/>
      <c r="C356" s="893" t="s">
        <v>947</v>
      </c>
      <c r="D356" s="615"/>
      <c r="E356" s="613" t="s">
        <v>947</v>
      </c>
      <c r="F356" s="613" t="s">
        <v>946</v>
      </c>
      <c r="G356" s="613" t="s">
        <v>949</v>
      </c>
      <c r="H356" s="613"/>
      <c r="I356" s="613"/>
      <c r="J356" s="613"/>
      <c r="K356" s="877"/>
      <c r="L356" s="291"/>
    </row>
    <row r="357" spans="1:12" s="179" customFormat="1" ht="28" hidden="1" outlineLevel="1" x14ac:dyDescent="0.2">
      <c r="A357" s="455"/>
      <c r="B357" s="455"/>
      <c r="C357" s="893" t="s">
        <v>958</v>
      </c>
      <c r="D357" s="615"/>
      <c r="E357" s="613" t="s">
        <v>958</v>
      </c>
      <c r="F357" s="613" t="s">
        <v>1148</v>
      </c>
      <c r="G357" s="613" t="s">
        <v>1138</v>
      </c>
      <c r="H357" s="613"/>
      <c r="I357" s="613"/>
      <c r="J357" s="613"/>
      <c r="K357" s="877"/>
      <c r="L357" s="291"/>
    </row>
    <row r="358" spans="1:12" s="179" customFormat="1" ht="28" hidden="1" outlineLevel="1" x14ac:dyDescent="0.2">
      <c r="A358" s="455"/>
      <c r="B358" s="455"/>
      <c r="C358" s="893" t="s">
        <v>956</v>
      </c>
      <c r="D358" s="615"/>
      <c r="E358" s="613" t="s">
        <v>956</v>
      </c>
      <c r="F358" s="613" t="s">
        <v>1147</v>
      </c>
      <c r="G358" s="613" t="s">
        <v>1137</v>
      </c>
      <c r="H358" s="613"/>
      <c r="I358" s="613"/>
      <c r="J358" s="613"/>
      <c r="K358" s="877"/>
      <c r="L358" s="291"/>
    </row>
    <row r="359" spans="1:12" s="179" customFormat="1" ht="28" hidden="1" outlineLevel="1" x14ac:dyDescent="0.2">
      <c r="A359" s="455"/>
      <c r="B359" s="455"/>
      <c r="C359" s="893" t="s">
        <v>960</v>
      </c>
      <c r="D359" s="615"/>
      <c r="E359" s="613" t="s">
        <v>960</v>
      </c>
      <c r="F359" s="613" t="s">
        <v>1149</v>
      </c>
      <c r="G359" s="613" t="s">
        <v>1139</v>
      </c>
      <c r="H359" s="613"/>
      <c r="I359" s="613"/>
      <c r="J359" s="613"/>
      <c r="K359" s="877"/>
      <c r="L359" s="291"/>
    </row>
    <row r="360" spans="1:12" s="179" customFormat="1" ht="14" hidden="1" outlineLevel="1" x14ac:dyDescent="0.2">
      <c r="A360" s="455"/>
      <c r="B360" s="455"/>
      <c r="C360" s="893" t="s">
        <v>971</v>
      </c>
      <c r="D360" s="615"/>
      <c r="E360" s="613" t="s">
        <v>971</v>
      </c>
      <c r="F360" s="613" t="s">
        <v>1159</v>
      </c>
      <c r="G360" s="613" t="s">
        <v>1161</v>
      </c>
      <c r="H360" s="613"/>
      <c r="I360" s="613"/>
      <c r="J360" s="613"/>
      <c r="K360" s="877"/>
      <c r="L360" s="291"/>
    </row>
    <row r="361" spans="1:12" s="179" customFormat="1" ht="14" hidden="1" outlineLevel="1" x14ac:dyDescent="0.2">
      <c r="A361" s="455"/>
      <c r="B361" s="455"/>
      <c r="C361" s="893" t="s">
        <v>588</v>
      </c>
      <c r="D361" s="615"/>
      <c r="E361" s="613" t="s">
        <v>588</v>
      </c>
      <c r="F361" s="613" t="s">
        <v>54</v>
      </c>
      <c r="G361" s="613" t="s">
        <v>588</v>
      </c>
      <c r="H361" s="613"/>
      <c r="I361" s="613"/>
      <c r="J361" s="613"/>
      <c r="K361" s="877"/>
      <c r="L361" s="291"/>
    </row>
    <row r="362" spans="1:12" s="179" customFormat="1" ht="14" hidden="1" outlineLevel="1" x14ac:dyDescent="0.2">
      <c r="A362" s="455"/>
      <c r="B362" s="455"/>
      <c r="C362" s="893" t="s">
        <v>589</v>
      </c>
      <c r="D362" s="615"/>
      <c r="E362" s="613" t="s">
        <v>589</v>
      </c>
      <c r="F362" s="613" t="s">
        <v>1241</v>
      </c>
      <c r="G362" s="613" t="s">
        <v>1242</v>
      </c>
      <c r="H362" s="613"/>
      <c r="I362" s="613"/>
      <c r="J362" s="613"/>
      <c r="K362" s="877"/>
      <c r="L362" s="291"/>
    </row>
    <row r="363" spans="1:12" s="179" customFormat="1" ht="28" hidden="1" outlineLevel="1" x14ac:dyDescent="0.2">
      <c r="A363" s="455"/>
      <c r="B363" s="455"/>
      <c r="C363" s="893" t="s">
        <v>1535</v>
      </c>
      <c r="D363" s="615"/>
      <c r="E363" s="613" t="s">
        <v>1535</v>
      </c>
      <c r="F363" s="613" t="s">
        <v>1575</v>
      </c>
      <c r="G363" s="613" t="s">
        <v>1623</v>
      </c>
      <c r="H363" s="613"/>
      <c r="I363" s="613"/>
      <c r="J363" s="613"/>
      <c r="K363" s="877"/>
      <c r="L363" s="291"/>
    </row>
    <row r="364" spans="1:12" s="179" customFormat="1" ht="28" hidden="1" outlineLevel="1" x14ac:dyDescent="0.2">
      <c r="A364" s="455"/>
      <c r="B364" s="455"/>
      <c r="C364" s="893" t="s">
        <v>1536</v>
      </c>
      <c r="D364" s="615"/>
      <c r="E364" s="613" t="s">
        <v>1536</v>
      </c>
      <c r="F364" s="613" t="s">
        <v>1576</v>
      </c>
      <c r="G364" s="613" t="s">
        <v>1624</v>
      </c>
      <c r="H364" s="613"/>
      <c r="I364" s="613"/>
      <c r="J364" s="613"/>
      <c r="K364" s="877"/>
      <c r="L364" s="291"/>
    </row>
    <row r="365" spans="1:12" s="179" customFormat="1" ht="28" hidden="1" outlineLevel="1" x14ac:dyDescent="0.2">
      <c r="A365" s="455"/>
      <c r="B365" s="455"/>
      <c r="C365" s="893" t="s">
        <v>1531</v>
      </c>
      <c r="D365" s="615"/>
      <c r="E365" s="613" t="s">
        <v>1531</v>
      </c>
      <c r="F365" s="613" t="s">
        <v>1572</v>
      </c>
      <c r="G365" s="613" t="s">
        <v>1625</v>
      </c>
      <c r="H365" s="613"/>
      <c r="I365" s="613"/>
      <c r="J365" s="613"/>
      <c r="K365" s="877"/>
      <c r="L365" s="291"/>
    </row>
    <row r="366" spans="1:12" s="179" customFormat="1" ht="28" hidden="1" outlineLevel="1" x14ac:dyDescent="0.2">
      <c r="A366" s="455"/>
      <c r="B366" s="455"/>
      <c r="C366" s="893" t="s">
        <v>1544</v>
      </c>
      <c r="D366" s="615"/>
      <c r="E366" s="613" t="s">
        <v>1544</v>
      </c>
      <c r="F366" s="613" t="s">
        <v>1569</v>
      </c>
      <c r="G366" s="613" t="s">
        <v>1652</v>
      </c>
      <c r="H366" s="613"/>
      <c r="I366" s="613"/>
      <c r="J366" s="613"/>
      <c r="K366" s="877"/>
      <c r="L366" s="291"/>
    </row>
    <row r="367" spans="1:12" s="179" customFormat="1" ht="28" hidden="1" outlineLevel="1" x14ac:dyDescent="0.2">
      <c r="A367" s="455"/>
      <c r="B367" s="455"/>
      <c r="C367" s="893" t="s">
        <v>1532</v>
      </c>
      <c r="D367" s="615"/>
      <c r="E367" s="613" t="s">
        <v>1532</v>
      </c>
      <c r="F367" s="613" t="s">
        <v>1573</v>
      </c>
      <c r="G367" s="613" t="s">
        <v>1626</v>
      </c>
      <c r="H367" s="613"/>
      <c r="I367" s="613"/>
      <c r="J367" s="613"/>
      <c r="K367" s="877"/>
      <c r="L367" s="291"/>
    </row>
    <row r="368" spans="1:12" s="179" customFormat="1" ht="28" hidden="1" outlineLevel="1" x14ac:dyDescent="0.2">
      <c r="A368" s="455"/>
      <c r="B368" s="455"/>
      <c r="C368" s="893" t="s">
        <v>1543</v>
      </c>
      <c r="D368" s="615"/>
      <c r="E368" s="613" t="s">
        <v>1543</v>
      </c>
      <c r="F368" s="613" t="s">
        <v>1570</v>
      </c>
      <c r="G368" s="613" t="s">
        <v>1653</v>
      </c>
      <c r="H368" s="613"/>
      <c r="I368" s="613"/>
      <c r="J368" s="613"/>
      <c r="K368" s="877"/>
      <c r="L368" s="291"/>
    </row>
    <row r="369" spans="1:12" s="179" customFormat="1" ht="28" hidden="1" outlineLevel="1" x14ac:dyDescent="0.2">
      <c r="A369" s="455"/>
      <c r="B369" s="455"/>
      <c r="C369" s="893" t="s">
        <v>1533</v>
      </c>
      <c r="D369" s="615"/>
      <c r="E369" s="613" t="s">
        <v>1533</v>
      </c>
      <c r="F369" s="613" t="s">
        <v>1574</v>
      </c>
      <c r="G369" s="613" t="s">
        <v>1627</v>
      </c>
      <c r="H369" s="613"/>
      <c r="I369" s="613"/>
      <c r="J369" s="613"/>
      <c r="K369" s="877"/>
      <c r="L369" s="291"/>
    </row>
    <row r="370" spans="1:12" s="179" customFormat="1" ht="28" hidden="1" outlineLevel="1" x14ac:dyDescent="0.2">
      <c r="A370" s="455"/>
      <c r="B370" s="455"/>
      <c r="C370" s="893" t="s">
        <v>1542</v>
      </c>
      <c r="D370" s="615"/>
      <c r="E370" s="613" t="s">
        <v>1542</v>
      </c>
      <c r="F370" s="613" t="s">
        <v>1571</v>
      </c>
      <c r="G370" s="613" t="s">
        <v>1654</v>
      </c>
      <c r="H370" s="613"/>
      <c r="I370" s="613"/>
      <c r="J370" s="613"/>
      <c r="K370" s="877"/>
      <c r="L370" s="291"/>
    </row>
    <row r="371" spans="1:12" s="179" customFormat="1" ht="14" hidden="1" outlineLevel="1" x14ac:dyDescent="0.2">
      <c r="A371" s="455"/>
      <c r="B371" s="455"/>
      <c r="C371" s="893" t="s">
        <v>771</v>
      </c>
      <c r="D371" s="615"/>
      <c r="E371" s="613" t="s">
        <v>771</v>
      </c>
      <c r="F371" s="613" t="s">
        <v>125</v>
      </c>
      <c r="G371" s="613" t="s">
        <v>770</v>
      </c>
      <c r="H371" s="613"/>
      <c r="I371" s="613"/>
      <c r="J371" s="613"/>
      <c r="K371" s="877"/>
      <c r="L371" s="291"/>
    </row>
    <row r="372" spans="1:12" s="179" customFormat="1" ht="14" hidden="1" outlineLevel="1" x14ac:dyDescent="0.2">
      <c r="A372" s="455"/>
      <c r="B372" s="455"/>
      <c r="C372" s="893" t="s">
        <v>894</v>
      </c>
      <c r="D372" s="615"/>
      <c r="E372" s="613" t="s">
        <v>894</v>
      </c>
      <c r="F372" s="613" t="s">
        <v>145</v>
      </c>
      <c r="G372" s="613" t="s">
        <v>895</v>
      </c>
      <c r="H372" s="613"/>
      <c r="I372" s="613"/>
      <c r="J372" s="613"/>
      <c r="K372" s="877"/>
      <c r="L372" s="291"/>
    </row>
    <row r="373" spans="1:12" s="179" customFormat="1" ht="28" hidden="1" outlineLevel="1" x14ac:dyDescent="0.2">
      <c r="A373" s="455"/>
      <c r="B373" s="455"/>
      <c r="C373" s="893" t="s">
        <v>1066</v>
      </c>
      <c r="D373" s="615"/>
      <c r="E373" s="613" t="s">
        <v>1066</v>
      </c>
      <c r="F373" s="613" t="s">
        <v>209</v>
      </c>
      <c r="G373" s="613" t="s">
        <v>1036</v>
      </c>
      <c r="H373" s="613"/>
      <c r="I373" s="613"/>
      <c r="J373" s="613"/>
      <c r="K373" s="877"/>
      <c r="L373" s="291"/>
    </row>
    <row r="374" spans="1:12" s="179" customFormat="1" ht="14" hidden="1" outlineLevel="1" x14ac:dyDescent="0.2">
      <c r="A374" s="455"/>
      <c r="B374" s="455"/>
      <c r="C374" s="893" t="s">
        <v>989</v>
      </c>
      <c r="D374" s="615"/>
      <c r="E374" s="613" t="s">
        <v>989</v>
      </c>
      <c r="F374" s="613" t="s">
        <v>990</v>
      </c>
      <c r="G374" s="613" t="s">
        <v>991</v>
      </c>
      <c r="H374" s="613"/>
      <c r="I374" s="613"/>
      <c r="J374" s="613"/>
      <c r="K374" s="877"/>
      <c r="L374" s="291"/>
    </row>
    <row r="375" spans="1:12" s="179" customFormat="1" ht="28" hidden="1" outlineLevel="1" x14ac:dyDescent="0.2">
      <c r="A375" s="455"/>
      <c r="B375" s="455"/>
      <c r="C375" s="893" t="s">
        <v>1032</v>
      </c>
      <c r="D375" s="615"/>
      <c r="E375" s="613" t="s">
        <v>1032</v>
      </c>
      <c r="F375" s="613" t="s">
        <v>213</v>
      </c>
      <c r="G375" s="613" t="s">
        <v>1041</v>
      </c>
      <c r="H375" s="613"/>
      <c r="I375" s="613"/>
      <c r="J375" s="613"/>
      <c r="K375" s="877"/>
      <c r="L375" s="291"/>
    </row>
    <row r="376" spans="1:12" s="179" customFormat="1" ht="28" hidden="1" outlineLevel="1" x14ac:dyDescent="0.2">
      <c r="A376" s="455"/>
      <c r="B376" s="455"/>
      <c r="C376" s="893" t="s">
        <v>666</v>
      </c>
      <c r="D376" s="615"/>
      <c r="E376" s="613" t="s">
        <v>666</v>
      </c>
      <c r="F376" s="613" t="s">
        <v>35</v>
      </c>
      <c r="G376" s="613" t="s">
        <v>708</v>
      </c>
      <c r="H376" s="613"/>
      <c r="I376" s="613"/>
      <c r="J376" s="613"/>
      <c r="K376" s="877"/>
      <c r="L376" s="291"/>
    </row>
    <row r="377" spans="1:12" s="179" customFormat="1" ht="14" hidden="1" outlineLevel="1" x14ac:dyDescent="0.2">
      <c r="A377" s="455"/>
      <c r="B377" s="455"/>
      <c r="C377" s="893" t="s">
        <v>633</v>
      </c>
      <c r="D377" s="615"/>
      <c r="E377" s="613" t="s">
        <v>633</v>
      </c>
      <c r="F377" s="613" t="s">
        <v>639</v>
      </c>
      <c r="G377" s="613" t="s">
        <v>640</v>
      </c>
      <c r="H377" s="613"/>
      <c r="I377" s="613"/>
      <c r="J377" s="613"/>
      <c r="K377" s="877"/>
      <c r="L377" s="291"/>
    </row>
    <row r="378" spans="1:12" s="179" customFormat="1" ht="14" hidden="1" outlineLevel="1" x14ac:dyDescent="0.2">
      <c r="A378" s="455"/>
      <c r="B378" s="455"/>
      <c r="C378" s="893" t="s">
        <v>504</v>
      </c>
      <c r="D378" s="615"/>
      <c r="E378" s="613" t="s">
        <v>504</v>
      </c>
      <c r="F378" s="613" t="s">
        <v>263</v>
      </c>
      <c r="G378" s="613" t="s">
        <v>511</v>
      </c>
      <c r="H378" s="613"/>
      <c r="I378" s="613"/>
      <c r="J378" s="613"/>
      <c r="K378" s="877"/>
      <c r="L378" s="291"/>
    </row>
    <row r="379" spans="1:12" s="179" customFormat="1" ht="14" hidden="1" outlineLevel="1" x14ac:dyDescent="0.2">
      <c r="A379" s="455"/>
      <c r="B379" s="455"/>
      <c r="C379" s="893" t="s">
        <v>505</v>
      </c>
      <c r="D379" s="615"/>
      <c r="E379" s="613" t="s">
        <v>505</v>
      </c>
      <c r="F379" s="613" t="s">
        <v>264</v>
      </c>
      <c r="G379" s="613" t="s">
        <v>512</v>
      </c>
      <c r="H379" s="613"/>
      <c r="I379" s="613"/>
      <c r="J379" s="613"/>
      <c r="K379" s="877"/>
      <c r="L379" s="291"/>
    </row>
    <row r="380" spans="1:12" s="179" customFormat="1" ht="14" hidden="1" outlineLevel="1" x14ac:dyDescent="0.2">
      <c r="A380" s="455"/>
      <c r="B380" s="455"/>
      <c r="C380" s="893" t="s">
        <v>506</v>
      </c>
      <c r="D380" s="615"/>
      <c r="E380" s="613" t="s">
        <v>506</v>
      </c>
      <c r="F380" s="613" t="s">
        <v>265</v>
      </c>
      <c r="G380" s="613" t="s">
        <v>513</v>
      </c>
      <c r="H380" s="613"/>
      <c r="I380" s="613"/>
      <c r="J380" s="613"/>
      <c r="K380" s="877"/>
      <c r="L380" s="291"/>
    </row>
    <row r="381" spans="1:12" s="179" customFormat="1" ht="14" hidden="1" outlineLevel="1" x14ac:dyDescent="0.2">
      <c r="A381" s="455"/>
      <c r="B381" s="455"/>
      <c r="C381" s="893" t="s">
        <v>507</v>
      </c>
      <c r="D381" s="615"/>
      <c r="E381" s="613" t="s">
        <v>507</v>
      </c>
      <c r="F381" s="613" t="s">
        <v>266</v>
      </c>
      <c r="G381" s="613" t="s">
        <v>514</v>
      </c>
      <c r="H381" s="613"/>
      <c r="I381" s="613"/>
      <c r="J381" s="613"/>
      <c r="K381" s="877"/>
      <c r="L381" s="291"/>
    </row>
    <row r="382" spans="1:12" s="179" customFormat="1" ht="14" hidden="1" outlineLevel="1" x14ac:dyDescent="0.2">
      <c r="A382" s="455"/>
      <c r="B382" s="455"/>
      <c r="C382" s="893" t="s">
        <v>1069</v>
      </c>
      <c r="D382" s="615"/>
      <c r="E382" s="613" t="s">
        <v>1069</v>
      </c>
      <c r="F382" s="613" t="s">
        <v>1072</v>
      </c>
      <c r="G382" s="613" t="s">
        <v>1091</v>
      </c>
      <c r="H382" s="613"/>
      <c r="I382" s="613"/>
      <c r="J382" s="613"/>
      <c r="K382" s="877"/>
      <c r="L382" s="291"/>
    </row>
    <row r="383" spans="1:12" s="179" customFormat="1" ht="14" hidden="1" outlineLevel="1" x14ac:dyDescent="0.2">
      <c r="A383" s="455"/>
      <c r="B383" s="455"/>
      <c r="C383" s="893" t="s">
        <v>36</v>
      </c>
      <c r="D383" s="615"/>
      <c r="E383" s="613" t="s">
        <v>36</v>
      </c>
      <c r="F383" s="613" t="s">
        <v>36</v>
      </c>
      <c r="G383" s="613" t="s">
        <v>744</v>
      </c>
      <c r="H383" s="613"/>
      <c r="I383" s="613"/>
      <c r="J383" s="613"/>
      <c r="K383" s="877"/>
      <c r="L383" s="291"/>
    </row>
    <row r="384" spans="1:12" s="179" customFormat="1" ht="14" hidden="1" outlineLevel="1" x14ac:dyDescent="0.2">
      <c r="A384" s="455"/>
      <c r="B384" s="455"/>
      <c r="C384" s="893" t="s">
        <v>693</v>
      </c>
      <c r="D384" s="615"/>
      <c r="E384" s="613" t="s">
        <v>693</v>
      </c>
      <c r="F384" s="613" t="s">
        <v>60</v>
      </c>
      <c r="G384" s="613" t="s">
        <v>735</v>
      </c>
      <c r="H384" s="613"/>
      <c r="I384" s="613"/>
      <c r="J384" s="613"/>
      <c r="K384" s="877"/>
      <c r="L384" s="291"/>
    </row>
    <row r="385" spans="1:12" s="179" customFormat="1" ht="14" hidden="1" outlineLevel="1" x14ac:dyDescent="0.2">
      <c r="A385" s="455"/>
      <c r="B385" s="455"/>
      <c r="C385" s="893" t="s">
        <v>702</v>
      </c>
      <c r="D385" s="615"/>
      <c r="E385" s="613" t="s">
        <v>702</v>
      </c>
      <c r="F385" s="613" t="s">
        <v>34</v>
      </c>
      <c r="G385" s="613" t="s">
        <v>745</v>
      </c>
      <c r="H385" s="613"/>
      <c r="I385" s="613"/>
      <c r="J385" s="613"/>
      <c r="K385" s="877"/>
      <c r="L385" s="291"/>
    </row>
    <row r="386" spans="1:12" s="179" customFormat="1" ht="14" hidden="1" outlineLevel="1" x14ac:dyDescent="0.2">
      <c r="A386" s="455"/>
      <c r="B386" s="455"/>
      <c r="C386" s="893" t="s">
        <v>195</v>
      </c>
      <c r="D386" s="615"/>
      <c r="E386" s="613" t="s">
        <v>195</v>
      </c>
      <c r="F386" s="613" t="s">
        <v>1079</v>
      </c>
      <c r="G386" s="613" t="s">
        <v>1052</v>
      </c>
      <c r="H386" s="613"/>
      <c r="I386" s="613"/>
      <c r="J386" s="613"/>
      <c r="K386" s="877"/>
      <c r="L386" s="291"/>
    </row>
    <row r="387" spans="1:12" s="179" customFormat="1" ht="28" hidden="1" outlineLevel="1" x14ac:dyDescent="0.2">
      <c r="A387" s="455"/>
      <c r="B387" s="455"/>
      <c r="C387" s="893" t="s">
        <v>199</v>
      </c>
      <c r="D387" s="615"/>
      <c r="E387" s="613" t="s">
        <v>199</v>
      </c>
      <c r="F387" s="613" t="s">
        <v>1083</v>
      </c>
      <c r="G387" s="613" t="s">
        <v>1056</v>
      </c>
      <c r="H387" s="613"/>
      <c r="I387" s="613"/>
      <c r="J387" s="613"/>
      <c r="K387" s="877"/>
      <c r="L387" s="291"/>
    </row>
    <row r="388" spans="1:12" s="179" customFormat="1" ht="28" hidden="1" outlineLevel="1" x14ac:dyDescent="0.2">
      <c r="A388" s="455"/>
      <c r="B388" s="455"/>
      <c r="C388" s="893" t="s">
        <v>197</v>
      </c>
      <c r="D388" s="615"/>
      <c r="E388" s="613" t="s">
        <v>197</v>
      </c>
      <c r="F388" s="613" t="s">
        <v>1081</v>
      </c>
      <c r="G388" s="613" t="s">
        <v>1054</v>
      </c>
      <c r="H388" s="613"/>
      <c r="I388" s="613"/>
      <c r="J388" s="613"/>
      <c r="K388" s="877"/>
      <c r="L388" s="291"/>
    </row>
    <row r="389" spans="1:12" s="179" customFormat="1" ht="28" hidden="1" outlineLevel="1" x14ac:dyDescent="0.2">
      <c r="A389" s="455"/>
      <c r="B389" s="455"/>
      <c r="C389" s="893" t="s">
        <v>1078</v>
      </c>
      <c r="D389" s="615"/>
      <c r="E389" s="613" t="s">
        <v>1078</v>
      </c>
      <c r="F389" s="613" t="s">
        <v>1080</v>
      </c>
      <c r="G389" s="613" t="s">
        <v>1053</v>
      </c>
      <c r="H389" s="613"/>
      <c r="I389" s="613"/>
      <c r="J389" s="613"/>
      <c r="K389" s="877"/>
      <c r="L389" s="291"/>
    </row>
    <row r="390" spans="1:12" s="179" customFormat="1" ht="28" hidden="1" outlineLevel="1" x14ac:dyDescent="0.2">
      <c r="A390" s="455"/>
      <c r="B390" s="455"/>
      <c r="C390" s="893" t="s">
        <v>198</v>
      </c>
      <c r="D390" s="615"/>
      <c r="E390" s="613" t="s">
        <v>198</v>
      </c>
      <c r="F390" s="613" t="s">
        <v>1082</v>
      </c>
      <c r="G390" s="613" t="s">
        <v>1055</v>
      </c>
      <c r="H390" s="613"/>
      <c r="I390" s="613"/>
      <c r="J390" s="613"/>
      <c r="K390" s="877"/>
      <c r="L390" s="291"/>
    </row>
    <row r="391" spans="1:12" s="179" customFormat="1" ht="14" hidden="1" outlineLevel="1" x14ac:dyDescent="0.2">
      <c r="A391" s="455"/>
      <c r="B391" s="455"/>
      <c r="C391" s="893" t="s">
        <v>457</v>
      </c>
      <c r="D391" s="615"/>
      <c r="E391" s="613" t="s">
        <v>457</v>
      </c>
      <c r="F391" s="613" t="s">
        <v>1192</v>
      </c>
      <c r="G391" s="613" t="s">
        <v>454</v>
      </c>
      <c r="H391" s="613"/>
      <c r="I391" s="613"/>
      <c r="J391" s="613"/>
      <c r="K391" s="877"/>
      <c r="L391" s="291"/>
    </row>
    <row r="392" spans="1:12" s="179" customFormat="1" ht="14" hidden="1" outlineLevel="1" x14ac:dyDescent="0.2">
      <c r="A392" s="455"/>
      <c r="B392" s="455"/>
      <c r="C392" s="893" t="s">
        <v>526</v>
      </c>
      <c r="D392" s="615"/>
      <c r="E392" s="613" t="s">
        <v>526</v>
      </c>
      <c r="F392" s="613" t="s">
        <v>1193</v>
      </c>
      <c r="G392" s="613" t="s">
        <v>1101</v>
      </c>
      <c r="H392" s="613"/>
      <c r="I392" s="613"/>
      <c r="J392" s="613"/>
      <c r="K392" s="877"/>
      <c r="L392" s="291"/>
    </row>
    <row r="393" spans="1:12" s="179" customFormat="1" ht="28" hidden="1" outlineLevel="1" x14ac:dyDescent="0.2">
      <c r="A393" s="455"/>
      <c r="B393" s="455"/>
      <c r="C393" s="893" t="s">
        <v>876</v>
      </c>
      <c r="D393" s="615"/>
      <c r="E393" s="613" t="s">
        <v>876</v>
      </c>
      <c r="F393" s="613" t="s">
        <v>873</v>
      </c>
      <c r="G393" s="613" t="s">
        <v>888</v>
      </c>
      <c r="H393" s="613"/>
      <c r="I393" s="613"/>
      <c r="J393" s="613"/>
      <c r="K393" s="877"/>
      <c r="L393" s="291"/>
    </row>
    <row r="394" spans="1:12" s="179" customFormat="1" ht="14" hidden="1" outlineLevel="1" x14ac:dyDescent="0.2">
      <c r="A394" s="455"/>
      <c r="B394" s="455"/>
      <c r="C394" s="893" t="s">
        <v>618</v>
      </c>
      <c r="D394" s="615"/>
      <c r="E394" s="613" t="s">
        <v>618</v>
      </c>
      <c r="F394" s="613" t="s">
        <v>1127</v>
      </c>
      <c r="G394" s="613" t="s">
        <v>1128</v>
      </c>
      <c r="H394" s="613"/>
      <c r="I394" s="613"/>
      <c r="J394" s="613"/>
      <c r="K394" s="877"/>
      <c r="L394" s="291"/>
    </row>
    <row r="395" spans="1:12" s="179" customFormat="1" ht="28" hidden="1" outlineLevel="1" x14ac:dyDescent="0.2">
      <c r="A395" s="455"/>
      <c r="B395" s="455"/>
      <c r="C395" s="893" t="s">
        <v>583</v>
      </c>
      <c r="D395" s="615"/>
      <c r="E395" s="613" t="s">
        <v>583</v>
      </c>
      <c r="F395" s="613" t="s">
        <v>584</v>
      </c>
      <c r="G395" s="613" t="s">
        <v>585</v>
      </c>
      <c r="H395" s="613"/>
      <c r="I395" s="613"/>
      <c r="J395" s="613"/>
      <c r="K395" s="877"/>
      <c r="L395" s="291"/>
    </row>
    <row r="396" spans="1:12" s="179" customFormat="1" ht="28" hidden="1" outlineLevel="1" x14ac:dyDescent="0.2">
      <c r="A396" s="455"/>
      <c r="B396" s="455"/>
      <c r="C396" s="893" t="s">
        <v>1707</v>
      </c>
      <c r="D396" s="615"/>
      <c r="E396" s="613" t="s">
        <v>1707</v>
      </c>
      <c r="F396" s="613" t="s">
        <v>1708</v>
      </c>
      <c r="G396" s="613" t="s">
        <v>1709</v>
      </c>
      <c r="H396" s="613"/>
      <c r="I396" s="613"/>
      <c r="J396" s="613"/>
      <c r="K396" s="877"/>
      <c r="L396" s="291"/>
    </row>
    <row r="397" spans="1:12" s="179" customFormat="1" ht="28" hidden="1" outlineLevel="1" x14ac:dyDescent="0.2">
      <c r="A397" s="455"/>
      <c r="B397" s="455"/>
      <c r="C397" s="893" t="s">
        <v>574</v>
      </c>
      <c r="D397" s="615"/>
      <c r="E397" s="613" t="s">
        <v>574</v>
      </c>
      <c r="F397" s="613" t="s">
        <v>573</v>
      </c>
      <c r="G397" s="613" t="s">
        <v>575</v>
      </c>
      <c r="H397" s="613"/>
      <c r="I397" s="613"/>
      <c r="J397" s="613"/>
      <c r="K397" s="877"/>
      <c r="L397" s="291"/>
    </row>
    <row r="398" spans="1:12" s="179" customFormat="1" ht="28" hidden="1" outlineLevel="1" x14ac:dyDescent="0.2">
      <c r="A398" s="455"/>
      <c r="B398" s="455"/>
      <c r="C398" s="893" t="s">
        <v>1731</v>
      </c>
      <c r="D398" s="615"/>
      <c r="E398" s="613" t="s">
        <v>1731</v>
      </c>
      <c r="F398" s="613" t="s">
        <v>1732</v>
      </c>
      <c r="G398" s="613" t="s">
        <v>1733</v>
      </c>
      <c r="H398" s="613"/>
      <c r="I398" s="613"/>
      <c r="J398" s="613"/>
      <c r="K398" s="877"/>
      <c r="L398" s="291"/>
    </row>
    <row r="399" spans="1:12" s="179" customFormat="1" ht="28" hidden="1" outlineLevel="1" x14ac:dyDescent="0.2">
      <c r="A399" s="455"/>
      <c r="B399" s="455"/>
      <c r="C399" s="893" t="s">
        <v>582</v>
      </c>
      <c r="D399" s="615"/>
      <c r="E399" s="613" t="s">
        <v>582</v>
      </c>
      <c r="F399" s="613" t="s">
        <v>581</v>
      </c>
      <c r="G399" s="613" t="s">
        <v>580</v>
      </c>
      <c r="H399" s="613"/>
      <c r="I399" s="613"/>
      <c r="J399" s="613"/>
      <c r="K399" s="877"/>
      <c r="L399" s="291"/>
    </row>
    <row r="400" spans="1:12" s="179" customFormat="1" ht="28" hidden="1" outlineLevel="1" x14ac:dyDescent="0.2">
      <c r="A400" s="455"/>
      <c r="B400" s="455"/>
      <c r="C400" s="893" t="s">
        <v>528</v>
      </c>
      <c r="D400" s="615"/>
      <c r="E400" s="613" t="s">
        <v>528</v>
      </c>
      <c r="F400" s="613" t="s">
        <v>1104</v>
      </c>
      <c r="G400" s="613" t="s">
        <v>1103</v>
      </c>
      <c r="H400" s="613"/>
      <c r="I400" s="613"/>
      <c r="J400" s="613"/>
      <c r="K400" s="877"/>
      <c r="L400" s="291"/>
    </row>
    <row r="401" spans="1:12" s="179" customFormat="1" ht="14" hidden="1" outlineLevel="1" x14ac:dyDescent="0.2">
      <c r="A401" s="455"/>
      <c r="B401" s="455"/>
      <c r="C401" s="893" t="s">
        <v>527</v>
      </c>
      <c r="D401" s="615"/>
      <c r="E401" s="613" t="s">
        <v>527</v>
      </c>
      <c r="F401" s="613" t="s">
        <v>1194</v>
      </c>
      <c r="G401" s="613" t="s">
        <v>1102</v>
      </c>
      <c r="H401" s="613"/>
      <c r="I401" s="613"/>
      <c r="J401" s="613"/>
      <c r="K401" s="877"/>
      <c r="L401" s="291"/>
    </row>
    <row r="402" spans="1:12" s="179" customFormat="1" ht="14" hidden="1" outlineLevel="1" x14ac:dyDescent="0.2">
      <c r="A402" s="455"/>
      <c r="B402" s="455"/>
      <c r="C402" s="893" t="s">
        <v>616</v>
      </c>
      <c r="D402" s="615"/>
      <c r="E402" s="613" t="s">
        <v>616</v>
      </c>
      <c r="F402" s="613" t="s">
        <v>1115</v>
      </c>
      <c r="G402" s="613" t="s">
        <v>1105</v>
      </c>
      <c r="H402" s="613"/>
      <c r="I402" s="613"/>
      <c r="J402" s="613"/>
      <c r="K402" s="877"/>
      <c r="L402" s="291"/>
    </row>
    <row r="403" spans="1:12" s="179" customFormat="1" ht="14" hidden="1" outlineLevel="1" x14ac:dyDescent="0.2">
      <c r="A403" s="455"/>
      <c r="B403" s="455"/>
      <c r="C403" s="893" t="s">
        <v>627</v>
      </c>
      <c r="D403" s="615"/>
      <c r="E403" s="613" t="s">
        <v>627</v>
      </c>
      <c r="F403" s="613" t="s">
        <v>1116</v>
      </c>
      <c r="G403" s="613" t="s">
        <v>1106</v>
      </c>
      <c r="H403" s="613"/>
      <c r="I403" s="613"/>
      <c r="J403" s="613"/>
      <c r="K403" s="877"/>
      <c r="L403" s="291"/>
    </row>
    <row r="404" spans="1:12" s="179" customFormat="1" ht="14" hidden="1" outlineLevel="1" x14ac:dyDescent="0.2">
      <c r="A404" s="455"/>
      <c r="B404" s="455"/>
      <c r="C404" s="893" t="s">
        <v>613</v>
      </c>
      <c r="D404" s="615"/>
      <c r="E404" s="613" t="s">
        <v>613</v>
      </c>
      <c r="F404" s="613" t="s">
        <v>614</v>
      </c>
      <c r="G404" s="613" t="s">
        <v>615</v>
      </c>
      <c r="H404" s="613"/>
      <c r="I404" s="613"/>
      <c r="J404" s="613"/>
      <c r="K404" s="877"/>
      <c r="L404" s="291"/>
    </row>
    <row r="405" spans="1:12" s="179" customFormat="1" ht="14" hidden="1" outlineLevel="1" x14ac:dyDescent="0.2">
      <c r="A405" s="455"/>
      <c r="B405" s="455"/>
      <c r="C405" s="893" t="s">
        <v>611</v>
      </c>
      <c r="D405" s="615"/>
      <c r="E405" s="613" t="s">
        <v>611</v>
      </c>
      <c r="F405" s="613" t="s">
        <v>113</v>
      </c>
      <c r="G405" s="613" t="s">
        <v>612</v>
      </c>
      <c r="H405" s="613"/>
      <c r="I405" s="613"/>
      <c r="J405" s="613"/>
      <c r="K405" s="877"/>
      <c r="L405" s="291"/>
    </row>
    <row r="406" spans="1:12" s="179" customFormat="1" ht="28" hidden="1" outlineLevel="1" x14ac:dyDescent="0.2">
      <c r="A406" s="455"/>
      <c r="B406" s="455"/>
      <c r="C406" s="893" t="s">
        <v>1613</v>
      </c>
      <c r="D406" s="615"/>
      <c r="E406" s="613" t="s">
        <v>1613</v>
      </c>
      <c r="F406" s="613" t="s">
        <v>1554</v>
      </c>
      <c r="G406" s="613" t="s">
        <v>1990</v>
      </c>
      <c r="H406" s="613"/>
      <c r="I406" s="613"/>
      <c r="J406" s="613"/>
      <c r="K406" s="877"/>
      <c r="L406" s="291"/>
    </row>
    <row r="407" spans="1:12" s="179" customFormat="1" ht="14" hidden="1" outlineLevel="1" x14ac:dyDescent="0.2">
      <c r="A407" s="455"/>
      <c r="B407" s="455"/>
      <c r="C407" s="893" t="s">
        <v>1610</v>
      </c>
      <c r="D407" s="615"/>
      <c r="E407" s="613" t="s">
        <v>1610</v>
      </c>
      <c r="F407" s="613" t="s">
        <v>1646</v>
      </c>
      <c r="G407" s="613" t="s">
        <v>1647</v>
      </c>
      <c r="H407" s="613"/>
      <c r="I407" s="613"/>
      <c r="J407" s="613"/>
      <c r="K407" s="877"/>
      <c r="L407" s="291"/>
    </row>
    <row r="408" spans="1:12" s="179" customFormat="1" ht="14" hidden="1" outlineLevel="1" x14ac:dyDescent="0.2">
      <c r="A408" s="455"/>
      <c r="B408" s="455"/>
      <c r="C408" s="893" t="s">
        <v>1611</v>
      </c>
      <c r="D408" s="615"/>
      <c r="E408" s="613" t="s">
        <v>1611</v>
      </c>
      <c r="F408" s="613" t="s">
        <v>1650</v>
      </c>
      <c r="G408" s="613" t="s">
        <v>1648</v>
      </c>
      <c r="H408" s="613"/>
      <c r="I408" s="613"/>
      <c r="J408" s="613"/>
      <c r="K408" s="877"/>
      <c r="L408" s="291"/>
    </row>
    <row r="409" spans="1:12" s="179" customFormat="1" ht="14" hidden="1" outlineLevel="1" x14ac:dyDescent="0.2">
      <c r="A409" s="455"/>
      <c r="B409" s="455"/>
      <c r="C409" s="893" t="s">
        <v>1612</v>
      </c>
      <c r="D409" s="615"/>
      <c r="E409" s="613" t="s">
        <v>1612</v>
      </c>
      <c r="F409" s="613" t="s">
        <v>1651</v>
      </c>
      <c r="G409" s="613" t="s">
        <v>1649</v>
      </c>
      <c r="H409" s="613"/>
      <c r="I409" s="613"/>
      <c r="J409" s="613"/>
      <c r="K409" s="877"/>
      <c r="L409" s="291"/>
    </row>
    <row r="410" spans="1:12" s="179" customFormat="1" ht="14" hidden="1" outlineLevel="1" x14ac:dyDescent="0.2">
      <c r="A410" s="455"/>
      <c r="B410" s="455"/>
      <c r="C410" s="893" t="s">
        <v>954</v>
      </c>
      <c r="D410" s="615"/>
      <c r="E410" s="613" t="s">
        <v>954</v>
      </c>
      <c r="F410" s="613" t="s">
        <v>17</v>
      </c>
      <c r="G410" s="613" t="s">
        <v>954</v>
      </c>
      <c r="H410" s="613"/>
      <c r="I410" s="613"/>
      <c r="J410" s="613"/>
      <c r="K410" s="877"/>
      <c r="L410" s="291"/>
    </row>
    <row r="411" spans="1:12" s="179" customFormat="1" ht="14" hidden="1" outlineLevel="1" x14ac:dyDescent="0.2">
      <c r="A411" s="455"/>
      <c r="B411" s="455"/>
      <c r="C411" s="893" t="s">
        <v>955</v>
      </c>
      <c r="D411" s="615"/>
      <c r="E411" s="613" t="s">
        <v>955</v>
      </c>
      <c r="F411" s="613" t="s">
        <v>18</v>
      </c>
      <c r="G411" s="613" t="s">
        <v>955</v>
      </c>
      <c r="H411" s="613"/>
      <c r="I411" s="613"/>
      <c r="J411" s="613"/>
      <c r="K411" s="877"/>
      <c r="L411" s="291"/>
    </row>
    <row r="412" spans="1:12" s="179" customFormat="1" ht="14" hidden="1" outlineLevel="1" x14ac:dyDescent="0.2">
      <c r="A412" s="455"/>
      <c r="B412" s="455"/>
      <c r="C412" s="893" t="s">
        <v>121</v>
      </c>
      <c r="D412" s="615"/>
      <c r="E412" s="613" t="s">
        <v>121</v>
      </c>
      <c r="F412" s="613" t="s">
        <v>121</v>
      </c>
      <c r="G412" s="613" t="s">
        <v>626</v>
      </c>
      <c r="H412" s="613"/>
      <c r="I412" s="613"/>
      <c r="J412" s="613"/>
      <c r="K412" s="877"/>
      <c r="L412" s="291"/>
    </row>
    <row r="413" spans="1:12" s="179" customFormat="1" ht="14" hidden="1" outlineLevel="1" x14ac:dyDescent="0.2">
      <c r="A413" s="455"/>
      <c r="B413" s="455"/>
      <c r="C413" s="893" t="s">
        <v>1012</v>
      </c>
      <c r="D413" s="615"/>
      <c r="E413" s="613" t="s">
        <v>1012</v>
      </c>
      <c r="F413" s="613" t="s">
        <v>185</v>
      </c>
      <c r="G413" s="613" t="s">
        <v>1019</v>
      </c>
      <c r="H413" s="613"/>
      <c r="I413" s="613"/>
      <c r="J413" s="613"/>
      <c r="K413" s="877"/>
      <c r="L413" s="291"/>
    </row>
    <row r="414" spans="1:12" s="179" customFormat="1" ht="28" hidden="1" outlineLevel="1" x14ac:dyDescent="0.2">
      <c r="A414" s="455"/>
      <c r="B414" s="455"/>
      <c r="C414" s="893" t="s">
        <v>700</v>
      </c>
      <c r="D414" s="615"/>
      <c r="E414" s="613" t="s">
        <v>700</v>
      </c>
      <c r="F414" s="613" t="s">
        <v>69</v>
      </c>
      <c r="G414" s="613" t="s">
        <v>742</v>
      </c>
      <c r="H414" s="613"/>
      <c r="I414" s="613"/>
      <c r="J414" s="613"/>
      <c r="K414" s="877"/>
      <c r="L414" s="291"/>
    </row>
    <row r="415" spans="1:12" s="179" customFormat="1" ht="14" hidden="1" outlineLevel="1" x14ac:dyDescent="0.2">
      <c r="A415" s="455"/>
      <c r="B415" s="455"/>
      <c r="C415" s="893" t="s">
        <v>1057</v>
      </c>
      <c r="D415" s="615"/>
      <c r="E415" s="613" t="s">
        <v>1057</v>
      </c>
      <c r="F415" s="613" t="s">
        <v>193</v>
      </c>
      <c r="G415" s="613" t="s">
        <v>1043</v>
      </c>
      <c r="H415" s="613"/>
      <c r="I415" s="613"/>
      <c r="J415" s="613"/>
      <c r="K415" s="877"/>
      <c r="L415" s="291"/>
    </row>
    <row r="416" spans="1:12" s="179" customFormat="1" ht="14" hidden="1" outlineLevel="1" x14ac:dyDescent="0.2">
      <c r="A416" s="455"/>
      <c r="B416" s="455"/>
      <c r="C416" s="893" t="s">
        <v>951</v>
      </c>
      <c r="D416" s="615"/>
      <c r="E416" s="613" t="s">
        <v>951</v>
      </c>
      <c r="F416" s="613" t="s">
        <v>175</v>
      </c>
      <c r="G416" s="613" t="s">
        <v>952</v>
      </c>
      <c r="H416" s="613"/>
      <c r="I416" s="613"/>
      <c r="J416" s="613"/>
      <c r="K416" s="877"/>
      <c r="L416" s="291"/>
    </row>
    <row r="417" spans="1:12" s="179" customFormat="1" ht="14" hidden="1" outlineLevel="1" x14ac:dyDescent="0.2">
      <c r="A417" s="455"/>
      <c r="B417" s="455"/>
      <c r="C417" s="893" t="s">
        <v>970</v>
      </c>
      <c r="D417" s="615"/>
      <c r="E417" s="613" t="s">
        <v>970</v>
      </c>
      <c r="F417" s="613" t="s">
        <v>1156</v>
      </c>
      <c r="G417" s="613" t="s">
        <v>1155</v>
      </c>
      <c r="H417" s="613"/>
      <c r="I417" s="613"/>
      <c r="J417" s="613"/>
      <c r="K417" s="877"/>
      <c r="L417" s="291"/>
    </row>
    <row r="418" spans="1:12" s="179" customFormat="1" ht="14" hidden="1" outlineLevel="1" x14ac:dyDescent="0.2">
      <c r="A418" s="455"/>
      <c r="B418" s="455"/>
      <c r="C418" s="893" t="s">
        <v>695</v>
      </c>
      <c r="D418" s="615"/>
      <c r="E418" s="613" t="s">
        <v>695</v>
      </c>
      <c r="F418" s="613" t="s">
        <v>84</v>
      </c>
      <c r="G418" s="613" t="s">
        <v>737</v>
      </c>
      <c r="H418" s="613"/>
      <c r="I418" s="613"/>
      <c r="J418" s="613"/>
      <c r="K418" s="877"/>
      <c r="L418" s="291"/>
    </row>
    <row r="419" spans="1:12" s="179" customFormat="1" ht="14" hidden="1" outlineLevel="1" x14ac:dyDescent="0.2">
      <c r="A419" s="455"/>
      <c r="B419" s="455"/>
      <c r="C419" s="893" t="s">
        <v>635</v>
      </c>
      <c r="D419" s="615"/>
      <c r="E419" s="613" t="s">
        <v>635</v>
      </c>
      <c r="F419" s="613" t="s">
        <v>45</v>
      </c>
      <c r="G419" s="613" t="s">
        <v>638</v>
      </c>
      <c r="H419" s="613"/>
      <c r="I419" s="613"/>
      <c r="J419" s="613"/>
      <c r="K419" s="877"/>
      <c r="L419" s="291"/>
    </row>
    <row r="420" spans="1:12" s="179" customFormat="1" ht="14" hidden="1" outlineLevel="1" x14ac:dyDescent="0.2">
      <c r="A420" s="455"/>
      <c r="B420" s="455"/>
      <c r="C420" s="893" t="s">
        <v>646</v>
      </c>
      <c r="D420" s="615"/>
      <c r="E420" s="613" t="s">
        <v>646</v>
      </c>
      <c r="F420" s="613" t="s">
        <v>39</v>
      </c>
      <c r="G420" s="613" t="s">
        <v>647</v>
      </c>
      <c r="H420" s="613"/>
      <c r="I420" s="613"/>
      <c r="J420" s="613"/>
      <c r="K420" s="877"/>
      <c r="L420" s="291"/>
    </row>
    <row r="421" spans="1:12" s="179" customFormat="1" ht="14" hidden="1" outlineLevel="1" x14ac:dyDescent="0.2">
      <c r="A421" s="455"/>
      <c r="B421" s="455"/>
      <c r="C421" s="893" t="s">
        <v>753</v>
      </c>
      <c r="D421" s="615"/>
      <c r="E421" s="613" t="s">
        <v>753</v>
      </c>
      <c r="F421" s="613" t="s">
        <v>1200</v>
      </c>
      <c r="G421" s="613" t="s">
        <v>1201</v>
      </c>
      <c r="H421" s="613"/>
      <c r="I421" s="613"/>
      <c r="J421" s="613"/>
      <c r="K421" s="877"/>
      <c r="L421" s="291"/>
    </row>
    <row r="422" spans="1:12" s="179" customFormat="1" ht="14" hidden="1" outlineLevel="1" x14ac:dyDescent="0.2">
      <c r="A422" s="455"/>
      <c r="B422" s="455"/>
      <c r="C422" s="893" t="s">
        <v>861</v>
      </c>
      <c r="D422" s="615"/>
      <c r="E422" s="613" t="s">
        <v>861</v>
      </c>
      <c r="F422" s="613" t="s">
        <v>1195</v>
      </c>
      <c r="G422" s="613" t="s">
        <v>1196</v>
      </c>
      <c r="H422" s="613"/>
      <c r="I422" s="613"/>
      <c r="J422" s="613"/>
      <c r="K422" s="877"/>
      <c r="L422" s="291"/>
    </row>
    <row r="423" spans="1:12" s="179" customFormat="1" ht="14" hidden="1" outlineLevel="1" x14ac:dyDescent="0.2">
      <c r="A423" s="455"/>
      <c r="B423" s="455"/>
      <c r="C423" s="893" t="s">
        <v>764</v>
      </c>
      <c r="D423" s="615"/>
      <c r="E423" s="613" t="s">
        <v>764</v>
      </c>
      <c r="F423" s="613" t="s">
        <v>130</v>
      </c>
      <c r="G423" s="613" t="s">
        <v>767</v>
      </c>
      <c r="H423" s="613"/>
      <c r="I423" s="613"/>
      <c r="J423" s="613"/>
      <c r="K423" s="877"/>
      <c r="L423" s="291"/>
    </row>
    <row r="424" spans="1:12" s="179" customFormat="1" ht="14" hidden="1" outlineLevel="1" x14ac:dyDescent="0.2">
      <c r="A424" s="455"/>
      <c r="B424" s="455"/>
      <c r="C424" s="893" t="s">
        <v>134</v>
      </c>
      <c r="D424" s="615"/>
      <c r="E424" s="613" t="s">
        <v>134</v>
      </c>
      <c r="F424" s="613" t="s">
        <v>134</v>
      </c>
      <c r="G424" s="613" t="s">
        <v>878</v>
      </c>
      <c r="H424" s="613"/>
      <c r="I424" s="613"/>
      <c r="J424" s="613"/>
      <c r="K424" s="877"/>
      <c r="L424" s="291"/>
    </row>
    <row r="425" spans="1:12" s="179" customFormat="1" ht="14" hidden="1" outlineLevel="1" x14ac:dyDescent="0.2">
      <c r="A425" s="455"/>
      <c r="B425" s="455"/>
      <c r="C425" s="893" t="s">
        <v>632</v>
      </c>
      <c r="D425" s="615"/>
      <c r="E425" s="613" t="s">
        <v>632</v>
      </c>
      <c r="F425" s="613" t="s">
        <v>1238</v>
      </c>
      <c r="G425" s="613" t="s">
        <v>1240</v>
      </c>
      <c r="H425" s="613"/>
      <c r="I425" s="613"/>
      <c r="J425" s="613"/>
      <c r="K425" s="877"/>
      <c r="L425" s="291"/>
    </row>
    <row r="426" spans="1:12" s="179" customFormat="1" ht="14" hidden="1" outlineLevel="1" x14ac:dyDescent="0.2">
      <c r="A426" s="455"/>
      <c r="B426" s="455"/>
      <c r="C426" s="893" t="s">
        <v>631</v>
      </c>
      <c r="D426" s="615"/>
      <c r="E426" s="613" t="s">
        <v>631</v>
      </c>
      <c r="F426" s="613" t="s">
        <v>1237</v>
      </c>
      <c r="G426" s="613" t="s">
        <v>1239</v>
      </c>
      <c r="H426" s="613"/>
      <c r="I426" s="613"/>
      <c r="J426" s="613"/>
      <c r="K426" s="877"/>
      <c r="L426" s="291"/>
    </row>
    <row r="427" spans="1:12" s="179" customFormat="1" ht="28" hidden="1" outlineLevel="1" x14ac:dyDescent="0.2">
      <c r="A427" s="455"/>
      <c r="B427" s="455"/>
      <c r="C427" s="893" t="s">
        <v>866</v>
      </c>
      <c r="D427" s="615"/>
      <c r="E427" s="613" t="s">
        <v>866</v>
      </c>
      <c r="F427" s="613" t="s">
        <v>136</v>
      </c>
      <c r="G427" s="613" t="s">
        <v>881</v>
      </c>
      <c r="H427" s="613"/>
      <c r="I427" s="613"/>
      <c r="J427" s="613"/>
      <c r="K427" s="877"/>
      <c r="L427" s="291"/>
    </row>
    <row r="428" spans="1:12" s="179" customFormat="1" ht="14" hidden="1" outlineLevel="1" x14ac:dyDescent="0.2">
      <c r="A428" s="455"/>
      <c r="B428" s="455"/>
      <c r="C428" s="893" t="s">
        <v>897</v>
      </c>
      <c r="D428" s="615"/>
      <c r="E428" s="613" t="s">
        <v>897</v>
      </c>
      <c r="F428" s="613" t="s">
        <v>1112</v>
      </c>
      <c r="G428" s="613" t="s">
        <v>1110</v>
      </c>
      <c r="H428" s="613"/>
      <c r="I428" s="613"/>
      <c r="J428" s="613"/>
      <c r="K428" s="877"/>
      <c r="L428" s="291"/>
    </row>
    <row r="429" spans="1:12" s="179" customFormat="1" ht="42" hidden="1" outlineLevel="1" x14ac:dyDescent="0.2">
      <c r="A429" s="455"/>
      <c r="B429" s="455"/>
      <c r="C429" s="893" t="s">
        <v>871</v>
      </c>
      <c r="D429" s="615"/>
      <c r="E429" s="613" t="s">
        <v>871</v>
      </c>
      <c r="F429" s="613" t="s">
        <v>140</v>
      </c>
      <c r="G429" s="613" t="s">
        <v>886</v>
      </c>
      <c r="H429" s="613"/>
      <c r="I429" s="613"/>
      <c r="J429" s="613"/>
      <c r="K429" s="877"/>
      <c r="L429" s="291"/>
    </row>
    <row r="430" spans="1:12" s="179" customFormat="1" ht="14" hidden="1" outlineLevel="1" x14ac:dyDescent="0.2">
      <c r="A430" s="455"/>
      <c r="B430" s="455"/>
      <c r="C430" s="893" t="s">
        <v>1027</v>
      </c>
      <c r="D430" s="615"/>
      <c r="E430" s="613" t="s">
        <v>1027</v>
      </c>
      <c r="F430" s="613" t="s">
        <v>192</v>
      </c>
      <c r="G430" s="613" t="s">
        <v>1028</v>
      </c>
      <c r="H430" s="613"/>
      <c r="I430" s="613"/>
      <c r="J430" s="613"/>
      <c r="K430" s="877"/>
      <c r="L430" s="291"/>
    </row>
    <row r="431" spans="1:12" s="179" customFormat="1" ht="14" hidden="1" outlineLevel="1" x14ac:dyDescent="0.2">
      <c r="A431" s="455"/>
      <c r="B431" s="455"/>
      <c r="C431" s="893" t="s">
        <v>908</v>
      </c>
      <c r="D431" s="615"/>
      <c r="E431" s="613" t="s">
        <v>908</v>
      </c>
      <c r="F431" s="613" t="s">
        <v>172</v>
      </c>
      <c r="G431" s="613" t="s">
        <v>902</v>
      </c>
      <c r="H431" s="613"/>
      <c r="I431" s="613"/>
      <c r="J431" s="613"/>
      <c r="K431" s="877"/>
      <c r="L431" s="291"/>
    </row>
    <row r="432" spans="1:12" s="179" customFormat="1" ht="28" hidden="1" outlineLevel="1" x14ac:dyDescent="0.2">
      <c r="A432" s="455"/>
      <c r="B432" s="455"/>
      <c r="C432" s="893" t="s">
        <v>648</v>
      </c>
      <c r="D432" s="615"/>
      <c r="E432" s="613" t="s">
        <v>648</v>
      </c>
      <c r="F432" s="613" t="s">
        <v>53</v>
      </c>
      <c r="G432" s="613" t="s">
        <v>649</v>
      </c>
      <c r="H432" s="613"/>
      <c r="I432" s="613"/>
      <c r="J432" s="613"/>
      <c r="K432" s="877"/>
      <c r="L432" s="291"/>
    </row>
    <row r="433" spans="1:12" s="179" customFormat="1" ht="28" hidden="1" outlineLevel="1" x14ac:dyDescent="0.2">
      <c r="A433" s="455"/>
      <c r="B433" s="455"/>
      <c r="C433" s="893" t="s">
        <v>705</v>
      </c>
      <c r="D433" s="615"/>
      <c r="E433" s="613" t="s">
        <v>705</v>
      </c>
      <c r="F433" s="613" t="s">
        <v>55</v>
      </c>
      <c r="G433" s="613" t="s">
        <v>748</v>
      </c>
      <c r="H433" s="613"/>
      <c r="I433" s="613"/>
      <c r="J433" s="613"/>
      <c r="K433" s="877"/>
      <c r="L433" s="291"/>
    </row>
    <row r="434" spans="1:12" s="179" customFormat="1" ht="28" hidden="1" outlineLevel="1" x14ac:dyDescent="0.2">
      <c r="A434" s="455"/>
      <c r="B434" s="455"/>
      <c r="C434" s="893" t="s">
        <v>706</v>
      </c>
      <c r="D434" s="615"/>
      <c r="E434" s="613" t="s">
        <v>706</v>
      </c>
      <c r="F434" s="613" t="s">
        <v>68</v>
      </c>
      <c r="G434" s="613" t="s">
        <v>749</v>
      </c>
      <c r="H434" s="613"/>
      <c r="I434" s="613"/>
      <c r="J434" s="613"/>
      <c r="K434" s="877"/>
      <c r="L434" s="291"/>
    </row>
    <row r="435" spans="1:12" s="179" customFormat="1" ht="14" hidden="1" outlineLevel="1" x14ac:dyDescent="0.2">
      <c r="A435" s="455"/>
      <c r="B435" s="455"/>
      <c r="C435" s="893" t="s">
        <v>661</v>
      </c>
      <c r="D435" s="615"/>
      <c r="E435" s="613" t="s">
        <v>661</v>
      </c>
      <c r="F435" s="613" t="s">
        <v>94</v>
      </c>
      <c r="G435" s="613" t="s">
        <v>656</v>
      </c>
      <c r="H435" s="613"/>
      <c r="I435" s="613"/>
      <c r="J435" s="613"/>
      <c r="K435" s="877"/>
      <c r="L435" s="291"/>
    </row>
    <row r="436" spans="1:12" s="179" customFormat="1" ht="14" hidden="1" outlineLevel="1" x14ac:dyDescent="0.2">
      <c r="A436" s="455"/>
      <c r="B436" s="455"/>
      <c r="C436" s="893" t="s">
        <v>29</v>
      </c>
      <c r="D436" s="615"/>
      <c r="E436" s="613" t="s">
        <v>29</v>
      </c>
      <c r="F436" s="613" t="s">
        <v>29</v>
      </c>
      <c r="G436" s="613" t="s">
        <v>750</v>
      </c>
      <c r="H436" s="613"/>
      <c r="I436" s="613"/>
      <c r="J436" s="613"/>
      <c r="K436" s="877"/>
      <c r="L436" s="291"/>
    </row>
    <row r="437" spans="1:12" s="179" customFormat="1" ht="14" hidden="1" outlineLevel="1" x14ac:dyDescent="0.2">
      <c r="A437" s="455"/>
      <c r="B437" s="455"/>
      <c r="C437" s="893" t="s">
        <v>987</v>
      </c>
      <c r="D437" s="615"/>
      <c r="E437" s="613" t="s">
        <v>987</v>
      </c>
      <c r="F437" s="613" t="s">
        <v>1133</v>
      </c>
      <c r="G437" s="613" t="s">
        <v>1124</v>
      </c>
      <c r="H437" s="613"/>
      <c r="I437" s="613"/>
      <c r="J437" s="613"/>
      <c r="K437" s="877"/>
      <c r="L437" s="291"/>
    </row>
    <row r="438" spans="1:12" s="179" customFormat="1" ht="28" hidden="1" outlineLevel="1" x14ac:dyDescent="0.2">
      <c r="A438" s="455"/>
      <c r="B438" s="455"/>
      <c r="C438" s="893" t="s">
        <v>998</v>
      </c>
      <c r="D438" s="615"/>
      <c r="E438" s="613" t="s">
        <v>998</v>
      </c>
      <c r="F438" s="613" t="s">
        <v>1117</v>
      </c>
      <c r="G438" s="613" t="s">
        <v>1118</v>
      </c>
      <c r="H438" s="613"/>
      <c r="I438" s="613"/>
      <c r="J438" s="613"/>
      <c r="K438" s="877"/>
      <c r="L438" s="291"/>
    </row>
    <row r="439" spans="1:12" s="179" customFormat="1" ht="14" hidden="1" outlineLevel="1" x14ac:dyDescent="0.2">
      <c r="A439" s="455"/>
      <c r="B439" s="455"/>
      <c r="C439" s="893" t="s">
        <v>1656</v>
      </c>
      <c r="D439" s="615"/>
      <c r="E439" s="613" t="s">
        <v>1656</v>
      </c>
      <c r="F439" s="613" t="s">
        <v>1561</v>
      </c>
      <c r="G439" s="613" t="s">
        <v>1660</v>
      </c>
      <c r="H439" s="616"/>
      <c r="I439" s="616"/>
      <c r="J439" s="616"/>
      <c r="K439" s="877"/>
      <c r="L439" s="291"/>
    </row>
    <row r="440" spans="1:12" s="179" customFormat="1" ht="28" hidden="1" outlineLevel="1" x14ac:dyDescent="0.2">
      <c r="A440" s="455"/>
      <c r="B440" s="455"/>
      <c r="C440" s="893" t="s">
        <v>1657</v>
      </c>
      <c r="D440" s="615"/>
      <c r="E440" s="613" t="s">
        <v>1657</v>
      </c>
      <c r="F440" s="613" t="s">
        <v>1597</v>
      </c>
      <c r="G440" s="613" t="s">
        <v>1662</v>
      </c>
      <c r="H440" s="616"/>
      <c r="I440" s="616"/>
      <c r="J440" s="616"/>
      <c r="K440" s="877"/>
      <c r="L440" s="291"/>
    </row>
    <row r="441" spans="1:12" s="179" customFormat="1" ht="14" hidden="1" outlineLevel="1" x14ac:dyDescent="0.2">
      <c r="A441" s="455"/>
      <c r="B441" s="455"/>
      <c r="C441" s="893" t="s">
        <v>1658</v>
      </c>
      <c r="D441" s="615"/>
      <c r="E441" s="613" t="s">
        <v>1658</v>
      </c>
      <c r="F441" s="613" t="s">
        <v>1562</v>
      </c>
      <c r="G441" s="613" t="s">
        <v>1661</v>
      </c>
      <c r="H441" s="616"/>
      <c r="I441" s="616"/>
      <c r="J441" s="616"/>
      <c r="K441" s="877"/>
      <c r="L441" s="291"/>
    </row>
    <row r="442" spans="1:12" s="179" customFormat="1" ht="28" hidden="1" outlineLevel="1" x14ac:dyDescent="0.2">
      <c r="A442" s="455"/>
      <c r="B442" s="455"/>
      <c r="C442" s="893" t="s">
        <v>1659</v>
      </c>
      <c r="D442" s="615"/>
      <c r="E442" s="613" t="s">
        <v>1659</v>
      </c>
      <c r="F442" s="613" t="s">
        <v>1598</v>
      </c>
      <c r="G442" s="613" t="s">
        <v>1663</v>
      </c>
      <c r="H442" s="616"/>
      <c r="I442" s="616"/>
      <c r="J442" s="616"/>
      <c r="K442" s="877"/>
      <c r="L442" s="291"/>
    </row>
    <row r="443" spans="1:12" s="179" customFormat="1" ht="14" hidden="1" outlineLevel="1" x14ac:dyDescent="0.2">
      <c r="A443" s="455"/>
      <c r="B443" s="455"/>
      <c r="C443" s="893" t="s">
        <v>1165</v>
      </c>
      <c r="D443" s="615"/>
      <c r="E443" s="613" t="s">
        <v>1165</v>
      </c>
      <c r="F443" s="613" t="s">
        <v>1179</v>
      </c>
      <c r="G443" s="613" t="s">
        <v>1180</v>
      </c>
      <c r="H443" s="613"/>
      <c r="I443" s="613"/>
      <c r="J443" s="613"/>
      <c r="K443" s="877"/>
      <c r="L443" s="291"/>
    </row>
    <row r="444" spans="1:12" s="179" customFormat="1" ht="14" hidden="1" outlineLevel="1" x14ac:dyDescent="0.2">
      <c r="A444" s="455"/>
      <c r="B444" s="455"/>
      <c r="C444" s="893" t="s">
        <v>1164</v>
      </c>
      <c r="D444" s="615"/>
      <c r="E444" s="613" t="s">
        <v>1164</v>
      </c>
      <c r="F444" s="613" t="s">
        <v>1174</v>
      </c>
      <c r="G444" s="613" t="s">
        <v>1176</v>
      </c>
      <c r="H444" s="613"/>
      <c r="I444" s="613"/>
      <c r="J444" s="613"/>
      <c r="K444" s="877"/>
      <c r="L444" s="291"/>
    </row>
    <row r="445" spans="1:12" s="179" customFormat="1" ht="14" hidden="1" outlineLevel="1" x14ac:dyDescent="0.2">
      <c r="A445" s="455"/>
      <c r="B445" s="455"/>
      <c r="C445" s="893" t="s">
        <v>1168</v>
      </c>
      <c r="D445" s="615"/>
      <c r="E445" s="613" t="s">
        <v>1168</v>
      </c>
      <c r="F445" s="613" t="s">
        <v>1169</v>
      </c>
      <c r="G445" s="613" t="s">
        <v>1171</v>
      </c>
      <c r="H445" s="613"/>
      <c r="I445" s="613"/>
      <c r="J445" s="613"/>
      <c r="K445" s="877"/>
      <c r="L445" s="291"/>
    </row>
    <row r="446" spans="1:12" s="179" customFormat="1" ht="28" hidden="1" outlineLevel="1" x14ac:dyDescent="0.2">
      <c r="A446" s="455"/>
      <c r="B446" s="455"/>
      <c r="C446" s="893" t="s">
        <v>999</v>
      </c>
      <c r="D446" s="615"/>
      <c r="E446" s="613" t="s">
        <v>999</v>
      </c>
      <c r="F446" s="613" t="s">
        <v>1145</v>
      </c>
      <c r="G446" s="613" t="s">
        <v>1143</v>
      </c>
      <c r="H446" s="613"/>
      <c r="I446" s="613"/>
      <c r="J446" s="613"/>
      <c r="K446" s="877"/>
      <c r="L446" s="291"/>
    </row>
    <row r="447" spans="1:12" s="179" customFormat="1" ht="14" hidden="1" outlineLevel="1" x14ac:dyDescent="0.2">
      <c r="A447" s="455"/>
      <c r="B447" s="455"/>
      <c r="C447" s="893" t="s">
        <v>1166</v>
      </c>
      <c r="D447" s="615"/>
      <c r="E447" s="613" t="s">
        <v>1166</v>
      </c>
      <c r="F447" s="613" t="s">
        <v>1173</v>
      </c>
      <c r="G447" s="613" t="s">
        <v>1175</v>
      </c>
      <c r="H447" s="613"/>
      <c r="I447" s="613"/>
      <c r="J447" s="613"/>
      <c r="K447" s="877"/>
      <c r="L447" s="291"/>
    </row>
    <row r="448" spans="1:12" s="179" customFormat="1" ht="14" hidden="1" outlineLevel="1" x14ac:dyDescent="0.2">
      <c r="A448" s="455"/>
      <c r="B448" s="455"/>
      <c r="C448" s="893" t="s">
        <v>1540</v>
      </c>
      <c r="D448" s="615"/>
      <c r="E448" s="613" t="s">
        <v>1540</v>
      </c>
      <c r="F448" s="613" t="s">
        <v>1561</v>
      </c>
      <c r="G448" s="613" t="s">
        <v>1552</v>
      </c>
      <c r="H448" s="613"/>
      <c r="I448" s="613"/>
      <c r="J448" s="613"/>
      <c r="K448" s="877"/>
      <c r="L448" s="291"/>
    </row>
    <row r="449" spans="1:12" s="179" customFormat="1" ht="28" hidden="1" outlineLevel="1" x14ac:dyDescent="0.2">
      <c r="A449" s="455"/>
      <c r="B449" s="455"/>
      <c r="C449" s="893" t="s">
        <v>1579</v>
      </c>
      <c r="D449" s="615"/>
      <c r="E449" s="613" t="s">
        <v>1579</v>
      </c>
      <c r="F449" s="613" t="s">
        <v>1597</v>
      </c>
      <c r="G449" s="613" t="s">
        <v>1589</v>
      </c>
      <c r="H449" s="613"/>
      <c r="I449" s="613"/>
      <c r="J449" s="613"/>
      <c r="K449" s="877"/>
      <c r="L449" s="291"/>
    </row>
    <row r="450" spans="1:12" s="179" customFormat="1" ht="14" hidden="1" outlineLevel="1" x14ac:dyDescent="0.2">
      <c r="A450" s="455"/>
      <c r="B450" s="455"/>
      <c r="C450" s="893" t="s">
        <v>1541</v>
      </c>
      <c r="D450" s="615"/>
      <c r="E450" s="613" t="s">
        <v>1541</v>
      </c>
      <c r="F450" s="613" t="s">
        <v>1562</v>
      </c>
      <c r="G450" s="613" t="s">
        <v>1553</v>
      </c>
      <c r="H450" s="613"/>
      <c r="I450" s="613"/>
      <c r="J450" s="613"/>
      <c r="K450" s="877"/>
      <c r="L450" s="291"/>
    </row>
    <row r="451" spans="1:12" s="179" customFormat="1" ht="28" hidden="1" outlineLevel="1" x14ac:dyDescent="0.2">
      <c r="A451" s="455"/>
      <c r="B451" s="455"/>
      <c r="C451" s="893" t="s">
        <v>1580</v>
      </c>
      <c r="D451" s="615"/>
      <c r="E451" s="613" t="s">
        <v>1580</v>
      </c>
      <c r="F451" s="613" t="s">
        <v>1598</v>
      </c>
      <c r="G451" s="613" t="s">
        <v>1590</v>
      </c>
      <c r="H451" s="613"/>
      <c r="I451" s="613"/>
      <c r="J451" s="613"/>
      <c r="K451" s="877"/>
      <c r="L451" s="291"/>
    </row>
    <row r="452" spans="1:12" s="179" customFormat="1" ht="14" hidden="1" outlineLevel="1" x14ac:dyDescent="0.2">
      <c r="A452" s="455"/>
      <c r="B452" s="455"/>
      <c r="C452" s="893" t="s">
        <v>1537</v>
      </c>
      <c r="D452" s="615"/>
      <c r="E452" s="613" t="s">
        <v>1537</v>
      </c>
      <c r="F452" s="613" t="s">
        <v>1558</v>
      </c>
      <c r="G452" s="613" t="s">
        <v>1549</v>
      </c>
      <c r="H452" s="613"/>
      <c r="I452" s="613"/>
      <c r="J452" s="613"/>
      <c r="K452" s="877"/>
      <c r="L452" s="291"/>
    </row>
    <row r="453" spans="1:12" s="179" customFormat="1" ht="14" hidden="1" outlineLevel="1" x14ac:dyDescent="0.2">
      <c r="A453" s="455"/>
      <c r="B453" s="455"/>
      <c r="C453" s="893" t="s">
        <v>1538</v>
      </c>
      <c r="D453" s="615"/>
      <c r="E453" s="613" t="s">
        <v>1538</v>
      </c>
      <c r="F453" s="613" t="s">
        <v>1559</v>
      </c>
      <c r="G453" s="613" t="s">
        <v>1550</v>
      </c>
      <c r="H453" s="613"/>
      <c r="I453" s="613"/>
      <c r="J453" s="613"/>
      <c r="K453" s="877"/>
      <c r="L453" s="291"/>
    </row>
    <row r="454" spans="1:12" s="179" customFormat="1" ht="14" hidden="1" outlineLevel="1" x14ac:dyDescent="0.2">
      <c r="A454" s="455"/>
      <c r="B454" s="455"/>
      <c r="C454" s="893" t="s">
        <v>1539</v>
      </c>
      <c r="D454" s="615"/>
      <c r="E454" s="613" t="s">
        <v>1539</v>
      </c>
      <c r="F454" s="613" t="s">
        <v>1560</v>
      </c>
      <c r="G454" s="613" t="s">
        <v>1551</v>
      </c>
      <c r="H454" s="613"/>
      <c r="I454" s="613"/>
      <c r="J454" s="613"/>
      <c r="K454" s="877"/>
      <c r="L454" s="291"/>
    </row>
    <row r="455" spans="1:12" s="179" customFormat="1" ht="14" hidden="1" outlineLevel="1" x14ac:dyDescent="0.2">
      <c r="A455" s="455"/>
      <c r="B455" s="455"/>
      <c r="C455" s="893" t="s">
        <v>1167</v>
      </c>
      <c r="D455" s="615"/>
      <c r="E455" s="613" t="s">
        <v>1167</v>
      </c>
      <c r="F455" s="613" t="s">
        <v>1170</v>
      </c>
      <c r="G455" s="613" t="s">
        <v>1172</v>
      </c>
      <c r="H455" s="613"/>
      <c r="I455" s="613"/>
      <c r="J455" s="613"/>
      <c r="K455" s="877"/>
      <c r="L455" s="291"/>
    </row>
    <row r="456" spans="1:12" s="179" customFormat="1" ht="14" hidden="1" outlineLevel="1" x14ac:dyDescent="0.2">
      <c r="A456" s="455"/>
      <c r="B456" s="455"/>
      <c r="C456" s="893" t="s">
        <v>1664</v>
      </c>
      <c r="D456" s="615"/>
      <c r="E456" s="613" t="s">
        <v>1664</v>
      </c>
      <c r="F456" s="613" t="s">
        <v>1667</v>
      </c>
      <c r="G456" s="613" t="s">
        <v>1670</v>
      </c>
      <c r="H456" s="613"/>
      <c r="I456" s="613"/>
      <c r="J456" s="613"/>
      <c r="K456" s="877"/>
      <c r="L456" s="291"/>
    </row>
    <row r="457" spans="1:12" s="179" customFormat="1" ht="14" hidden="1" outlineLevel="1" x14ac:dyDescent="0.2">
      <c r="A457" s="455"/>
      <c r="B457" s="455"/>
      <c r="C457" s="893" t="s">
        <v>1665</v>
      </c>
      <c r="D457" s="615"/>
      <c r="E457" s="613" t="s">
        <v>1665</v>
      </c>
      <c r="F457" s="613" t="s">
        <v>1668</v>
      </c>
      <c r="G457" s="613" t="s">
        <v>1671</v>
      </c>
      <c r="H457" s="613"/>
      <c r="I457" s="613"/>
      <c r="J457" s="613"/>
      <c r="K457" s="877"/>
      <c r="L457" s="291"/>
    </row>
    <row r="458" spans="1:12" s="179" customFormat="1" ht="14" hidden="1" outlineLevel="1" x14ac:dyDescent="0.2">
      <c r="A458" s="455"/>
      <c r="B458" s="455"/>
      <c r="C458" s="893" t="s">
        <v>1666</v>
      </c>
      <c r="D458" s="615"/>
      <c r="E458" s="613" t="s">
        <v>1666</v>
      </c>
      <c r="F458" s="613" t="s">
        <v>1669</v>
      </c>
      <c r="G458" s="613" t="s">
        <v>1672</v>
      </c>
      <c r="H458" s="613"/>
      <c r="I458" s="613"/>
      <c r="J458" s="613"/>
      <c r="K458" s="877"/>
      <c r="L458" s="291"/>
    </row>
    <row r="459" spans="1:12" s="179" customFormat="1" ht="14" hidden="1" outlineLevel="1" x14ac:dyDescent="0.2">
      <c r="A459" s="455"/>
      <c r="B459" s="455"/>
      <c r="C459" s="893" t="s">
        <v>997</v>
      </c>
      <c r="D459" s="615"/>
      <c r="E459" s="613" t="s">
        <v>997</v>
      </c>
      <c r="F459" s="613" t="s">
        <v>1111</v>
      </c>
      <c r="G459" s="613" t="s">
        <v>1107</v>
      </c>
      <c r="H459" s="613"/>
      <c r="I459" s="613"/>
      <c r="J459" s="613"/>
      <c r="K459" s="877"/>
      <c r="L459" s="291"/>
    </row>
    <row r="460" spans="1:12" s="179" customFormat="1" ht="14" hidden="1" outlineLevel="1" x14ac:dyDescent="0.2">
      <c r="A460" s="455"/>
      <c r="B460" s="455"/>
      <c r="C460" s="893" t="s">
        <v>1163</v>
      </c>
      <c r="D460" s="615"/>
      <c r="E460" s="613" t="s">
        <v>1163</v>
      </c>
      <c r="F460" s="613" t="s">
        <v>1177</v>
      </c>
      <c r="G460" s="613" t="s">
        <v>1178</v>
      </c>
      <c r="H460" s="613"/>
      <c r="I460" s="613"/>
      <c r="J460" s="613"/>
      <c r="K460" s="877"/>
      <c r="L460" s="291"/>
    </row>
    <row r="461" spans="1:12" s="179" customFormat="1" ht="14" hidden="1" outlineLevel="1" x14ac:dyDescent="0.2">
      <c r="A461" s="455"/>
      <c r="B461" s="455"/>
      <c r="C461" s="893" t="s">
        <v>1243</v>
      </c>
      <c r="D461" s="615"/>
      <c r="E461" s="613" t="s">
        <v>1243</v>
      </c>
      <c r="F461" s="613" t="s">
        <v>1245</v>
      </c>
      <c r="G461" s="613" t="s">
        <v>1244</v>
      </c>
      <c r="H461" s="613"/>
      <c r="I461" s="613"/>
      <c r="J461" s="613"/>
      <c r="K461" s="877"/>
      <c r="L461" s="291"/>
    </row>
    <row r="462" spans="1:12" s="179" customFormat="1" ht="28" hidden="1" outlineLevel="1" x14ac:dyDescent="0.2">
      <c r="A462" s="455"/>
      <c r="B462" s="455"/>
      <c r="C462" s="893" t="s">
        <v>707</v>
      </c>
      <c r="D462" s="615"/>
      <c r="E462" s="613" t="s">
        <v>707</v>
      </c>
      <c r="F462" s="613" t="s">
        <v>79</v>
      </c>
      <c r="G462" s="613" t="s">
        <v>751</v>
      </c>
      <c r="H462" s="613"/>
      <c r="I462" s="613"/>
      <c r="J462" s="613"/>
      <c r="K462" s="877"/>
      <c r="L462" s="291"/>
    </row>
    <row r="463" spans="1:12" s="179" customFormat="1" ht="14" hidden="1" outlineLevel="1" x14ac:dyDescent="0.2">
      <c r="A463" s="455"/>
      <c r="B463" s="455"/>
      <c r="C463" s="893" t="s">
        <v>663</v>
      </c>
      <c r="D463" s="615"/>
      <c r="E463" s="613" t="s">
        <v>663</v>
      </c>
      <c r="F463" s="613" t="s">
        <v>1199</v>
      </c>
      <c r="G463" s="613" t="s">
        <v>1198</v>
      </c>
      <c r="H463" s="613"/>
      <c r="I463" s="613"/>
      <c r="J463" s="613"/>
      <c r="K463" s="877"/>
      <c r="L463" s="291"/>
    </row>
    <row r="464" spans="1:12" s="179" customFormat="1" ht="14" hidden="1" outlineLevel="1" x14ac:dyDescent="0.2">
      <c r="A464" s="455"/>
      <c r="B464" s="455"/>
      <c r="C464" s="893" t="s">
        <v>658</v>
      </c>
      <c r="D464" s="615"/>
      <c r="E464" s="613" t="s">
        <v>658</v>
      </c>
      <c r="F464" s="613" t="s">
        <v>74</v>
      </c>
      <c r="G464" s="613" t="s">
        <v>653</v>
      </c>
      <c r="H464" s="613"/>
      <c r="I464" s="613"/>
      <c r="J464" s="613"/>
      <c r="K464" s="877"/>
      <c r="L464" s="291"/>
    </row>
    <row r="465" spans="1:12" s="179" customFormat="1" ht="14" hidden="1" outlineLevel="1" x14ac:dyDescent="0.2">
      <c r="A465" s="455"/>
      <c r="B465" s="455"/>
      <c r="C465" s="893" t="s">
        <v>1420</v>
      </c>
      <c r="D465" s="615"/>
      <c r="E465" s="613" t="s">
        <v>1420</v>
      </c>
      <c r="F465" s="613" t="s">
        <v>2067</v>
      </c>
      <c r="G465" s="613" t="s">
        <v>2068</v>
      </c>
      <c r="H465" s="613"/>
      <c r="I465" s="613"/>
      <c r="J465" s="613"/>
      <c r="K465" s="877"/>
      <c r="L465" s="291"/>
    </row>
    <row r="466" spans="1:12" s="179" customFormat="1" ht="14" hidden="1" outlineLevel="1" x14ac:dyDescent="0.2">
      <c r="A466" s="455"/>
      <c r="B466" s="455"/>
      <c r="C466" s="893" t="s">
        <v>1991</v>
      </c>
      <c r="D466" s="615"/>
      <c r="E466" s="613" t="s">
        <v>1991</v>
      </c>
      <c r="F466" s="613" t="s">
        <v>1995</v>
      </c>
      <c r="G466" s="613" t="s">
        <v>2002</v>
      </c>
      <c r="H466" s="613"/>
      <c r="I466" s="613"/>
      <c r="J466" s="613"/>
      <c r="K466" s="877"/>
      <c r="L466" s="291"/>
    </row>
    <row r="467" spans="1:12" s="179" customFormat="1" ht="28" hidden="1" outlineLevel="1" x14ac:dyDescent="0.2">
      <c r="A467" s="455"/>
      <c r="B467" s="455"/>
      <c r="C467" s="893" t="s">
        <v>2003</v>
      </c>
      <c r="D467" s="615"/>
      <c r="E467" s="613" t="s">
        <v>2003</v>
      </c>
      <c r="F467" s="613" t="s">
        <v>2005</v>
      </c>
      <c r="G467" s="613" t="s">
        <v>2007</v>
      </c>
      <c r="H467" s="613"/>
      <c r="I467" s="613"/>
      <c r="J467" s="613"/>
      <c r="K467" s="877"/>
      <c r="L467" s="291"/>
    </row>
    <row r="468" spans="1:12" s="179" customFormat="1" ht="28" hidden="1" outlineLevel="1" x14ac:dyDescent="0.2">
      <c r="A468" s="455"/>
      <c r="B468" s="455"/>
      <c r="C468" s="893" t="s">
        <v>2004</v>
      </c>
      <c r="D468" s="615"/>
      <c r="E468" s="613" t="s">
        <v>2004</v>
      </c>
      <c r="F468" s="613" t="s">
        <v>2006</v>
      </c>
      <c r="G468" s="613" t="s">
        <v>2011</v>
      </c>
      <c r="H468" s="613"/>
      <c r="I468" s="613"/>
      <c r="J468" s="613"/>
      <c r="K468" s="877"/>
      <c r="L468" s="291"/>
    </row>
    <row r="469" spans="1:12" s="179" customFormat="1" ht="14" hidden="1" outlineLevel="1" x14ac:dyDescent="0.2">
      <c r="A469" s="455"/>
      <c r="B469" s="455"/>
      <c r="C469" s="893" t="s">
        <v>1992</v>
      </c>
      <c r="D469" s="615"/>
      <c r="E469" s="613" t="s">
        <v>1992</v>
      </c>
      <c r="F469" s="613" t="s">
        <v>1996</v>
      </c>
      <c r="G469" s="613" t="s">
        <v>1999</v>
      </c>
      <c r="H469" s="613"/>
      <c r="I469" s="613"/>
      <c r="J469" s="613"/>
      <c r="K469" s="877"/>
      <c r="L469" s="291"/>
    </row>
    <row r="470" spans="1:12" s="179" customFormat="1" ht="14" hidden="1" outlineLevel="1" x14ac:dyDescent="0.2">
      <c r="A470" s="455"/>
      <c r="B470" s="455"/>
      <c r="C470" s="893" t="s">
        <v>1993</v>
      </c>
      <c r="D470" s="615"/>
      <c r="E470" s="613" t="s">
        <v>1993</v>
      </c>
      <c r="F470" s="613" t="s">
        <v>1997</v>
      </c>
      <c r="G470" s="613" t="s">
        <v>2000</v>
      </c>
      <c r="H470" s="613"/>
      <c r="I470" s="613"/>
      <c r="J470" s="613"/>
      <c r="K470" s="877"/>
      <c r="L470" s="291"/>
    </row>
    <row r="471" spans="1:12" s="179" customFormat="1" ht="14" hidden="1" outlineLevel="1" x14ac:dyDescent="0.2">
      <c r="A471" s="455"/>
      <c r="B471" s="455"/>
      <c r="C471" s="893" t="s">
        <v>1994</v>
      </c>
      <c r="D471" s="615"/>
      <c r="E471" s="613" t="s">
        <v>1994</v>
      </c>
      <c r="F471" s="613" t="s">
        <v>1998</v>
      </c>
      <c r="G471" s="613" t="s">
        <v>2001</v>
      </c>
      <c r="H471" s="613"/>
      <c r="I471" s="613"/>
      <c r="J471" s="613"/>
      <c r="K471" s="877"/>
      <c r="L471" s="291"/>
    </row>
    <row r="472" spans="1:12" s="179" customFormat="1" ht="28" hidden="1" outlineLevel="1" x14ac:dyDescent="0.2">
      <c r="A472" s="455"/>
      <c r="B472" s="455"/>
      <c r="C472" s="893" t="s">
        <v>1983</v>
      </c>
      <c r="D472" s="615"/>
      <c r="E472" s="613" t="s">
        <v>1983</v>
      </c>
      <c r="F472" s="613" t="s">
        <v>1979</v>
      </c>
      <c r="G472" s="613" t="s">
        <v>1990</v>
      </c>
      <c r="H472" s="613"/>
      <c r="I472" s="613"/>
      <c r="J472" s="613"/>
      <c r="K472" s="877"/>
      <c r="L472" s="291"/>
    </row>
    <row r="473" spans="1:12" s="179" customFormat="1" ht="28" hidden="1" outlineLevel="1" x14ac:dyDescent="0.2">
      <c r="A473" s="455"/>
      <c r="B473" s="455"/>
      <c r="C473" s="893" t="s">
        <v>1984</v>
      </c>
      <c r="D473" s="615"/>
      <c r="E473" s="613" t="s">
        <v>1984</v>
      </c>
      <c r="F473" s="613" t="s">
        <v>1980</v>
      </c>
      <c r="G473" s="613" t="s">
        <v>1987</v>
      </c>
      <c r="H473" s="613"/>
      <c r="I473" s="613"/>
      <c r="J473" s="613"/>
      <c r="K473" s="877"/>
      <c r="L473" s="291"/>
    </row>
    <row r="474" spans="1:12" s="179" customFormat="1" ht="28" hidden="1" outlineLevel="1" x14ac:dyDescent="0.2">
      <c r="A474" s="455"/>
      <c r="B474" s="455"/>
      <c r="C474" s="893" t="s">
        <v>1985</v>
      </c>
      <c r="D474" s="615"/>
      <c r="E474" s="613" t="s">
        <v>1985</v>
      </c>
      <c r="F474" s="613" t="s">
        <v>1981</v>
      </c>
      <c r="G474" s="613" t="s">
        <v>1988</v>
      </c>
      <c r="H474" s="613"/>
      <c r="I474" s="613"/>
      <c r="J474" s="613"/>
      <c r="K474" s="877"/>
      <c r="L474" s="291"/>
    </row>
    <row r="475" spans="1:12" s="179" customFormat="1" ht="28" hidden="1" outlineLevel="1" x14ac:dyDescent="0.2">
      <c r="A475" s="455"/>
      <c r="B475" s="455"/>
      <c r="C475" s="893" t="s">
        <v>1986</v>
      </c>
      <c r="D475" s="615"/>
      <c r="E475" s="613" t="s">
        <v>1986</v>
      </c>
      <c r="F475" s="613" t="s">
        <v>1982</v>
      </c>
      <c r="G475" s="613" t="s">
        <v>1989</v>
      </c>
      <c r="H475" s="613"/>
      <c r="I475" s="613"/>
      <c r="J475" s="613"/>
      <c r="K475" s="877"/>
      <c r="L475" s="291"/>
    </row>
    <row r="476" spans="1:12" s="179" customFormat="1" ht="14" hidden="1" outlineLevel="1" x14ac:dyDescent="0.2">
      <c r="A476" s="455"/>
      <c r="B476" s="455"/>
      <c r="C476" s="893" t="s">
        <v>21</v>
      </c>
      <c r="D476" s="615"/>
      <c r="E476" s="613" t="s">
        <v>21</v>
      </c>
      <c r="F476" s="613" t="s">
        <v>12</v>
      </c>
      <c r="G476" s="613" t="s">
        <v>641</v>
      </c>
      <c r="H476" s="613"/>
      <c r="I476" s="613"/>
      <c r="J476" s="613"/>
      <c r="K476" s="877"/>
      <c r="L476" s="291"/>
    </row>
    <row r="477" spans="1:12" s="179" customFormat="1" ht="28" hidden="1" outlineLevel="1" x14ac:dyDescent="0.2">
      <c r="A477" s="455"/>
      <c r="B477" s="455"/>
      <c r="C477" s="893" t="s">
        <v>872</v>
      </c>
      <c r="D477" s="615"/>
      <c r="E477" s="613" t="s">
        <v>872</v>
      </c>
      <c r="F477" s="613" t="s">
        <v>143</v>
      </c>
      <c r="G477" s="613" t="s">
        <v>887</v>
      </c>
      <c r="H477" s="613"/>
      <c r="I477" s="613"/>
      <c r="J477" s="613"/>
      <c r="K477" s="877"/>
      <c r="L477" s="291"/>
    </row>
    <row r="478" spans="1:12" s="179" customFormat="1" ht="28" hidden="1" outlineLevel="1" x14ac:dyDescent="0.2">
      <c r="A478" s="455"/>
      <c r="B478" s="455"/>
      <c r="C478" s="893" t="s">
        <v>870</v>
      </c>
      <c r="D478" s="615"/>
      <c r="E478" s="613" t="s">
        <v>870</v>
      </c>
      <c r="F478" s="613" t="s">
        <v>139</v>
      </c>
      <c r="G478" s="613" t="s">
        <v>885</v>
      </c>
      <c r="H478" s="613"/>
      <c r="I478" s="613"/>
      <c r="J478" s="613"/>
      <c r="K478" s="877"/>
      <c r="L478" s="291"/>
    </row>
    <row r="479" spans="1:12" s="179" customFormat="1" ht="28" hidden="1" outlineLevel="1" x14ac:dyDescent="0.2">
      <c r="A479" s="455"/>
      <c r="B479" s="455"/>
      <c r="C479" s="893" t="s">
        <v>868</v>
      </c>
      <c r="D479" s="615"/>
      <c r="E479" s="613" t="s">
        <v>868</v>
      </c>
      <c r="F479" s="613" t="s">
        <v>135</v>
      </c>
      <c r="G479" s="613" t="s">
        <v>883</v>
      </c>
      <c r="H479" s="613"/>
      <c r="I479" s="613"/>
      <c r="J479" s="613"/>
      <c r="K479" s="877"/>
      <c r="L479" s="291"/>
    </row>
    <row r="480" spans="1:12" s="179" customFormat="1" ht="14" hidden="1" outlineLevel="1" x14ac:dyDescent="0.2">
      <c r="A480" s="455"/>
      <c r="B480" s="455"/>
      <c r="C480" s="893" t="s">
        <v>176</v>
      </c>
      <c r="D480" s="615"/>
      <c r="E480" s="613" t="s">
        <v>176</v>
      </c>
      <c r="F480" s="613" t="s">
        <v>176</v>
      </c>
      <c r="G480" s="613" t="s">
        <v>1135</v>
      </c>
      <c r="H480" s="613"/>
      <c r="I480" s="613"/>
      <c r="J480" s="613"/>
      <c r="K480" s="877"/>
      <c r="L480" s="291"/>
    </row>
    <row r="481" spans="1:12" s="179" customFormat="1" ht="14" hidden="1" outlineLevel="1" x14ac:dyDescent="0.2">
      <c r="A481" s="455"/>
      <c r="B481" s="455"/>
      <c r="C481" s="893" t="s">
        <v>261</v>
      </c>
      <c r="D481" s="615"/>
      <c r="E481" s="613" t="s">
        <v>261</v>
      </c>
      <c r="F481" s="613" t="s">
        <v>261</v>
      </c>
      <c r="G481" s="613" t="s">
        <v>261</v>
      </c>
      <c r="H481" s="613"/>
      <c r="I481" s="613"/>
      <c r="J481" s="613"/>
      <c r="K481" s="877"/>
      <c r="L481" s="291"/>
    </row>
    <row r="482" spans="1:12" s="179" customFormat="1" ht="42" hidden="1" outlineLevel="1" x14ac:dyDescent="0.2">
      <c r="A482" s="455"/>
      <c r="B482" s="455"/>
      <c r="C482" s="893" t="s">
        <v>982</v>
      </c>
      <c r="D482" s="615"/>
      <c r="E482" s="613" t="s">
        <v>982</v>
      </c>
      <c r="F482" s="613" t="s">
        <v>1144</v>
      </c>
      <c r="G482" s="613" t="s">
        <v>1134</v>
      </c>
      <c r="H482" s="613"/>
      <c r="I482" s="613"/>
      <c r="J482" s="613"/>
      <c r="K482" s="877"/>
      <c r="L482" s="291"/>
    </row>
    <row r="483" spans="1:12" s="179" customFormat="1" ht="14" hidden="1" outlineLevel="1" x14ac:dyDescent="0.2">
      <c r="A483" s="455"/>
      <c r="B483" s="455"/>
      <c r="C483" s="893" t="s">
        <v>863</v>
      </c>
      <c r="D483" s="615"/>
      <c r="E483" s="613" t="s">
        <v>863</v>
      </c>
      <c r="F483" s="613" t="s">
        <v>133</v>
      </c>
      <c r="G483" s="613" t="s">
        <v>877</v>
      </c>
      <c r="H483" s="613"/>
      <c r="I483" s="613"/>
      <c r="J483" s="613"/>
      <c r="K483" s="877"/>
      <c r="L483" s="291"/>
    </row>
    <row r="484" spans="1:12" s="179" customFormat="1" ht="14" hidden="1" outlineLevel="1" x14ac:dyDescent="0.2">
      <c r="A484" s="455"/>
      <c r="B484" s="455"/>
      <c r="C484" s="893" t="s">
        <v>995</v>
      </c>
      <c r="D484" s="615"/>
      <c r="E484" s="613" t="s">
        <v>995</v>
      </c>
      <c r="F484" s="613" t="s">
        <v>1153</v>
      </c>
      <c r="G484" s="613" t="s">
        <v>1154</v>
      </c>
      <c r="H484" s="613"/>
      <c r="I484" s="613"/>
      <c r="J484" s="613"/>
      <c r="K484" s="877"/>
      <c r="L484" s="291"/>
    </row>
    <row r="485" spans="1:12" s="179" customFormat="1" ht="14" hidden="1" outlineLevel="1" x14ac:dyDescent="0.2">
      <c r="A485" s="455"/>
      <c r="B485" s="455"/>
      <c r="C485" s="893" t="s">
        <v>2066</v>
      </c>
      <c r="D485" s="615"/>
      <c r="E485" s="613" t="s">
        <v>2066</v>
      </c>
      <c r="F485" s="613" t="s">
        <v>2072</v>
      </c>
      <c r="G485" s="613" t="s">
        <v>2073</v>
      </c>
      <c r="H485" s="613"/>
      <c r="I485" s="613"/>
      <c r="J485" s="613"/>
      <c r="K485" s="877"/>
      <c r="L485" s="291"/>
    </row>
    <row r="486" spans="1:12" s="179" customFormat="1" ht="14" hidden="1" outlineLevel="1" x14ac:dyDescent="0.2">
      <c r="A486" s="455"/>
      <c r="B486" s="455"/>
      <c r="C486" s="893" t="s">
        <v>462</v>
      </c>
      <c r="D486" s="615"/>
      <c r="E486" s="613" t="s">
        <v>462</v>
      </c>
      <c r="F486" s="613" t="s">
        <v>13</v>
      </c>
      <c r="G486" s="613" t="s">
        <v>530</v>
      </c>
      <c r="H486" s="613"/>
      <c r="I486" s="613"/>
      <c r="J486" s="613"/>
      <c r="K486" s="877"/>
      <c r="L486" s="291"/>
    </row>
    <row r="487" spans="1:12" s="179" customFormat="1" ht="14" hidden="1" outlineLevel="1" x14ac:dyDescent="0.2">
      <c r="A487" s="455"/>
      <c r="B487" s="455"/>
      <c r="C487" s="893" t="s">
        <v>759</v>
      </c>
      <c r="D487" s="615"/>
      <c r="E487" s="613" t="s">
        <v>759</v>
      </c>
      <c r="F487" s="613" t="s">
        <v>132</v>
      </c>
      <c r="G487" s="613" t="s">
        <v>758</v>
      </c>
      <c r="H487" s="613"/>
      <c r="I487" s="613"/>
      <c r="J487" s="613"/>
      <c r="K487" s="877"/>
      <c r="L487" s="291"/>
    </row>
    <row r="488" spans="1:12" s="179" customFormat="1" ht="28" hidden="1" outlineLevel="1" x14ac:dyDescent="0.2">
      <c r="A488" s="455"/>
      <c r="B488" s="455"/>
      <c r="C488" s="893" t="s">
        <v>760</v>
      </c>
      <c r="D488" s="615"/>
      <c r="E488" s="613" t="s">
        <v>760</v>
      </c>
      <c r="F488" s="613" t="s">
        <v>966</v>
      </c>
      <c r="G488" s="613" t="s">
        <v>964</v>
      </c>
      <c r="H488" s="613"/>
      <c r="I488" s="613"/>
      <c r="J488" s="613"/>
      <c r="K488" s="877"/>
      <c r="L488" s="291"/>
    </row>
    <row r="489" spans="1:12" s="179" customFormat="1" ht="28" hidden="1" outlineLevel="1" x14ac:dyDescent="0.2">
      <c r="A489" s="455"/>
      <c r="B489" s="455"/>
      <c r="C489" s="893" t="s">
        <v>761</v>
      </c>
      <c r="D489" s="615"/>
      <c r="E489" s="613" t="s">
        <v>761</v>
      </c>
      <c r="F489" s="613" t="s">
        <v>967</v>
      </c>
      <c r="G489" s="613" t="s">
        <v>965</v>
      </c>
      <c r="H489" s="613"/>
      <c r="I489" s="613"/>
      <c r="J489" s="613"/>
      <c r="K489" s="877"/>
      <c r="L489" s="291"/>
    </row>
    <row r="490" spans="1:12" s="179" customFormat="1" hidden="1" outlineLevel="1" x14ac:dyDescent="0.2">
      <c r="A490" s="455"/>
      <c r="B490" s="455"/>
      <c r="C490" s="893"/>
      <c r="D490" s="615"/>
      <c r="E490" s="613"/>
      <c r="F490" s="613"/>
      <c r="G490" s="613"/>
      <c r="H490" s="613"/>
      <c r="I490" s="613"/>
      <c r="J490" s="613"/>
      <c r="K490" s="877"/>
      <c r="L490" s="291"/>
    </row>
    <row r="491" spans="1:12" s="179" customFormat="1" hidden="1" outlineLevel="1" x14ac:dyDescent="0.2">
      <c r="A491" s="455"/>
      <c r="B491" s="455"/>
      <c r="C491" s="893"/>
      <c r="D491" s="615"/>
      <c r="E491" s="613"/>
      <c r="F491" s="613"/>
      <c r="G491" s="613"/>
      <c r="H491" s="613"/>
      <c r="I491" s="613"/>
      <c r="J491" s="613"/>
      <c r="K491" s="877"/>
      <c r="L491" s="291"/>
    </row>
    <row r="492" spans="1:12" s="179" customFormat="1" hidden="1" outlineLevel="1" x14ac:dyDescent="0.2">
      <c r="A492" s="455"/>
      <c r="B492" s="455"/>
      <c r="C492" s="893"/>
      <c r="D492" s="615"/>
      <c r="E492" s="613"/>
      <c r="F492" s="613"/>
      <c r="G492" s="613"/>
      <c r="H492" s="613"/>
      <c r="I492" s="613"/>
      <c r="J492" s="613"/>
      <c r="K492" s="877"/>
      <c r="L492" s="291"/>
    </row>
    <row r="493" spans="1:12" s="179" customFormat="1" hidden="1" outlineLevel="1" x14ac:dyDescent="0.2">
      <c r="A493" s="455"/>
      <c r="B493" s="455"/>
      <c r="C493" s="893"/>
      <c r="D493" s="615"/>
      <c r="E493" s="613"/>
      <c r="F493" s="613"/>
      <c r="G493" s="613"/>
      <c r="H493" s="613"/>
      <c r="I493" s="613"/>
      <c r="J493" s="613"/>
      <c r="K493" s="877"/>
      <c r="L493" s="291"/>
    </row>
    <row r="494" spans="1:12" s="179" customFormat="1" hidden="1" outlineLevel="1" x14ac:dyDescent="0.2">
      <c r="A494" s="455"/>
      <c r="B494" s="455"/>
      <c r="C494" s="893"/>
      <c r="D494" s="615"/>
      <c r="E494" s="613"/>
      <c r="F494" s="613"/>
      <c r="G494" s="613"/>
      <c r="H494" s="613"/>
      <c r="I494" s="613"/>
      <c r="J494" s="613"/>
      <c r="K494" s="877"/>
      <c r="L494" s="291"/>
    </row>
    <row r="495" spans="1:12" s="179" customFormat="1" hidden="1" outlineLevel="1" x14ac:dyDescent="0.2">
      <c r="A495" s="455"/>
      <c r="B495" s="455"/>
      <c r="C495" s="893"/>
      <c r="D495" s="615"/>
      <c r="E495" s="613"/>
      <c r="F495" s="613"/>
      <c r="G495" s="613"/>
      <c r="H495" s="613"/>
      <c r="I495" s="613"/>
      <c r="J495" s="613"/>
      <c r="K495" s="877"/>
      <c r="L495" s="291"/>
    </row>
    <row r="496" spans="1:12" s="179" customFormat="1" hidden="1" outlineLevel="1" x14ac:dyDescent="0.2">
      <c r="A496" s="455"/>
      <c r="B496" s="455"/>
      <c r="C496" s="893"/>
      <c r="D496" s="615"/>
      <c r="E496" s="613"/>
      <c r="F496" s="613"/>
      <c r="G496" s="613"/>
      <c r="H496" s="613"/>
      <c r="I496" s="613"/>
      <c r="J496" s="613"/>
      <c r="K496" s="877"/>
      <c r="L496" s="291"/>
    </row>
    <row r="497" spans="1:12" s="179" customFormat="1" hidden="1" outlineLevel="1" x14ac:dyDescent="0.2">
      <c r="A497" s="455"/>
      <c r="B497" s="455"/>
      <c r="C497" s="893"/>
      <c r="D497" s="615"/>
      <c r="E497" s="613"/>
      <c r="F497" s="613"/>
      <c r="G497" s="613"/>
      <c r="H497" s="613"/>
      <c r="I497" s="613"/>
      <c r="J497" s="613"/>
      <c r="K497" s="877"/>
      <c r="L497" s="291"/>
    </row>
    <row r="498" spans="1:12" s="179" customFormat="1" hidden="1" outlineLevel="1" x14ac:dyDescent="0.2">
      <c r="A498" s="455"/>
      <c r="B498" s="455"/>
      <c r="C498" s="893"/>
      <c r="D498" s="615"/>
      <c r="E498" s="613"/>
      <c r="F498" s="613"/>
      <c r="G498" s="613"/>
      <c r="H498" s="613"/>
      <c r="I498" s="613"/>
      <c r="J498" s="613"/>
      <c r="K498" s="877"/>
      <c r="L498" s="291"/>
    </row>
    <row r="499" spans="1:12" s="179" customFormat="1" hidden="1" outlineLevel="1" x14ac:dyDescent="0.2">
      <c r="A499" s="455"/>
      <c r="B499" s="455"/>
      <c r="C499" s="893"/>
      <c r="D499" s="615"/>
      <c r="E499" s="613"/>
      <c r="F499" s="613"/>
      <c r="G499" s="613"/>
      <c r="H499" s="613"/>
      <c r="I499" s="613"/>
      <c r="J499" s="613"/>
      <c r="K499" s="877"/>
      <c r="L499" s="291"/>
    </row>
    <row r="500" spans="1:12" hidden="1" outlineLevel="1" x14ac:dyDescent="0.2">
      <c r="A500" s="309"/>
      <c r="B500" s="309"/>
      <c r="C500" s="893"/>
      <c r="D500" s="615"/>
      <c r="E500" s="613"/>
      <c r="F500" s="613"/>
      <c r="G500" s="613"/>
      <c r="H500" s="613"/>
      <c r="I500" s="613"/>
      <c r="J500" s="613"/>
      <c r="K500" s="877"/>
      <c r="L500" s="291"/>
    </row>
    <row r="501" spans="1:12" hidden="1" outlineLevel="1" x14ac:dyDescent="0.2">
      <c r="A501" s="309"/>
      <c r="B501" s="309"/>
      <c r="C501" s="893"/>
      <c r="D501" s="615"/>
      <c r="E501" s="613"/>
      <c r="F501" s="613"/>
      <c r="G501" s="613"/>
      <c r="H501" s="613"/>
      <c r="I501" s="613"/>
      <c r="J501" s="613"/>
      <c r="K501" s="877"/>
      <c r="L501" s="291"/>
    </row>
    <row r="502" spans="1:12" hidden="1" outlineLevel="1" x14ac:dyDescent="0.2">
      <c r="A502" s="309"/>
      <c r="B502" s="309"/>
      <c r="C502" s="893"/>
      <c r="D502" s="615"/>
      <c r="E502" s="613"/>
      <c r="F502" s="613"/>
      <c r="G502" s="613"/>
      <c r="H502" s="613"/>
      <c r="I502" s="613"/>
      <c r="J502" s="613"/>
      <c r="K502" s="877"/>
      <c r="L502" s="291"/>
    </row>
    <row r="503" spans="1:12" hidden="1" outlineLevel="1" x14ac:dyDescent="0.2">
      <c r="A503" s="309"/>
      <c r="B503" s="309"/>
      <c r="C503" s="896"/>
      <c r="D503" s="621"/>
      <c r="E503" s="622"/>
      <c r="F503" s="622"/>
      <c r="G503" s="622"/>
      <c r="H503" s="622"/>
      <c r="I503" s="622"/>
      <c r="J503" s="622"/>
      <c r="K503" s="886"/>
      <c r="L503" s="291"/>
    </row>
    <row r="504" spans="1:12" collapsed="1" x14ac:dyDescent="0.2">
      <c r="A504" s="309"/>
      <c r="B504" s="309"/>
      <c r="C504" s="294"/>
      <c r="D504" s="294"/>
      <c r="E504" s="294"/>
      <c r="F504" s="294"/>
      <c r="G504" s="294"/>
      <c r="H504" s="294"/>
      <c r="I504" s="294"/>
      <c r="J504" s="294"/>
      <c r="K504" s="770"/>
      <c r="L504" s="291"/>
    </row>
  </sheetData>
  <sheetProtection algorithmName="SHA-512" hashValue="TD8fLiV3uMUhNAPoJOHgH+qTbkFDOEMig8r8Pva0mb6QK3oaIIWPWdP9tX4c3GeXFQzsUShrahow+WPKiw8qRg==" saltValue="K+0aV5jUv7ij2TDC92e2lQ==" spinCount="100000" sheet="1" objects="1" scenarios="1" formatColumns="0" autoFilter="0"/>
  <sortState xmlns:xlrd2="http://schemas.microsoft.com/office/spreadsheetml/2017/richdata2" ref="C507:H822">
    <sortCondition ref="C507:C822"/>
  </sortState>
  <mergeCells count="7">
    <mergeCell ref="B112:B123"/>
    <mergeCell ref="B124:B128"/>
    <mergeCell ref="B129:B143"/>
    <mergeCell ref="B4:B22"/>
    <mergeCell ref="B23:B34"/>
    <mergeCell ref="B35:B68"/>
    <mergeCell ref="B69:B111"/>
  </mergeCells>
  <phoneticPr fontId="16" type="noConversion"/>
  <conditionalFormatting sqref="H130">
    <cfRule type="cellIs" dxfId="1582" priority="6" operator="greaterThan">
      <formula>1</formula>
    </cfRule>
  </conditionalFormatting>
  <conditionalFormatting sqref="H132">
    <cfRule type="cellIs" dxfId="1581" priority="8" operator="greaterThan">
      <formula>1</formula>
    </cfRule>
  </conditionalFormatting>
  <conditionalFormatting sqref="J133:J142">
    <cfRule type="cellIs" dxfId="1580" priority="9" operator="greaterThan">
      <formula>1</formula>
    </cfRule>
  </conditionalFormatting>
  <conditionalFormatting sqref="H131">
    <cfRule type="cellIs" dxfId="1579" priority="7" operator="lessThan">
      <formula>1</formula>
    </cfRule>
  </conditionalFormatting>
  <conditionalFormatting sqref="H133:H142">
    <cfRule type="cellIs" dxfId="1578" priority="13" operator="lessThan">
      <formula>1</formula>
    </cfRule>
  </conditionalFormatting>
  <conditionalFormatting sqref="J132">
    <cfRule type="cellIs" dxfId="1577" priority="12" operator="lessThan">
      <formula>1</formula>
    </cfRule>
  </conditionalFormatting>
  <conditionalFormatting sqref="J130">
    <cfRule type="cellIs" dxfId="1576" priority="10" operator="lessThan">
      <formula>1</formula>
    </cfRule>
  </conditionalFormatting>
  <conditionalFormatting sqref="J131">
    <cfRule type="cellIs" dxfId="1575" priority="11" operator="greaterThan">
      <formula>1</formula>
    </cfRule>
  </conditionalFormatting>
  <conditionalFormatting sqref="F79:J98">
    <cfRule type="cellIs" dxfId="1574" priority="4" operator="equal">
      <formula>1</formula>
    </cfRule>
  </conditionalFormatting>
  <conditionalFormatting sqref="I36:I55">
    <cfRule type="cellIs" dxfId="1573" priority="3" operator="equal">
      <formula>1</formula>
    </cfRule>
  </conditionalFormatting>
  <conditionalFormatting sqref="I58:I67">
    <cfRule type="cellIs" dxfId="1572" priority="2" operator="equal">
      <formula>1</formula>
    </cfRule>
  </conditionalFormatting>
  <conditionalFormatting sqref="F101:J110">
    <cfRule type="cellIs" dxfId="1571" priority="1" operator="equal">
      <formula>1</formula>
    </cfRule>
  </conditionalFormatting>
  <dataValidations count="3">
    <dataValidation type="list" allowBlank="1" showInputMessage="1" showErrorMessage="1" sqref="I27" xr:uid="{09CA1547-4FC0-406A-AB5B-AF272EE47CCE}">
      <formula1>"ACTUAL, FORECAST"</formula1>
    </dataValidation>
    <dataValidation type="list" allowBlank="1" showInputMessage="1" showErrorMessage="1" sqref="I58:I67 I36:I55 F79:J98 F101:J110" xr:uid="{FDC8D1BD-14C5-4A0B-92FA-D7686A01FA45}">
      <formula1>"0,1"</formula1>
    </dataValidation>
    <dataValidation type="list" allowBlank="1" showInputMessage="1" showErrorMessage="1" sqref="J6" xr:uid="{75DF9B30-358E-410E-871E-F715FC5C17DA}">
      <formula1>CountryList</formula1>
    </dataValidation>
  </dataValidations>
  <hyperlinks>
    <hyperlink ref="H9" r:id="rId1" xr:uid="{24D467B6-96EC-400F-BD68-27D74635E3DE}"/>
    <hyperlink ref="C1" location="Instructions!B3" display="Instructions" xr:uid="{E0EF1A63-C075-4CA6-8CA1-BA2E72EF35FA}"/>
    <hyperlink ref="E1" location="Instructions!B3" display="Instructions" xr:uid="{803BA140-3C81-4B2F-8ECE-A93DAD2C3A76}"/>
  </hyperlinks>
  <printOptions horizontalCentered="1"/>
  <pageMargins left="0.19685039370078741" right="0.19685039370078741" top="0.39370078740157483" bottom="0.39370078740157483" header="0.19685039370078741" footer="0.19685039370078741"/>
  <pageSetup paperSize="9" scale="65" fitToHeight="15" orientation="landscape" r:id="rId2"/>
  <headerFooter>
    <oddFooter>&amp;L&amp;F - &amp;A&amp;R| &amp;D | &amp;P/&amp;N</oddFooter>
  </headerFooter>
  <rowBreaks count="3" manualBreakCount="3">
    <brk id="34" min="1" max="7" man="1"/>
    <brk id="68" min="1" max="7" man="1"/>
    <brk id="111" min="1" max="7" man="1"/>
  </rowBreaks>
  <ignoredErrors>
    <ignoredError sqref="I56 I46:I55 I42:I45 I64:I67 I60:I62 I59 I58 I63 I40:I41 I36:I39" listDataValidation="1"/>
  </ignoredErrors>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FE787-C5F1-498E-9F8A-7CE0EC77DFAF}">
  <sheetPr codeName="Sheet3">
    <tabColor rgb="FFFFFF00"/>
  </sheetPr>
  <dimension ref="A1:AX1269"/>
  <sheetViews>
    <sheetView zoomScale="80" zoomScaleNormal="80" workbookViewId="0">
      <pane xSplit="11" ySplit="7" topLeftCell="L9" activePane="bottomRight" state="frozen"/>
      <selection pane="topRight" activeCell="L1" sqref="L1"/>
      <selection pane="bottomLeft" activeCell="A7" sqref="A7"/>
      <selection pane="bottomRight" activeCell="C7" sqref="C7"/>
    </sheetView>
  </sheetViews>
  <sheetFormatPr baseColWidth="10" defaultColWidth="0" defaultRowHeight="16" zeroHeight="1" outlineLevelCol="1" x14ac:dyDescent="0.2"/>
  <cols>
    <col min="1" max="1" width="2.7109375" style="1" customWidth="1"/>
    <col min="2" max="2" width="4.7109375" style="772" customWidth="1"/>
    <col min="3" max="4" width="6.7109375" style="1" customWidth="1"/>
    <col min="5" max="5" width="6.7109375" style="25" customWidth="1"/>
    <col min="6" max="6" width="15.7109375" style="1" customWidth="1"/>
    <col min="7" max="8" width="8.7109375" style="1" customWidth="1"/>
    <col min="9" max="9" width="10.7109375" style="1" customWidth="1"/>
    <col min="10" max="10" width="19.7109375" style="1" customWidth="1"/>
    <col min="11" max="11" width="30.140625" style="1" hidden="1" customWidth="1" outlineLevel="1"/>
    <col min="12" max="12" width="8.7109375" style="1" customWidth="1" collapsed="1"/>
    <col min="13" max="14" width="8.7109375" style="1" hidden="1" customWidth="1" outlineLevel="1"/>
    <col min="15" max="15" width="8.7109375" style="1" customWidth="1" collapsed="1"/>
    <col min="16" max="16" width="7.7109375" style="1" customWidth="1"/>
    <col min="17" max="18" width="7.7109375" style="1" hidden="1" customWidth="1" outlineLevel="1"/>
    <col min="19" max="19" width="8.7109375" style="2" customWidth="1" collapsed="1"/>
    <col min="20" max="21" width="8.7109375" style="2" hidden="1" customWidth="1" outlineLevel="1"/>
    <col min="22" max="22" width="8.7109375" style="2" customWidth="1" collapsed="1"/>
    <col min="23" max="28" width="8.7109375" style="639" hidden="1" customWidth="1" outlineLevel="1"/>
    <col min="29" max="30" width="8.7109375" style="2" hidden="1" customWidth="1" outlineLevel="1"/>
    <col min="31" max="31" width="12.7109375" style="1" customWidth="1" collapsed="1"/>
    <col min="32" max="35" width="12.7109375" style="1" customWidth="1"/>
    <col min="36" max="39" width="12.7109375" style="1" hidden="1" customWidth="1" outlineLevel="1"/>
    <col min="40" max="40" width="12.7109375" style="639" hidden="1" customWidth="1" outlineLevel="1"/>
    <col min="41" max="42" width="12.7109375" style="1" hidden="1" customWidth="1" outlineLevel="1"/>
    <col min="43" max="43" width="45.7109375" style="1" customWidth="1" collapsed="1"/>
    <col min="44" max="44" width="45.7109375" style="1" customWidth="1"/>
    <col min="45" max="45" width="6.7109375" style="1" customWidth="1"/>
    <col min="46" max="46" width="2.7109375" style="1" customWidth="1"/>
    <col min="47" max="50" width="0" style="1" hidden="1" customWidth="1"/>
    <col min="51" max="16384" width="8.85546875" style="1" hidden="1"/>
  </cols>
  <sheetData>
    <row r="1" spans="1:46" ht="15" customHeight="1" x14ac:dyDescent="0.2">
      <c r="A1" s="294"/>
      <c r="B1" s="931" t="str">
        <f>"Instructions"&amp;"___"</f>
        <v>Instructions___</v>
      </c>
      <c r="C1" s="294"/>
      <c r="D1" s="294"/>
      <c r="E1" s="309"/>
      <c r="F1" s="294"/>
      <c r="G1" s="518"/>
      <c r="H1" s="518"/>
      <c r="I1" s="518"/>
      <c r="J1" s="928" t="b">
        <f>AS1</f>
        <v>1</v>
      </c>
      <c r="K1" s="294"/>
      <c r="L1" s="926" t="str">
        <f>VLOOKUP(L$7,TableInputsData[],ReadMe!$M$3,FALSE)</f>
        <v>PRIX DE VENTE UNITAIRE GAMME 1</v>
      </c>
      <c r="M1" s="926" t="str">
        <f>VLOOKUP(M$7,TableInputsData[],ReadMe!$M$3,FALSE)</f>
        <v>PRIX DE VENTE UNITAIRE GAMME 2</v>
      </c>
      <c r="N1" s="926" t="str">
        <f>VLOOKUP(N$7,TableInputsData[],ReadMe!$M$3,FALSE)</f>
        <v>PRIX DE VENTE UNITAIRE GAMME 3</v>
      </c>
      <c r="O1" s="926" t="str">
        <f>VLOOKUP(O$7,TableInputsData[],ReadMe!$M$3,FALSE)</f>
        <v>PRIX DE VENTE UNITAIRE MOYEN</v>
      </c>
      <c r="P1" s="926" t="str">
        <f>VLOOKUP(P$7,TableInputsData[],ReadMe!$M$3,FALSE)</f>
        <v>VOLUME MIXTE GAMME 1 %</v>
      </c>
      <c r="Q1" s="926" t="str">
        <f>VLOOKUP(Q$7,TableInputsData[],ReadMe!$M$3,FALSE)</f>
        <v>VOLUME MIXTE GAMME 2 %</v>
      </c>
      <c r="R1" s="926" t="str">
        <f>VLOOKUP(R$7,TableInputsData[],ReadMe!$M$3,FALSE)</f>
        <v>VOLUME MIXTE GAMME 3 %</v>
      </c>
      <c r="S1" s="929" t="str">
        <f>VLOOKUP(S$7,TableInputsData[],ReadMe!$M$3,FALSE)</f>
        <v>COUT UNITAIRE GAMME 1</v>
      </c>
      <c r="T1" s="929" t="str">
        <f>VLOOKUP(T$7,TableInputsData[],ReadMe!$M$3,FALSE)</f>
        <v>COUT UNITAIRE GAMME 2</v>
      </c>
      <c r="U1" s="929" t="str">
        <f>VLOOKUP(U$7,TableInputsData[],ReadMe!$M$3,FALSE)</f>
        <v>COUT UNITAIRE GAMME 3</v>
      </c>
      <c r="V1" s="926" t="str">
        <f>VLOOKUP(V$7,TableInputsData[],ReadMe!$M$3,FALSE)</f>
        <v>COUT UNITAIRE MOYEN DES VENTES</v>
      </c>
      <c r="W1" s="929" t="str">
        <f>VLOOKUP(W$7,TableInputsData[],ReadMe!$M$3,FALSE)</f>
        <v>VOLUME MIXTE GAMME 1 CHANNEL 1 %</v>
      </c>
      <c r="X1" s="929" t="str">
        <f>VLOOKUP(X$7,TableInputsData[],ReadMe!$M$3,FALSE)</f>
        <v>VOLUME MIXTE GAMME 2 CHANNEL 1 %</v>
      </c>
      <c r="Y1" s="929" t="str">
        <f>VLOOKUP(Y$7,TableInputsData[],ReadMe!$M$3,FALSE)</f>
        <v>VOLUME MIXTE GAMME 3 CHANNEL 1 %</v>
      </c>
      <c r="Z1" s="929" t="str">
        <f>VLOOKUP(Z$7,TableInputsData[],ReadMe!$M$3,FALSE)</f>
        <v>VOLUME MIXTE GAMME 1 CHANNEL 2 %</v>
      </c>
      <c r="AA1" s="929" t="str">
        <f>VLOOKUP(AA$7,TableInputsData[],ReadMe!$M$3,FALSE)</f>
        <v>VOLUME MIXTE GAMME 2 CHANNEL 2 %</v>
      </c>
      <c r="AB1" s="929" t="str">
        <f>VLOOKUP(AB$7,TableInputsData[],ReadMe!$M$3,FALSE)</f>
        <v>VOLUME MIXTE GAMME 3 CHANNEL 2 %</v>
      </c>
      <c r="AC1" s="926" t="str">
        <f>VLOOKUP(AC$7,TableInputsData[],ReadMe!$M$3,FALSE)</f>
        <v>COUT UNITAIRE MOYEN CANAL 1</v>
      </c>
      <c r="AD1" s="926" t="str">
        <f>VLOOKUP(AD$7,TableInputsData[],ReadMe!$M$3,FALSE)</f>
        <v>COUT UNITAIRE MOYEN CANAL 2</v>
      </c>
      <c r="AE1" s="926" t="str">
        <f>VLOOKUP(AE$7,TableInputsData[],ReadMe!$M$3,FALSE)</f>
        <v>TRIMESTRE 1</v>
      </c>
      <c r="AF1" s="926" t="str">
        <f>VLOOKUP(AF$7,TableInputsData[],ReadMe!$M$3,FALSE)</f>
        <v>TRIMESTRE 2</v>
      </c>
      <c r="AG1" s="926" t="str">
        <f>VLOOKUP(AG$7,TableInputsData[],ReadMe!$M$3,FALSE)</f>
        <v>TRIMESTRE 3</v>
      </c>
      <c r="AH1" s="926" t="str">
        <f>VLOOKUP(AH$7,TableInputsData[],ReadMe!$M$3,FALSE)</f>
        <v>TRIMESTRE 4</v>
      </c>
      <c r="AI1" s="926" t="str">
        <f>VLOOKUP("TOTAL",TableInputsData[],ReadMe!$M$3,FALSE)&amp;" "&amp;VLOOKUP(RIGHT(AI$7,LEN(AI$7)-6),TableInputsData[],ReadMe!$M$3,FALSE)</f>
        <v>TOTAL ANNEE</v>
      </c>
      <c r="AJ1" s="926" t="str">
        <f>VLOOKUP(AJ$7,TableInputsData[],ReadMe!$M$3,FALSE)</f>
        <v>TOTAL DE LA GAMME 1</v>
      </c>
      <c r="AK1" s="926" t="str">
        <f>VLOOKUP(AK$7,TableInputsData[],ReadMe!$M$3,FALSE)</f>
        <v>TOTAL DE LA GAMME 2</v>
      </c>
      <c r="AL1" s="926" t="str">
        <f>VLOOKUP(AL$7,TableInputsData[],ReadMe!$M$3,FALSE)</f>
        <v>TOTAL DE LA GAMME 3</v>
      </c>
      <c r="AM1" s="926" t="str">
        <f>VLOOKUP(AM$7,TableInputsData[],ReadMe!$M$3,FALSE)</f>
        <v>TOTAL DU CANAL DE DISTRIBUTION 1</v>
      </c>
      <c r="AN1" s="926" t="str">
        <f>VLOOKUP(AN$7,TableInputsData[],ReadMe!$M$3,FALSE)</f>
        <v>TOTAL DU CANAL DE DISTRIBUTION 1 %</v>
      </c>
      <c r="AO1" s="926" t="str">
        <f>VLOOKUP(AO$7,TableInputsData[],ReadMe!$M$3,FALSE)</f>
        <v>TOTAL DU CANAL DE DISTRIBUTION 2</v>
      </c>
      <c r="AP1" s="926" t="str">
        <f>VLOOKUP(AP$7,TableInputsData[],ReadMe!$M$3,FALSE)</f>
        <v>TOTAL DU CANAL DE DISTRIBUTION 2 %</v>
      </c>
      <c r="AQ1" s="926" t="str">
        <f>VLOOKUP(AQ$7,TableInputsData[],ReadMe!$M$3,FALSE)</f>
        <v>COMMENTAIRE</v>
      </c>
      <c r="AR1" s="926" t="str">
        <f>VLOOKUP(AR$7,TableInputsData[],ReadMe!$M$3,FALSE)</f>
        <v>NOTE DE TRADUCTION</v>
      </c>
      <c r="AS1" s="928" t="b">
        <f>AND(TableRevenueData[CHECK])</f>
        <v>1</v>
      </c>
      <c r="AT1" s="294"/>
    </row>
    <row r="2" spans="1:46" ht="20" customHeight="1" x14ac:dyDescent="0.2">
      <c r="A2" s="294"/>
      <c r="B2" s="931"/>
      <c r="C2" s="456" t="str">
        <f>InputsData!$J$1</f>
        <v>MONNAIE LOCALE : CFA</v>
      </c>
      <c r="D2" s="457"/>
      <c r="E2" s="650"/>
      <c r="F2" s="457"/>
      <c r="G2" s="519"/>
      <c r="H2" s="519"/>
      <c r="I2" s="519"/>
      <c r="J2" s="928"/>
      <c r="K2" s="294"/>
      <c r="L2" s="926"/>
      <c r="M2" s="926"/>
      <c r="N2" s="926"/>
      <c r="O2" s="926"/>
      <c r="P2" s="926"/>
      <c r="Q2" s="926"/>
      <c r="R2" s="926"/>
      <c r="S2" s="929"/>
      <c r="T2" s="929"/>
      <c r="U2" s="929"/>
      <c r="V2" s="926"/>
      <c r="W2" s="929"/>
      <c r="X2" s="929"/>
      <c r="Y2" s="929"/>
      <c r="Z2" s="929"/>
      <c r="AA2" s="929"/>
      <c r="AB2" s="929"/>
      <c r="AC2" s="926"/>
      <c r="AD2" s="926"/>
      <c r="AE2" s="926"/>
      <c r="AF2" s="926"/>
      <c r="AG2" s="926"/>
      <c r="AH2" s="926"/>
      <c r="AI2" s="926"/>
      <c r="AJ2" s="926"/>
      <c r="AK2" s="926"/>
      <c r="AL2" s="926"/>
      <c r="AM2" s="926"/>
      <c r="AN2" s="926"/>
      <c r="AO2" s="926"/>
      <c r="AP2" s="926"/>
      <c r="AQ2" s="926"/>
      <c r="AR2" s="926"/>
      <c r="AS2" s="928"/>
      <c r="AT2" s="294"/>
    </row>
    <row r="3" spans="1:46" ht="20" customHeight="1" x14ac:dyDescent="0.2">
      <c r="A3" s="294"/>
      <c r="B3" s="931"/>
      <c r="C3" s="292" t="s">
        <v>376</v>
      </c>
      <c r="D3" s="294"/>
      <c r="E3" s="309"/>
      <c r="F3" s="294"/>
      <c r="G3" s="294"/>
      <c r="H3" s="294"/>
      <c r="I3" s="295"/>
      <c r="J3" s="294"/>
      <c r="K3" s="294"/>
      <c r="L3" s="926"/>
      <c r="M3" s="926"/>
      <c r="N3" s="926"/>
      <c r="O3" s="926"/>
      <c r="P3" s="926"/>
      <c r="Q3" s="926"/>
      <c r="R3" s="926"/>
      <c r="S3" s="929"/>
      <c r="T3" s="929"/>
      <c r="U3" s="929"/>
      <c r="V3" s="926"/>
      <c r="W3" s="929"/>
      <c r="X3" s="929"/>
      <c r="Y3" s="929"/>
      <c r="Z3" s="929"/>
      <c r="AA3" s="929"/>
      <c r="AB3" s="929"/>
      <c r="AC3" s="926"/>
      <c r="AD3" s="926"/>
      <c r="AE3" s="926"/>
      <c r="AF3" s="926"/>
      <c r="AG3" s="926"/>
      <c r="AH3" s="926"/>
      <c r="AI3" s="926"/>
      <c r="AJ3" s="926"/>
      <c r="AK3" s="926"/>
      <c r="AL3" s="926"/>
      <c r="AM3" s="926"/>
      <c r="AN3" s="926"/>
      <c r="AO3" s="926"/>
      <c r="AP3" s="926"/>
      <c r="AQ3" s="926"/>
      <c r="AR3" s="926"/>
      <c r="AS3" s="294"/>
      <c r="AT3" s="294"/>
    </row>
    <row r="4" spans="1:46" ht="20" customHeight="1" x14ac:dyDescent="0.2">
      <c r="A4" s="294"/>
      <c r="B4" s="931"/>
      <c r="C4" s="294"/>
      <c r="D4" s="294"/>
      <c r="E4" s="294"/>
      <c r="F4" s="294"/>
      <c r="G4" s="294"/>
      <c r="H4" s="294"/>
      <c r="I4" s="294"/>
      <c r="J4" s="294"/>
      <c r="K4" s="294"/>
      <c r="L4" s="927"/>
      <c r="M4" s="927"/>
      <c r="N4" s="927"/>
      <c r="O4" s="927"/>
      <c r="P4" s="927"/>
      <c r="Q4" s="927"/>
      <c r="R4" s="927"/>
      <c r="S4" s="930"/>
      <c r="T4" s="930"/>
      <c r="U4" s="930"/>
      <c r="V4" s="927"/>
      <c r="W4" s="930"/>
      <c r="X4" s="930"/>
      <c r="Y4" s="930"/>
      <c r="Z4" s="930"/>
      <c r="AA4" s="930"/>
      <c r="AB4" s="930"/>
      <c r="AC4" s="927"/>
      <c r="AD4" s="927"/>
      <c r="AE4" s="927"/>
      <c r="AF4" s="927"/>
      <c r="AG4" s="927"/>
      <c r="AH4" s="927"/>
      <c r="AI4" s="927"/>
      <c r="AJ4" s="927"/>
      <c r="AK4" s="927"/>
      <c r="AL4" s="927"/>
      <c r="AM4" s="927"/>
      <c r="AN4" s="927"/>
      <c r="AO4" s="927"/>
      <c r="AP4" s="927"/>
      <c r="AQ4" s="926"/>
      <c r="AR4" s="926"/>
      <c r="AS4" s="294"/>
      <c r="AT4" s="294"/>
    </row>
    <row r="5" spans="1:46" ht="14" x14ac:dyDescent="0.2">
      <c r="A5" s="294"/>
      <c r="B5" s="931"/>
      <c r="C5" s="649" t="str">
        <f>InputsData!$J$2</f>
        <v>STRICTEMENT CONFIDENTIEL | ABC CORPORATION</v>
      </c>
      <c r="D5" s="336"/>
      <c r="E5" s="309"/>
      <c r="F5" s="294"/>
      <c r="G5" s="336"/>
      <c r="H5" s="336"/>
      <c r="I5" s="294"/>
      <c r="J5" s="336"/>
      <c r="K5" s="294"/>
      <c r="L5" s="645" t="str">
        <f>InputsData!$J$8</f>
        <v>CFA</v>
      </c>
      <c r="M5" s="646" t="str">
        <f>InputsData!$J$8</f>
        <v>CFA</v>
      </c>
      <c r="N5" s="646" t="str">
        <f>InputsData!$J$8</f>
        <v>CFA</v>
      </c>
      <c r="O5" s="61" t="str">
        <f>InputsData!$J$8</f>
        <v>CFA</v>
      </c>
      <c r="P5" s="647" t="s">
        <v>112</v>
      </c>
      <c r="Q5" s="647" t="s">
        <v>112</v>
      </c>
      <c r="R5" s="647" t="s">
        <v>112</v>
      </c>
      <c r="S5" s="646" t="str">
        <f>InputsData!$J$8</f>
        <v>CFA</v>
      </c>
      <c r="T5" s="646" t="str">
        <f>InputsData!$J$8</f>
        <v>CFA</v>
      </c>
      <c r="U5" s="646" t="str">
        <f>InputsData!$J$8</f>
        <v>CFA</v>
      </c>
      <c r="V5" s="61" t="str">
        <f>InputsData!$J$8</f>
        <v>CFA</v>
      </c>
      <c r="W5" s="647" t="s">
        <v>112</v>
      </c>
      <c r="X5" s="647" t="s">
        <v>112</v>
      </c>
      <c r="Y5" s="647" t="s">
        <v>112</v>
      </c>
      <c r="Z5" s="646" t="s">
        <v>112</v>
      </c>
      <c r="AA5" s="646" t="s">
        <v>112</v>
      </c>
      <c r="AB5" s="646" t="s">
        <v>112</v>
      </c>
      <c r="AC5" s="61" t="str">
        <f>InputsData!$J$8</f>
        <v>CFA</v>
      </c>
      <c r="AD5" s="61" t="str">
        <f>InputsData!$J$8</f>
        <v>CFA</v>
      </c>
      <c r="AE5" s="61" t="str">
        <f>VLOOKUP("Quantity",TableInputsData[],ReadMe!$M$3,FALSE)</f>
        <v>QUANTITE</v>
      </c>
      <c r="AF5" s="61" t="str">
        <f>VLOOKUP("Quantity",TableInputsData[],ReadMe!$M$3,FALSE)</f>
        <v>QUANTITE</v>
      </c>
      <c r="AG5" s="61" t="str">
        <f>VLOOKUP("Quantity",TableInputsData[],ReadMe!$M$3,FALSE)</f>
        <v>QUANTITE</v>
      </c>
      <c r="AH5" s="61" t="str">
        <f>VLOOKUP("Quantity",TableInputsData[],ReadMe!$M$3,FALSE)</f>
        <v>QUANTITE</v>
      </c>
      <c r="AI5" s="61" t="str">
        <f>VLOOKUP("Quantity",TableInputsData[],ReadMe!$M$3,FALSE)</f>
        <v>QUANTITE</v>
      </c>
      <c r="AJ5" s="61" t="str">
        <f>VLOOKUP("Quantity",TableInputsData[],ReadMe!$M$3,FALSE)</f>
        <v>QUANTITE</v>
      </c>
      <c r="AK5" s="61" t="str">
        <f>VLOOKUP("Quantity",TableInputsData[],ReadMe!$M$3,FALSE)</f>
        <v>QUANTITE</v>
      </c>
      <c r="AL5" s="61" t="str">
        <f>VLOOKUP("Quantity",TableInputsData[],ReadMe!$M$3,FALSE)</f>
        <v>QUANTITE</v>
      </c>
      <c r="AM5" s="61" t="str">
        <f>VLOOKUP("Quantity",TableInputsData[],ReadMe!$M$3,FALSE)</f>
        <v>QUANTITE</v>
      </c>
      <c r="AN5" s="61" t="s">
        <v>112</v>
      </c>
      <c r="AO5" s="61" t="str">
        <f>VLOOKUP("Quantity",TableInputsData[],ReadMe!$M$3,FALSE)</f>
        <v>QUANTITE</v>
      </c>
      <c r="AP5" s="648" t="s">
        <v>112</v>
      </c>
      <c r="AQ5" s="455"/>
      <c r="AR5" s="455"/>
      <c r="AS5" s="294"/>
      <c r="AT5" s="294"/>
    </row>
    <row r="6" spans="1:46" ht="13" x14ac:dyDescent="0.2">
      <c r="A6" s="294"/>
      <c r="B6" s="931"/>
      <c r="C6" s="294"/>
      <c r="D6" s="906">
        <v>7</v>
      </c>
      <c r="E6" s="309"/>
      <c r="F6" s="294"/>
      <c r="G6" s="906">
        <v>8</v>
      </c>
      <c r="H6" s="336"/>
      <c r="I6" s="294"/>
      <c r="J6" s="906">
        <v>6</v>
      </c>
      <c r="K6" s="294"/>
      <c r="L6" s="294"/>
      <c r="M6" s="294"/>
      <c r="N6" s="294"/>
      <c r="O6" s="294"/>
      <c r="P6" s="294"/>
      <c r="Q6" s="294"/>
      <c r="R6" s="294"/>
      <c r="S6" s="304"/>
      <c r="T6" s="304"/>
      <c r="U6" s="304"/>
      <c r="V6" s="304"/>
      <c r="W6" s="637"/>
      <c r="X6" s="637"/>
      <c r="Y6" s="637"/>
      <c r="Z6" s="637"/>
      <c r="AA6" s="637"/>
      <c r="AB6" s="637"/>
      <c r="AC6" s="304"/>
      <c r="AD6" s="304"/>
      <c r="AE6" s="294"/>
      <c r="AF6" s="294"/>
      <c r="AG6" s="294"/>
      <c r="AH6" s="294"/>
      <c r="AI6" s="294"/>
      <c r="AJ6" s="294"/>
      <c r="AK6" s="294"/>
      <c r="AL6" s="294"/>
      <c r="AM6" s="294"/>
      <c r="AN6" s="637"/>
      <c r="AO6" s="294"/>
      <c r="AP6" s="294"/>
      <c r="AQ6" s="906">
        <v>9</v>
      </c>
      <c r="AR6" s="455"/>
      <c r="AS6" s="294"/>
      <c r="AT6" s="294"/>
    </row>
    <row r="7" spans="1:46" ht="80" customHeight="1" x14ac:dyDescent="0.2">
      <c r="A7" s="294"/>
      <c r="B7" s="932"/>
      <c r="C7" s="282" t="s">
        <v>250</v>
      </c>
      <c r="D7" s="235" t="s">
        <v>465</v>
      </c>
      <c r="E7" s="235" t="s">
        <v>251</v>
      </c>
      <c r="F7" s="235" t="s">
        <v>461</v>
      </c>
      <c r="G7" s="235" t="s">
        <v>462</v>
      </c>
      <c r="H7" s="235" t="s">
        <v>624</v>
      </c>
      <c r="I7" s="235" t="s">
        <v>463</v>
      </c>
      <c r="J7" s="235" t="s">
        <v>464</v>
      </c>
      <c r="K7" s="235" t="s">
        <v>0</v>
      </c>
      <c r="L7" s="366" t="s">
        <v>1984</v>
      </c>
      <c r="M7" s="366" t="s">
        <v>1985</v>
      </c>
      <c r="N7" s="366" t="s">
        <v>1986</v>
      </c>
      <c r="O7" s="235" t="s">
        <v>1983</v>
      </c>
      <c r="P7" s="644" t="s">
        <v>1601</v>
      </c>
      <c r="Q7" s="644" t="s">
        <v>1602</v>
      </c>
      <c r="R7" s="644" t="s">
        <v>1603</v>
      </c>
      <c r="S7" s="638" t="s">
        <v>1992</v>
      </c>
      <c r="T7" s="638" t="s">
        <v>1993</v>
      </c>
      <c r="U7" s="638" t="s">
        <v>1994</v>
      </c>
      <c r="V7" s="627" t="s">
        <v>1991</v>
      </c>
      <c r="W7" s="644" t="s">
        <v>1604</v>
      </c>
      <c r="X7" s="644" t="s">
        <v>1605</v>
      </c>
      <c r="Y7" s="644" t="s">
        <v>1606</v>
      </c>
      <c r="Z7" s="638" t="s">
        <v>1607</v>
      </c>
      <c r="AA7" s="638" t="s">
        <v>1608</v>
      </c>
      <c r="AB7" s="638" t="s">
        <v>1609</v>
      </c>
      <c r="AC7" s="627" t="s">
        <v>2003</v>
      </c>
      <c r="AD7" s="627" t="s">
        <v>2004</v>
      </c>
      <c r="AE7" s="235" t="s">
        <v>504</v>
      </c>
      <c r="AF7" s="235" t="s">
        <v>505</v>
      </c>
      <c r="AG7" s="235" t="s">
        <v>506</v>
      </c>
      <c r="AH7" s="235" t="s">
        <v>507</v>
      </c>
      <c r="AI7" s="235" t="s">
        <v>508</v>
      </c>
      <c r="AJ7" s="235" t="s">
        <v>1664</v>
      </c>
      <c r="AK7" s="235" t="s">
        <v>1665</v>
      </c>
      <c r="AL7" s="235" t="s">
        <v>1666</v>
      </c>
      <c r="AM7" s="235" t="s">
        <v>1656</v>
      </c>
      <c r="AN7" s="641" t="s">
        <v>1657</v>
      </c>
      <c r="AO7" s="235" t="s">
        <v>1658</v>
      </c>
      <c r="AP7" s="235" t="s">
        <v>1659</v>
      </c>
      <c r="AQ7" s="235" t="s">
        <v>1250</v>
      </c>
      <c r="AR7" s="235" t="s">
        <v>1243</v>
      </c>
      <c r="AS7" s="235" t="s">
        <v>111</v>
      </c>
      <c r="AT7" s="294"/>
    </row>
    <row r="8" spans="1:46" ht="13" hidden="1" x14ac:dyDescent="0.2">
      <c r="A8" s="294"/>
      <c r="B8" s="924" t="str">
        <f>I9&amp;"___"</f>
        <v>PRODUCT 01___</v>
      </c>
      <c r="C8" s="271">
        <v>1</v>
      </c>
      <c r="D8" s="250">
        <v>0</v>
      </c>
      <c r="E8" s="250"/>
      <c r="F8" s="248"/>
      <c r="G8" s="250"/>
      <c r="H8" s="250"/>
      <c r="I8" s="248"/>
      <c r="J8" s="248"/>
      <c r="K8" s="248"/>
      <c r="L8" s="254"/>
      <c r="M8" s="254"/>
      <c r="N8" s="254"/>
      <c r="O8" s="264"/>
      <c r="P8" s="259"/>
      <c r="Q8" s="259"/>
      <c r="R8" s="259"/>
      <c r="S8" s="628"/>
      <c r="T8" s="628"/>
      <c r="U8" s="628"/>
      <c r="V8" s="628"/>
      <c r="W8" s="259"/>
      <c r="X8" s="259"/>
      <c r="Y8" s="259"/>
      <c r="Z8" s="259"/>
      <c r="AA8" s="259"/>
      <c r="AB8" s="259"/>
      <c r="AC8" s="264"/>
      <c r="AD8" s="609"/>
      <c r="AE8" s="269"/>
      <c r="AF8" s="269"/>
      <c r="AG8" s="269"/>
      <c r="AH8" s="269"/>
      <c r="AI8" s="269"/>
      <c r="AJ8" s="269"/>
      <c r="AK8" s="269"/>
      <c r="AL8" s="269"/>
      <c r="AM8" s="269"/>
      <c r="AN8" s="642"/>
      <c r="AO8" s="269"/>
      <c r="AP8" s="269"/>
      <c r="AQ8" s="269"/>
      <c r="AR8" s="269"/>
      <c r="AS8" s="269"/>
      <c r="AT8" s="294"/>
    </row>
    <row r="9" spans="1:46" ht="13" x14ac:dyDescent="0.2">
      <c r="A9" s="294"/>
      <c r="B9" s="924"/>
      <c r="C9" s="271">
        <v>2</v>
      </c>
      <c r="D9" s="250">
        <f>VLOOKUP($I9,TableInputsData[],$D$6,FALSE)</f>
        <v>1</v>
      </c>
      <c r="E9" s="250">
        <v>1</v>
      </c>
      <c r="F9" s="248" t="s">
        <v>392</v>
      </c>
      <c r="G9" s="250">
        <f>VLOOKUP(F9,TableInputsData[],$G$6,FALSE)</f>
        <v>2023</v>
      </c>
      <c r="H9" s="250" t="s">
        <v>588</v>
      </c>
      <c r="I9" s="248" t="s">
        <v>537</v>
      </c>
      <c r="J9" s="248" t="str">
        <f>VLOOKUP(I9,TableInputsData[],$J$6,FALSE)</f>
        <v>XYZ</v>
      </c>
      <c r="K9" s="248" t="s">
        <v>261</v>
      </c>
      <c r="L9" s="499">
        <v>1000</v>
      </c>
      <c r="M9" s="499">
        <v>0</v>
      </c>
      <c r="N9" s="499">
        <v>0</v>
      </c>
      <c r="O9" s="264">
        <f t="shared" ref="O9:O16" si="0">$L9*$P9+$M9*$Q9+$N9*$R9</f>
        <v>1000</v>
      </c>
      <c r="P9" s="500">
        <v>1</v>
      </c>
      <c r="Q9" s="500">
        <v>0</v>
      </c>
      <c r="R9" s="259">
        <f>1-$P9-$Q9</f>
        <v>0</v>
      </c>
      <c r="S9" s="625">
        <v>500</v>
      </c>
      <c r="T9" s="626">
        <v>0</v>
      </c>
      <c r="U9" s="626">
        <v>0</v>
      </c>
      <c r="V9" s="628">
        <f>AI41</f>
        <v>0</v>
      </c>
      <c r="W9" s="500">
        <v>1</v>
      </c>
      <c r="X9" s="500">
        <v>1</v>
      </c>
      <c r="Y9" s="500">
        <v>1</v>
      </c>
      <c r="Z9" s="259">
        <f>1-$W9</f>
        <v>0</v>
      </c>
      <c r="AA9" s="259">
        <f>1-$X9</f>
        <v>0</v>
      </c>
      <c r="AB9" s="259">
        <f>1-$Y9</f>
        <v>0</v>
      </c>
      <c r="AC9" s="628">
        <f>AM41</f>
        <v>0</v>
      </c>
      <c r="AD9" s="628">
        <f t="shared" ref="AD9:AD16" si="1">AO41</f>
        <v>0</v>
      </c>
      <c r="AE9" s="501">
        <v>0</v>
      </c>
      <c r="AF9" s="501">
        <v>0</v>
      </c>
      <c r="AG9" s="651">
        <v>0</v>
      </c>
      <c r="AH9" s="651">
        <v>0</v>
      </c>
      <c r="AI9" s="264">
        <f t="shared" ref="AI9:AI12" si="2">$AE9+$AF9+$AG9+$AH9</f>
        <v>0</v>
      </c>
      <c r="AJ9" s="264">
        <f t="shared" ref="AJ9:AJ16" si="3">$AI9*$P9</f>
        <v>0</v>
      </c>
      <c r="AK9" s="264">
        <f t="shared" ref="AK9:AK16" si="4">$AI9*$Q9</f>
        <v>0</v>
      </c>
      <c r="AL9" s="264">
        <f t="shared" ref="AL9:AL16" si="5">$AI9*$R9</f>
        <v>0</v>
      </c>
      <c r="AM9" s="264">
        <f t="shared" ref="AM9:AM16" si="6">$AJ9*$W9+$AK9*$X9+$AL9*$Y9</f>
        <v>0</v>
      </c>
      <c r="AN9" s="640">
        <f>IF(AI9=0,0,AM9/AI9)</f>
        <v>0</v>
      </c>
      <c r="AO9" s="264">
        <f t="shared" ref="AO9:AO16" si="7">$AJ9*$Z9+$AK9*$AA9+$AL9*$AB9</f>
        <v>0</v>
      </c>
      <c r="AP9" s="640">
        <f t="shared" ref="AP9:AP24" si="8">IF(AI9=0,0,AO9/AI9)</f>
        <v>0</v>
      </c>
      <c r="AQ9" s="264" t="str">
        <f>VLOOKUP(I9,TableInputsData[],$AQ$6,FALSE)</f>
        <v>GAMME # : 1 + CANAL DE DISTRIBUTION # : 1</v>
      </c>
      <c r="AR9" s="264" t="str">
        <f>VLOOKUP($I9,TableInputsData[],ReadMe!$M$3,FALSE)&amp;"  |  "&amp;VLOOKUP($K9,TableInputsData[],ReadMe!$M$3,FALSE)</f>
        <v>PRODUIT 01  |  VOLUME</v>
      </c>
      <c r="AS9" s="264" t="b">
        <f>AND(EXACT(ROUND(AI9,2),ROUND(AJ9+AK9+AL9,2)),EXACT(ROUND(AI9,2),ROUND(AM9+AO9,2)),EXACT(SUM(P9:R9),1),IF(R9&lt;0,FALSE,TRUE),EXACT(SUM(W9:AB9),3),MIN(W9:Y9)&gt;=0, MAX(W9:Y9)&lt;=1)</f>
        <v>1</v>
      </c>
      <c r="AT9" s="294"/>
    </row>
    <row r="10" spans="1:46" ht="13" x14ac:dyDescent="0.2">
      <c r="A10" s="294"/>
      <c r="B10" s="924"/>
      <c r="C10" s="271">
        <v>3</v>
      </c>
      <c r="D10" s="250">
        <f>D9</f>
        <v>1</v>
      </c>
      <c r="E10" s="250">
        <v>1</v>
      </c>
      <c r="F10" s="248" t="s">
        <v>391</v>
      </c>
      <c r="G10" s="250">
        <f>VLOOKUP(F10,TableInputsData[],$G$6,FALSE)</f>
        <v>2024</v>
      </c>
      <c r="H10" s="250" t="str">
        <f>H9</f>
        <v>PRODUCT</v>
      </c>
      <c r="I10" s="248" t="str">
        <f>I9</f>
        <v>PRODUCT 01</v>
      </c>
      <c r="J10" s="248" t="str">
        <f>VLOOKUP(I10,TableInputsData[],$J$6,FALSE)</f>
        <v>XYZ</v>
      </c>
      <c r="K10" s="248" t="str">
        <f>K9</f>
        <v>VOLUME</v>
      </c>
      <c r="L10" s="499">
        <v>1000</v>
      </c>
      <c r="M10" s="499">
        <v>0</v>
      </c>
      <c r="N10" s="499">
        <v>0</v>
      </c>
      <c r="O10" s="264">
        <f t="shared" si="0"/>
        <v>1000</v>
      </c>
      <c r="P10" s="500">
        <v>1</v>
      </c>
      <c r="Q10" s="500">
        <v>0</v>
      </c>
      <c r="R10" s="259">
        <f t="shared" ref="R10:R16" si="9">1-$P10-$Q10</f>
        <v>0</v>
      </c>
      <c r="S10" s="626">
        <v>500</v>
      </c>
      <c r="T10" s="626">
        <v>0</v>
      </c>
      <c r="U10" s="626">
        <v>0</v>
      </c>
      <c r="V10" s="628">
        <f t="shared" ref="V10:V16" si="10">AI42</f>
        <v>0</v>
      </c>
      <c r="W10" s="500">
        <v>1</v>
      </c>
      <c r="X10" s="500">
        <v>1</v>
      </c>
      <c r="Y10" s="500">
        <v>1</v>
      </c>
      <c r="Z10" s="259">
        <f t="shared" ref="Z10:Z16" si="11">1-$W10</f>
        <v>0</v>
      </c>
      <c r="AA10" s="259">
        <f t="shared" ref="AA10:AA16" si="12">1-$X10</f>
        <v>0</v>
      </c>
      <c r="AB10" s="259">
        <f t="shared" ref="AB10:AB16" si="13">1-$Y10</f>
        <v>0</v>
      </c>
      <c r="AC10" s="628">
        <f t="shared" ref="AC10" si="14">AM42</f>
        <v>0</v>
      </c>
      <c r="AD10" s="628">
        <f t="shared" si="1"/>
        <v>0</v>
      </c>
      <c r="AE10" s="501">
        <v>0</v>
      </c>
      <c r="AF10" s="501">
        <v>0</v>
      </c>
      <c r="AG10" s="501">
        <v>0</v>
      </c>
      <c r="AH10" s="501">
        <v>0</v>
      </c>
      <c r="AI10" s="264">
        <f t="shared" si="2"/>
        <v>0</v>
      </c>
      <c r="AJ10" s="264">
        <f t="shared" si="3"/>
        <v>0</v>
      </c>
      <c r="AK10" s="264">
        <f t="shared" si="4"/>
        <v>0</v>
      </c>
      <c r="AL10" s="264">
        <f t="shared" si="5"/>
        <v>0</v>
      </c>
      <c r="AM10" s="264">
        <f t="shared" si="6"/>
        <v>0</v>
      </c>
      <c r="AN10" s="640">
        <f t="shared" ref="AN10:AN40" si="15">IF(AI10=0,0,AM10/AI10)</f>
        <v>0</v>
      </c>
      <c r="AO10" s="264">
        <f t="shared" si="7"/>
        <v>0</v>
      </c>
      <c r="AP10" s="640">
        <f t="shared" si="8"/>
        <v>0</v>
      </c>
      <c r="AQ10" s="501"/>
      <c r="AR10" s="264" t="str">
        <f>VLOOKUP($I10,TableInputsData[],ReadMe!$M$3,FALSE)&amp;"  |  "&amp;VLOOKUP($K10,TableInputsData[],ReadMe!$M$3,FALSE)</f>
        <v>PRODUIT 01  |  VOLUME</v>
      </c>
      <c r="AS10" s="264" t="b">
        <f t="shared" ref="AS10:AS16" si="16">AND(EXACT(ROUND(AI10,2),ROUND(AJ10+AK10+AL10,2)),EXACT(ROUND(AI10,2),ROUND(AM10+AO10,2)),EXACT(SUM(P10:R10),1),IF(R10&lt;0,FALSE,TRUE),EXACT(SUM(W10:AB10),3),MIN(W10:Y10)&gt;=0, MAX(W10:Y10)&lt;=1)</f>
        <v>1</v>
      </c>
      <c r="AT10" s="294"/>
    </row>
    <row r="11" spans="1:46" ht="13" x14ac:dyDescent="0.2">
      <c r="A11" s="294"/>
      <c r="B11" s="924"/>
      <c r="C11" s="271">
        <v>4</v>
      </c>
      <c r="D11" s="250">
        <f t="shared" ref="D11:D48" si="17">D10</f>
        <v>1</v>
      </c>
      <c r="E11" s="250">
        <v>1</v>
      </c>
      <c r="F11" s="248" t="s">
        <v>393</v>
      </c>
      <c r="G11" s="250">
        <f>VLOOKUP(F11,TableInputsData[],$G$6,FALSE)</f>
        <v>2025</v>
      </c>
      <c r="H11" s="250" t="str">
        <f t="shared" ref="H11:I48" si="18">H10</f>
        <v>PRODUCT</v>
      </c>
      <c r="I11" s="248" t="str">
        <f t="shared" si="18"/>
        <v>PRODUCT 01</v>
      </c>
      <c r="J11" s="248" t="str">
        <f>VLOOKUP(I11,TableInputsData[],$J$6,FALSE)</f>
        <v>XYZ</v>
      </c>
      <c r="K11" s="248" t="str">
        <f t="shared" ref="K11:K16" si="19">K10</f>
        <v>VOLUME</v>
      </c>
      <c r="L11" s="499">
        <v>1000</v>
      </c>
      <c r="M11" s="499">
        <v>0</v>
      </c>
      <c r="N11" s="499">
        <v>0</v>
      </c>
      <c r="O11" s="264">
        <f t="shared" si="0"/>
        <v>1000</v>
      </c>
      <c r="P11" s="500">
        <v>1</v>
      </c>
      <c r="Q11" s="500">
        <v>0</v>
      </c>
      <c r="R11" s="259">
        <f t="shared" si="9"/>
        <v>0</v>
      </c>
      <c r="S11" s="626">
        <v>500</v>
      </c>
      <c r="T11" s="626">
        <v>0</v>
      </c>
      <c r="U11" s="626">
        <v>0</v>
      </c>
      <c r="V11" s="628">
        <f t="shared" si="10"/>
        <v>0</v>
      </c>
      <c r="W11" s="500">
        <v>1</v>
      </c>
      <c r="X11" s="500">
        <v>1</v>
      </c>
      <c r="Y11" s="500">
        <v>1</v>
      </c>
      <c r="Z11" s="259">
        <f t="shared" si="11"/>
        <v>0</v>
      </c>
      <c r="AA11" s="259">
        <f t="shared" si="12"/>
        <v>0</v>
      </c>
      <c r="AB11" s="259">
        <f t="shared" si="13"/>
        <v>0</v>
      </c>
      <c r="AC11" s="628">
        <f t="shared" ref="AC11" si="20">AM43</f>
        <v>0</v>
      </c>
      <c r="AD11" s="628">
        <f t="shared" si="1"/>
        <v>0</v>
      </c>
      <c r="AE11" s="501">
        <v>0</v>
      </c>
      <c r="AF11" s="501">
        <v>0</v>
      </c>
      <c r="AG11" s="501">
        <v>0</v>
      </c>
      <c r="AH11" s="501">
        <v>0</v>
      </c>
      <c r="AI11" s="264">
        <f t="shared" si="2"/>
        <v>0</v>
      </c>
      <c r="AJ11" s="264">
        <f t="shared" si="3"/>
        <v>0</v>
      </c>
      <c r="AK11" s="264">
        <f t="shared" si="4"/>
        <v>0</v>
      </c>
      <c r="AL11" s="264">
        <f t="shared" si="5"/>
        <v>0</v>
      </c>
      <c r="AM11" s="264">
        <f t="shared" si="6"/>
        <v>0</v>
      </c>
      <c r="AN11" s="640">
        <f t="shared" si="15"/>
        <v>0</v>
      </c>
      <c r="AO11" s="264">
        <f t="shared" si="7"/>
        <v>0</v>
      </c>
      <c r="AP11" s="640">
        <f t="shared" si="8"/>
        <v>0</v>
      </c>
      <c r="AQ11" s="501"/>
      <c r="AR11" s="264" t="str">
        <f>VLOOKUP($I11,TableInputsData[],ReadMe!$M$3,FALSE)&amp;"  |  "&amp;VLOOKUP($K11,TableInputsData[],ReadMe!$M$3,FALSE)</f>
        <v>PRODUIT 01  |  VOLUME</v>
      </c>
      <c r="AS11" s="264" t="b">
        <f t="shared" si="16"/>
        <v>1</v>
      </c>
      <c r="AT11" s="294"/>
    </row>
    <row r="12" spans="1:46" ht="13" x14ac:dyDescent="0.2">
      <c r="A12" s="294"/>
      <c r="B12" s="924"/>
      <c r="C12" s="271">
        <v>5</v>
      </c>
      <c r="D12" s="250">
        <f t="shared" si="17"/>
        <v>1</v>
      </c>
      <c r="E12" s="250">
        <v>1</v>
      </c>
      <c r="F12" s="248" t="s">
        <v>396</v>
      </c>
      <c r="G12" s="250">
        <f>VLOOKUP(F12,TableInputsData[],$G$6,FALSE)</f>
        <v>2026</v>
      </c>
      <c r="H12" s="250" t="str">
        <f t="shared" si="18"/>
        <v>PRODUCT</v>
      </c>
      <c r="I12" s="248" t="str">
        <f t="shared" si="18"/>
        <v>PRODUCT 01</v>
      </c>
      <c r="J12" s="248" t="str">
        <f>VLOOKUP(I12,TableInputsData[],$J$6,FALSE)</f>
        <v>XYZ</v>
      </c>
      <c r="K12" s="248" t="str">
        <f t="shared" si="19"/>
        <v>VOLUME</v>
      </c>
      <c r="L12" s="499">
        <v>1000</v>
      </c>
      <c r="M12" s="499">
        <v>0</v>
      </c>
      <c r="N12" s="499">
        <v>0</v>
      </c>
      <c r="O12" s="264">
        <f t="shared" si="0"/>
        <v>1000</v>
      </c>
      <c r="P12" s="500">
        <v>1</v>
      </c>
      <c r="Q12" s="500">
        <v>0</v>
      </c>
      <c r="R12" s="259">
        <f t="shared" si="9"/>
        <v>0</v>
      </c>
      <c r="S12" s="626">
        <v>500</v>
      </c>
      <c r="T12" s="626">
        <v>0</v>
      </c>
      <c r="U12" s="626">
        <v>0</v>
      </c>
      <c r="V12" s="628">
        <f t="shared" si="10"/>
        <v>0</v>
      </c>
      <c r="W12" s="500">
        <v>1</v>
      </c>
      <c r="X12" s="500">
        <v>1</v>
      </c>
      <c r="Y12" s="500">
        <v>1</v>
      </c>
      <c r="Z12" s="259">
        <f t="shared" si="11"/>
        <v>0</v>
      </c>
      <c r="AA12" s="259">
        <f t="shared" si="12"/>
        <v>0</v>
      </c>
      <c r="AB12" s="259">
        <f t="shared" si="13"/>
        <v>0</v>
      </c>
      <c r="AC12" s="628">
        <f t="shared" ref="AC12" si="21">AM44</f>
        <v>0</v>
      </c>
      <c r="AD12" s="628">
        <f t="shared" si="1"/>
        <v>0</v>
      </c>
      <c r="AE12" s="501">
        <v>0</v>
      </c>
      <c r="AF12" s="501">
        <v>0</v>
      </c>
      <c r="AG12" s="501">
        <v>0</v>
      </c>
      <c r="AH12" s="501">
        <v>0</v>
      </c>
      <c r="AI12" s="264">
        <f t="shared" si="2"/>
        <v>0</v>
      </c>
      <c r="AJ12" s="264">
        <f t="shared" si="3"/>
        <v>0</v>
      </c>
      <c r="AK12" s="264">
        <f t="shared" si="4"/>
        <v>0</v>
      </c>
      <c r="AL12" s="264">
        <f t="shared" si="5"/>
        <v>0</v>
      </c>
      <c r="AM12" s="264">
        <f t="shared" si="6"/>
        <v>0</v>
      </c>
      <c r="AN12" s="640">
        <f t="shared" si="15"/>
        <v>0</v>
      </c>
      <c r="AO12" s="264">
        <f t="shared" si="7"/>
        <v>0</v>
      </c>
      <c r="AP12" s="640">
        <f t="shared" si="8"/>
        <v>0</v>
      </c>
      <c r="AQ12" s="501"/>
      <c r="AR12" s="264" t="str">
        <f>VLOOKUP($I12,TableInputsData[],ReadMe!$M$3,FALSE)&amp;"  |  "&amp;VLOOKUP($K12,TableInputsData[],ReadMe!$M$3,FALSE)</f>
        <v>PRODUIT 01  |  VOLUME</v>
      </c>
      <c r="AS12" s="264" t="b">
        <f t="shared" si="16"/>
        <v>1</v>
      </c>
      <c r="AT12" s="294"/>
    </row>
    <row r="13" spans="1:46" ht="13" x14ac:dyDescent="0.2">
      <c r="A13" s="294"/>
      <c r="B13" s="924"/>
      <c r="C13" s="271">
        <v>6</v>
      </c>
      <c r="D13" s="250">
        <f t="shared" si="17"/>
        <v>1</v>
      </c>
      <c r="E13" s="250">
        <v>1</v>
      </c>
      <c r="F13" s="248" t="s">
        <v>397</v>
      </c>
      <c r="G13" s="250">
        <f>VLOOKUP(F13,TableInputsData[],$G$6,FALSE)</f>
        <v>2027</v>
      </c>
      <c r="H13" s="250" t="str">
        <f t="shared" si="18"/>
        <v>PRODUCT</v>
      </c>
      <c r="I13" s="248" t="str">
        <f t="shared" si="18"/>
        <v>PRODUCT 01</v>
      </c>
      <c r="J13" s="248" t="str">
        <f>VLOOKUP(I13,TableInputsData[],$J$6,FALSE)</f>
        <v>XYZ</v>
      </c>
      <c r="K13" s="248" t="str">
        <f t="shared" si="19"/>
        <v>VOLUME</v>
      </c>
      <c r="L13" s="499">
        <v>1000</v>
      </c>
      <c r="M13" s="499">
        <v>0</v>
      </c>
      <c r="N13" s="499">
        <v>0</v>
      </c>
      <c r="O13" s="264">
        <f t="shared" si="0"/>
        <v>1000</v>
      </c>
      <c r="P13" s="500">
        <v>1</v>
      </c>
      <c r="Q13" s="500">
        <v>0</v>
      </c>
      <c r="R13" s="259">
        <f t="shared" si="9"/>
        <v>0</v>
      </c>
      <c r="S13" s="626">
        <v>500</v>
      </c>
      <c r="T13" s="626">
        <v>0</v>
      </c>
      <c r="U13" s="626">
        <v>0</v>
      </c>
      <c r="V13" s="628">
        <f t="shared" si="10"/>
        <v>0</v>
      </c>
      <c r="W13" s="500">
        <v>1</v>
      </c>
      <c r="X13" s="500">
        <v>1</v>
      </c>
      <c r="Y13" s="500">
        <v>1</v>
      </c>
      <c r="Z13" s="259">
        <f t="shared" si="11"/>
        <v>0</v>
      </c>
      <c r="AA13" s="259">
        <f t="shared" si="12"/>
        <v>0</v>
      </c>
      <c r="AB13" s="259">
        <f t="shared" si="13"/>
        <v>0</v>
      </c>
      <c r="AC13" s="628">
        <f t="shared" ref="AC13" si="22">AM45</f>
        <v>0</v>
      </c>
      <c r="AD13" s="628">
        <f t="shared" si="1"/>
        <v>0</v>
      </c>
      <c r="AE13" s="264">
        <f>$AI13/4</f>
        <v>0</v>
      </c>
      <c r="AF13" s="264">
        <f t="shared" ref="AF13:AH16" si="23">$AI13/4</f>
        <v>0</v>
      </c>
      <c r="AG13" s="264">
        <f t="shared" si="23"/>
        <v>0</v>
      </c>
      <c r="AH13" s="264">
        <f t="shared" si="23"/>
        <v>0</v>
      </c>
      <c r="AI13" s="501">
        <v>0</v>
      </c>
      <c r="AJ13" s="264">
        <f t="shared" si="3"/>
        <v>0</v>
      </c>
      <c r="AK13" s="264">
        <f t="shared" si="4"/>
        <v>0</v>
      </c>
      <c r="AL13" s="264">
        <f t="shared" si="5"/>
        <v>0</v>
      </c>
      <c r="AM13" s="264">
        <f t="shared" si="6"/>
        <v>0</v>
      </c>
      <c r="AN13" s="640">
        <f t="shared" si="15"/>
        <v>0</v>
      </c>
      <c r="AO13" s="264">
        <f t="shared" si="7"/>
        <v>0</v>
      </c>
      <c r="AP13" s="640">
        <f t="shared" si="8"/>
        <v>0</v>
      </c>
      <c r="AQ13" s="501"/>
      <c r="AR13" s="264" t="str">
        <f>VLOOKUP($I13,TableInputsData[],ReadMe!$M$3,FALSE)&amp;"  |  "&amp;VLOOKUP($K13,TableInputsData[],ReadMe!$M$3,FALSE)</f>
        <v>PRODUIT 01  |  VOLUME</v>
      </c>
      <c r="AS13" s="264" t="b">
        <f t="shared" si="16"/>
        <v>1</v>
      </c>
      <c r="AT13" s="294"/>
    </row>
    <row r="14" spans="1:46" ht="13" x14ac:dyDescent="0.2">
      <c r="A14" s="294"/>
      <c r="B14" s="924"/>
      <c r="C14" s="271">
        <v>7</v>
      </c>
      <c r="D14" s="250">
        <f t="shared" si="17"/>
        <v>1</v>
      </c>
      <c r="E14" s="250">
        <v>1</v>
      </c>
      <c r="F14" s="248" t="s">
        <v>398</v>
      </c>
      <c r="G14" s="250">
        <f>VLOOKUP(F14,TableInputsData[],$G$6,FALSE)</f>
        <v>2028</v>
      </c>
      <c r="H14" s="250" t="str">
        <f t="shared" si="18"/>
        <v>PRODUCT</v>
      </c>
      <c r="I14" s="248" t="str">
        <f t="shared" si="18"/>
        <v>PRODUCT 01</v>
      </c>
      <c r="J14" s="248" t="str">
        <f>VLOOKUP(I14,TableInputsData[],$J$6,FALSE)</f>
        <v>XYZ</v>
      </c>
      <c r="K14" s="248" t="str">
        <f t="shared" si="19"/>
        <v>VOLUME</v>
      </c>
      <c r="L14" s="499">
        <v>1000</v>
      </c>
      <c r="M14" s="499">
        <v>0</v>
      </c>
      <c r="N14" s="499">
        <v>0</v>
      </c>
      <c r="O14" s="264">
        <f t="shared" si="0"/>
        <v>1000</v>
      </c>
      <c r="P14" s="500">
        <v>1</v>
      </c>
      <c r="Q14" s="500">
        <v>0</v>
      </c>
      <c r="R14" s="259">
        <f t="shared" si="9"/>
        <v>0</v>
      </c>
      <c r="S14" s="626">
        <v>500</v>
      </c>
      <c r="T14" s="626">
        <v>0</v>
      </c>
      <c r="U14" s="626">
        <v>0</v>
      </c>
      <c r="V14" s="628">
        <f t="shared" si="10"/>
        <v>0</v>
      </c>
      <c r="W14" s="500">
        <v>1</v>
      </c>
      <c r="X14" s="500">
        <v>1</v>
      </c>
      <c r="Y14" s="500">
        <v>1</v>
      </c>
      <c r="Z14" s="259">
        <f t="shared" si="11"/>
        <v>0</v>
      </c>
      <c r="AA14" s="259">
        <f t="shared" si="12"/>
        <v>0</v>
      </c>
      <c r="AB14" s="259">
        <f t="shared" si="13"/>
        <v>0</v>
      </c>
      <c r="AC14" s="628">
        <f t="shared" ref="AC14" si="24">AM46</f>
        <v>0</v>
      </c>
      <c r="AD14" s="628">
        <f t="shared" si="1"/>
        <v>0</v>
      </c>
      <c r="AE14" s="264">
        <f t="shared" ref="AE14:AE16" si="25">$AI14/4</f>
        <v>0</v>
      </c>
      <c r="AF14" s="264">
        <f t="shared" si="23"/>
        <v>0</v>
      </c>
      <c r="AG14" s="264">
        <f t="shared" si="23"/>
        <v>0</v>
      </c>
      <c r="AH14" s="264">
        <f t="shared" si="23"/>
        <v>0</v>
      </c>
      <c r="AI14" s="501">
        <v>0</v>
      </c>
      <c r="AJ14" s="264">
        <f t="shared" si="3"/>
        <v>0</v>
      </c>
      <c r="AK14" s="264">
        <f t="shared" si="4"/>
        <v>0</v>
      </c>
      <c r="AL14" s="264">
        <f t="shared" si="5"/>
        <v>0</v>
      </c>
      <c r="AM14" s="264">
        <f t="shared" si="6"/>
        <v>0</v>
      </c>
      <c r="AN14" s="640">
        <f t="shared" si="15"/>
        <v>0</v>
      </c>
      <c r="AO14" s="264">
        <f t="shared" si="7"/>
        <v>0</v>
      </c>
      <c r="AP14" s="640">
        <f t="shared" si="8"/>
        <v>0</v>
      </c>
      <c r="AQ14" s="501"/>
      <c r="AR14" s="264" t="str">
        <f>VLOOKUP($I14,TableInputsData[],ReadMe!$M$3,FALSE)&amp;"  |  "&amp;VLOOKUP($K14,TableInputsData[],ReadMe!$M$3,FALSE)</f>
        <v>PRODUIT 01  |  VOLUME</v>
      </c>
      <c r="AS14" s="264" t="b">
        <f t="shared" si="16"/>
        <v>1</v>
      </c>
      <c r="AT14" s="294"/>
    </row>
    <row r="15" spans="1:46" ht="13" x14ac:dyDescent="0.2">
      <c r="A15" s="294"/>
      <c r="B15" s="924"/>
      <c r="C15" s="271">
        <v>8</v>
      </c>
      <c r="D15" s="250">
        <f t="shared" si="17"/>
        <v>1</v>
      </c>
      <c r="E15" s="250">
        <v>1</v>
      </c>
      <c r="F15" s="248" t="s">
        <v>399</v>
      </c>
      <c r="G15" s="250">
        <f>VLOOKUP(F15,TableInputsData[],$G$6,FALSE)</f>
        <v>2029</v>
      </c>
      <c r="H15" s="250" t="str">
        <f t="shared" si="18"/>
        <v>PRODUCT</v>
      </c>
      <c r="I15" s="248" t="str">
        <f t="shared" si="18"/>
        <v>PRODUCT 01</v>
      </c>
      <c r="J15" s="248" t="str">
        <f>VLOOKUP(I15,TableInputsData[],$J$6,FALSE)</f>
        <v>XYZ</v>
      </c>
      <c r="K15" s="248" t="str">
        <f t="shared" si="19"/>
        <v>VOLUME</v>
      </c>
      <c r="L15" s="499">
        <v>1000</v>
      </c>
      <c r="M15" s="499">
        <v>0</v>
      </c>
      <c r="N15" s="499">
        <v>0</v>
      </c>
      <c r="O15" s="264">
        <f t="shared" si="0"/>
        <v>1000</v>
      </c>
      <c r="P15" s="500">
        <v>1</v>
      </c>
      <c r="Q15" s="500">
        <v>0</v>
      </c>
      <c r="R15" s="259">
        <f t="shared" si="9"/>
        <v>0</v>
      </c>
      <c r="S15" s="626">
        <v>500</v>
      </c>
      <c r="T15" s="626">
        <v>0</v>
      </c>
      <c r="U15" s="626">
        <v>0</v>
      </c>
      <c r="V15" s="628">
        <f t="shared" si="10"/>
        <v>0</v>
      </c>
      <c r="W15" s="500">
        <v>1</v>
      </c>
      <c r="X15" s="500">
        <v>1</v>
      </c>
      <c r="Y15" s="500">
        <v>1</v>
      </c>
      <c r="Z15" s="259">
        <f t="shared" si="11"/>
        <v>0</v>
      </c>
      <c r="AA15" s="259">
        <f t="shared" si="12"/>
        <v>0</v>
      </c>
      <c r="AB15" s="259">
        <f t="shared" si="13"/>
        <v>0</v>
      </c>
      <c r="AC15" s="628">
        <f t="shared" ref="AC15" si="26">AM47</f>
        <v>0</v>
      </c>
      <c r="AD15" s="628">
        <f t="shared" si="1"/>
        <v>0</v>
      </c>
      <c r="AE15" s="264">
        <f t="shared" si="25"/>
        <v>0</v>
      </c>
      <c r="AF15" s="264">
        <f t="shared" si="23"/>
        <v>0</v>
      </c>
      <c r="AG15" s="264">
        <f t="shared" si="23"/>
        <v>0</v>
      </c>
      <c r="AH15" s="264">
        <f t="shared" si="23"/>
        <v>0</v>
      </c>
      <c r="AI15" s="501">
        <v>0</v>
      </c>
      <c r="AJ15" s="264">
        <f t="shared" si="3"/>
        <v>0</v>
      </c>
      <c r="AK15" s="264">
        <f t="shared" si="4"/>
        <v>0</v>
      </c>
      <c r="AL15" s="264">
        <f t="shared" si="5"/>
        <v>0</v>
      </c>
      <c r="AM15" s="264">
        <f t="shared" si="6"/>
        <v>0</v>
      </c>
      <c r="AN15" s="640">
        <f t="shared" si="15"/>
        <v>0</v>
      </c>
      <c r="AO15" s="264">
        <f t="shared" si="7"/>
        <v>0</v>
      </c>
      <c r="AP15" s="640">
        <f t="shared" si="8"/>
        <v>0</v>
      </c>
      <c r="AQ15" s="501"/>
      <c r="AR15" s="264" t="str">
        <f>VLOOKUP($I15,TableInputsData[],ReadMe!$M$3,FALSE)&amp;"  |  "&amp;VLOOKUP($K15,TableInputsData[],ReadMe!$M$3,FALSE)</f>
        <v>PRODUIT 01  |  VOLUME</v>
      </c>
      <c r="AS15" s="264" t="b">
        <f t="shared" si="16"/>
        <v>1</v>
      </c>
      <c r="AT15" s="294"/>
    </row>
    <row r="16" spans="1:46" ht="13" x14ac:dyDescent="0.2">
      <c r="A16" s="294"/>
      <c r="B16" s="924"/>
      <c r="C16" s="271">
        <v>9</v>
      </c>
      <c r="D16" s="250">
        <f t="shared" si="17"/>
        <v>1</v>
      </c>
      <c r="E16" s="250">
        <v>1</v>
      </c>
      <c r="F16" s="248" t="s">
        <v>400</v>
      </c>
      <c r="G16" s="250">
        <f>VLOOKUP(F16,TableInputsData[],$G$6,FALSE)</f>
        <v>2030</v>
      </c>
      <c r="H16" s="250" t="str">
        <f t="shared" si="18"/>
        <v>PRODUCT</v>
      </c>
      <c r="I16" s="248" t="str">
        <f t="shared" si="18"/>
        <v>PRODUCT 01</v>
      </c>
      <c r="J16" s="248" t="str">
        <f>VLOOKUP(I16,TableInputsData[],$J$6,FALSE)</f>
        <v>XYZ</v>
      </c>
      <c r="K16" s="248" t="str">
        <f t="shared" si="19"/>
        <v>VOLUME</v>
      </c>
      <c r="L16" s="499">
        <v>1000</v>
      </c>
      <c r="M16" s="499">
        <v>0</v>
      </c>
      <c r="N16" s="499">
        <v>0</v>
      </c>
      <c r="O16" s="264">
        <f t="shared" si="0"/>
        <v>1000</v>
      </c>
      <c r="P16" s="500">
        <v>1</v>
      </c>
      <c r="Q16" s="500">
        <v>0</v>
      </c>
      <c r="R16" s="259">
        <f t="shared" si="9"/>
        <v>0</v>
      </c>
      <c r="S16" s="626">
        <v>500</v>
      </c>
      <c r="T16" s="626">
        <v>0</v>
      </c>
      <c r="U16" s="626">
        <v>0</v>
      </c>
      <c r="V16" s="628">
        <f t="shared" si="10"/>
        <v>0</v>
      </c>
      <c r="W16" s="500">
        <v>1</v>
      </c>
      <c r="X16" s="500">
        <v>1</v>
      </c>
      <c r="Y16" s="500">
        <v>1</v>
      </c>
      <c r="Z16" s="259">
        <f t="shared" si="11"/>
        <v>0</v>
      </c>
      <c r="AA16" s="259">
        <f t="shared" si="12"/>
        <v>0</v>
      </c>
      <c r="AB16" s="259">
        <f t="shared" si="13"/>
        <v>0</v>
      </c>
      <c r="AC16" s="628">
        <f t="shared" ref="AC16" si="27">AM48</f>
        <v>0</v>
      </c>
      <c r="AD16" s="628">
        <f t="shared" si="1"/>
        <v>0</v>
      </c>
      <c r="AE16" s="264">
        <f t="shared" si="25"/>
        <v>0</v>
      </c>
      <c r="AF16" s="264">
        <f t="shared" si="23"/>
        <v>0</v>
      </c>
      <c r="AG16" s="264">
        <f t="shared" si="23"/>
        <v>0</v>
      </c>
      <c r="AH16" s="264">
        <f t="shared" si="23"/>
        <v>0</v>
      </c>
      <c r="AI16" s="501">
        <v>0</v>
      </c>
      <c r="AJ16" s="264">
        <f t="shared" si="3"/>
        <v>0</v>
      </c>
      <c r="AK16" s="264">
        <f t="shared" si="4"/>
        <v>0</v>
      </c>
      <c r="AL16" s="264">
        <f t="shared" si="5"/>
        <v>0</v>
      </c>
      <c r="AM16" s="264">
        <f t="shared" si="6"/>
        <v>0</v>
      </c>
      <c r="AN16" s="640">
        <f t="shared" si="15"/>
        <v>0</v>
      </c>
      <c r="AO16" s="264">
        <f t="shared" si="7"/>
        <v>0</v>
      </c>
      <c r="AP16" s="640">
        <f t="shared" si="8"/>
        <v>0</v>
      </c>
      <c r="AQ16" s="501"/>
      <c r="AR16" s="264" t="str">
        <f>VLOOKUP($I16,TableInputsData[],ReadMe!$M$3,FALSE)&amp;"  |  "&amp;VLOOKUP($K16,TableInputsData[],ReadMe!$M$3,FALSE)</f>
        <v>PRODUIT 01  |  VOLUME</v>
      </c>
      <c r="AS16" s="264" t="b">
        <f t="shared" si="16"/>
        <v>1</v>
      </c>
      <c r="AT16" s="294"/>
    </row>
    <row r="17" spans="1:46" ht="13" hidden="1" x14ac:dyDescent="0.2">
      <c r="A17" s="294"/>
      <c r="B17" s="924"/>
      <c r="C17" s="272">
        <v>10</v>
      </c>
      <c r="D17" s="250">
        <f t="shared" si="17"/>
        <v>1</v>
      </c>
      <c r="E17" s="251"/>
      <c r="F17" s="248" t="str">
        <f t="shared" ref="F17:F24" si="28">F25</f>
        <v>YEAR-2</v>
      </c>
      <c r="G17" s="250">
        <f>VLOOKUP(F17,TableInputsData[],$G$6,FALSE)</f>
        <v>2023</v>
      </c>
      <c r="H17" s="250" t="str">
        <f t="shared" si="18"/>
        <v>PRODUCT</v>
      </c>
      <c r="I17" s="248" t="str">
        <f t="shared" si="18"/>
        <v>PRODUCT 01</v>
      </c>
      <c r="J17" s="248" t="str">
        <f>VLOOKUP(I17,TableInputsData[],$J$6,FALSE)</f>
        <v>XYZ</v>
      </c>
      <c r="K17" s="248" t="s">
        <v>457</v>
      </c>
      <c r="L17" s="256"/>
      <c r="M17" s="256"/>
      <c r="N17" s="256"/>
      <c r="O17" s="266"/>
      <c r="P17" s="261"/>
      <c r="Q17" s="261"/>
      <c r="R17" s="261"/>
      <c r="S17" s="630"/>
      <c r="T17" s="630"/>
      <c r="U17" s="630"/>
      <c r="V17" s="629"/>
      <c r="W17" s="261"/>
      <c r="X17" s="261"/>
      <c r="Y17" s="261"/>
      <c r="Z17" s="261"/>
      <c r="AA17" s="261"/>
      <c r="AB17" s="261"/>
      <c r="AC17" s="266"/>
      <c r="AD17" s="633"/>
      <c r="AE17" s="264">
        <f>AE9*($L9*$P9+$M9*$Q9+$N9*$R9)</f>
        <v>0</v>
      </c>
      <c r="AF17" s="264">
        <f t="shared" ref="AF17:AH17" si="29">AF9*($L9*$P9+$M9*$Q9+$N9*$R9)</f>
        <v>0</v>
      </c>
      <c r="AG17" s="264">
        <f t="shared" si="29"/>
        <v>0</v>
      </c>
      <c r="AH17" s="264">
        <f t="shared" si="29"/>
        <v>0</v>
      </c>
      <c r="AI17" s="264">
        <f>$AE17+$AF17+$AG17+$AH17</f>
        <v>0</v>
      </c>
      <c r="AJ17" s="264">
        <f t="shared" ref="AJ17:AJ24" si="30">$AJ9*$L9</f>
        <v>0</v>
      </c>
      <c r="AK17" s="264">
        <f t="shared" ref="AK17:AK24" si="31">$AK9*$M9</f>
        <v>0</v>
      </c>
      <c r="AL17" s="264">
        <f t="shared" ref="AL17:AL24" si="32">$AL9*$N9</f>
        <v>0</v>
      </c>
      <c r="AM17" s="264">
        <f t="shared" ref="AM17:AM24" si="33">$AJ17*$W9+$AK17*$X9+$AL17*$Y9</f>
        <v>0</v>
      </c>
      <c r="AN17" s="640">
        <f t="shared" si="15"/>
        <v>0</v>
      </c>
      <c r="AO17" s="264">
        <f t="shared" ref="AO17:AO24" si="34">$AJ17*$Z9+$AK17*$AA9+$AL17*$AB9</f>
        <v>0</v>
      </c>
      <c r="AP17" s="640">
        <f t="shared" si="8"/>
        <v>0</v>
      </c>
      <c r="AQ17" s="264"/>
      <c r="AR17" s="264" t="str">
        <f>VLOOKUP($I17,TableInputsData[],ReadMe!$M$3,FALSE)&amp;"  |  "&amp;VLOOKUP($K17,TableInputsData[],ReadMe!$M$3,FALSE)</f>
        <v>PRODUIT 01  |  CHIFFRE D'AFFAIRES</v>
      </c>
      <c r="AS17" s="264" t="b">
        <f t="shared" ref="AS17:AS24" si="35">AND(EXACT(ROUND(AI17,2),ROUND(AJ17+AK17+AL17,2)),EXACT(ROUND(AI17,2),ROUND(AM17+AO17,2)))</f>
        <v>1</v>
      </c>
      <c r="AT17" s="294"/>
    </row>
    <row r="18" spans="1:46" ht="13" hidden="1" x14ac:dyDescent="0.2">
      <c r="A18" s="294"/>
      <c r="B18" s="924"/>
      <c r="C18" s="271">
        <v>11</v>
      </c>
      <c r="D18" s="250">
        <f t="shared" si="17"/>
        <v>1</v>
      </c>
      <c r="E18" s="250"/>
      <c r="F18" s="248" t="str">
        <f t="shared" si="28"/>
        <v>YEAR-1</v>
      </c>
      <c r="G18" s="250">
        <f>VLOOKUP(F18,TableInputsData[],$G$6,FALSE)</f>
        <v>2024</v>
      </c>
      <c r="H18" s="250" t="str">
        <f t="shared" si="18"/>
        <v>PRODUCT</v>
      </c>
      <c r="I18" s="248" t="str">
        <f t="shared" si="18"/>
        <v>PRODUCT 01</v>
      </c>
      <c r="J18" s="248" t="str">
        <f>VLOOKUP(I18,TableInputsData[],$J$6,FALSE)</f>
        <v>XYZ</v>
      </c>
      <c r="K18" s="248" t="str">
        <f>K17</f>
        <v>REVENUE</v>
      </c>
      <c r="L18" s="255"/>
      <c r="M18" s="255"/>
      <c r="N18" s="255"/>
      <c r="O18" s="265"/>
      <c r="P18" s="260"/>
      <c r="Q18" s="260"/>
      <c r="R18" s="260"/>
      <c r="S18" s="630"/>
      <c r="T18" s="630"/>
      <c r="U18" s="630"/>
      <c r="V18" s="630"/>
      <c r="W18" s="260"/>
      <c r="X18" s="260"/>
      <c r="Y18" s="260"/>
      <c r="Z18" s="260"/>
      <c r="AA18" s="260"/>
      <c r="AB18" s="260"/>
      <c r="AC18" s="265"/>
      <c r="AD18" s="634"/>
      <c r="AE18" s="264">
        <f t="shared" ref="AE18:AH24" si="36">AE10*($L10*$P10+$M10*$Q10+$N10*$R10)</f>
        <v>0</v>
      </c>
      <c r="AF18" s="264">
        <f t="shared" si="36"/>
        <v>0</v>
      </c>
      <c r="AG18" s="264">
        <f t="shared" si="36"/>
        <v>0</v>
      </c>
      <c r="AH18" s="264">
        <f t="shared" si="36"/>
        <v>0</v>
      </c>
      <c r="AI18" s="264">
        <f t="shared" ref="AI18:AI23" si="37">$AE18+$AF18+$AG18+$AH18</f>
        <v>0</v>
      </c>
      <c r="AJ18" s="264">
        <f t="shared" si="30"/>
        <v>0</v>
      </c>
      <c r="AK18" s="264">
        <f t="shared" si="31"/>
        <v>0</v>
      </c>
      <c r="AL18" s="264">
        <f t="shared" si="32"/>
        <v>0</v>
      </c>
      <c r="AM18" s="264">
        <f t="shared" si="33"/>
        <v>0</v>
      </c>
      <c r="AN18" s="640">
        <f t="shared" si="15"/>
        <v>0</v>
      </c>
      <c r="AO18" s="264">
        <f t="shared" si="34"/>
        <v>0</v>
      </c>
      <c r="AP18" s="640">
        <f t="shared" si="8"/>
        <v>0</v>
      </c>
      <c r="AQ18" s="264"/>
      <c r="AR18" s="264" t="str">
        <f>VLOOKUP($I18,TableInputsData[],ReadMe!$M$3,FALSE)&amp;"  |  "&amp;VLOOKUP($K18,TableInputsData[],ReadMe!$M$3,FALSE)</f>
        <v>PRODUIT 01  |  CHIFFRE D'AFFAIRES</v>
      </c>
      <c r="AS18" s="264" t="b">
        <f t="shared" si="35"/>
        <v>1</v>
      </c>
      <c r="AT18" s="294"/>
    </row>
    <row r="19" spans="1:46" ht="13" hidden="1" x14ac:dyDescent="0.2">
      <c r="A19" s="294"/>
      <c r="B19" s="924"/>
      <c r="C19" s="271">
        <v>12</v>
      </c>
      <c r="D19" s="250">
        <f t="shared" si="17"/>
        <v>1</v>
      </c>
      <c r="E19" s="250"/>
      <c r="F19" s="248" t="str">
        <f t="shared" si="28"/>
        <v>CURRENT YEAR</v>
      </c>
      <c r="G19" s="250">
        <f>VLOOKUP(F19,TableInputsData[],$G$6,FALSE)</f>
        <v>2025</v>
      </c>
      <c r="H19" s="250" t="str">
        <f t="shared" si="18"/>
        <v>PRODUCT</v>
      </c>
      <c r="I19" s="248" t="str">
        <f t="shared" si="18"/>
        <v>PRODUCT 01</v>
      </c>
      <c r="J19" s="248" t="str">
        <f>VLOOKUP(I19,TableInputsData[],$J$6,FALSE)</f>
        <v>XYZ</v>
      </c>
      <c r="K19" s="248" t="str">
        <f t="shared" ref="K19:K24" si="38">K18</f>
        <v>REVENUE</v>
      </c>
      <c r="L19" s="255"/>
      <c r="M19" s="255"/>
      <c r="N19" s="255"/>
      <c r="O19" s="265"/>
      <c r="P19" s="260"/>
      <c r="Q19" s="260"/>
      <c r="R19" s="260"/>
      <c r="S19" s="630"/>
      <c r="T19" s="630"/>
      <c r="U19" s="630"/>
      <c r="V19" s="630"/>
      <c r="W19" s="260"/>
      <c r="X19" s="260"/>
      <c r="Y19" s="260"/>
      <c r="Z19" s="260"/>
      <c r="AA19" s="260"/>
      <c r="AB19" s="260"/>
      <c r="AC19" s="265"/>
      <c r="AD19" s="634"/>
      <c r="AE19" s="264">
        <f t="shared" si="36"/>
        <v>0</v>
      </c>
      <c r="AF19" s="264">
        <f t="shared" si="36"/>
        <v>0</v>
      </c>
      <c r="AG19" s="264">
        <f t="shared" si="36"/>
        <v>0</v>
      </c>
      <c r="AH19" s="264">
        <f t="shared" si="36"/>
        <v>0</v>
      </c>
      <c r="AI19" s="264">
        <f t="shared" si="37"/>
        <v>0</v>
      </c>
      <c r="AJ19" s="264">
        <f t="shared" si="30"/>
        <v>0</v>
      </c>
      <c r="AK19" s="264">
        <f t="shared" si="31"/>
        <v>0</v>
      </c>
      <c r="AL19" s="264">
        <f t="shared" si="32"/>
        <v>0</v>
      </c>
      <c r="AM19" s="264">
        <f t="shared" si="33"/>
        <v>0</v>
      </c>
      <c r="AN19" s="640">
        <f t="shared" si="15"/>
        <v>0</v>
      </c>
      <c r="AO19" s="264">
        <f t="shared" si="34"/>
        <v>0</v>
      </c>
      <c r="AP19" s="640">
        <f t="shared" si="8"/>
        <v>0</v>
      </c>
      <c r="AQ19" s="264"/>
      <c r="AR19" s="264" t="str">
        <f>VLOOKUP($I19,TableInputsData[],ReadMe!$M$3,FALSE)&amp;"  |  "&amp;VLOOKUP($K19,TableInputsData[],ReadMe!$M$3,FALSE)</f>
        <v>PRODUIT 01  |  CHIFFRE D'AFFAIRES</v>
      </c>
      <c r="AS19" s="264" t="b">
        <f t="shared" si="35"/>
        <v>1</v>
      </c>
      <c r="AT19" s="294"/>
    </row>
    <row r="20" spans="1:46" ht="13" hidden="1" x14ac:dyDescent="0.2">
      <c r="A20" s="294"/>
      <c r="B20" s="924"/>
      <c r="C20" s="271">
        <v>13</v>
      </c>
      <c r="D20" s="250">
        <f t="shared" si="17"/>
        <v>1</v>
      </c>
      <c r="E20" s="250"/>
      <c r="F20" s="248" t="str">
        <f t="shared" si="28"/>
        <v>YEAR2</v>
      </c>
      <c r="G20" s="250">
        <f>VLOOKUP(F20,TableInputsData[],$G$6,FALSE)</f>
        <v>2026</v>
      </c>
      <c r="H20" s="250" t="str">
        <f t="shared" si="18"/>
        <v>PRODUCT</v>
      </c>
      <c r="I20" s="248" t="str">
        <f t="shared" si="18"/>
        <v>PRODUCT 01</v>
      </c>
      <c r="J20" s="248" t="str">
        <f>VLOOKUP(I20,TableInputsData[],$J$6,FALSE)</f>
        <v>XYZ</v>
      </c>
      <c r="K20" s="248" t="str">
        <f t="shared" si="38"/>
        <v>REVENUE</v>
      </c>
      <c r="L20" s="255"/>
      <c r="M20" s="255"/>
      <c r="N20" s="255"/>
      <c r="O20" s="265"/>
      <c r="P20" s="260"/>
      <c r="Q20" s="260"/>
      <c r="R20" s="260"/>
      <c r="S20" s="630"/>
      <c r="T20" s="630"/>
      <c r="U20" s="630"/>
      <c r="V20" s="630"/>
      <c r="W20" s="260"/>
      <c r="X20" s="260"/>
      <c r="Y20" s="260"/>
      <c r="Z20" s="260"/>
      <c r="AA20" s="260"/>
      <c r="AB20" s="260"/>
      <c r="AC20" s="265"/>
      <c r="AD20" s="634"/>
      <c r="AE20" s="264">
        <f t="shared" si="36"/>
        <v>0</v>
      </c>
      <c r="AF20" s="264">
        <f t="shared" si="36"/>
        <v>0</v>
      </c>
      <c r="AG20" s="264">
        <f t="shared" si="36"/>
        <v>0</v>
      </c>
      <c r="AH20" s="264">
        <f t="shared" si="36"/>
        <v>0</v>
      </c>
      <c r="AI20" s="264">
        <f t="shared" si="37"/>
        <v>0</v>
      </c>
      <c r="AJ20" s="264">
        <f t="shared" si="30"/>
        <v>0</v>
      </c>
      <c r="AK20" s="264">
        <f t="shared" si="31"/>
        <v>0</v>
      </c>
      <c r="AL20" s="264">
        <f t="shared" si="32"/>
        <v>0</v>
      </c>
      <c r="AM20" s="264">
        <f t="shared" si="33"/>
        <v>0</v>
      </c>
      <c r="AN20" s="640">
        <f t="shared" si="15"/>
        <v>0</v>
      </c>
      <c r="AO20" s="264">
        <f t="shared" si="34"/>
        <v>0</v>
      </c>
      <c r="AP20" s="640">
        <f t="shared" si="8"/>
        <v>0</v>
      </c>
      <c r="AQ20" s="264"/>
      <c r="AR20" s="264" t="str">
        <f>VLOOKUP($I20,TableInputsData[],ReadMe!$M$3,FALSE)&amp;"  |  "&amp;VLOOKUP($K20,TableInputsData[],ReadMe!$M$3,FALSE)</f>
        <v>PRODUIT 01  |  CHIFFRE D'AFFAIRES</v>
      </c>
      <c r="AS20" s="264" t="b">
        <f t="shared" si="35"/>
        <v>1</v>
      </c>
      <c r="AT20" s="294"/>
    </row>
    <row r="21" spans="1:46" ht="13" hidden="1" x14ac:dyDescent="0.2">
      <c r="A21" s="294"/>
      <c r="B21" s="924"/>
      <c r="C21" s="271">
        <v>14</v>
      </c>
      <c r="D21" s="250">
        <f t="shared" si="17"/>
        <v>1</v>
      </c>
      <c r="E21" s="250"/>
      <c r="F21" s="248" t="str">
        <f t="shared" si="28"/>
        <v>YEAR3</v>
      </c>
      <c r="G21" s="250">
        <f>VLOOKUP(F21,TableInputsData[],$G$6,FALSE)</f>
        <v>2027</v>
      </c>
      <c r="H21" s="250" t="str">
        <f t="shared" si="18"/>
        <v>PRODUCT</v>
      </c>
      <c r="I21" s="248" t="str">
        <f t="shared" si="18"/>
        <v>PRODUCT 01</v>
      </c>
      <c r="J21" s="248" t="str">
        <f>VLOOKUP(I21,TableInputsData[],$J$6,FALSE)</f>
        <v>XYZ</v>
      </c>
      <c r="K21" s="248" t="str">
        <f t="shared" si="38"/>
        <v>REVENUE</v>
      </c>
      <c r="L21" s="255"/>
      <c r="M21" s="255"/>
      <c r="N21" s="255"/>
      <c r="O21" s="265"/>
      <c r="P21" s="260"/>
      <c r="Q21" s="260"/>
      <c r="R21" s="260"/>
      <c r="S21" s="630"/>
      <c r="T21" s="630"/>
      <c r="U21" s="630"/>
      <c r="V21" s="630"/>
      <c r="W21" s="260"/>
      <c r="X21" s="260"/>
      <c r="Y21" s="260"/>
      <c r="Z21" s="260"/>
      <c r="AA21" s="260"/>
      <c r="AB21" s="260"/>
      <c r="AC21" s="265"/>
      <c r="AD21" s="634"/>
      <c r="AE21" s="264">
        <f t="shared" si="36"/>
        <v>0</v>
      </c>
      <c r="AF21" s="264">
        <f t="shared" si="36"/>
        <v>0</v>
      </c>
      <c r="AG21" s="264">
        <f t="shared" si="36"/>
        <v>0</v>
      </c>
      <c r="AH21" s="264">
        <f t="shared" si="36"/>
        <v>0</v>
      </c>
      <c r="AI21" s="264">
        <f t="shared" si="37"/>
        <v>0</v>
      </c>
      <c r="AJ21" s="264">
        <f t="shared" si="30"/>
        <v>0</v>
      </c>
      <c r="AK21" s="264">
        <f t="shared" si="31"/>
        <v>0</v>
      </c>
      <c r="AL21" s="264">
        <f t="shared" si="32"/>
        <v>0</v>
      </c>
      <c r="AM21" s="264">
        <f t="shared" si="33"/>
        <v>0</v>
      </c>
      <c r="AN21" s="640">
        <f t="shared" si="15"/>
        <v>0</v>
      </c>
      <c r="AO21" s="264">
        <f t="shared" si="34"/>
        <v>0</v>
      </c>
      <c r="AP21" s="640">
        <f t="shared" si="8"/>
        <v>0</v>
      </c>
      <c r="AQ21" s="264"/>
      <c r="AR21" s="264" t="str">
        <f>VLOOKUP($I21,TableInputsData[],ReadMe!$M$3,FALSE)&amp;"  |  "&amp;VLOOKUP($K21,TableInputsData[],ReadMe!$M$3,FALSE)</f>
        <v>PRODUIT 01  |  CHIFFRE D'AFFAIRES</v>
      </c>
      <c r="AS21" s="264" t="b">
        <f t="shared" si="35"/>
        <v>1</v>
      </c>
      <c r="AT21" s="294"/>
    </row>
    <row r="22" spans="1:46" ht="13" hidden="1" x14ac:dyDescent="0.2">
      <c r="A22" s="294"/>
      <c r="B22" s="924"/>
      <c r="C22" s="271">
        <v>15</v>
      </c>
      <c r="D22" s="250">
        <f t="shared" si="17"/>
        <v>1</v>
      </c>
      <c r="E22" s="250"/>
      <c r="F22" s="248" t="str">
        <f t="shared" si="28"/>
        <v>YEAR4</v>
      </c>
      <c r="G22" s="250">
        <f>VLOOKUP(F22,TableInputsData[],$G$6,FALSE)</f>
        <v>2028</v>
      </c>
      <c r="H22" s="250" t="str">
        <f t="shared" si="18"/>
        <v>PRODUCT</v>
      </c>
      <c r="I22" s="248" t="str">
        <f t="shared" si="18"/>
        <v>PRODUCT 01</v>
      </c>
      <c r="J22" s="248" t="str">
        <f>VLOOKUP(I22,TableInputsData[],$J$6,FALSE)</f>
        <v>XYZ</v>
      </c>
      <c r="K22" s="248" t="str">
        <f t="shared" si="38"/>
        <v>REVENUE</v>
      </c>
      <c r="L22" s="255"/>
      <c r="M22" s="255"/>
      <c r="N22" s="255"/>
      <c r="O22" s="265"/>
      <c r="P22" s="260"/>
      <c r="Q22" s="260"/>
      <c r="R22" s="260"/>
      <c r="S22" s="630"/>
      <c r="T22" s="630"/>
      <c r="U22" s="630"/>
      <c r="V22" s="630"/>
      <c r="W22" s="260"/>
      <c r="X22" s="260"/>
      <c r="Y22" s="260"/>
      <c r="Z22" s="260"/>
      <c r="AA22" s="260"/>
      <c r="AB22" s="260"/>
      <c r="AC22" s="265"/>
      <c r="AD22" s="634"/>
      <c r="AE22" s="264">
        <f t="shared" si="36"/>
        <v>0</v>
      </c>
      <c r="AF22" s="264">
        <f t="shared" si="36"/>
        <v>0</v>
      </c>
      <c r="AG22" s="264">
        <f t="shared" si="36"/>
        <v>0</v>
      </c>
      <c r="AH22" s="264">
        <f t="shared" si="36"/>
        <v>0</v>
      </c>
      <c r="AI22" s="264">
        <f t="shared" si="37"/>
        <v>0</v>
      </c>
      <c r="AJ22" s="264">
        <f t="shared" si="30"/>
        <v>0</v>
      </c>
      <c r="AK22" s="264">
        <f t="shared" si="31"/>
        <v>0</v>
      </c>
      <c r="AL22" s="264">
        <f t="shared" si="32"/>
        <v>0</v>
      </c>
      <c r="AM22" s="264">
        <f t="shared" si="33"/>
        <v>0</v>
      </c>
      <c r="AN22" s="640">
        <f t="shared" si="15"/>
        <v>0</v>
      </c>
      <c r="AO22" s="264">
        <f t="shared" si="34"/>
        <v>0</v>
      </c>
      <c r="AP22" s="640">
        <f t="shared" si="8"/>
        <v>0</v>
      </c>
      <c r="AQ22" s="264"/>
      <c r="AR22" s="264" t="str">
        <f>VLOOKUP($I22,TableInputsData[],ReadMe!$M$3,FALSE)&amp;"  |  "&amp;VLOOKUP($K22,TableInputsData[],ReadMe!$M$3,FALSE)</f>
        <v>PRODUIT 01  |  CHIFFRE D'AFFAIRES</v>
      </c>
      <c r="AS22" s="264" t="b">
        <f t="shared" si="35"/>
        <v>1</v>
      </c>
      <c r="AT22" s="294"/>
    </row>
    <row r="23" spans="1:46" ht="13" hidden="1" x14ac:dyDescent="0.2">
      <c r="A23" s="294"/>
      <c r="B23" s="924"/>
      <c r="C23" s="271">
        <v>16</v>
      </c>
      <c r="D23" s="250">
        <f t="shared" si="17"/>
        <v>1</v>
      </c>
      <c r="E23" s="250"/>
      <c r="F23" s="248" t="str">
        <f t="shared" si="28"/>
        <v>YEAR5</v>
      </c>
      <c r="G23" s="250">
        <f>VLOOKUP(F23,TableInputsData[],$G$6,FALSE)</f>
        <v>2029</v>
      </c>
      <c r="H23" s="250" t="str">
        <f t="shared" si="18"/>
        <v>PRODUCT</v>
      </c>
      <c r="I23" s="248" t="str">
        <f t="shared" si="18"/>
        <v>PRODUCT 01</v>
      </c>
      <c r="J23" s="248" t="str">
        <f>VLOOKUP(I23,TableInputsData[],$J$6,FALSE)</f>
        <v>XYZ</v>
      </c>
      <c r="K23" s="248" t="str">
        <f t="shared" si="38"/>
        <v>REVENUE</v>
      </c>
      <c r="L23" s="255"/>
      <c r="M23" s="255"/>
      <c r="N23" s="255"/>
      <c r="O23" s="265"/>
      <c r="P23" s="260"/>
      <c r="Q23" s="260"/>
      <c r="R23" s="260"/>
      <c r="S23" s="630"/>
      <c r="T23" s="630"/>
      <c r="U23" s="630"/>
      <c r="V23" s="630"/>
      <c r="W23" s="260"/>
      <c r="X23" s="260"/>
      <c r="Y23" s="260"/>
      <c r="Z23" s="260"/>
      <c r="AA23" s="260"/>
      <c r="AB23" s="260"/>
      <c r="AC23" s="265"/>
      <c r="AD23" s="634"/>
      <c r="AE23" s="264">
        <f t="shared" si="36"/>
        <v>0</v>
      </c>
      <c r="AF23" s="264">
        <f t="shared" si="36"/>
        <v>0</v>
      </c>
      <c r="AG23" s="264">
        <f t="shared" si="36"/>
        <v>0</v>
      </c>
      <c r="AH23" s="264">
        <f t="shared" si="36"/>
        <v>0</v>
      </c>
      <c r="AI23" s="264">
        <f t="shared" si="37"/>
        <v>0</v>
      </c>
      <c r="AJ23" s="264">
        <f t="shared" si="30"/>
        <v>0</v>
      </c>
      <c r="AK23" s="264">
        <f t="shared" si="31"/>
        <v>0</v>
      </c>
      <c r="AL23" s="264">
        <f t="shared" si="32"/>
        <v>0</v>
      </c>
      <c r="AM23" s="264">
        <f t="shared" si="33"/>
        <v>0</v>
      </c>
      <c r="AN23" s="640">
        <f t="shared" si="15"/>
        <v>0</v>
      </c>
      <c r="AO23" s="264">
        <f t="shared" si="34"/>
        <v>0</v>
      </c>
      <c r="AP23" s="640">
        <f t="shared" si="8"/>
        <v>0</v>
      </c>
      <c r="AQ23" s="264"/>
      <c r="AR23" s="264" t="str">
        <f>VLOOKUP($I23,TableInputsData[],ReadMe!$M$3,FALSE)&amp;"  |  "&amp;VLOOKUP($K23,TableInputsData[],ReadMe!$M$3,FALSE)</f>
        <v>PRODUIT 01  |  CHIFFRE D'AFFAIRES</v>
      </c>
      <c r="AS23" s="264" t="b">
        <f t="shared" si="35"/>
        <v>1</v>
      </c>
      <c r="AT23" s="294"/>
    </row>
    <row r="24" spans="1:46" ht="13" hidden="1" x14ac:dyDescent="0.2">
      <c r="A24" s="294"/>
      <c r="B24" s="924"/>
      <c r="C24" s="271">
        <v>17</v>
      </c>
      <c r="D24" s="250">
        <f t="shared" si="17"/>
        <v>1</v>
      </c>
      <c r="E24" s="250"/>
      <c r="F24" s="248" t="str">
        <f t="shared" si="28"/>
        <v>YEAR6</v>
      </c>
      <c r="G24" s="250">
        <f>VLOOKUP(F24,TableInputsData[],$G$6,FALSE)</f>
        <v>2030</v>
      </c>
      <c r="H24" s="250" t="str">
        <f t="shared" si="18"/>
        <v>PRODUCT</v>
      </c>
      <c r="I24" s="248" t="str">
        <f t="shared" si="18"/>
        <v>PRODUCT 01</v>
      </c>
      <c r="J24" s="248" t="str">
        <f>VLOOKUP(I24,TableInputsData[],$J$6,FALSE)</f>
        <v>XYZ</v>
      </c>
      <c r="K24" s="248" t="str">
        <f t="shared" si="38"/>
        <v>REVENUE</v>
      </c>
      <c r="L24" s="255"/>
      <c r="M24" s="255"/>
      <c r="N24" s="255"/>
      <c r="O24" s="265"/>
      <c r="P24" s="260"/>
      <c r="Q24" s="260"/>
      <c r="R24" s="260"/>
      <c r="S24" s="630"/>
      <c r="T24" s="630"/>
      <c r="U24" s="630"/>
      <c r="V24" s="630"/>
      <c r="W24" s="260"/>
      <c r="X24" s="260"/>
      <c r="Y24" s="260"/>
      <c r="Z24" s="260"/>
      <c r="AA24" s="260"/>
      <c r="AB24" s="260"/>
      <c r="AC24" s="265"/>
      <c r="AD24" s="634"/>
      <c r="AE24" s="264">
        <f t="shared" si="36"/>
        <v>0</v>
      </c>
      <c r="AF24" s="264">
        <f t="shared" si="36"/>
        <v>0</v>
      </c>
      <c r="AG24" s="264">
        <f t="shared" si="36"/>
        <v>0</v>
      </c>
      <c r="AH24" s="264">
        <f t="shared" si="36"/>
        <v>0</v>
      </c>
      <c r="AI24" s="264">
        <f>$AE24+$AF24+$AG24+$AH24</f>
        <v>0</v>
      </c>
      <c r="AJ24" s="264">
        <f t="shared" si="30"/>
        <v>0</v>
      </c>
      <c r="AK24" s="264">
        <f t="shared" si="31"/>
        <v>0</v>
      </c>
      <c r="AL24" s="264">
        <f t="shared" si="32"/>
        <v>0</v>
      </c>
      <c r="AM24" s="264">
        <f t="shared" si="33"/>
        <v>0</v>
      </c>
      <c r="AN24" s="640">
        <f t="shared" si="15"/>
        <v>0</v>
      </c>
      <c r="AO24" s="264">
        <f t="shared" si="34"/>
        <v>0</v>
      </c>
      <c r="AP24" s="640">
        <f t="shared" si="8"/>
        <v>0</v>
      </c>
      <c r="AQ24" s="264"/>
      <c r="AR24" s="264" t="str">
        <f>VLOOKUP($I24,TableInputsData[],ReadMe!$M$3,FALSE)&amp;"  |  "&amp;VLOOKUP($K24,TableInputsData[],ReadMe!$M$3,FALSE)</f>
        <v>PRODUIT 01  |  CHIFFRE D'AFFAIRES</v>
      </c>
      <c r="AS24" s="264" t="b">
        <f t="shared" si="35"/>
        <v>1</v>
      </c>
      <c r="AT24" s="294"/>
    </row>
    <row r="25" spans="1:46" ht="13" hidden="1" x14ac:dyDescent="0.2">
      <c r="A25" s="294"/>
      <c r="B25" s="924"/>
      <c r="C25" s="271">
        <v>18</v>
      </c>
      <c r="D25" s="250">
        <f t="shared" si="17"/>
        <v>1</v>
      </c>
      <c r="E25" s="250"/>
      <c r="F25" s="248" t="str">
        <f t="shared" ref="F25:F32" si="39">F9</f>
        <v>YEAR-2</v>
      </c>
      <c r="G25" s="250">
        <f>VLOOKUP(F25,TableInputsData[],$G$6,FALSE)</f>
        <v>2023</v>
      </c>
      <c r="H25" s="250" t="str">
        <f t="shared" si="18"/>
        <v>PRODUCT</v>
      </c>
      <c r="I25" s="248" t="str">
        <f t="shared" si="18"/>
        <v>PRODUCT 01</v>
      </c>
      <c r="J25" s="248" t="str">
        <f>VLOOKUP(I25,TableInputsData[],$J$6,FALSE)</f>
        <v>XYZ</v>
      </c>
      <c r="K25" s="248" t="s">
        <v>456</v>
      </c>
      <c r="L25" s="255"/>
      <c r="M25" s="255"/>
      <c r="N25" s="255"/>
      <c r="O25" s="265"/>
      <c r="P25" s="260"/>
      <c r="Q25" s="260"/>
      <c r="R25" s="260"/>
      <c r="S25" s="630"/>
      <c r="T25" s="630"/>
      <c r="U25" s="630"/>
      <c r="V25" s="630"/>
      <c r="W25" s="260"/>
      <c r="X25" s="260"/>
      <c r="Y25" s="260"/>
      <c r="Z25" s="260"/>
      <c r="AA25" s="260"/>
      <c r="AB25" s="260"/>
      <c r="AC25" s="265"/>
      <c r="AD25" s="634"/>
      <c r="AE25" s="264">
        <f>IF(AE9=0,0,AE17/AE9)</f>
        <v>0</v>
      </c>
      <c r="AF25" s="264">
        <f t="shared" ref="AE25:AI32" si="40">IF(AF9=0,0,AF17/AF9)</f>
        <v>0</v>
      </c>
      <c r="AG25" s="264">
        <f t="shared" si="40"/>
        <v>0</v>
      </c>
      <c r="AH25" s="264">
        <f t="shared" si="40"/>
        <v>0</v>
      </c>
      <c r="AI25" s="264">
        <f t="shared" si="40"/>
        <v>0</v>
      </c>
      <c r="AJ25" s="264">
        <f>IF(AJ9=0,0,AJ17/AJ9)</f>
        <v>0</v>
      </c>
      <c r="AK25" s="264">
        <f t="shared" ref="AK25:AO25" si="41">IF(AK9=0,0,AK17/AK9)</f>
        <v>0</v>
      </c>
      <c r="AL25" s="264">
        <f t="shared" si="41"/>
        <v>0</v>
      </c>
      <c r="AM25" s="264">
        <f>IF(AM9=0,0,AM17/AM9)</f>
        <v>0</v>
      </c>
      <c r="AN25" s="260"/>
      <c r="AO25" s="264">
        <f t="shared" si="41"/>
        <v>0</v>
      </c>
      <c r="AP25" s="260"/>
      <c r="AQ25" s="264"/>
      <c r="AR25" s="264" t="str">
        <f>VLOOKUP($I25,TableInputsData[],ReadMe!$M$3,FALSE)&amp;"  |  "&amp;VLOOKUP($K25,TableInputsData[],ReadMe!$M$3,FALSE)</f>
        <v>PRODUIT 01  |  PRIX MOYEN DE VENTE PAR PRODUIT/SERVICE</v>
      </c>
      <c r="AS25" s="264"/>
      <c r="AT25" s="294"/>
    </row>
    <row r="26" spans="1:46" ht="13" hidden="1" x14ac:dyDescent="0.2">
      <c r="A26" s="294"/>
      <c r="B26" s="924"/>
      <c r="C26" s="271">
        <v>19</v>
      </c>
      <c r="D26" s="250">
        <f t="shared" si="17"/>
        <v>1</v>
      </c>
      <c r="E26" s="250"/>
      <c r="F26" s="248" t="str">
        <f t="shared" si="39"/>
        <v>YEAR-1</v>
      </c>
      <c r="G26" s="250">
        <f>VLOOKUP(F26,TableInputsData[],$G$6,FALSE)</f>
        <v>2024</v>
      </c>
      <c r="H26" s="250" t="str">
        <f t="shared" si="18"/>
        <v>PRODUCT</v>
      </c>
      <c r="I26" s="248" t="str">
        <f t="shared" si="18"/>
        <v>PRODUCT 01</v>
      </c>
      <c r="J26" s="248" t="str">
        <f>VLOOKUP(I26,TableInputsData[],$J$6,FALSE)</f>
        <v>XYZ</v>
      </c>
      <c r="K26" s="248" t="str">
        <f>K25</f>
        <v>AVERAGE SELLING PRICE PER UNIT</v>
      </c>
      <c r="L26" s="255"/>
      <c r="M26" s="255"/>
      <c r="N26" s="255"/>
      <c r="O26" s="265"/>
      <c r="P26" s="260"/>
      <c r="Q26" s="260"/>
      <c r="R26" s="260"/>
      <c r="S26" s="630"/>
      <c r="T26" s="630"/>
      <c r="U26" s="630"/>
      <c r="V26" s="630"/>
      <c r="W26" s="260"/>
      <c r="X26" s="260"/>
      <c r="Y26" s="260"/>
      <c r="Z26" s="260"/>
      <c r="AA26" s="260"/>
      <c r="AB26" s="260"/>
      <c r="AC26" s="265"/>
      <c r="AD26" s="634"/>
      <c r="AE26" s="264">
        <f>IF(AE10=0,0,AE18/AE10)</f>
        <v>0</v>
      </c>
      <c r="AF26" s="264">
        <f t="shared" si="40"/>
        <v>0</v>
      </c>
      <c r="AG26" s="264">
        <f t="shared" si="40"/>
        <v>0</v>
      </c>
      <c r="AH26" s="264">
        <f t="shared" si="40"/>
        <v>0</v>
      </c>
      <c r="AI26" s="264">
        <f t="shared" si="40"/>
        <v>0</v>
      </c>
      <c r="AJ26" s="264">
        <f t="shared" ref="AJ26:AO26" si="42">IF(AJ10=0,0,AJ18/AJ10)</f>
        <v>0</v>
      </c>
      <c r="AK26" s="264">
        <f t="shared" si="42"/>
        <v>0</v>
      </c>
      <c r="AL26" s="264">
        <f t="shared" si="42"/>
        <v>0</v>
      </c>
      <c r="AM26" s="264">
        <f t="shared" si="42"/>
        <v>0</v>
      </c>
      <c r="AN26" s="260"/>
      <c r="AO26" s="264">
        <f t="shared" si="42"/>
        <v>0</v>
      </c>
      <c r="AP26" s="260"/>
      <c r="AQ26" s="264"/>
      <c r="AR26" s="264" t="str">
        <f>VLOOKUP($I26,TableInputsData[],ReadMe!$M$3,FALSE)&amp;"  |  "&amp;VLOOKUP($K26,TableInputsData[],ReadMe!$M$3,FALSE)</f>
        <v>PRODUIT 01  |  PRIX MOYEN DE VENTE PAR PRODUIT/SERVICE</v>
      </c>
      <c r="AS26" s="264"/>
      <c r="AT26" s="294"/>
    </row>
    <row r="27" spans="1:46" ht="13" hidden="1" x14ac:dyDescent="0.2">
      <c r="A27" s="294"/>
      <c r="B27" s="924"/>
      <c r="C27" s="271">
        <v>20</v>
      </c>
      <c r="D27" s="250">
        <f t="shared" si="17"/>
        <v>1</v>
      </c>
      <c r="E27" s="250"/>
      <c r="F27" s="248" t="str">
        <f t="shared" si="39"/>
        <v>CURRENT YEAR</v>
      </c>
      <c r="G27" s="250">
        <f>VLOOKUP(F27,TableInputsData[],$G$6,FALSE)</f>
        <v>2025</v>
      </c>
      <c r="H27" s="250" t="str">
        <f t="shared" si="18"/>
        <v>PRODUCT</v>
      </c>
      <c r="I27" s="248" t="str">
        <f t="shared" si="18"/>
        <v>PRODUCT 01</v>
      </c>
      <c r="J27" s="248" t="str">
        <f>VLOOKUP(I27,TableInputsData[],$J$6,FALSE)</f>
        <v>XYZ</v>
      </c>
      <c r="K27" s="248" t="str">
        <f t="shared" ref="K27:K32" si="43">K26</f>
        <v>AVERAGE SELLING PRICE PER UNIT</v>
      </c>
      <c r="L27" s="255"/>
      <c r="M27" s="255"/>
      <c r="N27" s="255"/>
      <c r="O27" s="265"/>
      <c r="P27" s="260"/>
      <c r="Q27" s="260"/>
      <c r="R27" s="260"/>
      <c r="S27" s="630"/>
      <c r="T27" s="630"/>
      <c r="U27" s="630"/>
      <c r="V27" s="630"/>
      <c r="W27" s="260"/>
      <c r="X27" s="260"/>
      <c r="Y27" s="260"/>
      <c r="Z27" s="260"/>
      <c r="AA27" s="260"/>
      <c r="AB27" s="260"/>
      <c r="AC27" s="265"/>
      <c r="AD27" s="634"/>
      <c r="AE27" s="264">
        <f>IF(AE11=0,0,AE19/AE11)</f>
        <v>0</v>
      </c>
      <c r="AF27" s="264">
        <f t="shared" si="40"/>
        <v>0</v>
      </c>
      <c r="AG27" s="264">
        <f t="shared" si="40"/>
        <v>0</v>
      </c>
      <c r="AH27" s="264">
        <f t="shared" si="40"/>
        <v>0</v>
      </c>
      <c r="AI27" s="264">
        <f t="shared" si="40"/>
        <v>0</v>
      </c>
      <c r="AJ27" s="264">
        <f t="shared" ref="AJ27:AO27" si="44">IF(AJ11=0,0,AJ19/AJ11)</f>
        <v>0</v>
      </c>
      <c r="AK27" s="264">
        <f t="shared" si="44"/>
        <v>0</v>
      </c>
      <c r="AL27" s="264">
        <f t="shared" si="44"/>
        <v>0</v>
      </c>
      <c r="AM27" s="264">
        <f t="shared" si="44"/>
        <v>0</v>
      </c>
      <c r="AN27" s="260"/>
      <c r="AO27" s="264">
        <f t="shared" si="44"/>
        <v>0</v>
      </c>
      <c r="AP27" s="260"/>
      <c r="AQ27" s="264"/>
      <c r="AR27" s="264" t="str">
        <f>VLOOKUP($I27,TableInputsData[],ReadMe!$M$3,FALSE)&amp;"  |  "&amp;VLOOKUP($K27,TableInputsData[],ReadMe!$M$3,FALSE)</f>
        <v>PRODUIT 01  |  PRIX MOYEN DE VENTE PAR PRODUIT/SERVICE</v>
      </c>
      <c r="AS27" s="264"/>
      <c r="AT27" s="294"/>
    </row>
    <row r="28" spans="1:46" ht="13" hidden="1" x14ac:dyDescent="0.2">
      <c r="A28" s="294"/>
      <c r="B28" s="924"/>
      <c r="C28" s="271">
        <v>21</v>
      </c>
      <c r="D28" s="250">
        <f t="shared" si="17"/>
        <v>1</v>
      </c>
      <c r="E28" s="250"/>
      <c r="F28" s="248" t="str">
        <f t="shared" si="39"/>
        <v>YEAR2</v>
      </c>
      <c r="G28" s="250">
        <f>VLOOKUP(F28,TableInputsData[],$G$6,FALSE)</f>
        <v>2026</v>
      </c>
      <c r="H28" s="250" t="str">
        <f t="shared" si="18"/>
        <v>PRODUCT</v>
      </c>
      <c r="I28" s="248" t="str">
        <f t="shared" si="18"/>
        <v>PRODUCT 01</v>
      </c>
      <c r="J28" s="248" t="str">
        <f>VLOOKUP(I28,TableInputsData[],$J$6,FALSE)</f>
        <v>XYZ</v>
      </c>
      <c r="K28" s="248" t="str">
        <f t="shared" si="43"/>
        <v>AVERAGE SELLING PRICE PER UNIT</v>
      </c>
      <c r="L28" s="255"/>
      <c r="M28" s="255"/>
      <c r="N28" s="255"/>
      <c r="O28" s="265"/>
      <c r="P28" s="260"/>
      <c r="Q28" s="260"/>
      <c r="R28" s="260"/>
      <c r="S28" s="630"/>
      <c r="T28" s="630"/>
      <c r="U28" s="630"/>
      <c r="V28" s="630"/>
      <c r="W28" s="260"/>
      <c r="X28" s="260"/>
      <c r="Y28" s="260"/>
      <c r="Z28" s="260"/>
      <c r="AA28" s="260"/>
      <c r="AB28" s="260"/>
      <c r="AC28" s="265"/>
      <c r="AD28" s="634"/>
      <c r="AE28" s="264">
        <f>IF(AE12=0,0,AE20/AE12)</f>
        <v>0</v>
      </c>
      <c r="AF28" s="264">
        <f t="shared" si="40"/>
        <v>0</v>
      </c>
      <c r="AG28" s="264">
        <f t="shared" si="40"/>
        <v>0</v>
      </c>
      <c r="AH28" s="264">
        <f t="shared" si="40"/>
        <v>0</v>
      </c>
      <c r="AI28" s="264">
        <f t="shared" si="40"/>
        <v>0</v>
      </c>
      <c r="AJ28" s="264">
        <f t="shared" ref="AJ28:AO28" si="45">IF(AJ12=0,0,AJ20/AJ12)</f>
        <v>0</v>
      </c>
      <c r="AK28" s="264">
        <f t="shared" si="45"/>
        <v>0</v>
      </c>
      <c r="AL28" s="264">
        <f t="shared" si="45"/>
        <v>0</v>
      </c>
      <c r="AM28" s="264">
        <f t="shared" si="45"/>
        <v>0</v>
      </c>
      <c r="AN28" s="260"/>
      <c r="AO28" s="264">
        <f t="shared" si="45"/>
        <v>0</v>
      </c>
      <c r="AP28" s="260"/>
      <c r="AQ28" s="264"/>
      <c r="AR28" s="264" t="str">
        <f>VLOOKUP($I28,TableInputsData[],ReadMe!$M$3,FALSE)&amp;"  |  "&amp;VLOOKUP($K28,TableInputsData[],ReadMe!$M$3,FALSE)</f>
        <v>PRODUIT 01  |  PRIX MOYEN DE VENTE PAR PRODUIT/SERVICE</v>
      </c>
      <c r="AS28" s="264"/>
      <c r="AT28" s="294"/>
    </row>
    <row r="29" spans="1:46" ht="13" hidden="1" x14ac:dyDescent="0.2">
      <c r="A29" s="294"/>
      <c r="B29" s="924"/>
      <c r="C29" s="271">
        <v>22</v>
      </c>
      <c r="D29" s="250">
        <f t="shared" si="17"/>
        <v>1</v>
      </c>
      <c r="E29" s="250"/>
      <c r="F29" s="248" t="str">
        <f t="shared" si="39"/>
        <v>YEAR3</v>
      </c>
      <c r="G29" s="250">
        <f>VLOOKUP(F29,TableInputsData[],$G$6,FALSE)</f>
        <v>2027</v>
      </c>
      <c r="H29" s="250" t="str">
        <f t="shared" si="18"/>
        <v>PRODUCT</v>
      </c>
      <c r="I29" s="248" t="str">
        <f t="shared" si="18"/>
        <v>PRODUCT 01</v>
      </c>
      <c r="J29" s="248" t="str">
        <f>VLOOKUP(I29,TableInputsData[],$J$6,FALSE)</f>
        <v>XYZ</v>
      </c>
      <c r="K29" s="248" t="str">
        <f t="shared" si="43"/>
        <v>AVERAGE SELLING PRICE PER UNIT</v>
      </c>
      <c r="L29" s="255"/>
      <c r="M29" s="255"/>
      <c r="N29" s="255"/>
      <c r="O29" s="265"/>
      <c r="P29" s="260"/>
      <c r="Q29" s="260"/>
      <c r="R29" s="260"/>
      <c r="S29" s="630"/>
      <c r="T29" s="630"/>
      <c r="U29" s="630"/>
      <c r="V29" s="630"/>
      <c r="W29" s="260"/>
      <c r="X29" s="260"/>
      <c r="Y29" s="260"/>
      <c r="Z29" s="260"/>
      <c r="AA29" s="260"/>
      <c r="AB29" s="260"/>
      <c r="AC29" s="265"/>
      <c r="AD29" s="634"/>
      <c r="AE29" s="264">
        <f t="shared" si="40"/>
        <v>0</v>
      </c>
      <c r="AF29" s="264">
        <f t="shared" si="40"/>
        <v>0</v>
      </c>
      <c r="AG29" s="264">
        <f t="shared" si="40"/>
        <v>0</v>
      </c>
      <c r="AH29" s="264">
        <f t="shared" si="40"/>
        <v>0</v>
      </c>
      <c r="AI29" s="264">
        <f t="shared" si="40"/>
        <v>0</v>
      </c>
      <c r="AJ29" s="264">
        <f t="shared" ref="AJ29:AO29" si="46">IF(AJ13=0,0,AJ21/AJ13)</f>
        <v>0</v>
      </c>
      <c r="AK29" s="264">
        <f t="shared" si="46"/>
        <v>0</v>
      </c>
      <c r="AL29" s="264">
        <f t="shared" si="46"/>
        <v>0</v>
      </c>
      <c r="AM29" s="264">
        <f t="shared" si="46"/>
        <v>0</v>
      </c>
      <c r="AN29" s="260"/>
      <c r="AO29" s="264">
        <f t="shared" si="46"/>
        <v>0</v>
      </c>
      <c r="AP29" s="260"/>
      <c r="AQ29" s="264"/>
      <c r="AR29" s="264" t="str">
        <f>VLOOKUP($I29,TableInputsData[],ReadMe!$M$3,FALSE)&amp;"  |  "&amp;VLOOKUP($K29,TableInputsData[],ReadMe!$M$3,FALSE)</f>
        <v>PRODUIT 01  |  PRIX MOYEN DE VENTE PAR PRODUIT/SERVICE</v>
      </c>
      <c r="AS29" s="264"/>
      <c r="AT29" s="294"/>
    </row>
    <row r="30" spans="1:46" ht="13" hidden="1" x14ac:dyDescent="0.2">
      <c r="A30" s="294"/>
      <c r="B30" s="924"/>
      <c r="C30" s="272">
        <v>23</v>
      </c>
      <c r="D30" s="250">
        <f t="shared" si="17"/>
        <v>1</v>
      </c>
      <c r="E30" s="251"/>
      <c r="F30" s="248" t="str">
        <f t="shared" si="39"/>
        <v>YEAR4</v>
      </c>
      <c r="G30" s="250">
        <f>VLOOKUP(F30,TableInputsData[],$G$6,FALSE)</f>
        <v>2028</v>
      </c>
      <c r="H30" s="250" t="str">
        <f t="shared" si="18"/>
        <v>PRODUCT</v>
      </c>
      <c r="I30" s="248" t="str">
        <f t="shared" si="18"/>
        <v>PRODUCT 01</v>
      </c>
      <c r="J30" s="248" t="str">
        <f>VLOOKUP(I30,TableInputsData[],$J$6,FALSE)</f>
        <v>XYZ</v>
      </c>
      <c r="K30" s="248" t="str">
        <f t="shared" si="43"/>
        <v>AVERAGE SELLING PRICE PER UNIT</v>
      </c>
      <c r="L30" s="256"/>
      <c r="M30" s="256"/>
      <c r="N30" s="256"/>
      <c r="O30" s="266"/>
      <c r="P30" s="261"/>
      <c r="Q30" s="261"/>
      <c r="R30" s="261"/>
      <c r="S30" s="629"/>
      <c r="T30" s="629"/>
      <c r="U30" s="629"/>
      <c r="V30" s="629"/>
      <c r="W30" s="261"/>
      <c r="X30" s="261"/>
      <c r="Y30" s="261"/>
      <c r="Z30" s="261"/>
      <c r="AA30" s="261"/>
      <c r="AB30" s="261"/>
      <c r="AC30" s="266"/>
      <c r="AD30" s="633"/>
      <c r="AE30" s="264">
        <f t="shared" si="40"/>
        <v>0</v>
      </c>
      <c r="AF30" s="264">
        <f t="shared" si="40"/>
        <v>0</v>
      </c>
      <c r="AG30" s="264">
        <f t="shared" si="40"/>
        <v>0</v>
      </c>
      <c r="AH30" s="264">
        <f t="shared" si="40"/>
        <v>0</v>
      </c>
      <c r="AI30" s="264">
        <f t="shared" si="40"/>
        <v>0</v>
      </c>
      <c r="AJ30" s="264">
        <f t="shared" ref="AJ30:AO30" si="47">IF(AJ14=0,0,AJ22/AJ14)</f>
        <v>0</v>
      </c>
      <c r="AK30" s="264">
        <f t="shared" si="47"/>
        <v>0</v>
      </c>
      <c r="AL30" s="264">
        <f t="shared" si="47"/>
        <v>0</v>
      </c>
      <c r="AM30" s="264">
        <f t="shared" si="47"/>
        <v>0</v>
      </c>
      <c r="AN30" s="260"/>
      <c r="AO30" s="264">
        <f t="shared" si="47"/>
        <v>0</v>
      </c>
      <c r="AP30" s="260"/>
      <c r="AQ30" s="264"/>
      <c r="AR30" s="264" t="str">
        <f>VLOOKUP($I30,TableInputsData[],ReadMe!$M$3,FALSE)&amp;"  |  "&amp;VLOOKUP($K30,TableInputsData[],ReadMe!$M$3,FALSE)</f>
        <v>PRODUIT 01  |  PRIX MOYEN DE VENTE PAR PRODUIT/SERVICE</v>
      </c>
      <c r="AS30" s="264"/>
      <c r="AT30" s="294"/>
    </row>
    <row r="31" spans="1:46" ht="13" hidden="1" x14ac:dyDescent="0.2">
      <c r="A31" s="294"/>
      <c r="B31" s="924"/>
      <c r="C31" s="271">
        <v>24</v>
      </c>
      <c r="D31" s="250">
        <f t="shared" si="17"/>
        <v>1</v>
      </c>
      <c r="E31" s="250"/>
      <c r="F31" s="248" t="str">
        <f t="shared" si="39"/>
        <v>YEAR5</v>
      </c>
      <c r="G31" s="250">
        <f>VLOOKUP(F31,TableInputsData[],$G$6,FALSE)</f>
        <v>2029</v>
      </c>
      <c r="H31" s="250" t="str">
        <f t="shared" si="18"/>
        <v>PRODUCT</v>
      </c>
      <c r="I31" s="248" t="str">
        <f t="shared" si="18"/>
        <v>PRODUCT 01</v>
      </c>
      <c r="J31" s="248" t="str">
        <f>VLOOKUP(I31,TableInputsData[],$J$6,FALSE)</f>
        <v>XYZ</v>
      </c>
      <c r="K31" s="248" t="str">
        <f t="shared" si="43"/>
        <v>AVERAGE SELLING PRICE PER UNIT</v>
      </c>
      <c r="L31" s="255"/>
      <c r="M31" s="255"/>
      <c r="N31" s="255"/>
      <c r="O31" s="265"/>
      <c r="P31" s="260"/>
      <c r="Q31" s="260"/>
      <c r="R31" s="260"/>
      <c r="S31" s="630"/>
      <c r="T31" s="630"/>
      <c r="U31" s="630"/>
      <c r="V31" s="630"/>
      <c r="W31" s="260"/>
      <c r="X31" s="260"/>
      <c r="Y31" s="260"/>
      <c r="Z31" s="260"/>
      <c r="AA31" s="260"/>
      <c r="AB31" s="260"/>
      <c r="AC31" s="265"/>
      <c r="AD31" s="634"/>
      <c r="AE31" s="264">
        <f t="shared" si="40"/>
        <v>0</v>
      </c>
      <c r="AF31" s="264">
        <f t="shared" si="40"/>
        <v>0</v>
      </c>
      <c r="AG31" s="264">
        <f t="shared" si="40"/>
        <v>0</v>
      </c>
      <c r="AH31" s="264">
        <f t="shared" si="40"/>
        <v>0</v>
      </c>
      <c r="AI31" s="264">
        <f t="shared" si="40"/>
        <v>0</v>
      </c>
      <c r="AJ31" s="264">
        <f t="shared" ref="AJ31:AO31" si="48">IF(AJ15=0,0,AJ23/AJ15)</f>
        <v>0</v>
      </c>
      <c r="AK31" s="264">
        <f t="shared" si="48"/>
        <v>0</v>
      </c>
      <c r="AL31" s="264">
        <f t="shared" si="48"/>
        <v>0</v>
      </c>
      <c r="AM31" s="264">
        <f t="shared" si="48"/>
        <v>0</v>
      </c>
      <c r="AN31" s="260"/>
      <c r="AO31" s="264">
        <f t="shared" si="48"/>
        <v>0</v>
      </c>
      <c r="AP31" s="260"/>
      <c r="AQ31" s="264"/>
      <c r="AR31" s="264" t="str">
        <f>VLOOKUP($I31,TableInputsData[],ReadMe!$M$3,FALSE)&amp;"  |  "&amp;VLOOKUP($K31,TableInputsData[],ReadMe!$M$3,FALSE)</f>
        <v>PRODUIT 01  |  PRIX MOYEN DE VENTE PAR PRODUIT/SERVICE</v>
      </c>
      <c r="AS31" s="264"/>
      <c r="AT31" s="294"/>
    </row>
    <row r="32" spans="1:46" ht="13" hidden="1" x14ac:dyDescent="0.2">
      <c r="A32" s="294"/>
      <c r="B32" s="924"/>
      <c r="C32" s="271">
        <v>25</v>
      </c>
      <c r="D32" s="250">
        <f t="shared" si="17"/>
        <v>1</v>
      </c>
      <c r="E32" s="250"/>
      <c r="F32" s="248" t="str">
        <f t="shared" si="39"/>
        <v>YEAR6</v>
      </c>
      <c r="G32" s="250">
        <f>VLOOKUP(F32,TableInputsData[],$G$6,FALSE)</f>
        <v>2030</v>
      </c>
      <c r="H32" s="250" t="str">
        <f t="shared" si="18"/>
        <v>PRODUCT</v>
      </c>
      <c r="I32" s="248" t="str">
        <f t="shared" si="18"/>
        <v>PRODUCT 01</v>
      </c>
      <c r="J32" s="248" t="str">
        <f>VLOOKUP(I32,TableInputsData[],$J$6,FALSE)</f>
        <v>XYZ</v>
      </c>
      <c r="K32" s="248" t="str">
        <f t="shared" si="43"/>
        <v>AVERAGE SELLING PRICE PER UNIT</v>
      </c>
      <c r="L32" s="255"/>
      <c r="M32" s="255"/>
      <c r="N32" s="255"/>
      <c r="O32" s="265"/>
      <c r="P32" s="260"/>
      <c r="Q32" s="260"/>
      <c r="R32" s="260"/>
      <c r="S32" s="630"/>
      <c r="T32" s="630"/>
      <c r="U32" s="630"/>
      <c r="V32" s="630"/>
      <c r="W32" s="260"/>
      <c r="X32" s="260"/>
      <c r="Y32" s="260"/>
      <c r="Z32" s="260"/>
      <c r="AA32" s="260"/>
      <c r="AB32" s="260"/>
      <c r="AC32" s="265"/>
      <c r="AD32" s="634"/>
      <c r="AE32" s="264">
        <f t="shared" si="40"/>
        <v>0</v>
      </c>
      <c r="AF32" s="264">
        <f t="shared" si="40"/>
        <v>0</v>
      </c>
      <c r="AG32" s="264">
        <f t="shared" si="40"/>
        <v>0</v>
      </c>
      <c r="AH32" s="264">
        <f t="shared" si="40"/>
        <v>0</v>
      </c>
      <c r="AI32" s="264">
        <f t="shared" si="40"/>
        <v>0</v>
      </c>
      <c r="AJ32" s="264">
        <f t="shared" ref="AJ32:AO32" si="49">IF(AJ16=0,0,AJ24/AJ16)</f>
        <v>0</v>
      </c>
      <c r="AK32" s="264">
        <f t="shared" si="49"/>
        <v>0</v>
      </c>
      <c r="AL32" s="264">
        <f t="shared" si="49"/>
        <v>0</v>
      </c>
      <c r="AM32" s="264">
        <f t="shared" si="49"/>
        <v>0</v>
      </c>
      <c r="AN32" s="260"/>
      <c r="AO32" s="264">
        <f t="shared" si="49"/>
        <v>0</v>
      </c>
      <c r="AP32" s="260"/>
      <c r="AQ32" s="264"/>
      <c r="AR32" s="264" t="str">
        <f>VLOOKUP($I32,TableInputsData[],ReadMe!$M$3,FALSE)&amp;"  |  "&amp;VLOOKUP($K32,TableInputsData[],ReadMe!$M$3,FALSE)</f>
        <v>PRODUIT 01  |  PRIX MOYEN DE VENTE PAR PRODUIT/SERVICE</v>
      </c>
      <c r="AS32" s="264"/>
      <c r="AT32" s="294"/>
    </row>
    <row r="33" spans="1:46" ht="13" hidden="1" x14ac:dyDescent="0.2">
      <c r="A33" s="294"/>
      <c r="B33" s="924"/>
      <c r="C33" s="272">
        <v>26</v>
      </c>
      <c r="D33" s="250">
        <f t="shared" si="17"/>
        <v>1</v>
      </c>
      <c r="E33" s="251"/>
      <c r="F33" s="248" t="str">
        <f t="shared" ref="F33:F40" si="50">F41</f>
        <v>YEAR-2</v>
      </c>
      <c r="G33" s="250">
        <f>VLOOKUP(F33,TableInputsData[],$G$6,FALSE)</f>
        <v>2023</v>
      </c>
      <c r="H33" s="250" t="str">
        <f t="shared" si="18"/>
        <v>PRODUCT</v>
      </c>
      <c r="I33" s="248" t="str">
        <f t="shared" si="18"/>
        <v>PRODUCT 01</v>
      </c>
      <c r="J33" s="248" t="str">
        <f>VLOOKUP(I33,TableInputsData[],$J$6,FALSE)</f>
        <v>XYZ</v>
      </c>
      <c r="K33" s="248" t="s">
        <v>531</v>
      </c>
      <c r="L33" s="256"/>
      <c r="M33" s="256"/>
      <c r="N33" s="256"/>
      <c r="O33" s="266"/>
      <c r="P33" s="261"/>
      <c r="Q33" s="261"/>
      <c r="R33" s="261"/>
      <c r="S33" s="629"/>
      <c r="T33" s="629"/>
      <c r="U33" s="629"/>
      <c r="V33" s="629"/>
      <c r="W33" s="261"/>
      <c r="X33" s="261"/>
      <c r="Y33" s="261"/>
      <c r="Z33" s="261"/>
      <c r="AA33" s="261"/>
      <c r="AB33" s="261"/>
      <c r="AC33" s="266"/>
      <c r="AD33" s="633"/>
      <c r="AE33" s="264">
        <f>AE9*($S9*$P9+$T9*$Q9+$U9*$R9)</f>
        <v>0</v>
      </c>
      <c r="AF33" s="264">
        <f t="shared" ref="AF33:AH33" si="51">AF9*($S9*$P9+$T9*$Q9+$U9*$R9)</f>
        <v>0</v>
      </c>
      <c r="AG33" s="264">
        <f t="shared" si="51"/>
        <v>0</v>
      </c>
      <c r="AH33" s="264">
        <f t="shared" si="51"/>
        <v>0</v>
      </c>
      <c r="AI33" s="264">
        <f t="shared" ref="AI33:AI40" si="52">$AE33+$AF33+$AG33+$AH33</f>
        <v>0</v>
      </c>
      <c r="AJ33" s="264">
        <f t="shared" ref="AJ33:AJ40" si="53">$AJ9*$S9</f>
        <v>0</v>
      </c>
      <c r="AK33" s="264">
        <f t="shared" ref="AK33:AK40" si="54">$AK9*$T9</f>
        <v>0</v>
      </c>
      <c r="AL33" s="264">
        <f t="shared" ref="AL33:AL40" si="55">$AL9*$U9</f>
        <v>0</v>
      </c>
      <c r="AM33" s="264">
        <f t="shared" ref="AM33:AM40" si="56">$AJ33*$W9+$AK33*$X9+$AL33*$Y9</f>
        <v>0</v>
      </c>
      <c r="AN33" s="640">
        <f t="shared" si="15"/>
        <v>0</v>
      </c>
      <c r="AO33" s="264">
        <f t="shared" ref="AO33:AO40" si="57">$AJ33*$Z9+$AK33*$AA9+$AL33*$AB9</f>
        <v>0</v>
      </c>
      <c r="AP33" s="640">
        <f t="shared" ref="AP33:AP40" si="58">IF(AI33=0,0,AO33/AI33)</f>
        <v>0</v>
      </c>
      <c r="AQ33" s="264"/>
      <c r="AR33" s="264" t="str">
        <f>VLOOKUP($I33,TableInputsData[],ReadMe!$M$3,FALSE)&amp;"  |  "&amp;VLOOKUP($K33,TableInputsData[],ReadMe!$M$3,FALSE)</f>
        <v>PRODUIT 01  |  DEPENSES SUR ACHATS</v>
      </c>
      <c r="AS33" s="264" t="b">
        <f t="shared" ref="AS33:AS40" si="59">AND(EXACT(ROUND(AI33,2),ROUND(AJ33+AK33+AL33,2)),EXACT(ROUND(AI33,2),ROUND(AM33+AO33,2)))</f>
        <v>1</v>
      </c>
      <c r="AT33" s="294"/>
    </row>
    <row r="34" spans="1:46" ht="13" hidden="1" x14ac:dyDescent="0.2">
      <c r="A34" s="294"/>
      <c r="B34" s="924"/>
      <c r="C34" s="271">
        <v>27</v>
      </c>
      <c r="D34" s="250">
        <f t="shared" si="17"/>
        <v>1</v>
      </c>
      <c r="E34" s="250"/>
      <c r="F34" s="248" t="str">
        <f t="shared" si="50"/>
        <v>YEAR-1</v>
      </c>
      <c r="G34" s="250">
        <f>VLOOKUP(F34,TableInputsData[],$G$6,FALSE)</f>
        <v>2024</v>
      </c>
      <c r="H34" s="250" t="str">
        <f t="shared" si="18"/>
        <v>PRODUCT</v>
      </c>
      <c r="I34" s="248" t="str">
        <f t="shared" si="18"/>
        <v>PRODUCT 01</v>
      </c>
      <c r="J34" s="248" t="str">
        <f>VLOOKUP(I34,TableInputsData[],$J$6,FALSE)</f>
        <v>XYZ</v>
      </c>
      <c r="K34" s="248" t="str">
        <f>K33</f>
        <v>COST OF GOODS SOLD</v>
      </c>
      <c r="L34" s="255"/>
      <c r="M34" s="255"/>
      <c r="N34" s="255"/>
      <c r="O34" s="265"/>
      <c r="P34" s="260"/>
      <c r="Q34" s="260"/>
      <c r="R34" s="260"/>
      <c r="S34" s="630"/>
      <c r="T34" s="630"/>
      <c r="U34" s="630"/>
      <c r="V34" s="630"/>
      <c r="W34" s="260"/>
      <c r="X34" s="260"/>
      <c r="Y34" s="260"/>
      <c r="Z34" s="260"/>
      <c r="AA34" s="260"/>
      <c r="AB34" s="260"/>
      <c r="AC34" s="265"/>
      <c r="AD34" s="634"/>
      <c r="AE34" s="264">
        <f t="shared" ref="AE34:AH40" si="60">AE10*($S10*$P10+$T10*$Q10+$U10*$R10)</f>
        <v>0</v>
      </c>
      <c r="AF34" s="264">
        <f t="shared" si="60"/>
        <v>0</v>
      </c>
      <c r="AG34" s="264">
        <f t="shared" si="60"/>
        <v>0</v>
      </c>
      <c r="AH34" s="264">
        <f t="shared" si="60"/>
        <v>0</v>
      </c>
      <c r="AI34" s="264">
        <f t="shared" si="52"/>
        <v>0</v>
      </c>
      <c r="AJ34" s="264">
        <f t="shared" si="53"/>
        <v>0</v>
      </c>
      <c r="AK34" s="264">
        <f t="shared" si="54"/>
        <v>0</v>
      </c>
      <c r="AL34" s="264">
        <f t="shared" si="55"/>
        <v>0</v>
      </c>
      <c r="AM34" s="264">
        <f t="shared" si="56"/>
        <v>0</v>
      </c>
      <c r="AN34" s="640">
        <f t="shared" si="15"/>
        <v>0</v>
      </c>
      <c r="AO34" s="264">
        <f t="shared" si="57"/>
        <v>0</v>
      </c>
      <c r="AP34" s="640">
        <f t="shared" si="58"/>
        <v>0</v>
      </c>
      <c r="AQ34" s="264"/>
      <c r="AR34" s="264" t="str">
        <f>VLOOKUP($I34,TableInputsData[],ReadMe!$M$3,FALSE)&amp;"  |  "&amp;VLOOKUP($K34,TableInputsData[],ReadMe!$M$3,FALSE)</f>
        <v>PRODUIT 01  |  DEPENSES SUR ACHATS</v>
      </c>
      <c r="AS34" s="264" t="b">
        <f t="shared" si="59"/>
        <v>1</v>
      </c>
      <c r="AT34" s="294"/>
    </row>
    <row r="35" spans="1:46" ht="13" hidden="1" x14ac:dyDescent="0.2">
      <c r="A35" s="294"/>
      <c r="B35" s="924"/>
      <c r="C35" s="271">
        <v>28</v>
      </c>
      <c r="D35" s="250">
        <f t="shared" si="17"/>
        <v>1</v>
      </c>
      <c r="E35" s="250"/>
      <c r="F35" s="248" t="str">
        <f t="shared" si="50"/>
        <v>CURRENT YEAR</v>
      </c>
      <c r="G35" s="250">
        <f>VLOOKUP(F35,TableInputsData[],$G$6,FALSE)</f>
        <v>2025</v>
      </c>
      <c r="H35" s="250" t="str">
        <f t="shared" si="18"/>
        <v>PRODUCT</v>
      </c>
      <c r="I35" s="248" t="str">
        <f t="shared" si="18"/>
        <v>PRODUCT 01</v>
      </c>
      <c r="J35" s="248" t="str">
        <f>VLOOKUP(I35,TableInputsData[],$J$6,FALSE)</f>
        <v>XYZ</v>
      </c>
      <c r="K35" s="248" t="str">
        <f t="shared" ref="K35:K40" si="61">K34</f>
        <v>COST OF GOODS SOLD</v>
      </c>
      <c r="L35" s="255"/>
      <c r="M35" s="255"/>
      <c r="N35" s="255"/>
      <c r="O35" s="265"/>
      <c r="P35" s="260"/>
      <c r="Q35" s="260"/>
      <c r="R35" s="260"/>
      <c r="S35" s="630"/>
      <c r="T35" s="630"/>
      <c r="U35" s="630"/>
      <c r="V35" s="630"/>
      <c r="W35" s="260"/>
      <c r="X35" s="260"/>
      <c r="Y35" s="260"/>
      <c r="Z35" s="260"/>
      <c r="AA35" s="260"/>
      <c r="AB35" s="260"/>
      <c r="AC35" s="265"/>
      <c r="AD35" s="634"/>
      <c r="AE35" s="264">
        <f t="shared" si="60"/>
        <v>0</v>
      </c>
      <c r="AF35" s="264">
        <f t="shared" si="60"/>
        <v>0</v>
      </c>
      <c r="AG35" s="264">
        <f t="shared" si="60"/>
        <v>0</v>
      </c>
      <c r="AH35" s="264">
        <f t="shared" si="60"/>
        <v>0</v>
      </c>
      <c r="AI35" s="264">
        <f t="shared" si="52"/>
        <v>0</v>
      </c>
      <c r="AJ35" s="264">
        <f t="shared" si="53"/>
        <v>0</v>
      </c>
      <c r="AK35" s="264">
        <f t="shared" si="54"/>
        <v>0</v>
      </c>
      <c r="AL35" s="264">
        <f t="shared" si="55"/>
        <v>0</v>
      </c>
      <c r="AM35" s="264">
        <f t="shared" si="56"/>
        <v>0</v>
      </c>
      <c r="AN35" s="640">
        <f t="shared" si="15"/>
        <v>0</v>
      </c>
      <c r="AO35" s="264">
        <f t="shared" si="57"/>
        <v>0</v>
      </c>
      <c r="AP35" s="640">
        <f t="shared" si="58"/>
        <v>0</v>
      </c>
      <c r="AQ35" s="264"/>
      <c r="AR35" s="264" t="str">
        <f>VLOOKUP($I35,TableInputsData[],ReadMe!$M$3,FALSE)&amp;"  |  "&amp;VLOOKUP($K35,TableInputsData[],ReadMe!$M$3,FALSE)</f>
        <v>PRODUIT 01  |  DEPENSES SUR ACHATS</v>
      </c>
      <c r="AS35" s="264" t="b">
        <f t="shared" si="59"/>
        <v>1</v>
      </c>
      <c r="AT35" s="294"/>
    </row>
    <row r="36" spans="1:46" ht="13" hidden="1" x14ac:dyDescent="0.2">
      <c r="A36" s="294"/>
      <c r="B36" s="924"/>
      <c r="C36" s="271">
        <v>29</v>
      </c>
      <c r="D36" s="250">
        <f t="shared" si="17"/>
        <v>1</v>
      </c>
      <c r="E36" s="250"/>
      <c r="F36" s="248" t="str">
        <f t="shared" si="50"/>
        <v>YEAR2</v>
      </c>
      <c r="G36" s="250">
        <f>VLOOKUP(F36,TableInputsData[],$G$6,FALSE)</f>
        <v>2026</v>
      </c>
      <c r="H36" s="250" t="str">
        <f t="shared" si="18"/>
        <v>PRODUCT</v>
      </c>
      <c r="I36" s="248" t="str">
        <f t="shared" si="18"/>
        <v>PRODUCT 01</v>
      </c>
      <c r="J36" s="248" t="str">
        <f>VLOOKUP(I36,TableInputsData[],$J$6,FALSE)</f>
        <v>XYZ</v>
      </c>
      <c r="K36" s="248" t="str">
        <f t="shared" si="61"/>
        <v>COST OF GOODS SOLD</v>
      </c>
      <c r="L36" s="255"/>
      <c r="M36" s="255"/>
      <c r="N36" s="255"/>
      <c r="O36" s="265"/>
      <c r="P36" s="260"/>
      <c r="Q36" s="260"/>
      <c r="R36" s="260"/>
      <c r="S36" s="630"/>
      <c r="T36" s="630"/>
      <c r="U36" s="630"/>
      <c r="V36" s="630"/>
      <c r="W36" s="260"/>
      <c r="X36" s="260"/>
      <c r="Y36" s="260"/>
      <c r="Z36" s="260"/>
      <c r="AA36" s="260"/>
      <c r="AB36" s="260"/>
      <c r="AC36" s="265"/>
      <c r="AD36" s="634"/>
      <c r="AE36" s="264">
        <f t="shared" si="60"/>
        <v>0</v>
      </c>
      <c r="AF36" s="264">
        <f t="shared" si="60"/>
        <v>0</v>
      </c>
      <c r="AG36" s="264">
        <f t="shared" si="60"/>
        <v>0</v>
      </c>
      <c r="AH36" s="264">
        <f t="shared" si="60"/>
        <v>0</v>
      </c>
      <c r="AI36" s="264">
        <f t="shared" si="52"/>
        <v>0</v>
      </c>
      <c r="AJ36" s="264">
        <f t="shared" si="53"/>
        <v>0</v>
      </c>
      <c r="AK36" s="264">
        <f t="shared" si="54"/>
        <v>0</v>
      </c>
      <c r="AL36" s="264">
        <f t="shared" si="55"/>
        <v>0</v>
      </c>
      <c r="AM36" s="264">
        <f t="shared" si="56"/>
        <v>0</v>
      </c>
      <c r="AN36" s="640">
        <f t="shared" si="15"/>
        <v>0</v>
      </c>
      <c r="AO36" s="264">
        <f t="shared" si="57"/>
        <v>0</v>
      </c>
      <c r="AP36" s="640">
        <f t="shared" si="58"/>
        <v>0</v>
      </c>
      <c r="AQ36" s="264"/>
      <c r="AR36" s="264" t="str">
        <f>VLOOKUP($I36,TableInputsData[],ReadMe!$M$3,FALSE)&amp;"  |  "&amp;VLOOKUP($K36,TableInputsData[],ReadMe!$M$3,FALSE)</f>
        <v>PRODUIT 01  |  DEPENSES SUR ACHATS</v>
      </c>
      <c r="AS36" s="264" t="b">
        <f t="shared" si="59"/>
        <v>1</v>
      </c>
      <c r="AT36" s="294"/>
    </row>
    <row r="37" spans="1:46" ht="13" hidden="1" x14ac:dyDescent="0.2">
      <c r="A37" s="294"/>
      <c r="B37" s="924"/>
      <c r="C37" s="271">
        <v>30</v>
      </c>
      <c r="D37" s="250">
        <f t="shared" si="17"/>
        <v>1</v>
      </c>
      <c r="E37" s="250"/>
      <c r="F37" s="248" t="str">
        <f t="shared" si="50"/>
        <v>YEAR3</v>
      </c>
      <c r="G37" s="250">
        <f>VLOOKUP(F37,TableInputsData[],$G$6,FALSE)</f>
        <v>2027</v>
      </c>
      <c r="H37" s="250" t="str">
        <f t="shared" si="18"/>
        <v>PRODUCT</v>
      </c>
      <c r="I37" s="248" t="str">
        <f t="shared" si="18"/>
        <v>PRODUCT 01</v>
      </c>
      <c r="J37" s="248" t="str">
        <f>VLOOKUP(I37,TableInputsData[],$J$6,FALSE)</f>
        <v>XYZ</v>
      </c>
      <c r="K37" s="248" t="str">
        <f t="shared" si="61"/>
        <v>COST OF GOODS SOLD</v>
      </c>
      <c r="L37" s="255"/>
      <c r="M37" s="255"/>
      <c r="N37" s="255"/>
      <c r="O37" s="265"/>
      <c r="P37" s="260"/>
      <c r="Q37" s="260"/>
      <c r="R37" s="260"/>
      <c r="S37" s="630"/>
      <c r="T37" s="630"/>
      <c r="U37" s="630"/>
      <c r="V37" s="630"/>
      <c r="W37" s="260"/>
      <c r="X37" s="260"/>
      <c r="Y37" s="260"/>
      <c r="Z37" s="260"/>
      <c r="AA37" s="260"/>
      <c r="AB37" s="260"/>
      <c r="AC37" s="265"/>
      <c r="AD37" s="634"/>
      <c r="AE37" s="264">
        <f t="shared" si="60"/>
        <v>0</v>
      </c>
      <c r="AF37" s="264">
        <f t="shared" si="60"/>
        <v>0</v>
      </c>
      <c r="AG37" s="264">
        <f t="shared" si="60"/>
        <v>0</v>
      </c>
      <c r="AH37" s="264">
        <f t="shared" si="60"/>
        <v>0</v>
      </c>
      <c r="AI37" s="264">
        <f t="shared" si="52"/>
        <v>0</v>
      </c>
      <c r="AJ37" s="264">
        <f t="shared" si="53"/>
        <v>0</v>
      </c>
      <c r="AK37" s="264">
        <f t="shared" si="54"/>
        <v>0</v>
      </c>
      <c r="AL37" s="264">
        <f t="shared" si="55"/>
        <v>0</v>
      </c>
      <c r="AM37" s="264">
        <f t="shared" si="56"/>
        <v>0</v>
      </c>
      <c r="AN37" s="640">
        <f t="shared" si="15"/>
        <v>0</v>
      </c>
      <c r="AO37" s="264">
        <f t="shared" si="57"/>
        <v>0</v>
      </c>
      <c r="AP37" s="640">
        <f t="shared" si="58"/>
        <v>0</v>
      </c>
      <c r="AQ37" s="264"/>
      <c r="AR37" s="264" t="str">
        <f>VLOOKUP($I37,TableInputsData[],ReadMe!$M$3,FALSE)&amp;"  |  "&amp;VLOOKUP($K37,TableInputsData[],ReadMe!$M$3,FALSE)</f>
        <v>PRODUIT 01  |  DEPENSES SUR ACHATS</v>
      </c>
      <c r="AS37" s="264" t="b">
        <f t="shared" si="59"/>
        <v>1</v>
      </c>
      <c r="AT37" s="294"/>
    </row>
    <row r="38" spans="1:46" ht="13" hidden="1" x14ac:dyDescent="0.2">
      <c r="A38" s="294"/>
      <c r="B38" s="924"/>
      <c r="C38" s="271">
        <v>31</v>
      </c>
      <c r="D38" s="250">
        <f t="shared" si="17"/>
        <v>1</v>
      </c>
      <c r="E38" s="250"/>
      <c r="F38" s="248" t="str">
        <f t="shared" si="50"/>
        <v>YEAR4</v>
      </c>
      <c r="G38" s="250">
        <f>VLOOKUP(F38,TableInputsData[],$G$6,FALSE)</f>
        <v>2028</v>
      </c>
      <c r="H38" s="250" t="str">
        <f t="shared" si="18"/>
        <v>PRODUCT</v>
      </c>
      <c r="I38" s="248" t="str">
        <f t="shared" si="18"/>
        <v>PRODUCT 01</v>
      </c>
      <c r="J38" s="248" t="str">
        <f>VLOOKUP(I38,TableInputsData[],$J$6,FALSE)</f>
        <v>XYZ</v>
      </c>
      <c r="K38" s="248" t="str">
        <f t="shared" si="61"/>
        <v>COST OF GOODS SOLD</v>
      </c>
      <c r="L38" s="255"/>
      <c r="M38" s="255"/>
      <c r="N38" s="255"/>
      <c r="O38" s="265"/>
      <c r="P38" s="260"/>
      <c r="Q38" s="260"/>
      <c r="R38" s="260"/>
      <c r="S38" s="630"/>
      <c r="T38" s="630"/>
      <c r="U38" s="630"/>
      <c r="V38" s="630"/>
      <c r="W38" s="260"/>
      <c r="X38" s="260"/>
      <c r="Y38" s="260"/>
      <c r="Z38" s="260"/>
      <c r="AA38" s="260"/>
      <c r="AB38" s="260"/>
      <c r="AC38" s="265"/>
      <c r="AD38" s="634"/>
      <c r="AE38" s="264">
        <f t="shared" si="60"/>
        <v>0</v>
      </c>
      <c r="AF38" s="264">
        <f t="shared" si="60"/>
        <v>0</v>
      </c>
      <c r="AG38" s="264">
        <f t="shared" si="60"/>
        <v>0</v>
      </c>
      <c r="AH38" s="264">
        <f t="shared" si="60"/>
        <v>0</v>
      </c>
      <c r="AI38" s="264">
        <f t="shared" si="52"/>
        <v>0</v>
      </c>
      <c r="AJ38" s="264">
        <f t="shared" si="53"/>
        <v>0</v>
      </c>
      <c r="AK38" s="264">
        <f t="shared" si="54"/>
        <v>0</v>
      </c>
      <c r="AL38" s="264">
        <f t="shared" si="55"/>
        <v>0</v>
      </c>
      <c r="AM38" s="264">
        <f t="shared" si="56"/>
        <v>0</v>
      </c>
      <c r="AN38" s="640">
        <f t="shared" si="15"/>
        <v>0</v>
      </c>
      <c r="AO38" s="264">
        <f t="shared" si="57"/>
        <v>0</v>
      </c>
      <c r="AP38" s="640">
        <f t="shared" si="58"/>
        <v>0</v>
      </c>
      <c r="AQ38" s="264"/>
      <c r="AR38" s="264" t="str">
        <f>VLOOKUP($I38,TableInputsData[],ReadMe!$M$3,FALSE)&amp;"  |  "&amp;VLOOKUP($K38,TableInputsData[],ReadMe!$M$3,FALSE)</f>
        <v>PRODUIT 01  |  DEPENSES SUR ACHATS</v>
      </c>
      <c r="AS38" s="264" t="b">
        <f t="shared" si="59"/>
        <v>1</v>
      </c>
      <c r="AT38" s="294"/>
    </row>
    <row r="39" spans="1:46" ht="13" hidden="1" x14ac:dyDescent="0.2">
      <c r="A39" s="294"/>
      <c r="B39" s="924"/>
      <c r="C39" s="271">
        <v>32</v>
      </c>
      <c r="D39" s="250">
        <f t="shared" si="17"/>
        <v>1</v>
      </c>
      <c r="E39" s="250"/>
      <c r="F39" s="248" t="str">
        <f t="shared" si="50"/>
        <v>YEAR5</v>
      </c>
      <c r="G39" s="250">
        <f>VLOOKUP(F39,TableInputsData[],$G$6,FALSE)</f>
        <v>2029</v>
      </c>
      <c r="H39" s="250" t="str">
        <f t="shared" si="18"/>
        <v>PRODUCT</v>
      </c>
      <c r="I39" s="248" t="str">
        <f t="shared" si="18"/>
        <v>PRODUCT 01</v>
      </c>
      <c r="J39" s="248" t="str">
        <f>VLOOKUP(I39,TableInputsData[],$J$6,FALSE)</f>
        <v>XYZ</v>
      </c>
      <c r="K39" s="248" t="str">
        <f t="shared" si="61"/>
        <v>COST OF GOODS SOLD</v>
      </c>
      <c r="L39" s="255"/>
      <c r="M39" s="255"/>
      <c r="N39" s="255"/>
      <c r="O39" s="265"/>
      <c r="P39" s="260"/>
      <c r="Q39" s="260"/>
      <c r="R39" s="260"/>
      <c r="S39" s="630"/>
      <c r="T39" s="630"/>
      <c r="U39" s="630"/>
      <c r="V39" s="630"/>
      <c r="W39" s="260"/>
      <c r="X39" s="260"/>
      <c r="Y39" s="260"/>
      <c r="Z39" s="260"/>
      <c r="AA39" s="260"/>
      <c r="AB39" s="260"/>
      <c r="AC39" s="265"/>
      <c r="AD39" s="634"/>
      <c r="AE39" s="264">
        <f t="shared" si="60"/>
        <v>0</v>
      </c>
      <c r="AF39" s="264">
        <f t="shared" si="60"/>
        <v>0</v>
      </c>
      <c r="AG39" s="264">
        <f t="shared" si="60"/>
        <v>0</v>
      </c>
      <c r="AH39" s="264">
        <f t="shared" si="60"/>
        <v>0</v>
      </c>
      <c r="AI39" s="264">
        <f t="shared" si="52"/>
        <v>0</v>
      </c>
      <c r="AJ39" s="264">
        <f t="shared" si="53"/>
        <v>0</v>
      </c>
      <c r="AK39" s="264">
        <f t="shared" si="54"/>
        <v>0</v>
      </c>
      <c r="AL39" s="264">
        <f t="shared" si="55"/>
        <v>0</v>
      </c>
      <c r="AM39" s="264">
        <f t="shared" si="56"/>
        <v>0</v>
      </c>
      <c r="AN39" s="640">
        <f t="shared" si="15"/>
        <v>0</v>
      </c>
      <c r="AO39" s="264">
        <f t="shared" si="57"/>
        <v>0</v>
      </c>
      <c r="AP39" s="640">
        <f t="shared" si="58"/>
        <v>0</v>
      </c>
      <c r="AQ39" s="264"/>
      <c r="AR39" s="264" t="str">
        <f>VLOOKUP($I39,TableInputsData[],ReadMe!$M$3,FALSE)&amp;"  |  "&amp;VLOOKUP($K39,TableInputsData[],ReadMe!$M$3,FALSE)</f>
        <v>PRODUIT 01  |  DEPENSES SUR ACHATS</v>
      </c>
      <c r="AS39" s="264" t="b">
        <f t="shared" si="59"/>
        <v>1</v>
      </c>
      <c r="AT39" s="294"/>
    </row>
    <row r="40" spans="1:46" ht="13" hidden="1" x14ac:dyDescent="0.2">
      <c r="A40" s="294"/>
      <c r="B40" s="924"/>
      <c r="C40" s="271">
        <v>33</v>
      </c>
      <c r="D40" s="250">
        <f t="shared" si="17"/>
        <v>1</v>
      </c>
      <c r="E40" s="250"/>
      <c r="F40" s="248" t="str">
        <f t="shared" si="50"/>
        <v>YEAR6</v>
      </c>
      <c r="G40" s="250">
        <f>VLOOKUP(F40,TableInputsData[],$G$6,FALSE)</f>
        <v>2030</v>
      </c>
      <c r="H40" s="250" t="str">
        <f t="shared" si="18"/>
        <v>PRODUCT</v>
      </c>
      <c r="I40" s="248" t="str">
        <f t="shared" si="18"/>
        <v>PRODUCT 01</v>
      </c>
      <c r="J40" s="248" t="str">
        <f>VLOOKUP(I40,TableInputsData[],$J$6,FALSE)</f>
        <v>XYZ</v>
      </c>
      <c r="K40" s="248" t="str">
        <f t="shared" si="61"/>
        <v>COST OF GOODS SOLD</v>
      </c>
      <c r="L40" s="255"/>
      <c r="M40" s="255"/>
      <c r="N40" s="255"/>
      <c r="O40" s="265"/>
      <c r="P40" s="260"/>
      <c r="Q40" s="260"/>
      <c r="R40" s="260"/>
      <c r="S40" s="630"/>
      <c r="T40" s="630"/>
      <c r="U40" s="630"/>
      <c r="V40" s="630"/>
      <c r="W40" s="260"/>
      <c r="X40" s="260"/>
      <c r="Y40" s="260"/>
      <c r="Z40" s="260"/>
      <c r="AA40" s="260"/>
      <c r="AB40" s="260"/>
      <c r="AC40" s="265"/>
      <c r="AD40" s="634"/>
      <c r="AE40" s="264">
        <f t="shared" si="60"/>
        <v>0</v>
      </c>
      <c r="AF40" s="264">
        <f t="shared" si="60"/>
        <v>0</v>
      </c>
      <c r="AG40" s="264">
        <f t="shared" si="60"/>
        <v>0</v>
      </c>
      <c r="AH40" s="264">
        <f t="shared" si="60"/>
        <v>0</v>
      </c>
      <c r="AI40" s="264">
        <f t="shared" si="52"/>
        <v>0</v>
      </c>
      <c r="AJ40" s="264">
        <f t="shared" si="53"/>
        <v>0</v>
      </c>
      <c r="AK40" s="264">
        <f t="shared" si="54"/>
        <v>0</v>
      </c>
      <c r="AL40" s="264">
        <f t="shared" si="55"/>
        <v>0</v>
      </c>
      <c r="AM40" s="264">
        <f t="shared" si="56"/>
        <v>0</v>
      </c>
      <c r="AN40" s="640">
        <f t="shared" si="15"/>
        <v>0</v>
      </c>
      <c r="AO40" s="264">
        <f t="shared" si="57"/>
        <v>0</v>
      </c>
      <c r="AP40" s="640">
        <f t="shared" si="58"/>
        <v>0</v>
      </c>
      <c r="AQ40" s="264"/>
      <c r="AR40" s="264" t="str">
        <f>VLOOKUP($I40,TableInputsData[],ReadMe!$M$3,FALSE)&amp;"  |  "&amp;VLOOKUP($K40,TableInputsData[],ReadMe!$M$3,FALSE)</f>
        <v>PRODUIT 01  |  DEPENSES SUR ACHATS</v>
      </c>
      <c r="AS40" s="264" t="b">
        <f t="shared" si="59"/>
        <v>1</v>
      </c>
      <c r="AT40" s="294"/>
    </row>
    <row r="41" spans="1:46" ht="13" hidden="1" x14ac:dyDescent="0.2">
      <c r="A41" s="294"/>
      <c r="B41" s="924"/>
      <c r="C41" s="272">
        <v>34</v>
      </c>
      <c r="D41" s="250">
        <f t="shared" si="17"/>
        <v>1</v>
      </c>
      <c r="E41" s="251"/>
      <c r="F41" s="248" t="str">
        <f t="shared" ref="F41:F48" si="62">F17</f>
        <v>YEAR-2</v>
      </c>
      <c r="G41" s="250">
        <f>VLOOKUP(F41,TableInputsData[],$G$6,FALSE)</f>
        <v>2023</v>
      </c>
      <c r="H41" s="250" t="str">
        <f t="shared" si="18"/>
        <v>PRODUCT</v>
      </c>
      <c r="I41" s="248" t="str">
        <f t="shared" si="18"/>
        <v>PRODUCT 01</v>
      </c>
      <c r="J41" s="248" t="str">
        <f>VLOOKUP(I41,TableInputsData[],$J$6,FALSE)</f>
        <v>XYZ</v>
      </c>
      <c r="K41" s="248" t="s">
        <v>532</v>
      </c>
      <c r="L41" s="256"/>
      <c r="M41" s="256"/>
      <c r="N41" s="256"/>
      <c r="O41" s="266"/>
      <c r="P41" s="261"/>
      <c r="Q41" s="261"/>
      <c r="R41" s="261"/>
      <c r="S41" s="629"/>
      <c r="T41" s="629"/>
      <c r="U41" s="629"/>
      <c r="V41" s="629"/>
      <c r="W41" s="261"/>
      <c r="X41" s="261"/>
      <c r="Y41" s="261"/>
      <c r="Z41" s="261"/>
      <c r="AA41" s="261"/>
      <c r="AB41" s="261"/>
      <c r="AC41" s="266"/>
      <c r="AD41" s="633"/>
      <c r="AE41" s="264">
        <f>IF(AE9=0,0,AE33/AE9)</f>
        <v>0</v>
      </c>
      <c r="AF41" s="264">
        <f t="shared" ref="AE41:AI48" si="63">IF(AF9=0,0,AF33/AF9)</f>
        <v>0</v>
      </c>
      <c r="AG41" s="264">
        <f t="shared" si="63"/>
        <v>0</v>
      </c>
      <c r="AH41" s="264">
        <f t="shared" si="63"/>
        <v>0</v>
      </c>
      <c r="AI41" s="264">
        <f t="shared" si="63"/>
        <v>0</v>
      </c>
      <c r="AJ41" s="264">
        <f>IF(AJ9=0,0,AJ33/AJ9)</f>
        <v>0</v>
      </c>
      <c r="AK41" s="264">
        <f t="shared" ref="AK41:AO41" si="64">IF(AK9=0,0,AK33/AK9)</f>
        <v>0</v>
      </c>
      <c r="AL41" s="264">
        <f t="shared" si="64"/>
        <v>0</v>
      </c>
      <c r="AM41" s="264">
        <f>IF(AM9=0,0,AM33/AM9)</f>
        <v>0</v>
      </c>
      <c r="AN41" s="260"/>
      <c r="AO41" s="264">
        <f t="shared" si="64"/>
        <v>0</v>
      </c>
      <c r="AP41" s="260"/>
      <c r="AQ41" s="264"/>
      <c r="AR41" s="264" t="str">
        <f>VLOOKUP($I41,TableInputsData[],ReadMe!$M$3,FALSE)&amp;"  |  "&amp;VLOOKUP($K41,TableInputsData[],ReadMe!$M$3,FALSE)</f>
        <v>PRODUIT 01  |  PRIX MOYEN D'ACHAT PAR PRODUIT/SERVICE</v>
      </c>
      <c r="AS41" s="264"/>
      <c r="AT41" s="294"/>
    </row>
    <row r="42" spans="1:46" ht="13" hidden="1" x14ac:dyDescent="0.2">
      <c r="A42" s="294"/>
      <c r="B42" s="924"/>
      <c r="C42" s="272">
        <v>35</v>
      </c>
      <c r="D42" s="250">
        <f t="shared" si="17"/>
        <v>1</v>
      </c>
      <c r="E42" s="251"/>
      <c r="F42" s="248" t="str">
        <f t="shared" si="62"/>
        <v>YEAR-1</v>
      </c>
      <c r="G42" s="250">
        <f>VLOOKUP(F42,TableInputsData[],$G$6,FALSE)</f>
        <v>2024</v>
      </c>
      <c r="H42" s="250" t="str">
        <f t="shared" si="18"/>
        <v>PRODUCT</v>
      </c>
      <c r="I42" s="248" t="str">
        <f t="shared" si="18"/>
        <v>PRODUCT 01</v>
      </c>
      <c r="J42" s="248" t="str">
        <f>VLOOKUP(I42,TableInputsData[],$J$6,FALSE)</f>
        <v>XYZ</v>
      </c>
      <c r="K42" s="248" t="str">
        <f>K41</f>
        <v>AVERAGE COST OF GOODS SOLD PER UNIT</v>
      </c>
      <c r="L42" s="256"/>
      <c r="M42" s="256"/>
      <c r="N42" s="256"/>
      <c r="O42" s="266"/>
      <c r="P42" s="261"/>
      <c r="Q42" s="261"/>
      <c r="R42" s="261"/>
      <c r="S42" s="629"/>
      <c r="T42" s="629"/>
      <c r="U42" s="629"/>
      <c r="V42" s="629"/>
      <c r="W42" s="261"/>
      <c r="X42" s="261"/>
      <c r="Y42" s="261"/>
      <c r="Z42" s="261"/>
      <c r="AA42" s="261"/>
      <c r="AB42" s="261"/>
      <c r="AC42" s="266"/>
      <c r="AD42" s="633"/>
      <c r="AE42" s="264">
        <f t="shared" si="63"/>
        <v>0</v>
      </c>
      <c r="AF42" s="264">
        <f t="shared" si="63"/>
        <v>0</v>
      </c>
      <c r="AG42" s="264">
        <f t="shared" si="63"/>
        <v>0</v>
      </c>
      <c r="AH42" s="264">
        <f t="shared" si="63"/>
        <v>0</v>
      </c>
      <c r="AI42" s="264">
        <f t="shared" si="63"/>
        <v>0</v>
      </c>
      <c r="AJ42" s="264">
        <f t="shared" ref="AJ42:AL42" si="65">IF(AJ10=0,0,AJ34/AJ10)</f>
        <v>0</v>
      </c>
      <c r="AK42" s="264">
        <f t="shared" si="65"/>
        <v>0</v>
      </c>
      <c r="AL42" s="264">
        <f t="shared" si="65"/>
        <v>0</v>
      </c>
      <c r="AM42" s="264">
        <f>IF(AM10=0,0,AM34/AM10)</f>
        <v>0</v>
      </c>
      <c r="AN42" s="260"/>
      <c r="AO42" s="264">
        <f>IF(AO10=0,0,AO34/AO10)</f>
        <v>0</v>
      </c>
      <c r="AP42" s="260"/>
      <c r="AQ42" s="264"/>
      <c r="AR42" s="264" t="str">
        <f>VLOOKUP($I42,TableInputsData[],ReadMe!$M$3,FALSE)&amp;"  |  "&amp;VLOOKUP($K42,TableInputsData[],ReadMe!$M$3,FALSE)</f>
        <v>PRODUIT 01  |  PRIX MOYEN D'ACHAT PAR PRODUIT/SERVICE</v>
      </c>
      <c r="AS42" s="264"/>
      <c r="AT42" s="294"/>
    </row>
    <row r="43" spans="1:46" ht="13" hidden="1" x14ac:dyDescent="0.2">
      <c r="A43" s="294"/>
      <c r="B43" s="924"/>
      <c r="C43" s="272">
        <v>36</v>
      </c>
      <c r="D43" s="250">
        <f t="shared" si="17"/>
        <v>1</v>
      </c>
      <c r="E43" s="251"/>
      <c r="F43" s="248" t="str">
        <f t="shared" si="62"/>
        <v>CURRENT YEAR</v>
      </c>
      <c r="G43" s="250">
        <f>VLOOKUP(F43,TableInputsData[],$G$6,FALSE)</f>
        <v>2025</v>
      </c>
      <c r="H43" s="250" t="str">
        <f t="shared" si="18"/>
        <v>PRODUCT</v>
      </c>
      <c r="I43" s="248" t="str">
        <f t="shared" si="18"/>
        <v>PRODUCT 01</v>
      </c>
      <c r="J43" s="248" t="str">
        <f>VLOOKUP(I43,TableInputsData[],$J$6,FALSE)</f>
        <v>XYZ</v>
      </c>
      <c r="K43" s="248" t="str">
        <f t="shared" ref="K43:K48" si="66">K42</f>
        <v>AVERAGE COST OF GOODS SOLD PER UNIT</v>
      </c>
      <c r="L43" s="256"/>
      <c r="M43" s="256"/>
      <c r="N43" s="256"/>
      <c r="O43" s="266"/>
      <c r="P43" s="261"/>
      <c r="Q43" s="261"/>
      <c r="R43" s="261"/>
      <c r="S43" s="629"/>
      <c r="T43" s="629"/>
      <c r="U43" s="629"/>
      <c r="V43" s="629"/>
      <c r="W43" s="261"/>
      <c r="X43" s="261"/>
      <c r="Y43" s="261"/>
      <c r="Z43" s="261"/>
      <c r="AA43" s="261"/>
      <c r="AB43" s="261"/>
      <c r="AC43" s="266"/>
      <c r="AD43" s="633"/>
      <c r="AE43" s="264">
        <f t="shared" si="63"/>
        <v>0</v>
      </c>
      <c r="AF43" s="264">
        <f t="shared" si="63"/>
        <v>0</v>
      </c>
      <c r="AG43" s="264">
        <f t="shared" si="63"/>
        <v>0</v>
      </c>
      <c r="AH43" s="264">
        <f t="shared" si="63"/>
        <v>0</v>
      </c>
      <c r="AI43" s="264">
        <f t="shared" si="63"/>
        <v>0</v>
      </c>
      <c r="AJ43" s="264">
        <f t="shared" ref="AJ43:AL43" si="67">IF(AJ11=0,0,AJ35/AJ11)</f>
        <v>0</v>
      </c>
      <c r="AK43" s="264">
        <f t="shared" si="67"/>
        <v>0</v>
      </c>
      <c r="AL43" s="264">
        <f t="shared" si="67"/>
        <v>0</v>
      </c>
      <c r="AM43" s="264">
        <f>IF(AM11=0,0,AM35/AM11)</f>
        <v>0</v>
      </c>
      <c r="AN43" s="260"/>
      <c r="AO43" s="264">
        <f>IF(AO11=0,0,AO35/AO11)</f>
        <v>0</v>
      </c>
      <c r="AP43" s="260"/>
      <c r="AQ43" s="264"/>
      <c r="AR43" s="264" t="str">
        <f>VLOOKUP($I43,TableInputsData[],ReadMe!$M$3,FALSE)&amp;"  |  "&amp;VLOOKUP($K43,TableInputsData[],ReadMe!$M$3,FALSE)</f>
        <v>PRODUIT 01  |  PRIX MOYEN D'ACHAT PAR PRODUIT/SERVICE</v>
      </c>
      <c r="AS43" s="264"/>
      <c r="AT43" s="294"/>
    </row>
    <row r="44" spans="1:46" ht="13" hidden="1" x14ac:dyDescent="0.2">
      <c r="A44" s="294"/>
      <c r="B44" s="924"/>
      <c r="C44" s="272">
        <v>37</v>
      </c>
      <c r="D44" s="250">
        <f t="shared" si="17"/>
        <v>1</v>
      </c>
      <c r="E44" s="251"/>
      <c r="F44" s="248" t="str">
        <f t="shared" si="62"/>
        <v>YEAR2</v>
      </c>
      <c r="G44" s="250">
        <f>VLOOKUP(F44,TableInputsData[],$G$6,FALSE)</f>
        <v>2026</v>
      </c>
      <c r="H44" s="250" t="str">
        <f t="shared" si="18"/>
        <v>PRODUCT</v>
      </c>
      <c r="I44" s="248" t="str">
        <f t="shared" si="18"/>
        <v>PRODUCT 01</v>
      </c>
      <c r="J44" s="248" t="str">
        <f>VLOOKUP(I44,TableInputsData[],$J$6,FALSE)</f>
        <v>XYZ</v>
      </c>
      <c r="K44" s="248" t="str">
        <f t="shared" si="66"/>
        <v>AVERAGE COST OF GOODS SOLD PER UNIT</v>
      </c>
      <c r="L44" s="256"/>
      <c r="M44" s="256"/>
      <c r="N44" s="256"/>
      <c r="O44" s="266"/>
      <c r="P44" s="261"/>
      <c r="Q44" s="261"/>
      <c r="R44" s="261"/>
      <c r="S44" s="629"/>
      <c r="T44" s="629"/>
      <c r="U44" s="629"/>
      <c r="V44" s="629"/>
      <c r="W44" s="261"/>
      <c r="X44" s="261"/>
      <c r="Y44" s="261"/>
      <c r="Z44" s="261"/>
      <c r="AA44" s="261"/>
      <c r="AB44" s="261"/>
      <c r="AC44" s="266"/>
      <c r="AD44" s="633"/>
      <c r="AE44" s="264">
        <f t="shared" si="63"/>
        <v>0</v>
      </c>
      <c r="AF44" s="264">
        <f t="shared" si="63"/>
        <v>0</v>
      </c>
      <c r="AG44" s="264">
        <f t="shared" si="63"/>
        <v>0</v>
      </c>
      <c r="AH44" s="264">
        <f t="shared" si="63"/>
        <v>0</v>
      </c>
      <c r="AI44" s="264">
        <f t="shared" si="63"/>
        <v>0</v>
      </c>
      <c r="AJ44" s="264">
        <f t="shared" ref="AJ44:AO44" si="68">IF(AJ12=0,0,AJ36/AJ12)</f>
        <v>0</v>
      </c>
      <c r="AK44" s="264">
        <f t="shared" si="68"/>
        <v>0</v>
      </c>
      <c r="AL44" s="264">
        <f t="shared" si="68"/>
        <v>0</v>
      </c>
      <c r="AM44" s="264">
        <f t="shared" si="68"/>
        <v>0</v>
      </c>
      <c r="AN44" s="260"/>
      <c r="AO44" s="264">
        <f t="shared" si="68"/>
        <v>0</v>
      </c>
      <c r="AP44" s="260"/>
      <c r="AQ44" s="264"/>
      <c r="AR44" s="264" t="str">
        <f>VLOOKUP($I44,TableInputsData[],ReadMe!$M$3,FALSE)&amp;"  |  "&amp;VLOOKUP($K44,TableInputsData[],ReadMe!$M$3,FALSE)</f>
        <v>PRODUIT 01  |  PRIX MOYEN D'ACHAT PAR PRODUIT/SERVICE</v>
      </c>
      <c r="AS44" s="264"/>
      <c r="AT44" s="294"/>
    </row>
    <row r="45" spans="1:46" ht="13" hidden="1" x14ac:dyDescent="0.2">
      <c r="A45" s="294"/>
      <c r="B45" s="924"/>
      <c r="C45" s="272">
        <v>38</v>
      </c>
      <c r="D45" s="250">
        <f t="shared" si="17"/>
        <v>1</v>
      </c>
      <c r="E45" s="251"/>
      <c r="F45" s="248" t="str">
        <f t="shared" si="62"/>
        <v>YEAR3</v>
      </c>
      <c r="G45" s="250">
        <f>VLOOKUP(F45,TableInputsData[],$G$6,FALSE)</f>
        <v>2027</v>
      </c>
      <c r="H45" s="250" t="str">
        <f t="shared" si="18"/>
        <v>PRODUCT</v>
      </c>
      <c r="I45" s="248" t="str">
        <f t="shared" si="18"/>
        <v>PRODUCT 01</v>
      </c>
      <c r="J45" s="248" t="str">
        <f>VLOOKUP(I45,TableInputsData[],$J$6,FALSE)</f>
        <v>XYZ</v>
      </c>
      <c r="K45" s="248" t="str">
        <f t="shared" si="66"/>
        <v>AVERAGE COST OF GOODS SOLD PER UNIT</v>
      </c>
      <c r="L45" s="256"/>
      <c r="M45" s="256"/>
      <c r="N45" s="256"/>
      <c r="O45" s="266"/>
      <c r="P45" s="261"/>
      <c r="Q45" s="261"/>
      <c r="R45" s="261"/>
      <c r="S45" s="629"/>
      <c r="T45" s="629"/>
      <c r="U45" s="629"/>
      <c r="V45" s="629"/>
      <c r="W45" s="261"/>
      <c r="X45" s="261"/>
      <c r="Y45" s="261"/>
      <c r="Z45" s="261"/>
      <c r="AA45" s="261"/>
      <c r="AB45" s="261"/>
      <c r="AC45" s="266"/>
      <c r="AD45" s="633"/>
      <c r="AE45" s="264">
        <f t="shared" si="63"/>
        <v>0</v>
      </c>
      <c r="AF45" s="264">
        <f t="shared" si="63"/>
        <v>0</v>
      </c>
      <c r="AG45" s="264">
        <f t="shared" si="63"/>
        <v>0</v>
      </c>
      <c r="AH45" s="264">
        <f t="shared" si="63"/>
        <v>0</v>
      </c>
      <c r="AI45" s="264">
        <f t="shared" si="63"/>
        <v>0</v>
      </c>
      <c r="AJ45" s="264">
        <f t="shared" ref="AJ45:AO45" si="69">IF(AJ13=0,0,AJ37/AJ13)</f>
        <v>0</v>
      </c>
      <c r="AK45" s="264">
        <f t="shared" si="69"/>
        <v>0</v>
      </c>
      <c r="AL45" s="264">
        <f t="shared" si="69"/>
        <v>0</v>
      </c>
      <c r="AM45" s="264">
        <f t="shared" si="69"/>
        <v>0</v>
      </c>
      <c r="AN45" s="260"/>
      <c r="AO45" s="264">
        <f t="shared" si="69"/>
        <v>0</v>
      </c>
      <c r="AP45" s="260"/>
      <c r="AQ45" s="264"/>
      <c r="AR45" s="264" t="str">
        <f>VLOOKUP($I45,TableInputsData[],ReadMe!$M$3,FALSE)&amp;"  |  "&amp;VLOOKUP($K45,TableInputsData[],ReadMe!$M$3,FALSE)</f>
        <v>PRODUIT 01  |  PRIX MOYEN D'ACHAT PAR PRODUIT/SERVICE</v>
      </c>
      <c r="AS45" s="264"/>
      <c r="AT45" s="294"/>
    </row>
    <row r="46" spans="1:46" ht="13" hidden="1" x14ac:dyDescent="0.2">
      <c r="A46" s="294"/>
      <c r="B46" s="924"/>
      <c r="C46" s="272">
        <v>39</v>
      </c>
      <c r="D46" s="250">
        <f t="shared" si="17"/>
        <v>1</v>
      </c>
      <c r="E46" s="251"/>
      <c r="F46" s="248" t="str">
        <f t="shared" si="62"/>
        <v>YEAR4</v>
      </c>
      <c r="G46" s="250">
        <f>VLOOKUP(F46,TableInputsData[],$G$6,FALSE)</f>
        <v>2028</v>
      </c>
      <c r="H46" s="250" t="str">
        <f t="shared" si="18"/>
        <v>PRODUCT</v>
      </c>
      <c r="I46" s="248" t="str">
        <f t="shared" si="18"/>
        <v>PRODUCT 01</v>
      </c>
      <c r="J46" s="248" t="str">
        <f>VLOOKUP(I46,TableInputsData[],$J$6,FALSE)</f>
        <v>XYZ</v>
      </c>
      <c r="K46" s="248" t="str">
        <f t="shared" si="66"/>
        <v>AVERAGE COST OF GOODS SOLD PER UNIT</v>
      </c>
      <c r="L46" s="256"/>
      <c r="M46" s="256"/>
      <c r="N46" s="256"/>
      <c r="O46" s="266"/>
      <c r="P46" s="261"/>
      <c r="Q46" s="261"/>
      <c r="R46" s="261"/>
      <c r="S46" s="629"/>
      <c r="T46" s="629"/>
      <c r="U46" s="629"/>
      <c r="V46" s="629"/>
      <c r="W46" s="261"/>
      <c r="X46" s="261"/>
      <c r="Y46" s="261"/>
      <c r="Z46" s="261"/>
      <c r="AA46" s="261"/>
      <c r="AB46" s="261"/>
      <c r="AC46" s="266"/>
      <c r="AD46" s="633"/>
      <c r="AE46" s="264">
        <f t="shared" si="63"/>
        <v>0</v>
      </c>
      <c r="AF46" s="264">
        <f t="shared" si="63"/>
        <v>0</v>
      </c>
      <c r="AG46" s="264">
        <f t="shared" si="63"/>
        <v>0</v>
      </c>
      <c r="AH46" s="264">
        <f t="shared" si="63"/>
        <v>0</v>
      </c>
      <c r="AI46" s="264">
        <f t="shared" si="63"/>
        <v>0</v>
      </c>
      <c r="AJ46" s="264">
        <f t="shared" ref="AJ46:AO46" si="70">IF(AJ14=0,0,AJ38/AJ14)</f>
        <v>0</v>
      </c>
      <c r="AK46" s="264">
        <f t="shared" si="70"/>
        <v>0</v>
      </c>
      <c r="AL46" s="264">
        <f t="shared" si="70"/>
        <v>0</v>
      </c>
      <c r="AM46" s="264">
        <f t="shared" si="70"/>
        <v>0</v>
      </c>
      <c r="AN46" s="260"/>
      <c r="AO46" s="264">
        <f t="shared" si="70"/>
        <v>0</v>
      </c>
      <c r="AP46" s="260"/>
      <c r="AQ46" s="264"/>
      <c r="AR46" s="264" t="str">
        <f>VLOOKUP($I46,TableInputsData[],ReadMe!$M$3,FALSE)&amp;"  |  "&amp;VLOOKUP($K46,TableInputsData[],ReadMe!$M$3,FALSE)</f>
        <v>PRODUIT 01  |  PRIX MOYEN D'ACHAT PAR PRODUIT/SERVICE</v>
      </c>
      <c r="AS46" s="264"/>
      <c r="AT46" s="294"/>
    </row>
    <row r="47" spans="1:46" ht="13" hidden="1" x14ac:dyDescent="0.2">
      <c r="A47" s="294"/>
      <c r="B47" s="924"/>
      <c r="C47" s="272">
        <v>40</v>
      </c>
      <c r="D47" s="250">
        <f t="shared" si="17"/>
        <v>1</v>
      </c>
      <c r="E47" s="251"/>
      <c r="F47" s="248" t="str">
        <f t="shared" si="62"/>
        <v>YEAR5</v>
      </c>
      <c r="G47" s="250">
        <f>VLOOKUP(F47,TableInputsData[],$G$6,FALSE)</f>
        <v>2029</v>
      </c>
      <c r="H47" s="250" t="str">
        <f t="shared" si="18"/>
        <v>PRODUCT</v>
      </c>
      <c r="I47" s="248" t="str">
        <f t="shared" si="18"/>
        <v>PRODUCT 01</v>
      </c>
      <c r="J47" s="248" t="str">
        <f>VLOOKUP(I47,TableInputsData[],$J$6,FALSE)</f>
        <v>XYZ</v>
      </c>
      <c r="K47" s="248" t="str">
        <f t="shared" si="66"/>
        <v>AVERAGE COST OF GOODS SOLD PER UNIT</v>
      </c>
      <c r="L47" s="256"/>
      <c r="M47" s="256"/>
      <c r="N47" s="256"/>
      <c r="O47" s="266"/>
      <c r="P47" s="261"/>
      <c r="Q47" s="261"/>
      <c r="R47" s="261"/>
      <c r="S47" s="629"/>
      <c r="T47" s="629"/>
      <c r="U47" s="629"/>
      <c r="V47" s="629"/>
      <c r="W47" s="261"/>
      <c r="X47" s="261"/>
      <c r="Y47" s="261"/>
      <c r="Z47" s="261"/>
      <c r="AA47" s="261"/>
      <c r="AB47" s="261"/>
      <c r="AC47" s="266"/>
      <c r="AD47" s="633"/>
      <c r="AE47" s="264">
        <f t="shared" si="63"/>
        <v>0</v>
      </c>
      <c r="AF47" s="264">
        <f t="shared" si="63"/>
        <v>0</v>
      </c>
      <c r="AG47" s="264">
        <f t="shared" si="63"/>
        <v>0</v>
      </c>
      <c r="AH47" s="264">
        <f t="shared" si="63"/>
        <v>0</v>
      </c>
      <c r="AI47" s="264">
        <f t="shared" si="63"/>
        <v>0</v>
      </c>
      <c r="AJ47" s="264">
        <f t="shared" ref="AJ47:AO47" si="71">IF(AJ15=0,0,AJ39/AJ15)</f>
        <v>0</v>
      </c>
      <c r="AK47" s="264">
        <f t="shared" si="71"/>
        <v>0</v>
      </c>
      <c r="AL47" s="264">
        <f t="shared" si="71"/>
        <v>0</v>
      </c>
      <c r="AM47" s="264">
        <f t="shared" si="71"/>
        <v>0</v>
      </c>
      <c r="AN47" s="260"/>
      <c r="AO47" s="264">
        <f t="shared" si="71"/>
        <v>0</v>
      </c>
      <c r="AP47" s="260"/>
      <c r="AQ47" s="264"/>
      <c r="AR47" s="264" t="str">
        <f>VLOOKUP($I47,TableInputsData[],ReadMe!$M$3,FALSE)&amp;"  |  "&amp;VLOOKUP($K47,TableInputsData[],ReadMe!$M$3,FALSE)</f>
        <v>PRODUIT 01  |  PRIX MOYEN D'ACHAT PAR PRODUIT/SERVICE</v>
      </c>
      <c r="AS47" s="264"/>
      <c r="AT47" s="294"/>
    </row>
    <row r="48" spans="1:46" ht="13" hidden="1" x14ac:dyDescent="0.2">
      <c r="A48" s="294"/>
      <c r="B48" s="924"/>
      <c r="C48" s="272">
        <v>41</v>
      </c>
      <c r="D48" s="250">
        <f t="shared" si="17"/>
        <v>1</v>
      </c>
      <c r="E48" s="251"/>
      <c r="F48" s="248" t="str">
        <f t="shared" si="62"/>
        <v>YEAR6</v>
      </c>
      <c r="G48" s="250">
        <f>VLOOKUP(F48,TableInputsData[],$G$6,FALSE)</f>
        <v>2030</v>
      </c>
      <c r="H48" s="250" t="str">
        <f t="shared" si="18"/>
        <v>PRODUCT</v>
      </c>
      <c r="I48" s="248" t="str">
        <f t="shared" si="18"/>
        <v>PRODUCT 01</v>
      </c>
      <c r="J48" s="248" t="str">
        <f>VLOOKUP(I48,TableInputsData[],$J$6,FALSE)</f>
        <v>XYZ</v>
      </c>
      <c r="K48" s="248" t="str">
        <f t="shared" si="66"/>
        <v>AVERAGE COST OF GOODS SOLD PER UNIT</v>
      </c>
      <c r="L48" s="256"/>
      <c r="M48" s="256"/>
      <c r="N48" s="256"/>
      <c r="O48" s="266"/>
      <c r="P48" s="261"/>
      <c r="Q48" s="261"/>
      <c r="R48" s="261"/>
      <c r="S48" s="629"/>
      <c r="T48" s="629"/>
      <c r="U48" s="629"/>
      <c r="V48" s="629"/>
      <c r="W48" s="261"/>
      <c r="X48" s="261"/>
      <c r="Y48" s="261"/>
      <c r="Z48" s="261"/>
      <c r="AA48" s="261"/>
      <c r="AB48" s="261"/>
      <c r="AC48" s="266"/>
      <c r="AD48" s="633"/>
      <c r="AE48" s="264">
        <f t="shared" si="63"/>
        <v>0</v>
      </c>
      <c r="AF48" s="264">
        <f t="shared" si="63"/>
        <v>0</v>
      </c>
      <c r="AG48" s="264">
        <f t="shared" si="63"/>
        <v>0</v>
      </c>
      <c r="AH48" s="264">
        <f t="shared" si="63"/>
        <v>0</v>
      </c>
      <c r="AI48" s="264">
        <f t="shared" si="63"/>
        <v>0</v>
      </c>
      <c r="AJ48" s="264">
        <f t="shared" ref="AJ48:AO48" si="72">IF(AJ16=0,0,AJ40/AJ16)</f>
        <v>0</v>
      </c>
      <c r="AK48" s="264">
        <f t="shared" si="72"/>
        <v>0</v>
      </c>
      <c r="AL48" s="264">
        <f t="shared" si="72"/>
        <v>0</v>
      </c>
      <c r="AM48" s="264">
        <f t="shared" si="72"/>
        <v>0</v>
      </c>
      <c r="AN48" s="260"/>
      <c r="AO48" s="264">
        <f t="shared" si="72"/>
        <v>0</v>
      </c>
      <c r="AP48" s="260"/>
      <c r="AQ48" s="264"/>
      <c r="AR48" s="264" t="str">
        <f>VLOOKUP($I48,TableInputsData[],ReadMe!$M$3,FALSE)&amp;"  |  "&amp;VLOOKUP($K48,TableInputsData[],ReadMe!$M$3,FALSE)</f>
        <v>PRODUIT 01  |  PRIX MOYEN D'ACHAT PAR PRODUIT/SERVICE</v>
      </c>
      <c r="AS48" s="264"/>
      <c r="AT48" s="294"/>
    </row>
    <row r="49" spans="1:46" ht="13" x14ac:dyDescent="0.2">
      <c r="A49" s="294"/>
      <c r="B49" s="924"/>
      <c r="C49" s="273">
        <v>42</v>
      </c>
      <c r="D49" s="253">
        <v>0</v>
      </c>
      <c r="E49" s="253">
        <v>1</v>
      </c>
      <c r="F49" s="252"/>
      <c r="G49" s="253"/>
      <c r="H49" s="253"/>
      <c r="I49" s="252"/>
      <c r="J49" s="252"/>
      <c r="K49" s="252"/>
      <c r="L49" s="257"/>
      <c r="M49" s="257"/>
      <c r="N49" s="257"/>
      <c r="O49" s="267"/>
      <c r="P49" s="262"/>
      <c r="Q49" s="262"/>
      <c r="R49" s="262"/>
      <c r="S49" s="631"/>
      <c r="T49" s="631"/>
      <c r="U49" s="631"/>
      <c r="V49" s="631"/>
      <c r="W49" s="262"/>
      <c r="X49" s="262"/>
      <c r="Y49" s="262"/>
      <c r="Z49" s="262"/>
      <c r="AA49" s="262"/>
      <c r="AB49" s="262"/>
      <c r="AC49" s="267"/>
      <c r="AD49" s="635"/>
      <c r="AE49" s="270"/>
      <c r="AF49" s="270"/>
      <c r="AG49" s="270"/>
      <c r="AH49" s="270"/>
      <c r="AI49" s="270"/>
      <c r="AJ49" s="270"/>
      <c r="AK49" s="270"/>
      <c r="AL49" s="270"/>
      <c r="AM49" s="270"/>
      <c r="AN49" s="643"/>
      <c r="AO49" s="270"/>
      <c r="AP49" s="270"/>
      <c r="AQ49" s="270"/>
      <c r="AR49" s="270"/>
      <c r="AS49" s="270"/>
      <c r="AT49" s="294"/>
    </row>
    <row r="50" spans="1:46" ht="13" hidden="1" x14ac:dyDescent="0.2">
      <c r="A50" s="294"/>
      <c r="B50" s="925" t="str">
        <f>I51&amp;"___"</f>
        <v>PRODUCT 02___</v>
      </c>
      <c r="C50" s="271">
        <v>43</v>
      </c>
      <c r="D50" s="250">
        <v>0</v>
      </c>
      <c r="E50" s="250"/>
      <c r="F50" s="248"/>
      <c r="G50" s="250"/>
      <c r="H50" s="250"/>
      <c r="I50" s="248"/>
      <c r="J50" s="248"/>
      <c r="K50" s="248"/>
      <c r="L50" s="254"/>
      <c r="M50" s="254"/>
      <c r="N50" s="254"/>
      <c r="O50" s="264"/>
      <c r="P50" s="259"/>
      <c r="Q50" s="259"/>
      <c r="R50" s="259"/>
      <c r="S50" s="628"/>
      <c r="T50" s="628"/>
      <c r="U50" s="628"/>
      <c r="V50" s="628"/>
      <c r="W50" s="259"/>
      <c r="X50" s="259"/>
      <c r="Y50" s="259"/>
      <c r="Z50" s="259"/>
      <c r="AA50" s="259"/>
      <c r="AB50" s="259"/>
      <c r="AC50" s="264"/>
      <c r="AD50" s="609"/>
      <c r="AE50" s="269"/>
      <c r="AF50" s="269"/>
      <c r="AG50" s="269"/>
      <c r="AH50" s="269"/>
      <c r="AI50" s="269"/>
      <c r="AJ50" s="269"/>
      <c r="AK50" s="269"/>
      <c r="AL50" s="269"/>
      <c r="AM50" s="269"/>
      <c r="AN50" s="642"/>
      <c r="AO50" s="269"/>
      <c r="AP50" s="269"/>
      <c r="AQ50" s="269"/>
      <c r="AR50" s="269"/>
      <c r="AS50" s="269"/>
      <c r="AT50" s="294"/>
    </row>
    <row r="51" spans="1:46" ht="13" x14ac:dyDescent="0.2">
      <c r="A51" s="294"/>
      <c r="B51" s="925"/>
      <c r="C51" s="271">
        <v>44</v>
      </c>
      <c r="D51" s="250">
        <f>VLOOKUP($I51,TableInputsData[],$D$6,FALSE)</f>
        <v>1</v>
      </c>
      <c r="E51" s="250">
        <v>1</v>
      </c>
      <c r="F51" s="248" t="s">
        <v>392</v>
      </c>
      <c r="G51" s="250">
        <f>VLOOKUP(F51,TableInputsData[],$G$6,FALSE)</f>
        <v>2023</v>
      </c>
      <c r="H51" s="250" t="s">
        <v>588</v>
      </c>
      <c r="I51" s="248" t="s">
        <v>538</v>
      </c>
      <c r="J51" s="248" t="str">
        <f>VLOOKUP(I51,TableInputsData[],$J$6,FALSE)</f>
        <v>ABC</v>
      </c>
      <c r="K51" s="248" t="s">
        <v>261</v>
      </c>
      <c r="L51" s="499">
        <v>1000</v>
      </c>
      <c r="M51" s="499">
        <v>0</v>
      </c>
      <c r="N51" s="499">
        <v>0</v>
      </c>
      <c r="O51" s="264">
        <f t="shared" ref="O51:O58" si="73">$L51*$P51+$M51*$Q51+$N51*$R51</f>
        <v>1000</v>
      </c>
      <c r="P51" s="500">
        <v>1</v>
      </c>
      <c r="Q51" s="500">
        <v>0</v>
      </c>
      <c r="R51" s="259">
        <f>1-$P51-$Q51</f>
        <v>0</v>
      </c>
      <c r="S51" s="626">
        <v>500</v>
      </c>
      <c r="T51" s="626">
        <v>0</v>
      </c>
      <c r="U51" s="626">
        <v>0</v>
      </c>
      <c r="V51" s="628">
        <f>AI83</f>
        <v>0</v>
      </c>
      <c r="W51" s="500">
        <v>1</v>
      </c>
      <c r="X51" s="500">
        <v>1</v>
      </c>
      <c r="Y51" s="500">
        <v>1</v>
      </c>
      <c r="Z51" s="259">
        <f t="shared" ref="Z51:Z58" si="74">1-$W51</f>
        <v>0</v>
      </c>
      <c r="AA51" s="259">
        <f t="shared" ref="AA51:AA58" si="75">1-$X51</f>
        <v>0</v>
      </c>
      <c r="AB51" s="259">
        <f t="shared" ref="AB51:AB58" si="76">1-$Y51</f>
        <v>0</v>
      </c>
      <c r="AC51" s="628">
        <f>AM83</f>
        <v>0</v>
      </c>
      <c r="AD51" s="628">
        <f>AO83</f>
        <v>0</v>
      </c>
      <c r="AE51" s="501">
        <v>0</v>
      </c>
      <c r="AF51" s="501">
        <v>0</v>
      </c>
      <c r="AG51" s="501">
        <v>0</v>
      </c>
      <c r="AH51" s="501">
        <v>0</v>
      </c>
      <c r="AI51" s="264">
        <f t="shared" ref="AI51:AI54" si="77">$AE51+$AF51+$AG51+$AH51</f>
        <v>0</v>
      </c>
      <c r="AJ51" s="264">
        <f t="shared" ref="AJ51:AJ58" si="78">$AI51*$P51</f>
        <v>0</v>
      </c>
      <c r="AK51" s="264">
        <f t="shared" ref="AK51:AK58" si="79">$AI51*$Q51</f>
        <v>0</v>
      </c>
      <c r="AL51" s="264">
        <f t="shared" ref="AL51:AL58" si="80">$AI51*$R51</f>
        <v>0</v>
      </c>
      <c r="AM51" s="264">
        <f t="shared" ref="AM51:AM57" si="81">$AJ51*$W51+$AK51*$X51+$AL51*$Y51</f>
        <v>0</v>
      </c>
      <c r="AN51" s="640">
        <f>IF(AI51=0,0,AM51/AI51)</f>
        <v>0</v>
      </c>
      <c r="AO51" s="264">
        <f t="shared" ref="AO51:AO58" si="82">$AJ51*$Z51+$AK51*$AA51+$AL51*$AB51</f>
        <v>0</v>
      </c>
      <c r="AP51" s="640">
        <f t="shared" ref="AP51:AP66" si="83">IF(AI51=0,0,AO51/AI51)</f>
        <v>0</v>
      </c>
      <c r="AQ51" s="264" t="str">
        <f>VLOOKUP(I51,TableInputsData[],$AQ$6,FALSE)</f>
        <v>GAMME # : 1 + CANAL DE DISTRIBUTION # : 1</v>
      </c>
      <c r="AR51" s="264" t="str">
        <f>VLOOKUP($I51,TableInputsData[],ReadMe!$M$3,FALSE)&amp;"  |  "&amp;VLOOKUP($K51,TableInputsData[],ReadMe!$M$3,FALSE)</f>
        <v>PRODUIT 02  |  VOLUME</v>
      </c>
      <c r="AS51" s="264" t="b">
        <f t="shared" ref="AS51:AS58" si="84">AND(EXACT(ROUND(AI51,2),ROUND(AJ51+AK51+AL51,2)),EXACT(ROUND(AI51,2),ROUND(AM51+AO51,2)),EXACT(SUM(P51:R51),1),IF(R51&lt;0,FALSE,TRUE),EXACT(SUM(W51:AB51),3),MIN(W51:Y51)&gt;=0, MAX(W51:Y51)&lt;=1)</f>
        <v>1</v>
      </c>
      <c r="AT51" s="294"/>
    </row>
    <row r="52" spans="1:46" ht="13" x14ac:dyDescent="0.2">
      <c r="A52" s="294"/>
      <c r="B52" s="925"/>
      <c r="C52" s="271">
        <v>45</v>
      </c>
      <c r="D52" s="250">
        <f>D51</f>
        <v>1</v>
      </c>
      <c r="E52" s="250">
        <v>1</v>
      </c>
      <c r="F52" s="248" t="s">
        <v>391</v>
      </c>
      <c r="G52" s="250">
        <f>VLOOKUP(F52,TableInputsData[],$G$6,FALSE)</f>
        <v>2024</v>
      </c>
      <c r="H52" s="250" t="str">
        <f>H51</f>
        <v>PRODUCT</v>
      </c>
      <c r="I52" s="248" t="str">
        <f>I51</f>
        <v>PRODUCT 02</v>
      </c>
      <c r="J52" s="248" t="str">
        <f>VLOOKUP(I52,TableInputsData[],$J$6,FALSE)</f>
        <v>ABC</v>
      </c>
      <c r="K52" s="248" t="str">
        <f>K51</f>
        <v>VOLUME</v>
      </c>
      <c r="L52" s="499">
        <v>1000</v>
      </c>
      <c r="M52" s="499">
        <v>0</v>
      </c>
      <c r="N52" s="499">
        <v>0</v>
      </c>
      <c r="O52" s="264">
        <f t="shared" si="73"/>
        <v>1000</v>
      </c>
      <c r="P52" s="500">
        <v>1</v>
      </c>
      <c r="Q52" s="500">
        <v>0</v>
      </c>
      <c r="R52" s="259">
        <f t="shared" ref="R52:R58" si="85">1-$P52-$Q52</f>
        <v>0</v>
      </c>
      <c r="S52" s="626">
        <v>500</v>
      </c>
      <c r="T52" s="626">
        <v>0</v>
      </c>
      <c r="U52" s="626">
        <v>0</v>
      </c>
      <c r="V52" s="628">
        <f t="shared" ref="V52:V58" si="86">AI84</f>
        <v>0</v>
      </c>
      <c r="W52" s="500">
        <v>1</v>
      </c>
      <c r="X52" s="500">
        <v>1</v>
      </c>
      <c r="Y52" s="500">
        <v>1</v>
      </c>
      <c r="Z52" s="259">
        <f t="shared" si="74"/>
        <v>0</v>
      </c>
      <c r="AA52" s="259">
        <f t="shared" si="75"/>
        <v>0</v>
      </c>
      <c r="AB52" s="259">
        <f t="shared" si="76"/>
        <v>0</v>
      </c>
      <c r="AC52" s="628">
        <f t="shared" ref="AC52:AC58" si="87">AM84</f>
        <v>0</v>
      </c>
      <c r="AD52" s="628">
        <f t="shared" ref="AD52:AD58" si="88">AO84</f>
        <v>0</v>
      </c>
      <c r="AE52" s="501">
        <v>0</v>
      </c>
      <c r="AF52" s="501">
        <v>0</v>
      </c>
      <c r="AG52" s="501">
        <v>0</v>
      </c>
      <c r="AH52" s="501">
        <v>0</v>
      </c>
      <c r="AI52" s="264">
        <f t="shared" si="77"/>
        <v>0</v>
      </c>
      <c r="AJ52" s="264">
        <f t="shared" si="78"/>
        <v>0</v>
      </c>
      <c r="AK52" s="264">
        <f t="shared" si="79"/>
        <v>0</v>
      </c>
      <c r="AL52" s="264">
        <f t="shared" si="80"/>
        <v>0</v>
      </c>
      <c r="AM52" s="264">
        <f t="shared" si="81"/>
        <v>0</v>
      </c>
      <c r="AN52" s="640">
        <f t="shared" ref="AN52:AN66" si="89">IF(AI52=0,0,AM52/AI52)</f>
        <v>0</v>
      </c>
      <c r="AO52" s="264">
        <f t="shared" si="82"/>
        <v>0</v>
      </c>
      <c r="AP52" s="640">
        <f t="shared" si="83"/>
        <v>0</v>
      </c>
      <c r="AQ52" s="501"/>
      <c r="AR52" s="264" t="str">
        <f>VLOOKUP($I52,TableInputsData[],ReadMe!$M$3,FALSE)&amp;"  |  "&amp;VLOOKUP($K52,TableInputsData[],ReadMe!$M$3,FALSE)</f>
        <v>PRODUIT 02  |  VOLUME</v>
      </c>
      <c r="AS52" s="264" t="b">
        <f t="shared" si="84"/>
        <v>1</v>
      </c>
      <c r="AT52" s="294"/>
    </row>
    <row r="53" spans="1:46" ht="13" x14ac:dyDescent="0.2">
      <c r="A53" s="294"/>
      <c r="B53" s="925"/>
      <c r="C53" s="271">
        <v>46</v>
      </c>
      <c r="D53" s="250">
        <f t="shared" ref="D53:D90" si="90">D52</f>
        <v>1</v>
      </c>
      <c r="E53" s="250">
        <v>1</v>
      </c>
      <c r="F53" s="248" t="s">
        <v>393</v>
      </c>
      <c r="G53" s="250">
        <f>VLOOKUP(F53,TableInputsData[],$G$6,FALSE)</f>
        <v>2025</v>
      </c>
      <c r="H53" s="250" t="str">
        <f t="shared" ref="H53:I90" si="91">H52</f>
        <v>PRODUCT</v>
      </c>
      <c r="I53" s="248" t="str">
        <f t="shared" si="91"/>
        <v>PRODUCT 02</v>
      </c>
      <c r="J53" s="248" t="str">
        <f>VLOOKUP(I53,TableInputsData[],$J$6,FALSE)</f>
        <v>ABC</v>
      </c>
      <c r="K53" s="248" t="str">
        <f t="shared" ref="K53:K58" si="92">K52</f>
        <v>VOLUME</v>
      </c>
      <c r="L53" s="499">
        <v>1000</v>
      </c>
      <c r="M53" s="499">
        <v>0</v>
      </c>
      <c r="N53" s="499">
        <v>0</v>
      </c>
      <c r="O53" s="264">
        <f t="shared" si="73"/>
        <v>1000</v>
      </c>
      <c r="P53" s="500">
        <v>1</v>
      </c>
      <c r="Q53" s="500">
        <v>0</v>
      </c>
      <c r="R53" s="259">
        <f t="shared" si="85"/>
        <v>0</v>
      </c>
      <c r="S53" s="626">
        <v>500</v>
      </c>
      <c r="T53" s="626">
        <v>0</v>
      </c>
      <c r="U53" s="626">
        <v>0</v>
      </c>
      <c r="V53" s="628">
        <f t="shared" si="86"/>
        <v>0</v>
      </c>
      <c r="W53" s="500">
        <v>1</v>
      </c>
      <c r="X53" s="500">
        <v>1</v>
      </c>
      <c r="Y53" s="500">
        <v>1</v>
      </c>
      <c r="Z53" s="259">
        <f t="shared" si="74"/>
        <v>0</v>
      </c>
      <c r="AA53" s="259">
        <f t="shared" si="75"/>
        <v>0</v>
      </c>
      <c r="AB53" s="259">
        <f t="shared" si="76"/>
        <v>0</v>
      </c>
      <c r="AC53" s="628">
        <f t="shared" si="87"/>
        <v>0</v>
      </c>
      <c r="AD53" s="628">
        <f t="shared" si="88"/>
        <v>0</v>
      </c>
      <c r="AE53" s="501">
        <v>0</v>
      </c>
      <c r="AF53" s="501">
        <v>0</v>
      </c>
      <c r="AG53" s="501">
        <v>0</v>
      </c>
      <c r="AH53" s="501">
        <v>0</v>
      </c>
      <c r="AI53" s="264">
        <f t="shared" si="77"/>
        <v>0</v>
      </c>
      <c r="AJ53" s="264">
        <f t="shared" si="78"/>
        <v>0</v>
      </c>
      <c r="AK53" s="264">
        <f t="shared" si="79"/>
        <v>0</v>
      </c>
      <c r="AL53" s="264">
        <f t="shared" si="80"/>
        <v>0</v>
      </c>
      <c r="AM53" s="264">
        <f t="shared" si="81"/>
        <v>0</v>
      </c>
      <c r="AN53" s="640">
        <f t="shared" si="89"/>
        <v>0</v>
      </c>
      <c r="AO53" s="264">
        <f t="shared" si="82"/>
        <v>0</v>
      </c>
      <c r="AP53" s="640">
        <f t="shared" si="83"/>
        <v>0</v>
      </c>
      <c r="AQ53" s="501"/>
      <c r="AR53" s="264" t="str">
        <f>VLOOKUP($I53,TableInputsData[],ReadMe!$M$3,FALSE)&amp;"  |  "&amp;VLOOKUP($K53,TableInputsData[],ReadMe!$M$3,FALSE)</f>
        <v>PRODUIT 02  |  VOLUME</v>
      </c>
      <c r="AS53" s="264" t="b">
        <f t="shared" si="84"/>
        <v>1</v>
      </c>
      <c r="AT53" s="294"/>
    </row>
    <row r="54" spans="1:46" ht="13" x14ac:dyDescent="0.2">
      <c r="A54" s="294"/>
      <c r="B54" s="925"/>
      <c r="C54" s="271">
        <v>47</v>
      </c>
      <c r="D54" s="250">
        <f t="shared" si="90"/>
        <v>1</v>
      </c>
      <c r="E54" s="250">
        <v>1</v>
      </c>
      <c r="F54" s="248" t="s">
        <v>396</v>
      </c>
      <c r="G54" s="250">
        <f>VLOOKUP(F54,TableInputsData[],$G$6,FALSE)</f>
        <v>2026</v>
      </c>
      <c r="H54" s="250" t="str">
        <f t="shared" si="91"/>
        <v>PRODUCT</v>
      </c>
      <c r="I54" s="248" t="str">
        <f t="shared" si="91"/>
        <v>PRODUCT 02</v>
      </c>
      <c r="J54" s="248" t="str">
        <f>VLOOKUP(I54,TableInputsData[],$J$6,FALSE)</f>
        <v>ABC</v>
      </c>
      <c r="K54" s="248" t="str">
        <f t="shared" si="92"/>
        <v>VOLUME</v>
      </c>
      <c r="L54" s="499">
        <v>1000</v>
      </c>
      <c r="M54" s="499">
        <v>0</v>
      </c>
      <c r="N54" s="499">
        <v>0</v>
      </c>
      <c r="O54" s="264">
        <f t="shared" si="73"/>
        <v>1000</v>
      </c>
      <c r="P54" s="500">
        <v>1</v>
      </c>
      <c r="Q54" s="500">
        <v>0</v>
      </c>
      <c r="R54" s="259">
        <f t="shared" si="85"/>
        <v>0</v>
      </c>
      <c r="S54" s="626">
        <v>500</v>
      </c>
      <c r="T54" s="626">
        <v>0</v>
      </c>
      <c r="U54" s="626">
        <v>0</v>
      </c>
      <c r="V54" s="628">
        <f t="shared" si="86"/>
        <v>0</v>
      </c>
      <c r="W54" s="500">
        <v>1</v>
      </c>
      <c r="X54" s="500">
        <v>1</v>
      </c>
      <c r="Y54" s="500">
        <v>1</v>
      </c>
      <c r="Z54" s="259">
        <f t="shared" si="74"/>
        <v>0</v>
      </c>
      <c r="AA54" s="259">
        <f t="shared" si="75"/>
        <v>0</v>
      </c>
      <c r="AB54" s="259">
        <f t="shared" si="76"/>
        <v>0</v>
      </c>
      <c r="AC54" s="628">
        <f t="shared" si="87"/>
        <v>0</v>
      </c>
      <c r="AD54" s="628">
        <f t="shared" si="88"/>
        <v>0</v>
      </c>
      <c r="AE54" s="501">
        <v>0</v>
      </c>
      <c r="AF54" s="501">
        <v>0</v>
      </c>
      <c r="AG54" s="501">
        <v>0</v>
      </c>
      <c r="AH54" s="501">
        <v>0</v>
      </c>
      <c r="AI54" s="264">
        <f t="shared" si="77"/>
        <v>0</v>
      </c>
      <c r="AJ54" s="264">
        <f t="shared" si="78"/>
        <v>0</v>
      </c>
      <c r="AK54" s="264">
        <f t="shared" si="79"/>
        <v>0</v>
      </c>
      <c r="AL54" s="264">
        <f t="shared" si="80"/>
        <v>0</v>
      </c>
      <c r="AM54" s="264">
        <f t="shared" si="81"/>
        <v>0</v>
      </c>
      <c r="AN54" s="640">
        <f t="shared" si="89"/>
        <v>0</v>
      </c>
      <c r="AO54" s="264">
        <f t="shared" si="82"/>
        <v>0</v>
      </c>
      <c r="AP54" s="640">
        <f t="shared" si="83"/>
        <v>0</v>
      </c>
      <c r="AQ54" s="501"/>
      <c r="AR54" s="264" t="str">
        <f>VLOOKUP($I54,TableInputsData[],ReadMe!$M$3,FALSE)&amp;"  |  "&amp;VLOOKUP($K54,TableInputsData[],ReadMe!$M$3,FALSE)</f>
        <v>PRODUIT 02  |  VOLUME</v>
      </c>
      <c r="AS54" s="264" t="b">
        <f t="shared" si="84"/>
        <v>1</v>
      </c>
      <c r="AT54" s="294"/>
    </row>
    <row r="55" spans="1:46" ht="13" x14ac:dyDescent="0.2">
      <c r="A55" s="294"/>
      <c r="B55" s="925"/>
      <c r="C55" s="271">
        <v>48</v>
      </c>
      <c r="D55" s="250">
        <f t="shared" si="90"/>
        <v>1</v>
      </c>
      <c r="E55" s="250">
        <v>1</v>
      </c>
      <c r="F55" s="248" t="s">
        <v>397</v>
      </c>
      <c r="G55" s="250">
        <f>VLOOKUP(F55,TableInputsData[],$G$6,FALSE)</f>
        <v>2027</v>
      </c>
      <c r="H55" s="250" t="str">
        <f t="shared" si="91"/>
        <v>PRODUCT</v>
      </c>
      <c r="I55" s="248" t="str">
        <f t="shared" si="91"/>
        <v>PRODUCT 02</v>
      </c>
      <c r="J55" s="248" t="str">
        <f>VLOOKUP(I55,TableInputsData[],$J$6,FALSE)</f>
        <v>ABC</v>
      </c>
      <c r="K55" s="248" t="str">
        <f t="shared" si="92"/>
        <v>VOLUME</v>
      </c>
      <c r="L55" s="499">
        <v>1000</v>
      </c>
      <c r="M55" s="499">
        <v>0</v>
      </c>
      <c r="N55" s="499">
        <v>0</v>
      </c>
      <c r="O55" s="264">
        <f t="shared" si="73"/>
        <v>1000</v>
      </c>
      <c r="P55" s="500">
        <v>1</v>
      </c>
      <c r="Q55" s="500">
        <v>0</v>
      </c>
      <c r="R55" s="259">
        <f t="shared" si="85"/>
        <v>0</v>
      </c>
      <c r="S55" s="626">
        <v>500</v>
      </c>
      <c r="T55" s="626">
        <v>0</v>
      </c>
      <c r="U55" s="626">
        <v>0</v>
      </c>
      <c r="V55" s="628">
        <f t="shared" si="86"/>
        <v>0</v>
      </c>
      <c r="W55" s="500">
        <v>1</v>
      </c>
      <c r="X55" s="500">
        <v>1</v>
      </c>
      <c r="Y55" s="500">
        <v>1</v>
      </c>
      <c r="Z55" s="259">
        <f t="shared" si="74"/>
        <v>0</v>
      </c>
      <c r="AA55" s="259">
        <f t="shared" si="75"/>
        <v>0</v>
      </c>
      <c r="AB55" s="259">
        <f t="shared" si="76"/>
        <v>0</v>
      </c>
      <c r="AC55" s="628">
        <f t="shared" si="87"/>
        <v>0</v>
      </c>
      <c r="AD55" s="628">
        <f t="shared" si="88"/>
        <v>0</v>
      </c>
      <c r="AE55" s="264">
        <f>$AI55/4</f>
        <v>0</v>
      </c>
      <c r="AF55" s="264">
        <f t="shared" ref="AF55:AH58" si="93">$AI55/4</f>
        <v>0</v>
      </c>
      <c r="AG55" s="264">
        <f t="shared" si="93"/>
        <v>0</v>
      </c>
      <c r="AH55" s="264">
        <f t="shared" si="93"/>
        <v>0</v>
      </c>
      <c r="AI55" s="501">
        <v>0</v>
      </c>
      <c r="AJ55" s="264">
        <f t="shared" si="78"/>
        <v>0</v>
      </c>
      <c r="AK55" s="264">
        <f t="shared" si="79"/>
        <v>0</v>
      </c>
      <c r="AL55" s="264">
        <f t="shared" si="80"/>
        <v>0</v>
      </c>
      <c r="AM55" s="264">
        <f t="shared" si="81"/>
        <v>0</v>
      </c>
      <c r="AN55" s="640">
        <f t="shared" si="89"/>
        <v>0</v>
      </c>
      <c r="AO55" s="264">
        <f t="shared" si="82"/>
        <v>0</v>
      </c>
      <c r="AP55" s="640">
        <f t="shared" si="83"/>
        <v>0</v>
      </c>
      <c r="AQ55" s="501"/>
      <c r="AR55" s="264" t="str">
        <f>VLOOKUP($I55,TableInputsData[],ReadMe!$M$3,FALSE)&amp;"  |  "&amp;VLOOKUP($K55,TableInputsData[],ReadMe!$M$3,FALSE)</f>
        <v>PRODUIT 02  |  VOLUME</v>
      </c>
      <c r="AS55" s="264" t="b">
        <f t="shared" si="84"/>
        <v>1</v>
      </c>
      <c r="AT55" s="294"/>
    </row>
    <row r="56" spans="1:46" ht="13" x14ac:dyDescent="0.2">
      <c r="A56" s="294"/>
      <c r="B56" s="925"/>
      <c r="C56" s="271">
        <v>49</v>
      </c>
      <c r="D56" s="250">
        <f t="shared" si="90"/>
        <v>1</v>
      </c>
      <c r="E56" s="250">
        <v>1</v>
      </c>
      <c r="F56" s="248" t="s">
        <v>398</v>
      </c>
      <c r="G56" s="250">
        <f>VLOOKUP(F56,TableInputsData[],$G$6,FALSE)</f>
        <v>2028</v>
      </c>
      <c r="H56" s="250" t="str">
        <f t="shared" si="91"/>
        <v>PRODUCT</v>
      </c>
      <c r="I56" s="248" t="str">
        <f t="shared" si="91"/>
        <v>PRODUCT 02</v>
      </c>
      <c r="J56" s="248" t="str">
        <f>VLOOKUP(I56,TableInputsData[],$J$6,FALSE)</f>
        <v>ABC</v>
      </c>
      <c r="K56" s="248" t="str">
        <f t="shared" si="92"/>
        <v>VOLUME</v>
      </c>
      <c r="L56" s="499">
        <v>1000</v>
      </c>
      <c r="M56" s="499">
        <v>0</v>
      </c>
      <c r="N56" s="499">
        <v>0</v>
      </c>
      <c r="O56" s="264">
        <f t="shared" si="73"/>
        <v>1000</v>
      </c>
      <c r="P56" s="500">
        <v>1</v>
      </c>
      <c r="Q56" s="500">
        <v>0</v>
      </c>
      <c r="R56" s="259">
        <f t="shared" si="85"/>
        <v>0</v>
      </c>
      <c r="S56" s="626">
        <v>500</v>
      </c>
      <c r="T56" s="626">
        <v>0</v>
      </c>
      <c r="U56" s="626">
        <v>0</v>
      </c>
      <c r="V56" s="628">
        <f t="shared" si="86"/>
        <v>0</v>
      </c>
      <c r="W56" s="500">
        <v>1</v>
      </c>
      <c r="X56" s="500">
        <v>1</v>
      </c>
      <c r="Y56" s="500">
        <v>1</v>
      </c>
      <c r="Z56" s="259">
        <f t="shared" si="74"/>
        <v>0</v>
      </c>
      <c r="AA56" s="259">
        <f t="shared" si="75"/>
        <v>0</v>
      </c>
      <c r="AB56" s="259">
        <f t="shared" si="76"/>
        <v>0</v>
      </c>
      <c r="AC56" s="628">
        <f t="shared" si="87"/>
        <v>0</v>
      </c>
      <c r="AD56" s="628">
        <f t="shared" si="88"/>
        <v>0</v>
      </c>
      <c r="AE56" s="264">
        <f t="shared" ref="AE56:AE58" si="94">$AI56/4</f>
        <v>0</v>
      </c>
      <c r="AF56" s="264">
        <f t="shared" si="93"/>
        <v>0</v>
      </c>
      <c r="AG56" s="264">
        <f t="shared" si="93"/>
        <v>0</v>
      </c>
      <c r="AH56" s="264">
        <f t="shared" si="93"/>
        <v>0</v>
      </c>
      <c r="AI56" s="501">
        <v>0</v>
      </c>
      <c r="AJ56" s="264">
        <f t="shared" si="78"/>
        <v>0</v>
      </c>
      <c r="AK56" s="264">
        <f t="shared" si="79"/>
        <v>0</v>
      </c>
      <c r="AL56" s="264">
        <f t="shared" si="80"/>
        <v>0</v>
      </c>
      <c r="AM56" s="264">
        <f t="shared" si="81"/>
        <v>0</v>
      </c>
      <c r="AN56" s="640">
        <f t="shared" si="89"/>
        <v>0</v>
      </c>
      <c r="AO56" s="264">
        <f t="shared" si="82"/>
        <v>0</v>
      </c>
      <c r="AP56" s="640">
        <f t="shared" si="83"/>
        <v>0</v>
      </c>
      <c r="AQ56" s="501"/>
      <c r="AR56" s="264" t="str">
        <f>VLOOKUP($I56,TableInputsData[],ReadMe!$M$3,FALSE)&amp;"  |  "&amp;VLOOKUP($K56,TableInputsData[],ReadMe!$M$3,FALSE)</f>
        <v>PRODUIT 02  |  VOLUME</v>
      </c>
      <c r="AS56" s="264" t="b">
        <f t="shared" si="84"/>
        <v>1</v>
      </c>
      <c r="AT56" s="294"/>
    </row>
    <row r="57" spans="1:46" ht="13" x14ac:dyDescent="0.2">
      <c r="A57" s="294"/>
      <c r="B57" s="925"/>
      <c r="C57" s="271">
        <v>50</v>
      </c>
      <c r="D57" s="250">
        <f t="shared" si="90"/>
        <v>1</v>
      </c>
      <c r="E57" s="250">
        <v>1</v>
      </c>
      <c r="F57" s="248" t="s">
        <v>399</v>
      </c>
      <c r="G57" s="250">
        <f>VLOOKUP(F57,TableInputsData[],$G$6,FALSE)</f>
        <v>2029</v>
      </c>
      <c r="H57" s="250" t="str">
        <f t="shared" si="91"/>
        <v>PRODUCT</v>
      </c>
      <c r="I57" s="248" t="str">
        <f t="shared" si="91"/>
        <v>PRODUCT 02</v>
      </c>
      <c r="J57" s="248" t="str">
        <f>VLOOKUP(I57,TableInputsData[],$J$6,FALSE)</f>
        <v>ABC</v>
      </c>
      <c r="K57" s="248" t="str">
        <f t="shared" si="92"/>
        <v>VOLUME</v>
      </c>
      <c r="L57" s="499">
        <v>1000</v>
      </c>
      <c r="M57" s="499">
        <v>0</v>
      </c>
      <c r="N57" s="499">
        <v>0</v>
      </c>
      <c r="O57" s="264">
        <f t="shared" si="73"/>
        <v>1000</v>
      </c>
      <c r="P57" s="500">
        <v>1</v>
      </c>
      <c r="Q57" s="500">
        <v>0</v>
      </c>
      <c r="R57" s="259">
        <f t="shared" si="85"/>
        <v>0</v>
      </c>
      <c r="S57" s="626">
        <v>500</v>
      </c>
      <c r="T57" s="626">
        <v>0</v>
      </c>
      <c r="U57" s="626">
        <v>0</v>
      </c>
      <c r="V57" s="628">
        <f t="shared" si="86"/>
        <v>0</v>
      </c>
      <c r="W57" s="500">
        <v>1</v>
      </c>
      <c r="X57" s="500">
        <v>1</v>
      </c>
      <c r="Y57" s="500">
        <v>1</v>
      </c>
      <c r="Z57" s="259">
        <f t="shared" si="74"/>
        <v>0</v>
      </c>
      <c r="AA57" s="259">
        <f t="shared" si="75"/>
        <v>0</v>
      </c>
      <c r="AB57" s="259">
        <f t="shared" si="76"/>
        <v>0</v>
      </c>
      <c r="AC57" s="628">
        <f t="shared" si="87"/>
        <v>0</v>
      </c>
      <c r="AD57" s="628">
        <f t="shared" si="88"/>
        <v>0</v>
      </c>
      <c r="AE57" s="264">
        <f t="shared" si="94"/>
        <v>0</v>
      </c>
      <c r="AF57" s="264">
        <f t="shared" si="93"/>
        <v>0</v>
      </c>
      <c r="AG57" s="264">
        <f t="shared" si="93"/>
        <v>0</v>
      </c>
      <c r="AH57" s="264">
        <f t="shared" si="93"/>
        <v>0</v>
      </c>
      <c r="AI57" s="501">
        <v>0</v>
      </c>
      <c r="AJ57" s="264">
        <f t="shared" si="78"/>
        <v>0</v>
      </c>
      <c r="AK57" s="264">
        <f t="shared" si="79"/>
        <v>0</v>
      </c>
      <c r="AL57" s="264">
        <f t="shared" si="80"/>
        <v>0</v>
      </c>
      <c r="AM57" s="264">
        <f t="shared" si="81"/>
        <v>0</v>
      </c>
      <c r="AN57" s="640">
        <f t="shared" si="89"/>
        <v>0</v>
      </c>
      <c r="AO57" s="264">
        <f t="shared" si="82"/>
        <v>0</v>
      </c>
      <c r="AP57" s="640">
        <f t="shared" si="83"/>
        <v>0</v>
      </c>
      <c r="AQ57" s="501"/>
      <c r="AR57" s="264" t="str">
        <f>VLOOKUP($I57,TableInputsData[],ReadMe!$M$3,FALSE)&amp;"  |  "&amp;VLOOKUP($K57,TableInputsData[],ReadMe!$M$3,FALSE)</f>
        <v>PRODUIT 02  |  VOLUME</v>
      </c>
      <c r="AS57" s="264" t="b">
        <f t="shared" si="84"/>
        <v>1</v>
      </c>
      <c r="AT57" s="294"/>
    </row>
    <row r="58" spans="1:46" ht="13" x14ac:dyDescent="0.2">
      <c r="A58" s="294"/>
      <c r="B58" s="925"/>
      <c r="C58" s="271">
        <v>51</v>
      </c>
      <c r="D58" s="250">
        <f t="shared" si="90"/>
        <v>1</v>
      </c>
      <c r="E58" s="250">
        <v>1</v>
      </c>
      <c r="F58" s="248" t="s">
        <v>400</v>
      </c>
      <c r="G58" s="250">
        <f>VLOOKUP(F58,TableInputsData[],$G$6,FALSE)</f>
        <v>2030</v>
      </c>
      <c r="H58" s="250" t="str">
        <f t="shared" si="91"/>
        <v>PRODUCT</v>
      </c>
      <c r="I58" s="248" t="str">
        <f t="shared" si="91"/>
        <v>PRODUCT 02</v>
      </c>
      <c r="J58" s="248" t="str">
        <f>VLOOKUP(I58,TableInputsData[],$J$6,FALSE)</f>
        <v>ABC</v>
      </c>
      <c r="K58" s="248" t="str">
        <f t="shared" si="92"/>
        <v>VOLUME</v>
      </c>
      <c r="L58" s="499">
        <v>1000</v>
      </c>
      <c r="M58" s="499">
        <v>0</v>
      </c>
      <c r="N58" s="499">
        <v>0</v>
      </c>
      <c r="O58" s="264">
        <f t="shared" si="73"/>
        <v>1000</v>
      </c>
      <c r="P58" s="500">
        <v>1</v>
      </c>
      <c r="Q58" s="500">
        <v>0</v>
      </c>
      <c r="R58" s="259">
        <f t="shared" si="85"/>
        <v>0</v>
      </c>
      <c r="S58" s="626">
        <v>500</v>
      </c>
      <c r="T58" s="626">
        <v>0</v>
      </c>
      <c r="U58" s="626">
        <v>0</v>
      </c>
      <c r="V58" s="628">
        <f t="shared" si="86"/>
        <v>0</v>
      </c>
      <c r="W58" s="500">
        <v>1</v>
      </c>
      <c r="X58" s="500">
        <v>1</v>
      </c>
      <c r="Y58" s="500">
        <v>1</v>
      </c>
      <c r="Z58" s="259">
        <f t="shared" si="74"/>
        <v>0</v>
      </c>
      <c r="AA58" s="259">
        <f t="shared" si="75"/>
        <v>0</v>
      </c>
      <c r="AB58" s="259">
        <f t="shared" si="76"/>
        <v>0</v>
      </c>
      <c r="AC58" s="628">
        <f t="shared" si="87"/>
        <v>0</v>
      </c>
      <c r="AD58" s="628">
        <f t="shared" si="88"/>
        <v>0</v>
      </c>
      <c r="AE58" s="264">
        <f t="shared" si="94"/>
        <v>0</v>
      </c>
      <c r="AF58" s="264">
        <f t="shared" si="93"/>
        <v>0</v>
      </c>
      <c r="AG58" s="264">
        <f t="shared" si="93"/>
        <v>0</v>
      </c>
      <c r="AH58" s="264">
        <f t="shared" si="93"/>
        <v>0</v>
      </c>
      <c r="AI58" s="501">
        <v>0</v>
      </c>
      <c r="AJ58" s="264">
        <f t="shared" si="78"/>
        <v>0</v>
      </c>
      <c r="AK58" s="264">
        <f t="shared" si="79"/>
        <v>0</v>
      </c>
      <c r="AL58" s="264">
        <f t="shared" si="80"/>
        <v>0</v>
      </c>
      <c r="AM58" s="264">
        <f>$AJ58*$W58+$AK58*$X58+$AL58*$Y58</f>
        <v>0</v>
      </c>
      <c r="AN58" s="640">
        <f t="shared" si="89"/>
        <v>0</v>
      </c>
      <c r="AO58" s="264">
        <f t="shared" si="82"/>
        <v>0</v>
      </c>
      <c r="AP58" s="640">
        <f t="shared" si="83"/>
        <v>0</v>
      </c>
      <c r="AQ58" s="501"/>
      <c r="AR58" s="264" t="str">
        <f>VLOOKUP($I58,TableInputsData[],ReadMe!$M$3,FALSE)&amp;"  |  "&amp;VLOOKUP($K58,TableInputsData[],ReadMe!$M$3,FALSE)</f>
        <v>PRODUIT 02  |  VOLUME</v>
      </c>
      <c r="AS58" s="264" t="b">
        <f t="shared" si="84"/>
        <v>1</v>
      </c>
      <c r="AT58" s="294"/>
    </row>
    <row r="59" spans="1:46" ht="13" hidden="1" x14ac:dyDescent="0.2">
      <c r="A59" s="294"/>
      <c r="B59" s="925"/>
      <c r="C59" s="272">
        <v>52</v>
      </c>
      <c r="D59" s="250">
        <f t="shared" si="90"/>
        <v>1</v>
      </c>
      <c r="E59" s="251"/>
      <c r="F59" s="248" t="str">
        <f t="shared" ref="F59:F66" si="95">F67</f>
        <v>YEAR-2</v>
      </c>
      <c r="G59" s="250">
        <f>VLOOKUP(F59,TableInputsData[],$G$6,FALSE)</f>
        <v>2023</v>
      </c>
      <c r="H59" s="250" t="str">
        <f t="shared" si="91"/>
        <v>PRODUCT</v>
      </c>
      <c r="I59" s="248" t="str">
        <f t="shared" si="91"/>
        <v>PRODUCT 02</v>
      </c>
      <c r="J59" s="248" t="str">
        <f>VLOOKUP(I59,TableInputsData[],$J$6,FALSE)</f>
        <v>ABC</v>
      </c>
      <c r="K59" s="248" t="s">
        <v>457</v>
      </c>
      <c r="L59" s="256"/>
      <c r="M59" s="256"/>
      <c r="N59" s="256"/>
      <c r="O59" s="266"/>
      <c r="P59" s="261"/>
      <c r="Q59" s="261"/>
      <c r="R59" s="261"/>
      <c r="S59" s="629"/>
      <c r="T59" s="629"/>
      <c r="U59" s="629"/>
      <c r="V59" s="629"/>
      <c r="W59" s="261"/>
      <c r="X59" s="261"/>
      <c r="Y59" s="261"/>
      <c r="Z59" s="261"/>
      <c r="AA59" s="261"/>
      <c r="AB59" s="261"/>
      <c r="AC59" s="266"/>
      <c r="AD59" s="633"/>
      <c r="AE59" s="264">
        <f>AE51*($L51*$P51+$M51*$Q51+$N51*$R51)</f>
        <v>0</v>
      </c>
      <c r="AF59" s="264">
        <f t="shared" ref="AF59:AH59" si="96">AF51*($L51*$P51+$M51*$Q51+$N51*$R51)</f>
        <v>0</v>
      </c>
      <c r="AG59" s="264">
        <f t="shared" si="96"/>
        <v>0</v>
      </c>
      <c r="AH59" s="264">
        <f t="shared" si="96"/>
        <v>0</v>
      </c>
      <c r="AI59" s="264">
        <f>$AE59+$AF59+$AG59+$AH59</f>
        <v>0</v>
      </c>
      <c r="AJ59" s="264">
        <f t="shared" ref="AJ59:AJ66" si="97">$AJ51*$L51</f>
        <v>0</v>
      </c>
      <c r="AK59" s="264">
        <f t="shared" ref="AK59:AK66" si="98">$AK51*$M51</f>
        <v>0</v>
      </c>
      <c r="AL59" s="264">
        <f t="shared" ref="AL59:AL66" si="99">$AL51*$N51</f>
        <v>0</v>
      </c>
      <c r="AM59" s="264">
        <f t="shared" ref="AM59:AM66" si="100">$AJ59*$W51+$AK59*$X51+$AL59*$Y51</f>
        <v>0</v>
      </c>
      <c r="AN59" s="640">
        <f t="shared" si="89"/>
        <v>0</v>
      </c>
      <c r="AO59" s="264">
        <f t="shared" ref="AO59:AO66" si="101">$AJ59*$Z51+$AK59*$AA51+$AL59*$AB51</f>
        <v>0</v>
      </c>
      <c r="AP59" s="640">
        <f t="shared" si="83"/>
        <v>0</v>
      </c>
      <c r="AQ59" s="264"/>
      <c r="AR59" s="264" t="str">
        <f>VLOOKUP($I59,TableInputsData[],ReadMe!$M$3,FALSE)&amp;"  |  "&amp;VLOOKUP($K59,TableInputsData[],ReadMe!$M$3,FALSE)</f>
        <v>PRODUIT 02  |  CHIFFRE D'AFFAIRES</v>
      </c>
      <c r="AS59" s="264" t="b">
        <f t="shared" ref="AS59:AS66" si="102">AND(EXACT(ROUND(AI59,2),ROUND(AJ59+AK59+AL59,2)),EXACT(ROUND(AI59,2),ROUND(AM59+AO59,2)))</f>
        <v>1</v>
      </c>
      <c r="AT59" s="294"/>
    </row>
    <row r="60" spans="1:46" ht="13" hidden="1" x14ac:dyDescent="0.2">
      <c r="A60" s="294"/>
      <c r="B60" s="925"/>
      <c r="C60" s="271">
        <v>53</v>
      </c>
      <c r="D60" s="250">
        <f t="shared" si="90"/>
        <v>1</v>
      </c>
      <c r="E60" s="250"/>
      <c r="F60" s="248" t="str">
        <f t="shared" si="95"/>
        <v>YEAR-1</v>
      </c>
      <c r="G60" s="250">
        <f>VLOOKUP(F60,TableInputsData[],$G$6,FALSE)</f>
        <v>2024</v>
      </c>
      <c r="H60" s="250" t="str">
        <f t="shared" si="91"/>
        <v>PRODUCT</v>
      </c>
      <c r="I60" s="248" t="str">
        <f t="shared" si="91"/>
        <v>PRODUCT 02</v>
      </c>
      <c r="J60" s="248" t="str">
        <f>VLOOKUP(I60,TableInputsData[],$J$6,FALSE)</f>
        <v>ABC</v>
      </c>
      <c r="K60" s="248" t="str">
        <f>K59</f>
        <v>REVENUE</v>
      </c>
      <c r="L60" s="255"/>
      <c r="M60" s="255"/>
      <c r="N60" s="255"/>
      <c r="O60" s="265"/>
      <c r="P60" s="260"/>
      <c r="Q60" s="260"/>
      <c r="R60" s="260"/>
      <c r="S60" s="629"/>
      <c r="T60" s="629"/>
      <c r="U60" s="629"/>
      <c r="V60" s="630"/>
      <c r="W60" s="260"/>
      <c r="X60" s="260"/>
      <c r="Y60" s="260"/>
      <c r="Z60" s="260"/>
      <c r="AA60" s="260"/>
      <c r="AB60" s="260"/>
      <c r="AC60" s="265"/>
      <c r="AD60" s="634"/>
      <c r="AE60" s="264">
        <f t="shared" ref="AE60:AH60" si="103">AE52*($L52*$P52+$M52*$Q52+$N52*$R52)</f>
        <v>0</v>
      </c>
      <c r="AF60" s="264">
        <f t="shared" si="103"/>
        <v>0</v>
      </c>
      <c r="AG60" s="264">
        <f t="shared" si="103"/>
        <v>0</v>
      </c>
      <c r="AH60" s="264">
        <f t="shared" si="103"/>
        <v>0</v>
      </c>
      <c r="AI60" s="264">
        <f t="shared" ref="AI60:AI65" si="104">$AE60+$AF60+$AG60+$AH60</f>
        <v>0</v>
      </c>
      <c r="AJ60" s="264">
        <f t="shared" si="97"/>
        <v>0</v>
      </c>
      <c r="AK60" s="264">
        <f t="shared" si="98"/>
        <v>0</v>
      </c>
      <c r="AL60" s="264">
        <f t="shared" si="99"/>
        <v>0</v>
      </c>
      <c r="AM60" s="264">
        <f t="shared" si="100"/>
        <v>0</v>
      </c>
      <c r="AN60" s="640">
        <f t="shared" si="89"/>
        <v>0</v>
      </c>
      <c r="AO60" s="264">
        <f t="shared" si="101"/>
        <v>0</v>
      </c>
      <c r="AP60" s="640">
        <f t="shared" si="83"/>
        <v>0</v>
      </c>
      <c r="AQ60" s="264"/>
      <c r="AR60" s="264" t="str">
        <f>VLOOKUP($I60,TableInputsData[],ReadMe!$M$3,FALSE)&amp;"  |  "&amp;VLOOKUP($K60,TableInputsData[],ReadMe!$M$3,FALSE)</f>
        <v>PRODUIT 02  |  CHIFFRE D'AFFAIRES</v>
      </c>
      <c r="AS60" s="264" t="b">
        <f t="shared" si="102"/>
        <v>1</v>
      </c>
      <c r="AT60" s="294"/>
    </row>
    <row r="61" spans="1:46" ht="13" hidden="1" x14ac:dyDescent="0.2">
      <c r="A61" s="294"/>
      <c r="B61" s="925"/>
      <c r="C61" s="271">
        <v>54</v>
      </c>
      <c r="D61" s="250">
        <f t="shared" si="90"/>
        <v>1</v>
      </c>
      <c r="E61" s="250"/>
      <c r="F61" s="248" t="str">
        <f t="shared" si="95"/>
        <v>CURRENT YEAR</v>
      </c>
      <c r="G61" s="250">
        <f>VLOOKUP(F61,TableInputsData[],$G$6,FALSE)</f>
        <v>2025</v>
      </c>
      <c r="H61" s="250" t="str">
        <f t="shared" si="91"/>
        <v>PRODUCT</v>
      </c>
      <c r="I61" s="248" t="str">
        <f t="shared" si="91"/>
        <v>PRODUCT 02</v>
      </c>
      <c r="J61" s="248" t="str">
        <f>VLOOKUP(I61,TableInputsData[],$J$6,FALSE)</f>
        <v>ABC</v>
      </c>
      <c r="K61" s="248" t="str">
        <f t="shared" ref="K61:K66" si="105">K60</f>
        <v>REVENUE</v>
      </c>
      <c r="L61" s="255"/>
      <c r="M61" s="255"/>
      <c r="N61" s="255"/>
      <c r="O61" s="265"/>
      <c r="P61" s="260"/>
      <c r="Q61" s="260"/>
      <c r="R61" s="260"/>
      <c r="S61" s="629"/>
      <c r="T61" s="629"/>
      <c r="U61" s="629"/>
      <c r="V61" s="630"/>
      <c r="W61" s="260"/>
      <c r="X61" s="260"/>
      <c r="Y61" s="260"/>
      <c r="Z61" s="260"/>
      <c r="AA61" s="260"/>
      <c r="AB61" s="260"/>
      <c r="AC61" s="265"/>
      <c r="AD61" s="634"/>
      <c r="AE61" s="264">
        <f t="shared" ref="AE61:AH61" si="106">AE53*($L53*$P53+$M53*$Q53+$N53*$R53)</f>
        <v>0</v>
      </c>
      <c r="AF61" s="264">
        <f t="shared" si="106"/>
        <v>0</v>
      </c>
      <c r="AG61" s="264">
        <f t="shared" si="106"/>
        <v>0</v>
      </c>
      <c r="AH61" s="264">
        <f t="shared" si="106"/>
        <v>0</v>
      </c>
      <c r="AI61" s="264">
        <f t="shared" si="104"/>
        <v>0</v>
      </c>
      <c r="AJ61" s="264">
        <f t="shared" si="97"/>
        <v>0</v>
      </c>
      <c r="AK61" s="264">
        <f t="shared" si="98"/>
        <v>0</v>
      </c>
      <c r="AL61" s="264">
        <f t="shared" si="99"/>
        <v>0</v>
      </c>
      <c r="AM61" s="264">
        <f t="shared" si="100"/>
        <v>0</v>
      </c>
      <c r="AN61" s="640">
        <f t="shared" si="89"/>
        <v>0</v>
      </c>
      <c r="AO61" s="264">
        <f t="shared" si="101"/>
        <v>0</v>
      </c>
      <c r="AP61" s="640">
        <f t="shared" si="83"/>
        <v>0</v>
      </c>
      <c r="AQ61" s="264"/>
      <c r="AR61" s="264" t="str">
        <f>VLOOKUP($I61,TableInputsData[],ReadMe!$M$3,FALSE)&amp;"  |  "&amp;VLOOKUP($K61,TableInputsData[],ReadMe!$M$3,FALSE)</f>
        <v>PRODUIT 02  |  CHIFFRE D'AFFAIRES</v>
      </c>
      <c r="AS61" s="264" t="b">
        <f t="shared" si="102"/>
        <v>1</v>
      </c>
      <c r="AT61" s="294"/>
    </row>
    <row r="62" spans="1:46" ht="13" hidden="1" x14ac:dyDescent="0.2">
      <c r="A62" s="294"/>
      <c r="B62" s="925"/>
      <c r="C62" s="271">
        <v>55</v>
      </c>
      <c r="D62" s="250">
        <f t="shared" si="90"/>
        <v>1</v>
      </c>
      <c r="E62" s="250"/>
      <c r="F62" s="248" t="str">
        <f t="shared" si="95"/>
        <v>YEAR2</v>
      </c>
      <c r="G62" s="250">
        <f>VLOOKUP(F62,TableInputsData[],$G$6,FALSE)</f>
        <v>2026</v>
      </c>
      <c r="H62" s="250" t="str">
        <f t="shared" si="91"/>
        <v>PRODUCT</v>
      </c>
      <c r="I62" s="248" t="str">
        <f t="shared" si="91"/>
        <v>PRODUCT 02</v>
      </c>
      <c r="J62" s="248" t="str">
        <f>VLOOKUP(I62,TableInputsData[],$J$6,FALSE)</f>
        <v>ABC</v>
      </c>
      <c r="K62" s="248" t="str">
        <f t="shared" si="105"/>
        <v>REVENUE</v>
      </c>
      <c r="L62" s="255"/>
      <c r="M62" s="255"/>
      <c r="N62" s="255"/>
      <c r="O62" s="265"/>
      <c r="P62" s="260"/>
      <c r="Q62" s="260"/>
      <c r="R62" s="260"/>
      <c r="S62" s="629"/>
      <c r="T62" s="629"/>
      <c r="U62" s="629"/>
      <c r="V62" s="630"/>
      <c r="W62" s="260"/>
      <c r="X62" s="260"/>
      <c r="Y62" s="260"/>
      <c r="Z62" s="260"/>
      <c r="AA62" s="260"/>
      <c r="AB62" s="260"/>
      <c r="AC62" s="265"/>
      <c r="AD62" s="634"/>
      <c r="AE62" s="264">
        <f t="shared" ref="AE62:AH62" si="107">AE54*($L54*$P54+$M54*$Q54+$N54*$R54)</f>
        <v>0</v>
      </c>
      <c r="AF62" s="264">
        <f t="shared" si="107"/>
        <v>0</v>
      </c>
      <c r="AG62" s="264">
        <f t="shared" si="107"/>
        <v>0</v>
      </c>
      <c r="AH62" s="264">
        <f t="shared" si="107"/>
        <v>0</v>
      </c>
      <c r="AI62" s="264">
        <f t="shared" si="104"/>
        <v>0</v>
      </c>
      <c r="AJ62" s="264">
        <f t="shared" si="97"/>
        <v>0</v>
      </c>
      <c r="AK62" s="264">
        <f t="shared" si="98"/>
        <v>0</v>
      </c>
      <c r="AL62" s="264">
        <f t="shared" si="99"/>
        <v>0</v>
      </c>
      <c r="AM62" s="264">
        <f t="shared" si="100"/>
        <v>0</v>
      </c>
      <c r="AN62" s="640">
        <f t="shared" si="89"/>
        <v>0</v>
      </c>
      <c r="AO62" s="264">
        <f t="shared" si="101"/>
        <v>0</v>
      </c>
      <c r="AP62" s="640">
        <f t="shared" si="83"/>
        <v>0</v>
      </c>
      <c r="AQ62" s="264"/>
      <c r="AR62" s="264" t="str">
        <f>VLOOKUP($I62,TableInputsData[],ReadMe!$M$3,FALSE)&amp;"  |  "&amp;VLOOKUP($K62,TableInputsData[],ReadMe!$M$3,FALSE)</f>
        <v>PRODUIT 02  |  CHIFFRE D'AFFAIRES</v>
      </c>
      <c r="AS62" s="264" t="b">
        <f t="shared" si="102"/>
        <v>1</v>
      </c>
      <c r="AT62" s="294"/>
    </row>
    <row r="63" spans="1:46" ht="13" hidden="1" x14ac:dyDescent="0.2">
      <c r="A63" s="294"/>
      <c r="B63" s="925"/>
      <c r="C63" s="271">
        <v>56</v>
      </c>
      <c r="D63" s="250">
        <f t="shared" si="90"/>
        <v>1</v>
      </c>
      <c r="E63" s="250"/>
      <c r="F63" s="248" t="str">
        <f t="shared" si="95"/>
        <v>YEAR3</v>
      </c>
      <c r="G63" s="250">
        <f>VLOOKUP(F63,TableInputsData[],$G$6,FALSE)</f>
        <v>2027</v>
      </c>
      <c r="H63" s="250" t="str">
        <f t="shared" si="91"/>
        <v>PRODUCT</v>
      </c>
      <c r="I63" s="248" t="str">
        <f t="shared" si="91"/>
        <v>PRODUCT 02</v>
      </c>
      <c r="J63" s="248" t="str">
        <f>VLOOKUP(I63,TableInputsData[],$J$6,FALSE)</f>
        <v>ABC</v>
      </c>
      <c r="K63" s="248" t="str">
        <f t="shared" si="105"/>
        <v>REVENUE</v>
      </c>
      <c r="L63" s="255"/>
      <c r="M63" s="255"/>
      <c r="N63" s="255"/>
      <c r="O63" s="265"/>
      <c r="P63" s="260"/>
      <c r="Q63" s="260"/>
      <c r="R63" s="260"/>
      <c r="S63" s="629"/>
      <c r="T63" s="629"/>
      <c r="U63" s="629"/>
      <c r="V63" s="630"/>
      <c r="W63" s="260"/>
      <c r="X63" s="260"/>
      <c r="Y63" s="260"/>
      <c r="Z63" s="260"/>
      <c r="AA63" s="260"/>
      <c r="AB63" s="260"/>
      <c r="AC63" s="265"/>
      <c r="AD63" s="634"/>
      <c r="AE63" s="264">
        <f t="shared" ref="AE63:AH63" si="108">AE55*($L55*$P55+$M55*$Q55+$N55*$R55)</f>
        <v>0</v>
      </c>
      <c r="AF63" s="264">
        <f t="shared" si="108"/>
        <v>0</v>
      </c>
      <c r="AG63" s="264">
        <f t="shared" si="108"/>
        <v>0</v>
      </c>
      <c r="AH63" s="264">
        <f t="shared" si="108"/>
        <v>0</v>
      </c>
      <c r="AI63" s="264">
        <f t="shared" si="104"/>
        <v>0</v>
      </c>
      <c r="AJ63" s="264">
        <f t="shared" si="97"/>
        <v>0</v>
      </c>
      <c r="AK63" s="264">
        <f t="shared" si="98"/>
        <v>0</v>
      </c>
      <c r="AL63" s="264">
        <f t="shared" si="99"/>
        <v>0</v>
      </c>
      <c r="AM63" s="264">
        <f t="shared" si="100"/>
        <v>0</v>
      </c>
      <c r="AN63" s="640">
        <f t="shared" si="89"/>
        <v>0</v>
      </c>
      <c r="AO63" s="264">
        <f t="shared" si="101"/>
        <v>0</v>
      </c>
      <c r="AP63" s="640">
        <f t="shared" si="83"/>
        <v>0</v>
      </c>
      <c r="AQ63" s="264"/>
      <c r="AR63" s="264" t="str">
        <f>VLOOKUP($I63,TableInputsData[],ReadMe!$M$3,FALSE)&amp;"  |  "&amp;VLOOKUP($K63,TableInputsData[],ReadMe!$M$3,FALSE)</f>
        <v>PRODUIT 02  |  CHIFFRE D'AFFAIRES</v>
      </c>
      <c r="AS63" s="264" t="b">
        <f t="shared" si="102"/>
        <v>1</v>
      </c>
      <c r="AT63" s="294"/>
    </row>
    <row r="64" spans="1:46" ht="13" hidden="1" x14ac:dyDescent="0.2">
      <c r="A64" s="294"/>
      <c r="B64" s="925"/>
      <c r="C64" s="271">
        <v>57</v>
      </c>
      <c r="D64" s="250">
        <f t="shared" si="90"/>
        <v>1</v>
      </c>
      <c r="E64" s="250"/>
      <c r="F64" s="248" t="str">
        <f t="shared" si="95"/>
        <v>YEAR4</v>
      </c>
      <c r="G64" s="250">
        <f>VLOOKUP(F64,TableInputsData[],$G$6,FALSE)</f>
        <v>2028</v>
      </c>
      <c r="H64" s="250" t="str">
        <f t="shared" si="91"/>
        <v>PRODUCT</v>
      </c>
      <c r="I64" s="248" t="str">
        <f t="shared" si="91"/>
        <v>PRODUCT 02</v>
      </c>
      <c r="J64" s="248" t="str">
        <f>VLOOKUP(I64,TableInputsData[],$J$6,FALSE)</f>
        <v>ABC</v>
      </c>
      <c r="K64" s="248" t="str">
        <f t="shared" si="105"/>
        <v>REVENUE</v>
      </c>
      <c r="L64" s="255"/>
      <c r="M64" s="255"/>
      <c r="N64" s="255"/>
      <c r="O64" s="265"/>
      <c r="P64" s="260"/>
      <c r="Q64" s="260"/>
      <c r="R64" s="260"/>
      <c r="S64" s="629"/>
      <c r="T64" s="629"/>
      <c r="U64" s="629"/>
      <c r="V64" s="630"/>
      <c r="W64" s="260"/>
      <c r="X64" s="260"/>
      <c r="Y64" s="260"/>
      <c r="Z64" s="260"/>
      <c r="AA64" s="260"/>
      <c r="AB64" s="260"/>
      <c r="AC64" s="265"/>
      <c r="AD64" s="634"/>
      <c r="AE64" s="264">
        <f t="shared" ref="AE64:AH64" si="109">AE56*($L56*$P56+$M56*$Q56+$N56*$R56)</f>
        <v>0</v>
      </c>
      <c r="AF64" s="264">
        <f t="shared" si="109"/>
        <v>0</v>
      </c>
      <c r="AG64" s="264">
        <f t="shared" si="109"/>
        <v>0</v>
      </c>
      <c r="AH64" s="264">
        <f t="shared" si="109"/>
        <v>0</v>
      </c>
      <c r="AI64" s="264">
        <f t="shared" si="104"/>
        <v>0</v>
      </c>
      <c r="AJ64" s="264">
        <f t="shared" si="97"/>
        <v>0</v>
      </c>
      <c r="AK64" s="264">
        <f t="shared" si="98"/>
        <v>0</v>
      </c>
      <c r="AL64" s="264">
        <f t="shared" si="99"/>
        <v>0</v>
      </c>
      <c r="AM64" s="264">
        <f t="shared" si="100"/>
        <v>0</v>
      </c>
      <c r="AN64" s="640">
        <f t="shared" si="89"/>
        <v>0</v>
      </c>
      <c r="AO64" s="264">
        <f t="shared" si="101"/>
        <v>0</v>
      </c>
      <c r="AP64" s="640">
        <f t="shared" si="83"/>
        <v>0</v>
      </c>
      <c r="AQ64" s="264"/>
      <c r="AR64" s="264" t="str">
        <f>VLOOKUP($I64,TableInputsData[],ReadMe!$M$3,FALSE)&amp;"  |  "&amp;VLOOKUP($K64,TableInputsData[],ReadMe!$M$3,FALSE)</f>
        <v>PRODUIT 02  |  CHIFFRE D'AFFAIRES</v>
      </c>
      <c r="AS64" s="264" t="b">
        <f t="shared" si="102"/>
        <v>1</v>
      </c>
      <c r="AT64" s="294"/>
    </row>
    <row r="65" spans="1:46" ht="13" hidden="1" x14ac:dyDescent="0.2">
      <c r="A65" s="294"/>
      <c r="B65" s="925"/>
      <c r="C65" s="271">
        <v>58</v>
      </c>
      <c r="D65" s="250">
        <f t="shared" si="90"/>
        <v>1</v>
      </c>
      <c r="E65" s="250"/>
      <c r="F65" s="248" t="str">
        <f t="shared" si="95"/>
        <v>YEAR5</v>
      </c>
      <c r="G65" s="250">
        <f>VLOOKUP(F65,TableInputsData[],$G$6,FALSE)</f>
        <v>2029</v>
      </c>
      <c r="H65" s="250" t="str">
        <f t="shared" si="91"/>
        <v>PRODUCT</v>
      </c>
      <c r="I65" s="248" t="str">
        <f t="shared" si="91"/>
        <v>PRODUCT 02</v>
      </c>
      <c r="J65" s="248" t="str">
        <f>VLOOKUP(I65,TableInputsData[],$J$6,FALSE)</f>
        <v>ABC</v>
      </c>
      <c r="K65" s="248" t="str">
        <f t="shared" si="105"/>
        <v>REVENUE</v>
      </c>
      <c r="L65" s="255"/>
      <c r="M65" s="255"/>
      <c r="N65" s="255"/>
      <c r="O65" s="265"/>
      <c r="P65" s="260"/>
      <c r="Q65" s="260"/>
      <c r="R65" s="260"/>
      <c r="S65" s="629"/>
      <c r="T65" s="629"/>
      <c r="U65" s="629"/>
      <c r="V65" s="630"/>
      <c r="W65" s="260"/>
      <c r="X65" s="260"/>
      <c r="Y65" s="260"/>
      <c r="Z65" s="260"/>
      <c r="AA65" s="260"/>
      <c r="AB65" s="260"/>
      <c r="AC65" s="265"/>
      <c r="AD65" s="634"/>
      <c r="AE65" s="264">
        <f t="shared" ref="AE65:AH65" si="110">AE57*($L57*$P57+$M57*$Q57+$N57*$R57)</f>
        <v>0</v>
      </c>
      <c r="AF65" s="264">
        <f t="shared" si="110"/>
        <v>0</v>
      </c>
      <c r="AG65" s="264">
        <f t="shared" si="110"/>
        <v>0</v>
      </c>
      <c r="AH65" s="264">
        <f t="shared" si="110"/>
        <v>0</v>
      </c>
      <c r="AI65" s="264">
        <f t="shared" si="104"/>
        <v>0</v>
      </c>
      <c r="AJ65" s="264">
        <f t="shared" si="97"/>
        <v>0</v>
      </c>
      <c r="AK65" s="264">
        <f t="shared" si="98"/>
        <v>0</v>
      </c>
      <c r="AL65" s="264">
        <f t="shared" si="99"/>
        <v>0</v>
      </c>
      <c r="AM65" s="264">
        <f t="shared" si="100"/>
        <v>0</v>
      </c>
      <c r="AN65" s="640">
        <f t="shared" si="89"/>
        <v>0</v>
      </c>
      <c r="AO65" s="264">
        <f t="shared" si="101"/>
        <v>0</v>
      </c>
      <c r="AP65" s="640">
        <f t="shared" si="83"/>
        <v>0</v>
      </c>
      <c r="AQ65" s="264"/>
      <c r="AR65" s="264" t="str">
        <f>VLOOKUP($I65,TableInputsData[],ReadMe!$M$3,FALSE)&amp;"  |  "&amp;VLOOKUP($K65,TableInputsData[],ReadMe!$M$3,FALSE)</f>
        <v>PRODUIT 02  |  CHIFFRE D'AFFAIRES</v>
      </c>
      <c r="AS65" s="264" t="b">
        <f t="shared" si="102"/>
        <v>1</v>
      </c>
      <c r="AT65" s="294"/>
    </row>
    <row r="66" spans="1:46" ht="13" hidden="1" x14ac:dyDescent="0.2">
      <c r="A66" s="294"/>
      <c r="B66" s="925"/>
      <c r="C66" s="271">
        <v>59</v>
      </c>
      <c r="D66" s="250">
        <f t="shared" si="90"/>
        <v>1</v>
      </c>
      <c r="E66" s="250"/>
      <c r="F66" s="248" t="str">
        <f t="shared" si="95"/>
        <v>YEAR6</v>
      </c>
      <c r="G66" s="250">
        <f>VLOOKUP(F66,TableInputsData[],$G$6,FALSE)</f>
        <v>2030</v>
      </c>
      <c r="H66" s="250" t="str">
        <f t="shared" si="91"/>
        <v>PRODUCT</v>
      </c>
      <c r="I66" s="248" t="str">
        <f t="shared" si="91"/>
        <v>PRODUCT 02</v>
      </c>
      <c r="J66" s="248" t="str">
        <f>VLOOKUP(I66,TableInputsData[],$J$6,FALSE)</f>
        <v>ABC</v>
      </c>
      <c r="K66" s="248" t="str">
        <f t="shared" si="105"/>
        <v>REVENUE</v>
      </c>
      <c r="L66" s="255"/>
      <c r="M66" s="255"/>
      <c r="N66" s="255"/>
      <c r="O66" s="265"/>
      <c r="P66" s="260"/>
      <c r="Q66" s="260"/>
      <c r="R66" s="260"/>
      <c r="S66" s="629"/>
      <c r="T66" s="629"/>
      <c r="U66" s="629"/>
      <c r="V66" s="630"/>
      <c r="W66" s="260"/>
      <c r="X66" s="260"/>
      <c r="Y66" s="260"/>
      <c r="Z66" s="260"/>
      <c r="AA66" s="260"/>
      <c r="AB66" s="260"/>
      <c r="AC66" s="265"/>
      <c r="AD66" s="634"/>
      <c r="AE66" s="264">
        <f t="shared" ref="AE66:AH66" si="111">AE58*($L58*$P58+$M58*$Q58+$N58*$R58)</f>
        <v>0</v>
      </c>
      <c r="AF66" s="264">
        <f t="shared" si="111"/>
        <v>0</v>
      </c>
      <c r="AG66" s="264">
        <f t="shared" si="111"/>
        <v>0</v>
      </c>
      <c r="AH66" s="264">
        <f t="shared" si="111"/>
        <v>0</v>
      </c>
      <c r="AI66" s="264">
        <f>$AE66+$AF66+$AG66+$AH66</f>
        <v>0</v>
      </c>
      <c r="AJ66" s="264">
        <f t="shared" si="97"/>
        <v>0</v>
      </c>
      <c r="AK66" s="264">
        <f t="shared" si="98"/>
        <v>0</v>
      </c>
      <c r="AL66" s="264">
        <f t="shared" si="99"/>
        <v>0</v>
      </c>
      <c r="AM66" s="264">
        <f t="shared" si="100"/>
        <v>0</v>
      </c>
      <c r="AN66" s="640">
        <f t="shared" si="89"/>
        <v>0</v>
      </c>
      <c r="AO66" s="264">
        <f t="shared" si="101"/>
        <v>0</v>
      </c>
      <c r="AP66" s="640">
        <f t="shared" si="83"/>
        <v>0</v>
      </c>
      <c r="AQ66" s="264"/>
      <c r="AR66" s="264" t="str">
        <f>VLOOKUP($I66,TableInputsData[],ReadMe!$M$3,FALSE)&amp;"  |  "&amp;VLOOKUP($K66,TableInputsData[],ReadMe!$M$3,FALSE)</f>
        <v>PRODUIT 02  |  CHIFFRE D'AFFAIRES</v>
      </c>
      <c r="AS66" s="264" t="b">
        <f t="shared" si="102"/>
        <v>1</v>
      </c>
      <c r="AT66" s="294"/>
    </row>
    <row r="67" spans="1:46" ht="13" hidden="1" x14ac:dyDescent="0.2">
      <c r="A67" s="294"/>
      <c r="B67" s="925"/>
      <c r="C67" s="271">
        <v>60</v>
      </c>
      <c r="D67" s="250">
        <f t="shared" si="90"/>
        <v>1</v>
      </c>
      <c r="E67" s="250"/>
      <c r="F67" s="248" t="str">
        <f t="shared" ref="F67:F74" si="112">F51</f>
        <v>YEAR-2</v>
      </c>
      <c r="G67" s="250">
        <f>VLOOKUP(F67,TableInputsData[],$G$6,FALSE)</f>
        <v>2023</v>
      </c>
      <c r="H67" s="250" t="str">
        <f t="shared" si="91"/>
        <v>PRODUCT</v>
      </c>
      <c r="I67" s="248" t="str">
        <f t="shared" si="91"/>
        <v>PRODUCT 02</v>
      </c>
      <c r="J67" s="248" t="str">
        <f>VLOOKUP(I67,TableInputsData[],$J$6,FALSE)</f>
        <v>ABC</v>
      </c>
      <c r="K67" s="248" t="s">
        <v>456</v>
      </c>
      <c r="L67" s="255"/>
      <c r="M67" s="255"/>
      <c r="N67" s="255"/>
      <c r="O67" s="265"/>
      <c r="P67" s="260"/>
      <c r="Q67" s="260"/>
      <c r="R67" s="260"/>
      <c r="S67" s="629"/>
      <c r="T67" s="629"/>
      <c r="U67" s="629"/>
      <c r="V67" s="630"/>
      <c r="W67" s="260"/>
      <c r="X67" s="260"/>
      <c r="Y67" s="260"/>
      <c r="Z67" s="260"/>
      <c r="AA67" s="260"/>
      <c r="AB67" s="260"/>
      <c r="AC67" s="265"/>
      <c r="AD67" s="634"/>
      <c r="AE67" s="264">
        <f>IF(AE51=0,0,AE59/AE51)</f>
        <v>0</v>
      </c>
      <c r="AF67" s="264">
        <f t="shared" ref="AF67:AI67" si="113">IF(AF51=0,0,AF59/AF51)</f>
        <v>0</v>
      </c>
      <c r="AG67" s="264">
        <f t="shared" si="113"/>
        <v>0</v>
      </c>
      <c r="AH67" s="264">
        <f t="shared" si="113"/>
        <v>0</v>
      </c>
      <c r="AI67" s="264">
        <f t="shared" si="113"/>
        <v>0</v>
      </c>
      <c r="AJ67" s="264">
        <f>IF(AJ51=0,0,AJ59/AJ51)</f>
        <v>0</v>
      </c>
      <c r="AK67" s="264">
        <f t="shared" ref="AK67:AL67" si="114">IF(AK51=0,0,AK59/AK51)</f>
        <v>0</v>
      </c>
      <c r="AL67" s="264">
        <f t="shared" si="114"/>
        <v>0</v>
      </c>
      <c r="AM67" s="264">
        <f>IF(AM51=0,0,AM59/AM51)</f>
        <v>0</v>
      </c>
      <c r="AN67" s="260"/>
      <c r="AO67" s="264">
        <f t="shared" ref="AO67" si="115">IF(AO51=0,0,AO59/AO51)</f>
        <v>0</v>
      </c>
      <c r="AP67" s="260"/>
      <c r="AQ67" s="264"/>
      <c r="AR67" s="264" t="str">
        <f>VLOOKUP($I67,TableInputsData[],ReadMe!$M$3,FALSE)&amp;"  |  "&amp;VLOOKUP($K67,TableInputsData[],ReadMe!$M$3,FALSE)</f>
        <v>PRODUIT 02  |  PRIX MOYEN DE VENTE PAR PRODUIT/SERVICE</v>
      </c>
      <c r="AS67" s="264"/>
      <c r="AT67" s="294"/>
    </row>
    <row r="68" spans="1:46" ht="13" hidden="1" x14ac:dyDescent="0.2">
      <c r="A68" s="294"/>
      <c r="B68" s="925"/>
      <c r="C68" s="271">
        <v>61</v>
      </c>
      <c r="D68" s="250">
        <f t="shared" si="90"/>
        <v>1</v>
      </c>
      <c r="E68" s="250"/>
      <c r="F68" s="248" t="str">
        <f t="shared" si="112"/>
        <v>YEAR-1</v>
      </c>
      <c r="G68" s="250">
        <f>VLOOKUP(F68,TableInputsData[],$G$6,FALSE)</f>
        <v>2024</v>
      </c>
      <c r="H68" s="250" t="str">
        <f t="shared" si="91"/>
        <v>PRODUCT</v>
      </c>
      <c r="I68" s="248" t="str">
        <f t="shared" si="91"/>
        <v>PRODUCT 02</v>
      </c>
      <c r="J68" s="248" t="str">
        <f>VLOOKUP(I68,TableInputsData[],$J$6,FALSE)</f>
        <v>ABC</v>
      </c>
      <c r="K68" s="248" t="str">
        <f>K67</f>
        <v>AVERAGE SELLING PRICE PER UNIT</v>
      </c>
      <c r="L68" s="255"/>
      <c r="M68" s="255"/>
      <c r="N68" s="255"/>
      <c r="O68" s="265"/>
      <c r="P68" s="260"/>
      <c r="Q68" s="260"/>
      <c r="R68" s="260"/>
      <c r="S68" s="629"/>
      <c r="T68" s="629"/>
      <c r="U68" s="629"/>
      <c r="V68" s="630"/>
      <c r="W68" s="260"/>
      <c r="X68" s="260"/>
      <c r="Y68" s="260"/>
      <c r="Z68" s="260"/>
      <c r="AA68" s="260"/>
      <c r="AB68" s="260"/>
      <c r="AC68" s="265"/>
      <c r="AD68" s="634"/>
      <c r="AE68" s="264">
        <f>IF(AE52=0,0,AE60/AE52)</f>
        <v>0</v>
      </c>
      <c r="AF68" s="264">
        <f t="shared" ref="AF68:AM68" si="116">IF(AF52=0,0,AF60/AF52)</f>
        <v>0</v>
      </c>
      <c r="AG68" s="264">
        <f t="shared" si="116"/>
        <v>0</v>
      </c>
      <c r="AH68" s="264">
        <f t="shared" si="116"/>
        <v>0</v>
      </c>
      <c r="AI68" s="264">
        <f t="shared" si="116"/>
        <v>0</v>
      </c>
      <c r="AJ68" s="264">
        <f t="shared" si="116"/>
        <v>0</v>
      </c>
      <c r="AK68" s="264">
        <f t="shared" si="116"/>
        <v>0</v>
      </c>
      <c r="AL68" s="264">
        <f t="shared" si="116"/>
        <v>0</v>
      </c>
      <c r="AM68" s="264">
        <f t="shared" si="116"/>
        <v>0</v>
      </c>
      <c r="AN68" s="260"/>
      <c r="AO68" s="264">
        <f t="shared" ref="AO68" si="117">IF(AO52=0,0,AO60/AO52)</f>
        <v>0</v>
      </c>
      <c r="AP68" s="260"/>
      <c r="AQ68" s="264"/>
      <c r="AR68" s="264" t="str">
        <f>VLOOKUP($I68,TableInputsData[],ReadMe!$M$3,FALSE)&amp;"  |  "&amp;VLOOKUP($K68,TableInputsData[],ReadMe!$M$3,FALSE)</f>
        <v>PRODUIT 02  |  PRIX MOYEN DE VENTE PAR PRODUIT/SERVICE</v>
      </c>
      <c r="AS68" s="264"/>
      <c r="AT68" s="294"/>
    </row>
    <row r="69" spans="1:46" ht="13" hidden="1" x14ac:dyDescent="0.2">
      <c r="A69" s="294"/>
      <c r="B69" s="925"/>
      <c r="C69" s="271">
        <v>62</v>
      </c>
      <c r="D69" s="250">
        <f t="shared" si="90"/>
        <v>1</v>
      </c>
      <c r="E69" s="250"/>
      <c r="F69" s="248" t="str">
        <f t="shared" si="112"/>
        <v>CURRENT YEAR</v>
      </c>
      <c r="G69" s="250">
        <f>VLOOKUP(F69,TableInputsData[],$G$6,FALSE)</f>
        <v>2025</v>
      </c>
      <c r="H69" s="250" t="str">
        <f t="shared" si="91"/>
        <v>PRODUCT</v>
      </c>
      <c r="I69" s="248" t="str">
        <f t="shared" si="91"/>
        <v>PRODUCT 02</v>
      </c>
      <c r="J69" s="248" t="str">
        <f>VLOOKUP(I69,TableInputsData[],$J$6,FALSE)</f>
        <v>ABC</v>
      </c>
      <c r="K69" s="248" t="str">
        <f t="shared" ref="K69:K74" si="118">K68</f>
        <v>AVERAGE SELLING PRICE PER UNIT</v>
      </c>
      <c r="L69" s="255"/>
      <c r="M69" s="255"/>
      <c r="N69" s="255"/>
      <c r="O69" s="265"/>
      <c r="P69" s="260"/>
      <c r="Q69" s="260"/>
      <c r="R69" s="260"/>
      <c r="S69" s="630"/>
      <c r="T69" s="630"/>
      <c r="U69" s="630"/>
      <c r="V69" s="630"/>
      <c r="W69" s="260"/>
      <c r="X69" s="260"/>
      <c r="Y69" s="260"/>
      <c r="Z69" s="260"/>
      <c r="AA69" s="260"/>
      <c r="AB69" s="260"/>
      <c r="AC69" s="265"/>
      <c r="AD69" s="634"/>
      <c r="AE69" s="264">
        <f>IF(AE53=0,0,AE61/AE53)</f>
        <v>0</v>
      </c>
      <c r="AF69" s="264">
        <f t="shared" ref="AF69:AM69" si="119">IF(AF53=0,0,AF61/AF53)</f>
        <v>0</v>
      </c>
      <c r="AG69" s="264">
        <f t="shared" si="119"/>
        <v>0</v>
      </c>
      <c r="AH69" s="264">
        <f t="shared" si="119"/>
        <v>0</v>
      </c>
      <c r="AI69" s="264">
        <f t="shared" si="119"/>
        <v>0</v>
      </c>
      <c r="AJ69" s="264">
        <f t="shared" si="119"/>
        <v>0</v>
      </c>
      <c r="AK69" s="264">
        <f t="shared" si="119"/>
        <v>0</v>
      </c>
      <c r="AL69" s="264">
        <f t="shared" si="119"/>
        <v>0</v>
      </c>
      <c r="AM69" s="264">
        <f t="shared" si="119"/>
        <v>0</v>
      </c>
      <c r="AN69" s="260"/>
      <c r="AO69" s="264">
        <f t="shared" ref="AO69" si="120">IF(AO53=0,0,AO61/AO53)</f>
        <v>0</v>
      </c>
      <c r="AP69" s="260"/>
      <c r="AQ69" s="264"/>
      <c r="AR69" s="264" t="str">
        <f>VLOOKUP($I69,TableInputsData[],ReadMe!$M$3,FALSE)&amp;"  |  "&amp;VLOOKUP($K69,TableInputsData[],ReadMe!$M$3,FALSE)</f>
        <v>PRODUIT 02  |  PRIX MOYEN DE VENTE PAR PRODUIT/SERVICE</v>
      </c>
      <c r="AS69" s="264"/>
      <c r="AT69" s="294"/>
    </row>
    <row r="70" spans="1:46" ht="13" hidden="1" x14ac:dyDescent="0.2">
      <c r="A70" s="294"/>
      <c r="B70" s="925"/>
      <c r="C70" s="271">
        <v>63</v>
      </c>
      <c r="D70" s="250">
        <f t="shared" si="90"/>
        <v>1</v>
      </c>
      <c r="E70" s="250"/>
      <c r="F70" s="248" t="str">
        <f t="shared" si="112"/>
        <v>YEAR2</v>
      </c>
      <c r="G70" s="250">
        <f>VLOOKUP(F70,TableInputsData[],$G$6,FALSE)</f>
        <v>2026</v>
      </c>
      <c r="H70" s="250" t="str">
        <f t="shared" si="91"/>
        <v>PRODUCT</v>
      </c>
      <c r="I70" s="248" t="str">
        <f t="shared" si="91"/>
        <v>PRODUCT 02</v>
      </c>
      <c r="J70" s="248" t="str">
        <f>VLOOKUP(I70,TableInputsData[],$J$6,FALSE)</f>
        <v>ABC</v>
      </c>
      <c r="K70" s="248" t="str">
        <f t="shared" si="118"/>
        <v>AVERAGE SELLING PRICE PER UNIT</v>
      </c>
      <c r="L70" s="255"/>
      <c r="M70" s="255"/>
      <c r="N70" s="255"/>
      <c r="O70" s="265"/>
      <c r="P70" s="260"/>
      <c r="Q70" s="260"/>
      <c r="R70" s="260"/>
      <c r="S70" s="630"/>
      <c r="T70" s="630"/>
      <c r="U70" s="630"/>
      <c r="V70" s="630"/>
      <c r="W70" s="260"/>
      <c r="X70" s="260"/>
      <c r="Y70" s="260"/>
      <c r="Z70" s="260"/>
      <c r="AA70" s="260"/>
      <c r="AB70" s="260"/>
      <c r="AC70" s="265"/>
      <c r="AD70" s="634"/>
      <c r="AE70" s="264">
        <f>IF(AE54=0,0,AE62/AE54)</f>
        <v>0</v>
      </c>
      <c r="AF70" s="264">
        <f t="shared" ref="AF70:AM70" si="121">IF(AF54=0,0,AF62/AF54)</f>
        <v>0</v>
      </c>
      <c r="AG70" s="264">
        <f t="shared" si="121"/>
        <v>0</v>
      </c>
      <c r="AH70" s="264">
        <f t="shared" si="121"/>
        <v>0</v>
      </c>
      <c r="AI70" s="264">
        <f t="shared" si="121"/>
        <v>0</v>
      </c>
      <c r="AJ70" s="264">
        <f t="shared" si="121"/>
        <v>0</v>
      </c>
      <c r="AK70" s="264">
        <f t="shared" si="121"/>
        <v>0</v>
      </c>
      <c r="AL70" s="264">
        <f t="shared" si="121"/>
        <v>0</v>
      </c>
      <c r="AM70" s="264">
        <f t="shared" si="121"/>
        <v>0</v>
      </c>
      <c r="AN70" s="260"/>
      <c r="AO70" s="264">
        <f t="shared" ref="AO70" si="122">IF(AO54=0,0,AO62/AO54)</f>
        <v>0</v>
      </c>
      <c r="AP70" s="260"/>
      <c r="AQ70" s="264"/>
      <c r="AR70" s="264" t="str">
        <f>VLOOKUP($I70,TableInputsData[],ReadMe!$M$3,FALSE)&amp;"  |  "&amp;VLOOKUP($K70,TableInputsData[],ReadMe!$M$3,FALSE)</f>
        <v>PRODUIT 02  |  PRIX MOYEN DE VENTE PAR PRODUIT/SERVICE</v>
      </c>
      <c r="AS70" s="264"/>
      <c r="AT70" s="294"/>
    </row>
    <row r="71" spans="1:46" ht="13" hidden="1" x14ac:dyDescent="0.2">
      <c r="A71" s="294"/>
      <c r="B71" s="925"/>
      <c r="C71" s="271">
        <v>64</v>
      </c>
      <c r="D71" s="250">
        <f t="shared" si="90"/>
        <v>1</v>
      </c>
      <c r="E71" s="250"/>
      <c r="F71" s="248" t="str">
        <f t="shared" si="112"/>
        <v>YEAR3</v>
      </c>
      <c r="G71" s="250">
        <f>VLOOKUP(F71,TableInputsData[],$G$6,FALSE)</f>
        <v>2027</v>
      </c>
      <c r="H71" s="250" t="str">
        <f t="shared" si="91"/>
        <v>PRODUCT</v>
      </c>
      <c r="I71" s="248" t="str">
        <f t="shared" si="91"/>
        <v>PRODUCT 02</v>
      </c>
      <c r="J71" s="248" t="str">
        <f>VLOOKUP(I71,TableInputsData[],$J$6,FALSE)</f>
        <v>ABC</v>
      </c>
      <c r="K71" s="248" t="str">
        <f t="shared" si="118"/>
        <v>AVERAGE SELLING PRICE PER UNIT</v>
      </c>
      <c r="L71" s="255"/>
      <c r="M71" s="255"/>
      <c r="N71" s="255"/>
      <c r="O71" s="265"/>
      <c r="P71" s="260"/>
      <c r="Q71" s="260"/>
      <c r="R71" s="260"/>
      <c r="S71" s="630"/>
      <c r="T71" s="630"/>
      <c r="U71" s="630"/>
      <c r="V71" s="630"/>
      <c r="W71" s="260"/>
      <c r="X71" s="260"/>
      <c r="Y71" s="260"/>
      <c r="Z71" s="260"/>
      <c r="AA71" s="260"/>
      <c r="AB71" s="260"/>
      <c r="AC71" s="265"/>
      <c r="AD71" s="634"/>
      <c r="AE71" s="264">
        <f t="shared" ref="AE71:AM71" si="123">IF(AE55=0,0,AE63/AE55)</f>
        <v>0</v>
      </c>
      <c r="AF71" s="264">
        <f t="shared" si="123"/>
        <v>0</v>
      </c>
      <c r="AG71" s="264">
        <f t="shared" si="123"/>
        <v>0</v>
      </c>
      <c r="AH71" s="264">
        <f t="shared" si="123"/>
        <v>0</v>
      </c>
      <c r="AI71" s="264">
        <f t="shared" si="123"/>
        <v>0</v>
      </c>
      <c r="AJ71" s="264">
        <f t="shared" si="123"/>
        <v>0</v>
      </c>
      <c r="AK71" s="264">
        <f t="shared" si="123"/>
        <v>0</v>
      </c>
      <c r="AL71" s="264">
        <f t="shared" si="123"/>
        <v>0</v>
      </c>
      <c r="AM71" s="264">
        <f t="shared" si="123"/>
        <v>0</v>
      </c>
      <c r="AN71" s="260"/>
      <c r="AO71" s="264">
        <f t="shared" ref="AO71" si="124">IF(AO55=0,0,AO63/AO55)</f>
        <v>0</v>
      </c>
      <c r="AP71" s="260"/>
      <c r="AQ71" s="264"/>
      <c r="AR71" s="264" t="str">
        <f>VLOOKUP($I71,TableInputsData[],ReadMe!$M$3,FALSE)&amp;"  |  "&amp;VLOOKUP($K71,TableInputsData[],ReadMe!$M$3,FALSE)</f>
        <v>PRODUIT 02  |  PRIX MOYEN DE VENTE PAR PRODUIT/SERVICE</v>
      </c>
      <c r="AS71" s="264"/>
      <c r="AT71" s="294"/>
    </row>
    <row r="72" spans="1:46" ht="13" hidden="1" x14ac:dyDescent="0.2">
      <c r="A72" s="294"/>
      <c r="B72" s="925"/>
      <c r="C72" s="272">
        <v>65</v>
      </c>
      <c r="D72" s="250">
        <f t="shared" si="90"/>
        <v>1</v>
      </c>
      <c r="E72" s="251"/>
      <c r="F72" s="248" t="str">
        <f t="shared" si="112"/>
        <v>YEAR4</v>
      </c>
      <c r="G72" s="250">
        <f>VLOOKUP(F72,TableInputsData[],$G$6,FALSE)</f>
        <v>2028</v>
      </c>
      <c r="H72" s="250" t="str">
        <f t="shared" si="91"/>
        <v>PRODUCT</v>
      </c>
      <c r="I72" s="248" t="str">
        <f t="shared" si="91"/>
        <v>PRODUCT 02</v>
      </c>
      <c r="J72" s="248" t="str">
        <f>VLOOKUP(I72,TableInputsData[],$J$6,FALSE)</f>
        <v>ABC</v>
      </c>
      <c r="K72" s="248" t="str">
        <f t="shared" si="118"/>
        <v>AVERAGE SELLING PRICE PER UNIT</v>
      </c>
      <c r="L72" s="256"/>
      <c r="M72" s="256"/>
      <c r="N72" s="256"/>
      <c r="O72" s="266"/>
      <c r="P72" s="261"/>
      <c r="Q72" s="261"/>
      <c r="R72" s="261"/>
      <c r="S72" s="629"/>
      <c r="T72" s="629"/>
      <c r="U72" s="629"/>
      <c r="V72" s="629"/>
      <c r="W72" s="261"/>
      <c r="X72" s="261"/>
      <c r="Y72" s="261"/>
      <c r="Z72" s="261"/>
      <c r="AA72" s="261"/>
      <c r="AB72" s="261"/>
      <c r="AC72" s="266"/>
      <c r="AD72" s="633"/>
      <c r="AE72" s="264">
        <f t="shared" ref="AE72:AM72" si="125">IF(AE56=0,0,AE64/AE56)</f>
        <v>0</v>
      </c>
      <c r="AF72" s="264">
        <f t="shared" si="125"/>
        <v>0</v>
      </c>
      <c r="AG72" s="264">
        <f t="shared" si="125"/>
        <v>0</v>
      </c>
      <c r="AH72" s="264">
        <f t="shared" si="125"/>
        <v>0</v>
      </c>
      <c r="AI72" s="264">
        <f t="shared" si="125"/>
        <v>0</v>
      </c>
      <c r="AJ72" s="264">
        <f t="shared" si="125"/>
        <v>0</v>
      </c>
      <c r="AK72" s="264">
        <f t="shared" si="125"/>
        <v>0</v>
      </c>
      <c r="AL72" s="264">
        <f t="shared" si="125"/>
        <v>0</v>
      </c>
      <c r="AM72" s="264">
        <f t="shared" si="125"/>
        <v>0</v>
      </c>
      <c r="AN72" s="260"/>
      <c r="AO72" s="264">
        <f t="shared" ref="AO72" si="126">IF(AO56=0,0,AO64/AO56)</f>
        <v>0</v>
      </c>
      <c r="AP72" s="260"/>
      <c r="AQ72" s="264"/>
      <c r="AR72" s="264" t="str">
        <f>VLOOKUP($I72,TableInputsData[],ReadMe!$M$3,FALSE)&amp;"  |  "&amp;VLOOKUP($K72,TableInputsData[],ReadMe!$M$3,FALSE)</f>
        <v>PRODUIT 02  |  PRIX MOYEN DE VENTE PAR PRODUIT/SERVICE</v>
      </c>
      <c r="AS72" s="264"/>
      <c r="AT72" s="294"/>
    </row>
    <row r="73" spans="1:46" ht="13" hidden="1" x14ac:dyDescent="0.2">
      <c r="A73" s="294"/>
      <c r="B73" s="925"/>
      <c r="C73" s="271">
        <v>66</v>
      </c>
      <c r="D73" s="250">
        <f t="shared" si="90"/>
        <v>1</v>
      </c>
      <c r="E73" s="250"/>
      <c r="F73" s="248" t="str">
        <f t="shared" si="112"/>
        <v>YEAR5</v>
      </c>
      <c r="G73" s="250">
        <f>VLOOKUP(F73,TableInputsData[],$G$6,FALSE)</f>
        <v>2029</v>
      </c>
      <c r="H73" s="250" t="str">
        <f t="shared" si="91"/>
        <v>PRODUCT</v>
      </c>
      <c r="I73" s="248" t="str">
        <f t="shared" si="91"/>
        <v>PRODUCT 02</v>
      </c>
      <c r="J73" s="248" t="str">
        <f>VLOOKUP(I73,TableInputsData[],$J$6,FALSE)</f>
        <v>ABC</v>
      </c>
      <c r="K73" s="248" t="str">
        <f t="shared" si="118"/>
        <v>AVERAGE SELLING PRICE PER UNIT</v>
      </c>
      <c r="L73" s="255"/>
      <c r="M73" s="255"/>
      <c r="N73" s="255"/>
      <c r="O73" s="265"/>
      <c r="P73" s="260"/>
      <c r="Q73" s="260"/>
      <c r="R73" s="260"/>
      <c r="S73" s="630"/>
      <c r="T73" s="630"/>
      <c r="U73" s="630"/>
      <c r="V73" s="630"/>
      <c r="W73" s="260"/>
      <c r="X73" s="260"/>
      <c r="Y73" s="260"/>
      <c r="Z73" s="260"/>
      <c r="AA73" s="260"/>
      <c r="AB73" s="260"/>
      <c r="AC73" s="265"/>
      <c r="AD73" s="634"/>
      <c r="AE73" s="264">
        <f t="shared" ref="AE73:AM73" si="127">IF(AE57=0,0,AE65/AE57)</f>
        <v>0</v>
      </c>
      <c r="AF73" s="264">
        <f t="shared" si="127"/>
        <v>0</v>
      </c>
      <c r="AG73" s="264">
        <f t="shared" si="127"/>
        <v>0</v>
      </c>
      <c r="AH73" s="264">
        <f t="shared" si="127"/>
        <v>0</v>
      </c>
      <c r="AI73" s="264">
        <f t="shared" si="127"/>
        <v>0</v>
      </c>
      <c r="AJ73" s="264">
        <f t="shared" si="127"/>
        <v>0</v>
      </c>
      <c r="AK73" s="264">
        <f t="shared" si="127"/>
        <v>0</v>
      </c>
      <c r="AL73" s="264">
        <f t="shared" si="127"/>
        <v>0</v>
      </c>
      <c r="AM73" s="264">
        <f t="shared" si="127"/>
        <v>0</v>
      </c>
      <c r="AN73" s="260"/>
      <c r="AO73" s="264">
        <f t="shared" ref="AO73" si="128">IF(AO57=0,0,AO65/AO57)</f>
        <v>0</v>
      </c>
      <c r="AP73" s="260"/>
      <c r="AQ73" s="264"/>
      <c r="AR73" s="264" t="str">
        <f>VLOOKUP($I73,TableInputsData[],ReadMe!$M$3,FALSE)&amp;"  |  "&amp;VLOOKUP($K73,TableInputsData[],ReadMe!$M$3,FALSE)</f>
        <v>PRODUIT 02  |  PRIX MOYEN DE VENTE PAR PRODUIT/SERVICE</v>
      </c>
      <c r="AS73" s="264"/>
      <c r="AT73" s="294"/>
    </row>
    <row r="74" spans="1:46" ht="13" hidden="1" x14ac:dyDescent="0.2">
      <c r="A74" s="294"/>
      <c r="B74" s="925"/>
      <c r="C74" s="271">
        <v>67</v>
      </c>
      <c r="D74" s="250">
        <f t="shared" si="90"/>
        <v>1</v>
      </c>
      <c r="E74" s="250"/>
      <c r="F74" s="248" t="str">
        <f t="shared" si="112"/>
        <v>YEAR6</v>
      </c>
      <c r="G74" s="250">
        <f>VLOOKUP(F74,TableInputsData[],$G$6,FALSE)</f>
        <v>2030</v>
      </c>
      <c r="H74" s="250" t="str">
        <f t="shared" si="91"/>
        <v>PRODUCT</v>
      </c>
      <c r="I74" s="248" t="str">
        <f t="shared" si="91"/>
        <v>PRODUCT 02</v>
      </c>
      <c r="J74" s="248" t="str">
        <f>VLOOKUP(I74,TableInputsData[],$J$6,FALSE)</f>
        <v>ABC</v>
      </c>
      <c r="K74" s="248" t="str">
        <f t="shared" si="118"/>
        <v>AVERAGE SELLING PRICE PER UNIT</v>
      </c>
      <c r="L74" s="255"/>
      <c r="M74" s="255"/>
      <c r="N74" s="255"/>
      <c r="O74" s="265"/>
      <c r="P74" s="260"/>
      <c r="Q74" s="260"/>
      <c r="R74" s="260"/>
      <c r="S74" s="630"/>
      <c r="T74" s="630"/>
      <c r="U74" s="630"/>
      <c r="V74" s="630"/>
      <c r="W74" s="260"/>
      <c r="X74" s="260"/>
      <c r="Y74" s="260"/>
      <c r="Z74" s="260"/>
      <c r="AA74" s="260"/>
      <c r="AB74" s="260"/>
      <c r="AC74" s="265"/>
      <c r="AD74" s="634"/>
      <c r="AE74" s="264">
        <f t="shared" ref="AE74:AM74" si="129">IF(AE58=0,0,AE66/AE58)</f>
        <v>0</v>
      </c>
      <c r="AF74" s="264">
        <f t="shared" si="129"/>
        <v>0</v>
      </c>
      <c r="AG74" s="264">
        <f t="shared" si="129"/>
        <v>0</v>
      </c>
      <c r="AH74" s="264">
        <f t="shared" si="129"/>
        <v>0</v>
      </c>
      <c r="AI74" s="264">
        <f t="shared" si="129"/>
        <v>0</v>
      </c>
      <c r="AJ74" s="264">
        <f t="shared" si="129"/>
        <v>0</v>
      </c>
      <c r="AK74" s="264">
        <f t="shared" si="129"/>
        <v>0</v>
      </c>
      <c r="AL74" s="264">
        <f t="shared" si="129"/>
        <v>0</v>
      </c>
      <c r="AM74" s="264">
        <f t="shared" si="129"/>
        <v>0</v>
      </c>
      <c r="AN74" s="260"/>
      <c r="AO74" s="264">
        <f t="shared" ref="AO74" si="130">IF(AO58=0,0,AO66/AO58)</f>
        <v>0</v>
      </c>
      <c r="AP74" s="260"/>
      <c r="AQ74" s="264"/>
      <c r="AR74" s="264" t="str">
        <f>VLOOKUP($I74,TableInputsData[],ReadMe!$M$3,FALSE)&amp;"  |  "&amp;VLOOKUP($K74,TableInputsData[],ReadMe!$M$3,FALSE)</f>
        <v>PRODUIT 02  |  PRIX MOYEN DE VENTE PAR PRODUIT/SERVICE</v>
      </c>
      <c r="AS74" s="264"/>
      <c r="AT74" s="294"/>
    </row>
    <row r="75" spans="1:46" ht="13" hidden="1" x14ac:dyDescent="0.2">
      <c r="A75" s="294"/>
      <c r="B75" s="925"/>
      <c r="C75" s="272">
        <v>68</v>
      </c>
      <c r="D75" s="250">
        <f t="shared" si="90"/>
        <v>1</v>
      </c>
      <c r="E75" s="251"/>
      <c r="F75" s="248" t="str">
        <f t="shared" ref="F75:F82" si="131">F83</f>
        <v>YEAR-2</v>
      </c>
      <c r="G75" s="250">
        <f>VLOOKUP(F75,TableInputsData[],$G$6,FALSE)</f>
        <v>2023</v>
      </c>
      <c r="H75" s="250" t="str">
        <f t="shared" si="91"/>
        <v>PRODUCT</v>
      </c>
      <c r="I75" s="248" t="str">
        <f t="shared" si="91"/>
        <v>PRODUCT 02</v>
      </c>
      <c r="J75" s="248" t="str">
        <f>VLOOKUP(I75,TableInputsData[],$J$6,FALSE)</f>
        <v>ABC</v>
      </c>
      <c r="K75" s="248" t="s">
        <v>531</v>
      </c>
      <c r="L75" s="256"/>
      <c r="M75" s="256"/>
      <c r="N75" s="256"/>
      <c r="O75" s="266"/>
      <c r="P75" s="261"/>
      <c r="Q75" s="261"/>
      <c r="R75" s="261"/>
      <c r="S75" s="629"/>
      <c r="T75" s="629"/>
      <c r="U75" s="629"/>
      <c r="V75" s="629"/>
      <c r="W75" s="261"/>
      <c r="X75" s="261"/>
      <c r="Y75" s="261"/>
      <c r="Z75" s="261"/>
      <c r="AA75" s="261"/>
      <c r="AB75" s="261"/>
      <c r="AC75" s="266"/>
      <c r="AD75" s="633"/>
      <c r="AE75" s="264">
        <f>AE51*($S51*$P51+$T51*$Q51+$U51*$R51)</f>
        <v>0</v>
      </c>
      <c r="AF75" s="264">
        <f t="shared" ref="AF75:AH75" si="132">AF51*($S51*$P51+$T51*$Q51+$U51*$R51)</f>
        <v>0</v>
      </c>
      <c r="AG75" s="264">
        <f t="shared" si="132"/>
        <v>0</v>
      </c>
      <c r="AH75" s="264">
        <f t="shared" si="132"/>
        <v>0</v>
      </c>
      <c r="AI75" s="264">
        <f t="shared" ref="AI75:AI82" si="133">$AE75+$AF75+$AG75+$AH75</f>
        <v>0</v>
      </c>
      <c r="AJ75" s="264">
        <f t="shared" ref="AJ75:AJ82" si="134">$AJ51*$S51</f>
        <v>0</v>
      </c>
      <c r="AK75" s="264">
        <f t="shared" ref="AK75:AK82" si="135">$AK51*$T51</f>
        <v>0</v>
      </c>
      <c r="AL75" s="264">
        <f t="shared" ref="AL75:AL82" si="136">$AL51*$U51</f>
        <v>0</v>
      </c>
      <c r="AM75" s="264">
        <f t="shared" ref="AM75:AM82" si="137">$AJ75*$W51+$AK75*$X51+$AL75*$Y51</f>
        <v>0</v>
      </c>
      <c r="AN75" s="640">
        <f t="shared" ref="AN75:AN82" si="138">IF(AI75=0,0,AM75/AI75)</f>
        <v>0</v>
      </c>
      <c r="AO75" s="264">
        <f t="shared" ref="AO75:AO82" si="139">$AJ75*$Z51+$AK75*$AA51+$AL75*$AB51</f>
        <v>0</v>
      </c>
      <c r="AP75" s="640">
        <f t="shared" ref="AP75:AP82" si="140">IF(AI75=0,0,AO75/AI75)</f>
        <v>0</v>
      </c>
      <c r="AQ75" s="264"/>
      <c r="AR75" s="264" t="str">
        <f>VLOOKUP($I75,TableInputsData[],ReadMe!$M$3,FALSE)&amp;"  |  "&amp;VLOOKUP($K75,TableInputsData[],ReadMe!$M$3,FALSE)</f>
        <v>PRODUIT 02  |  DEPENSES SUR ACHATS</v>
      </c>
      <c r="AS75" s="264" t="b">
        <f t="shared" ref="AS75:AS82" si="141">AND(EXACT(ROUND(AI75,2),ROUND(AJ75+AK75+AL75,2)),EXACT(ROUND(AI75,2),ROUND(AM75+AO75,2)))</f>
        <v>1</v>
      </c>
      <c r="AT75" s="294"/>
    </row>
    <row r="76" spans="1:46" ht="13" hidden="1" x14ac:dyDescent="0.2">
      <c r="A76" s="294"/>
      <c r="B76" s="925"/>
      <c r="C76" s="271">
        <v>69</v>
      </c>
      <c r="D76" s="250">
        <f t="shared" si="90"/>
        <v>1</v>
      </c>
      <c r="E76" s="250"/>
      <c r="F76" s="248" t="str">
        <f t="shared" si="131"/>
        <v>YEAR-1</v>
      </c>
      <c r="G76" s="250">
        <f>VLOOKUP(F76,TableInputsData[],$G$6,FALSE)</f>
        <v>2024</v>
      </c>
      <c r="H76" s="250" t="str">
        <f t="shared" si="91"/>
        <v>PRODUCT</v>
      </c>
      <c r="I76" s="248" t="str">
        <f t="shared" si="91"/>
        <v>PRODUCT 02</v>
      </c>
      <c r="J76" s="248" t="str">
        <f>VLOOKUP(I76,TableInputsData[],$J$6,FALSE)</f>
        <v>ABC</v>
      </c>
      <c r="K76" s="248" t="str">
        <f>K75</f>
        <v>COST OF GOODS SOLD</v>
      </c>
      <c r="L76" s="255"/>
      <c r="M76" s="255"/>
      <c r="N76" s="255"/>
      <c r="O76" s="265"/>
      <c r="P76" s="260"/>
      <c r="Q76" s="260"/>
      <c r="R76" s="260"/>
      <c r="S76" s="630"/>
      <c r="T76" s="630"/>
      <c r="U76" s="630"/>
      <c r="V76" s="630"/>
      <c r="W76" s="260"/>
      <c r="X76" s="260"/>
      <c r="Y76" s="260"/>
      <c r="Z76" s="260"/>
      <c r="AA76" s="260"/>
      <c r="AB76" s="260"/>
      <c r="AC76" s="265"/>
      <c r="AD76" s="634"/>
      <c r="AE76" s="264">
        <f t="shared" ref="AE76:AH76" si="142">AE52*($S52*$P52+$T52*$Q52+$U52*$R52)</f>
        <v>0</v>
      </c>
      <c r="AF76" s="264">
        <f t="shared" si="142"/>
        <v>0</v>
      </c>
      <c r="AG76" s="264">
        <f t="shared" si="142"/>
        <v>0</v>
      </c>
      <c r="AH76" s="264">
        <f t="shared" si="142"/>
        <v>0</v>
      </c>
      <c r="AI76" s="264">
        <f t="shared" si="133"/>
        <v>0</v>
      </c>
      <c r="AJ76" s="264">
        <f t="shared" si="134"/>
        <v>0</v>
      </c>
      <c r="AK76" s="264">
        <f t="shared" si="135"/>
        <v>0</v>
      </c>
      <c r="AL76" s="264">
        <f t="shared" si="136"/>
        <v>0</v>
      </c>
      <c r="AM76" s="264">
        <f t="shared" si="137"/>
        <v>0</v>
      </c>
      <c r="AN76" s="640">
        <f t="shared" si="138"/>
        <v>0</v>
      </c>
      <c r="AO76" s="264">
        <f t="shared" si="139"/>
        <v>0</v>
      </c>
      <c r="AP76" s="640">
        <f t="shared" si="140"/>
        <v>0</v>
      </c>
      <c r="AQ76" s="264"/>
      <c r="AR76" s="264" t="str">
        <f>VLOOKUP($I76,TableInputsData[],ReadMe!$M$3,FALSE)&amp;"  |  "&amp;VLOOKUP($K76,TableInputsData[],ReadMe!$M$3,FALSE)</f>
        <v>PRODUIT 02  |  DEPENSES SUR ACHATS</v>
      </c>
      <c r="AS76" s="264" t="b">
        <f t="shared" si="141"/>
        <v>1</v>
      </c>
      <c r="AT76" s="294"/>
    </row>
    <row r="77" spans="1:46" ht="13" hidden="1" x14ac:dyDescent="0.2">
      <c r="A77" s="294"/>
      <c r="B77" s="925"/>
      <c r="C77" s="271">
        <v>70</v>
      </c>
      <c r="D77" s="250">
        <f t="shared" si="90"/>
        <v>1</v>
      </c>
      <c r="E77" s="250"/>
      <c r="F77" s="248" t="str">
        <f t="shared" si="131"/>
        <v>CURRENT YEAR</v>
      </c>
      <c r="G77" s="250">
        <f>VLOOKUP(F77,TableInputsData[],$G$6,FALSE)</f>
        <v>2025</v>
      </c>
      <c r="H77" s="250" t="str">
        <f t="shared" si="91"/>
        <v>PRODUCT</v>
      </c>
      <c r="I77" s="248" t="str">
        <f t="shared" si="91"/>
        <v>PRODUCT 02</v>
      </c>
      <c r="J77" s="248" t="str">
        <f>VLOOKUP(I77,TableInputsData[],$J$6,FALSE)</f>
        <v>ABC</v>
      </c>
      <c r="K77" s="248" t="str">
        <f t="shared" ref="K77:K82" si="143">K76</f>
        <v>COST OF GOODS SOLD</v>
      </c>
      <c r="L77" s="255"/>
      <c r="M77" s="255"/>
      <c r="N77" s="255"/>
      <c r="O77" s="265"/>
      <c r="P77" s="260"/>
      <c r="Q77" s="260"/>
      <c r="R77" s="260"/>
      <c r="S77" s="630"/>
      <c r="T77" s="630"/>
      <c r="U77" s="630"/>
      <c r="V77" s="630"/>
      <c r="W77" s="260"/>
      <c r="X77" s="260"/>
      <c r="Y77" s="260"/>
      <c r="Z77" s="260"/>
      <c r="AA77" s="260"/>
      <c r="AB77" s="260"/>
      <c r="AC77" s="265"/>
      <c r="AD77" s="634"/>
      <c r="AE77" s="264">
        <f t="shared" ref="AE77:AH77" si="144">AE53*($S53*$P53+$T53*$Q53+$U53*$R53)</f>
        <v>0</v>
      </c>
      <c r="AF77" s="264">
        <f t="shared" si="144"/>
        <v>0</v>
      </c>
      <c r="AG77" s="264">
        <f t="shared" si="144"/>
        <v>0</v>
      </c>
      <c r="AH77" s="264">
        <f t="shared" si="144"/>
        <v>0</v>
      </c>
      <c r="AI77" s="264">
        <f t="shared" si="133"/>
        <v>0</v>
      </c>
      <c r="AJ77" s="264">
        <f t="shared" si="134"/>
        <v>0</v>
      </c>
      <c r="AK77" s="264">
        <f t="shared" si="135"/>
        <v>0</v>
      </c>
      <c r="AL77" s="264">
        <f t="shared" si="136"/>
        <v>0</v>
      </c>
      <c r="AM77" s="264">
        <f t="shared" si="137"/>
        <v>0</v>
      </c>
      <c r="AN77" s="640">
        <f t="shared" si="138"/>
        <v>0</v>
      </c>
      <c r="AO77" s="264">
        <f t="shared" si="139"/>
        <v>0</v>
      </c>
      <c r="AP77" s="640">
        <f t="shared" si="140"/>
        <v>0</v>
      </c>
      <c r="AQ77" s="264"/>
      <c r="AR77" s="264" t="str">
        <f>VLOOKUP($I77,TableInputsData[],ReadMe!$M$3,FALSE)&amp;"  |  "&amp;VLOOKUP($K77,TableInputsData[],ReadMe!$M$3,FALSE)</f>
        <v>PRODUIT 02  |  DEPENSES SUR ACHATS</v>
      </c>
      <c r="AS77" s="264" t="b">
        <f t="shared" si="141"/>
        <v>1</v>
      </c>
      <c r="AT77" s="294"/>
    </row>
    <row r="78" spans="1:46" ht="13" hidden="1" x14ac:dyDescent="0.2">
      <c r="A78" s="294"/>
      <c r="B78" s="925"/>
      <c r="C78" s="271">
        <v>71</v>
      </c>
      <c r="D78" s="250">
        <f t="shared" si="90"/>
        <v>1</v>
      </c>
      <c r="E78" s="250"/>
      <c r="F78" s="248" t="str">
        <f t="shared" si="131"/>
        <v>YEAR2</v>
      </c>
      <c r="G78" s="250">
        <f>VLOOKUP(F78,TableInputsData[],$G$6,FALSE)</f>
        <v>2026</v>
      </c>
      <c r="H78" s="250" t="str">
        <f t="shared" si="91"/>
        <v>PRODUCT</v>
      </c>
      <c r="I78" s="248" t="str">
        <f t="shared" si="91"/>
        <v>PRODUCT 02</v>
      </c>
      <c r="J78" s="248" t="str">
        <f>VLOOKUP(I78,TableInputsData[],$J$6,FALSE)</f>
        <v>ABC</v>
      </c>
      <c r="K78" s="248" t="str">
        <f t="shared" si="143"/>
        <v>COST OF GOODS SOLD</v>
      </c>
      <c r="L78" s="255"/>
      <c r="M78" s="255"/>
      <c r="N78" s="255"/>
      <c r="O78" s="265"/>
      <c r="P78" s="260"/>
      <c r="Q78" s="260"/>
      <c r="R78" s="260"/>
      <c r="S78" s="630"/>
      <c r="T78" s="630"/>
      <c r="U78" s="630"/>
      <c r="V78" s="630"/>
      <c r="W78" s="260"/>
      <c r="X78" s="260"/>
      <c r="Y78" s="260"/>
      <c r="Z78" s="260"/>
      <c r="AA78" s="260"/>
      <c r="AB78" s="260"/>
      <c r="AC78" s="265"/>
      <c r="AD78" s="634"/>
      <c r="AE78" s="264">
        <f t="shared" ref="AE78:AH78" si="145">AE54*($S54*$P54+$T54*$Q54+$U54*$R54)</f>
        <v>0</v>
      </c>
      <c r="AF78" s="264">
        <f t="shared" si="145"/>
        <v>0</v>
      </c>
      <c r="AG78" s="264">
        <f t="shared" si="145"/>
        <v>0</v>
      </c>
      <c r="AH78" s="264">
        <f t="shared" si="145"/>
        <v>0</v>
      </c>
      <c r="AI78" s="264">
        <f t="shared" si="133"/>
        <v>0</v>
      </c>
      <c r="AJ78" s="264">
        <f t="shared" si="134"/>
        <v>0</v>
      </c>
      <c r="AK78" s="264">
        <f t="shared" si="135"/>
        <v>0</v>
      </c>
      <c r="AL78" s="264">
        <f t="shared" si="136"/>
        <v>0</v>
      </c>
      <c r="AM78" s="264">
        <f t="shared" si="137"/>
        <v>0</v>
      </c>
      <c r="AN78" s="640">
        <f t="shared" si="138"/>
        <v>0</v>
      </c>
      <c r="AO78" s="264">
        <f t="shared" si="139"/>
        <v>0</v>
      </c>
      <c r="AP78" s="640">
        <f t="shared" si="140"/>
        <v>0</v>
      </c>
      <c r="AQ78" s="264"/>
      <c r="AR78" s="264" t="str">
        <f>VLOOKUP($I78,TableInputsData[],ReadMe!$M$3,FALSE)&amp;"  |  "&amp;VLOOKUP($K78,TableInputsData[],ReadMe!$M$3,FALSE)</f>
        <v>PRODUIT 02  |  DEPENSES SUR ACHATS</v>
      </c>
      <c r="AS78" s="264" t="b">
        <f t="shared" si="141"/>
        <v>1</v>
      </c>
      <c r="AT78" s="294"/>
    </row>
    <row r="79" spans="1:46" ht="13" hidden="1" x14ac:dyDescent="0.2">
      <c r="A79" s="294"/>
      <c r="B79" s="925"/>
      <c r="C79" s="271">
        <v>72</v>
      </c>
      <c r="D79" s="250">
        <f t="shared" si="90"/>
        <v>1</v>
      </c>
      <c r="E79" s="250"/>
      <c r="F79" s="248" t="str">
        <f t="shared" si="131"/>
        <v>YEAR3</v>
      </c>
      <c r="G79" s="250">
        <f>VLOOKUP(F79,TableInputsData[],$G$6,FALSE)</f>
        <v>2027</v>
      </c>
      <c r="H79" s="250" t="str">
        <f t="shared" si="91"/>
        <v>PRODUCT</v>
      </c>
      <c r="I79" s="248" t="str">
        <f t="shared" si="91"/>
        <v>PRODUCT 02</v>
      </c>
      <c r="J79" s="248" t="str">
        <f>VLOOKUP(I79,TableInputsData[],$J$6,FALSE)</f>
        <v>ABC</v>
      </c>
      <c r="K79" s="248" t="str">
        <f t="shared" si="143"/>
        <v>COST OF GOODS SOLD</v>
      </c>
      <c r="L79" s="255"/>
      <c r="M79" s="255"/>
      <c r="N79" s="255"/>
      <c r="O79" s="265"/>
      <c r="P79" s="260"/>
      <c r="Q79" s="260"/>
      <c r="R79" s="260"/>
      <c r="S79" s="630"/>
      <c r="T79" s="630"/>
      <c r="U79" s="630"/>
      <c r="V79" s="630"/>
      <c r="W79" s="260"/>
      <c r="X79" s="260"/>
      <c r="Y79" s="260"/>
      <c r="Z79" s="260"/>
      <c r="AA79" s="260"/>
      <c r="AB79" s="260"/>
      <c r="AC79" s="265"/>
      <c r="AD79" s="634"/>
      <c r="AE79" s="264">
        <f t="shared" ref="AE79:AH79" si="146">AE55*($S55*$P55+$T55*$Q55+$U55*$R55)</f>
        <v>0</v>
      </c>
      <c r="AF79" s="264">
        <f t="shared" si="146"/>
        <v>0</v>
      </c>
      <c r="AG79" s="264">
        <f t="shared" si="146"/>
        <v>0</v>
      </c>
      <c r="AH79" s="264">
        <f t="shared" si="146"/>
        <v>0</v>
      </c>
      <c r="AI79" s="264">
        <f t="shared" si="133"/>
        <v>0</v>
      </c>
      <c r="AJ79" s="264">
        <f t="shared" si="134"/>
        <v>0</v>
      </c>
      <c r="AK79" s="264">
        <f t="shared" si="135"/>
        <v>0</v>
      </c>
      <c r="AL79" s="264">
        <f t="shared" si="136"/>
        <v>0</v>
      </c>
      <c r="AM79" s="264">
        <f t="shared" si="137"/>
        <v>0</v>
      </c>
      <c r="AN79" s="640">
        <f t="shared" si="138"/>
        <v>0</v>
      </c>
      <c r="AO79" s="264">
        <f t="shared" si="139"/>
        <v>0</v>
      </c>
      <c r="AP79" s="640">
        <f t="shared" si="140"/>
        <v>0</v>
      </c>
      <c r="AQ79" s="264"/>
      <c r="AR79" s="264" t="str">
        <f>VLOOKUP($I79,TableInputsData[],ReadMe!$M$3,FALSE)&amp;"  |  "&amp;VLOOKUP($K79,TableInputsData[],ReadMe!$M$3,FALSE)</f>
        <v>PRODUIT 02  |  DEPENSES SUR ACHATS</v>
      </c>
      <c r="AS79" s="264" t="b">
        <f t="shared" si="141"/>
        <v>1</v>
      </c>
      <c r="AT79" s="294"/>
    </row>
    <row r="80" spans="1:46" ht="13" hidden="1" x14ac:dyDescent="0.2">
      <c r="A80" s="294"/>
      <c r="B80" s="925"/>
      <c r="C80" s="271">
        <v>73</v>
      </c>
      <c r="D80" s="250">
        <f t="shared" si="90"/>
        <v>1</v>
      </c>
      <c r="E80" s="250"/>
      <c r="F80" s="248" t="str">
        <f t="shared" si="131"/>
        <v>YEAR4</v>
      </c>
      <c r="G80" s="250">
        <f>VLOOKUP(F80,TableInputsData[],$G$6,FALSE)</f>
        <v>2028</v>
      </c>
      <c r="H80" s="250" t="str">
        <f t="shared" si="91"/>
        <v>PRODUCT</v>
      </c>
      <c r="I80" s="248" t="str">
        <f t="shared" si="91"/>
        <v>PRODUCT 02</v>
      </c>
      <c r="J80" s="248" t="str">
        <f>VLOOKUP(I80,TableInputsData[],$J$6,FALSE)</f>
        <v>ABC</v>
      </c>
      <c r="K80" s="248" t="str">
        <f t="shared" si="143"/>
        <v>COST OF GOODS SOLD</v>
      </c>
      <c r="L80" s="255"/>
      <c r="M80" s="255"/>
      <c r="N80" s="255"/>
      <c r="O80" s="265"/>
      <c r="P80" s="260"/>
      <c r="Q80" s="260"/>
      <c r="R80" s="260"/>
      <c r="S80" s="630"/>
      <c r="T80" s="630"/>
      <c r="U80" s="630"/>
      <c r="V80" s="630"/>
      <c r="W80" s="260"/>
      <c r="X80" s="260"/>
      <c r="Y80" s="260"/>
      <c r="Z80" s="260"/>
      <c r="AA80" s="260"/>
      <c r="AB80" s="260"/>
      <c r="AC80" s="265"/>
      <c r="AD80" s="634"/>
      <c r="AE80" s="264">
        <f t="shared" ref="AE80:AH80" si="147">AE56*($S56*$P56+$T56*$Q56+$U56*$R56)</f>
        <v>0</v>
      </c>
      <c r="AF80" s="264">
        <f t="shared" si="147"/>
        <v>0</v>
      </c>
      <c r="AG80" s="264">
        <f t="shared" si="147"/>
        <v>0</v>
      </c>
      <c r="AH80" s="264">
        <f t="shared" si="147"/>
        <v>0</v>
      </c>
      <c r="AI80" s="264">
        <f t="shared" si="133"/>
        <v>0</v>
      </c>
      <c r="AJ80" s="264">
        <f t="shared" si="134"/>
        <v>0</v>
      </c>
      <c r="AK80" s="264">
        <f t="shared" si="135"/>
        <v>0</v>
      </c>
      <c r="AL80" s="264">
        <f t="shared" si="136"/>
        <v>0</v>
      </c>
      <c r="AM80" s="264">
        <f t="shared" si="137"/>
        <v>0</v>
      </c>
      <c r="AN80" s="640">
        <f t="shared" si="138"/>
        <v>0</v>
      </c>
      <c r="AO80" s="264">
        <f t="shared" si="139"/>
        <v>0</v>
      </c>
      <c r="AP80" s="640">
        <f t="shared" si="140"/>
        <v>0</v>
      </c>
      <c r="AQ80" s="264"/>
      <c r="AR80" s="264" t="str">
        <f>VLOOKUP($I80,TableInputsData[],ReadMe!$M$3,FALSE)&amp;"  |  "&amp;VLOOKUP($K80,TableInputsData[],ReadMe!$M$3,FALSE)</f>
        <v>PRODUIT 02  |  DEPENSES SUR ACHATS</v>
      </c>
      <c r="AS80" s="264" t="b">
        <f t="shared" si="141"/>
        <v>1</v>
      </c>
      <c r="AT80" s="294"/>
    </row>
    <row r="81" spans="1:46" ht="13" hidden="1" x14ac:dyDescent="0.2">
      <c r="A81" s="294"/>
      <c r="B81" s="925"/>
      <c r="C81" s="271">
        <v>74</v>
      </c>
      <c r="D81" s="250">
        <f t="shared" si="90"/>
        <v>1</v>
      </c>
      <c r="E81" s="250"/>
      <c r="F81" s="248" t="str">
        <f t="shared" si="131"/>
        <v>YEAR5</v>
      </c>
      <c r="G81" s="250">
        <f>VLOOKUP(F81,TableInputsData[],$G$6,FALSE)</f>
        <v>2029</v>
      </c>
      <c r="H81" s="250" t="str">
        <f t="shared" si="91"/>
        <v>PRODUCT</v>
      </c>
      <c r="I81" s="248" t="str">
        <f t="shared" si="91"/>
        <v>PRODUCT 02</v>
      </c>
      <c r="J81" s="248" t="str">
        <f>VLOOKUP(I81,TableInputsData[],$J$6,FALSE)</f>
        <v>ABC</v>
      </c>
      <c r="K81" s="248" t="str">
        <f t="shared" si="143"/>
        <v>COST OF GOODS SOLD</v>
      </c>
      <c r="L81" s="255"/>
      <c r="M81" s="255"/>
      <c r="N81" s="255"/>
      <c r="O81" s="265"/>
      <c r="P81" s="260"/>
      <c r="Q81" s="260"/>
      <c r="R81" s="260"/>
      <c r="S81" s="630"/>
      <c r="T81" s="630"/>
      <c r="U81" s="630"/>
      <c r="V81" s="630"/>
      <c r="W81" s="260"/>
      <c r="X81" s="260"/>
      <c r="Y81" s="260"/>
      <c r="Z81" s="260"/>
      <c r="AA81" s="260"/>
      <c r="AB81" s="260"/>
      <c r="AC81" s="265"/>
      <c r="AD81" s="634"/>
      <c r="AE81" s="264">
        <f t="shared" ref="AE81:AH81" si="148">AE57*($S57*$P57+$T57*$Q57+$U57*$R57)</f>
        <v>0</v>
      </c>
      <c r="AF81" s="264">
        <f t="shared" si="148"/>
        <v>0</v>
      </c>
      <c r="AG81" s="264">
        <f t="shared" si="148"/>
        <v>0</v>
      </c>
      <c r="AH81" s="264">
        <f t="shared" si="148"/>
        <v>0</v>
      </c>
      <c r="AI81" s="264">
        <f t="shared" si="133"/>
        <v>0</v>
      </c>
      <c r="AJ81" s="264">
        <f t="shared" si="134"/>
        <v>0</v>
      </c>
      <c r="AK81" s="264">
        <f t="shared" si="135"/>
        <v>0</v>
      </c>
      <c r="AL81" s="264">
        <f t="shared" si="136"/>
        <v>0</v>
      </c>
      <c r="AM81" s="264">
        <f t="shared" si="137"/>
        <v>0</v>
      </c>
      <c r="AN81" s="640">
        <f t="shared" si="138"/>
        <v>0</v>
      </c>
      <c r="AO81" s="264">
        <f t="shared" si="139"/>
        <v>0</v>
      </c>
      <c r="AP81" s="640">
        <f t="shared" si="140"/>
        <v>0</v>
      </c>
      <c r="AQ81" s="264"/>
      <c r="AR81" s="264" t="str">
        <f>VLOOKUP($I81,TableInputsData[],ReadMe!$M$3,FALSE)&amp;"  |  "&amp;VLOOKUP($K81,TableInputsData[],ReadMe!$M$3,FALSE)</f>
        <v>PRODUIT 02  |  DEPENSES SUR ACHATS</v>
      </c>
      <c r="AS81" s="264" t="b">
        <f t="shared" si="141"/>
        <v>1</v>
      </c>
      <c r="AT81" s="294"/>
    </row>
    <row r="82" spans="1:46" ht="13" hidden="1" x14ac:dyDescent="0.2">
      <c r="A82" s="294"/>
      <c r="B82" s="925"/>
      <c r="C82" s="271">
        <v>75</v>
      </c>
      <c r="D82" s="250">
        <f t="shared" si="90"/>
        <v>1</v>
      </c>
      <c r="E82" s="250"/>
      <c r="F82" s="248" t="str">
        <f t="shared" si="131"/>
        <v>YEAR6</v>
      </c>
      <c r="G82" s="250">
        <f>VLOOKUP(F82,TableInputsData[],$G$6,FALSE)</f>
        <v>2030</v>
      </c>
      <c r="H82" s="250" t="str">
        <f t="shared" si="91"/>
        <v>PRODUCT</v>
      </c>
      <c r="I82" s="248" t="str">
        <f t="shared" si="91"/>
        <v>PRODUCT 02</v>
      </c>
      <c r="J82" s="248" t="str">
        <f>VLOOKUP(I82,TableInputsData[],$J$6,FALSE)</f>
        <v>ABC</v>
      </c>
      <c r="K82" s="248" t="str">
        <f t="shared" si="143"/>
        <v>COST OF GOODS SOLD</v>
      </c>
      <c r="L82" s="255"/>
      <c r="M82" s="255"/>
      <c r="N82" s="255"/>
      <c r="O82" s="265"/>
      <c r="P82" s="260"/>
      <c r="Q82" s="260"/>
      <c r="R82" s="260"/>
      <c r="S82" s="630"/>
      <c r="T82" s="630"/>
      <c r="U82" s="630"/>
      <c r="V82" s="630"/>
      <c r="W82" s="260"/>
      <c r="X82" s="260"/>
      <c r="Y82" s="260"/>
      <c r="Z82" s="260"/>
      <c r="AA82" s="260"/>
      <c r="AB82" s="260"/>
      <c r="AC82" s="265"/>
      <c r="AD82" s="634"/>
      <c r="AE82" s="264">
        <f t="shared" ref="AE82:AH82" si="149">AE58*($S58*$P58+$T58*$Q58+$U58*$R58)</f>
        <v>0</v>
      </c>
      <c r="AF82" s="264">
        <f t="shared" si="149"/>
        <v>0</v>
      </c>
      <c r="AG82" s="264">
        <f t="shared" si="149"/>
        <v>0</v>
      </c>
      <c r="AH82" s="264">
        <f t="shared" si="149"/>
        <v>0</v>
      </c>
      <c r="AI82" s="264">
        <f t="shared" si="133"/>
        <v>0</v>
      </c>
      <c r="AJ82" s="264">
        <f t="shared" si="134"/>
        <v>0</v>
      </c>
      <c r="AK82" s="264">
        <f t="shared" si="135"/>
        <v>0</v>
      </c>
      <c r="AL82" s="264">
        <f t="shared" si="136"/>
        <v>0</v>
      </c>
      <c r="AM82" s="264">
        <f t="shared" si="137"/>
        <v>0</v>
      </c>
      <c r="AN82" s="640">
        <f t="shared" si="138"/>
        <v>0</v>
      </c>
      <c r="AO82" s="264">
        <f t="shared" si="139"/>
        <v>0</v>
      </c>
      <c r="AP82" s="640">
        <f t="shared" si="140"/>
        <v>0</v>
      </c>
      <c r="AQ82" s="264"/>
      <c r="AR82" s="264" t="str">
        <f>VLOOKUP($I82,TableInputsData[],ReadMe!$M$3,FALSE)&amp;"  |  "&amp;VLOOKUP($K82,TableInputsData[],ReadMe!$M$3,FALSE)</f>
        <v>PRODUIT 02  |  DEPENSES SUR ACHATS</v>
      </c>
      <c r="AS82" s="264" t="b">
        <f t="shared" si="141"/>
        <v>1</v>
      </c>
      <c r="AT82" s="294"/>
    </row>
    <row r="83" spans="1:46" ht="13" hidden="1" x14ac:dyDescent="0.2">
      <c r="A83" s="294"/>
      <c r="B83" s="925"/>
      <c r="C83" s="272">
        <v>76</v>
      </c>
      <c r="D83" s="250">
        <f t="shared" si="90"/>
        <v>1</v>
      </c>
      <c r="E83" s="251"/>
      <c r="F83" s="248" t="str">
        <f t="shared" ref="F83:F90" si="150">F59</f>
        <v>YEAR-2</v>
      </c>
      <c r="G83" s="250">
        <f>VLOOKUP(F83,TableInputsData[],$G$6,FALSE)</f>
        <v>2023</v>
      </c>
      <c r="H83" s="250" t="str">
        <f t="shared" si="91"/>
        <v>PRODUCT</v>
      </c>
      <c r="I83" s="248" t="str">
        <f t="shared" si="91"/>
        <v>PRODUCT 02</v>
      </c>
      <c r="J83" s="248" t="str">
        <f>VLOOKUP(I83,TableInputsData[],$J$6,FALSE)</f>
        <v>ABC</v>
      </c>
      <c r="K83" s="248" t="s">
        <v>532</v>
      </c>
      <c r="L83" s="256"/>
      <c r="M83" s="256"/>
      <c r="N83" s="256"/>
      <c r="O83" s="266"/>
      <c r="P83" s="261"/>
      <c r="Q83" s="261"/>
      <c r="R83" s="261"/>
      <c r="S83" s="629"/>
      <c r="T83" s="629"/>
      <c r="U83" s="629"/>
      <c r="V83" s="629"/>
      <c r="W83" s="261"/>
      <c r="X83" s="261"/>
      <c r="Y83" s="261"/>
      <c r="Z83" s="261"/>
      <c r="AA83" s="261"/>
      <c r="AB83" s="261"/>
      <c r="AC83" s="266"/>
      <c r="AD83" s="633"/>
      <c r="AE83" s="264">
        <f>IF(AE51=0,0,AE75/AE51)</f>
        <v>0</v>
      </c>
      <c r="AF83" s="264">
        <f t="shared" ref="AF83:AI83" si="151">IF(AF51=0,0,AF75/AF51)</f>
        <v>0</v>
      </c>
      <c r="AG83" s="264">
        <f t="shared" si="151"/>
        <v>0</v>
      </c>
      <c r="AH83" s="264">
        <f t="shared" si="151"/>
        <v>0</v>
      </c>
      <c r="AI83" s="264">
        <f t="shared" si="151"/>
        <v>0</v>
      </c>
      <c r="AJ83" s="264">
        <f>IF(AJ51=0,0,AJ75/AJ51)</f>
        <v>0</v>
      </c>
      <c r="AK83" s="264">
        <f t="shared" ref="AK83:AL83" si="152">IF(AK51=0,0,AK75/AK51)</f>
        <v>0</v>
      </c>
      <c r="AL83" s="264">
        <f t="shared" si="152"/>
        <v>0</v>
      </c>
      <c r="AM83" s="264">
        <f>IF(AM51=0,0,AM75/AM51)</f>
        <v>0</v>
      </c>
      <c r="AN83" s="260"/>
      <c r="AO83" s="264">
        <f t="shared" ref="AO83" si="153">IF(AO51=0,0,AO75/AO51)</f>
        <v>0</v>
      </c>
      <c r="AP83" s="260"/>
      <c r="AQ83" s="264"/>
      <c r="AR83" s="264" t="str">
        <f>VLOOKUP($I83,TableInputsData[],ReadMe!$M$3,FALSE)&amp;"  |  "&amp;VLOOKUP($K83,TableInputsData[],ReadMe!$M$3,FALSE)</f>
        <v>PRODUIT 02  |  PRIX MOYEN D'ACHAT PAR PRODUIT/SERVICE</v>
      </c>
      <c r="AS83" s="264"/>
      <c r="AT83" s="294"/>
    </row>
    <row r="84" spans="1:46" ht="13" hidden="1" x14ac:dyDescent="0.2">
      <c r="A84" s="294"/>
      <c r="B84" s="925"/>
      <c r="C84" s="272">
        <v>77</v>
      </c>
      <c r="D84" s="250">
        <f t="shared" si="90"/>
        <v>1</v>
      </c>
      <c r="E84" s="251"/>
      <c r="F84" s="248" t="str">
        <f t="shared" si="150"/>
        <v>YEAR-1</v>
      </c>
      <c r="G84" s="250">
        <f>VLOOKUP(F84,TableInputsData[],$G$6,FALSE)</f>
        <v>2024</v>
      </c>
      <c r="H84" s="250" t="str">
        <f t="shared" si="91"/>
        <v>PRODUCT</v>
      </c>
      <c r="I84" s="248" t="str">
        <f t="shared" si="91"/>
        <v>PRODUCT 02</v>
      </c>
      <c r="J84" s="248" t="str">
        <f>VLOOKUP(I84,TableInputsData[],$J$6,FALSE)</f>
        <v>ABC</v>
      </c>
      <c r="K84" s="248" t="str">
        <f>K83</f>
        <v>AVERAGE COST OF GOODS SOLD PER UNIT</v>
      </c>
      <c r="L84" s="256"/>
      <c r="M84" s="256"/>
      <c r="N84" s="256"/>
      <c r="O84" s="266"/>
      <c r="P84" s="261"/>
      <c r="Q84" s="261"/>
      <c r="R84" s="261"/>
      <c r="S84" s="629"/>
      <c r="T84" s="629"/>
      <c r="U84" s="629"/>
      <c r="V84" s="629"/>
      <c r="W84" s="261"/>
      <c r="X84" s="261"/>
      <c r="Y84" s="261"/>
      <c r="Z84" s="261"/>
      <c r="AA84" s="261"/>
      <c r="AB84" s="261"/>
      <c r="AC84" s="266"/>
      <c r="AD84" s="633"/>
      <c r="AE84" s="264">
        <f t="shared" ref="AE84:AL84" si="154">IF(AE52=0,0,AE76/AE52)</f>
        <v>0</v>
      </c>
      <c r="AF84" s="264">
        <f t="shared" si="154"/>
        <v>0</v>
      </c>
      <c r="AG84" s="264">
        <f t="shared" si="154"/>
        <v>0</v>
      </c>
      <c r="AH84" s="264">
        <f t="shared" si="154"/>
        <v>0</v>
      </c>
      <c r="AI84" s="264">
        <f t="shared" si="154"/>
        <v>0</v>
      </c>
      <c r="AJ84" s="264">
        <f t="shared" si="154"/>
        <v>0</v>
      </c>
      <c r="AK84" s="264">
        <f t="shared" si="154"/>
        <v>0</v>
      </c>
      <c r="AL84" s="264">
        <f t="shared" si="154"/>
        <v>0</v>
      </c>
      <c r="AM84" s="264">
        <f>IF(AM52=0,0,AM76/AM52)</f>
        <v>0</v>
      </c>
      <c r="AN84" s="260"/>
      <c r="AO84" s="264">
        <f>IF(AO52=0,0,AO76/AO52)</f>
        <v>0</v>
      </c>
      <c r="AP84" s="260"/>
      <c r="AQ84" s="264"/>
      <c r="AR84" s="264" t="str">
        <f>VLOOKUP($I84,TableInputsData[],ReadMe!$M$3,FALSE)&amp;"  |  "&amp;VLOOKUP($K84,TableInputsData[],ReadMe!$M$3,FALSE)</f>
        <v>PRODUIT 02  |  PRIX MOYEN D'ACHAT PAR PRODUIT/SERVICE</v>
      </c>
      <c r="AS84" s="264"/>
      <c r="AT84" s="294"/>
    </row>
    <row r="85" spans="1:46" ht="13" hidden="1" x14ac:dyDescent="0.2">
      <c r="A85" s="294"/>
      <c r="B85" s="925"/>
      <c r="C85" s="272">
        <v>78</v>
      </c>
      <c r="D85" s="250">
        <f t="shared" si="90"/>
        <v>1</v>
      </c>
      <c r="E85" s="251"/>
      <c r="F85" s="248" t="str">
        <f t="shared" si="150"/>
        <v>CURRENT YEAR</v>
      </c>
      <c r="G85" s="250">
        <f>VLOOKUP(F85,TableInputsData[],$G$6,FALSE)</f>
        <v>2025</v>
      </c>
      <c r="H85" s="250" t="str">
        <f t="shared" si="91"/>
        <v>PRODUCT</v>
      </c>
      <c r="I85" s="248" t="str">
        <f t="shared" si="91"/>
        <v>PRODUCT 02</v>
      </c>
      <c r="J85" s="248" t="str">
        <f>VLOOKUP(I85,TableInputsData[],$J$6,FALSE)</f>
        <v>ABC</v>
      </c>
      <c r="K85" s="248" t="str">
        <f t="shared" ref="K85:K90" si="155">K84</f>
        <v>AVERAGE COST OF GOODS SOLD PER UNIT</v>
      </c>
      <c r="L85" s="256"/>
      <c r="M85" s="256"/>
      <c r="N85" s="256"/>
      <c r="O85" s="266"/>
      <c r="P85" s="261"/>
      <c r="Q85" s="261"/>
      <c r="R85" s="261"/>
      <c r="S85" s="629"/>
      <c r="T85" s="629"/>
      <c r="U85" s="629"/>
      <c r="V85" s="629"/>
      <c r="W85" s="261"/>
      <c r="X85" s="261"/>
      <c r="Y85" s="261"/>
      <c r="Z85" s="261"/>
      <c r="AA85" s="261"/>
      <c r="AB85" s="261"/>
      <c r="AC85" s="266"/>
      <c r="AD85" s="633"/>
      <c r="AE85" s="264">
        <f t="shared" ref="AE85:AL85" si="156">IF(AE53=0,0,AE77/AE53)</f>
        <v>0</v>
      </c>
      <c r="AF85" s="264">
        <f t="shared" si="156"/>
        <v>0</v>
      </c>
      <c r="AG85" s="264">
        <f t="shared" si="156"/>
        <v>0</v>
      </c>
      <c r="AH85" s="264">
        <f t="shared" si="156"/>
        <v>0</v>
      </c>
      <c r="AI85" s="264">
        <f t="shared" si="156"/>
        <v>0</v>
      </c>
      <c r="AJ85" s="264">
        <f t="shared" si="156"/>
        <v>0</v>
      </c>
      <c r="AK85" s="264">
        <f t="shared" si="156"/>
        <v>0</v>
      </c>
      <c r="AL85" s="264">
        <f t="shared" si="156"/>
        <v>0</v>
      </c>
      <c r="AM85" s="264">
        <f>IF(AM53=0,0,AM77/AM53)</f>
        <v>0</v>
      </c>
      <c r="AN85" s="260"/>
      <c r="AO85" s="264">
        <f>IF(AO53=0,0,AO77/AO53)</f>
        <v>0</v>
      </c>
      <c r="AP85" s="260"/>
      <c r="AQ85" s="264"/>
      <c r="AR85" s="264" t="str">
        <f>VLOOKUP($I85,TableInputsData[],ReadMe!$M$3,FALSE)&amp;"  |  "&amp;VLOOKUP($K85,TableInputsData[],ReadMe!$M$3,FALSE)</f>
        <v>PRODUIT 02  |  PRIX MOYEN D'ACHAT PAR PRODUIT/SERVICE</v>
      </c>
      <c r="AS85" s="264"/>
      <c r="AT85" s="294"/>
    </row>
    <row r="86" spans="1:46" ht="13" hidden="1" x14ac:dyDescent="0.2">
      <c r="A86" s="294"/>
      <c r="B86" s="925"/>
      <c r="C86" s="272">
        <v>79</v>
      </c>
      <c r="D86" s="250">
        <f t="shared" si="90"/>
        <v>1</v>
      </c>
      <c r="E86" s="251"/>
      <c r="F86" s="248" t="str">
        <f t="shared" si="150"/>
        <v>YEAR2</v>
      </c>
      <c r="G86" s="250">
        <f>VLOOKUP(F86,TableInputsData[],$G$6,FALSE)</f>
        <v>2026</v>
      </c>
      <c r="H86" s="250" t="str">
        <f t="shared" si="91"/>
        <v>PRODUCT</v>
      </c>
      <c r="I86" s="248" t="str">
        <f t="shared" si="91"/>
        <v>PRODUCT 02</v>
      </c>
      <c r="J86" s="248" t="str">
        <f>VLOOKUP(I86,TableInputsData[],$J$6,FALSE)</f>
        <v>ABC</v>
      </c>
      <c r="K86" s="248" t="str">
        <f t="shared" si="155"/>
        <v>AVERAGE COST OF GOODS SOLD PER UNIT</v>
      </c>
      <c r="L86" s="256"/>
      <c r="M86" s="256"/>
      <c r="N86" s="256"/>
      <c r="O86" s="266"/>
      <c r="P86" s="261"/>
      <c r="Q86" s="261"/>
      <c r="R86" s="261"/>
      <c r="S86" s="629"/>
      <c r="T86" s="629"/>
      <c r="U86" s="629"/>
      <c r="V86" s="629"/>
      <c r="W86" s="261"/>
      <c r="X86" s="261"/>
      <c r="Y86" s="261"/>
      <c r="Z86" s="261"/>
      <c r="AA86" s="261"/>
      <c r="AB86" s="261"/>
      <c r="AC86" s="266"/>
      <c r="AD86" s="633"/>
      <c r="AE86" s="264">
        <f t="shared" ref="AE86:AM86" si="157">IF(AE54=0,0,AE78/AE54)</f>
        <v>0</v>
      </c>
      <c r="AF86" s="264">
        <f t="shared" si="157"/>
        <v>0</v>
      </c>
      <c r="AG86" s="264">
        <f t="shared" si="157"/>
        <v>0</v>
      </c>
      <c r="AH86" s="264">
        <f t="shared" si="157"/>
        <v>0</v>
      </c>
      <c r="AI86" s="264">
        <f t="shared" si="157"/>
        <v>0</v>
      </c>
      <c r="AJ86" s="264">
        <f t="shared" si="157"/>
        <v>0</v>
      </c>
      <c r="AK86" s="264">
        <f t="shared" si="157"/>
        <v>0</v>
      </c>
      <c r="AL86" s="264">
        <f t="shared" si="157"/>
        <v>0</v>
      </c>
      <c r="AM86" s="264">
        <f t="shared" si="157"/>
        <v>0</v>
      </c>
      <c r="AN86" s="260"/>
      <c r="AO86" s="264">
        <f t="shared" ref="AO86" si="158">IF(AO54=0,0,AO78/AO54)</f>
        <v>0</v>
      </c>
      <c r="AP86" s="260"/>
      <c r="AQ86" s="264"/>
      <c r="AR86" s="264" t="str">
        <f>VLOOKUP($I86,TableInputsData[],ReadMe!$M$3,FALSE)&amp;"  |  "&amp;VLOOKUP($K86,TableInputsData[],ReadMe!$M$3,FALSE)</f>
        <v>PRODUIT 02  |  PRIX MOYEN D'ACHAT PAR PRODUIT/SERVICE</v>
      </c>
      <c r="AS86" s="264"/>
      <c r="AT86" s="294"/>
    </row>
    <row r="87" spans="1:46" ht="13" hidden="1" x14ac:dyDescent="0.2">
      <c r="A87" s="294"/>
      <c r="B87" s="925"/>
      <c r="C87" s="272">
        <v>80</v>
      </c>
      <c r="D87" s="250">
        <f t="shared" si="90"/>
        <v>1</v>
      </c>
      <c r="E87" s="251"/>
      <c r="F87" s="248" t="str">
        <f t="shared" si="150"/>
        <v>YEAR3</v>
      </c>
      <c r="G87" s="250">
        <f>VLOOKUP(F87,TableInputsData[],$G$6,FALSE)</f>
        <v>2027</v>
      </c>
      <c r="H87" s="250" t="str">
        <f t="shared" si="91"/>
        <v>PRODUCT</v>
      </c>
      <c r="I87" s="248" t="str">
        <f t="shared" si="91"/>
        <v>PRODUCT 02</v>
      </c>
      <c r="J87" s="248" t="str">
        <f>VLOOKUP(I87,TableInputsData[],$J$6,FALSE)</f>
        <v>ABC</v>
      </c>
      <c r="K87" s="248" t="str">
        <f t="shared" si="155"/>
        <v>AVERAGE COST OF GOODS SOLD PER UNIT</v>
      </c>
      <c r="L87" s="256"/>
      <c r="M87" s="256"/>
      <c r="N87" s="256"/>
      <c r="O87" s="266"/>
      <c r="P87" s="261"/>
      <c r="Q87" s="261"/>
      <c r="R87" s="261"/>
      <c r="S87" s="629"/>
      <c r="T87" s="629"/>
      <c r="U87" s="629"/>
      <c r="V87" s="629"/>
      <c r="W87" s="261"/>
      <c r="X87" s="261"/>
      <c r="Y87" s="261"/>
      <c r="Z87" s="261"/>
      <c r="AA87" s="261"/>
      <c r="AB87" s="261"/>
      <c r="AC87" s="266"/>
      <c r="AD87" s="633"/>
      <c r="AE87" s="264">
        <f t="shared" ref="AE87:AM87" si="159">IF(AE55=0,0,AE79/AE55)</f>
        <v>0</v>
      </c>
      <c r="AF87" s="264">
        <f t="shared" si="159"/>
        <v>0</v>
      </c>
      <c r="AG87" s="264">
        <f t="shared" si="159"/>
        <v>0</v>
      </c>
      <c r="AH87" s="264">
        <f t="shared" si="159"/>
        <v>0</v>
      </c>
      <c r="AI87" s="264">
        <f t="shared" si="159"/>
        <v>0</v>
      </c>
      <c r="AJ87" s="264">
        <f t="shared" si="159"/>
        <v>0</v>
      </c>
      <c r="AK87" s="264">
        <f t="shared" si="159"/>
        <v>0</v>
      </c>
      <c r="AL87" s="264">
        <f t="shared" si="159"/>
        <v>0</v>
      </c>
      <c r="AM87" s="264">
        <f t="shared" si="159"/>
        <v>0</v>
      </c>
      <c r="AN87" s="260"/>
      <c r="AO87" s="264">
        <f t="shared" ref="AO87" si="160">IF(AO55=0,0,AO79/AO55)</f>
        <v>0</v>
      </c>
      <c r="AP87" s="260"/>
      <c r="AQ87" s="264"/>
      <c r="AR87" s="264" t="str">
        <f>VLOOKUP($I87,TableInputsData[],ReadMe!$M$3,FALSE)&amp;"  |  "&amp;VLOOKUP($K87,TableInputsData[],ReadMe!$M$3,FALSE)</f>
        <v>PRODUIT 02  |  PRIX MOYEN D'ACHAT PAR PRODUIT/SERVICE</v>
      </c>
      <c r="AS87" s="264"/>
      <c r="AT87" s="294"/>
    </row>
    <row r="88" spans="1:46" ht="13" hidden="1" x14ac:dyDescent="0.2">
      <c r="A88" s="294"/>
      <c r="B88" s="925"/>
      <c r="C88" s="272">
        <v>81</v>
      </c>
      <c r="D88" s="250">
        <f t="shared" si="90"/>
        <v>1</v>
      </c>
      <c r="E88" s="251"/>
      <c r="F88" s="248" t="str">
        <f t="shared" si="150"/>
        <v>YEAR4</v>
      </c>
      <c r="G88" s="250">
        <f>VLOOKUP(F88,TableInputsData[],$G$6,FALSE)</f>
        <v>2028</v>
      </c>
      <c r="H88" s="250" t="str">
        <f t="shared" si="91"/>
        <v>PRODUCT</v>
      </c>
      <c r="I88" s="248" t="str">
        <f t="shared" si="91"/>
        <v>PRODUCT 02</v>
      </c>
      <c r="J88" s="248" t="str">
        <f>VLOOKUP(I88,TableInputsData[],$J$6,FALSE)</f>
        <v>ABC</v>
      </c>
      <c r="K88" s="248" t="str">
        <f t="shared" si="155"/>
        <v>AVERAGE COST OF GOODS SOLD PER UNIT</v>
      </c>
      <c r="L88" s="256"/>
      <c r="M88" s="256"/>
      <c r="N88" s="256"/>
      <c r="O88" s="266"/>
      <c r="P88" s="261"/>
      <c r="Q88" s="261"/>
      <c r="R88" s="261"/>
      <c r="S88" s="629"/>
      <c r="T88" s="629"/>
      <c r="U88" s="629"/>
      <c r="V88" s="629"/>
      <c r="W88" s="261"/>
      <c r="X88" s="261"/>
      <c r="Y88" s="261"/>
      <c r="Z88" s="261"/>
      <c r="AA88" s="261"/>
      <c r="AB88" s="261"/>
      <c r="AC88" s="266"/>
      <c r="AD88" s="633"/>
      <c r="AE88" s="264">
        <f t="shared" ref="AE88:AM88" si="161">IF(AE56=0,0,AE80/AE56)</f>
        <v>0</v>
      </c>
      <c r="AF88" s="264">
        <f t="shared" si="161"/>
        <v>0</v>
      </c>
      <c r="AG88" s="264">
        <f t="shared" si="161"/>
        <v>0</v>
      </c>
      <c r="AH88" s="264">
        <f t="shared" si="161"/>
        <v>0</v>
      </c>
      <c r="AI88" s="264">
        <f t="shared" si="161"/>
        <v>0</v>
      </c>
      <c r="AJ88" s="264">
        <f t="shared" si="161"/>
        <v>0</v>
      </c>
      <c r="AK88" s="264">
        <f t="shared" si="161"/>
        <v>0</v>
      </c>
      <c r="AL88" s="264">
        <f t="shared" si="161"/>
        <v>0</v>
      </c>
      <c r="AM88" s="264">
        <f t="shared" si="161"/>
        <v>0</v>
      </c>
      <c r="AN88" s="260"/>
      <c r="AO88" s="264">
        <f t="shared" ref="AO88" si="162">IF(AO56=0,0,AO80/AO56)</f>
        <v>0</v>
      </c>
      <c r="AP88" s="260"/>
      <c r="AQ88" s="264"/>
      <c r="AR88" s="264" t="str">
        <f>VLOOKUP($I88,TableInputsData[],ReadMe!$M$3,FALSE)&amp;"  |  "&amp;VLOOKUP($K88,TableInputsData[],ReadMe!$M$3,FALSE)</f>
        <v>PRODUIT 02  |  PRIX MOYEN D'ACHAT PAR PRODUIT/SERVICE</v>
      </c>
      <c r="AS88" s="264"/>
      <c r="AT88" s="294"/>
    </row>
    <row r="89" spans="1:46" ht="13" hidden="1" x14ac:dyDescent="0.2">
      <c r="A89" s="294"/>
      <c r="B89" s="925"/>
      <c r="C89" s="272">
        <v>82</v>
      </c>
      <c r="D89" s="250">
        <f t="shared" si="90"/>
        <v>1</v>
      </c>
      <c r="E89" s="251"/>
      <c r="F89" s="248" t="str">
        <f t="shared" si="150"/>
        <v>YEAR5</v>
      </c>
      <c r="G89" s="250">
        <f>VLOOKUP(F89,TableInputsData[],$G$6,FALSE)</f>
        <v>2029</v>
      </c>
      <c r="H89" s="250" t="str">
        <f t="shared" si="91"/>
        <v>PRODUCT</v>
      </c>
      <c r="I89" s="248" t="str">
        <f t="shared" si="91"/>
        <v>PRODUCT 02</v>
      </c>
      <c r="J89" s="248" t="str">
        <f>VLOOKUP(I89,TableInputsData[],$J$6,FALSE)</f>
        <v>ABC</v>
      </c>
      <c r="K89" s="248" t="str">
        <f t="shared" si="155"/>
        <v>AVERAGE COST OF GOODS SOLD PER UNIT</v>
      </c>
      <c r="L89" s="256"/>
      <c r="M89" s="256"/>
      <c r="N89" s="256"/>
      <c r="O89" s="266"/>
      <c r="P89" s="261"/>
      <c r="Q89" s="261"/>
      <c r="R89" s="261"/>
      <c r="S89" s="629"/>
      <c r="T89" s="629"/>
      <c r="U89" s="629"/>
      <c r="V89" s="629"/>
      <c r="W89" s="261"/>
      <c r="X89" s="261"/>
      <c r="Y89" s="261"/>
      <c r="Z89" s="261"/>
      <c r="AA89" s="261"/>
      <c r="AB89" s="261"/>
      <c r="AC89" s="266"/>
      <c r="AD89" s="633"/>
      <c r="AE89" s="264">
        <f t="shared" ref="AE89:AM89" si="163">IF(AE57=0,0,AE81/AE57)</f>
        <v>0</v>
      </c>
      <c r="AF89" s="264">
        <f t="shared" si="163"/>
        <v>0</v>
      </c>
      <c r="AG89" s="264">
        <f t="shared" si="163"/>
        <v>0</v>
      </c>
      <c r="AH89" s="264">
        <f t="shared" si="163"/>
        <v>0</v>
      </c>
      <c r="AI89" s="264">
        <f t="shared" si="163"/>
        <v>0</v>
      </c>
      <c r="AJ89" s="264">
        <f t="shared" si="163"/>
        <v>0</v>
      </c>
      <c r="AK89" s="264">
        <f t="shared" si="163"/>
        <v>0</v>
      </c>
      <c r="AL89" s="264">
        <f t="shared" si="163"/>
        <v>0</v>
      </c>
      <c r="AM89" s="264">
        <f t="shared" si="163"/>
        <v>0</v>
      </c>
      <c r="AN89" s="260"/>
      <c r="AO89" s="264">
        <f t="shared" ref="AO89" si="164">IF(AO57=0,0,AO81/AO57)</f>
        <v>0</v>
      </c>
      <c r="AP89" s="260"/>
      <c r="AQ89" s="264"/>
      <c r="AR89" s="264" t="str">
        <f>VLOOKUP($I89,TableInputsData[],ReadMe!$M$3,FALSE)&amp;"  |  "&amp;VLOOKUP($K89,TableInputsData[],ReadMe!$M$3,FALSE)</f>
        <v>PRODUIT 02  |  PRIX MOYEN D'ACHAT PAR PRODUIT/SERVICE</v>
      </c>
      <c r="AS89" s="264"/>
      <c r="AT89" s="294"/>
    </row>
    <row r="90" spans="1:46" ht="13" hidden="1" x14ac:dyDescent="0.2">
      <c r="A90" s="294"/>
      <c r="B90" s="925"/>
      <c r="C90" s="272">
        <v>83</v>
      </c>
      <c r="D90" s="250">
        <f t="shared" si="90"/>
        <v>1</v>
      </c>
      <c r="E90" s="251"/>
      <c r="F90" s="248" t="str">
        <f t="shared" si="150"/>
        <v>YEAR6</v>
      </c>
      <c r="G90" s="250">
        <f>VLOOKUP(F90,TableInputsData[],$G$6,FALSE)</f>
        <v>2030</v>
      </c>
      <c r="H90" s="250" t="str">
        <f t="shared" si="91"/>
        <v>PRODUCT</v>
      </c>
      <c r="I90" s="248" t="str">
        <f t="shared" si="91"/>
        <v>PRODUCT 02</v>
      </c>
      <c r="J90" s="248" t="str">
        <f>VLOOKUP(I90,TableInputsData[],$J$6,FALSE)</f>
        <v>ABC</v>
      </c>
      <c r="K90" s="248" t="str">
        <f t="shared" si="155"/>
        <v>AVERAGE COST OF GOODS SOLD PER UNIT</v>
      </c>
      <c r="L90" s="256"/>
      <c r="M90" s="256"/>
      <c r="N90" s="256"/>
      <c r="O90" s="266"/>
      <c r="P90" s="261"/>
      <c r="Q90" s="261"/>
      <c r="R90" s="261"/>
      <c r="S90" s="629"/>
      <c r="T90" s="629"/>
      <c r="U90" s="629"/>
      <c r="V90" s="629"/>
      <c r="W90" s="261"/>
      <c r="X90" s="261"/>
      <c r="Y90" s="261"/>
      <c r="Z90" s="261"/>
      <c r="AA90" s="261"/>
      <c r="AB90" s="261"/>
      <c r="AC90" s="266"/>
      <c r="AD90" s="633"/>
      <c r="AE90" s="264">
        <f t="shared" ref="AE90:AM90" si="165">IF(AE58=0,0,AE82/AE58)</f>
        <v>0</v>
      </c>
      <c r="AF90" s="264">
        <f t="shared" si="165"/>
        <v>0</v>
      </c>
      <c r="AG90" s="264">
        <f t="shared" si="165"/>
        <v>0</v>
      </c>
      <c r="AH90" s="264">
        <f t="shared" si="165"/>
        <v>0</v>
      </c>
      <c r="AI90" s="264">
        <f t="shared" si="165"/>
        <v>0</v>
      </c>
      <c r="AJ90" s="264">
        <f t="shared" si="165"/>
        <v>0</v>
      </c>
      <c r="AK90" s="264">
        <f t="shared" si="165"/>
        <v>0</v>
      </c>
      <c r="AL90" s="264">
        <f t="shared" si="165"/>
        <v>0</v>
      </c>
      <c r="AM90" s="264">
        <f t="shared" si="165"/>
        <v>0</v>
      </c>
      <c r="AN90" s="260"/>
      <c r="AO90" s="264">
        <f t="shared" ref="AO90" si="166">IF(AO58=0,0,AO82/AO58)</f>
        <v>0</v>
      </c>
      <c r="AP90" s="260"/>
      <c r="AQ90" s="264"/>
      <c r="AR90" s="264" t="str">
        <f>VLOOKUP($I90,TableInputsData[],ReadMe!$M$3,FALSE)&amp;"  |  "&amp;VLOOKUP($K90,TableInputsData[],ReadMe!$M$3,FALSE)</f>
        <v>PRODUIT 02  |  PRIX MOYEN D'ACHAT PAR PRODUIT/SERVICE</v>
      </c>
      <c r="AS90" s="264"/>
      <c r="AT90" s="294"/>
    </row>
    <row r="91" spans="1:46" ht="13" x14ac:dyDescent="0.2">
      <c r="A91" s="294"/>
      <c r="B91" s="925"/>
      <c r="C91" s="273">
        <v>84</v>
      </c>
      <c r="D91" s="253">
        <v>0</v>
      </c>
      <c r="E91" s="253">
        <v>1</v>
      </c>
      <c r="F91" s="252"/>
      <c r="G91" s="253"/>
      <c r="H91" s="253"/>
      <c r="I91" s="252"/>
      <c r="J91" s="252"/>
      <c r="K91" s="252"/>
      <c r="L91" s="257"/>
      <c r="M91" s="257"/>
      <c r="N91" s="257"/>
      <c r="O91" s="267"/>
      <c r="P91" s="262"/>
      <c r="Q91" s="262"/>
      <c r="R91" s="262"/>
      <c r="S91" s="631"/>
      <c r="T91" s="631"/>
      <c r="U91" s="631"/>
      <c r="V91" s="631"/>
      <c r="W91" s="262"/>
      <c r="X91" s="262"/>
      <c r="Y91" s="262"/>
      <c r="Z91" s="262"/>
      <c r="AA91" s="262"/>
      <c r="AB91" s="262"/>
      <c r="AC91" s="267"/>
      <c r="AD91" s="635"/>
      <c r="AE91" s="270"/>
      <c r="AF91" s="270"/>
      <c r="AG91" s="270"/>
      <c r="AH91" s="270"/>
      <c r="AI91" s="270"/>
      <c r="AJ91" s="270"/>
      <c r="AK91" s="270"/>
      <c r="AL91" s="270"/>
      <c r="AM91" s="270"/>
      <c r="AN91" s="643"/>
      <c r="AO91" s="270"/>
      <c r="AP91" s="270"/>
      <c r="AQ91" s="270"/>
      <c r="AR91" s="270"/>
      <c r="AS91" s="270"/>
      <c r="AT91" s="294"/>
    </row>
    <row r="92" spans="1:46" ht="13" hidden="1" x14ac:dyDescent="0.2">
      <c r="A92" s="294"/>
      <c r="B92" s="924" t="str">
        <f>I93&amp;"___"</f>
        <v>PRODUCT 03___</v>
      </c>
      <c r="C92" s="271">
        <v>85</v>
      </c>
      <c r="D92" s="250">
        <v>0</v>
      </c>
      <c r="E92" s="250"/>
      <c r="F92" s="248"/>
      <c r="G92" s="250"/>
      <c r="H92" s="250"/>
      <c r="I92" s="248"/>
      <c r="J92" s="248"/>
      <c r="K92" s="248"/>
      <c r="L92" s="254"/>
      <c r="M92" s="254"/>
      <c r="N92" s="254"/>
      <c r="O92" s="264"/>
      <c r="P92" s="259"/>
      <c r="Q92" s="259"/>
      <c r="R92" s="259"/>
      <c r="S92" s="628"/>
      <c r="T92" s="628"/>
      <c r="U92" s="628"/>
      <c r="V92" s="628"/>
      <c r="W92" s="259"/>
      <c r="X92" s="259"/>
      <c r="Y92" s="259"/>
      <c r="Z92" s="259"/>
      <c r="AA92" s="259"/>
      <c r="AB92" s="259"/>
      <c r="AC92" s="264"/>
      <c r="AD92" s="609"/>
      <c r="AE92" s="269"/>
      <c r="AF92" s="269"/>
      <c r="AG92" s="269"/>
      <c r="AH92" s="269"/>
      <c r="AI92" s="269"/>
      <c r="AJ92" s="269"/>
      <c r="AK92" s="269"/>
      <c r="AL92" s="269"/>
      <c r="AM92" s="269"/>
      <c r="AN92" s="642"/>
      <c r="AO92" s="269"/>
      <c r="AP92" s="269"/>
      <c r="AQ92" s="269"/>
      <c r="AR92" s="269"/>
      <c r="AS92" s="269"/>
      <c r="AT92" s="294"/>
    </row>
    <row r="93" spans="1:46" ht="13" x14ac:dyDescent="0.2">
      <c r="A93" s="294"/>
      <c r="B93" s="924"/>
      <c r="C93" s="271">
        <v>86</v>
      </c>
      <c r="D93" s="250">
        <f>VLOOKUP($I93,TableInputsData[],$D$6,FALSE)</f>
        <v>0</v>
      </c>
      <c r="E93" s="250">
        <v>1</v>
      </c>
      <c r="F93" s="248" t="s">
        <v>392</v>
      </c>
      <c r="G93" s="250">
        <f>VLOOKUP(F93,TableInputsData[],$G$6,FALSE)</f>
        <v>2023</v>
      </c>
      <c r="H93" s="250" t="s">
        <v>588</v>
      </c>
      <c r="I93" s="248" t="s">
        <v>539</v>
      </c>
      <c r="J93" s="248" t="str">
        <f>VLOOKUP(I93,TableInputsData[],$J$6,FALSE)</f>
        <v>-</v>
      </c>
      <c r="K93" s="248" t="s">
        <v>261</v>
      </c>
      <c r="L93" s="499">
        <v>1000</v>
      </c>
      <c r="M93" s="499">
        <v>0</v>
      </c>
      <c r="N93" s="499">
        <v>0</v>
      </c>
      <c r="O93" s="264">
        <f t="shared" ref="O93:O100" si="167">$L93*$P93+$M93*$Q93+$N93*$R93</f>
        <v>1000</v>
      </c>
      <c r="P93" s="500">
        <v>1</v>
      </c>
      <c r="Q93" s="500">
        <v>0</v>
      </c>
      <c r="R93" s="259">
        <f>1-$P93-$Q93</f>
        <v>0</v>
      </c>
      <c r="S93" s="626">
        <v>500</v>
      </c>
      <c r="T93" s="626">
        <v>0</v>
      </c>
      <c r="U93" s="626">
        <v>0</v>
      </c>
      <c r="V93" s="628">
        <f>AI125</f>
        <v>0</v>
      </c>
      <c r="W93" s="500">
        <v>1</v>
      </c>
      <c r="X93" s="500">
        <v>1</v>
      </c>
      <c r="Y93" s="500">
        <v>1</v>
      </c>
      <c r="Z93" s="259">
        <f t="shared" ref="Z93:Z100" si="168">1-$W93</f>
        <v>0</v>
      </c>
      <c r="AA93" s="259">
        <f t="shared" ref="AA93:AA100" si="169">1-$X93</f>
        <v>0</v>
      </c>
      <c r="AB93" s="259">
        <f t="shared" ref="AB93:AB100" si="170">1-$Y93</f>
        <v>0</v>
      </c>
      <c r="AC93" s="628">
        <f>AM125</f>
        <v>0</v>
      </c>
      <c r="AD93" s="628">
        <f>AO125</f>
        <v>0</v>
      </c>
      <c r="AE93" s="501">
        <v>0</v>
      </c>
      <c r="AF93" s="501">
        <v>0</v>
      </c>
      <c r="AG93" s="501">
        <v>0</v>
      </c>
      <c r="AH93" s="501">
        <v>0</v>
      </c>
      <c r="AI93" s="264">
        <f t="shared" ref="AI93:AI96" si="171">$AE93+$AF93+$AG93+$AH93</f>
        <v>0</v>
      </c>
      <c r="AJ93" s="264">
        <f t="shared" ref="AJ93:AJ100" si="172">$AI93*$P93</f>
        <v>0</v>
      </c>
      <c r="AK93" s="264">
        <f t="shared" ref="AK93:AK100" si="173">$AI93*$Q93</f>
        <v>0</v>
      </c>
      <c r="AL93" s="264">
        <f t="shared" ref="AL93:AL100" si="174">$AI93*$R93</f>
        <v>0</v>
      </c>
      <c r="AM93" s="264">
        <f t="shared" ref="AM93:AM100" si="175">$AJ93*$W93+$AK93*$X93+$AL93*$Y93</f>
        <v>0</v>
      </c>
      <c r="AN93" s="640">
        <f>IF(AI93=0,0,AM93/AI93)</f>
        <v>0</v>
      </c>
      <c r="AO93" s="264">
        <f t="shared" ref="AO93:AO100" si="176">$AJ93*$Z93+$AK93*$AA93+$AL93*$AB93</f>
        <v>0</v>
      </c>
      <c r="AP93" s="640">
        <f t="shared" ref="AP93:AP108" si="177">IF(AI93=0,0,AO93/AI93)</f>
        <v>0</v>
      </c>
      <c r="AQ93" s="264" t="str">
        <f>VLOOKUP(I93,TableInputsData[],$AQ$6,FALSE)</f>
        <v>GAMME # : 1 + CANAL DE DISTRIBUTION # : 1</v>
      </c>
      <c r="AR93" s="264" t="str">
        <f>VLOOKUP($I93,TableInputsData[],ReadMe!$M$3,FALSE)&amp;"  |  "&amp;VLOOKUP($K93,TableInputsData[],ReadMe!$M$3,FALSE)</f>
        <v>PRODUIT 03  |  VOLUME</v>
      </c>
      <c r="AS93" s="264" t="b">
        <f t="shared" ref="AS93:AS100" si="178">AND(EXACT(ROUND(AI93,2),ROUND(AJ93+AK93+AL93,2)),EXACT(ROUND(AI93,2),ROUND(AM93+AO93,2)),EXACT(SUM(P93:R93),1),IF(R93&lt;0,FALSE,TRUE),EXACT(SUM(W93:AB93),3),MIN(W93:Y93)&gt;=0, MAX(W93:Y93)&lt;=1)</f>
        <v>1</v>
      </c>
      <c r="AT93" s="294"/>
    </row>
    <row r="94" spans="1:46" ht="13" x14ac:dyDescent="0.2">
      <c r="A94" s="294"/>
      <c r="B94" s="924"/>
      <c r="C94" s="271">
        <v>87</v>
      </c>
      <c r="D94" s="250">
        <f>D93</f>
        <v>0</v>
      </c>
      <c r="E94" s="250">
        <v>1</v>
      </c>
      <c r="F94" s="248" t="s">
        <v>391</v>
      </c>
      <c r="G94" s="250">
        <f>VLOOKUP(F94,TableInputsData[],$G$6,FALSE)</f>
        <v>2024</v>
      </c>
      <c r="H94" s="250" t="str">
        <f>H93</f>
        <v>PRODUCT</v>
      </c>
      <c r="I94" s="248" t="str">
        <f>I93</f>
        <v>PRODUCT 03</v>
      </c>
      <c r="J94" s="248" t="str">
        <f>VLOOKUP(I94,TableInputsData[],$J$6,FALSE)</f>
        <v>-</v>
      </c>
      <c r="K94" s="248" t="str">
        <f>K93</f>
        <v>VOLUME</v>
      </c>
      <c r="L94" s="499">
        <v>1000</v>
      </c>
      <c r="M94" s="499">
        <v>0</v>
      </c>
      <c r="N94" s="499">
        <v>0</v>
      </c>
      <c r="O94" s="264">
        <f t="shared" si="167"/>
        <v>1000</v>
      </c>
      <c r="P94" s="500">
        <v>1</v>
      </c>
      <c r="Q94" s="500">
        <v>0</v>
      </c>
      <c r="R94" s="259">
        <f t="shared" ref="R94:R100" si="179">1-$P94-$Q94</f>
        <v>0</v>
      </c>
      <c r="S94" s="626">
        <v>500</v>
      </c>
      <c r="T94" s="626">
        <v>0</v>
      </c>
      <c r="U94" s="626">
        <v>0</v>
      </c>
      <c r="V94" s="628">
        <f t="shared" ref="V94:V100" si="180">AI126</f>
        <v>0</v>
      </c>
      <c r="W94" s="500">
        <v>1</v>
      </c>
      <c r="X94" s="500">
        <v>1</v>
      </c>
      <c r="Y94" s="500">
        <v>1</v>
      </c>
      <c r="Z94" s="259">
        <f t="shared" si="168"/>
        <v>0</v>
      </c>
      <c r="AA94" s="259">
        <f t="shared" si="169"/>
        <v>0</v>
      </c>
      <c r="AB94" s="259">
        <f t="shared" si="170"/>
        <v>0</v>
      </c>
      <c r="AC94" s="628">
        <f t="shared" ref="AC94:AC100" si="181">AM126</f>
        <v>0</v>
      </c>
      <c r="AD94" s="628">
        <f t="shared" ref="AD94:AD100" si="182">AO126</f>
        <v>0</v>
      </c>
      <c r="AE94" s="501">
        <v>0</v>
      </c>
      <c r="AF94" s="501">
        <v>0</v>
      </c>
      <c r="AG94" s="501">
        <v>0</v>
      </c>
      <c r="AH94" s="501">
        <v>0</v>
      </c>
      <c r="AI94" s="264">
        <f t="shared" si="171"/>
        <v>0</v>
      </c>
      <c r="AJ94" s="264">
        <f t="shared" si="172"/>
        <v>0</v>
      </c>
      <c r="AK94" s="264">
        <f t="shared" si="173"/>
        <v>0</v>
      </c>
      <c r="AL94" s="264">
        <f t="shared" si="174"/>
        <v>0</v>
      </c>
      <c r="AM94" s="264">
        <f t="shared" si="175"/>
        <v>0</v>
      </c>
      <c r="AN94" s="640">
        <f t="shared" ref="AN94:AN108" si="183">IF(AI94=0,0,AM94/AI94)</f>
        <v>0</v>
      </c>
      <c r="AO94" s="264">
        <f t="shared" si="176"/>
        <v>0</v>
      </c>
      <c r="AP94" s="640">
        <f t="shared" si="177"/>
        <v>0</v>
      </c>
      <c r="AQ94" s="501"/>
      <c r="AR94" s="264" t="str">
        <f>VLOOKUP($I94,TableInputsData[],ReadMe!$M$3,FALSE)&amp;"  |  "&amp;VLOOKUP($K94,TableInputsData[],ReadMe!$M$3,FALSE)</f>
        <v>PRODUIT 03  |  VOLUME</v>
      </c>
      <c r="AS94" s="264" t="b">
        <f t="shared" si="178"/>
        <v>1</v>
      </c>
      <c r="AT94" s="294"/>
    </row>
    <row r="95" spans="1:46" ht="13" x14ac:dyDescent="0.2">
      <c r="A95" s="294"/>
      <c r="B95" s="924"/>
      <c r="C95" s="271">
        <v>88</v>
      </c>
      <c r="D95" s="250">
        <f t="shared" ref="D95:D132" si="184">D94</f>
        <v>0</v>
      </c>
      <c r="E95" s="250">
        <v>1</v>
      </c>
      <c r="F95" s="248" t="s">
        <v>393</v>
      </c>
      <c r="G95" s="250">
        <f>VLOOKUP(F95,TableInputsData[],$G$6,FALSE)</f>
        <v>2025</v>
      </c>
      <c r="H95" s="250" t="str">
        <f t="shared" ref="H95:I132" si="185">H94</f>
        <v>PRODUCT</v>
      </c>
      <c r="I95" s="248" t="str">
        <f t="shared" si="185"/>
        <v>PRODUCT 03</v>
      </c>
      <c r="J95" s="248" t="str">
        <f>VLOOKUP(I95,TableInputsData[],$J$6,FALSE)</f>
        <v>-</v>
      </c>
      <c r="K95" s="248" t="str">
        <f t="shared" ref="K95:K100" si="186">K94</f>
        <v>VOLUME</v>
      </c>
      <c r="L95" s="499">
        <v>1000</v>
      </c>
      <c r="M95" s="499">
        <v>0</v>
      </c>
      <c r="N95" s="499">
        <v>0</v>
      </c>
      <c r="O95" s="264">
        <f t="shared" si="167"/>
        <v>1000</v>
      </c>
      <c r="P95" s="500">
        <v>1</v>
      </c>
      <c r="Q95" s="500">
        <v>0</v>
      </c>
      <c r="R95" s="259">
        <f t="shared" si="179"/>
        <v>0</v>
      </c>
      <c r="S95" s="626">
        <v>500</v>
      </c>
      <c r="T95" s="626">
        <v>0</v>
      </c>
      <c r="U95" s="626">
        <v>0</v>
      </c>
      <c r="V95" s="628">
        <f t="shared" si="180"/>
        <v>0</v>
      </c>
      <c r="W95" s="500">
        <v>1</v>
      </c>
      <c r="X95" s="500">
        <v>1</v>
      </c>
      <c r="Y95" s="500">
        <v>1</v>
      </c>
      <c r="Z95" s="259">
        <f t="shared" si="168"/>
        <v>0</v>
      </c>
      <c r="AA95" s="259">
        <f t="shared" si="169"/>
        <v>0</v>
      </c>
      <c r="AB95" s="259">
        <f t="shared" si="170"/>
        <v>0</v>
      </c>
      <c r="AC95" s="628">
        <f t="shared" si="181"/>
        <v>0</v>
      </c>
      <c r="AD95" s="628">
        <f t="shared" si="182"/>
        <v>0</v>
      </c>
      <c r="AE95" s="501">
        <v>0</v>
      </c>
      <c r="AF95" s="501">
        <v>0</v>
      </c>
      <c r="AG95" s="501">
        <v>0</v>
      </c>
      <c r="AH95" s="501">
        <v>0</v>
      </c>
      <c r="AI95" s="264">
        <f t="shared" si="171"/>
        <v>0</v>
      </c>
      <c r="AJ95" s="264">
        <f t="shared" si="172"/>
        <v>0</v>
      </c>
      <c r="AK95" s="264">
        <f t="shared" si="173"/>
        <v>0</v>
      </c>
      <c r="AL95" s="264">
        <f t="shared" si="174"/>
        <v>0</v>
      </c>
      <c r="AM95" s="264">
        <f t="shared" si="175"/>
        <v>0</v>
      </c>
      <c r="AN95" s="640">
        <f t="shared" si="183"/>
        <v>0</v>
      </c>
      <c r="AO95" s="264">
        <f t="shared" si="176"/>
        <v>0</v>
      </c>
      <c r="AP95" s="640">
        <f t="shared" si="177"/>
        <v>0</v>
      </c>
      <c r="AQ95" s="501"/>
      <c r="AR95" s="264" t="str">
        <f>VLOOKUP($I95,TableInputsData[],ReadMe!$M$3,FALSE)&amp;"  |  "&amp;VLOOKUP($K95,TableInputsData[],ReadMe!$M$3,FALSE)</f>
        <v>PRODUIT 03  |  VOLUME</v>
      </c>
      <c r="AS95" s="264" t="b">
        <f t="shared" si="178"/>
        <v>1</v>
      </c>
      <c r="AT95" s="294"/>
    </row>
    <row r="96" spans="1:46" ht="13" x14ac:dyDescent="0.2">
      <c r="A96" s="294"/>
      <c r="B96" s="924"/>
      <c r="C96" s="271">
        <v>89</v>
      </c>
      <c r="D96" s="250">
        <f t="shared" si="184"/>
        <v>0</v>
      </c>
      <c r="E96" s="250">
        <v>1</v>
      </c>
      <c r="F96" s="248" t="s">
        <v>396</v>
      </c>
      <c r="G96" s="250">
        <f>VLOOKUP(F96,TableInputsData[],$G$6,FALSE)</f>
        <v>2026</v>
      </c>
      <c r="H96" s="250" t="str">
        <f t="shared" si="185"/>
        <v>PRODUCT</v>
      </c>
      <c r="I96" s="248" t="str">
        <f t="shared" si="185"/>
        <v>PRODUCT 03</v>
      </c>
      <c r="J96" s="248" t="str">
        <f>VLOOKUP(I96,TableInputsData[],$J$6,FALSE)</f>
        <v>-</v>
      </c>
      <c r="K96" s="248" t="str">
        <f t="shared" si="186"/>
        <v>VOLUME</v>
      </c>
      <c r="L96" s="499">
        <v>1000</v>
      </c>
      <c r="M96" s="499">
        <v>0</v>
      </c>
      <c r="N96" s="499">
        <v>0</v>
      </c>
      <c r="O96" s="264">
        <f t="shared" si="167"/>
        <v>1000</v>
      </c>
      <c r="P96" s="500">
        <v>1</v>
      </c>
      <c r="Q96" s="500">
        <v>0</v>
      </c>
      <c r="R96" s="259">
        <f t="shared" si="179"/>
        <v>0</v>
      </c>
      <c r="S96" s="626">
        <v>500</v>
      </c>
      <c r="T96" s="626">
        <v>0</v>
      </c>
      <c r="U96" s="626">
        <v>0</v>
      </c>
      <c r="V96" s="628">
        <f t="shared" si="180"/>
        <v>0</v>
      </c>
      <c r="W96" s="500">
        <v>1</v>
      </c>
      <c r="X96" s="500">
        <v>1</v>
      </c>
      <c r="Y96" s="500">
        <v>1</v>
      </c>
      <c r="Z96" s="259">
        <f t="shared" si="168"/>
        <v>0</v>
      </c>
      <c r="AA96" s="259">
        <f t="shared" si="169"/>
        <v>0</v>
      </c>
      <c r="AB96" s="259">
        <f t="shared" si="170"/>
        <v>0</v>
      </c>
      <c r="AC96" s="628">
        <f t="shared" si="181"/>
        <v>0</v>
      </c>
      <c r="AD96" s="628">
        <f t="shared" si="182"/>
        <v>0</v>
      </c>
      <c r="AE96" s="501">
        <v>0</v>
      </c>
      <c r="AF96" s="501">
        <v>0</v>
      </c>
      <c r="AG96" s="501">
        <v>0</v>
      </c>
      <c r="AH96" s="501">
        <v>0</v>
      </c>
      <c r="AI96" s="264">
        <f t="shared" si="171"/>
        <v>0</v>
      </c>
      <c r="AJ96" s="264">
        <f t="shared" si="172"/>
        <v>0</v>
      </c>
      <c r="AK96" s="264">
        <f t="shared" si="173"/>
        <v>0</v>
      </c>
      <c r="AL96" s="264">
        <f t="shared" si="174"/>
        <v>0</v>
      </c>
      <c r="AM96" s="264">
        <f t="shared" si="175"/>
        <v>0</v>
      </c>
      <c r="AN96" s="640">
        <f t="shared" si="183"/>
        <v>0</v>
      </c>
      <c r="AO96" s="264">
        <f t="shared" si="176"/>
        <v>0</v>
      </c>
      <c r="AP96" s="640">
        <f t="shared" si="177"/>
        <v>0</v>
      </c>
      <c r="AQ96" s="501"/>
      <c r="AR96" s="264" t="str">
        <f>VLOOKUP($I96,TableInputsData[],ReadMe!$M$3,FALSE)&amp;"  |  "&amp;VLOOKUP($K96,TableInputsData[],ReadMe!$M$3,FALSE)</f>
        <v>PRODUIT 03  |  VOLUME</v>
      </c>
      <c r="AS96" s="264" t="b">
        <f t="shared" si="178"/>
        <v>1</v>
      </c>
      <c r="AT96" s="294"/>
    </row>
    <row r="97" spans="1:46" ht="13" x14ac:dyDescent="0.2">
      <c r="A97" s="294"/>
      <c r="B97" s="924"/>
      <c r="C97" s="271">
        <v>90</v>
      </c>
      <c r="D97" s="250">
        <f t="shared" si="184"/>
        <v>0</v>
      </c>
      <c r="E97" s="250">
        <v>1</v>
      </c>
      <c r="F97" s="248" t="s">
        <v>397</v>
      </c>
      <c r="G97" s="250">
        <f>VLOOKUP(F97,TableInputsData[],$G$6,FALSE)</f>
        <v>2027</v>
      </c>
      <c r="H97" s="250" t="str">
        <f t="shared" si="185"/>
        <v>PRODUCT</v>
      </c>
      <c r="I97" s="248" t="str">
        <f t="shared" si="185"/>
        <v>PRODUCT 03</v>
      </c>
      <c r="J97" s="248" t="str">
        <f>VLOOKUP(I97,TableInputsData[],$J$6,FALSE)</f>
        <v>-</v>
      </c>
      <c r="K97" s="248" t="str">
        <f t="shared" si="186"/>
        <v>VOLUME</v>
      </c>
      <c r="L97" s="499">
        <v>1000</v>
      </c>
      <c r="M97" s="499">
        <v>0</v>
      </c>
      <c r="N97" s="499">
        <v>0</v>
      </c>
      <c r="O97" s="264">
        <f t="shared" si="167"/>
        <v>1000</v>
      </c>
      <c r="P97" s="500">
        <v>1</v>
      </c>
      <c r="Q97" s="500">
        <v>0</v>
      </c>
      <c r="R97" s="259">
        <f t="shared" si="179"/>
        <v>0</v>
      </c>
      <c r="S97" s="626">
        <v>500</v>
      </c>
      <c r="T97" s="626">
        <v>0</v>
      </c>
      <c r="U97" s="626">
        <v>0</v>
      </c>
      <c r="V97" s="628">
        <f t="shared" si="180"/>
        <v>0</v>
      </c>
      <c r="W97" s="500">
        <v>1</v>
      </c>
      <c r="X97" s="500">
        <v>1</v>
      </c>
      <c r="Y97" s="500">
        <v>1</v>
      </c>
      <c r="Z97" s="259">
        <f t="shared" si="168"/>
        <v>0</v>
      </c>
      <c r="AA97" s="259">
        <f t="shared" si="169"/>
        <v>0</v>
      </c>
      <c r="AB97" s="259">
        <f t="shared" si="170"/>
        <v>0</v>
      </c>
      <c r="AC97" s="628">
        <f t="shared" si="181"/>
        <v>0</v>
      </c>
      <c r="AD97" s="628">
        <f t="shared" si="182"/>
        <v>0</v>
      </c>
      <c r="AE97" s="264">
        <f>$AI97/4</f>
        <v>0</v>
      </c>
      <c r="AF97" s="264">
        <f t="shared" ref="AF97:AH100" si="187">$AI97/4</f>
        <v>0</v>
      </c>
      <c r="AG97" s="264">
        <f t="shared" si="187"/>
        <v>0</v>
      </c>
      <c r="AH97" s="264">
        <f t="shared" si="187"/>
        <v>0</v>
      </c>
      <c r="AI97" s="501">
        <v>0</v>
      </c>
      <c r="AJ97" s="264">
        <f t="shared" si="172"/>
        <v>0</v>
      </c>
      <c r="AK97" s="264">
        <f t="shared" si="173"/>
        <v>0</v>
      </c>
      <c r="AL97" s="264">
        <f t="shared" si="174"/>
        <v>0</v>
      </c>
      <c r="AM97" s="264">
        <f t="shared" si="175"/>
        <v>0</v>
      </c>
      <c r="AN97" s="640">
        <f t="shared" si="183"/>
        <v>0</v>
      </c>
      <c r="AO97" s="264">
        <f t="shared" si="176"/>
        <v>0</v>
      </c>
      <c r="AP97" s="640">
        <f t="shared" si="177"/>
        <v>0</v>
      </c>
      <c r="AQ97" s="501"/>
      <c r="AR97" s="264" t="str">
        <f>VLOOKUP($I97,TableInputsData[],ReadMe!$M$3,FALSE)&amp;"  |  "&amp;VLOOKUP($K97,TableInputsData[],ReadMe!$M$3,FALSE)</f>
        <v>PRODUIT 03  |  VOLUME</v>
      </c>
      <c r="AS97" s="264" t="b">
        <f t="shared" si="178"/>
        <v>1</v>
      </c>
      <c r="AT97" s="294"/>
    </row>
    <row r="98" spans="1:46" ht="13" x14ac:dyDescent="0.2">
      <c r="A98" s="294"/>
      <c r="B98" s="924"/>
      <c r="C98" s="271">
        <v>91</v>
      </c>
      <c r="D98" s="250">
        <f t="shared" si="184"/>
        <v>0</v>
      </c>
      <c r="E98" s="250">
        <v>1</v>
      </c>
      <c r="F98" s="248" t="s">
        <v>398</v>
      </c>
      <c r="G98" s="250">
        <f>VLOOKUP(F98,TableInputsData[],$G$6,FALSE)</f>
        <v>2028</v>
      </c>
      <c r="H98" s="250" t="str">
        <f t="shared" si="185"/>
        <v>PRODUCT</v>
      </c>
      <c r="I98" s="248" t="str">
        <f t="shared" si="185"/>
        <v>PRODUCT 03</v>
      </c>
      <c r="J98" s="248" t="str">
        <f>VLOOKUP(I98,TableInputsData[],$J$6,FALSE)</f>
        <v>-</v>
      </c>
      <c r="K98" s="248" t="str">
        <f t="shared" si="186"/>
        <v>VOLUME</v>
      </c>
      <c r="L98" s="499">
        <v>1000</v>
      </c>
      <c r="M98" s="499">
        <v>0</v>
      </c>
      <c r="N98" s="499">
        <v>0</v>
      </c>
      <c r="O98" s="264">
        <f t="shared" si="167"/>
        <v>1000</v>
      </c>
      <c r="P98" s="500">
        <v>1</v>
      </c>
      <c r="Q98" s="500">
        <v>0</v>
      </c>
      <c r="R98" s="259">
        <f t="shared" si="179"/>
        <v>0</v>
      </c>
      <c r="S98" s="626">
        <v>500</v>
      </c>
      <c r="T98" s="626">
        <v>0</v>
      </c>
      <c r="U98" s="626">
        <v>0</v>
      </c>
      <c r="V98" s="628">
        <f t="shared" si="180"/>
        <v>0</v>
      </c>
      <c r="W98" s="500">
        <v>1</v>
      </c>
      <c r="X98" s="500">
        <v>1</v>
      </c>
      <c r="Y98" s="500">
        <v>1</v>
      </c>
      <c r="Z98" s="259">
        <f t="shared" si="168"/>
        <v>0</v>
      </c>
      <c r="AA98" s="259">
        <f t="shared" si="169"/>
        <v>0</v>
      </c>
      <c r="AB98" s="259">
        <f t="shared" si="170"/>
        <v>0</v>
      </c>
      <c r="AC98" s="628">
        <f t="shared" si="181"/>
        <v>0</v>
      </c>
      <c r="AD98" s="628">
        <f t="shared" si="182"/>
        <v>0</v>
      </c>
      <c r="AE98" s="264">
        <f t="shared" ref="AE98:AE100" si="188">$AI98/4</f>
        <v>0</v>
      </c>
      <c r="AF98" s="264">
        <f t="shared" si="187"/>
        <v>0</v>
      </c>
      <c r="AG98" s="264">
        <f t="shared" si="187"/>
        <v>0</v>
      </c>
      <c r="AH98" s="264">
        <f t="shared" si="187"/>
        <v>0</v>
      </c>
      <c r="AI98" s="501">
        <v>0</v>
      </c>
      <c r="AJ98" s="264">
        <f t="shared" si="172"/>
        <v>0</v>
      </c>
      <c r="AK98" s="264">
        <f t="shared" si="173"/>
        <v>0</v>
      </c>
      <c r="AL98" s="264">
        <f t="shared" si="174"/>
        <v>0</v>
      </c>
      <c r="AM98" s="264">
        <f t="shared" si="175"/>
        <v>0</v>
      </c>
      <c r="AN98" s="640">
        <f t="shared" si="183"/>
        <v>0</v>
      </c>
      <c r="AO98" s="264">
        <f t="shared" si="176"/>
        <v>0</v>
      </c>
      <c r="AP98" s="640">
        <f t="shared" si="177"/>
        <v>0</v>
      </c>
      <c r="AQ98" s="501"/>
      <c r="AR98" s="264" t="str">
        <f>VLOOKUP($I98,TableInputsData[],ReadMe!$M$3,FALSE)&amp;"  |  "&amp;VLOOKUP($K98,TableInputsData[],ReadMe!$M$3,FALSE)</f>
        <v>PRODUIT 03  |  VOLUME</v>
      </c>
      <c r="AS98" s="264" t="b">
        <f t="shared" si="178"/>
        <v>1</v>
      </c>
      <c r="AT98" s="294"/>
    </row>
    <row r="99" spans="1:46" ht="13" x14ac:dyDescent="0.2">
      <c r="A99" s="294"/>
      <c r="B99" s="924"/>
      <c r="C99" s="271">
        <v>92</v>
      </c>
      <c r="D99" s="250">
        <f t="shared" si="184"/>
        <v>0</v>
      </c>
      <c r="E99" s="250">
        <v>1</v>
      </c>
      <c r="F99" s="248" t="s">
        <v>399</v>
      </c>
      <c r="G99" s="250">
        <f>VLOOKUP(F99,TableInputsData[],$G$6,FALSE)</f>
        <v>2029</v>
      </c>
      <c r="H99" s="250" t="str">
        <f t="shared" si="185"/>
        <v>PRODUCT</v>
      </c>
      <c r="I99" s="248" t="str">
        <f t="shared" si="185"/>
        <v>PRODUCT 03</v>
      </c>
      <c r="J99" s="248" t="str">
        <f>VLOOKUP(I99,TableInputsData[],$J$6,FALSE)</f>
        <v>-</v>
      </c>
      <c r="K99" s="248" t="str">
        <f t="shared" si="186"/>
        <v>VOLUME</v>
      </c>
      <c r="L99" s="499">
        <v>1000</v>
      </c>
      <c r="M99" s="499">
        <v>0</v>
      </c>
      <c r="N99" s="499">
        <v>0</v>
      </c>
      <c r="O99" s="264">
        <f t="shared" si="167"/>
        <v>1000</v>
      </c>
      <c r="P99" s="500">
        <v>1</v>
      </c>
      <c r="Q99" s="500">
        <v>0</v>
      </c>
      <c r="R99" s="259">
        <f t="shared" si="179"/>
        <v>0</v>
      </c>
      <c r="S99" s="626">
        <v>500</v>
      </c>
      <c r="T99" s="626">
        <v>0</v>
      </c>
      <c r="U99" s="626">
        <v>0</v>
      </c>
      <c r="V99" s="628">
        <f t="shared" si="180"/>
        <v>0</v>
      </c>
      <c r="W99" s="500">
        <v>1</v>
      </c>
      <c r="X99" s="500">
        <v>1</v>
      </c>
      <c r="Y99" s="500">
        <v>1</v>
      </c>
      <c r="Z99" s="259">
        <f t="shared" si="168"/>
        <v>0</v>
      </c>
      <c r="AA99" s="259">
        <f t="shared" si="169"/>
        <v>0</v>
      </c>
      <c r="AB99" s="259">
        <f t="shared" si="170"/>
        <v>0</v>
      </c>
      <c r="AC99" s="628">
        <f t="shared" si="181"/>
        <v>0</v>
      </c>
      <c r="AD99" s="628">
        <f t="shared" si="182"/>
        <v>0</v>
      </c>
      <c r="AE99" s="264">
        <f t="shared" si="188"/>
        <v>0</v>
      </c>
      <c r="AF99" s="264">
        <f t="shared" si="187"/>
        <v>0</v>
      </c>
      <c r="AG99" s="264">
        <f t="shared" si="187"/>
        <v>0</v>
      </c>
      <c r="AH99" s="264">
        <f t="shared" si="187"/>
        <v>0</v>
      </c>
      <c r="AI99" s="501">
        <v>0</v>
      </c>
      <c r="AJ99" s="264">
        <f t="shared" si="172"/>
        <v>0</v>
      </c>
      <c r="AK99" s="264">
        <f t="shared" si="173"/>
        <v>0</v>
      </c>
      <c r="AL99" s="264">
        <f t="shared" si="174"/>
        <v>0</v>
      </c>
      <c r="AM99" s="264">
        <f t="shared" si="175"/>
        <v>0</v>
      </c>
      <c r="AN99" s="640">
        <f t="shared" si="183"/>
        <v>0</v>
      </c>
      <c r="AO99" s="264">
        <f t="shared" si="176"/>
        <v>0</v>
      </c>
      <c r="AP99" s="640">
        <f t="shared" si="177"/>
        <v>0</v>
      </c>
      <c r="AQ99" s="501"/>
      <c r="AR99" s="264" t="str">
        <f>VLOOKUP($I99,TableInputsData[],ReadMe!$M$3,FALSE)&amp;"  |  "&amp;VLOOKUP($K99,TableInputsData[],ReadMe!$M$3,FALSE)</f>
        <v>PRODUIT 03  |  VOLUME</v>
      </c>
      <c r="AS99" s="264" t="b">
        <f t="shared" si="178"/>
        <v>1</v>
      </c>
      <c r="AT99" s="294"/>
    </row>
    <row r="100" spans="1:46" ht="13" x14ac:dyDescent="0.2">
      <c r="A100" s="294"/>
      <c r="B100" s="924"/>
      <c r="C100" s="271">
        <v>93</v>
      </c>
      <c r="D100" s="250">
        <f t="shared" si="184"/>
        <v>0</v>
      </c>
      <c r="E100" s="250">
        <v>1</v>
      </c>
      <c r="F100" s="248" t="s">
        <v>400</v>
      </c>
      <c r="G100" s="250">
        <f>VLOOKUP(F100,TableInputsData[],$G$6,FALSE)</f>
        <v>2030</v>
      </c>
      <c r="H100" s="250" t="str">
        <f t="shared" si="185"/>
        <v>PRODUCT</v>
      </c>
      <c r="I100" s="248" t="str">
        <f t="shared" si="185"/>
        <v>PRODUCT 03</v>
      </c>
      <c r="J100" s="248" t="str">
        <f>VLOOKUP(I100,TableInputsData[],$J$6,FALSE)</f>
        <v>-</v>
      </c>
      <c r="K100" s="248" t="str">
        <f t="shared" si="186"/>
        <v>VOLUME</v>
      </c>
      <c r="L100" s="499">
        <v>1000</v>
      </c>
      <c r="M100" s="499">
        <v>0</v>
      </c>
      <c r="N100" s="499">
        <v>0</v>
      </c>
      <c r="O100" s="264">
        <f t="shared" si="167"/>
        <v>1000</v>
      </c>
      <c r="P100" s="500">
        <v>1</v>
      </c>
      <c r="Q100" s="500">
        <v>0</v>
      </c>
      <c r="R100" s="259">
        <f t="shared" si="179"/>
        <v>0</v>
      </c>
      <c r="S100" s="626">
        <v>500</v>
      </c>
      <c r="T100" s="626">
        <v>0</v>
      </c>
      <c r="U100" s="626">
        <v>0</v>
      </c>
      <c r="V100" s="628">
        <f t="shared" si="180"/>
        <v>0</v>
      </c>
      <c r="W100" s="500">
        <v>1</v>
      </c>
      <c r="X100" s="500">
        <v>1</v>
      </c>
      <c r="Y100" s="500">
        <v>1</v>
      </c>
      <c r="Z100" s="259">
        <f t="shared" si="168"/>
        <v>0</v>
      </c>
      <c r="AA100" s="259">
        <f t="shared" si="169"/>
        <v>0</v>
      </c>
      <c r="AB100" s="259">
        <f t="shared" si="170"/>
        <v>0</v>
      </c>
      <c r="AC100" s="628">
        <f t="shared" si="181"/>
        <v>0</v>
      </c>
      <c r="AD100" s="628">
        <f t="shared" si="182"/>
        <v>0</v>
      </c>
      <c r="AE100" s="264">
        <f t="shared" si="188"/>
        <v>0</v>
      </c>
      <c r="AF100" s="264">
        <f t="shared" si="187"/>
        <v>0</v>
      </c>
      <c r="AG100" s="264">
        <f t="shared" si="187"/>
        <v>0</v>
      </c>
      <c r="AH100" s="264">
        <f t="shared" si="187"/>
        <v>0</v>
      </c>
      <c r="AI100" s="501">
        <v>0</v>
      </c>
      <c r="AJ100" s="264">
        <f t="shared" si="172"/>
        <v>0</v>
      </c>
      <c r="AK100" s="264">
        <f t="shared" si="173"/>
        <v>0</v>
      </c>
      <c r="AL100" s="264">
        <f t="shared" si="174"/>
        <v>0</v>
      </c>
      <c r="AM100" s="264">
        <f t="shared" si="175"/>
        <v>0</v>
      </c>
      <c r="AN100" s="640">
        <f t="shared" si="183"/>
        <v>0</v>
      </c>
      <c r="AO100" s="264">
        <f t="shared" si="176"/>
        <v>0</v>
      </c>
      <c r="AP100" s="640">
        <f t="shared" si="177"/>
        <v>0</v>
      </c>
      <c r="AQ100" s="501"/>
      <c r="AR100" s="264" t="str">
        <f>VLOOKUP($I100,TableInputsData[],ReadMe!$M$3,FALSE)&amp;"  |  "&amp;VLOOKUP($K100,TableInputsData[],ReadMe!$M$3,FALSE)</f>
        <v>PRODUIT 03  |  VOLUME</v>
      </c>
      <c r="AS100" s="264" t="b">
        <f t="shared" si="178"/>
        <v>1</v>
      </c>
      <c r="AT100" s="294"/>
    </row>
    <row r="101" spans="1:46" ht="13" hidden="1" x14ac:dyDescent="0.2">
      <c r="A101" s="294"/>
      <c r="B101" s="924"/>
      <c r="C101" s="272">
        <v>94</v>
      </c>
      <c r="D101" s="250">
        <f t="shared" si="184"/>
        <v>0</v>
      </c>
      <c r="E101" s="251"/>
      <c r="F101" s="248" t="str">
        <f t="shared" ref="F101:F108" si="189">F109</f>
        <v>YEAR-2</v>
      </c>
      <c r="G101" s="250">
        <f>VLOOKUP(F101,TableInputsData[],$G$6,FALSE)</f>
        <v>2023</v>
      </c>
      <c r="H101" s="250" t="str">
        <f t="shared" si="185"/>
        <v>PRODUCT</v>
      </c>
      <c r="I101" s="248" t="str">
        <f t="shared" si="185"/>
        <v>PRODUCT 03</v>
      </c>
      <c r="J101" s="248" t="str">
        <f>VLOOKUP(I101,TableInputsData[],$J$6,FALSE)</f>
        <v>-</v>
      </c>
      <c r="K101" s="248" t="s">
        <v>457</v>
      </c>
      <c r="L101" s="256"/>
      <c r="M101" s="256"/>
      <c r="N101" s="256"/>
      <c r="O101" s="266"/>
      <c r="P101" s="261"/>
      <c r="Q101" s="261"/>
      <c r="R101" s="261"/>
      <c r="S101" s="629"/>
      <c r="T101" s="629"/>
      <c r="U101" s="629"/>
      <c r="V101" s="629"/>
      <c r="W101" s="261"/>
      <c r="X101" s="261"/>
      <c r="Y101" s="261"/>
      <c r="Z101" s="261"/>
      <c r="AA101" s="261"/>
      <c r="AB101" s="261"/>
      <c r="AC101" s="266"/>
      <c r="AD101" s="633"/>
      <c r="AE101" s="264">
        <f>AE93*($L93*$P93+$M93*$Q93+$N93*$R93)</f>
        <v>0</v>
      </c>
      <c r="AF101" s="264">
        <f t="shared" ref="AF101:AH101" si="190">AF93*($L93*$P93+$M93*$Q93+$N93*$R93)</f>
        <v>0</v>
      </c>
      <c r="AG101" s="264">
        <f t="shared" si="190"/>
        <v>0</v>
      </c>
      <c r="AH101" s="264">
        <f t="shared" si="190"/>
        <v>0</v>
      </c>
      <c r="AI101" s="264">
        <f>$AE101+$AF101+$AG101+$AH101</f>
        <v>0</v>
      </c>
      <c r="AJ101" s="264">
        <f t="shared" ref="AJ101:AJ108" si="191">$AJ93*$L93</f>
        <v>0</v>
      </c>
      <c r="AK101" s="264">
        <f t="shared" ref="AK101:AK108" si="192">$AK93*$M93</f>
        <v>0</v>
      </c>
      <c r="AL101" s="264">
        <f t="shared" ref="AL101:AL108" si="193">$AL93*$N93</f>
        <v>0</v>
      </c>
      <c r="AM101" s="264">
        <f t="shared" ref="AM101:AM108" si="194">$AJ101*$W93+$AK101*$X93+$AL101*$Y93</f>
        <v>0</v>
      </c>
      <c r="AN101" s="640">
        <f t="shared" si="183"/>
        <v>0</v>
      </c>
      <c r="AO101" s="264">
        <f t="shared" ref="AO101:AO108" si="195">$AJ101*$Z93+$AK101*$AA93+$AL101*$AB93</f>
        <v>0</v>
      </c>
      <c r="AP101" s="640">
        <f t="shared" si="177"/>
        <v>0</v>
      </c>
      <c r="AQ101" s="264"/>
      <c r="AR101" s="264" t="str">
        <f>VLOOKUP($I101,TableInputsData[],ReadMe!$M$3,FALSE)&amp;"  |  "&amp;VLOOKUP($K101,TableInputsData[],ReadMe!$M$3,FALSE)</f>
        <v>PRODUIT 03  |  CHIFFRE D'AFFAIRES</v>
      </c>
      <c r="AS101" s="264" t="b">
        <f t="shared" ref="AS101:AS108" si="196">AND(EXACT(ROUND(AI101,2),ROUND(AJ101+AK101+AL101,2)),EXACT(ROUND(AI101,2),ROUND(AM101+AO101,2)))</f>
        <v>1</v>
      </c>
      <c r="AT101" s="294"/>
    </row>
    <row r="102" spans="1:46" ht="13" hidden="1" x14ac:dyDescent="0.2">
      <c r="A102" s="294"/>
      <c r="B102" s="924"/>
      <c r="C102" s="271">
        <v>95</v>
      </c>
      <c r="D102" s="250">
        <f t="shared" si="184"/>
        <v>0</v>
      </c>
      <c r="E102" s="250"/>
      <c r="F102" s="248" t="str">
        <f t="shared" si="189"/>
        <v>YEAR-1</v>
      </c>
      <c r="G102" s="250">
        <f>VLOOKUP(F102,TableInputsData[],$G$6,FALSE)</f>
        <v>2024</v>
      </c>
      <c r="H102" s="250" t="str">
        <f t="shared" si="185"/>
        <v>PRODUCT</v>
      </c>
      <c r="I102" s="248" t="str">
        <f t="shared" si="185"/>
        <v>PRODUCT 03</v>
      </c>
      <c r="J102" s="248" t="str">
        <f>VLOOKUP(I102,TableInputsData[],$J$6,FALSE)</f>
        <v>-</v>
      </c>
      <c r="K102" s="248" t="str">
        <f>K101</f>
        <v>REVENUE</v>
      </c>
      <c r="L102" s="255"/>
      <c r="M102" s="255"/>
      <c r="N102" s="255"/>
      <c r="O102" s="265"/>
      <c r="P102" s="260"/>
      <c r="Q102" s="260"/>
      <c r="R102" s="260"/>
      <c r="S102" s="629"/>
      <c r="T102" s="629"/>
      <c r="U102" s="629"/>
      <c r="V102" s="630"/>
      <c r="W102" s="260"/>
      <c r="X102" s="260"/>
      <c r="Y102" s="260"/>
      <c r="Z102" s="260"/>
      <c r="AA102" s="260"/>
      <c r="AB102" s="260"/>
      <c r="AC102" s="265"/>
      <c r="AD102" s="634"/>
      <c r="AE102" s="264">
        <f t="shared" ref="AE102:AH102" si="197">AE94*($L94*$P94+$M94*$Q94+$N94*$R94)</f>
        <v>0</v>
      </c>
      <c r="AF102" s="264">
        <f t="shared" si="197"/>
        <v>0</v>
      </c>
      <c r="AG102" s="264">
        <f t="shared" si="197"/>
        <v>0</v>
      </c>
      <c r="AH102" s="264">
        <f t="shared" si="197"/>
        <v>0</v>
      </c>
      <c r="AI102" s="264">
        <f t="shared" ref="AI102:AI107" si="198">$AE102+$AF102+$AG102+$AH102</f>
        <v>0</v>
      </c>
      <c r="AJ102" s="264">
        <f t="shared" si="191"/>
        <v>0</v>
      </c>
      <c r="AK102" s="264">
        <f t="shared" si="192"/>
        <v>0</v>
      </c>
      <c r="AL102" s="264">
        <f t="shared" si="193"/>
        <v>0</v>
      </c>
      <c r="AM102" s="264">
        <f t="shared" si="194"/>
        <v>0</v>
      </c>
      <c r="AN102" s="640">
        <f t="shared" si="183"/>
        <v>0</v>
      </c>
      <c r="AO102" s="264">
        <f t="shared" si="195"/>
        <v>0</v>
      </c>
      <c r="AP102" s="640">
        <f t="shared" si="177"/>
        <v>0</v>
      </c>
      <c r="AQ102" s="264"/>
      <c r="AR102" s="264" t="str">
        <f>VLOOKUP($I102,TableInputsData[],ReadMe!$M$3,FALSE)&amp;"  |  "&amp;VLOOKUP($K102,TableInputsData[],ReadMe!$M$3,FALSE)</f>
        <v>PRODUIT 03  |  CHIFFRE D'AFFAIRES</v>
      </c>
      <c r="AS102" s="264" t="b">
        <f t="shared" si="196"/>
        <v>1</v>
      </c>
      <c r="AT102" s="294"/>
    </row>
    <row r="103" spans="1:46" ht="13" hidden="1" x14ac:dyDescent="0.2">
      <c r="A103" s="294"/>
      <c r="B103" s="924"/>
      <c r="C103" s="271">
        <v>96</v>
      </c>
      <c r="D103" s="250">
        <f t="shared" si="184"/>
        <v>0</v>
      </c>
      <c r="E103" s="250"/>
      <c r="F103" s="248" t="str">
        <f t="shared" si="189"/>
        <v>CURRENT YEAR</v>
      </c>
      <c r="G103" s="250">
        <f>VLOOKUP(F103,TableInputsData[],$G$6,FALSE)</f>
        <v>2025</v>
      </c>
      <c r="H103" s="250" t="str">
        <f t="shared" si="185"/>
        <v>PRODUCT</v>
      </c>
      <c r="I103" s="248" t="str">
        <f t="shared" si="185"/>
        <v>PRODUCT 03</v>
      </c>
      <c r="J103" s="248" t="str">
        <f>VLOOKUP(I103,TableInputsData[],$J$6,FALSE)</f>
        <v>-</v>
      </c>
      <c r="K103" s="248" t="str">
        <f t="shared" ref="K103:K108" si="199">K102</f>
        <v>REVENUE</v>
      </c>
      <c r="L103" s="255"/>
      <c r="M103" s="255"/>
      <c r="N103" s="255"/>
      <c r="O103" s="265"/>
      <c r="P103" s="260"/>
      <c r="Q103" s="260"/>
      <c r="R103" s="260"/>
      <c r="S103" s="629"/>
      <c r="T103" s="629"/>
      <c r="U103" s="629"/>
      <c r="V103" s="630"/>
      <c r="W103" s="260"/>
      <c r="X103" s="260"/>
      <c r="Y103" s="260"/>
      <c r="Z103" s="260"/>
      <c r="AA103" s="260"/>
      <c r="AB103" s="260"/>
      <c r="AC103" s="265"/>
      <c r="AD103" s="634"/>
      <c r="AE103" s="264">
        <f t="shared" ref="AE103:AH103" si="200">AE95*($L95*$P95+$M95*$Q95+$N95*$R95)</f>
        <v>0</v>
      </c>
      <c r="AF103" s="264">
        <f t="shared" si="200"/>
        <v>0</v>
      </c>
      <c r="AG103" s="264">
        <f t="shared" si="200"/>
        <v>0</v>
      </c>
      <c r="AH103" s="264">
        <f t="shared" si="200"/>
        <v>0</v>
      </c>
      <c r="AI103" s="264">
        <f t="shared" si="198"/>
        <v>0</v>
      </c>
      <c r="AJ103" s="264">
        <f t="shared" si="191"/>
        <v>0</v>
      </c>
      <c r="AK103" s="264">
        <f t="shared" si="192"/>
        <v>0</v>
      </c>
      <c r="AL103" s="264">
        <f t="shared" si="193"/>
        <v>0</v>
      </c>
      <c r="AM103" s="264">
        <f t="shared" si="194"/>
        <v>0</v>
      </c>
      <c r="AN103" s="640">
        <f t="shared" si="183"/>
        <v>0</v>
      </c>
      <c r="AO103" s="264">
        <f t="shared" si="195"/>
        <v>0</v>
      </c>
      <c r="AP103" s="640">
        <f t="shared" si="177"/>
        <v>0</v>
      </c>
      <c r="AQ103" s="264"/>
      <c r="AR103" s="264" t="str">
        <f>VLOOKUP($I103,TableInputsData[],ReadMe!$M$3,FALSE)&amp;"  |  "&amp;VLOOKUP($K103,TableInputsData[],ReadMe!$M$3,FALSE)</f>
        <v>PRODUIT 03  |  CHIFFRE D'AFFAIRES</v>
      </c>
      <c r="AS103" s="264" t="b">
        <f t="shared" si="196"/>
        <v>1</v>
      </c>
      <c r="AT103" s="294"/>
    </row>
    <row r="104" spans="1:46" ht="13" hidden="1" x14ac:dyDescent="0.2">
      <c r="A104" s="294"/>
      <c r="B104" s="924"/>
      <c r="C104" s="271">
        <v>97</v>
      </c>
      <c r="D104" s="250">
        <f t="shared" si="184"/>
        <v>0</v>
      </c>
      <c r="E104" s="250"/>
      <c r="F104" s="248" t="str">
        <f t="shared" si="189"/>
        <v>YEAR2</v>
      </c>
      <c r="G104" s="250">
        <f>VLOOKUP(F104,TableInputsData[],$G$6,FALSE)</f>
        <v>2026</v>
      </c>
      <c r="H104" s="250" t="str">
        <f t="shared" si="185"/>
        <v>PRODUCT</v>
      </c>
      <c r="I104" s="248" t="str">
        <f t="shared" si="185"/>
        <v>PRODUCT 03</v>
      </c>
      <c r="J104" s="248" t="str">
        <f>VLOOKUP(I104,TableInputsData[],$J$6,FALSE)</f>
        <v>-</v>
      </c>
      <c r="K104" s="248" t="str">
        <f t="shared" si="199"/>
        <v>REVENUE</v>
      </c>
      <c r="L104" s="255"/>
      <c r="M104" s="255"/>
      <c r="N104" s="255"/>
      <c r="O104" s="265"/>
      <c r="P104" s="260"/>
      <c r="Q104" s="260"/>
      <c r="R104" s="260"/>
      <c r="S104" s="629"/>
      <c r="T104" s="629"/>
      <c r="U104" s="629"/>
      <c r="V104" s="630"/>
      <c r="W104" s="260"/>
      <c r="X104" s="260"/>
      <c r="Y104" s="260"/>
      <c r="Z104" s="260"/>
      <c r="AA104" s="260"/>
      <c r="AB104" s="260"/>
      <c r="AC104" s="265"/>
      <c r="AD104" s="634"/>
      <c r="AE104" s="264">
        <f t="shared" ref="AE104:AH104" si="201">AE96*($L96*$P96+$M96*$Q96+$N96*$R96)</f>
        <v>0</v>
      </c>
      <c r="AF104" s="264">
        <f t="shared" si="201"/>
        <v>0</v>
      </c>
      <c r="AG104" s="264">
        <f t="shared" si="201"/>
        <v>0</v>
      </c>
      <c r="AH104" s="264">
        <f t="shared" si="201"/>
        <v>0</v>
      </c>
      <c r="AI104" s="264">
        <f t="shared" si="198"/>
        <v>0</v>
      </c>
      <c r="AJ104" s="264">
        <f t="shared" si="191"/>
        <v>0</v>
      </c>
      <c r="AK104" s="264">
        <f t="shared" si="192"/>
        <v>0</v>
      </c>
      <c r="AL104" s="264">
        <f t="shared" si="193"/>
        <v>0</v>
      </c>
      <c r="AM104" s="264">
        <f t="shared" si="194"/>
        <v>0</v>
      </c>
      <c r="AN104" s="640">
        <f t="shared" si="183"/>
        <v>0</v>
      </c>
      <c r="AO104" s="264">
        <f t="shared" si="195"/>
        <v>0</v>
      </c>
      <c r="AP104" s="640">
        <f t="shared" si="177"/>
        <v>0</v>
      </c>
      <c r="AQ104" s="264"/>
      <c r="AR104" s="264" t="str">
        <f>VLOOKUP($I104,TableInputsData[],ReadMe!$M$3,FALSE)&amp;"  |  "&amp;VLOOKUP($K104,TableInputsData[],ReadMe!$M$3,FALSE)</f>
        <v>PRODUIT 03  |  CHIFFRE D'AFFAIRES</v>
      </c>
      <c r="AS104" s="264" t="b">
        <f t="shared" si="196"/>
        <v>1</v>
      </c>
      <c r="AT104" s="294"/>
    </row>
    <row r="105" spans="1:46" ht="13" hidden="1" x14ac:dyDescent="0.2">
      <c r="A105" s="294"/>
      <c r="B105" s="924"/>
      <c r="C105" s="271">
        <v>98</v>
      </c>
      <c r="D105" s="250">
        <f t="shared" si="184"/>
        <v>0</v>
      </c>
      <c r="E105" s="250"/>
      <c r="F105" s="248" t="str">
        <f t="shared" si="189"/>
        <v>YEAR3</v>
      </c>
      <c r="G105" s="250">
        <f>VLOOKUP(F105,TableInputsData[],$G$6,FALSE)</f>
        <v>2027</v>
      </c>
      <c r="H105" s="250" t="str">
        <f t="shared" si="185"/>
        <v>PRODUCT</v>
      </c>
      <c r="I105" s="248" t="str">
        <f t="shared" si="185"/>
        <v>PRODUCT 03</v>
      </c>
      <c r="J105" s="248" t="str">
        <f>VLOOKUP(I105,TableInputsData[],$J$6,FALSE)</f>
        <v>-</v>
      </c>
      <c r="K105" s="248" t="str">
        <f t="shared" si="199"/>
        <v>REVENUE</v>
      </c>
      <c r="L105" s="255"/>
      <c r="M105" s="255"/>
      <c r="N105" s="255"/>
      <c r="O105" s="265"/>
      <c r="P105" s="260"/>
      <c r="Q105" s="260"/>
      <c r="R105" s="260"/>
      <c r="S105" s="629"/>
      <c r="T105" s="629"/>
      <c r="U105" s="629"/>
      <c r="V105" s="630"/>
      <c r="W105" s="260"/>
      <c r="X105" s="260"/>
      <c r="Y105" s="260"/>
      <c r="Z105" s="260"/>
      <c r="AA105" s="260"/>
      <c r="AB105" s="260"/>
      <c r="AC105" s="265"/>
      <c r="AD105" s="634"/>
      <c r="AE105" s="264">
        <f t="shared" ref="AE105:AH105" si="202">AE97*($L97*$P97+$M97*$Q97+$N97*$R97)</f>
        <v>0</v>
      </c>
      <c r="AF105" s="264">
        <f t="shared" si="202"/>
        <v>0</v>
      </c>
      <c r="AG105" s="264">
        <f t="shared" si="202"/>
        <v>0</v>
      </c>
      <c r="AH105" s="264">
        <f t="shared" si="202"/>
        <v>0</v>
      </c>
      <c r="AI105" s="264">
        <f t="shared" si="198"/>
        <v>0</v>
      </c>
      <c r="AJ105" s="264">
        <f t="shared" si="191"/>
        <v>0</v>
      </c>
      <c r="AK105" s="264">
        <f t="shared" si="192"/>
        <v>0</v>
      </c>
      <c r="AL105" s="264">
        <f t="shared" si="193"/>
        <v>0</v>
      </c>
      <c r="AM105" s="264">
        <f t="shared" si="194"/>
        <v>0</v>
      </c>
      <c r="AN105" s="640">
        <f t="shared" si="183"/>
        <v>0</v>
      </c>
      <c r="AO105" s="264">
        <f t="shared" si="195"/>
        <v>0</v>
      </c>
      <c r="AP105" s="640">
        <f t="shared" si="177"/>
        <v>0</v>
      </c>
      <c r="AQ105" s="264"/>
      <c r="AR105" s="264" t="str">
        <f>VLOOKUP($I105,TableInputsData[],ReadMe!$M$3,FALSE)&amp;"  |  "&amp;VLOOKUP($K105,TableInputsData[],ReadMe!$M$3,FALSE)</f>
        <v>PRODUIT 03  |  CHIFFRE D'AFFAIRES</v>
      </c>
      <c r="AS105" s="264" t="b">
        <f t="shared" si="196"/>
        <v>1</v>
      </c>
      <c r="AT105" s="294"/>
    </row>
    <row r="106" spans="1:46" ht="13" hidden="1" x14ac:dyDescent="0.2">
      <c r="A106" s="294"/>
      <c r="B106" s="924"/>
      <c r="C106" s="271">
        <v>99</v>
      </c>
      <c r="D106" s="250">
        <f t="shared" si="184"/>
        <v>0</v>
      </c>
      <c r="E106" s="250"/>
      <c r="F106" s="248" t="str">
        <f t="shared" si="189"/>
        <v>YEAR4</v>
      </c>
      <c r="G106" s="250">
        <f>VLOOKUP(F106,TableInputsData[],$G$6,FALSE)</f>
        <v>2028</v>
      </c>
      <c r="H106" s="250" t="str">
        <f t="shared" si="185"/>
        <v>PRODUCT</v>
      </c>
      <c r="I106" s="248" t="str">
        <f t="shared" si="185"/>
        <v>PRODUCT 03</v>
      </c>
      <c r="J106" s="248" t="str">
        <f>VLOOKUP(I106,TableInputsData[],$J$6,FALSE)</f>
        <v>-</v>
      </c>
      <c r="K106" s="248" t="str">
        <f t="shared" si="199"/>
        <v>REVENUE</v>
      </c>
      <c r="L106" s="255"/>
      <c r="M106" s="255"/>
      <c r="N106" s="255"/>
      <c r="O106" s="265"/>
      <c r="P106" s="260"/>
      <c r="Q106" s="260"/>
      <c r="R106" s="260"/>
      <c r="S106" s="629"/>
      <c r="T106" s="629"/>
      <c r="U106" s="629"/>
      <c r="V106" s="630"/>
      <c r="W106" s="260"/>
      <c r="X106" s="260"/>
      <c r="Y106" s="260"/>
      <c r="Z106" s="260"/>
      <c r="AA106" s="260"/>
      <c r="AB106" s="260"/>
      <c r="AC106" s="265"/>
      <c r="AD106" s="634"/>
      <c r="AE106" s="264">
        <f t="shared" ref="AE106:AH106" si="203">AE98*($L98*$P98+$M98*$Q98+$N98*$R98)</f>
        <v>0</v>
      </c>
      <c r="AF106" s="264">
        <f t="shared" si="203"/>
        <v>0</v>
      </c>
      <c r="AG106" s="264">
        <f t="shared" si="203"/>
        <v>0</v>
      </c>
      <c r="AH106" s="264">
        <f t="shared" si="203"/>
        <v>0</v>
      </c>
      <c r="AI106" s="264">
        <f t="shared" si="198"/>
        <v>0</v>
      </c>
      <c r="AJ106" s="264">
        <f t="shared" si="191"/>
        <v>0</v>
      </c>
      <c r="AK106" s="264">
        <f t="shared" si="192"/>
        <v>0</v>
      </c>
      <c r="AL106" s="264">
        <f t="shared" si="193"/>
        <v>0</v>
      </c>
      <c r="AM106" s="264">
        <f t="shared" si="194"/>
        <v>0</v>
      </c>
      <c r="AN106" s="640">
        <f t="shared" si="183"/>
        <v>0</v>
      </c>
      <c r="AO106" s="264">
        <f t="shared" si="195"/>
        <v>0</v>
      </c>
      <c r="AP106" s="640">
        <f t="shared" si="177"/>
        <v>0</v>
      </c>
      <c r="AQ106" s="264"/>
      <c r="AR106" s="264" t="str">
        <f>VLOOKUP($I106,TableInputsData[],ReadMe!$M$3,FALSE)&amp;"  |  "&amp;VLOOKUP($K106,TableInputsData[],ReadMe!$M$3,FALSE)</f>
        <v>PRODUIT 03  |  CHIFFRE D'AFFAIRES</v>
      </c>
      <c r="AS106" s="264" t="b">
        <f t="shared" si="196"/>
        <v>1</v>
      </c>
      <c r="AT106" s="294"/>
    </row>
    <row r="107" spans="1:46" ht="13" hidden="1" x14ac:dyDescent="0.2">
      <c r="A107" s="294"/>
      <c r="B107" s="924"/>
      <c r="C107" s="271">
        <v>100</v>
      </c>
      <c r="D107" s="250">
        <f t="shared" si="184"/>
        <v>0</v>
      </c>
      <c r="E107" s="250"/>
      <c r="F107" s="248" t="str">
        <f t="shared" si="189"/>
        <v>YEAR5</v>
      </c>
      <c r="G107" s="250">
        <f>VLOOKUP(F107,TableInputsData[],$G$6,FALSE)</f>
        <v>2029</v>
      </c>
      <c r="H107" s="250" t="str">
        <f t="shared" si="185"/>
        <v>PRODUCT</v>
      </c>
      <c r="I107" s="248" t="str">
        <f t="shared" si="185"/>
        <v>PRODUCT 03</v>
      </c>
      <c r="J107" s="248" t="str">
        <f>VLOOKUP(I107,TableInputsData[],$J$6,FALSE)</f>
        <v>-</v>
      </c>
      <c r="K107" s="248" t="str">
        <f t="shared" si="199"/>
        <v>REVENUE</v>
      </c>
      <c r="L107" s="255"/>
      <c r="M107" s="255"/>
      <c r="N107" s="255"/>
      <c r="O107" s="265"/>
      <c r="P107" s="260"/>
      <c r="Q107" s="260"/>
      <c r="R107" s="260"/>
      <c r="S107" s="629"/>
      <c r="T107" s="629"/>
      <c r="U107" s="629"/>
      <c r="V107" s="630"/>
      <c r="W107" s="260"/>
      <c r="X107" s="260"/>
      <c r="Y107" s="260"/>
      <c r="Z107" s="260"/>
      <c r="AA107" s="260"/>
      <c r="AB107" s="260"/>
      <c r="AC107" s="265"/>
      <c r="AD107" s="634"/>
      <c r="AE107" s="264">
        <f t="shared" ref="AE107:AH107" si="204">AE99*($L99*$P99+$M99*$Q99+$N99*$R99)</f>
        <v>0</v>
      </c>
      <c r="AF107" s="264">
        <f t="shared" si="204"/>
        <v>0</v>
      </c>
      <c r="AG107" s="264">
        <f t="shared" si="204"/>
        <v>0</v>
      </c>
      <c r="AH107" s="264">
        <f t="shared" si="204"/>
        <v>0</v>
      </c>
      <c r="AI107" s="264">
        <f t="shared" si="198"/>
        <v>0</v>
      </c>
      <c r="AJ107" s="264">
        <f t="shared" si="191"/>
        <v>0</v>
      </c>
      <c r="AK107" s="264">
        <f t="shared" si="192"/>
        <v>0</v>
      </c>
      <c r="AL107" s="264">
        <f t="shared" si="193"/>
        <v>0</v>
      </c>
      <c r="AM107" s="264">
        <f t="shared" si="194"/>
        <v>0</v>
      </c>
      <c r="AN107" s="640">
        <f t="shared" si="183"/>
        <v>0</v>
      </c>
      <c r="AO107" s="264">
        <f t="shared" si="195"/>
        <v>0</v>
      </c>
      <c r="AP107" s="640">
        <f t="shared" si="177"/>
        <v>0</v>
      </c>
      <c r="AQ107" s="264"/>
      <c r="AR107" s="264" t="str">
        <f>VLOOKUP($I107,TableInputsData[],ReadMe!$M$3,FALSE)&amp;"  |  "&amp;VLOOKUP($K107,TableInputsData[],ReadMe!$M$3,FALSE)</f>
        <v>PRODUIT 03  |  CHIFFRE D'AFFAIRES</v>
      </c>
      <c r="AS107" s="264" t="b">
        <f t="shared" si="196"/>
        <v>1</v>
      </c>
      <c r="AT107" s="294"/>
    </row>
    <row r="108" spans="1:46" ht="13" hidden="1" x14ac:dyDescent="0.2">
      <c r="A108" s="294"/>
      <c r="B108" s="924"/>
      <c r="C108" s="271">
        <v>101</v>
      </c>
      <c r="D108" s="250">
        <f t="shared" si="184"/>
        <v>0</v>
      </c>
      <c r="E108" s="250"/>
      <c r="F108" s="248" t="str">
        <f t="shared" si="189"/>
        <v>YEAR6</v>
      </c>
      <c r="G108" s="250">
        <f>VLOOKUP(F108,TableInputsData[],$G$6,FALSE)</f>
        <v>2030</v>
      </c>
      <c r="H108" s="250" t="str">
        <f t="shared" si="185"/>
        <v>PRODUCT</v>
      </c>
      <c r="I108" s="248" t="str">
        <f t="shared" si="185"/>
        <v>PRODUCT 03</v>
      </c>
      <c r="J108" s="248" t="str">
        <f>VLOOKUP(I108,TableInputsData[],$J$6,FALSE)</f>
        <v>-</v>
      </c>
      <c r="K108" s="248" t="str">
        <f t="shared" si="199"/>
        <v>REVENUE</v>
      </c>
      <c r="L108" s="255"/>
      <c r="M108" s="255"/>
      <c r="N108" s="255"/>
      <c r="O108" s="265"/>
      <c r="P108" s="260"/>
      <c r="Q108" s="260"/>
      <c r="R108" s="260"/>
      <c r="S108" s="629"/>
      <c r="T108" s="629"/>
      <c r="U108" s="629"/>
      <c r="V108" s="630"/>
      <c r="W108" s="260"/>
      <c r="X108" s="260"/>
      <c r="Y108" s="260"/>
      <c r="Z108" s="260"/>
      <c r="AA108" s="260"/>
      <c r="AB108" s="260"/>
      <c r="AC108" s="265"/>
      <c r="AD108" s="634"/>
      <c r="AE108" s="264">
        <f t="shared" ref="AE108:AH108" si="205">AE100*($L100*$P100+$M100*$Q100+$N100*$R100)</f>
        <v>0</v>
      </c>
      <c r="AF108" s="264">
        <f t="shared" si="205"/>
        <v>0</v>
      </c>
      <c r="AG108" s="264">
        <f t="shared" si="205"/>
        <v>0</v>
      </c>
      <c r="AH108" s="264">
        <f t="shared" si="205"/>
        <v>0</v>
      </c>
      <c r="AI108" s="264">
        <f>$AE108+$AF108+$AG108+$AH108</f>
        <v>0</v>
      </c>
      <c r="AJ108" s="264">
        <f t="shared" si="191"/>
        <v>0</v>
      </c>
      <c r="AK108" s="264">
        <f t="shared" si="192"/>
        <v>0</v>
      </c>
      <c r="AL108" s="264">
        <f t="shared" si="193"/>
        <v>0</v>
      </c>
      <c r="AM108" s="264">
        <f t="shared" si="194"/>
        <v>0</v>
      </c>
      <c r="AN108" s="640">
        <f t="shared" si="183"/>
        <v>0</v>
      </c>
      <c r="AO108" s="264">
        <f t="shared" si="195"/>
        <v>0</v>
      </c>
      <c r="AP108" s="640">
        <f t="shared" si="177"/>
        <v>0</v>
      </c>
      <c r="AQ108" s="264"/>
      <c r="AR108" s="264" t="str">
        <f>VLOOKUP($I108,TableInputsData[],ReadMe!$M$3,FALSE)&amp;"  |  "&amp;VLOOKUP($K108,TableInputsData[],ReadMe!$M$3,FALSE)</f>
        <v>PRODUIT 03  |  CHIFFRE D'AFFAIRES</v>
      </c>
      <c r="AS108" s="264" t="b">
        <f t="shared" si="196"/>
        <v>1</v>
      </c>
      <c r="AT108" s="294"/>
    </row>
    <row r="109" spans="1:46" ht="13" hidden="1" x14ac:dyDescent="0.2">
      <c r="A109" s="294"/>
      <c r="B109" s="924"/>
      <c r="C109" s="271">
        <v>102</v>
      </c>
      <c r="D109" s="250">
        <f t="shared" si="184"/>
        <v>0</v>
      </c>
      <c r="E109" s="250"/>
      <c r="F109" s="248" t="str">
        <f t="shared" ref="F109:F116" si="206">F93</f>
        <v>YEAR-2</v>
      </c>
      <c r="G109" s="250">
        <f>VLOOKUP(F109,TableInputsData[],$G$6,FALSE)</f>
        <v>2023</v>
      </c>
      <c r="H109" s="250" t="str">
        <f t="shared" si="185"/>
        <v>PRODUCT</v>
      </c>
      <c r="I109" s="248" t="str">
        <f t="shared" si="185"/>
        <v>PRODUCT 03</v>
      </c>
      <c r="J109" s="248" t="str">
        <f>VLOOKUP(I109,TableInputsData[],$J$6,FALSE)</f>
        <v>-</v>
      </c>
      <c r="K109" s="248" t="s">
        <v>456</v>
      </c>
      <c r="L109" s="255"/>
      <c r="M109" s="255"/>
      <c r="N109" s="255"/>
      <c r="O109" s="265"/>
      <c r="P109" s="260"/>
      <c r="Q109" s="260"/>
      <c r="R109" s="260"/>
      <c r="S109" s="629"/>
      <c r="T109" s="629"/>
      <c r="U109" s="629"/>
      <c r="V109" s="630"/>
      <c r="W109" s="260"/>
      <c r="X109" s="260"/>
      <c r="Y109" s="260"/>
      <c r="Z109" s="260"/>
      <c r="AA109" s="260"/>
      <c r="AB109" s="260"/>
      <c r="AC109" s="265"/>
      <c r="AD109" s="634"/>
      <c r="AE109" s="264">
        <f>IF(AE93=0,0,AE101/AE93)</f>
        <v>0</v>
      </c>
      <c r="AF109" s="264">
        <f t="shared" ref="AF109:AI109" si="207">IF(AF93=0,0,AF101/AF93)</f>
        <v>0</v>
      </c>
      <c r="AG109" s="264">
        <f t="shared" si="207"/>
        <v>0</v>
      </c>
      <c r="AH109" s="264">
        <f t="shared" si="207"/>
        <v>0</v>
      </c>
      <c r="AI109" s="264">
        <f t="shared" si="207"/>
        <v>0</v>
      </c>
      <c r="AJ109" s="264">
        <f>IF(AJ93=0,0,AJ101/AJ93)</f>
        <v>0</v>
      </c>
      <c r="AK109" s="264">
        <f t="shared" ref="AK109:AL109" si="208">IF(AK93=0,0,AK101/AK93)</f>
        <v>0</v>
      </c>
      <c r="AL109" s="264">
        <f t="shared" si="208"/>
        <v>0</v>
      </c>
      <c r="AM109" s="264">
        <f>IF(AM93=0,0,AM101/AM93)</f>
        <v>0</v>
      </c>
      <c r="AN109" s="260"/>
      <c r="AO109" s="264">
        <f t="shared" ref="AO109" si="209">IF(AO93=0,0,AO101/AO93)</f>
        <v>0</v>
      </c>
      <c r="AP109" s="260"/>
      <c r="AQ109" s="264"/>
      <c r="AR109" s="264" t="str">
        <f>VLOOKUP($I109,TableInputsData[],ReadMe!$M$3,FALSE)&amp;"  |  "&amp;VLOOKUP($K109,TableInputsData[],ReadMe!$M$3,FALSE)</f>
        <v>PRODUIT 03  |  PRIX MOYEN DE VENTE PAR PRODUIT/SERVICE</v>
      </c>
      <c r="AS109" s="264"/>
      <c r="AT109" s="294"/>
    </row>
    <row r="110" spans="1:46" ht="13" hidden="1" x14ac:dyDescent="0.2">
      <c r="A110" s="294"/>
      <c r="B110" s="924"/>
      <c r="C110" s="271">
        <v>103</v>
      </c>
      <c r="D110" s="250">
        <f t="shared" si="184"/>
        <v>0</v>
      </c>
      <c r="E110" s="250"/>
      <c r="F110" s="248" t="str">
        <f t="shared" si="206"/>
        <v>YEAR-1</v>
      </c>
      <c r="G110" s="250">
        <f>VLOOKUP(F110,TableInputsData[],$G$6,FALSE)</f>
        <v>2024</v>
      </c>
      <c r="H110" s="250" t="str">
        <f t="shared" si="185"/>
        <v>PRODUCT</v>
      </c>
      <c r="I110" s="248" t="str">
        <f t="shared" si="185"/>
        <v>PRODUCT 03</v>
      </c>
      <c r="J110" s="248" t="str">
        <f>VLOOKUP(I110,TableInputsData[],$J$6,FALSE)</f>
        <v>-</v>
      </c>
      <c r="K110" s="248" t="str">
        <f>K109</f>
        <v>AVERAGE SELLING PRICE PER UNIT</v>
      </c>
      <c r="L110" s="255"/>
      <c r="M110" s="255"/>
      <c r="N110" s="255"/>
      <c r="O110" s="265"/>
      <c r="P110" s="260"/>
      <c r="Q110" s="260"/>
      <c r="R110" s="260"/>
      <c r="S110" s="629"/>
      <c r="T110" s="629"/>
      <c r="U110" s="629"/>
      <c r="V110" s="630"/>
      <c r="W110" s="260"/>
      <c r="X110" s="260"/>
      <c r="Y110" s="260"/>
      <c r="Z110" s="260"/>
      <c r="AA110" s="260"/>
      <c r="AB110" s="260"/>
      <c r="AC110" s="265"/>
      <c r="AD110" s="634"/>
      <c r="AE110" s="264">
        <f>IF(AE94=0,0,AE102/AE94)</f>
        <v>0</v>
      </c>
      <c r="AF110" s="264">
        <f t="shared" ref="AF110:AM110" si="210">IF(AF94=0,0,AF102/AF94)</f>
        <v>0</v>
      </c>
      <c r="AG110" s="264">
        <f t="shared" si="210"/>
        <v>0</v>
      </c>
      <c r="AH110" s="264">
        <f t="shared" si="210"/>
        <v>0</v>
      </c>
      <c r="AI110" s="264">
        <f t="shared" si="210"/>
        <v>0</v>
      </c>
      <c r="AJ110" s="264">
        <f t="shared" si="210"/>
        <v>0</v>
      </c>
      <c r="AK110" s="264">
        <f t="shared" si="210"/>
        <v>0</v>
      </c>
      <c r="AL110" s="264">
        <f t="shared" si="210"/>
        <v>0</v>
      </c>
      <c r="AM110" s="264">
        <f t="shared" si="210"/>
        <v>0</v>
      </c>
      <c r="AN110" s="260"/>
      <c r="AO110" s="264">
        <f t="shared" ref="AO110" si="211">IF(AO94=0,0,AO102/AO94)</f>
        <v>0</v>
      </c>
      <c r="AP110" s="260"/>
      <c r="AQ110" s="264"/>
      <c r="AR110" s="264" t="str">
        <f>VLOOKUP($I110,TableInputsData[],ReadMe!$M$3,FALSE)&amp;"  |  "&amp;VLOOKUP($K110,TableInputsData[],ReadMe!$M$3,FALSE)</f>
        <v>PRODUIT 03  |  PRIX MOYEN DE VENTE PAR PRODUIT/SERVICE</v>
      </c>
      <c r="AS110" s="264"/>
      <c r="AT110" s="294"/>
    </row>
    <row r="111" spans="1:46" ht="13" hidden="1" x14ac:dyDescent="0.2">
      <c r="A111" s="294"/>
      <c r="B111" s="924"/>
      <c r="C111" s="271">
        <v>104</v>
      </c>
      <c r="D111" s="250">
        <f t="shared" si="184"/>
        <v>0</v>
      </c>
      <c r="E111" s="250"/>
      <c r="F111" s="248" t="str">
        <f t="shared" si="206"/>
        <v>CURRENT YEAR</v>
      </c>
      <c r="G111" s="250">
        <f>VLOOKUP(F111,TableInputsData[],$G$6,FALSE)</f>
        <v>2025</v>
      </c>
      <c r="H111" s="250" t="str">
        <f t="shared" si="185"/>
        <v>PRODUCT</v>
      </c>
      <c r="I111" s="248" t="str">
        <f t="shared" si="185"/>
        <v>PRODUCT 03</v>
      </c>
      <c r="J111" s="248" t="str">
        <f>VLOOKUP(I111,TableInputsData[],$J$6,FALSE)</f>
        <v>-</v>
      </c>
      <c r="K111" s="248" t="str">
        <f t="shared" ref="K111:K116" si="212">K110</f>
        <v>AVERAGE SELLING PRICE PER UNIT</v>
      </c>
      <c r="L111" s="255"/>
      <c r="M111" s="255"/>
      <c r="N111" s="255"/>
      <c r="O111" s="265"/>
      <c r="P111" s="260"/>
      <c r="Q111" s="260"/>
      <c r="R111" s="260"/>
      <c r="S111" s="630"/>
      <c r="T111" s="630"/>
      <c r="U111" s="630"/>
      <c r="V111" s="630"/>
      <c r="W111" s="260"/>
      <c r="X111" s="260"/>
      <c r="Y111" s="260"/>
      <c r="Z111" s="260"/>
      <c r="AA111" s="260"/>
      <c r="AB111" s="260"/>
      <c r="AC111" s="265"/>
      <c r="AD111" s="634"/>
      <c r="AE111" s="264">
        <f>IF(AE95=0,0,AE103/AE95)</f>
        <v>0</v>
      </c>
      <c r="AF111" s="264">
        <f t="shared" ref="AF111:AM111" si="213">IF(AF95=0,0,AF103/AF95)</f>
        <v>0</v>
      </c>
      <c r="AG111" s="264">
        <f t="shared" si="213"/>
        <v>0</v>
      </c>
      <c r="AH111" s="264">
        <f t="shared" si="213"/>
        <v>0</v>
      </c>
      <c r="AI111" s="264">
        <f t="shared" si="213"/>
        <v>0</v>
      </c>
      <c r="AJ111" s="264">
        <f t="shared" si="213"/>
        <v>0</v>
      </c>
      <c r="AK111" s="264">
        <f t="shared" si="213"/>
        <v>0</v>
      </c>
      <c r="AL111" s="264">
        <f t="shared" si="213"/>
        <v>0</v>
      </c>
      <c r="AM111" s="264">
        <f t="shared" si="213"/>
        <v>0</v>
      </c>
      <c r="AN111" s="260"/>
      <c r="AO111" s="264">
        <f t="shared" ref="AO111" si="214">IF(AO95=0,0,AO103/AO95)</f>
        <v>0</v>
      </c>
      <c r="AP111" s="260"/>
      <c r="AQ111" s="264"/>
      <c r="AR111" s="264" t="str">
        <f>VLOOKUP($I111,TableInputsData[],ReadMe!$M$3,FALSE)&amp;"  |  "&amp;VLOOKUP($K111,TableInputsData[],ReadMe!$M$3,FALSE)</f>
        <v>PRODUIT 03  |  PRIX MOYEN DE VENTE PAR PRODUIT/SERVICE</v>
      </c>
      <c r="AS111" s="264"/>
      <c r="AT111" s="294"/>
    </row>
    <row r="112" spans="1:46" ht="13" hidden="1" x14ac:dyDescent="0.2">
      <c r="A112" s="294"/>
      <c r="B112" s="924"/>
      <c r="C112" s="271">
        <v>105</v>
      </c>
      <c r="D112" s="250">
        <f t="shared" si="184"/>
        <v>0</v>
      </c>
      <c r="E112" s="250"/>
      <c r="F112" s="248" t="str">
        <f t="shared" si="206"/>
        <v>YEAR2</v>
      </c>
      <c r="G112" s="250">
        <f>VLOOKUP(F112,TableInputsData[],$G$6,FALSE)</f>
        <v>2026</v>
      </c>
      <c r="H112" s="250" t="str">
        <f t="shared" si="185"/>
        <v>PRODUCT</v>
      </c>
      <c r="I112" s="248" t="str">
        <f t="shared" si="185"/>
        <v>PRODUCT 03</v>
      </c>
      <c r="J112" s="248" t="str">
        <f>VLOOKUP(I112,TableInputsData[],$J$6,FALSE)</f>
        <v>-</v>
      </c>
      <c r="K112" s="248" t="str">
        <f t="shared" si="212"/>
        <v>AVERAGE SELLING PRICE PER UNIT</v>
      </c>
      <c r="L112" s="255"/>
      <c r="M112" s="255"/>
      <c r="N112" s="255"/>
      <c r="O112" s="265"/>
      <c r="P112" s="260"/>
      <c r="Q112" s="260"/>
      <c r="R112" s="260"/>
      <c r="S112" s="630"/>
      <c r="T112" s="630"/>
      <c r="U112" s="630"/>
      <c r="V112" s="630"/>
      <c r="W112" s="260"/>
      <c r="X112" s="260"/>
      <c r="Y112" s="260"/>
      <c r="Z112" s="260"/>
      <c r="AA112" s="260"/>
      <c r="AB112" s="260"/>
      <c r="AC112" s="265"/>
      <c r="AD112" s="634"/>
      <c r="AE112" s="264">
        <f>IF(AE96=0,0,AE104/AE96)</f>
        <v>0</v>
      </c>
      <c r="AF112" s="264">
        <f t="shared" ref="AF112:AM112" si="215">IF(AF96=0,0,AF104/AF96)</f>
        <v>0</v>
      </c>
      <c r="AG112" s="264">
        <f t="shared" si="215"/>
        <v>0</v>
      </c>
      <c r="AH112" s="264">
        <f t="shared" si="215"/>
        <v>0</v>
      </c>
      <c r="AI112" s="264">
        <f t="shared" si="215"/>
        <v>0</v>
      </c>
      <c r="AJ112" s="264">
        <f t="shared" si="215"/>
        <v>0</v>
      </c>
      <c r="AK112" s="264">
        <f t="shared" si="215"/>
        <v>0</v>
      </c>
      <c r="AL112" s="264">
        <f t="shared" si="215"/>
        <v>0</v>
      </c>
      <c r="AM112" s="264">
        <f t="shared" si="215"/>
        <v>0</v>
      </c>
      <c r="AN112" s="260"/>
      <c r="AO112" s="264">
        <f t="shared" ref="AO112" si="216">IF(AO96=0,0,AO104/AO96)</f>
        <v>0</v>
      </c>
      <c r="AP112" s="260"/>
      <c r="AQ112" s="264"/>
      <c r="AR112" s="264" t="str">
        <f>VLOOKUP($I112,TableInputsData[],ReadMe!$M$3,FALSE)&amp;"  |  "&amp;VLOOKUP($K112,TableInputsData[],ReadMe!$M$3,FALSE)</f>
        <v>PRODUIT 03  |  PRIX MOYEN DE VENTE PAR PRODUIT/SERVICE</v>
      </c>
      <c r="AS112" s="264"/>
      <c r="AT112" s="294"/>
    </row>
    <row r="113" spans="1:46" ht="13" hidden="1" x14ac:dyDescent="0.2">
      <c r="A113" s="294"/>
      <c r="B113" s="924"/>
      <c r="C113" s="271">
        <v>106</v>
      </c>
      <c r="D113" s="250">
        <f t="shared" si="184"/>
        <v>0</v>
      </c>
      <c r="E113" s="250"/>
      <c r="F113" s="248" t="str">
        <f t="shared" si="206"/>
        <v>YEAR3</v>
      </c>
      <c r="G113" s="250">
        <f>VLOOKUP(F113,TableInputsData[],$G$6,FALSE)</f>
        <v>2027</v>
      </c>
      <c r="H113" s="250" t="str">
        <f t="shared" si="185"/>
        <v>PRODUCT</v>
      </c>
      <c r="I113" s="248" t="str">
        <f t="shared" si="185"/>
        <v>PRODUCT 03</v>
      </c>
      <c r="J113" s="248" t="str">
        <f>VLOOKUP(I113,TableInputsData[],$J$6,FALSE)</f>
        <v>-</v>
      </c>
      <c r="K113" s="248" t="str">
        <f t="shared" si="212"/>
        <v>AVERAGE SELLING PRICE PER UNIT</v>
      </c>
      <c r="L113" s="255"/>
      <c r="M113" s="255"/>
      <c r="N113" s="255"/>
      <c r="O113" s="265"/>
      <c r="P113" s="260"/>
      <c r="Q113" s="260"/>
      <c r="R113" s="260"/>
      <c r="S113" s="630"/>
      <c r="T113" s="630"/>
      <c r="U113" s="630"/>
      <c r="V113" s="630"/>
      <c r="W113" s="260"/>
      <c r="X113" s="260"/>
      <c r="Y113" s="260"/>
      <c r="Z113" s="260"/>
      <c r="AA113" s="260"/>
      <c r="AB113" s="260"/>
      <c r="AC113" s="265"/>
      <c r="AD113" s="634"/>
      <c r="AE113" s="264">
        <f t="shared" ref="AE113:AM113" si="217">IF(AE97=0,0,AE105/AE97)</f>
        <v>0</v>
      </c>
      <c r="AF113" s="264">
        <f t="shared" si="217"/>
        <v>0</v>
      </c>
      <c r="AG113" s="264">
        <f t="shared" si="217"/>
        <v>0</v>
      </c>
      <c r="AH113" s="264">
        <f t="shared" si="217"/>
        <v>0</v>
      </c>
      <c r="AI113" s="264">
        <f t="shared" si="217"/>
        <v>0</v>
      </c>
      <c r="AJ113" s="264">
        <f t="shared" si="217"/>
        <v>0</v>
      </c>
      <c r="AK113" s="264">
        <f t="shared" si="217"/>
        <v>0</v>
      </c>
      <c r="AL113" s="264">
        <f t="shared" si="217"/>
        <v>0</v>
      </c>
      <c r="AM113" s="264">
        <f t="shared" si="217"/>
        <v>0</v>
      </c>
      <c r="AN113" s="260"/>
      <c r="AO113" s="264">
        <f t="shared" ref="AO113" si="218">IF(AO97=0,0,AO105/AO97)</f>
        <v>0</v>
      </c>
      <c r="AP113" s="260"/>
      <c r="AQ113" s="264"/>
      <c r="AR113" s="264" t="str">
        <f>VLOOKUP($I113,TableInputsData[],ReadMe!$M$3,FALSE)&amp;"  |  "&amp;VLOOKUP($K113,TableInputsData[],ReadMe!$M$3,FALSE)</f>
        <v>PRODUIT 03  |  PRIX MOYEN DE VENTE PAR PRODUIT/SERVICE</v>
      </c>
      <c r="AS113" s="264"/>
      <c r="AT113" s="294"/>
    </row>
    <row r="114" spans="1:46" ht="13" hidden="1" x14ac:dyDescent="0.2">
      <c r="A114" s="294"/>
      <c r="B114" s="924"/>
      <c r="C114" s="272">
        <v>107</v>
      </c>
      <c r="D114" s="250">
        <f t="shared" si="184"/>
        <v>0</v>
      </c>
      <c r="E114" s="251"/>
      <c r="F114" s="248" t="str">
        <f t="shared" si="206"/>
        <v>YEAR4</v>
      </c>
      <c r="G114" s="250">
        <f>VLOOKUP(F114,TableInputsData[],$G$6,FALSE)</f>
        <v>2028</v>
      </c>
      <c r="H114" s="250" t="str">
        <f t="shared" si="185"/>
        <v>PRODUCT</v>
      </c>
      <c r="I114" s="248" t="str">
        <f t="shared" si="185"/>
        <v>PRODUCT 03</v>
      </c>
      <c r="J114" s="248" t="str">
        <f>VLOOKUP(I114,TableInputsData[],$J$6,FALSE)</f>
        <v>-</v>
      </c>
      <c r="K114" s="248" t="str">
        <f t="shared" si="212"/>
        <v>AVERAGE SELLING PRICE PER UNIT</v>
      </c>
      <c r="L114" s="256"/>
      <c r="M114" s="256"/>
      <c r="N114" s="256"/>
      <c r="O114" s="266"/>
      <c r="P114" s="261"/>
      <c r="Q114" s="261"/>
      <c r="R114" s="261"/>
      <c r="S114" s="629"/>
      <c r="T114" s="629"/>
      <c r="U114" s="629"/>
      <c r="V114" s="629"/>
      <c r="W114" s="261"/>
      <c r="X114" s="261"/>
      <c r="Y114" s="261"/>
      <c r="Z114" s="261"/>
      <c r="AA114" s="261"/>
      <c r="AB114" s="261"/>
      <c r="AC114" s="266"/>
      <c r="AD114" s="633"/>
      <c r="AE114" s="264">
        <f t="shared" ref="AE114:AM114" si="219">IF(AE98=0,0,AE106/AE98)</f>
        <v>0</v>
      </c>
      <c r="AF114" s="264">
        <f t="shared" si="219"/>
        <v>0</v>
      </c>
      <c r="AG114" s="264">
        <f t="shared" si="219"/>
        <v>0</v>
      </c>
      <c r="AH114" s="264">
        <f t="shared" si="219"/>
        <v>0</v>
      </c>
      <c r="AI114" s="264">
        <f t="shared" si="219"/>
        <v>0</v>
      </c>
      <c r="AJ114" s="264">
        <f t="shared" si="219"/>
        <v>0</v>
      </c>
      <c r="AK114" s="264">
        <f t="shared" si="219"/>
        <v>0</v>
      </c>
      <c r="AL114" s="264">
        <f t="shared" si="219"/>
        <v>0</v>
      </c>
      <c r="AM114" s="264">
        <f t="shared" si="219"/>
        <v>0</v>
      </c>
      <c r="AN114" s="260"/>
      <c r="AO114" s="264">
        <f t="shared" ref="AO114" si="220">IF(AO98=0,0,AO106/AO98)</f>
        <v>0</v>
      </c>
      <c r="AP114" s="260"/>
      <c r="AQ114" s="264"/>
      <c r="AR114" s="264" t="str">
        <f>VLOOKUP($I114,TableInputsData[],ReadMe!$M$3,FALSE)&amp;"  |  "&amp;VLOOKUP($K114,TableInputsData[],ReadMe!$M$3,FALSE)</f>
        <v>PRODUIT 03  |  PRIX MOYEN DE VENTE PAR PRODUIT/SERVICE</v>
      </c>
      <c r="AS114" s="264"/>
      <c r="AT114" s="294"/>
    </row>
    <row r="115" spans="1:46" ht="13" hidden="1" x14ac:dyDescent="0.2">
      <c r="A115" s="294"/>
      <c r="B115" s="924"/>
      <c r="C115" s="271">
        <v>108</v>
      </c>
      <c r="D115" s="250">
        <f t="shared" si="184"/>
        <v>0</v>
      </c>
      <c r="E115" s="250"/>
      <c r="F115" s="248" t="str">
        <f t="shared" si="206"/>
        <v>YEAR5</v>
      </c>
      <c r="G115" s="250">
        <f>VLOOKUP(F115,TableInputsData[],$G$6,FALSE)</f>
        <v>2029</v>
      </c>
      <c r="H115" s="250" t="str">
        <f t="shared" si="185"/>
        <v>PRODUCT</v>
      </c>
      <c r="I115" s="248" t="str">
        <f t="shared" si="185"/>
        <v>PRODUCT 03</v>
      </c>
      <c r="J115" s="248" t="str">
        <f>VLOOKUP(I115,TableInputsData[],$J$6,FALSE)</f>
        <v>-</v>
      </c>
      <c r="K115" s="248" t="str">
        <f t="shared" si="212"/>
        <v>AVERAGE SELLING PRICE PER UNIT</v>
      </c>
      <c r="L115" s="255"/>
      <c r="M115" s="255"/>
      <c r="N115" s="255"/>
      <c r="O115" s="265"/>
      <c r="P115" s="260"/>
      <c r="Q115" s="260"/>
      <c r="R115" s="260"/>
      <c r="S115" s="630"/>
      <c r="T115" s="630"/>
      <c r="U115" s="630"/>
      <c r="V115" s="630"/>
      <c r="W115" s="260"/>
      <c r="X115" s="260"/>
      <c r="Y115" s="260"/>
      <c r="Z115" s="260"/>
      <c r="AA115" s="260"/>
      <c r="AB115" s="260"/>
      <c r="AC115" s="265"/>
      <c r="AD115" s="634"/>
      <c r="AE115" s="264">
        <f t="shared" ref="AE115:AM115" si="221">IF(AE99=0,0,AE107/AE99)</f>
        <v>0</v>
      </c>
      <c r="AF115" s="264">
        <f t="shared" si="221"/>
        <v>0</v>
      </c>
      <c r="AG115" s="264">
        <f t="shared" si="221"/>
        <v>0</v>
      </c>
      <c r="AH115" s="264">
        <f t="shared" si="221"/>
        <v>0</v>
      </c>
      <c r="AI115" s="264">
        <f t="shared" si="221"/>
        <v>0</v>
      </c>
      <c r="AJ115" s="264">
        <f t="shared" si="221"/>
        <v>0</v>
      </c>
      <c r="AK115" s="264">
        <f t="shared" si="221"/>
        <v>0</v>
      </c>
      <c r="AL115" s="264">
        <f t="shared" si="221"/>
        <v>0</v>
      </c>
      <c r="AM115" s="264">
        <f t="shared" si="221"/>
        <v>0</v>
      </c>
      <c r="AN115" s="260"/>
      <c r="AO115" s="264">
        <f t="shared" ref="AO115" si="222">IF(AO99=0,0,AO107/AO99)</f>
        <v>0</v>
      </c>
      <c r="AP115" s="260"/>
      <c r="AQ115" s="264"/>
      <c r="AR115" s="264" t="str">
        <f>VLOOKUP($I115,TableInputsData[],ReadMe!$M$3,FALSE)&amp;"  |  "&amp;VLOOKUP($K115,TableInputsData[],ReadMe!$M$3,FALSE)</f>
        <v>PRODUIT 03  |  PRIX MOYEN DE VENTE PAR PRODUIT/SERVICE</v>
      </c>
      <c r="AS115" s="264"/>
      <c r="AT115" s="294"/>
    </row>
    <row r="116" spans="1:46" ht="13" hidden="1" x14ac:dyDescent="0.2">
      <c r="A116" s="294"/>
      <c r="B116" s="924"/>
      <c r="C116" s="271">
        <v>109</v>
      </c>
      <c r="D116" s="250">
        <f t="shared" si="184"/>
        <v>0</v>
      </c>
      <c r="E116" s="250"/>
      <c r="F116" s="248" t="str">
        <f t="shared" si="206"/>
        <v>YEAR6</v>
      </c>
      <c r="G116" s="250">
        <f>VLOOKUP(F116,TableInputsData[],$G$6,FALSE)</f>
        <v>2030</v>
      </c>
      <c r="H116" s="250" t="str">
        <f t="shared" si="185"/>
        <v>PRODUCT</v>
      </c>
      <c r="I116" s="248" t="str">
        <f t="shared" si="185"/>
        <v>PRODUCT 03</v>
      </c>
      <c r="J116" s="248" t="str">
        <f>VLOOKUP(I116,TableInputsData[],$J$6,FALSE)</f>
        <v>-</v>
      </c>
      <c r="K116" s="248" t="str">
        <f t="shared" si="212"/>
        <v>AVERAGE SELLING PRICE PER UNIT</v>
      </c>
      <c r="L116" s="255"/>
      <c r="M116" s="255"/>
      <c r="N116" s="255"/>
      <c r="O116" s="265"/>
      <c r="P116" s="260"/>
      <c r="Q116" s="260"/>
      <c r="R116" s="260"/>
      <c r="S116" s="630"/>
      <c r="T116" s="630"/>
      <c r="U116" s="630"/>
      <c r="V116" s="630"/>
      <c r="W116" s="260"/>
      <c r="X116" s="260"/>
      <c r="Y116" s="260"/>
      <c r="Z116" s="260"/>
      <c r="AA116" s="260"/>
      <c r="AB116" s="260"/>
      <c r="AC116" s="265"/>
      <c r="AD116" s="634"/>
      <c r="AE116" s="264">
        <f t="shared" ref="AE116:AM116" si="223">IF(AE100=0,0,AE108/AE100)</f>
        <v>0</v>
      </c>
      <c r="AF116" s="264">
        <f t="shared" si="223"/>
        <v>0</v>
      </c>
      <c r="AG116" s="264">
        <f t="shared" si="223"/>
        <v>0</v>
      </c>
      <c r="AH116" s="264">
        <f t="shared" si="223"/>
        <v>0</v>
      </c>
      <c r="AI116" s="264">
        <f t="shared" si="223"/>
        <v>0</v>
      </c>
      <c r="AJ116" s="264">
        <f t="shared" si="223"/>
        <v>0</v>
      </c>
      <c r="AK116" s="264">
        <f t="shared" si="223"/>
        <v>0</v>
      </c>
      <c r="AL116" s="264">
        <f t="shared" si="223"/>
        <v>0</v>
      </c>
      <c r="AM116" s="264">
        <f t="shared" si="223"/>
        <v>0</v>
      </c>
      <c r="AN116" s="260"/>
      <c r="AO116" s="264">
        <f t="shared" ref="AO116" si="224">IF(AO100=0,0,AO108/AO100)</f>
        <v>0</v>
      </c>
      <c r="AP116" s="260"/>
      <c r="AQ116" s="264"/>
      <c r="AR116" s="264" t="str">
        <f>VLOOKUP($I116,TableInputsData[],ReadMe!$M$3,FALSE)&amp;"  |  "&amp;VLOOKUP($K116,TableInputsData[],ReadMe!$M$3,FALSE)</f>
        <v>PRODUIT 03  |  PRIX MOYEN DE VENTE PAR PRODUIT/SERVICE</v>
      </c>
      <c r="AS116" s="264"/>
      <c r="AT116" s="294"/>
    </row>
    <row r="117" spans="1:46" ht="13" hidden="1" x14ac:dyDescent="0.2">
      <c r="A117" s="294"/>
      <c r="B117" s="924"/>
      <c r="C117" s="272">
        <v>110</v>
      </c>
      <c r="D117" s="250">
        <f t="shared" si="184"/>
        <v>0</v>
      </c>
      <c r="E117" s="251"/>
      <c r="F117" s="248" t="str">
        <f t="shared" ref="F117:F124" si="225">F125</f>
        <v>YEAR-2</v>
      </c>
      <c r="G117" s="250">
        <f>VLOOKUP(F117,TableInputsData[],$G$6,FALSE)</f>
        <v>2023</v>
      </c>
      <c r="H117" s="250" t="str">
        <f t="shared" si="185"/>
        <v>PRODUCT</v>
      </c>
      <c r="I117" s="248" t="str">
        <f t="shared" si="185"/>
        <v>PRODUCT 03</v>
      </c>
      <c r="J117" s="248" t="str">
        <f>VLOOKUP(I117,TableInputsData[],$J$6,FALSE)</f>
        <v>-</v>
      </c>
      <c r="K117" s="248" t="s">
        <v>531</v>
      </c>
      <c r="L117" s="256"/>
      <c r="M117" s="256"/>
      <c r="N117" s="256"/>
      <c r="O117" s="266"/>
      <c r="P117" s="261"/>
      <c r="Q117" s="261"/>
      <c r="R117" s="261"/>
      <c r="S117" s="629"/>
      <c r="T117" s="629"/>
      <c r="U117" s="629"/>
      <c r="V117" s="629"/>
      <c r="W117" s="261"/>
      <c r="X117" s="261"/>
      <c r="Y117" s="261"/>
      <c r="Z117" s="261"/>
      <c r="AA117" s="261"/>
      <c r="AB117" s="261"/>
      <c r="AC117" s="266"/>
      <c r="AD117" s="633"/>
      <c r="AE117" s="264">
        <f>AE93*($S93*$P93+$T93*$Q93+$U93*$R93)</f>
        <v>0</v>
      </c>
      <c r="AF117" s="264">
        <f t="shared" ref="AF117:AH117" si="226">AF93*($S93*$P93+$T93*$Q93+$U93*$R93)</f>
        <v>0</v>
      </c>
      <c r="AG117" s="264">
        <f t="shared" si="226"/>
        <v>0</v>
      </c>
      <c r="AH117" s="264">
        <f t="shared" si="226"/>
        <v>0</v>
      </c>
      <c r="AI117" s="264">
        <f t="shared" ref="AI117:AI124" si="227">$AE117+$AF117+$AG117+$AH117</f>
        <v>0</v>
      </c>
      <c r="AJ117" s="264">
        <f t="shared" ref="AJ117:AJ124" si="228">$AJ93*$S93</f>
        <v>0</v>
      </c>
      <c r="AK117" s="264">
        <f t="shared" ref="AK117:AK124" si="229">$AK93*$T93</f>
        <v>0</v>
      </c>
      <c r="AL117" s="264">
        <f t="shared" ref="AL117:AL124" si="230">$AL93*$U93</f>
        <v>0</v>
      </c>
      <c r="AM117" s="264">
        <f t="shared" ref="AM117:AM124" si="231">$AJ117*$W93+$AK117*$X93+$AL117*$Y93</f>
        <v>0</v>
      </c>
      <c r="AN117" s="640">
        <f t="shared" ref="AN117:AN124" si="232">IF(AI117=0,0,AM117/AI117)</f>
        <v>0</v>
      </c>
      <c r="AO117" s="264">
        <f t="shared" ref="AO117:AO124" si="233">$AJ117*$Z93+$AK117*$AA93+$AL117*$AB93</f>
        <v>0</v>
      </c>
      <c r="AP117" s="640">
        <f t="shared" ref="AP117:AP124" si="234">IF(AI117=0,0,AO117/AI117)</f>
        <v>0</v>
      </c>
      <c r="AQ117" s="264"/>
      <c r="AR117" s="264" t="str">
        <f>VLOOKUP($I117,TableInputsData[],ReadMe!$M$3,FALSE)&amp;"  |  "&amp;VLOOKUP($K117,TableInputsData[],ReadMe!$M$3,FALSE)</f>
        <v>PRODUIT 03  |  DEPENSES SUR ACHATS</v>
      </c>
      <c r="AS117" s="264" t="b">
        <f t="shared" ref="AS117:AS124" si="235">AND(EXACT(ROUND(AI117,2),ROUND(AJ117+AK117+AL117,2)),EXACT(ROUND(AI117,2),ROUND(AM117+AO117,2)))</f>
        <v>1</v>
      </c>
      <c r="AT117" s="294"/>
    </row>
    <row r="118" spans="1:46" ht="13" hidden="1" x14ac:dyDescent="0.2">
      <c r="A118" s="294"/>
      <c r="B118" s="924"/>
      <c r="C118" s="271">
        <v>111</v>
      </c>
      <c r="D118" s="250">
        <f t="shared" si="184"/>
        <v>0</v>
      </c>
      <c r="E118" s="250"/>
      <c r="F118" s="248" t="str">
        <f t="shared" si="225"/>
        <v>YEAR-1</v>
      </c>
      <c r="G118" s="250">
        <f>VLOOKUP(F118,TableInputsData[],$G$6,FALSE)</f>
        <v>2024</v>
      </c>
      <c r="H118" s="250" t="str">
        <f t="shared" si="185"/>
        <v>PRODUCT</v>
      </c>
      <c r="I118" s="248" t="str">
        <f t="shared" si="185"/>
        <v>PRODUCT 03</v>
      </c>
      <c r="J118" s="248" t="str">
        <f>VLOOKUP(I118,TableInputsData[],$J$6,FALSE)</f>
        <v>-</v>
      </c>
      <c r="K118" s="248" t="str">
        <f>K117</f>
        <v>COST OF GOODS SOLD</v>
      </c>
      <c r="L118" s="255"/>
      <c r="M118" s="255"/>
      <c r="N118" s="255"/>
      <c r="O118" s="265"/>
      <c r="P118" s="260"/>
      <c r="Q118" s="260"/>
      <c r="R118" s="260"/>
      <c r="S118" s="630"/>
      <c r="T118" s="630"/>
      <c r="U118" s="630"/>
      <c r="V118" s="630"/>
      <c r="W118" s="260"/>
      <c r="X118" s="260"/>
      <c r="Y118" s="260"/>
      <c r="Z118" s="260"/>
      <c r="AA118" s="260"/>
      <c r="AB118" s="260"/>
      <c r="AC118" s="265"/>
      <c r="AD118" s="634"/>
      <c r="AE118" s="264">
        <f t="shared" ref="AE118:AH118" si="236">AE94*($S94*$P94+$T94*$Q94+$U94*$R94)</f>
        <v>0</v>
      </c>
      <c r="AF118" s="264">
        <f t="shared" si="236"/>
        <v>0</v>
      </c>
      <c r="AG118" s="264">
        <f t="shared" si="236"/>
        <v>0</v>
      </c>
      <c r="AH118" s="264">
        <f t="shared" si="236"/>
        <v>0</v>
      </c>
      <c r="AI118" s="264">
        <f t="shared" si="227"/>
        <v>0</v>
      </c>
      <c r="AJ118" s="264">
        <f t="shared" si="228"/>
        <v>0</v>
      </c>
      <c r="AK118" s="264">
        <f t="shared" si="229"/>
        <v>0</v>
      </c>
      <c r="AL118" s="264">
        <f t="shared" si="230"/>
        <v>0</v>
      </c>
      <c r="AM118" s="264">
        <f t="shared" si="231"/>
        <v>0</v>
      </c>
      <c r="AN118" s="640">
        <f t="shared" si="232"/>
        <v>0</v>
      </c>
      <c r="AO118" s="264">
        <f t="shared" si="233"/>
        <v>0</v>
      </c>
      <c r="AP118" s="640">
        <f t="shared" si="234"/>
        <v>0</v>
      </c>
      <c r="AQ118" s="264"/>
      <c r="AR118" s="264" t="str">
        <f>VLOOKUP($I118,TableInputsData[],ReadMe!$M$3,FALSE)&amp;"  |  "&amp;VLOOKUP($K118,TableInputsData[],ReadMe!$M$3,FALSE)</f>
        <v>PRODUIT 03  |  DEPENSES SUR ACHATS</v>
      </c>
      <c r="AS118" s="264" t="b">
        <f t="shared" si="235"/>
        <v>1</v>
      </c>
      <c r="AT118" s="294"/>
    </row>
    <row r="119" spans="1:46" ht="13" hidden="1" x14ac:dyDescent="0.2">
      <c r="A119" s="294"/>
      <c r="B119" s="924"/>
      <c r="C119" s="271">
        <v>112</v>
      </c>
      <c r="D119" s="250">
        <f t="shared" si="184"/>
        <v>0</v>
      </c>
      <c r="E119" s="250"/>
      <c r="F119" s="248" t="str">
        <f t="shared" si="225"/>
        <v>CURRENT YEAR</v>
      </c>
      <c r="G119" s="250">
        <f>VLOOKUP(F119,TableInputsData[],$G$6,FALSE)</f>
        <v>2025</v>
      </c>
      <c r="H119" s="250" t="str">
        <f t="shared" si="185"/>
        <v>PRODUCT</v>
      </c>
      <c r="I119" s="248" t="str">
        <f t="shared" si="185"/>
        <v>PRODUCT 03</v>
      </c>
      <c r="J119" s="248" t="str">
        <f>VLOOKUP(I119,TableInputsData[],$J$6,FALSE)</f>
        <v>-</v>
      </c>
      <c r="K119" s="248" t="str">
        <f t="shared" ref="K119:K124" si="237">K118</f>
        <v>COST OF GOODS SOLD</v>
      </c>
      <c r="L119" s="255"/>
      <c r="M119" s="255"/>
      <c r="N119" s="255"/>
      <c r="O119" s="265"/>
      <c r="P119" s="260"/>
      <c r="Q119" s="260"/>
      <c r="R119" s="260"/>
      <c r="S119" s="630"/>
      <c r="T119" s="630"/>
      <c r="U119" s="630"/>
      <c r="V119" s="630"/>
      <c r="W119" s="260"/>
      <c r="X119" s="260"/>
      <c r="Y119" s="260"/>
      <c r="Z119" s="260"/>
      <c r="AA119" s="260"/>
      <c r="AB119" s="260"/>
      <c r="AC119" s="265"/>
      <c r="AD119" s="634"/>
      <c r="AE119" s="264">
        <f t="shared" ref="AE119:AH119" si="238">AE95*($S95*$P95+$T95*$Q95+$U95*$R95)</f>
        <v>0</v>
      </c>
      <c r="AF119" s="264">
        <f t="shared" si="238"/>
        <v>0</v>
      </c>
      <c r="AG119" s="264">
        <f t="shared" si="238"/>
        <v>0</v>
      </c>
      <c r="AH119" s="264">
        <f t="shared" si="238"/>
        <v>0</v>
      </c>
      <c r="AI119" s="264">
        <f t="shared" si="227"/>
        <v>0</v>
      </c>
      <c r="AJ119" s="264">
        <f t="shared" si="228"/>
        <v>0</v>
      </c>
      <c r="AK119" s="264">
        <f t="shared" si="229"/>
        <v>0</v>
      </c>
      <c r="AL119" s="264">
        <f t="shared" si="230"/>
        <v>0</v>
      </c>
      <c r="AM119" s="264">
        <f t="shared" si="231"/>
        <v>0</v>
      </c>
      <c r="AN119" s="640">
        <f t="shared" si="232"/>
        <v>0</v>
      </c>
      <c r="AO119" s="264">
        <f t="shared" si="233"/>
        <v>0</v>
      </c>
      <c r="AP119" s="640">
        <f t="shared" si="234"/>
        <v>0</v>
      </c>
      <c r="AQ119" s="264"/>
      <c r="AR119" s="264" t="str">
        <f>VLOOKUP($I119,TableInputsData[],ReadMe!$M$3,FALSE)&amp;"  |  "&amp;VLOOKUP($K119,TableInputsData[],ReadMe!$M$3,FALSE)</f>
        <v>PRODUIT 03  |  DEPENSES SUR ACHATS</v>
      </c>
      <c r="AS119" s="264" t="b">
        <f t="shared" si="235"/>
        <v>1</v>
      </c>
      <c r="AT119" s="294"/>
    </row>
    <row r="120" spans="1:46" ht="13" hidden="1" x14ac:dyDescent="0.2">
      <c r="A120" s="294"/>
      <c r="B120" s="924"/>
      <c r="C120" s="271">
        <v>113</v>
      </c>
      <c r="D120" s="250">
        <f t="shared" si="184"/>
        <v>0</v>
      </c>
      <c r="E120" s="250"/>
      <c r="F120" s="248" t="str">
        <f t="shared" si="225"/>
        <v>YEAR2</v>
      </c>
      <c r="G120" s="250">
        <f>VLOOKUP(F120,TableInputsData[],$G$6,FALSE)</f>
        <v>2026</v>
      </c>
      <c r="H120" s="250" t="str">
        <f t="shared" si="185"/>
        <v>PRODUCT</v>
      </c>
      <c r="I120" s="248" t="str">
        <f t="shared" si="185"/>
        <v>PRODUCT 03</v>
      </c>
      <c r="J120" s="248" t="str">
        <f>VLOOKUP(I120,TableInputsData[],$J$6,FALSE)</f>
        <v>-</v>
      </c>
      <c r="K120" s="248" t="str">
        <f t="shared" si="237"/>
        <v>COST OF GOODS SOLD</v>
      </c>
      <c r="L120" s="255"/>
      <c r="M120" s="255"/>
      <c r="N120" s="255"/>
      <c r="O120" s="265"/>
      <c r="P120" s="260"/>
      <c r="Q120" s="260"/>
      <c r="R120" s="260"/>
      <c r="S120" s="630"/>
      <c r="T120" s="630"/>
      <c r="U120" s="630"/>
      <c r="V120" s="630"/>
      <c r="W120" s="260"/>
      <c r="X120" s="260"/>
      <c r="Y120" s="260"/>
      <c r="Z120" s="260"/>
      <c r="AA120" s="260"/>
      <c r="AB120" s="260"/>
      <c r="AC120" s="265"/>
      <c r="AD120" s="634"/>
      <c r="AE120" s="264">
        <f t="shared" ref="AE120:AH120" si="239">AE96*($S96*$P96+$T96*$Q96+$U96*$R96)</f>
        <v>0</v>
      </c>
      <c r="AF120" s="264">
        <f t="shared" si="239"/>
        <v>0</v>
      </c>
      <c r="AG120" s="264">
        <f t="shared" si="239"/>
        <v>0</v>
      </c>
      <c r="AH120" s="264">
        <f t="shared" si="239"/>
        <v>0</v>
      </c>
      <c r="AI120" s="264">
        <f t="shared" si="227"/>
        <v>0</v>
      </c>
      <c r="AJ120" s="264">
        <f t="shared" si="228"/>
        <v>0</v>
      </c>
      <c r="AK120" s="264">
        <f t="shared" si="229"/>
        <v>0</v>
      </c>
      <c r="AL120" s="264">
        <f t="shared" si="230"/>
        <v>0</v>
      </c>
      <c r="AM120" s="264">
        <f t="shared" si="231"/>
        <v>0</v>
      </c>
      <c r="AN120" s="640">
        <f t="shared" si="232"/>
        <v>0</v>
      </c>
      <c r="AO120" s="264">
        <f t="shared" si="233"/>
        <v>0</v>
      </c>
      <c r="AP120" s="640">
        <f t="shared" si="234"/>
        <v>0</v>
      </c>
      <c r="AQ120" s="264"/>
      <c r="AR120" s="264" t="str">
        <f>VLOOKUP($I120,TableInputsData[],ReadMe!$M$3,FALSE)&amp;"  |  "&amp;VLOOKUP($K120,TableInputsData[],ReadMe!$M$3,FALSE)</f>
        <v>PRODUIT 03  |  DEPENSES SUR ACHATS</v>
      </c>
      <c r="AS120" s="264" t="b">
        <f t="shared" si="235"/>
        <v>1</v>
      </c>
      <c r="AT120" s="294"/>
    </row>
    <row r="121" spans="1:46" ht="13" hidden="1" x14ac:dyDescent="0.2">
      <c r="A121" s="294"/>
      <c r="B121" s="924"/>
      <c r="C121" s="271">
        <v>114</v>
      </c>
      <c r="D121" s="250">
        <f t="shared" si="184"/>
        <v>0</v>
      </c>
      <c r="E121" s="250"/>
      <c r="F121" s="248" t="str">
        <f t="shared" si="225"/>
        <v>YEAR3</v>
      </c>
      <c r="G121" s="250">
        <f>VLOOKUP(F121,TableInputsData[],$G$6,FALSE)</f>
        <v>2027</v>
      </c>
      <c r="H121" s="250" t="str">
        <f t="shared" si="185"/>
        <v>PRODUCT</v>
      </c>
      <c r="I121" s="248" t="str">
        <f t="shared" si="185"/>
        <v>PRODUCT 03</v>
      </c>
      <c r="J121" s="248" t="str">
        <f>VLOOKUP(I121,TableInputsData[],$J$6,FALSE)</f>
        <v>-</v>
      </c>
      <c r="K121" s="248" t="str">
        <f t="shared" si="237"/>
        <v>COST OF GOODS SOLD</v>
      </c>
      <c r="L121" s="255"/>
      <c r="M121" s="255"/>
      <c r="N121" s="255"/>
      <c r="O121" s="265"/>
      <c r="P121" s="260"/>
      <c r="Q121" s="260"/>
      <c r="R121" s="260"/>
      <c r="S121" s="630"/>
      <c r="T121" s="630"/>
      <c r="U121" s="630"/>
      <c r="V121" s="630"/>
      <c r="W121" s="260"/>
      <c r="X121" s="260"/>
      <c r="Y121" s="260"/>
      <c r="Z121" s="260"/>
      <c r="AA121" s="260"/>
      <c r="AB121" s="260"/>
      <c r="AC121" s="265"/>
      <c r="AD121" s="634"/>
      <c r="AE121" s="264">
        <f t="shared" ref="AE121:AH121" si="240">AE97*($S97*$P97+$T97*$Q97+$U97*$R97)</f>
        <v>0</v>
      </c>
      <c r="AF121" s="264">
        <f t="shared" si="240"/>
        <v>0</v>
      </c>
      <c r="AG121" s="264">
        <f t="shared" si="240"/>
        <v>0</v>
      </c>
      <c r="AH121" s="264">
        <f t="shared" si="240"/>
        <v>0</v>
      </c>
      <c r="AI121" s="264">
        <f t="shared" si="227"/>
        <v>0</v>
      </c>
      <c r="AJ121" s="264">
        <f t="shared" si="228"/>
        <v>0</v>
      </c>
      <c r="AK121" s="264">
        <f t="shared" si="229"/>
        <v>0</v>
      </c>
      <c r="AL121" s="264">
        <f t="shared" si="230"/>
        <v>0</v>
      </c>
      <c r="AM121" s="264">
        <f t="shared" si="231"/>
        <v>0</v>
      </c>
      <c r="AN121" s="640">
        <f t="shared" si="232"/>
        <v>0</v>
      </c>
      <c r="AO121" s="264">
        <f t="shared" si="233"/>
        <v>0</v>
      </c>
      <c r="AP121" s="640">
        <f t="shared" si="234"/>
        <v>0</v>
      </c>
      <c r="AQ121" s="264"/>
      <c r="AR121" s="264" t="str">
        <f>VLOOKUP($I121,TableInputsData[],ReadMe!$M$3,FALSE)&amp;"  |  "&amp;VLOOKUP($K121,TableInputsData[],ReadMe!$M$3,FALSE)</f>
        <v>PRODUIT 03  |  DEPENSES SUR ACHATS</v>
      </c>
      <c r="AS121" s="264" t="b">
        <f t="shared" si="235"/>
        <v>1</v>
      </c>
      <c r="AT121" s="294"/>
    </row>
    <row r="122" spans="1:46" ht="13" hidden="1" x14ac:dyDescent="0.2">
      <c r="A122" s="294"/>
      <c r="B122" s="924"/>
      <c r="C122" s="271">
        <v>115</v>
      </c>
      <c r="D122" s="250">
        <f t="shared" si="184"/>
        <v>0</v>
      </c>
      <c r="E122" s="250"/>
      <c r="F122" s="248" t="str">
        <f t="shared" si="225"/>
        <v>YEAR4</v>
      </c>
      <c r="G122" s="250">
        <f>VLOOKUP(F122,TableInputsData[],$G$6,FALSE)</f>
        <v>2028</v>
      </c>
      <c r="H122" s="250" t="str">
        <f t="shared" si="185"/>
        <v>PRODUCT</v>
      </c>
      <c r="I122" s="248" t="str">
        <f t="shared" si="185"/>
        <v>PRODUCT 03</v>
      </c>
      <c r="J122" s="248" t="str">
        <f>VLOOKUP(I122,TableInputsData[],$J$6,FALSE)</f>
        <v>-</v>
      </c>
      <c r="K122" s="248" t="str">
        <f t="shared" si="237"/>
        <v>COST OF GOODS SOLD</v>
      </c>
      <c r="L122" s="255"/>
      <c r="M122" s="255"/>
      <c r="N122" s="255"/>
      <c r="O122" s="265"/>
      <c r="P122" s="260"/>
      <c r="Q122" s="260"/>
      <c r="R122" s="260"/>
      <c r="S122" s="630"/>
      <c r="T122" s="630"/>
      <c r="U122" s="630"/>
      <c r="V122" s="630"/>
      <c r="W122" s="260"/>
      <c r="X122" s="260"/>
      <c r="Y122" s="260"/>
      <c r="Z122" s="260"/>
      <c r="AA122" s="260"/>
      <c r="AB122" s="260"/>
      <c r="AC122" s="265"/>
      <c r="AD122" s="634"/>
      <c r="AE122" s="264">
        <f t="shared" ref="AE122:AH122" si="241">AE98*($S98*$P98+$T98*$Q98+$U98*$R98)</f>
        <v>0</v>
      </c>
      <c r="AF122" s="264">
        <f t="shared" si="241"/>
        <v>0</v>
      </c>
      <c r="AG122" s="264">
        <f t="shared" si="241"/>
        <v>0</v>
      </c>
      <c r="AH122" s="264">
        <f t="shared" si="241"/>
        <v>0</v>
      </c>
      <c r="AI122" s="264">
        <f t="shared" si="227"/>
        <v>0</v>
      </c>
      <c r="AJ122" s="264">
        <f t="shared" si="228"/>
        <v>0</v>
      </c>
      <c r="AK122" s="264">
        <f t="shared" si="229"/>
        <v>0</v>
      </c>
      <c r="AL122" s="264">
        <f t="shared" si="230"/>
        <v>0</v>
      </c>
      <c r="AM122" s="264">
        <f t="shared" si="231"/>
        <v>0</v>
      </c>
      <c r="AN122" s="640">
        <f t="shared" si="232"/>
        <v>0</v>
      </c>
      <c r="AO122" s="264">
        <f t="shared" si="233"/>
        <v>0</v>
      </c>
      <c r="AP122" s="640">
        <f t="shared" si="234"/>
        <v>0</v>
      </c>
      <c r="AQ122" s="264"/>
      <c r="AR122" s="264" t="str">
        <f>VLOOKUP($I122,TableInputsData[],ReadMe!$M$3,FALSE)&amp;"  |  "&amp;VLOOKUP($K122,TableInputsData[],ReadMe!$M$3,FALSE)</f>
        <v>PRODUIT 03  |  DEPENSES SUR ACHATS</v>
      </c>
      <c r="AS122" s="264" t="b">
        <f t="shared" si="235"/>
        <v>1</v>
      </c>
      <c r="AT122" s="294"/>
    </row>
    <row r="123" spans="1:46" ht="13" hidden="1" x14ac:dyDescent="0.2">
      <c r="A123" s="294"/>
      <c r="B123" s="924"/>
      <c r="C123" s="271">
        <v>116</v>
      </c>
      <c r="D123" s="250">
        <f t="shared" si="184"/>
        <v>0</v>
      </c>
      <c r="E123" s="250"/>
      <c r="F123" s="248" t="str">
        <f t="shared" si="225"/>
        <v>YEAR5</v>
      </c>
      <c r="G123" s="250">
        <f>VLOOKUP(F123,TableInputsData[],$G$6,FALSE)</f>
        <v>2029</v>
      </c>
      <c r="H123" s="250" t="str">
        <f t="shared" si="185"/>
        <v>PRODUCT</v>
      </c>
      <c r="I123" s="248" t="str">
        <f t="shared" si="185"/>
        <v>PRODUCT 03</v>
      </c>
      <c r="J123" s="248" t="str">
        <f>VLOOKUP(I123,TableInputsData[],$J$6,FALSE)</f>
        <v>-</v>
      </c>
      <c r="K123" s="248" t="str">
        <f t="shared" si="237"/>
        <v>COST OF GOODS SOLD</v>
      </c>
      <c r="L123" s="255"/>
      <c r="M123" s="255"/>
      <c r="N123" s="255"/>
      <c r="O123" s="265"/>
      <c r="P123" s="260"/>
      <c r="Q123" s="260"/>
      <c r="R123" s="260"/>
      <c r="S123" s="630"/>
      <c r="T123" s="630"/>
      <c r="U123" s="630"/>
      <c r="V123" s="630"/>
      <c r="W123" s="260"/>
      <c r="X123" s="260"/>
      <c r="Y123" s="260"/>
      <c r="Z123" s="260"/>
      <c r="AA123" s="260"/>
      <c r="AB123" s="260"/>
      <c r="AC123" s="265"/>
      <c r="AD123" s="634"/>
      <c r="AE123" s="264">
        <f t="shared" ref="AE123:AH123" si="242">AE99*($S99*$P99+$T99*$Q99+$U99*$R99)</f>
        <v>0</v>
      </c>
      <c r="AF123" s="264">
        <f t="shared" si="242"/>
        <v>0</v>
      </c>
      <c r="AG123" s="264">
        <f t="shared" si="242"/>
        <v>0</v>
      </c>
      <c r="AH123" s="264">
        <f t="shared" si="242"/>
        <v>0</v>
      </c>
      <c r="AI123" s="264">
        <f t="shared" si="227"/>
        <v>0</v>
      </c>
      <c r="AJ123" s="264">
        <f t="shared" si="228"/>
        <v>0</v>
      </c>
      <c r="AK123" s="264">
        <f t="shared" si="229"/>
        <v>0</v>
      </c>
      <c r="AL123" s="264">
        <f t="shared" si="230"/>
        <v>0</v>
      </c>
      <c r="AM123" s="264">
        <f t="shared" si="231"/>
        <v>0</v>
      </c>
      <c r="AN123" s="640">
        <f t="shared" si="232"/>
        <v>0</v>
      </c>
      <c r="AO123" s="264">
        <f t="shared" si="233"/>
        <v>0</v>
      </c>
      <c r="AP123" s="640">
        <f t="shared" si="234"/>
        <v>0</v>
      </c>
      <c r="AQ123" s="264"/>
      <c r="AR123" s="264" t="str">
        <f>VLOOKUP($I123,TableInputsData[],ReadMe!$M$3,FALSE)&amp;"  |  "&amp;VLOOKUP($K123,TableInputsData[],ReadMe!$M$3,FALSE)</f>
        <v>PRODUIT 03  |  DEPENSES SUR ACHATS</v>
      </c>
      <c r="AS123" s="264" t="b">
        <f t="shared" si="235"/>
        <v>1</v>
      </c>
      <c r="AT123" s="294"/>
    </row>
    <row r="124" spans="1:46" ht="13" hidden="1" x14ac:dyDescent="0.2">
      <c r="A124" s="294"/>
      <c r="B124" s="924"/>
      <c r="C124" s="271">
        <v>117</v>
      </c>
      <c r="D124" s="250">
        <f t="shared" si="184"/>
        <v>0</v>
      </c>
      <c r="E124" s="250"/>
      <c r="F124" s="248" t="str">
        <f t="shared" si="225"/>
        <v>YEAR6</v>
      </c>
      <c r="G124" s="250">
        <f>VLOOKUP(F124,TableInputsData[],$G$6,FALSE)</f>
        <v>2030</v>
      </c>
      <c r="H124" s="250" t="str">
        <f t="shared" si="185"/>
        <v>PRODUCT</v>
      </c>
      <c r="I124" s="248" t="str">
        <f t="shared" si="185"/>
        <v>PRODUCT 03</v>
      </c>
      <c r="J124" s="248" t="str">
        <f>VLOOKUP(I124,TableInputsData[],$J$6,FALSE)</f>
        <v>-</v>
      </c>
      <c r="K124" s="248" t="str">
        <f t="shared" si="237"/>
        <v>COST OF GOODS SOLD</v>
      </c>
      <c r="L124" s="255"/>
      <c r="M124" s="255"/>
      <c r="N124" s="255"/>
      <c r="O124" s="265"/>
      <c r="P124" s="260"/>
      <c r="Q124" s="260"/>
      <c r="R124" s="260"/>
      <c r="S124" s="630"/>
      <c r="T124" s="630"/>
      <c r="U124" s="630"/>
      <c r="V124" s="630"/>
      <c r="W124" s="260"/>
      <c r="X124" s="260"/>
      <c r="Y124" s="260"/>
      <c r="Z124" s="260"/>
      <c r="AA124" s="260"/>
      <c r="AB124" s="260"/>
      <c r="AC124" s="265"/>
      <c r="AD124" s="634"/>
      <c r="AE124" s="264">
        <f t="shared" ref="AE124:AH124" si="243">AE100*($S100*$P100+$T100*$Q100+$U100*$R100)</f>
        <v>0</v>
      </c>
      <c r="AF124" s="264">
        <f t="shared" si="243"/>
        <v>0</v>
      </c>
      <c r="AG124" s="264">
        <f t="shared" si="243"/>
        <v>0</v>
      </c>
      <c r="AH124" s="264">
        <f t="shared" si="243"/>
        <v>0</v>
      </c>
      <c r="AI124" s="264">
        <f t="shared" si="227"/>
        <v>0</v>
      </c>
      <c r="AJ124" s="264">
        <f t="shared" si="228"/>
        <v>0</v>
      </c>
      <c r="AK124" s="264">
        <f t="shared" si="229"/>
        <v>0</v>
      </c>
      <c r="AL124" s="264">
        <f t="shared" si="230"/>
        <v>0</v>
      </c>
      <c r="AM124" s="264">
        <f t="shared" si="231"/>
        <v>0</v>
      </c>
      <c r="AN124" s="640">
        <f t="shared" si="232"/>
        <v>0</v>
      </c>
      <c r="AO124" s="264">
        <f t="shared" si="233"/>
        <v>0</v>
      </c>
      <c r="AP124" s="640">
        <f t="shared" si="234"/>
        <v>0</v>
      </c>
      <c r="AQ124" s="264"/>
      <c r="AR124" s="264" t="str">
        <f>VLOOKUP($I124,TableInputsData[],ReadMe!$M$3,FALSE)&amp;"  |  "&amp;VLOOKUP($K124,TableInputsData[],ReadMe!$M$3,FALSE)</f>
        <v>PRODUIT 03  |  DEPENSES SUR ACHATS</v>
      </c>
      <c r="AS124" s="264" t="b">
        <f t="shared" si="235"/>
        <v>1</v>
      </c>
      <c r="AT124" s="294"/>
    </row>
    <row r="125" spans="1:46" ht="13" hidden="1" x14ac:dyDescent="0.2">
      <c r="A125" s="294"/>
      <c r="B125" s="924"/>
      <c r="C125" s="272">
        <v>118</v>
      </c>
      <c r="D125" s="250">
        <f t="shared" si="184"/>
        <v>0</v>
      </c>
      <c r="E125" s="251"/>
      <c r="F125" s="248" t="str">
        <f t="shared" ref="F125:F132" si="244">F101</f>
        <v>YEAR-2</v>
      </c>
      <c r="G125" s="250">
        <f>VLOOKUP(F125,TableInputsData[],$G$6,FALSE)</f>
        <v>2023</v>
      </c>
      <c r="H125" s="250" t="str">
        <f t="shared" si="185"/>
        <v>PRODUCT</v>
      </c>
      <c r="I125" s="248" t="str">
        <f t="shared" si="185"/>
        <v>PRODUCT 03</v>
      </c>
      <c r="J125" s="248" t="str">
        <f>VLOOKUP(I125,TableInputsData[],$J$6,FALSE)</f>
        <v>-</v>
      </c>
      <c r="K125" s="248" t="s">
        <v>532</v>
      </c>
      <c r="L125" s="256"/>
      <c r="M125" s="256"/>
      <c r="N125" s="256"/>
      <c r="O125" s="266"/>
      <c r="P125" s="261"/>
      <c r="Q125" s="261"/>
      <c r="R125" s="261"/>
      <c r="S125" s="629"/>
      <c r="T125" s="629"/>
      <c r="U125" s="629"/>
      <c r="V125" s="629"/>
      <c r="W125" s="261"/>
      <c r="X125" s="261"/>
      <c r="Y125" s="261"/>
      <c r="Z125" s="261"/>
      <c r="AA125" s="261"/>
      <c r="AB125" s="261"/>
      <c r="AC125" s="266"/>
      <c r="AD125" s="633"/>
      <c r="AE125" s="264">
        <f>IF(AE93=0,0,AE117/AE93)</f>
        <v>0</v>
      </c>
      <c r="AF125" s="264">
        <f t="shared" ref="AF125:AI125" si="245">IF(AF93=0,0,AF117/AF93)</f>
        <v>0</v>
      </c>
      <c r="AG125" s="264">
        <f t="shared" si="245"/>
        <v>0</v>
      </c>
      <c r="AH125" s="264">
        <f t="shared" si="245"/>
        <v>0</v>
      </c>
      <c r="AI125" s="264">
        <f t="shared" si="245"/>
        <v>0</v>
      </c>
      <c r="AJ125" s="264">
        <f>IF(AJ93=0,0,AJ117/AJ93)</f>
        <v>0</v>
      </c>
      <c r="AK125" s="264">
        <f t="shared" ref="AK125:AL125" si="246">IF(AK93=0,0,AK117/AK93)</f>
        <v>0</v>
      </c>
      <c r="AL125" s="264">
        <f t="shared" si="246"/>
        <v>0</v>
      </c>
      <c r="AM125" s="264">
        <f>IF(AM93=0,0,AM117/AM93)</f>
        <v>0</v>
      </c>
      <c r="AN125" s="260"/>
      <c r="AO125" s="264">
        <f t="shared" ref="AO125" si="247">IF(AO93=0,0,AO117/AO93)</f>
        <v>0</v>
      </c>
      <c r="AP125" s="260"/>
      <c r="AQ125" s="264"/>
      <c r="AR125" s="264" t="str">
        <f>VLOOKUP($I125,TableInputsData[],ReadMe!$M$3,FALSE)&amp;"  |  "&amp;VLOOKUP($K125,TableInputsData[],ReadMe!$M$3,FALSE)</f>
        <v>PRODUIT 03  |  PRIX MOYEN D'ACHAT PAR PRODUIT/SERVICE</v>
      </c>
      <c r="AS125" s="264"/>
      <c r="AT125" s="294"/>
    </row>
    <row r="126" spans="1:46" ht="13" hidden="1" x14ac:dyDescent="0.2">
      <c r="A126" s="294"/>
      <c r="B126" s="924"/>
      <c r="C126" s="272">
        <v>119</v>
      </c>
      <c r="D126" s="250">
        <f t="shared" si="184"/>
        <v>0</v>
      </c>
      <c r="E126" s="251"/>
      <c r="F126" s="248" t="str">
        <f t="shared" si="244"/>
        <v>YEAR-1</v>
      </c>
      <c r="G126" s="250">
        <f>VLOOKUP(F126,TableInputsData[],$G$6,FALSE)</f>
        <v>2024</v>
      </c>
      <c r="H126" s="250" t="str">
        <f t="shared" si="185"/>
        <v>PRODUCT</v>
      </c>
      <c r="I126" s="248" t="str">
        <f t="shared" si="185"/>
        <v>PRODUCT 03</v>
      </c>
      <c r="J126" s="248" t="str">
        <f>VLOOKUP(I126,TableInputsData[],$J$6,FALSE)</f>
        <v>-</v>
      </c>
      <c r="K126" s="248" t="str">
        <f>K125</f>
        <v>AVERAGE COST OF GOODS SOLD PER UNIT</v>
      </c>
      <c r="L126" s="256"/>
      <c r="M126" s="256"/>
      <c r="N126" s="256"/>
      <c r="O126" s="266"/>
      <c r="P126" s="261"/>
      <c r="Q126" s="261"/>
      <c r="R126" s="261"/>
      <c r="S126" s="629"/>
      <c r="T126" s="629"/>
      <c r="U126" s="629"/>
      <c r="V126" s="629"/>
      <c r="W126" s="261"/>
      <c r="X126" s="261"/>
      <c r="Y126" s="261"/>
      <c r="Z126" s="261"/>
      <c r="AA126" s="261"/>
      <c r="AB126" s="261"/>
      <c r="AC126" s="266"/>
      <c r="AD126" s="633"/>
      <c r="AE126" s="264">
        <f t="shared" ref="AE126:AL126" si="248">IF(AE94=0,0,AE118/AE94)</f>
        <v>0</v>
      </c>
      <c r="AF126" s="264">
        <f t="shared" si="248"/>
        <v>0</v>
      </c>
      <c r="AG126" s="264">
        <f t="shared" si="248"/>
        <v>0</v>
      </c>
      <c r="AH126" s="264">
        <f t="shared" si="248"/>
        <v>0</v>
      </c>
      <c r="AI126" s="264">
        <f t="shared" si="248"/>
        <v>0</v>
      </c>
      <c r="AJ126" s="264">
        <f t="shared" si="248"/>
        <v>0</v>
      </c>
      <c r="AK126" s="264">
        <f t="shared" si="248"/>
        <v>0</v>
      </c>
      <c r="AL126" s="264">
        <f t="shared" si="248"/>
        <v>0</v>
      </c>
      <c r="AM126" s="264">
        <f>IF(AM94=0,0,AM118/AM94)</f>
        <v>0</v>
      </c>
      <c r="AN126" s="260"/>
      <c r="AO126" s="264">
        <f>IF(AO94=0,0,AO118/AO94)</f>
        <v>0</v>
      </c>
      <c r="AP126" s="260"/>
      <c r="AQ126" s="264"/>
      <c r="AR126" s="264" t="str">
        <f>VLOOKUP($I126,TableInputsData[],ReadMe!$M$3,FALSE)&amp;"  |  "&amp;VLOOKUP($K126,TableInputsData[],ReadMe!$M$3,FALSE)</f>
        <v>PRODUIT 03  |  PRIX MOYEN D'ACHAT PAR PRODUIT/SERVICE</v>
      </c>
      <c r="AS126" s="264"/>
      <c r="AT126" s="294"/>
    </row>
    <row r="127" spans="1:46" ht="13" hidden="1" x14ac:dyDescent="0.2">
      <c r="A127" s="294"/>
      <c r="B127" s="924"/>
      <c r="C127" s="272">
        <v>120</v>
      </c>
      <c r="D127" s="250">
        <f t="shared" si="184"/>
        <v>0</v>
      </c>
      <c r="E127" s="251"/>
      <c r="F127" s="248" t="str">
        <f t="shared" si="244"/>
        <v>CURRENT YEAR</v>
      </c>
      <c r="G127" s="250">
        <f>VLOOKUP(F127,TableInputsData[],$G$6,FALSE)</f>
        <v>2025</v>
      </c>
      <c r="H127" s="250" t="str">
        <f t="shared" si="185"/>
        <v>PRODUCT</v>
      </c>
      <c r="I127" s="248" t="str">
        <f t="shared" si="185"/>
        <v>PRODUCT 03</v>
      </c>
      <c r="J127" s="248" t="str">
        <f>VLOOKUP(I127,TableInputsData[],$J$6,FALSE)</f>
        <v>-</v>
      </c>
      <c r="K127" s="248" t="str">
        <f t="shared" ref="K127:K132" si="249">K126</f>
        <v>AVERAGE COST OF GOODS SOLD PER UNIT</v>
      </c>
      <c r="L127" s="256"/>
      <c r="M127" s="256"/>
      <c r="N127" s="256"/>
      <c r="O127" s="266"/>
      <c r="P127" s="261"/>
      <c r="Q127" s="261"/>
      <c r="R127" s="261"/>
      <c r="S127" s="629"/>
      <c r="T127" s="629"/>
      <c r="U127" s="629"/>
      <c r="V127" s="629"/>
      <c r="W127" s="261"/>
      <c r="X127" s="261"/>
      <c r="Y127" s="261"/>
      <c r="Z127" s="261"/>
      <c r="AA127" s="261"/>
      <c r="AB127" s="261"/>
      <c r="AC127" s="266"/>
      <c r="AD127" s="633"/>
      <c r="AE127" s="264">
        <f t="shared" ref="AE127:AL127" si="250">IF(AE95=0,0,AE119/AE95)</f>
        <v>0</v>
      </c>
      <c r="AF127" s="264">
        <f t="shared" si="250"/>
        <v>0</v>
      </c>
      <c r="AG127" s="264">
        <f t="shared" si="250"/>
        <v>0</v>
      </c>
      <c r="AH127" s="264">
        <f t="shared" si="250"/>
        <v>0</v>
      </c>
      <c r="AI127" s="264">
        <f t="shared" si="250"/>
        <v>0</v>
      </c>
      <c r="AJ127" s="264">
        <f t="shared" si="250"/>
        <v>0</v>
      </c>
      <c r="AK127" s="264">
        <f t="shared" si="250"/>
        <v>0</v>
      </c>
      <c r="AL127" s="264">
        <f t="shared" si="250"/>
        <v>0</v>
      </c>
      <c r="AM127" s="264">
        <f>IF(AM95=0,0,AM119/AM95)</f>
        <v>0</v>
      </c>
      <c r="AN127" s="260"/>
      <c r="AO127" s="264">
        <f>IF(AO95=0,0,AO119/AO95)</f>
        <v>0</v>
      </c>
      <c r="AP127" s="260"/>
      <c r="AQ127" s="264"/>
      <c r="AR127" s="264" t="str">
        <f>VLOOKUP($I127,TableInputsData[],ReadMe!$M$3,FALSE)&amp;"  |  "&amp;VLOOKUP($K127,TableInputsData[],ReadMe!$M$3,FALSE)</f>
        <v>PRODUIT 03  |  PRIX MOYEN D'ACHAT PAR PRODUIT/SERVICE</v>
      </c>
      <c r="AS127" s="264"/>
      <c r="AT127" s="294"/>
    </row>
    <row r="128" spans="1:46" ht="13" hidden="1" x14ac:dyDescent="0.2">
      <c r="A128" s="294"/>
      <c r="B128" s="924"/>
      <c r="C128" s="272">
        <v>121</v>
      </c>
      <c r="D128" s="250">
        <f t="shared" si="184"/>
        <v>0</v>
      </c>
      <c r="E128" s="251"/>
      <c r="F128" s="248" t="str">
        <f t="shared" si="244"/>
        <v>YEAR2</v>
      </c>
      <c r="G128" s="250">
        <f>VLOOKUP(F128,TableInputsData[],$G$6,FALSE)</f>
        <v>2026</v>
      </c>
      <c r="H128" s="250" t="str">
        <f t="shared" si="185"/>
        <v>PRODUCT</v>
      </c>
      <c r="I128" s="248" t="str">
        <f t="shared" si="185"/>
        <v>PRODUCT 03</v>
      </c>
      <c r="J128" s="248" t="str">
        <f>VLOOKUP(I128,TableInputsData[],$J$6,FALSE)</f>
        <v>-</v>
      </c>
      <c r="K128" s="248" t="str">
        <f t="shared" si="249"/>
        <v>AVERAGE COST OF GOODS SOLD PER UNIT</v>
      </c>
      <c r="L128" s="256"/>
      <c r="M128" s="256"/>
      <c r="N128" s="256"/>
      <c r="O128" s="266"/>
      <c r="P128" s="261"/>
      <c r="Q128" s="261"/>
      <c r="R128" s="261"/>
      <c r="S128" s="629"/>
      <c r="T128" s="629"/>
      <c r="U128" s="629"/>
      <c r="V128" s="629"/>
      <c r="W128" s="261"/>
      <c r="X128" s="261"/>
      <c r="Y128" s="261"/>
      <c r="Z128" s="261"/>
      <c r="AA128" s="261"/>
      <c r="AB128" s="261"/>
      <c r="AC128" s="266"/>
      <c r="AD128" s="633"/>
      <c r="AE128" s="264">
        <f t="shared" ref="AE128:AM128" si="251">IF(AE96=0,0,AE120/AE96)</f>
        <v>0</v>
      </c>
      <c r="AF128" s="264">
        <f t="shared" si="251"/>
        <v>0</v>
      </c>
      <c r="AG128" s="264">
        <f t="shared" si="251"/>
        <v>0</v>
      </c>
      <c r="AH128" s="264">
        <f t="shared" si="251"/>
        <v>0</v>
      </c>
      <c r="AI128" s="264">
        <f t="shared" si="251"/>
        <v>0</v>
      </c>
      <c r="AJ128" s="264">
        <f t="shared" si="251"/>
        <v>0</v>
      </c>
      <c r="AK128" s="264">
        <f t="shared" si="251"/>
        <v>0</v>
      </c>
      <c r="AL128" s="264">
        <f t="shared" si="251"/>
        <v>0</v>
      </c>
      <c r="AM128" s="264">
        <f t="shared" si="251"/>
        <v>0</v>
      </c>
      <c r="AN128" s="260"/>
      <c r="AO128" s="264">
        <f t="shared" ref="AO128" si="252">IF(AO96=0,0,AO120/AO96)</f>
        <v>0</v>
      </c>
      <c r="AP128" s="260"/>
      <c r="AQ128" s="264"/>
      <c r="AR128" s="264" t="str">
        <f>VLOOKUP($I128,TableInputsData[],ReadMe!$M$3,FALSE)&amp;"  |  "&amp;VLOOKUP($K128,TableInputsData[],ReadMe!$M$3,FALSE)</f>
        <v>PRODUIT 03  |  PRIX MOYEN D'ACHAT PAR PRODUIT/SERVICE</v>
      </c>
      <c r="AS128" s="264"/>
      <c r="AT128" s="294"/>
    </row>
    <row r="129" spans="1:46" ht="13" hidden="1" x14ac:dyDescent="0.2">
      <c r="A129" s="294"/>
      <c r="B129" s="924"/>
      <c r="C129" s="272">
        <v>122</v>
      </c>
      <c r="D129" s="250">
        <f t="shared" si="184"/>
        <v>0</v>
      </c>
      <c r="E129" s="251"/>
      <c r="F129" s="248" t="str">
        <f t="shared" si="244"/>
        <v>YEAR3</v>
      </c>
      <c r="G129" s="250">
        <f>VLOOKUP(F129,TableInputsData[],$G$6,FALSE)</f>
        <v>2027</v>
      </c>
      <c r="H129" s="250" t="str">
        <f t="shared" si="185"/>
        <v>PRODUCT</v>
      </c>
      <c r="I129" s="248" t="str">
        <f t="shared" si="185"/>
        <v>PRODUCT 03</v>
      </c>
      <c r="J129" s="248" t="str">
        <f>VLOOKUP(I129,TableInputsData[],$J$6,FALSE)</f>
        <v>-</v>
      </c>
      <c r="K129" s="248" t="str">
        <f t="shared" si="249"/>
        <v>AVERAGE COST OF GOODS SOLD PER UNIT</v>
      </c>
      <c r="L129" s="256"/>
      <c r="M129" s="256"/>
      <c r="N129" s="256"/>
      <c r="O129" s="266"/>
      <c r="P129" s="261"/>
      <c r="Q129" s="261"/>
      <c r="R129" s="261"/>
      <c r="S129" s="629"/>
      <c r="T129" s="629"/>
      <c r="U129" s="629"/>
      <c r="V129" s="629"/>
      <c r="W129" s="261"/>
      <c r="X129" s="261"/>
      <c r="Y129" s="261"/>
      <c r="Z129" s="261"/>
      <c r="AA129" s="261"/>
      <c r="AB129" s="261"/>
      <c r="AC129" s="266"/>
      <c r="AD129" s="633"/>
      <c r="AE129" s="264">
        <f t="shared" ref="AE129:AM129" si="253">IF(AE97=0,0,AE121/AE97)</f>
        <v>0</v>
      </c>
      <c r="AF129" s="264">
        <f t="shared" si="253"/>
        <v>0</v>
      </c>
      <c r="AG129" s="264">
        <f t="shared" si="253"/>
        <v>0</v>
      </c>
      <c r="AH129" s="264">
        <f t="shared" si="253"/>
        <v>0</v>
      </c>
      <c r="AI129" s="264">
        <f t="shared" si="253"/>
        <v>0</v>
      </c>
      <c r="AJ129" s="264">
        <f t="shared" si="253"/>
        <v>0</v>
      </c>
      <c r="AK129" s="264">
        <f t="shared" si="253"/>
        <v>0</v>
      </c>
      <c r="AL129" s="264">
        <f t="shared" si="253"/>
        <v>0</v>
      </c>
      <c r="AM129" s="264">
        <f t="shared" si="253"/>
        <v>0</v>
      </c>
      <c r="AN129" s="260"/>
      <c r="AO129" s="264">
        <f t="shared" ref="AO129" si="254">IF(AO97=0,0,AO121/AO97)</f>
        <v>0</v>
      </c>
      <c r="AP129" s="260"/>
      <c r="AQ129" s="264"/>
      <c r="AR129" s="264" t="str">
        <f>VLOOKUP($I129,TableInputsData[],ReadMe!$M$3,FALSE)&amp;"  |  "&amp;VLOOKUP($K129,TableInputsData[],ReadMe!$M$3,FALSE)</f>
        <v>PRODUIT 03  |  PRIX MOYEN D'ACHAT PAR PRODUIT/SERVICE</v>
      </c>
      <c r="AS129" s="264"/>
      <c r="AT129" s="294"/>
    </row>
    <row r="130" spans="1:46" ht="13" hidden="1" x14ac:dyDescent="0.2">
      <c r="A130" s="294"/>
      <c r="B130" s="924"/>
      <c r="C130" s="272">
        <v>123</v>
      </c>
      <c r="D130" s="250">
        <f t="shared" si="184"/>
        <v>0</v>
      </c>
      <c r="E130" s="251"/>
      <c r="F130" s="248" t="str">
        <f t="shared" si="244"/>
        <v>YEAR4</v>
      </c>
      <c r="G130" s="250">
        <f>VLOOKUP(F130,TableInputsData[],$G$6,FALSE)</f>
        <v>2028</v>
      </c>
      <c r="H130" s="250" t="str">
        <f t="shared" si="185"/>
        <v>PRODUCT</v>
      </c>
      <c r="I130" s="248" t="str">
        <f t="shared" si="185"/>
        <v>PRODUCT 03</v>
      </c>
      <c r="J130" s="248" t="str">
        <f>VLOOKUP(I130,TableInputsData[],$J$6,FALSE)</f>
        <v>-</v>
      </c>
      <c r="K130" s="248" t="str">
        <f t="shared" si="249"/>
        <v>AVERAGE COST OF GOODS SOLD PER UNIT</v>
      </c>
      <c r="L130" s="256"/>
      <c r="M130" s="256"/>
      <c r="N130" s="256"/>
      <c r="O130" s="266"/>
      <c r="P130" s="261"/>
      <c r="Q130" s="261"/>
      <c r="R130" s="261"/>
      <c r="S130" s="629"/>
      <c r="T130" s="629"/>
      <c r="U130" s="629"/>
      <c r="V130" s="629"/>
      <c r="W130" s="261"/>
      <c r="X130" s="261"/>
      <c r="Y130" s="261"/>
      <c r="Z130" s="261"/>
      <c r="AA130" s="261"/>
      <c r="AB130" s="261"/>
      <c r="AC130" s="266"/>
      <c r="AD130" s="633"/>
      <c r="AE130" s="264">
        <f t="shared" ref="AE130:AM130" si="255">IF(AE98=0,0,AE122/AE98)</f>
        <v>0</v>
      </c>
      <c r="AF130" s="264">
        <f t="shared" si="255"/>
        <v>0</v>
      </c>
      <c r="AG130" s="264">
        <f t="shared" si="255"/>
        <v>0</v>
      </c>
      <c r="AH130" s="264">
        <f t="shared" si="255"/>
        <v>0</v>
      </c>
      <c r="AI130" s="264">
        <f t="shared" si="255"/>
        <v>0</v>
      </c>
      <c r="AJ130" s="264">
        <f t="shared" si="255"/>
        <v>0</v>
      </c>
      <c r="AK130" s="264">
        <f t="shared" si="255"/>
        <v>0</v>
      </c>
      <c r="AL130" s="264">
        <f t="shared" si="255"/>
        <v>0</v>
      </c>
      <c r="AM130" s="264">
        <f t="shared" si="255"/>
        <v>0</v>
      </c>
      <c r="AN130" s="260"/>
      <c r="AO130" s="264">
        <f t="shared" ref="AO130" si="256">IF(AO98=0,0,AO122/AO98)</f>
        <v>0</v>
      </c>
      <c r="AP130" s="260"/>
      <c r="AQ130" s="264"/>
      <c r="AR130" s="264" t="str">
        <f>VLOOKUP($I130,TableInputsData[],ReadMe!$M$3,FALSE)&amp;"  |  "&amp;VLOOKUP($K130,TableInputsData[],ReadMe!$M$3,FALSE)</f>
        <v>PRODUIT 03  |  PRIX MOYEN D'ACHAT PAR PRODUIT/SERVICE</v>
      </c>
      <c r="AS130" s="264"/>
      <c r="AT130" s="294"/>
    </row>
    <row r="131" spans="1:46" ht="13" hidden="1" x14ac:dyDescent="0.2">
      <c r="A131" s="294"/>
      <c r="B131" s="924"/>
      <c r="C131" s="272">
        <v>124</v>
      </c>
      <c r="D131" s="250">
        <f t="shared" si="184"/>
        <v>0</v>
      </c>
      <c r="E131" s="251"/>
      <c r="F131" s="248" t="str">
        <f t="shared" si="244"/>
        <v>YEAR5</v>
      </c>
      <c r="G131" s="250">
        <f>VLOOKUP(F131,TableInputsData[],$G$6,FALSE)</f>
        <v>2029</v>
      </c>
      <c r="H131" s="250" t="str">
        <f t="shared" si="185"/>
        <v>PRODUCT</v>
      </c>
      <c r="I131" s="248" t="str">
        <f t="shared" si="185"/>
        <v>PRODUCT 03</v>
      </c>
      <c r="J131" s="248" t="str">
        <f>VLOOKUP(I131,TableInputsData[],$J$6,FALSE)</f>
        <v>-</v>
      </c>
      <c r="K131" s="248" t="str">
        <f t="shared" si="249"/>
        <v>AVERAGE COST OF GOODS SOLD PER UNIT</v>
      </c>
      <c r="L131" s="256"/>
      <c r="M131" s="256"/>
      <c r="N131" s="256"/>
      <c r="O131" s="266"/>
      <c r="P131" s="261"/>
      <c r="Q131" s="261"/>
      <c r="R131" s="261"/>
      <c r="S131" s="629"/>
      <c r="T131" s="629"/>
      <c r="U131" s="629"/>
      <c r="V131" s="629"/>
      <c r="W131" s="261"/>
      <c r="X131" s="261"/>
      <c r="Y131" s="261"/>
      <c r="Z131" s="261"/>
      <c r="AA131" s="261"/>
      <c r="AB131" s="261"/>
      <c r="AC131" s="266"/>
      <c r="AD131" s="633"/>
      <c r="AE131" s="264">
        <f t="shared" ref="AE131:AM131" si="257">IF(AE99=0,0,AE123/AE99)</f>
        <v>0</v>
      </c>
      <c r="AF131" s="264">
        <f t="shared" si="257"/>
        <v>0</v>
      </c>
      <c r="AG131" s="264">
        <f t="shared" si="257"/>
        <v>0</v>
      </c>
      <c r="AH131" s="264">
        <f t="shared" si="257"/>
        <v>0</v>
      </c>
      <c r="AI131" s="264">
        <f t="shared" si="257"/>
        <v>0</v>
      </c>
      <c r="AJ131" s="264">
        <f t="shared" si="257"/>
        <v>0</v>
      </c>
      <c r="AK131" s="264">
        <f t="shared" si="257"/>
        <v>0</v>
      </c>
      <c r="AL131" s="264">
        <f t="shared" si="257"/>
        <v>0</v>
      </c>
      <c r="AM131" s="264">
        <f t="shared" si="257"/>
        <v>0</v>
      </c>
      <c r="AN131" s="260"/>
      <c r="AO131" s="264">
        <f t="shared" ref="AO131" si="258">IF(AO99=0,0,AO123/AO99)</f>
        <v>0</v>
      </c>
      <c r="AP131" s="260"/>
      <c r="AQ131" s="264"/>
      <c r="AR131" s="264" t="str">
        <f>VLOOKUP($I131,TableInputsData[],ReadMe!$M$3,FALSE)&amp;"  |  "&amp;VLOOKUP($K131,TableInputsData[],ReadMe!$M$3,FALSE)</f>
        <v>PRODUIT 03  |  PRIX MOYEN D'ACHAT PAR PRODUIT/SERVICE</v>
      </c>
      <c r="AS131" s="264"/>
      <c r="AT131" s="294"/>
    </row>
    <row r="132" spans="1:46" ht="13" hidden="1" x14ac:dyDescent="0.2">
      <c r="A132" s="294"/>
      <c r="B132" s="924"/>
      <c r="C132" s="272">
        <v>125</v>
      </c>
      <c r="D132" s="250">
        <f t="shared" si="184"/>
        <v>0</v>
      </c>
      <c r="E132" s="251"/>
      <c r="F132" s="248" t="str">
        <f t="shared" si="244"/>
        <v>YEAR6</v>
      </c>
      <c r="G132" s="250">
        <f>VLOOKUP(F132,TableInputsData[],$G$6,FALSE)</f>
        <v>2030</v>
      </c>
      <c r="H132" s="250" t="str">
        <f t="shared" si="185"/>
        <v>PRODUCT</v>
      </c>
      <c r="I132" s="248" t="str">
        <f t="shared" si="185"/>
        <v>PRODUCT 03</v>
      </c>
      <c r="J132" s="248" t="str">
        <f>VLOOKUP(I132,TableInputsData[],$J$6,FALSE)</f>
        <v>-</v>
      </c>
      <c r="K132" s="248" t="str">
        <f t="shared" si="249"/>
        <v>AVERAGE COST OF GOODS SOLD PER UNIT</v>
      </c>
      <c r="L132" s="256"/>
      <c r="M132" s="256"/>
      <c r="N132" s="256"/>
      <c r="O132" s="266"/>
      <c r="P132" s="261"/>
      <c r="Q132" s="261"/>
      <c r="R132" s="261"/>
      <c r="S132" s="629"/>
      <c r="T132" s="629"/>
      <c r="U132" s="629"/>
      <c r="V132" s="629"/>
      <c r="W132" s="261"/>
      <c r="X132" s="261"/>
      <c r="Y132" s="261"/>
      <c r="Z132" s="261"/>
      <c r="AA132" s="261"/>
      <c r="AB132" s="261"/>
      <c r="AC132" s="266"/>
      <c r="AD132" s="633"/>
      <c r="AE132" s="264">
        <f t="shared" ref="AE132:AM132" si="259">IF(AE100=0,0,AE124/AE100)</f>
        <v>0</v>
      </c>
      <c r="AF132" s="264">
        <f t="shared" si="259"/>
        <v>0</v>
      </c>
      <c r="AG132" s="264">
        <f t="shared" si="259"/>
        <v>0</v>
      </c>
      <c r="AH132" s="264">
        <f t="shared" si="259"/>
        <v>0</v>
      </c>
      <c r="AI132" s="264">
        <f t="shared" si="259"/>
        <v>0</v>
      </c>
      <c r="AJ132" s="264">
        <f t="shared" si="259"/>
        <v>0</v>
      </c>
      <c r="AK132" s="264">
        <f t="shared" si="259"/>
        <v>0</v>
      </c>
      <c r="AL132" s="264">
        <f t="shared" si="259"/>
        <v>0</v>
      </c>
      <c r="AM132" s="264">
        <f t="shared" si="259"/>
        <v>0</v>
      </c>
      <c r="AN132" s="260"/>
      <c r="AO132" s="264">
        <f t="shared" ref="AO132" si="260">IF(AO100=0,0,AO124/AO100)</f>
        <v>0</v>
      </c>
      <c r="AP132" s="260"/>
      <c r="AQ132" s="264"/>
      <c r="AR132" s="264" t="str">
        <f>VLOOKUP($I132,TableInputsData[],ReadMe!$M$3,FALSE)&amp;"  |  "&amp;VLOOKUP($K132,TableInputsData[],ReadMe!$M$3,FALSE)</f>
        <v>PRODUIT 03  |  PRIX MOYEN D'ACHAT PAR PRODUIT/SERVICE</v>
      </c>
      <c r="AS132" s="264"/>
      <c r="AT132" s="294"/>
    </row>
    <row r="133" spans="1:46" ht="13" x14ac:dyDescent="0.2">
      <c r="A133" s="294"/>
      <c r="B133" s="924"/>
      <c r="C133" s="273">
        <v>126</v>
      </c>
      <c r="D133" s="253">
        <v>0</v>
      </c>
      <c r="E133" s="253">
        <v>1</v>
      </c>
      <c r="F133" s="252"/>
      <c r="G133" s="253"/>
      <c r="H133" s="253"/>
      <c r="I133" s="252"/>
      <c r="J133" s="252"/>
      <c r="K133" s="252"/>
      <c r="L133" s="257"/>
      <c r="M133" s="257"/>
      <c r="N133" s="257"/>
      <c r="O133" s="267"/>
      <c r="P133" s="262"/>
      <c r="Q133" s="262"/>
      <c r="R133" s="262"/>
      <c r="S133" s="631"/>
      <c r="T133" s="631"/>
      <c r="U133" s="631"/>
      <c r="V133" s="631"/>
      <c r="W133" s="262"/>
      <c r="X133" s="262"/>
      <c r="Y133" s="262"/>
      <c r="Z133" s="262"/>
      <c r="AA133" s="262"/>
      <c r="AB133" s="262"/>
      <c r="AC133" s="267"/>
      <c r="AD133" s="635"/>
      <c r="AE133" s="270"/>
      <c r="AF133" s="270"/>
      <c r="AG133" s="270"/>
      <c r="AH133" s="270"/>
      <c r="AI133" s="270"/>
      <c r="AJ133" s="270"/>
      <c r="AK133" s="270"/>
      <c r="AL133" s="270"/>
      <c r="AM133" s="270"/>
      <c r="AN133" s="643"/>
      <c r="AO133" s="270"/>
      <c r="AP133" s="270"/>
      <c r="AQ133" s="270"/>
      <c r="AR133" s="270"/>
      <c r="AS133" s="270"/>
      <c r="AT133" s="294"/>
    </row>
    <row r="134" spans="1:46" ht="13" hidden="1" x14ac:dyDescent="0.2">
      <c r="A134" s="294"/>
      <c r="B134" s="925" t="str">
        <f>I135&amp;"___"</f>
        <v>PRODUCT 04___</v>
      </c>
      <c r="C134" s="271">
        <v>127</v>
      </c>
      <c r="D134" s="250">
        <v>0</v>
      </c>
      <c r="E134" s="250"/>
      <c r="F134" s="248"/>
      <c r="G134" s="250"/>
      <c r="H134" s="250"/>
      <c r="I134" s="248"/>
      <c r="J134" s="248"/>
      <c r="K134" s="248"/>
      <c r="L134" s="254"/>
      <c r="M134" s="254"/>
      <c r="N134" s="254"/>
      <c r="O134" s="264"/>
      <c r="P134" s="259"/>
      <c r="Q134" s="259"/>
      <c r="R134" s="259"/>
      <c r="S134" s="628"/>
      <c r="T134" s="628"/>
      <c r="U134" s="628"/>
      <c r="V134" s="628"/>
      <c r="W134" s="259"/>
      <c r="X134" s="259"/>
      <c r="Y134" s="259"/>
      <c r="Z134" s="259"/>
      <c r="AA134" s="259"/>
      <c r="AB134" s="259"/>
      <c r="AC134" s="264"/>
      <c r="AD134" s="609"/>
      <c r="AE134" s="269"/>
      <c r="AF134" s="269"/>
      <c r="AG134" s="269"/>
      <c r="AH134" s="269"/>
      <c r="AI134" s="269"/>
      <c r="AJ134" s="269"/>
      <c r="AK134" s="269"/>
      <c r="AL134" s="269"/>
      <c r="AM134" s="269"/>
      <c r="AN134" s="642"/>
      <c r="AO134" s="269"/>
      <c r="AP134" s="269"/>
      <c r="AQ134" s="269"/>
      <c r="AR134" s="269"/>
      <c r="AS134" s="269"/>
      <c r="AT134" s="294"/>
    </row>
    <row r="135" spans="1:46" ht="13" x14ac:dyDescent="0.2">
      <c r="A135" s="294"/>
      <c r="B135" s="925"/>
      <c r="C135" s="271">
        <v>128</v>
      </c>
      <c r="D135" s="250">
        <f>VLOOKUP($I135,TableInputsData[],$D$6,FALSE)</f>
        <v>0</v>
      </c>
      <c r="E135" s="250">
        <v>1</v>
      </c>
      <c r="F135" s="248" t="s">
        <v>392</v>
      </c>
      <c r="G135" s="250">
        <f>VLOOKUP(F135,TableInputsData[],$G$6,FALSE)</f>
        <v>2023</v>
      </c>
      <c r="H135" s="250" t="s">
        <v>588</v>
      </c>
      <c r="I135" s="248" t="s">
        <v>540</v>
      </c>
      <c r="J135" s="248" t="str">
        <f>VLOOKUP(I135,TableInputsData[],$J$6,FALSE)</f>
        <v>-</v>
      </c>
      <c r="K135" s="248" t="s">
        <v>261</v>
      </c>
      <c r="L135" s="499">
        <v>1000</v>
      </c>
      <c r="M135" s="499">
        <v>0</v>
      </c>
      <c r="N135" s="499">
        <v>0</v>
      </c>
      <c r="O135" s="264">
        <f t="shared" ref="O135:O142" si="261">$L135*$P135+$M135*$Q135+$N135*$R135</f>
        <v>1000</v>
      </c>
      <c r="P135" s="500">
        <v>1</v>
      </c>
      <c r="Q135" s="500">
        <v>0</v>
      </c>
      <c r="R135" s="259">
        <f>1-$P135-$Q135</f>
        <v>0</v>
      </c>
      <c r="S135" s="626">
        <v>500</v>
      </c>
      <c r="T135" s="626">
        <v>0</v>
      </c>
      <c r="U135" s="626">
        <v>0</v>
      </c>
      <c r="V135" s="628">
        <f>AI167</f>
        <v>0</v>
      </c>
      <c r="W135" s="500">
        <v>1</v>
      </c>
      <c r="X135" s="500">
        <v>1</v>
      </c>
      <c r="Y135" s="500">
        <v>1</v>
      </c>
      <c r="Z135" s="259">
        <f t="shared" ref="Z135:Z142" si="262">1-$W135</f>
        <v>0</v>
      </c>
      <c r="AA135" s="259">
        <f t="shared" ref="AA135:AA142" si="263">1-$X135</f>
        <v>0</v>
      </c>
      <c r="AB135" s="259">
        <f t="shared" ref="AB135:AB142" si="264">1-$Y135</f>
        <v>0</v>
      </c>
      <c r="AC135" s="628">
        <f>AM167</f>
        <v>0</v>
      </c>
      <c r="AD135" s="628">
        <f>AO167</f>
        <v>0</v>
      </c>
      <c r="AE135" s="501">
        <v>0</v>
      </c>
      <c r="AF135" s="501">
        <v>0</v>
      </c>
      <c r="AG135" s="501">
        <v>0</v>
      </c>
      <c r="AH135" s="501">
        <v>0</v>
      </c>
      <c r="AI135" s="264">
        <f t="shared" ref="AI135:AI138" si="265">$AE135+$AF135+$AG135+$AH135</f>
        <v>0</v>
      </c>
      <c r="AJ135" s="264">
        <f t="shared" ref="AJ135:AJ142" si="266">$AI135*$P135</f>
        <v>0</v>
      </c>
      <c r="AK135" s="264">
        <f t="shared" ref="AK135:AK142" si="267">$AI135*$Q135</f>
        <v>0</v>
      </c>
      <c r="AL135" s="264">
        <f t="shared" ref="AL135:AL142" si="268">$AI135*$R135</f>
        <v>0</v>
      </c>
      <c r="AM135" s="264">
        <f t="shared" ref="AM135:AM142" si="269">$AJ135*$W135+$AK135*$X135+$AL135*$Y135</f>
        <v>0</v>
      </c>
      <c r="AN135" s="640">
        <f>IF(AI135=0,0,AM135/AI135)</f>
        <v>0</v>
      </c>
      <c r="AO135" s="264">
        <f t="shared" ref="AO135:AO142" si="270">$AJ135*$Z135+$AK135*$AA135+$AL135*$AB135</f>
        <v>0</v>
      </c>
      <c r="AP135" s="640">
        <f t="shared" ref="AP135:AP150" si="271">IF(AI135=0,0,AO135/AI135)</f>
        <v>0</v>
      </c>
      <c r="AQ135" s="264" t="str">
        <f>VLOOKUP(I135,TableInputsData[],$AQ$6,FALSE)</f>
        <v>GAMME # : 1 + CANAL DE DISTRIBUTION # : 1</v>
      </c>
      <c r="AR135" s="264" t="str">
        <f>VLOOKUP($I135,TableInputsData[],ReadMe!$M$3,FALSE)&amp;"  |  "&amp;VLOOKUP($K135,TableInputsData[],ReadMe!$M$3,FALSE)</f>
        <v>PRODUIT 04  |  VOLUME</v>
      </c>
      <c r="AS135" s="264" t="b">
        <f t="shared" ref="AS135:AS142" si="272">AND(EXACT(ROUND(AI135,2),ROUND(AJ135+AK135+AL135,2)),EXACT(ROUND(AI135,2),ROUND(AM135+AO135,2)),EXACT(SUM(P135:R135),1),IF(R135&lt;0,FALSE,TRUE),EXACT(SUM(W135:AB135),3),MIN(W135:Y135)&gt;=0, MAX(W135:Y135)&lt;=1)</f>
        <v>1</v>
      </c>
      <c r="AT135" s="294"/>
    </row>
    <row r="136" spans="1:46" ht="13" x14ac:dyDescent="0.2">
      <c r="A136" s="294"/>
      <c r="B136" s="925"/>
      <c r="C136" s="271">
        <v>129</v>
      </c>
      <c r="D136" s="250">
        <f>D135</f>
        <v>0</v>
      </c>
      <c r="E136" s="250">
        <v>1</v>
      </c>
      <c r="F136" s="248" t="s">
        <v>391</v>
      </c>
      <c r="G136" s="250">
        <f>VLOOKUP(F136,TableInputsData[],$G$6,FALSE)</f>
        <v>2024</v>
      </c>
      <c r="H136" s="250" t="str">
        <f>H135</f>
        <v>PRODUCT</v>
      </c>
      <c r="I136" s="248" t="str">
        <f>I135</f>
        <v>PRODUCT 04</v>
      </c>
      <c r="J136" s="248" t="str">
        <f>VLOOKUP(I136,TableInputsData[],$J$6,FALSE)</f>
        <v>-</v>
      </c>
      <c r="K136" s="248" t="str">
        <f>K135</f>
        <v>VOLUME</v>
      </c>
      <c r="L136" s="499">
        <v>1000</v>
      </c>
      <c r="M136" s="499">
        <v>0</v>
      </c>
      <c r="N136" s="499">
        <v>0</v>
      </c>
      <c r="O136" s="264">
        <f t="shared" si="261"/>
        <v>1000</v>
      </c>
      <c r="P136" s="500">
        <v>1</v>
      </c>
      <c r="Q136" s="500">
        <v>0</v>
      </c>
      <c r="R136" s="259">
        <f t="shared" ref="R136:R142" si="273">1-$P136-$Q136</f>
        <v>0</v>
      </c>
      <c r="S136" s="626">
        <v>500</v>
      </c>
      <c r="T136" s="626">
        <v>0</v>
      </c>
      <c r="U136" s="626">
        <v>0</v>
      </c>
      <c r="V136" s="628">
        <f t="shared" ref="V136:V142" si="274">AI168</f>
        <v>0</v>
      </c>
      <c r="W136" s="500">
        <v>1</v>
      </c>
      <c r="X136" s="500">
        <v>1</v>
      </c>
      <c r="Y136" s="500">
        <v>1</v>
      </c>
      <c r="Z136" s="259">
        <f t="shared" si="262"/>
        <v>0</v>
      </c>
      <c r="AA136" s="259">
        <f t="shared" si="263"/>
        <v>0</v>
      </c>
      <c r="AB136" s="259">
        <f t="shared" si="264"/>
        <v>0</v>
      </c>
      <c r="AC136" s="628">
        <f t="shared" ref="AC136:AC142" si="275">AM168</f>
        <v>0</v>
      </c>
      <c r="AD136" s="628">
        <f t="shared" ref="AD136:AD142" si="276">AO168</f>
        <v>0</v>
      </c>
      <c r="AE136" s="501">
        <v>0</v>
      </c>
      <c r="AF136" s="501">
        <v>0</v>
      </c>
      <c r="AG136" s="501">
        <v>0</v>
      </c>
      <c r="AH136" s="501">
        <v>0</v>
      </c>
      <c r="AI136" s="264">
        <f t="shared" si="265"/>
        <v>0</v>
      </c>
      <c r="AJ136" s="264">
        <f t="shared" si="266"/>
        <v>0</v>
      </c>
      <c r="AK136" s="264">
        <f t="shared" si="267"/>
        <v>0</v>
      </c>
      <c r="AL136" s="264">
        <f t="shared" si="268"/>
        <v>0</v>
      </c>
      <c r="AM136" s="264">
        <f t="shared" si="269"/>
        <v>0</v>
      </c>
      <c r="AN136" s="640">
        <f t="shared" ref="AN136:AN150" si="277">IF(AI136=0,0,AM136/AI136)</f>
        <v>0</v>
      </c>
      <c r="AO136" s="264">
        <f t="shared" si="270"/>
        <v>0</v>
      </c>
      <c r="AP136" s="640">
        <f t="shared" si="271"/>
        <v>0</v>
      </c>
      <c r="AQ136" s="501"/>
      <c r="AR136" s="264" t="str">
        <f>VLOOKUP($I136,TableInputsData[],ReadMe!$M$3,FALSE)&amp;"  |  "&amp;VLOOKUP($K136,TableInputsData[],ReadMe!$M$3,FALSE)</f>
        <v>PRODUIT 04  |  VOLUME</v>
      </c>
      <c r="AS136" s="264" t="b">
        <f t="shared" si="272"/>
        <v>1</v>
      </c>
      <c r="AT136" s="294"/>
    </row>
    <row r="137" spans="1:46" ht="13" x14ac:dyDescent="0.2">
      <c r="A137" s="294"/>
      <c r="B137" s="925"/>
      <c r="C137" s="271">
        <v>130</v>
      </c>
      <c r="D137" s="250">
        <f t="shared" ref="D137:D174" si="278">D136</f>
        <v>0</v>
      </c>
      <c r="E137" s="250">
        <v>1</v>
      </c>
      <c r="F137" s="248" t="s">
        <v>393</v>
      </c>
      <c r="G137" s="250">
        <f>VLOOKUP(F137,TableInputsData[],$G$6,FALSE)</f>
        <v>2025</v>
      </c>
      <c r="H137" s="250" t="str">
        <f t="shared" ref="H137:I174" si="279">H136</f>
        <v>PRODUCT</v>
      </c>
      <c r="I137" s="248" t="str">
        <f t="shared" si="279"/>
        <v>PRODUCT 04</v>
      </c>
      <c r="J137" s="248" t="str">
        <f>VLOOKUP(I137,TableInputsData[],$J$6,FALSE)</f>
        <v>-</v>
      </c>
      <c r="K137" s="248" t="str">
        <f t="shared" ref="K137:K142" si="280">K136</f>
        <v>VOLUME</v>
      </c>
      <c r="L137" s="499">
        <v>1000</v>
      </c>
      <c r="M137" s="499">
        <v>0</v>
      </c>
      <c r="N137" s="499">
        <v>0</v>
      </c>
      <c r="O137" s="264">
        <f t="shared" si="261"/>
        <v>1000</v>
      </c>
      <c r="P137" s="500">
        <v>1</v>
      </c>
      <c r="Q137" s="500">
        <v>0</v>
      </c>
      <c r="R137" s="259">
        <f t="shared" si="273"/>
        <v>0</v>
      </c>
      <c r="S137" s="626">
        <v>500</v>
      </c>
      <c r="T137" s="626">
        <v>0</v>
      </c>
      <c r="U137" s="626">
        <v>0</v>
      </c>
      <c r="V137" s="628">
        <f t="shared" si="274"/>
        <v>0</v>
      </c>
      <c r="W137" s="500">
        <v>1</v>
      </c>
      <c r="X137" s="500">
        <v>1</v>
      </c>
      <c r="Y137" s="500">
        <v>1</v>
      </c>
      <c r="Z137" s="259">
        <f t="shared" si="262"/>
        <v>0</v>
      </c>
      <c r="AA137" s="259">
        <f t="shared" si="263"/>
        <v>0</v>
      </c>
      <c r="AB137" s="259">
        <f t="shared" si="264"/>
        <v>0</v>
      </c>
      <c r="AC137" s="628">
        <f t="shared" si="275"/>
        <v>0</v>
      </c>
      <c r="AD137" s="628">
        <f t="shared" si="276"/>
        <v>0</v>
      </c>
      <c r="AE137" s="501">
        <v>0</v>
      </c>
      <c r="AF137" s="501">
        <v>0</v>
      </c>
      <c r="AG137" s="501">
        <v>0</v>
      </c>
      <c r="AH137" s="501">
        <v>0</v>
      </c>
      <c r="AI137" s="264">
        <f t="shared" si="265"/>
        <v>0</v>
      </c>
      <c r="AJ137" s="264">
        <f t="shared" si="266"/>
        <v>0</v>
      </c>
      <c r="AK137" s="264">
        <f t="shared" si="267"/>
        <v>0</v>
      </c>
      <c r="AL137" s="264">
        <f t="shared" si="268"/>
        <v>0</v>
      </c>
      <c r="AM137" s="264">
        <f t="shared" si="269"/>
        <v>0</v>
      </c>
      <c r="AN137" s="640">
        <f t="shared" si="277"/>
        <v>0</v>
      </c>
      <c r="AO137" s="264">
        <f t="shared" si="270"/>
        <v>0</v>
      </c>
      <c r="AP137" s="640">
        <f t="shared" si="271"/>
        <v>0</v>
      </c>
      <c r="AQ137" s="501"/>
      <c r="AR137" s="264" t="str">
        <f>VLOOKUP($I137,TableInputsData[],ReadMe!$M$3,FALSE)&amp;"  |  "&amp;VLOOKUP($K137,TableInputsData[],ReadMe!$M$3,FALSE)</f>
        <v>PRODUIT 04  |  VOLUME</v>
      </c>
      <c r="AS137" s="264" t="b">
        <f t="shared" si="272"/>
        <v>1</v>
      </c>
      <c r="AT137" s="294"/>
    </row>
    <row r="138" spans="1:46" ht="13" x14ac:dyDescent="0.2">
      <c r="A138" s="294"/>
      <c r="B138" s="925"/>
      <c r="C138" s="271">
        <v>131</v>
      </c>
      <c r="D138" s="250">
        <f t="shared" si="278"/>
        <v>0</v>
      </c>
      <c r="E138" s="250">
        <v>1</v>
      </c>
      <c r="F138" s="248" t="s">
        <v>396</v>
      </c>
      <c r="G138" s="250">
        <f>VLOOKUP(F138,TableInputsData[],$G$6,FALSE)</f>
        <v>2026</v>
      </c>
      <c r="H138" s="250" t="str">
        <f t="shared" si="279"/>
        <v>PRODUCT</v>
      </c>
      <c r="I138" s="248" t="str">
        <f t="shared" si="279"/>
        <v>PRODUCT 04</v>
      </c>
      <c r="J138" s="248" t="str">
        <f>VLOOKUP(I138,TableInputsData[],$J$6,FALSE)</f>
        <v>-</v>
      </c>
      <c r="K138" s="248" t="str">
        <f t="shared" si="280"/>
        <v>VOLUME</v>
      </c>
      <c r="L138" s="499">
        <v>1000</v>
      </c>
      <c r="M138" s="499">
        <v>0</v>
      </c>
      <c r="N138" s="499">
        <v>0</v>
      </c>
      <c r="O138" s="264">
        <f t="shared" si="261"/>
        <v>1000</v>
      </c>
      <c r="P138" s="500">
        <v>1</v>
      </c>
      <c r="Q138" s="500">
        <v>0</v>
      </c>
      <c r="R138" s="259">
        <f t="shared" si="273"/>
        <v>0</v>
      </c>
      <c r="S138" s="626">
        <v>500</v>
      </c>
      <c r="T138" s="626">
        <v>0</v>
      </c>
      <c r="U138" s="626">
        <v>0</v>
      </c>
      <c r="V138" s="628">
        <f t="shared" si="274"/>
        <v>0</v>
      </c>
      <c r="W138" s="500">
        <v>1</v>
      </c>
      <c r="X138" s="500">
        <v>1</v>
      </c>
      <c r="Y138" s="500">
        <v>1</v>
      </c>
      <c r="Z138" s="259">
        <f t="shared" si="262"/>
        <v>0</v>
      </c>
      <c r="AA138" s="259">
        <f t="shared" si="263"/>
        <v>0</v>
      </c>
      <c r="AB138" s="259">
        <f t="shared" si="264"/>
        <v>0</v>
      </c>
      <c r="AC138" s="628">
        <f t="shared" si="275"/>
        <v>0</v>
      </c>
      <c r="AD138" s="628">
        <f t="shared" si="276"/>
        <v>0</v>
      </c>
      <c r="AE138" s="501">
        <v>0</v>
      </c>
      <c r="AF138" s="501">
        <v>0</v>
      </c>
      <c r="AG138" s="501">
        <v>0</v>
      </c>
      <c r="AH138" s="501">
        <v>0</v>
      </c>
      <c r="AI138" s="264">
        <f t="shared" si="265"/>
        <v>0</v>
      </c>
      <c r="AJ138" s="264">
        <f t="shared" si="266"/>
        <v>0</v>
      </c>
      <c r="AK138" s="264">
        <f t="shared" si="267"/>
        <v>0</v>
      </c>
      <c r="AL138" s="264">
        <f t="shared" si="268"/>
        <v>0</v>
      </c>
      <c r="AM138" s="264">
        <f t="shared" si="269"/>
        <v>0</v>
      </c>
      <c r="AN138" s="640">
        <f t="shared" si="277"/>
        <v>0</v>
      </c>
      <c r="AO138" s="264">
        <f t="shared" si="270"/>
        <v>0</v>
      </c>
      <c r="AP138" s="640">
        <f t="shared" si="271"/>
        <v>0</v>
      </c>
      <c r="AQ138" s="501"/>
      <c r="AR138" s="264" t="str">
        <f>VLOOKUP($I138,TableInputsData[],ReadMe!$M$3,FALSE)&amp;"  |  "&amp;VLOOKUP($K138,TableInputsData[],ReadMe!$M$3,FALSE)</f>
        <v>PRODUIT 04  |  VOLUME</v>
      </c>
      <c r="AS138" s="264" t="b">
        <f t="shared" si="272"/>
        <v>1</v>
      </c>
      <c r="AT138" s="294"/>
    </row>
    <row r="139" spans="1:46" ht="13" x14ac:dyDescent="0.2">
      <c r="A139" s="294"/>
      <c r="B139" s="925"/>
      <c r="C139" s="271">
        <v>132</v>
      </c>
      <c r="D139" s="250">
        <f t="shared" si="278"/>
        <v>0</v>
      </c>
      <c r="E139" s="250">
        <v>1</v>
      </c>
      <c r="F139" s="248" t="s">
        <v>397</v>
      </c>
      <c r="G139" s="250">
        <f>VLOOKUP(F139,TableInputsData[],$G$6,FALSE)</f>
        <v>2027</v>
      </c>
      <c r="H139" s="250" t="str">
        <f t="shared" si="279"/>
        <v>PRODUCT</v>
      </c>
      <c r="I139" s="248" t="str">
        <f t="shared" si="279"/>
        <v>PRODUCT 04</v>
      </c>
      <c r="J139" s="248" t="str">
        <f>VLOOKUP(I139,TableInputsData[],$J$6,FALSE)</f>
        <v>-</v>
      </c>
      <c r="K139" s="248" t="str">
        <f t="shared" si="280"/>
        <v>VOLUME</v>
      </c>
      <c r="L139" s="499">
        <v>1000</v>
      </c>
      <c r="M139" s="499">
        <v>0</v>
      </c>
      <c r="N139" s="499">
        <v>0</v>
      </c>
      <c r="O139" s="264">
        <f t="shared" si="261"/>
        <v>1000</v>
      </c>
      <c r="P139" s="500">
        <v>1</v>
      </c>
      <c r="Q139" s="500">
        <v>0</v>
      </c>
      <c r="R139" s="259">
        <f t="shared" si="273"/>
        <v>0</v>
      </c>
      <c r="S139" s="626">
        <v>500</v>
      </c>
      <c r="T139" s="626">
        <v>0</v>
      </c>
      <c r="U139" s="626">
        <v>0</v>
      </c>
      <c r="V139" s="628">
        <f t="shared" si="274"/>
        <v>0</v>
      </c>
      <c r="W139" s="500">
        <v>1</v>
      </c>
      <c r="X139" s="500">
        <v>1</v>
      </c>
      <c r="Y139" s="500">
        <v>1</v>
      </c>
      <c r="Z139" s="259">
        <f t="shared" si="262"/>
        <v>0</v>
      </c>
      <c r="AA139" s="259">
        <f t="shared" si="263"/>
        <v>0</v>
      </c>
      <c r="AB139" s="259">
        <f t="shared" si="264"/>
        <v>0</v>
      </c>
      <c r="AC139" s="628">
        <f t="shared" si="275"/>
        <v>0</v>
      </c>
      <c r="AD139" s="628">
        <f t="shared" si="276"/>
        <v>0</v>
      </c>
      <c r="AE139" s="264">
        <f>$AI139/4</f>
        <v>0</v>
      </c>
      <c r="AF139" s="264">
        <f t="shared" ref="AF139:AH142" si="281">$AI139/4</f>
        <v>0</v>
      </c>
      <c r="AG139" s="264">
        <f t="shared" si="281"/>
        <v>0</v>
      </c>
      <c r="AH139" s="264">
        <f t="shared" si="281"/>
        <v>0</v>
      </c>
      <c r="AI139" s="501">
        <v>0</v>
      </c>
      <c r="AJ139" s="264">
        <f t="shared" si="266"/>
        <v>0</v>
      </c>
      <c r="AK139" s="264">
        <f t="shared" si="267"/>
        <v>0</v>
      </c>
      <c r="AL139" s="264">
        <f t="shared" si="268"/>
        <v>0</v>
      </c>
      <c r="AM139" s="264">
        <f t="shared" si="269"/>
        <v>0</v>
      </c>
      <c r="AN139" s="640">
        <f t="shared" si="277"/>
        <v>0</v>
      </c>
      <c r="AO139" s="264">
        <f t="shared" si="270"/>
        <v>0</v>
      </c>
      <c r="AP139" s="640">
        <f t="shared" si="271"/>
        <v>0</v>
      </c>
      <c r="AQ139" s="501"/>
      <c r="AR139" s="264" t="str">
        <f>VLOOKUP($I139,TableInputsData[],ReadMe!$M$3,FALSE)&amp;"  |  "&amp;VLOOKUP($K139,TableInputsData[],ReadMe!$M$3,FALSE)</f>
        <v>PRODUIT 04  |  VOLUME</v>
      </c>
      <c r="AS139" s="264" t="b">
        <f t="shared" si="272"/>
        <v>1</v>
      </c>
      <c r="AT139" s="294"/>
    </row>
    <row r="140" spans="1:46" ht="13" x14ac:dyDescent="0.2">
      <c r="A140" s="294"/>
      <c r="B140" s="925"/>
      <c r="C140" s="271">
        <v>133</v>
      </c>
      <c r="D140" s="250">
        <f t="shared" si="278"/>
        <v>0</v>
      </c>
      <c r="E140" s="250">
        <v>1</v>
      </c>
      <c r="F140" s="248" t="s">
        <v>398</v>
      </c>
      <c r="G140" s="250">
        <f>VLOOKUP(F140,TableInputsData[],$G$6,FALSE)</f>
        <v>2028</v>
      </c>
      <c r="H140" s="250" t="str">
        <f t="shared" si="279"/>
        <v>PRODUCT</v>
      </c>
      <c r="I140" s="248" t="str">
        <f t="shared" si="279"/>
        <v>PRODUCT 04</v>
      </c>
      <c r="J140" s="248" t="str">
        <f>VLOOKUP(I140,TableInputsData[],$J$6,FALSE)</f>
        <v>-</v>
      </c>
      <c r="K140" s="248" t="str">
        <f t="shared" si="280"/>
        <v>VOLUME</v>
      </c>
      <c r="L140" s="499">
        <v>1000</v>
      </c>
      <c r="M140" s="499">
        <v>0</v>
      </c>
      <c r="N140" s="499">
        <v>0</v>
      </c>
      <c r="O140" s="264">
        <f t="shared" si="261"/>
        <v>1000</v>
      </c>
      <c r="P140" s="500">
        <v>1</v>
      </c>
      <c r="Q140" s="500">
        <v>0</v>
      </c>
      <c r="R140" s="259">
        <f t="shared" si="273"/>
        <v>0</v>
      </c>
      <c r="S140" s="626">
        <v>500</v>
      </c>
      <c r="T140" s="626">
        <v>0</v>
      </c>
      <c r="U140" s="626">
        <v>0</v>
      </c>
      <c r="V140" s="628">
        <f t="shared" si="274"/>
        <v>0</v>
      </c>
      <c r="W140" s="500">
        <v>1</v>
      </c>
      <c r="X140" s="500">
        <v>1</v>
      </c>
      <c r="Y140" s="500">
        <v>1</v>
      </c>
      <c r="Z140" s="259">
        <f t="shared" si="262"/>
        <v>0</v>
      </c>
      <c r="AA140" s="259">
        <f t="shared" si="263"/>
        <v>0</v>
      </c>
      <c r="AB140" s="259">
        <f t="shared" si="264"/>
        <v>0</v>
      </c>
      <c r="AC140" s="628">
        <f t="shared" si="275"/>
        <v>0</v>
      </c>
      <c r="AD140" s="628">
        <f t="shared" si="276"/>
        <v>0</v>
      </c>
      <c r="AE140" s="264">
        <f t="shared" ref="AE140:AE142" si="282">$AI140/4</f>
        <v>0</v>
      </c>
      <c r="AF140" s="264">
        <f t="shared" si="281"/>
        <v>0</v>
      </c>
      <c r="AG140" s="264">
        <f t="shared" si="281"/>
        <v>0</v>
      </c>
      <c r="AH140" s="264">
        <f t="shared" si="281"/>
        <v>0</v>
      </c>
      <c r="AI140" s="501">
        <v>0</v>
      </c>
      <c r="AJ140" s="264">
        <f t="shared" si="266"/>
        <v>0</v>
      </c>
      <c r="AK140" s="264">
        <f t="shared" si="267"/>
        <v>0</v>
      </c>
      <c r="AL140" s="264">
        <f t="shared" si="268"/>
        <v>0</v>
      </c>
      <c r="AM140" s="264">
        <f t="shared" si="269"/>
        <v>0</v>
      </c>
      <c r="AN140" s="640">
        <f t="shared" si="277"/>
        <v>0</v>
      </c>
      <c r="AO140" s="264">
        <f t="shared" si="270"/>
        <v>0</v>
      </c>
      <c r="AP140" s="640">
        <f t="shared" si="271"/>
        <v>0</v>
      </c>
      <c r="AQ140" s="501"/>
      <c r="AR140" s="264" t="str">
        <f>VLOOKUP($I140,TableInputsData[],ReadMe!$M$3,FALSE)&amp;"  |  "&amp;VLOOKUP($K140,TableInputsData[],ReadMe!$M$3,FALSE)</f>
        <v>PRODUIT 04  |  VOLUME</v>
      </c>
      <c r="AS140" s="264" t="b">
        <f t="shared" si="272"/>
        <v>1</v>
      </c>
      <c r="AT140" s="294"/>
    </row>
    <row r="141" spans="1:46" ht="13" x14ac:dyDescent="0.2">
      <c r="A141" s="294"/>
      <c r="B141" s="925"/>
      <c r="C141" s="271">
        <v>134</v>
      </c>
      <c r="D141" s="250">
        <f t="shared" si="278"/>
        <v>0</v>
      </c>
      <c r="E141" s="250">
        <v>1</v>
      </c>
      <c r="F141" s="248" t="s">
        <v>399</v>
      </c>
      <c r="G141" s="250">
        <f>VLOOKUP(F141,TableInputsData[],$G$6,FALSE)</f>
        <v>2029</v>
      </c>
      <c r="H141" s="250" t="str">
        <f t="shared" si="279"/>
        <v>PRODUCT</v>
      </c>
      <c r="I141" s="248" t="str">
        <f t="shared" si="279"/>
        <v>PRODUCT 04</v>
      </c>
      <c r="J141" s="248" t="str">
        <f>VLOOKUP(I141,TableInputsData[],$J$6,FALSE)</f>
        <v>-</v>
      </c>
      <c r="K141" s="248" t="str">
        <f t="shared" si="280"/>
        <v>VOLUME</v>
      </c>
      <c r="L141" s="499">
        <v>1000</v>
      </c>
      <c r="M141" s="499">
        <v>0</v>
      </c>
      <c r="N141" s="499">
        <v>0</v>
      </c>
      <c r="O141" s="264">
        <f t="shared" si="261"/>
        <v>1000</v>
      </c>
      <c r="P141" s="500">
        <v>1</v>
      </c>
      <c r="Q141" s="500">
        <v>0</v>
      </c>
      <c r="R141" s="259">
        <f t="shared" si="273"/>
        <v>0</v>
      </c>
      <c r="S141" s="626">
        <v>500</v>
      </c>
      <c r="T141" s="626">
        <v>0</v>
      </c>
      <c r="U141" s="626">
        <v>0</v>
      </c>
      <c r="V141" s="628">
        <f t="shared" si="274"/>
        <v>0</v>
      </c>
      <c r="W141" s="500">
        <v>1</v>
      </c>
      <c r="X141" s="500">
        <v>1</v>
      </c>
      <c r="Y141" s="500">
        <v>1</v>
      </c>
      <c r="Z141" s="259">
        <f t="shared" si="262"/>
        <v>0</v>
      </c>
      <c r="AA141" s="259">
        <f t="shared" si="263"/>
        <v>0</v>
      </c>
      <c r="AB141" s="259">
        <f t="shared" si="264"/>
        <v>0</v>
      </c>
      <c r="AC141" s="628">
        <f t="shared" si="275"/>
        <v>0</v>
      </c>
      <c r="AD141" s="628">
        <f t="shared" si="276"/>
        <v>0</v>
      </c>
      <c r="AE141" s="264">
        <f t="shared" si="282"/>
        <v>0</v>
      </c>
      <c r="AF141" s="264">
        <f t="shared" si="281"/>
        <v>0</v>
      </c>
      <c r="AG141" s="264">
        <f t="shared" si="281"/>
        <v>0</v>
      </c>
      <c r="AH141" s="264">
        <f t="shared" si="281"/>
        <v>0</v>
      </c>
      <c r="AI141" s="501">
        <v>0</v>
      </c>
      <c r="AJ141" s="264">
        <f t="shared" si="266"/>
        <v>0</v>
      </c>
      <c r="AK141" s="264">
        <f t="shared" si="267"/>
        <v>0</v>
      </c>
      <c r="AL141" s="264">
        <f t="shared" si="268"/>
        <v>0</v>
      </c>
      <c r="AM141" s="264">
        <f t="shared" si="269"/>
        <v>0</v>
      </c>
      <c r="AN141" s="640">
        <f t="shared" si="277"/>
        <v>0</v>
      </c>
      <c r="AO141" s="264">
        <f t="shared" si="270"/>
        <v>0</v>
      </c>
      <c r="AP141" s="640">
        <f t="shared" si="271"/>
        <v>0</v>
      </c>
      <c r="AQ141" s="501"/>
      <c r="AR141" s="264" t="str">
        <f>VLOOKUP($I141,TableInputsData[],ReadMe!$M$3,FALSE)&amp;"  |  "&amp;VLOOKUP($K141,TableInputsData[],ReadMe!$M$3,FALSE)</f>
        <v>PRODUIT 04  |  VOLUME</v>
      </c>
      <c r="AS141" s="264" t="b">
        <f t="shared" si="272"/>
        <v>1</v>
      </c>
      <c r="AT141" s="294"/>
    </row>
    <row r="142" spans="1:46" ht="13" x14ac:dyDescent="0.2">
      <c r="A142" s="294"/>
      <c r="B142" s="925"/>
      <c r="C142" s="271">
        <v>135</v>
      </c>
      <c r="D142" s="250">
        <f t="shared" si="278"/>
        <v>0</v>
      </c>
      <c r="E142" s="250">
        <v>1</v>
      </c>
      <c r="F142" s="248" t="s">
        <v>400</v>
      </c>
      <c r="G142" s="250">
        <f>VLOOKUP(F142,TableInputsData[],$G$6,FALSE)</f>
        <v>2030</v>
      </c>
      <c r="H142" s="250" t="str">
        <f t="shared" si="279"/>
        <v>PRODUCT</v>
      </c>
      <c r="I142" s="248" t="str">
        <f t="shared" si="279"/>
        <v>PRODUCT 04</v>
      </c>
      <c r="J142" s="248" t="str">
        <f>VLOOKUP(I142,TableInputsData[],$J$6,FALSE)</f>
        <v>-</v>
      </c>
      <c r="K142" s="248" t="str">
        <f t="shared" si="280"/>
        <v>VOLUME</v>
      </c>
      <c r="L142" s="499">
        <v>1000</v>
      </c>
      <c r="M142" s="499">
        <v>0</v>
      </c>
      <c r="N142" s="499">
        <v>0</v>
      </c>
      <c r="O142" s="264">
        <f t="shared" si="261"/>
        <v>1000</v>
      </c>
      <c r="P142" s="500">
        <v>1</v>
      </c>
      <c r="Q142" s="500">
        <v>0</v>
      </c>
      <c r="R142" s="259">
        <f t="shared" si="273"/>
        <v>0</v>
      </c>
      <c r="S142" s="626">
        <v>500</v>
      </c>
      <c r="T142" s="626">
        <v>0</v>
      </c>
      <c r="U142" s="626">
        <v>0</v>
      </c>
      <c r="V142" s="628">
        <f t="shared" si="274"/>
        <v>0</v>
      </c>
      <c r="W142" s="500">
        <v>1</v>
      </c>
      <c r="X142" s="500">
        <v>1</v>
      </c>
      <c r="Y142" s="500">
        <v>1</v>
      </c>
      <c r="Z142" s="259">
        <f t="shared" si="262"/>
        <v>0</v>
      </c>
      <c r="AA142" s="259">
        <f t="shared" si="263"/>
        <v>0</v>
      </c>
      <c r="AB142" s="259">
        <f t="shared" si="264"/>
        <v>0</v>
      </c>
      <c r="AC142" s="628">
        <f t="shared" si="275"/>
        <v>0</v>
      </c>
      <c r="AD142" s="628">
        <f t="shared" si="276"/>
        <v>0</v>
      </c>
      <c r="AE142" s="264">
        <f t="shared" si="282"/>
        <v>0</v>
      </c>
      <c r="AF142" s="264">
        <f t="shared" si="281"/>
        <v>0</v>
      </c>
      <c r="AG142" s="264">
        <f t="shared" si="281"/>
        <v>0</v>
      </c>
      <c r="AH142" s="264">
        <f t="shared" si="281"/>
        <v>0</v>
      </c>
      <c r="AI142" s="501">
        <v>0</v>
      </c>
      <c r="AJ142" s="264">
        <f t="shared" si="266"/>
        <v>0</v>
      </c>
      <c r="AK142" s="264">
        <f t="shared" si="267"/>
        <v>0</v>
      </c>
      <c r="AL142" s="264">
        <f t="shared" si="268"/>
        <v>0</v>
      </c>
      <c r="AM142" s="264">
        <f t="shared" si="269"/>
        <v>0</v>
      </c>
      <c r="AN142" s="640">
        <f t="shared" si="277"/>
        <v>0</v>
      </c>
      <c r="AO142" s="264">
        <f t="shared" si="270"/>
        <v>0</v>
      </c>
      <c r="AP142" s="640">
        <f t="shared" si="271"/>
        <v>0</v>
      </c>
      <c r="AQ142" s="501"/>
      <c r="AR142" s="264" t="str">
        <f>VLOOKUP($I142,TableInputsData[],ReadMe!$M$3,FALSE)&amp;"  |  "&amp;VLOOKUP($K142,TableInputsData[],ReadMe!$M$3,FALSE)</f>
        <v>PRODUIT 04  |  VOLUME</v>
      </c>
      <c r="AS142" s="264" t="b">
        <f t="shared" si="272"/>
        <v>1</v>
      </c>
      <c r="AT142" s="294"/>
    </row>
    <row r="143" spans="1:46" ht="13" hidden="1" x14ac:dyDescent="0.2">
      <c r="A143" s="294"/>
      <c r="B143" s="925"/>
      <c r="C143" s="272">
        <v>136</v>
      </c>
      <c r="D143" s="250">
        <f t="shared" si="278"/>
        <v>0</v>
      </c>
      <c r="E143" s="251"/>
      <c r="F143" s="248" t="str">
        <f t="shared" ref="F143:F150" si="283">F151</f>
        <v>YEAR-2</v>
      </c>
      <c r="G143" s="250">
        <f>VLOOKUP(F143,TableInputsData[],$G$6,FALSE)</f>
        <v>2023</v>
      </c>
      <c r="H143" s="250" t="str">
        <f t="shared" si="279"/>
        <v>PRODUCT</v>
      </c>
      <c r="I143" s="248" t="str">
        <f t="shared" si="279"/>
        <v>PRODUCT 04</v>
      </c>
      <c r="J143" s="248" t="str">
        <f>VLOOKUP(I143,TableInputsData[],$J$6,FALSE)</f>
        <v>-</v>
      </c>
      <c r="K143" s="248" t="s">
        <v>457</v>
      </c>
      <c r="L143" s="256"/>
      <c r="M143" s="256"/>
      <c r="N143" s="256"/>
      <c r="O143" s="266"/>
      <c r="P143" s="261"/>
      <c r="Q143" s="261"/>
      <c r="R143" s="261"/>
      <c r="S143" s="629"/>
      <c r="T143" s="629"/>
      <c r="U143" s="629"/>
      <c r="V143" s="629"/>
      <c r="W143" s="261"/>
      <c r="X143" s="261"/>
      <c r="Y143" s="261"/>
      <c r="Z143" s="261"/>
      <c r="AA143" s="261"/>
      <c r="AB143" s="261"/>
      <c r="AC143" s="266"/>
      <c r="AD143" s="633"/>
      <c r="AE143" s="264">
        <f>AE135*($L135*$P135+$M135*$Q135+$N135*$R135)</f>
        <v>0</v>
      </c>
      <c r="AF143" s="264">
        <f t="shared" ref="AF143:AH143" si="284">AF135*($L135*$P135+$M135*$Q135+$N135*$R135)</f>
        <v>0</v>
      </c>
      <c r="AG143" s="264">
        <f t="shared" si="284"/>
        <v>0</v>
      </c>
      <c r="AH143" s="264">
        <f t="shared" si="284"/>
        <v>0</v>
      </c>
      <c r="AI143" s="264">
        <f>$AE143+$AF143+$AG143+$AH143</f>
        <v>0</v>
      </c>
      <c r="AJ143" s="264">
        <f t="shared" ref="AJ143:AJ150" si="285">$AJ135*$L135</f>
        <v>0</v>
      </c>
      <c r="AK143" s="264">
        <f t="shared" ref="AK143:AK150" si="286">$AK135*$M135</f>
        <v>0</v>
      </c>
      <c r="AL143" s="264">
        <f t="shared" ref="AL143:AL150" si="287">$AL135*$N135</f>
        <v>0</v>
      </c>
      <c r="AM143" s="264">
        <f t="shared" ref="AM143:AM150" si="288">$AJ143*$W135+$AK143*$X135+$AL143*$Y135</f>
        <v>0</v>
      </c>
      <c r="AN143" s="640">
        <f t="shared" si="277"/>
        <v>0</v>
      </c>
      <c r="AO143" s="264">
        <f t="shared" ref="AO143:AO150" si="289">$AJ143*$Z135+$AK143*$AA135+$AL143*$AB135</f>
        <v>0</v>
      </c>
      <c r="AP143" s="640">
        <f t="shared" si="271"/>
        <v>0</v>
      </c>
      <c r="AQ143" s="264"/>
      <c r="AR143" s="264" t="str">
        <f>VLOOKUP($I143,TableInputsData[],ReadMe!$M$3,FALSE)&amp;"  |  "&amp;VLOOKUP($K143,TableInputsData[],ReadMe!$M$3,FALSE)</f>
        <v>PRODUIT 04  |  CHIFFRE D'AFFAIRES</v>
      </c>
      <c r="AS143" s="264" t="b">
        <f t="shared" ref="AS143:AS150" si="290">AND(EXACT(ROUND(AI143,2),ROUND(AJ143+AK143+AL143,2)),EXACT(ROUND(AI143,2),ROUND(AM143+AO143,2)))</f>
        <v>1</v>
      </c>
      <c r="AT143" s="294"/>
    </row>
    <row r="144" spans="1:46" ht="13" hidden="1" x14ac:dyDescent="0.2">
      <c r="A144" s="294"/>
      <c r="B144" s="925"/>
      <c r="C144" s="271">
        <v>137</v>
      </c>
      <c r="D144" s="250">
        <f t="shared" si="278"/>
        <v>0</v>
      </c>
      <c r="E144" s="250"/>
      <c r="F144" s="248" t="str">
        <f t="shared" si="283"/>
        <v>YEAR-1</v>
      </c>
      <c r="G144" s="250">
        <f>VLOOKUP(F144,TableInputsData[],$G$6,FALSE)</f>
        <v>2024</v>
      </c>
      <c r="H144" s="250" t="str">
        <f t="shared" si="279"/>
        <v>PRODUCT</v>
      </c>
      <c r="I144" s="248" t="str">
        <f t="shared" si="279"/>
        <v>PRODUCT 04</v>
      </c>
      <c r="J144" s="248" t="str">
        <f>VLOOKUP(I144,TableInputsData[],$J$6,FALSE)</f>
        <v>-</v>
      </c>
      <c r="K144" s="248" t="str">
        <f>K143</f>
        <v>REVENUE</v>
      </c>
      <c r="L144" s="255"/>
      <c r="M144" s="255"/>
      <c r="N144" s="255"/>
      <c r="O144" s="265"/>
      <c r="P144" s="260"/>
      <c r="Q144" s="260"/>
      <c r="R144" s="260"/>
      <c r="S144" s="629"/>
      <c r="T144" s="629"/>
      <c r="U144" s="629"/>
      <c r="V144" s="630"/>
      <c r="W144" s="260"/>
      <c r="X144" s="260"/>
      <c r="Y144" s="260"/>
      <c r="Z144" s="260"/>
      <c r="AA144" s="260"/>
      <c r="AB144" s="260"/>
      <c r="AC144" s="265"/>
      <c r="AD144" s="634"/>
      <c r="AE144" s="264">
        <f t="shared" ref="AE144:AH144" si="291">AE136*($L136*$P136+$M136*$Q136+$N136*$R136)</f>
        <v>0</v>
      </c>
      <c r="AF144" s="264">
        <f t="shared" si="291"/>
        <v>0</v>
      </c>
      <c r="AG144" s="264">
        <f t="shared" si="291"/>
        <v>0</v>
      </c>
      <c r="AH144" s="264">
        <f t="shared" si="291"/>
        <v>0</v>
      </c>
      <c r="AI144" s="264">
        <f t="shared" ref="AI144:AI149" si="292">$AE144+$AF144+$AG144+$AH144</f>
        <v>0</v>
      </c>
      <c r="AJ144" s="264">
        <f t="shared" si="285"/>
        <v>0</v>
      </c>
      <c r="AK144" s="264">
        <f t="shared" si="286"/>
        <v>0</v>
      </c>
      <c r="AL144" s="264">
        <f t="shared" si="287"/>
        <v>0</v>
      </c>
      <c r="AM144" s="264">
        <f t="shared" si="288"/>
        <v>0</v>
      </c>
      <c r="AN144" s="640">
        <f t="shared" si="277"/>
        <v>0</v>
      </c>
      <c r="AO144" s="264">
        <f t="shared" si="289"/>
        <v>0</v>
      </c>
      <c r="AP144" s="640">
        <f t="shared" si="271"/>
        <v>0</v>
      </c>
      <c r="AQ144" s="264"/>
      <c r="AR144" s="264" t="str">
        <f>VLOOKUP($I144,TableInputsData[],ReadMe!$M$3,FALSE)&amp;"  |  "&amp;VLOOKUP($K144,TableInputsData[],ReadMe!$M$3,FALSE)</f>
        <v>PRODUIT 04  |  CHIFFRE D'AFFAIRES</v>
      </c>
      <c r="AS144" s="264" t="b">
        <f t="shared" si="290"/>
        <v>1</v>
      </c>
      <c r="AT144" s="294"/>
    </row>
    <row r="145" spans="1:46" ht="13" hidden="1" x14ac:dyDescent="0.2">
      <c r="A145" s="294"/>
      <c r="B145" s="925"/>
      <c r="C145" s="271">
        <v>138</v>
      </c>
      <c r="D145" s="250">
        <f t="shared" si="278"/>
        <v>0</v>
      </c>
      <c r="E145" s="250"/>
      <c r="F145" s="248" t="str">
        <f t="shared" si="283"/>
        <v>CURRENT YEAR</v>
      </c>
      <c r="G145" s="250">
        <f>VLOOKUP(F145,TableInputsData[],$G$6,FALSE)</f>
        <v>2025</v>
      </c>
      <c r="H145" s="250" t="str">
        <f t="shared" si="279"/>
        <v>PRODUCT</v>
      </c>
      <c r="I145" s="248" t="str">
        <f t="shared" si="279"/>
        <v>PRODUCT 04</v>
      </c>
      <c r="J145" s="248" t="str">
        <f>VLOOKUP(I145,TableInputsData[],$J$6,FALSE)</f>
        <v>-</v>
      </c>
      <c r="K145" s="248" t="str">
        <f t="shared" ref="K145:K150" si="293">K144</f>
        <v>REVENUE</v>
      </c>
      <c r="L145" s="255"/>
      <c r="M145" s="255"/>
      <c r="N145" s="255"/>
      <c r="O145" s="265"/>
      <c r="P145" s="260"/>
      <c r="Q145" s="260"/>
      <c r="R145" s="260"/>
      <c r="S145" s="629"/>
      <c r="T145" s="629"/>
      <c r="U145" s="629"/>
      <c r="V145" s="630"/>
      <c r="W145" s="260"/>
      <c r="X145" s="260"/>
      <c r="Y145" s="260"/>
      <c r="Z145" s="260"/>
      <c r="AA145" s="260"/>
      <c r="AB145" s="260"/>
      <c r="AC145" s="265"/>
      <c r="AD145" s="634"/>
      <c r="AE145" s="264">
        <f t="shared" ref="AE145:AH145" si="294">AE137*($L137*$P137+$M137*$Q137+$N137*$R137)</f>
        <v>0</v>
      </c>
      <c r="AF145" s="264">
        <f t="shared" si="294"/>
        <v>0</v>
      </c>
      <c r="AG145" s="264">
        <f t="shared" si="294"/>
        <v>0</v>
      </c>
      <c r="AH145" s="264">
        <f t="shared" si="294"/>
        <v>0</v>
      </c>
      <c r="AI145" s="264">
        <f t="shared" si="292"/>
        <v>0</v>
      </c>
      <c r="AJ145" s="264">
        <f t="shared" si="285"/>
        <v>0</v>
      </c>
      <c r="AK145" s="264">
        <f t="shared" si="286"/>
        <v>0</v>
      </c>
      <c r="AL145" s="264">
        <f t="shared" si="287"/>
        <v>0</v>
      </c>
      <c r="AM145" s="264">
        <f t="shared" si="288"/>
        <v>0</v>
      </c>
      <c r="AN145" s="640">
        <f t="shared" si="277"/>
        <v>0</v>
      </c>
      <c r="AO145" s="264">
        <f t="shared" si="289"/>
        <v>0</v>
      </c>
      <c r="AP145" s="640">
        <f t="shared" si="271"/>
        <v>0</v>
      </c>
      <c r="AQ145" s="264"/>
      <c r="AR145" s="264" t="str">
        <f>VLOOKUP($I145,TableInputsData[],ReadMe!$M$3,FALSE)&amp;"  |  "&amp;VLOOKUP($K145,TableInputsData[],ReadMe!$M$3,FALSE)</f>
        <v>PRODUIT 04  |  CHIFFRE D'AFFAIRES</v>
      </c>
      <c r="AS145" s="264" t="b">
        <f t="shared" si="290"/>
        <v>1</v>
      </c>
      <c r="AT145" s="294"/>
    </row>
    <row r="146" spans="1:46" ht="13" hidden="1" x14ac:dyDescent="0.2">
      <c r="A146" s="294"/>
      <c r="B146" s="925"/>
      <c r="C146" s="271">
        <v>139</v>
      </c>
      <c r="D146" s="250">
        <f t="shared" si="278"/>
        <v>0</v>
      </c>
      <c r="E146" s="250"/>
      <c r="F146" s="248" t="str">
        <f t="shared" si="283"/>
        <v>YEAR2</v>
      </c>
      <c r="G146" s="250">
        <f>VLOOKUP(F146,TableInputsData[],$G$6,FALSE)</f>
        <v>2026</v>
      </c>
      <c r="H146" s="250" t="str">
        <f t="shared" si="279"/>
        <v>PRODUCT</v>
      </c>
      <c r="I146" s="248" t="str">
        <f t="shared" si="279"/>
        <v>PRODUCT 04</v>
      </c>
      <c r="J146" s="248" t="str">
        <f>VLOOKUP(I146,TableInputsData[],$J$6,FALSE)</f>
        <v>-</v>
      </c>
      <c r="K146" s="248" t="str">
        <f t="shared" si="293"/>
        <v>REVENUE</v>
      </c>
      <c r="L146" s="255"/>
      <c r="M146" s="255"/>
      <c r="N146" s="255"/>
      <c r="O146" s="265"/>
      <c r="P146" s="260"/>
      <c r="Q146" s="260"/>
      <c r="R146" s="260"/>
      <c r="S146" s="629"/>
      <c r="T146" s="629"/>
      <c r="U146" s="629"/>
      <c r="V146" s="630"/>
      <c r="W146" s="260"/>
      <c r="X146" s="260"/>
      <c r="Y146" s="260"/>
      <c r="Z146" s="260"/>
      <c r="AA146" s="260"/>
      <c r="AB146" s="260"/>
      <c r="AC146" s="265"/>
      <c r="AD146" s="634"/>
      <c r="AE146" s="264">
        <f t="shared" ref="AE146:AH146" si="295">AE138*($L138*$P138+$M138*$Q138+$N138*$R138)</f>
        <v>0</v>
      </c>
      <c r="AF146" s="264">
        <f t="shared" si="295"/>
        <v>0</v>
      </c>
      <c r="AG146" s="264">
        <f t="shared" si="295"/>
        <v>0</v>
      </c>
      <c r="AH146" s="264">
        <f t="shared" si="295"/>
        <v>0</v>
      </c>
      <c r="AI146" s="264">
        <f t="shared" si="292"/>
        <v>0</v>
      </c>
      <c r="AJ146" s="264">
        <f t="shared" si="285"/>
        <v>0</v>
      </c>
      <c r="AK146" s="264">
        <f t="shared" si="286"/>
        <v>0</v>
      </c>
      <c r="AL146" s="264">
        <f t="shared" si="287"/>
        <v>0</v>
      </c>
      <c r="AM146" s="264">
        <f t="shared" si="288"/>
        <v>0</v>
      </c>
      <c r="AN146" s="640">
        <f t="shared" si="277"/>
        <v>0</v>
      </c>
      <c r="AO146" s="264">
        <f t="shared" si="289"/>
        <v>0</v>
      </c>
      <c r="AP146" s="640">
        <f t="shared" si="271"/>
        <v>0</v>
      </c>
      <c r="AQ146" s="264"/>
      <c r="AR146" s="264" t="str">
        <f>VLOOKUP($I146,TableInputsData[],ReadMe!$M$3,FALSE)&amp;"  |  "&amp;VLOOKUP($K146,TableInputsData[],ReadMe!$M$3,FALSE)</f>
        <v>PRODUIT 04  |  CHIFFRE D'AFFAIRES</v>
      </c>
      <c r="AS146" s="264" t="b">
        <f t="shared" si="290"/>
        <v>1</v>
      </c>
      <c r="AT146" s="294"/>
    </row>
    <row r="147" spans="1:46" ht="13" hidden="1" x14ac:dyDescent="0.2">
      <c r="A147" s="294"/>
      <c r="B147" s="925"/>
      <c r="C147" s="271">
        <v>140</v>
      </c>
      <c r="D147" s="250">
        <f t="shared" si="278"/>
        <v>0</v>
      </c>
      <c r="E147" s="250"/>
      <c r="F147" s="248" t="str">
        <f t="shared" si="283"/>
        <v>YEAR3</v>
      </c>
      <c r="G147" s="250">
        <f>VLOOKUP(F147,TableInputsData[],$G$6,FALSE)</f>
        <v>2027</v>
      </c>
      <c r="H147" s="250" t="str">
        <f t="shared" si="279"/>
        <v>PRODUCT</v>
      </c>
      <c r="I147" s="248" t="str">
        <f t="shared" si="279"/>
        <v>PRODUCT 04</v>
      </c>
      <c r="J147" s="248" t="str">
        <f>VLOOKUP(I147,TableInputsData[],$J$6,FALSE)</f>
        <v>-</v>
      </c>
      <c r="K147" s="248" t="str">
        <f t="shared" si="293"/>
        <v>REVENUE</v>
      </c>
      <c r="L147" s="255"/>
      <c r="M147" s="255"/>
      <c r="N147" s="255"/>
      <c r="O147" s="265"/>
      <c r="P147" s="260"/>
      <c r="Q147" s="260"/>
      <c r="R147" s="260"/>
      <c r="S147" s="629"/>
      <c r="T147" s="629"/>
      <c r="U147" s="629"/>
      <c r="V147" s="630"/>
      <c r="W147" s="260"/>
      <c r="X147" s="260"/>
      <c r="Y147" s="260"/>
      <c r="Z147" s="260"/>
      <c r="AA147" s="260"/>
      <c r="AB147" s="260"/>
      <c r="AC147" s="265"/>
      <c r="AD147" s="634"/>
      <c r="AE147" s="264">
        <f t="shared" ref="AE147:AH147" si="296">AE139*($L139*$P139+$M139*$Q139+$N139*$R139)</f>
        <v>0</v>
      </c>
      <c r="AF147" s="264">
        <f t="shared" si="296"/>
        <v>0</v>
      </c>
      <c r="AG147" s="264">
        <f t="shared" si="296"/>
        <v>0</v>
      </c>
      <c r="AH147" s="264">
        <f t="shared" si="296"/>
        <v>0</v>
      </c>
      <c r="AI147" s="264">
        <f t="shared" si="292"/>
        <v>0</v>
      </c>
      <c r="AJ147" s="264">
        <f t="shared" si="285"/>
        <v>0</v>
      </c>
      <c r="AK147" s="264">
        <f t="shared" si="286"/>
        <v>0</v>
      </c>
      <c r="AL147" s="264">
        <f t="shared" si="287"/>
        <v>0</v>
      </c>
      <c r="AM147" s="264">
        <f t="shared" si="288"/>
        <v>0</v>
      </c>
      <c r="AN147" s="640">
        <f t="shared" si="277"/>
        <v>0</v>
      </c>
      <c r="AO147" s="264">
        <f t="shared" si="289"/>
        <v>0</v>
      </c>
      <c r="AP147" s="640">
        <f t="shared" si="271"/>
        <v>0</v>
      </c>
      <c r="AQ147" s="264"/>
      <c r="AR147" s="264" t="str">
        <f>VLOOKUP($I147,TableInputsData[],ReadMe!$M$3,FALSE)&amp;"  |  "&amp;VLOOKUP($K147,TableInputsData[],ReadMe!$M$3,FALSE)</f>
        <v>PRODUIT 04  |  CHIFFRE D'AFFAIRES</v>
      </c>
      <c r="AS147" s="264" t="b">
        <f t="shared" si="290"/>
        <v>1</v>
      </c>
      <c r="AT147" s="294"/>
    </row>
    <row r="148" spans="1:46" ht="13" hidden="1" x14ac:dyDescent="0.2">
      <c r="A148" s="294"/>
      <c r="B148" s="925"/>
      <c r="C148" s="271">
        <v>141</v>
      </c>
      <c r="D148" s="250">
        <f t="shared" si="278"/>
        <v>0</v>
      </c>
      <c r="E148" s="250"/>
      <c r="F148" s="248" t="str">
        <f t="shared" si="283"/>
        <v>YEAR4</v>
      </c>
      <c r="G148" s="250">
        <f>VLOOKUP(F148,TableInputsData[],$G$6,FALSE)</f>
        <v>2028</v>
      </c>
      <c r="H148" s="250" t="str">
        <f t="shared" si="279"/>
        <v>PRODUCT</v>
      </c>
      <c r="I148" s="248" t="str">
        <f t="shared" si="279"/>
        <v>PRODUCT 04</v>
      </c>
      <c r="J148" s="248" t="str">
        <f>VLOOKUP(I148,TableInputsData[],$J$6,FALSE)</f>
        <v>-</v>
      </c>
      <c r="K148" s="248" t="str">
        <f t="shared" si="293"/>
        <v>REVENUE</v>
      </c>
      <c r="L148" s="255"/>
      <c r="M148" s="255"/>
      <c r="N148" s="255"/>
      <c r="O148" s="265"/>
      <c r="P148" s="260"/>
      <c r="Q148" s="260"/>
      <c r="R148" s="260"/>
      <c r="S148" s="629"/>
      <c r="T148" s="629"/>
      <c r="U148" s="629"/>
      <c r="V148" s="630"/>
      <c r="W148" s="260"/>
      <c r="X148" s="260"/>
      <c r="Y148" s="260"/>
      <c r="Z148" s="260"/>
      <c r="AA148" s="260"/>
      <c r="AB148" s="260"/>
      <c r="AC148" s="265"/>
      <c r="AD148" s="634"/>
      <c r="AE148" s="264">
        <f t="shared" ref="AE148:AH148" si="297">AE140*($L140*$P140+$M140*$Q140+$N140*$R140)</f>
        <v>0</v>
      </c>
      <c r="AF148" s="264">
        <f t="shared" si="297"/>
        <v>0</v>
      </c>
      <c r="AG148" s="264">
        <f t="shared" si="297"/>
        <v>0</v>
      </c>
      <c r="AH148" s="264">
        <f t="shared" si="297"/>
        <v>0</v>
      </c>
      <c r="AI148" s="264">
        <f t="shared" si="292"/>
        <v>0</v>
      </c>
      <c r="AJ148" s="264">
        <f t="shared" si="285"/>
        <v>0</v>
      </c>
      <c r="AK148" s="264">
        <f t="shared" si="286"/>
        <v>0</v>
      </c>
      <c r="AL148" s="264">
        <f t="shared" si="287"/>
        <v>0</v>
      </c>
      <c r="AM148" s="264">
        <f t="shared" si="288"/>
        <v>0</v>
      </c>
      <c r="AN148" s="640">
        <f t="shared" si="277"/>
        <v>0</v>
      </c>
      <c r="AO148" s="264">
        <f t="shared" si="289"/>
        <v>0</v>
      </c>
      <c r="AP148" s="640">
        <f t="shared" si="271"/>
        <v>0</v>
      </c>
      <c r="AQ148" s="264"/>
      <c r="AR148" s="264" t="str">
        <f>VLOOKUP($I148,TableInputsData[],ReadMe!$M$3,FALSE)&amp;"  |  "&amp;VLOOKUP($K148,TableInputsData[],ReadMe!$M$3,FALSE)</f>
        <v>PRODUIT 04  |  CHIFFRE D'AFFAIRES</v>
      </c>
      <c r="AS148" s="264" t="b">
        <f t="shared" si="290"/>
        <v>1</v>
      </c>
      <c r="AT148" s="294"/>
    </row>
    <row r="149" spans="1:46" ht="13" hidden="1" x14ac:dyDescent="0.2">
      <c r="A149" s="294"/>
      <c r="B149" s="925"/>
      <c r="C149" s="271">
        <v>142</v>
      </c>
      <c r="D149" s="250">
        <f t="shared" si="278"/>
        <v>0</v>
      </c>
      <c r="E149" s="250"/>
      <c r="F149" s="248" t="str">
        <f t="shared" si="283"/>
        <v>YEAR5</v>
      </c>
      <c r="G149" s="250">
        <f>VLOOKUP(F149,TableInputsData[],$G$6,FALSE)</f>
        <v>2029</v>
      </c>
      <c r="H149" s="250" t="str">
        <f t="shared" si="279"/>
        <v>PRODUCT</v>
      </c>
      <c r="I149" s="248" t="str">
        <f t="shared" si="279"/>
        <v>PRODUCT 04</v>
      </c>
      <c r="J149" s="248" t="str">
        <f>VLOOKUP(I149,TableInputsData[],$J$6,FALSE)</f>
        <v>-</v>
      </c>
      <c r="K149" s="248" t="str">
        <f t="shared" si="293"/>
        <v>REVENUE</v>
      </c>
      <c r="L149" s="255"/>
      <c r="M149" s="255"/>
      <c r="N149" s="255"/>
      <c r="O149" s="265"/>
      <c r="P149" s="260"/>
      <c r="Q149" s="260"/>
      <c r="R149" s="260"/>
      <c r="S149" s="629"/>
      <c r="T149" s="629"/>
      <c r="U149" s="629"/>
      <c r="V149" s="630"/>
      <c r="W149" s="260"/>
      <c r="X149" s="260"/>
      <c r="Y149" s="260"/>
      <c r="Z149" s="260"/>
      <c r="AA149" s="260"/>
      <c r="AB149" s="260"/>
      <c r="AC149" s="265"/>
      <c r="AD149" s="634"/>
      <c r="AE149" s="264">
        <f t="shared" ref="AE149:AH149" si="298">AE141*($L141*$P141+$M141*$Q141+$N141*$R141)</f>
        <v>0</v>
      </c>
      <c r="AF149" s="264">
        <f t="shared" si="298"/>
        <v>0</v>
      </c>
      <c r="AG149" s="264">
        <f t="shared" si="298"/>
        <v>0</v>
      </c>
      <c r="AH149" s="264">
        <f t="shared" si="298"/>
        <v>0</v>
      </c>
      <c r="AI149" s="264">
        <f t="shared" si="292"/>
        <v>0</v>
      </c>
      <c r="AJ149" s="264">
        <f t="shared" si="285"/>
        <v>0</v>
      </c>
      <c r="AK149" s="264">
        <f t="shared" si="286"/>
        <v>0</v>
      </c>
      <c r="AL149" s="264">
        <f t="shared" si="287"/>
        <v>0</v>
      </c>
      <c r="AM149" s="264">
        <f t="shared" si="288"/>
        <v>0</v>
      </c>
      <c r="AN149" s="640">
        <f t="shared" si="277"/>
        <v>0</v>
      </c>
      <c r="AO149" s="264">
        <f t="shared" si="289"/>
        <v>0</v>
      </c>
      <c r="AP149" s="640">
        <f t="shared" si="271"/>
        <v>0</v>
      </c>
      <c r="AQ149" s="264"/>
      <c r="AR149" s="264" t="str">
        <f>VLOOKUP($I149,TableInputsData[],ReadMe!$M$3,FALSE)&amp;"  |  "&amp;VLOOKUP($K149,TableInputsData[],ReadMe!$M$3,FALSE)</f>
        <v>PRODUIT 04  |  CHIFFRE D'AFFAIRES</v>
      </c>
      <c r="AS149" s="264" t="b">
        <f t="shared" si="290"/>
        <v>1</v>
      </c>
      <c r="AT149" s="294"/>
    </row>
    <row r="150" spans="1:46" ht="13" hidden="1" x14ac:dyDescent="0.2">
      <c r="A150" s="294"/>
      <c r="B150" s="925"/>
      <c r="C150" s="271">
        <v>143</v>
      </c>
      <c r="D150" s="250">
        <f t="shared" si="278"/>
        <v>0</v>
      </c>
      <c r="E150" s="250"/>
      <c r="F150" s="248" t="str">
        <f t="shared" si="283"/>
        <v>YEAR6</v>
      </c>
      <c r="G150" s="250">
        <f>VLOOKUP(F150,TableInputsData[],$G$6,FALSE)</f>
        <v>2030</v>
      </c>
      <c r="H150" s="250" t="str">
        <f t="shared" si="279"/>
        <v>PRODUCT</v>
      </c>
      <c r="I150" s="248" t="str">
        <f t="shared" si="279"/>
        <v>PRODUCT 04</v>
      </c>
      <c r="J150" s="248" t="str">
        <f>VLOOKUP(I150,TableInputsData[],$J$6,FALSE)</f>
        <v>-</v>
      </c>
      <c r="K150" s="248" t="str">
        <f t="shared" si="293"/>
        <v>REVENUE</v>
      </c>
      <c r="L150" s="255"/>
      <c r="M150" s="255"/>
      <c r="N150" s="255"/>
      <c r="O150" s="265"/>
      <c r="P150" s="260"/>
      <c r="Q150" s="260"/>
      <c r="R150" s="260"/>
      <c r="S150" s="629"/>
      <c r="T150" s="629"/>
      <c r="U150" s="629"/>
      <c r="V150" s="630"/>
      <c r="W150" s="260"/>
      <c r="X150" s="260"/>
      <c r="Y150" s="260"/>
      <c r="Z150" s="260"/>
      <c r="AA150" s="260"/>
      <c r="AB150" s="260"/>
      <c r="AC150" s="265"/>
      <c r="AD150" s="634"/>
      <c r="AE150" s="264">
        <f t="shared" ref="AE150:AH150" si="299">AE142*($L142*$P142+$M142*$Q142+$N142*$R142)</f>
        <v>0</v>
      </c>
      <c r="AF150" s="264">
        <f t="shared" si="299"/>
        <v>0</v>
      </c>
      <c r="AG150" s="264">
        <f t="shared" si="299"/>
        <v>0</v>
      </c>
      <c r="AH150" s="264">
        <f t="shared" si="299"/>
        <v>0</v>
      </c>
      <c r="AI150" s="264">
        <f>$AE150+$AF150+$AG150+$AH150</f>
        <v>0</v>
      </c>
      <c r="AJ150" s="264">
        <f t="shared" si="285"/>
        <v>0</v>
      </c>
      <c r="AK150" s="264">
        <f t="shared" si="286"/>
        <v>0</v>
      </c>
      <c r="AL150" s="264">
        <f t="shared" si="287"/>
        <v>0</v>
      </c>
      <c r="AM150" s="264">
        <f t="shared" si="288"/>
        <v>0</v>
      </c>
      <c r="AN150" s="640">
        <f t="shared" si="277"/>
        <v>0</v>
      </c>
      <c r="AO150" s="264">
        <f t="shared" si="289"/>
        <v>0</v>
      </c>
      <c r="AP150" s="640">
        <f t="shared" si="271"/>
        <v>0</v>
      </c>
      <c r="AQ150" s="264"/>
      <c r="AR150" s="264" t="str">
        <f>VLOOKUP($I150,TableInputsData[],ReadMe!$M$3,FALSE)&amp;"  |  "&amp;VLOOKUP($K150,TableInputsData[],ReadMe!$M$3,FALSE)</f>
        <v>PRODUIT 04  |  CHIFFRE D'AFFAIRES</v>
      </c>
      <c r="AS150" s="264" t="b">
        <f t="shared" si="290"/>
        <v>1</v>
      </c>
      <c r="AT150" s="294"/>
    </row>
    <row r="151" spans="1:46" ht="13" hidden="1" x14ac:dyDescent="0.2">
      <c r="A151" s="294"/>
      <c r="B151" s="925"/>
      <c r="C151" s="271">
        <v>144</v>
      </c>
      <c r="D151" s="250">
        <f t="shared" si="278"/>
        <v>0</v>
      </c>
      <c r="E151" s="250"/>
      <c r="F151" s="248" t="str">
        <f t="shared" ref="F151:F158" si="300">F135</f>
        <v>YEAR-2</v>
      </c>
      <c r="G151" s="250">
        <f>VLOOKUP(F151,TableInputsData[],$G$6,FALSE)</f>
        <v>2023</v>
      </c>
      <c r="H151" s="250" t="str">
        <f t="shared" si="279"/>
        <v>PRODUCT</v>
      </c>
      <c r="I151" s="248" t="str">
        <f t="shared" si="279"/>
        <v>PRODUCT 04</v>
      </c>
      <c r="J151" s="248" t="str">
        <f>VLOOKUP(I151,TableInputsData[],$J$6,FALSE)</f>
        <v>-</v>
      </c>
      <c r="K151" s="248" t="s">
        <v>456</v>
      </c>
      <c r="L151" s="255"/>
      <c r="M151" s="255"/>
      <c r="N151" s="255"/>
      <c r="O151" s="265"/>
      <c r="P151" s="260"/>
      <c r="Q151" s="260"/>
      <c r="R151" s="260"/>
      <c r="S151" s="629"/>
      <c r="T151" s="629"/>
      <c r="U151" s="629"/>
      <c r="V151" s="630"/>
      <c r="W151" s="260"/>
      <c r="X151" s="260"/>
      <c r="Y151" s="260"/>
      <c r="Z151" s="260"/>
      <c r="AA151" s="260"/>
      <c r="AB151" s="260"/>
      <c r="AC151" s="265"/>
      <c r="AD151" s="634"/>
      <c r="AE151" s="264">
        <f>IF(AE135=0,0,AE143/AE135)</f>
        <v>0</v>
      </c>
      <c r="AF151" s="264">
        <f t="shared" ref="AF151:AI151" si="301">IF(AF135=0,0,AF143/AF135)</f>
        <v>0</v>
      </c>
      <c r="AG151" s="264">
        <f t="shared" si="301"/>
        <v>0</v>
      </c>
      <c r="AH151" s="264">
        <f t="shared" si="301"/>
        <v>0</v>
      </c>
      <c r="AI151" s="264">
        <f t="shared" si="301"/>
        <v>0</v>
      </c>
      <c r="AJ151" s="264">
        <f>IF(AJ135=0,0,AJ143/AJ135)</f>
        <v>0</v>
      </c>
      <c r="AK151" s="264">
        <f t="shared" ref="AK151:AL151" si="302">IF(AK135=0,0,AK143/AK135)</f>
        <v>0</v>
      </c>
      <c r="AL151" s="264">
        <f t="shared" si="302"/>
        <v>0</v>
      </c>
      <c r="AM151" s="264">
        <f>IF(AM135=0,0,AM143/AM135)</f>
        <v>0</v>
      </c>
      <c r="AN151" s="260"/>
      <c r="AO151" s="264">
        <f t="shared" ref="AO151" si="303">IF(AO135=0,0,AO143/AO135)</f>
        <v>0</v>
      </c>
      <c r="AP151" s="260"/>
      <c r="AQ151" s="264"/>
      <c r="AR151" s="264" t="str">
        <f>VLOOKUP($I151,TableInputsData[],ReadMe!$M$3,FALSE)&amp;"  |  "&amp;VLOOKUP($K151,TableInputsData[],ReadMe!$M$3,FALSE)</f>
        <v>PRODUIT 04  |  PRIX MOYEN DE VENTE PAR PRODUIT/SERVICE</v>
      </c>
      <c r="AS151" s="264"/>
      <c r="AT151" s="294"/>
    </row>
    <row r="152" spans="1:46" ht="13" hidden="1" x14ac:dyDescent="0.2">
      <c r="A152" s="294"/>
      <c r="B152" s="925"/>
      <c r="C152" s="271">
        <v>145</v>
      </c>
      <c r="D152" s="250">
        <f t="shared" si="278"/>
        <v>0</v>
      </c>
      <c r="E152" s="250"/>
      <c r="F152" s="248" t="str">
        <f t="shared" si="300"/>
        <v>YEAR-1</v>
      </c>
      <c r="G152" s="250">
        <f>VLOOKUP(F152,TableInputsData[],$G$6,FALSE)</f>
        <v>2024</v>
      </c>
      <c r="H152" s="250" t="str">
        <f t="shared" si="279"/>
        <v>PRODUCT</v>
      </c>
      <c r="I152" s="248" t="str">
        <f t="shared" si="279"/>
        <v>PRODUCT 04</v>
      </c>
      <c r="J152" s="248" t="str">
        <f>VLOOKUP(I152,TableInputsData[],$J$6,FALSE)</f>
        <v>-</v>
      </c>
      <c r="K152" s="248" t="str">
        <f>K151</f>
        <v>AVERAGE SELLING PRICE PER UNIT</v>
      </c>
      <c r="L152" s="255"/>
      <c r="M152" s="255"/>
      <c r="N152" s="255"/>
      <c r="O152" s="265"/>
      <c r="P152" s="260"/>
      <c r="Q152" s="260"/>
      <c r="R152" s="260"/>
      <c r="S152" s="629"/>
      <c r="T152" s="629"/>
      <c r="U152" s="629"/>
      <c r="V152" s="630"/>
      <c r="W152" s="260"/>
      <c r="X152" s="260"/>
      <c r="Y152" s="260"/>
      <c r="Z152" s="260"/>
      <c r="AA152" s="260"/>
      <c r="AB152" s="260"/>
      <c r="AC152" s="265"/>
      <c r="AD152" s="634"/>
      <c r="AE152" s="264">
        <f>IF(AE136=0,0,AE144/AE136)</f>
        <v>0</v>
      </c>
      <c r="AF152" s="264">
        <f t="shared" ref="AF152:AM152" si="304">IF(AF136=0,0,AF144/AF136)</f>
        <v>0</v>
      </c>
      <c r="AG152" s="264">
        <f t="shared" si="304"/>
        <v>0</v>
      </c>
      <c r="AH152" s="264">
        <f t="shared" si="304"/>
        <v>0</v>
      </c>
      <c r="AI152" s="264">
        <f t="shared" si="304"/>
        <v>0</v>
      </c>
      <c r="AJ152" s="264">
        <f t="shared" si="304"/>
        <v>0</v>
      </c>
      <c r="AK152" s="264">
        <f t="shared" si="304"/>
        <v>0</v>
      </c>
      <c r="AL152" s="264">
        <f t="shared" si="304"/>
        <v>0</v>
      </c>
      <c r="AM152" s="264">
        <f t="shared" si="304"/>
        <v>0</v>
      </c>
      <c r="AN152" s="260"/>
      <c r="AO152" s="264">
        <f t="shared" ref="AO152" si="305">IF(AO136=0,0,AO144/AO136)</f>
        <v>0</v>
      </c>
      <c r="AP152" s="260"/>
      <c r="AQ152" s="264"/>
      <c r="AR152" s="264" t="str">
        <f>VLOOKUP($I152,TableInputsData[],ReadMe!$M$3,FALSE)&amp;"  |  "&amp;VLOOKUP($K152,TableInputsData[],ReadMe!$M$3,FALSE)</f>
        <v>PRODUIT 04  |  PRIX MOYEN DE VENTE PAR PRODUIT/SERVICE</v>
      </c>
      <c r="AS152" s="264"/>
      <c r="AT152" s="294"/>
    </row>
    <row r="153" spans="1:46" ht="13" hidden="1" x14ac:dyDescent="0.2">
      <c r="A153" s="294"/>
      <c r="B153" s="925"/>
      <c r="C153" s="271">
        <v>146</v>
      </c>
      <c r="D153" s="250">
        <f t="shared" si="278"/>
        <v>0</v>
      </c>
      <c r="E153" s="250"/>
      <c r="F153" s="248" t="str">
        <f t="shared" si="300"/>
        <v>CURRENT YEAR</v>
      </c>
      <c r="G153" s="250">
        <f>VLOOKUP(F153,TableInputsData[],$G$6,FALSE)</f>
        <v>2025</v>
      </c>
      <c r="H153" s="250" t="str">
        <f t="shared" si="279"/>
        <v>PRODUCT</v>
      </c>
      <c r="I153" s="248" t="str">
        <f t="shared" si="279"/>
        <v>PRODUCT 04</v>
      </c>
      <c r="J153" s="248" t="str">
        <f>VLOOKUP(I153,TableInputsData[],$J$6,FALSE)</f>
        <v>-</v>
      </c>
      <c r="K153" s="248" t="str">
        <f t="shared" ref="K153:K158" si="306">K152</f>
        <v>AVERAGE SELLING PRICE PER UNIT</v>
      </c>
      <c r="L153" s="255"/>
      <c r="M153" s="255"/>
      <c r="N153" s="255"/>
      <c r="O153" s="265"/>
      <c r="P153" s="260"/>
      <c r="Q153" s="260"/>
      <c r="R153" s="260"/>
      <c r="S153" s="629"/>
      <c r="T153" s="629"/>
      <c r="U153" s="629"/>
      <c r="V153" s="630"/>
      <c r="W153" s="260"/>
      <c r="X153" s="260"/>
      <c r="Y153" s="260"/>
      <c r="Z153" s="260"/>
      <c r="AA153" s="260"/>
      <c r="AB153" s="260"/>
      <c r="AC153" s="265"/>
      <c r="AD153" s="634"/>
      <c r="AE153" s="264">
        <f>IF(AE137=0,0,AE145/AE137)</f>
        <v>0</v>
      </c>
      <c r="AF153" s="264">
        <f t="shared" ref="AF153:AM153" si="307">IF(AF137=0,0,AF145/AF137)</f>
        <v>0</v>
      </c>
      <c r="AG153" s="264">
        <f t="shared" si="307"/>
        <v>0</v>
      </c>
      <c r="AH153" s="264">
        <f t="shared" si="307"/>
        <v>0</v>
      </c>
      <c r="AI153" s="264">
        <f t="shared" si="307"/>
        <v>0</v>
      </c>
      <c r="AJ153" s="264">
        <f t="shared" si="307"/>
        <v>0</v>
      </c>
      <c r="AK153" s="264">
        <f t="shared" si="307"/>
        <v>0</v>
      </c>
      <c r="AL153" s="264">
        <f t="shared" si="307"/>
        <v>0</v>
      </c>
      <c r="AM153" s="264">
        <f t="shared" si="307"/>
        <v>0</v>
      </c>
      <c r="AN153" s="260"/>
      <c r="AO153" s="264">
        <f t="shared" ref="AO153" si="308">IF(AO137=0,0,AO145/AO137)</f>
        <v>0</v>
      </c>
      <c r="AP153" s="260"/>
      <c r="AQ153" s="264"/>
      <c r="AR153" s="264" t="str">
        <f>VLOOKUP($I153,TableInputsData[],ReadMe!$M$3,FALSE)&amp;"  |  "&amp;VLOOKUP($K153,TableInputsData[],ReadMe!$M$3,FALSE)</f>
        <v>PRODUIT 04  |  PRIX MOYEN DE VENTE PAR PRODUIT/SERVICE</v>
      </c>
      <c r="AS153" s="264"/>
      <c r="AT153" s="294"/>
    </row>
    <row r="154" spans="1:46" ht="13" hidden="1" x14ac:dyDescent="0.2">
      <c r="A154" s="294"/>
      <c r="B154" s="925"/>
      <c r="C154" s="271">
        <v>147</v>
      </c>
      <c r="D154" s="250">
        <f t="shared" si="278"/>
        <v>0</v>
      </c>
      <c r="E154" s="250"/>
      <c r="F154" s="248" t="str">
        <f t="shared" si="300"/>
        <v>YEAR2</v>
      </c>
      <c r="G154" s="250">
        <f>VLOOKUP(F154,TableInputsData[],$G$6,FALSE)</f>
        <v>2026</v>
      </c>
      <c r="H154" s="250" t="str">
        <f t="shared" si="279"/>
        <v>PRODUCT</v>
      </c>
      <c r="I154" s="248" t="str">
        <f t="shared" si="279"/>
        <v>PRODUCT 04</v>
      </c>
      <c r="J154" s="248" t="str">
        <f>VLOOKUP(I154,TableInputsData[],$J$6,FALSE)</f>
        <v>-</v>
      </c>
      <c r="K154" s="248" t="str">
        <f t="shared" si="306"/>
        <v>AVERAGE SELLING PRICE PER UNIT</v>
      </c>
      <c r="L154" s="255"/>
      <c r="M154" s="255"/>
      <c r="N154" s="255"/>
      <c r="O154" s="265"/>
      <c r="P154" s="260"/>
      <c r="Q154" s="260"/>
      <c r="R154" s="260"/>
      <c r="S154" s="630"/>
      <c r="T154" s="630"/>
      <c r="U154" s="630"/>
      <c r="V154" s="630"/>
      <c r="W154" s="260"/>
      <c r="X154" s="260"/>
      <c r="Y154" s="260"/>
      <c r="Z154" s="260"/>
      <c r="AA154" s="260"/>
      <c r="AB154" s="260"/>
      <c r="AC154" s="265"/>
      <c r="AD154" s="634"/>
      <c r="AE154" s="264">
        <f>IF(AE138=0,0,AE146/AE138)</f>
        <v>0</v>
      </c>
      <c r="AF154" s="264">
        <f t="shared" ref="AF154:AM154" si="309">IF(AF138=0,0,AF146/AF138)</f>
        <v>0</v>
      </c>
      <c r="AG154" s="264">
        <f t="shared" si="309"/>
        <v>0</v>
      </c>
      <c r="AH154" s="264">
        <f t="shared" si="309"/>
        <v>0</v>
      </c>
      <c r="AI154" s="264">
        <f t="shared" si="309"/>
        <v>0</v>
      </c>
      <c r="AJ154" s="264">
        <f t="shared" si="309"/>
        <v>0</v>
      </c>
      <c r="AK154" s="264">
        <f t="shared" si="309"/>
        <v>0</v>
      </c>
      <c r="AL154" s="264">
        <f t="shared" si="309"/>
        <v>0</v>
      </c>
      <c r="AM154" s="264">
        <f t="shared" si="309"/>
        <v>0</v>
      </c>
      <c r="AN154" s="260"/>
      <c r="AO154" s="264">
        <f t="shared" ref="AO154" si="310">IF(AO138=0,0,AO146/AO138)</f>
        <v>0</v>
      </c>
      <c r="AP154" s="260"/>
      <c r="AQ154" s="264"/>
      <c r="AR154" s="264" t="str">
        <f>VLOOKUP($I154,TableInputsData[],ReadMe!$M$3,FALSE)&amp;"  |  "&amp;VLOOKUP($K154,TableInputsData[],ReadMe!$M$3,FALSE)</f>
        <v>PRODUIT 04  |  PRIX MOYEN DE VENTE PAR PRODUIT/SERVICE</v>
      </c>
      <c r="AS154" s="264"/>
      <c r="AT154" s="294"/>
    </row>
    <row r="155" spans="1:46" ht="13" hidden="1" x14ac:dyDescent="0.2">
      <c r="A155" s="294"/>
      <c r="B155" s="925"/>
      <c r="C155" s="271">
        <v>148</v>
      </c>
      <c r="D155" s="250">
        <f t="shared" si="278"/>
        <v>0</v>
      </c>
      <c r="E155" s="250"/>
      <c r="F155" s="248" t="str">
        <f t="shared" si="300"/>
        <v>YEAR3</v>
      </c>
      <c r="G155" s="250">
        <f>VLOOKUP(F155,TableInputsData[],$G$6,FALSE)</f>
        <v>2027</v>
      </c>
      <c r="H155" s="250" t="str">
        <f t="shared" si="279"/>
        <v>PRODUCT</v>
      </c>
      <c r="I155" s="248" t="str">
        <f t="shared" si="279"/>
        <v>PRODUCT 04</v>
      </c>
      <c r="J155" s="248" t="str">
        <f>VLOOKUP(I155,TableInputsData[],$J$6,FALSE)</f>
        <v>-</v>
      </c>
      <c r="K155" s="248" t="str">
        <f t="shared" si="306"/>
        <v>AVERAGE SELLING PRICE PER UNIT</v>
      </c>
      <c r="L155" s="255"/>
      <c r="M155" s="255"/>
      <c r="N155" s="255"/>
      <c r="O155" s="265"/>
      <c r="P155" s="260"/>
      <c r="Q155" s="260"/>
      <c r="R155" s="260"/>
      <c r="S155" s="630"/>
      <c r="T155" s="630"/>
      <c r="U155" s="630"/>
      <c r="V155" s="630"/>
      <c r="W155" s="260"/>
      <c r="X155" s="260"/>
      <c r="Y155" s="260"/>
      <c r="Z155" s="260"/>
      <c r="AA155" s="260"/>
      <c r="AB155" s="260"/>
      <c r="AC155" s="265"/>
      <c r="AD155" s="634"/>
      <c r="AE155" s="264">
        <f t="shared" ref="AE155:AM155" si="311">IF(AE139=0,0,AE147/AE139)</f>
        <v>0</v>
      </c>
      <c r="AF155" s="264">
        <f t="shared" si="311"/>
        <v>0</v>
      </c>
      <c r="AG155" s="264">
        <f t="shared" si="311"/>
        <v>0</v>
      </c>
      <c r="AH155" s="264">
        <f t="shared" si="311"/>
        <v>0</v>
      </c>
      <c r="AI155" s="264">
        <f t="shared" si="311"/>
        <v>0</v>
      </c>
      <c r="AJ155" s="264">
        <f t="shared" si="311"/>
        <v>0</v>
      </c>
      <c r="AK155" s="264">
        <f t="shared" si="311"/>
        <v>0</v>
      </c>
      <c r="AL155" s="264">
        <f t="shared" si="311"/>
        <v>0</v>
      </c>
      <c r="AM155" s="264">
        <f t="shared" si="311"/>
        <v>0</v>
      </c>
      <c r="AN155" s="260"/>
      <c r="AO155" s="264">
        <f t="shared" ref="AO155" si="312">IF(AO139=0,0,AO147/AO139)</f>
        <v>0</v>
      </c>
      <c r="AP155" s="260"/>
      <c r="AQ155" s="264"/>
      <c r="AR155" s="264" t="str">
        <f>VLOOKUP($I155,TableInputsData[],ReadMe!$M$3,FALSE)&amp;"  |  "&amp;VLOOKUP($K155,TableInputsData[],ReadMe!$M$3,FALSE)</f>
        <v>PRODUIT 04  |  PRIX MOYEN DE VENTE PAR PRODUIT/SERVICE</v>
      </c>
      <c r="AS155" s="264"/>
      <c r="AT155" s="294"/>
    </row>
    <row r="156" spans="1:46" ht="13" hidden="1" x14ac:dyDescent="0.2">
      <c r="A156" s="294"/>
      <c r="B156" s="925"/>
      <c r="C156" s="272">
        <v>149</v>
      </c>
      <c r="D156" s="250">
        <f t="shared" si="278"/>
        <v>0</v>
      </c>
      <c r="E156" s="251"/>
      <c r="F156" s="248" t="str">
        <f t="shared" si="300"/>
        <v>YEAR4</v>
      </c>
      <c r="G156" s="250">
        <f>VLOOKUP(F156,TableInputsData[],$G$6,FALSE)</f>
        <v>2028</v>
      </c>
      <c r="H156" s="250" t="str">
        <f t="shared" si="279"/>
        <v>PRODUCT</v>
      </c>
      <c r="I156" s="248" t="str">
        <f t="shared" si="279"/>
        <v>PRODUCT 04</v>
      </c>
      <c r="J156" s="248" t="str">
        <f>VLOOKUP(I156,TableInputsData[],$J$6,FALSE)</f>
        <v>-</v>
      </c>
      <c r="K156" s="248" t="str">
        <f t="shared" si="306"/>
        <v>AVERAGE SELLING PRICE PER UNIT</v>
      </c>
      <c r="L156" s="256"/>
      <c r="M156" s="256"/>
      <c r="N156" s="256"/>
      <c r="O156" s="266"/>
      <c r="P156" s="261"/>
      <c r="Q156" s="261"/>
      <c r="R156" s="261"/>
      <c r="S156" s="629"/>
      <c r="T156" s="629"/>
      <c r="U156" s="629"/>
      <c r="V156" s="629"/>
      <c r="W156" s="261"/>
      <c r="X156" s="261"/>
      <c r="Y156" s="261"/>
      <c r="Z156" s="261"/>
      <c r="AA156" s="261"/>
      <c r="AB156" s="261"/>
      <c r="AC156" s="266"/>
      <c r="AD156" s="633"/>
      <c r="AE156" s="264">
        <f t="shared" ref="AE156:AM156" si="313">IF(AE140=0,0,AE148/AE140)</f>
        <v>0</v>
      </c>
      <c r="AF156" s="264">
        <f t="shared" si="313"/>
        <v>0</v>
      </c>
      <c r="AG156" s="264">
        <f t="shared" si="313"/>
        <v>0</v>
      </c>
      <c r="AH156" s="264">
        <f t="shared" si="313"/>
        <v>0</v>
      </c>
      <c r="AI156" s="264">
        <f t="shared" si="313"/>
        <v>0</v>
      </c>
      <c r="AJ156" s="264">
        <f t="shared" si="313"/>
        <v>0</v>
      </c>
      <c r="AK156" s="264">
        <f t="shared" si="313"/>
        <v>0</v>
      </c>
      <c r="AL156" s="264">
        <f t="shared" si="313"/>
        <v>0</v>
      </c>
      <c r="AM156" s="264">
        <f t="shared" si="313"/>
        <v>0</v>
      </c>
      <c r="AN156" s="260"/>
      <c r="AO156" s="264">
        <f t="shared" ref="AO156" si="314">IF(AO140=0,0,AO148/AO140)</f>
        <v>0</v>
      </c>
      <c r="AP156" s="260"/>
      <c r="AQ156" s="264"/>
      <c r="AR156" s="264" t="str">
        <f>VLOOKUP($I156,TableInputsData[],ReadMe!$M$3,FALSE)&amp;"  |  "&amp;VLOOKUP($K156,TableInputsData[],ReadMe!$M$3,FALSE)</f>
        <v>PRODUIT 04  |  PRIX MOYEN DE VENTE PAR PRODUIT/SERVICE</v>
      </c>
      <c r="AS156" s="264"/>
      <c r="AT156" s="294"/>
    </row>
    <row r="157" spans="1:46" ht="13" hidden="1" x14ac:dyDescent="0.2">
      <c r="A157" s="294"/>
      <c r="B157" s="925"/>
      <c r="C157" s="271">
        <v>150</v>
      </c>
      <c r="D157" s="250">
        <f t="shared" si="278"/>
        <v>0</v>
      </c>
      <c r="E157" s="250"/>
      <c r="F157" s="248" t="str">
        <f t="shared" si="300"/>
        <v>YEAR5</v>
      </c>
      <c r="G157" s="250">
        <f>VLOOKUP(F157,TableInputsData[],$G$6,FALSE)</f>
        <v>2029</v>
      </c>
      <c r="H157" s="250" t="str">
        <f t="shared" si="279"/>
        <v>PRODUCT</v>
      </c>
      <c r="I157" s="248" t="str">
        <f t="shared" si="279"/>
        <v>PRODUCT 04</v>
      </c>
      <c r="J157" s="248" t="str">
        <f>VLOOKUP(I157,TableInputsData[],$J$6,FALSE)</f>
        <v>-</v>
      </c>
      <c r="K157" s="248" t="str">
        <f t="shared" si="306"/>
        <v>AVERAGE SELLING PRICE PER UNIT</v>
      </c>
      <c r="L157" s="255"/>
      <c r="M157" s="255"/>
      <c r="N157" s="255"/>
      <c r="O157" s="265"/>
      <c r="P157" s="260"/>
      <c r="Q157" s="260"/>
      <c r="R157" s="260"/>
      <c r="S157" s="630"/>
      <c r="T157" s="630"/>
      <c r="U157" s="630"/>
      <c r="V157" s="630"/>
      <c r="W157" s="260"/>
      <c r="X157" s="260"/>
      <c r="Y157" s="260"/>
      <c r="Z157" s="260"/>
      <c r="AA157" s="260"/>
      <c r="AB157" s="260"/>
      <c r="AC157" s="265"/>
      <c r="AD157" s="634"/>
      <c r="AE157" s="264">
        <f t="shared" ref="AE157:AM157" si="315">IF(AE141=0,0,AE149/AE141)</f>
        <v>0</v>
      </c>
      <c r="AF157" s="264">
        <f t="shared" si="315"/>
        <v>0</v>
      </c>
      <c r="AG157" s="264">
        <f t="shared" si="315"/>
        <v>0</v>
      </c>
      <c r="AH157" s="264">
        <f t="shared" si="315"/>
        <v>0</v>
      </c>
      <c r="AI157" s="264">
        <f t="shared" si="315"/>
        <v>0</v>
      </c>
      <c r="AJ157" s="264">
        <f t="shared" si="315"/>
        <v>0</v>
      </c>
      <c r="AK157" s="264">
        <f t="shared" si="315"/>
        <v>0</v>
      </c>
      <c r="AL157" s="264">
        <f t="shared" si="315"/>
        <v>0</v>
      </c>
      <c r="AM157" s="264">
        <f t="shared" si="315"/>
        <v>0</v>
      </c>
      <c r="AN157" s="260"/>
      <c r="AO157" s="264">
        <f t="shared" ref="AO157" si="316">IF(AO141=0,0,AO149/AO141)</f>
        <v>0</v>
      </c>
      <c r="AP157" s="260"/>
      <c r="AQ157" s="264"/>
      <c r="AR157" s="264" t="str">
        <f>VLOOKUP($I157,TableInputsData[],ReadMe!$M$3,FALSE)&amp;"  |  "&amp;VLOOKUP($K157,TableInputsData[],ReadMe!$M$3,FALSE)</f>
        <v>PRODUIT 04  |  PRIX MOYEN DE VENTE PAR PRODUIT/SERVICE</v>
      </c>
      <c r="AS157" s="264"/>
      <c r="AT157" s="294"/>
    </row>
    <row r="158" spans="1:46" ht="13" hidden="1" x14ac:dyDescent="0.2">
      <c r="A158" s="294"/>
      <c r="B158" s="925"/>
      <c r="C158" s="271">
        <v>151</v>
      </c>
      <c r="D158" s="250">
        <f t="shared" si="278"/>
        <v>0</v>
      </c>
      <c r="E158" s="250"/>
      <c r="F158" s="248" t="str">
        <f t="shared" si="300"/>
        <v>YEAR6</v>
      </c>
      <c r="G158" s="250">
        <f>VLOOKUP(F158,TableInputsData[],$G$6,FALSE)</f>
        <v>2030</v>
      </c>
      <c r="H158" s="250" t="str">
        <f t="shared" si="279"/>
        <v>PRODUCT</v>
      </c>
      <c r="I158" s="248" t="str">
        <f t="shared" si="279"/>
        <v>PRODUCT 04</v>
      </c>
      <c r="J158" s="248" t="str">
        <f>VLOOKUP(I158,TableInputsData[],$J$6,FALSE)</f>
        <v>-</v>
      </c>
      <c r="K158" s="248" t="str">
        <f t="shared" si="306"/>
        <v>AVERAGE SELLING PRICE PER UNIT</v>
      </c>
      <c r="L158" s="255"/>
      <c r="M158" s="255"/>
      <c r="N158" s="255"/>
      <c r="O158" s="265"/>
      <c r="P158" s="260"/>
      <c r="Q158" s="260"/>
      <c r="R158" s="260"/>
      <c r="S158" s="630"/>
      <c r="T158" s="630"/>
      <c r="U158" s="630"/>
      <c r="V158" s="630"/>
      <c r="W158" s="260"/>
      <c r="X158" s="260"/>
      <c r="Y158" s="260"/>
      <c r="Z158" s="260"/>
      <c r="AA158" s="260"/>
      <c r="AB158" s="260"/>
      <c r="AC158" s="265"/>
      <c r="AD158" s="634"/>
      <c r="AE158" s="264">
        <f t="shared" ref="AE158:AM158" si="317">IF(AE142=0,0,AE150/AE142)</f>
        <v>0</v>
      </c>
      <c r="AF158" s="264">
        <f t="shared" si="317"/>
        <v>0</v>
      </c>
      <c r="AG158" s="264">
        <f t="shared" si="317"/>
        <v>0</v>
      </c>
      <c r="AH158" s="264">
        <f t="shared" si="317"/>
        <v>0</v>
      </c>
      <c r="AI158" s="264">
        <f t="shared" si="317"/>
        <v>0</v>
      </c>
      <c r="AJ158" s="264">
        <f t="shared" si="317"/>
        <v>0</v>
      </c>
      <c r="AK158" s="264">
        <f t="shared" si="317"/>
        <v>0</v>
      </c>
      <c r="AL158" s="264">
        <f t="shared" si="317"/>
        <v>0</v>
      </c>
      <c r="AM158" s="264">
        <f t="shared" si="317"/>
        <v>0</v>
      </c>
      <c r="AN158" s="260"/>
      <c r="AO158" s="264">
        <f t="shared" ref="AO158" si="318">IF(AO142=0,0,AO150/AO142)</f>
        <v>0</v>
      </c>
      <c r="AP158" s="260"/>
      <c r="AQ158" s="264"/>
      <c r="AR158" s="264" t="str">
        <f>VLOOKUP($I158,TableInputsData[],ReadMe!$M$3,FALSE)&amp;"  |  "&amp;VLOOKUP($K158,TableInputsData[],ReadMe!$M$3,FALSE)</f>
        <v>PRODUIT 04  |  PRIX MOYEN DE VENTE PAR PRODUIT/SERVICE</v>
      </c>
      <c r="AS158" s="264"/>
      <c r="AT158" s="294"/>
    </row>
    <row r="159" spans="1:46" ht="13" hidden="1" x14ac:dyDescent="0.2">
      <c r="A159" s="294"/>
      <c r="B159" s="925"/>
      <c r="C159" s="272">
        <v>152</v>
      </c>
      <c r="D159" s="250">
        <f t="shared" si="278"/>
        <v>0</v>
      </c>
      <c r="E159" s="251"/>
      <c r="F159" s="248" t="str">
        <f t="shared" ref="F159:F166" si="319">F167</f>
        <v>YEAR-2</v>
      </c>
      <c r="G159" s="250">
        <f>VLOOKUP(F159,TableInputsData[],$G$6,FALSE)</f>
        <v>2023</v>
      </c>
      <c r="H159" s="250" t="str">
        <f t="shared" si="279"/>
        <v>PRODUCT</v>
      </c>
      <c r="I159" s="248" t="str">
        <f t="shared" si="279"/>
        <v>PRODUCT 04</v>
      </c>
      <c r="J159" s="248" t="str">
        <f>VLOOKUP(I159,TableInputsData[],$J$6,FALSE)</f>
        <v>-</v>
      </c>
      <c r="K159" s="248" t="s">
        <v>531</v>
      </c>
      <c r="L159" s="256"/>
      <c r="M159" s="256"/>
      <c r="N159" s="256"/>
      <c r="O159" s="266"/>
      <c r="P159" s="261"/>
      <c r="Q159" s="261"/>
      <c r="R159" s="261"/>
      <c r="S159" s="629"/>
      <c r="T159" s="629"/>
      <c r="U159" s="629"/>
      <c r="V159" s="629"/>
      <c r="W159" s="261"/>
      <c r="X159" s="261"/>
      <c r="Y159" s="261"/>
      <c r="Z159" s="261"/>
      <c r="AA159" s="261"/>
      <c r="AB159" s="261"/>
      <c r="AC159" s="266"/>
      <c r="AD159" s="633"/>
      <c r="AE159" s="264">
        <f>AE135*($S135*$P135+$T135*$Q135+$U135*$R135)</f>
        <v>0</v>
      </c>
      <c r="AF159" s="264">
        <f t="shared" ref="AF159:AH159" si="320">AF135*($S135*$P135+$T135*$Q135+$U135*$R135)</f>
        <v>0</v>
      </c>
      <c r="AG159" s="264">
        <f t="shared" si="320"/>
        <v>0</v>
      </c>
      <c r="AH159" s="264">
        <f t="shared" si="320"/>
        <v>0</v>
      </c>
      <c r="AI159" s="264">
        <f t="shared" ref="AI159:AI166" si="321">$AE159+$AF159+$AG159+$AH159</f>
        <v>0</v>
      </c>
      <c r="AJ159" s="264">
        <f t="shared" ref="AJ159:AJ166" si="322">$AJ135*$S135</f>
        <v>0</v>
      </c>
      <c r="AK159" s="264">
        <f t="shared" ref="AK159:AK166" si="323">$AK135*$T135</f>
        <v>0</v>
      </c>
      <c r="AL159" s="264">
        <f t="shared" ref="AL159:AL166" si="324">$AL135*$U135</f>
        <v>0</v>
      </c>
      <c r="AM159" s="264">
        <f t="shared" ref="AM159:AM166" si="325">$AJ159*$W135+$AK159*$X135+$AL159*$Y135</f>
        <v>0</v>
      </c>
      <c r="AN159" s="640">
        <f t="shared" ref="AN159:AN166" si="326">IF(AI159=0,0,AM159/AI159)</f>
        <v>0</v>
      </c>
      <c r="AO159" s="264">
        <f t="shared" ref="AO159:AO166" si="327">$AJ159*$Z135+$AK159*$AA135+$AL159*$AB135</f>
        <v>0</v>
      </c>
      <c r="AP159" s="640">
        <f t="shared" ref="AP159:AP166" si="328">IF(AI159=0,0,AO159/AI159)</f>
        <v>0</v>
      </c>
      <c r="AQ159" s="264"/>
      <c r="AR159" s="264" t="str">
        <f>VLOOKUP($I159,TableInputsData[],ReadMe!$M$3,FALSE)&amp;"  |  "&amp;VLOOKUP($K159,TableInputsData[],ReadMe!$M$3,FALSE)</f>
        <v>PRODUIT 04  |  DEPENSES SUR ACHATS</v>
      </c>
      <c r="AS159" s="264" t="b">
        <f t="shared" ref="AS159:AS166" si="329">AND(EXACT(ROUND(AI159,2),ROUND(AJ159+AK159+AL159,2)),EXACT(ROUND(AI159,2),ROUND(AM159+AO159,2)))</f>
        <v>1</v>
      </c>
      <c r="AT159" s="294"/>
    </row>
    <row r="160" spans="1:46" ht="13" hidden="1" x14ac:dyDescent="0.2">
      <c r="A160" s="294"/>
      <c r="B160" s="925"/>
      <c r="C160" s="271">
        <v>153</v>
      </c>
      <c r="D160" s="250">
        <f t="shared" si="278"/>
        <v>0</v>
      </c>
      <c r="E160" s="250"/>
      <c r="F160" s="248" t="str">
        <f t="shared" si="319"/>
        <v>YEAR-1</v>
      </c>
      <c r="G160" s="250">
        <f>VLOOKUP(F160,TableInputsData[],$G$6,FALSE)</f>
        <v>2024</v>
      </c>
      <c r="H160" s="250" t="str">
        <f t="shared" si="279"/>
        <v>PRODUCT</v>
      </c>
      <c r="I160" s="248" t="str">
        <f t="shared" si="279"/>
        <v>PRODUCT 04</v>
      </c>
      <c r="J160" s="248" t="str">
        <f>VLOOKUP(I160,TableInputsData[],$J$6,FALSE)</f>
        <v>-</v>
      </c>
      <c r="K160" s="248" t="str">
        <f>K159</f>
        <v>COST OF GOODS SOLD</v>
      </c>
      <c r="L160" s="255"/>
      <c r="M160" s="255"/>
      <c r="N160" s="255"/>
      <c r="O160" s="265"/>
      <c r="P160" s="260"/>
      <c r="Q160" s="260"/>
      <c r="R160" s="260"/>
      <c r="S160" s="630"/>
      <c r="T160" s="630"/>
      <c r="U160" s="630"/>
      <c r="V160" s="630"/>
      <c r="W160" s="260"/>
      <c r="X160" s="260"/>
      <c r="Y160" s="260"/>
      <c r="Z160" s="260"/>
      <c r="AA160" s="260"/>
      <c r="AB160" s="260"/>
      <c r="AC160" s="265"/>
      <c r="AD160" s="634"/>
      <c r="AE160" s="264">
        <f t="shared" ref="AE160:AH160" si="330">AE136*($S136*$P136+$T136*$Q136+$U136*$R136)</f>
        <v>0</v>
      </c>
      <c r="AF160" s="264">
        <f t="shared" si="330"/>
        <v>0</v>
      </c>
      <c r="AG160" s="264">
        <f t="shared" si="330"/>
        <v>0</v>
      </c>
      <c r="AH160" s="264">
        <f t="shared" si="330"/>
        <v>0</v>
      </c>
      <c r="AI160" s="264">
        <f t="shared" si="321"/>
        <v>0</v>
      </c>
      <c r="AJ160" s="264">
        <f t="shared" si="322"/>
        <v>0</v>
      </c>
      <c r="AK160" s="264">
        <f t="shared" si="323"/>
        <v>0</v>
      </c>
      <c r="AL160" s="264">
        <f t="shared" si="324"/>
        <v>0</v>
      </c>
      <c r="AM160" s="264">
        <f t="shared" si="325"/>
        <v>0</v>
      </c>
      <c r="AN160" s="640">
        <f t="shared" si="326"/>
        <v>0</v>
      </c>
      <c r="AO160" s="264">
        <f t="shared" si="327"/>
        <v>0</v>
      </c>
      <c r="AP160" s="640">
        <f t="shared" si="328"/>
        <v>0</v>
      </c>
      <c r="AQ160" s="264"/>
      <c r="AR160" s="264" t="str">
        <f>VLOOKUP($I160,TableInputsData[],ReadMe!$M$3,FALSE)&amp;"  |  "&amp;VLOOKUP($K160,TableInputsData[],ReadMe!$M$3,FALSE)</f>
        <v>PRODUIT 04  |  DEPENSES SUR ACHATS</v>
      </c>
      <c r="AS160" s="264" t="b">
        <f t="shared" si="329"/>
        <v>1</v>
      </c>
      <c r="AT160" s="294"/>
    </row>
    <row r="161" spans="1:46" ht="13" hidden="1" x14ac:dyDescent="0.2">
      <c r="A161" s="294"/>
      <c r="B161" s="925"/>
      <c r="C161" s="271">
        <v>154</v>
      </c>
      <c r="D161" s="250">
        <f t="shared" si="278"/>
        <v>0</v>
      </c>
      <c r="E161" s="250"/>
      <c r="F161" s="248" t="str">
        <f t="shared" si="319"/>
        <v>CURRENT YEAR</v>
      </c>
      <c r="G161" s="250">
        <f>VLOOKUP(F161,TableInputsData[],$G$6,FALSE)</f>
        <v>2025</v>
      </c>
      <c r="H161" s="250" t="str">
        <f t="shared" si="279"/>
        <v>PRODUCT</v>
      </c>
      <c r="I161" s="248" t="str">
        <f t="shared" si="279"/>
        <v>PRODUCT 04</v>
      </c>
      <c r="J161" s="248" t="str">
        <f>VLOOKUP(I161,TableInputsData[],$J$6,FALSE)</f>
        <v>-</v>
      </c>
      <c r="K161" s="248" t="str">
        <f t="shared" ref="K161:K166" si="331">K160</f>
        <v>COST OF GOODS SOLD</v>
      </c>
      <c r="L161" s="255"/>
      <c r="M161" s="255"/>
      <c r="N161" s="255"/>
      <c r="O161" s="265"/>
      <c r="P161" s="260"/>
      <c r="Q161" s="260"/>
      <c r="R161" s="260"/>
      <c r="S161" s="630"/>
      <c r="T161" s="630"/>
      <c r="U161" s="630"/>
      <c r="V161" s="630"/>
      <c r="W161" s="260"/>
      <c r="X161" s="260"/>
      <c r="Y161" s="260"/>
      <c r="Z161" s="260"/>
      <c r="AA161" s="260"/>
      <c r="AB161" s="260"/>
      <c r="AC161" s="265"/>
      <c r="AD161" s="634"/>
      <c r="AE161" s="264">
        <f t="shared" ref="AE161:AH161" si="332">AE137*($S137*$P137+$T137*$Q137+$U137*$R137)</f>
        <v>0</v>
      </c>
      <c r="AF161" s="264">
        <f t="shared" si="332"/>
        <v>0</v>
      </c>
      <c r="AG161" s="264">
        <f t="shared" si="332"/>
        <v>0</v>
      </c>
      <c r="AH161" s="264">
        <f t="shared" si="332"/>
        <v>0</v>
      </c>
      <c r="AI161" s="264">
        <f t="shared" si="321"/>
        <v>0</v>
      </c>
      <c r="AJ161" s="264">
        <f t="shared" si="322"/>
        <v>0</v>
      </c>
      <c r="AK161" s="264">
        <f t="shared" si="323"/>
        <v>0</v>
      </c>
      <c r="AL161" s="264">
        <f t="shared" si="324"/>
        <v>0</v>
      </c>
      <c r="AM161" s="264">
        <f t="shared" si="325"/>
        <v>0</v>
      </c>
      <c r="AN161" s="640">
        <f t="shared" si="326"/>
        <v>0</v>
      </c>
      <c r="AO161" s="264">
        <f t="shared" si="327"/>
        <v>0</v>
      </c>
      <c r="AP161" s="640">
        <f t="shared" si="328"/>
        <v>0</v>
      </c>
      <c r="AQ161" s="264"/>
      <c r="AR161" s="264" t="str">
        <f>VLOOKUP($I161,TableInputsData[],ReadMe!$M$3,FALSE)&amp;"  |  "&amp;VLOOKUP($K161,TableInputsData[],ReadMe!$M$3,FALSE)</f>
        <v>PRODUIT 04  |  DEPENSES SUR ACHATS</v>
      </c>
      <c r="AS161" s="264" t="b">
        <f t="shared" si="329"/>
        <v>1</v>
      </c>
      <c r="AT161" s="294"/>
    </row>
    <row r="162" spans="1:46" ht="13" hidden="1" x14ac:dyDescent="0.2">
      <c r="A162" s="294"/>
      <c r="B162" s="925"/>
      <c r="C162" s="271">
        <v>155</v>
      </c>
      <c r="D162" s="250">
        <f t="shared" si="278"/>
        <v>0</v>
      </c>
      <c r="E162" s="250"/>
      <c r="F162" s="248" t="str">
        <f t="shared" si="319"/>
        <v>YEAR2</v>
      </c>
      <c r="G162" s="250">
        <f>VLOOKUP(F162,TableInputsData[],$G$6,FALSE)</f>
        <v>2026</v>
      </c>
      <c r="H162" s="250" t="str">
        <f t="shared" si="279"/>
        <v>PRODUCT</v>
      </c>
      <c r="I162" s="248" t="str">
        <f t="shared" si="279"/>
        <v>PRODUCT 04</v>
      </c>
      <c r="J162" s="248" t="str">
        <f>VLOOKUP(I162,TableInputsData[],$J$6,FALSE)</f>
        <v>-</v>
      </c>
      <c r="K162" s="248" t="str">
        <f t="shared" si="331"/>
        <v>COST OF GOODS SOLD</v>
      </c>
      <c r="L162" s="255"/>
      <c r="M162" s="255"/>
      <c r="N162" s="255"/>
      <c r="O162" s="265"/>
      <c r="P162" s="260"/>
      <c r="Q162" s="260"/>
      <c r="R162" s="260"/>
      <c r="S162" s="630"/>
      <c r="T162" s="630"/>
      <c r="U162" s="630"/>
      <c r="V162" s="630"/>
      <c r="W162" s="260"/>
      <c r="X162" s="260"/>
      <c r="Y162" s="260"/>
      <c r="Z162" s="260"/>
      <c r="AA162" s="260"/>
      <c r="AB162" s="260"/>
      <c r="AC162" s="265"/>
      <c r="AD162" s="634"/>
      <c r="AE162" s="264">
        <f t="shared" ref="AE162:AH162" si="333">AE138*($S138*$P138+$T138*$Q138+$U138*$R138)</f>
        <v>0</v>
      </c>
      <c r="AF162" s="264">
        <f t="shared" si="333"/>
        <v>0</v>
      </c>
      <c r="AG162" s="264">
        <f t="shared" si="333"/>
        <v>0</v>
      </c>
      <c r="AH162" s="264">
        <f t="shared" si="333"/>
        <v>0</v>
      </c>
      <c r="AI162" s="264">
        <f t="shared" si="321"/>
        <v>0</v>
      </c>
      <c r="AJ162" s="264">
        <f t="shared" si="322"/>
        <v>0</v>
      </c>
      <c r="AK162" s="264">
        <f t="shared" si="323"/>
        <v>0</v>
      </c>
      <c r="AL162" s="264">
        <f t="shared" si="324"/>
        <v>0</v>
      </c>
      <c r="AM162" s="264">
        <f t="shared" si="325"/>
        <v>0</v>
      </c>
      <c r="AN162" s="640">
        <f t="shared" si="326"/>
        <v>0</v>
      </c>
      <c r="AO162" s="264">
        <f t="shared" si="327"/>
        <v>0</v>
      </c>
      <c r="AP162" s="640">
        <f t="shared" si="328"/>
        <v>0</v>
      </c>
      <c r="AQ162" s="264"/>
      <c r="AR162" s="264" t="str">
        <f>VLOOKUP($I162,TableInputsData[],ReadMe!$M$3,FALSE)&amp;"  |  "&amp;VLOOKUP($K162,TableInputsData[],ReadMe!$M$3,FALSE)</f>
        <v>PRODUIT 04  |  DEPENSES SUR ACHATS</v>
      </c>
      <c r="AS162" s="264" t="b">
        <f t="shared" si="329"/>
        <v>1</v>
      </c>
      <c r="AT162" s="294"/>
    </row>
    <row r="163" spans="1:46" ht="13" hidden="1" x14ac:dyDescent="0.2">
      <c r="A163" s="294"/>
      <c r="B163" s="925"/>
      <c r="C163" s="271">
        <v>156</v>
      </c>
      <c r="D163" s="250">
        <f t="shared" si="278"/>
        <v>0</v>
      </c>
      <c r="E163" s="250"/>
      <c r="F163" s="248" t="str">
        <f t="shared" si="319"/>
        <v>YEAR3</v>
      </c>
      <c r="G163" s="250">
        <f>VLOOKUP(F163,TableInputsData[],$G$6,FALSE)</f>
        <v>2027</v>
      </c>
      <c r="H163" s="250" t="str">
        <f t="shared" si="279"/>
        <v>PRODUCT</v>
      </c>
      <c r="I163" s="248" t="str">
        <f t="shared" si="279"/>
        <v>PRODUCT 04</v>
      </c>
      <c r="J163" s="248" t="str">
        <f>VLOOKUP(I163,TableInputsData[],$J$6,FALSE)</f>
        <v>-</v>
      </c>
      <c r="K163" s="248" t="str">
        <f t="shared" si="331"/>
        <v>COST OF GOODS SOLD</v>
      </c>
      <c r="L163" s="255"/>
      <c r="M163" s="255"/>
      <c r="N163" s="255"/>
      <c r="O163" s="265"/>
      <c r="P163" s="260"/>
      <c r="Q163" s="260"/>
      <c r="R163" s="260"/>
      <c r="S163" s="630"/>
      <c r="T163" s="630"/>
      <c r="U163" s="630"/>
      <c r="V163" s="630"/>
      <c r="W163" s="260"/>
      <c r="X163" s="260"/>
      <c r="Y163" s="260"/>
      <c r="Z163" s="260"/>
      <c r="AA163" s="260"/>
      <c r="AB163" s="260"/>
      <c r="AC163" s="265"/>
      <c r="AD163" s="634"/>
      <c r="AE163" s="264">
        <f t="shared" ref="AE163:AH163" si="334">AE139*($S139*$P139+$T139*$Q139+$U139*$R139)</f>
        <v>0</v>
      </c>
      <c r="AF163" s="264">
        <f t="shared" si="334"/>
        <v>0</v>
      </c>
      <c r="AG163" s="264">
        <f t="shared" si="334"/>
        <v>0</v>
      </c>
      <c r="AH163" s="264">
        <f t="shared" si="334"/>
        <v>0</v>
      </c>
      <c r="AI163" s="264">
        <f t="shared" si="321"/>
        <v>0</v>
      </c>
      <c r="AJ163" s="264">
        <f t="shared" si="322"/>
        <v>0</v>
      </c>
      <c r="AK163" s="264">
        <f t="shared" si="323"/>
        <v>0</v>
      </c>
      <c r="AL163" s="264">
        <f t="shared" si="324"/>
        <v>0</v>
      </c>
      <c r="AM163" s="264">
        <f t="shared" si="325"/>
        <v>0</v>
      </c>
      <c r="AN163" s="640">
        <f t="shared" si="326"/>
        <v>0</v>
      </c>
      <c r="AO163" s="264">
        <f t="shared" si="327"/>
        <v>0</v>
      </c>
      <c r="AP163" s="640">
        <f t="shared" si="328"/>
        <v>0</v>
      </c>
      <c r="AQ163" s="264"/>
      <c r="AR163" s="264" t="str">
        <f>VLOOKUP($I163,TableInputsData[],ReadMe!$M$3,FALSE)&amp;"  |  "&amp;VLOOKUP($K163,TableInputsData[],ReadMe!$M$3,FALSE)</f>
        <v>PRODUIT 04  |  DEPENSES SUR ACHATS</v>
      </c>
      <c r="AS163" s="264" t="b">
        <f t="shared" si="329"/>
        <v>1</v>
      </c>
      <c r="AT163" s="294"/>
    </row>
    <row r="164" spans="1:46" ht="13" hidden="1" x14ac:dyDescent="0.2">
      <c r="A164" s="294"/>
      <c r="B164" s="925"/>
      <c r="C164" s="271">
        <v>157</v>
      </c>
      <c r="D164" s="250">
        <f t="shared" si="278"/>
        <v>0</v>
      </c>
      <c r="E164" s="250"/>
      <c r="F164" s="248" t="str">
        <f t="shared" si="319"/>
        <v>YEAR4</v>
      </c>
      <c r="G164" s="250">
        <f>VLOOKUP(F164,TableInputsData[],$G$6,FALSE)</f>
        <v>2028</v>
      </c>
      <c r="H164" s="250" t="str">
        <f t="shared" si="279"/>
        <v>PRODUCT</v>
      </c>
      <c r="I164" s="248" t="str">
        <f t="shared" si="279"/>
        <v>PRODUCT 04</v>
      </c>
      <c r="J164" s="248" t="str">
        <f>VLOOKUP(I164,TableInputsData[],$J$6,FALSE)</f>
        <v>-</v>
      </c>
      <c r="K164" s="248" t="str">
        <f t="shared" si="331"/>
        <v>COST OF GOODS SOLD</v>
      </c>
      <c r="L164" s="255"/>
      <c r="M164" s="255"/>
      <c r="N164" s="255"/>
      <c r="O164" s="265"/>
      <c r="P164" s="260"/>
      <c r="Q164" s="260"/>
      <c r="R164" s="260"/>
      <c r="S164" s="630"/>
      <c r="T164" s="630"/>
      <c r="U164" s="630"/>
      <c r="V164" s="630"/>
      <c r="W164" s="260"/>
      <c r="X164" s="260"/>
      <c r="Y164" s="260"/>
      <c r="Z164" s="260"/>
      <c r="AA164" s="260"/>
      <c r="AB164" s="260"/>
      <c r="AC164" s="265"/>
      <c r="AD164" s="634"/>
      <c r="AE164" s="264">
        <f t="shared" ref="AE164:AH164" si="335">AE140*($S140*$P140+$T140*$Q140+$U140*$R140)</f>
        <v>0</v>
      </c>
      <c r="AF164" s="264">
        <f t="shared" si="335"/>
        <v>0</v>
      </c>
      <c r="AG164" s="264">
        <f t="shared" si="335"/>
        <v>0</v>
      </c>
      <c r="AH164" s="264">
        <f t="shared" si="335"/>
        <v>0</v>
      </c>
      <c r="AI164" s="264">
        <f t="shared" si="321"/>
        <v>0</v>
      </c>
      <c r="AJ164" s="264">
        <f t="shared" si="322"/>
        <v>0</v>
      </c>
      <c r="AK164" s="264">
        <f t="shared" si="323"/>
        <v>0</v>
      </c>
      <c r="AL164" s="264">
        <f t="shared" si="324"/>
        <v>0</v>
      </c>
      <c r="AM164" s="264">
        <f t="shared" si="325"/>
        <v>0</v>
      </c>
      <c r="AN164" s="640">
        <f t="shared" si="326"/>
        <v>0</v>
      </c>
      <c r="AO164" s="264">
        <f t="shared" si="327"/>
        <v>0</v>
      </c>
      <c r="AP164" s="640">
        <f t="shared" si="328"/>
        <v>0</v>
      </c>
      <c r="AQ164" s="264"/>
      <c r="AR164" s="264" t="str">
        <f>VLOOKUP($I164,TableInputsData[],ReadMe!$M$3,FALSE)&amp;"  |  "&amp;VLOOKUP($K164,TableInputsData[],ReadMe!$M$3,FALSE)</f>
        <v>PRODUIT 04  |  DEPENSES SUR ACHATS</v>
      </c>
      <c r="AS164" s="264" t="b">
        <f t="shared" si="329"/>
        <v>1</v>
      </c>
      <c r="AT164" s="294"/>
    </row>
    <row r="165" spans="1:46" ht="13" hidden="1" x14ac:dyDescent="0.2">
      <c r="A165" s="294"/>
      <c r="B165" s="925"/>
      <c r="C165" s="271">
        <v>158</v>
      </c>
      <c r="D165" s="250">
        <f t="shared" si="278"/>
        <v>0</v>
      </c>
      <c r="E165" s="250"/>
      <c r="F165" s="248" t="str">
        <f t="shared" si="319"/>
        <v>YEAR5</v>
      </c>
      <c r="G165" s="250">
        <f>VLOOKUP(F165,TableInputsData[],$G$6,FALSE)</f>
        <v>2029</v>
      </c>
      <c r="H165" s="250" t="str">
        <f t="shared" si="279"/>
        <v>PRODUCT</v>
      </c>
      <c r="I165" s="248" t="str">
        <f t="shared" si="279"/>
        <v>PRODUCT 04</v>
      </c>
      <c r="J165" s="248" t="str">
        <f>VLOOKUP(I165,TableInputsData[],$J$6,FALSE)</f>
        <v>-</v>
      </c>
      <c r="K165" s="248" t="str">
        <f t="shared" si="331"/>
        <v>COST OF GOODS SOLD</v>
      </c>
      <c r="L165" s="255"/>
      <c r="M165" s="255"/>
      <c r="N165" s="255"/>
      <c r="O165" s="265"/>
      <c r="P165" s="260"/>
      <c r="Q165" s="260"/>
      <c r="R165" s="260"/>
      <c r="S165" s="630"/>
      <c r="T165" s="630"/>
      <c r="U165" s="630"/>
      <c r="V165" s="630"/>
      <c r="W165" s="260"/>
      <c r="X165" s="260"/>
      <c r="Y165" s="260"/>
      <c r="Z165" s="260"/>
      <c r="AA165" s="260"/>
      <c r="AB165" s="260"/>
      <c r="AC165" s="265"/>
      <c r="AD165" s="634"/>
      <c r="AE165" s="264">
        <f t="shared" ref="AE165:AH165" si="336">AE141*($S141*$P141+$T141*$Q141+$U141*$R141)</f>
        <v>0</v>
      </c>
      <c r="AF165" s="264">
        <f t="shared" si="336"/>
        <v>0</v>
      </c>
      <c r="AG165" s="264">
        <f t="shared" si="336"/>
        <v>0</v>
      </c>
      <c r="AH165" s="264">
        <f t="shared" si="336"/>
        <v>0</v>
      </c>
      <c r="AI165" s="264">
        <f t="shared" si="321"/>
        <v>0</v>
      </c>
      <c r="AJ165" s="264">
        <f t="shared" si="322"/>
        <v>0</v>
      </c>
      <c r="AK165" s="264">
        <f t="shared" si="323"/>
        <v>0</v>
      </c>
      <c r="AL165" s="264">
        <f t="shared" si="324"/>
        <v>0</v>
      </c>
      <c r="AM165" s="264">
        <f t="shared" si="325"/>
        <v>0</v>
      </c>
      <c r="AN165" s="640">
        <f t="shared" si="326"/>
        <v>0</v>
      </c>
      <c r="AO165" s="264">
        <f t="shared" si="327"/>
        <v>0</v>
      </c>
      <c r="AP165" s="640">
        <f t="shared" si="328"/>
        <v>0</v>
      </c>
      <c r="AQ165" s="264"/>
      <c r="AR165" s="264" t="str">
        <f>VLOOKUP($I165,TableInputsData[],ReadMe!$M$3,FALSE)&amp;"  |  "&amp;VLOOKUP($K165,TableInputsData[],ReadMe!$M$3,FALSE)</f>
        <v>PRODUIT 04  |  DEPENSES SUR ACHATS</v>
      </c>
      <c r="AS165" s="264" t="b">
        <f t="shared" si="329"/>
        <v>1</v>
      </c>
      <c r="AT165" s="294"/>
    </row>
    <row r="166" spans="1:46" ht="13" hidden="1" x14ac:dyDescent="0.2">
      <c r="A166" s="294"/>
      <c r="B166" s="925"/>
      <c r="C166" s="271">
        <v>159</v>
      </c>
      <c r="D166" s="250">
        <f t="shared" si="278"/>
        <v>0</v>
      </c>
      <c r="E166" s="250"/>
      <c r="F166" s="248" t="str">
        <f t="shared" si="319"/>
        <v>YEAR6</v>
      </c>
      <c r="G166" s="250">
        <f>VLOOKUP(F166,TableInputsData[],$G$6,FALSE)</f>
        <v>2030</v>
      </c>
      <c r="H166" s="250" t="str">
        <f t="shared" si="279"/>
        <v>PRODUCT</v>
      </c>
      <c r="I166" s="248" t="str">
        <f t="shared" si="279"/>
        <v>PRODUCT 04</v>
      </c>
      <c r="J166" s="248" t="str">
        <f>VLOOKUP(I166,TableInputsData[],$J$6,FALSE)</f>
        <v>-</v>
      </c>
      <c r="K166" s="248" t="str">
        <f t="shared" si="331"/>
        <v>COST OF GOODS SOLD</v>
      </c>
      <c r="L166" s="255"/>
      <c r="M166" s="255"/>
      <c r="N166" s="255"/>
      <c r="O166" s="265"/>
      <c r="P166" s="260"/>
      <c r="Q166" s="260"/>
      <c r="R166" s="260"/>
      <c r="S166" s="630"/>
      <c r="T166" s="630"/>
      <c r="U166" s="630"/>
      <c r="V166" s="630"/>
      <c r="W166" s="260"/>
      <c r="X166" s="260"/>
      <c r="Y166" s="260"/>
      <c r="Z166" s="260"/>
      <c r="AA166" s="260"/>
      <c r="AB166" s="260"/>
      <c r="AC166" s="265"/>
      <c r="AD166" s="634"/>
      <c r="AE166" s="264">
        <f t="shared" ref="AE166:AH166" si="337">AE142*($S142*$P142+$T142*$Q142+$U142*$R142)</f>
        <v>0</v>
      </c>
      <c r="AF166" s="264">
        <f t="shared" si="337"/>
        <v>0</v>
      </c>
      <c r="AG166" s="264">
        <f t="shared" si="337"/>
        <v>0</v>
      </c>
      <c r="AH166" s="264">
        <f t="shared" si="337"/>
        <v>0</v>
      </c>
      <c r="AI166" s="264">
        <f t="shared" si="321"/>
        <v>0</v>
      </c>
      <c r="AJ166" s="264">
        <f t="shared" si="322"/>
        <v>0</v>
      </c>
      <c r="AK166" s="264">
        <f t="shared" si="323"/>
        <v>0</v>
      </c>
      <c r="AL166" s="264">
        <f t="shared" si="324"/>
        <v>0</v>
      </c>
      <c r="AM166" s="264">
        <f t="shared" si="325"/>
        <v>0</v>
      </c>
      <c r="AN166" s="640">
        <f t="shared" si="326"/>
        <v>0</v>
      </c>
      <c r="AO166" s="264">
        <f t="shared" si="327"/>
        <v>0</v>
      </c>
      <c r="AP166" s="640">
        <f t="shared" si="328"/>
        <v>0</v>
      </c>
      <c r="AQ166" s="264"/>
      <c r="AR166" s="264" t="str">
        <f>VLOOKUP($I166,TableInputsData[],ReadMe!$M$3,FALSE)&amp;"  |  "&amp;VLOOKUP($K166,TableInputsData[],ReadMe!$M$3,FALSE)</f>
        <v>PRODUIT 04  |  DEPENSES SUR ACHATS</v>
      </c>
      <c r="AS166" s="264" t="b">
        <f t="shared" si="329"/>
        <v>1</v>
      </c>
      <c r="AT166" s="294"/>
    </row>
    <row r="167" spans="1:46" ht="13" hidden="1" x14ac:dyDescent="0.2">
      <c r="A167" s="294"/>
      <c r="B167" s="925"/>
      <c r="C167" s="272">
        <v>160</v>
      </c>
      <c r="D167" s="250">
        <f t="shared" si="278"/>
        <v>0</v>
      </c>
      <c r="E167" s="251"/>
      <c r="F167" s="248" t="str">
        <f t="shared" ref="F167:F174" si="338">F143</f>
        <v>YEAR-2</v>
      </c>
      <c r="G167" s="250">
        <f>VLOOKUP(F167,TableInputsData[],$G$6,FALSE)</f>
        <v>2023</v>
      </c>
      <c r="H167" s="250" t="str">
        <f t="shared" si="279"/>
        <v>PRODUCT</v>
      </c>
      <c r="I167" s="248" t="str">
        <f t="shared" si="279"/>
        <v>PRODUCT 04</v>
      </c>
      <c r="J167" s="248" t="str">
        <f>VLOOKUP(I167,TableInputsData[],$J$6,FALSE)</f>
        <v>-</v>
      </c>
      <c r="K167" s="248" t="s">
        <v>532</v>
      </c>
      <c r="L167" s="256"/>
      <c r="M167" s="256"/>
      <c r="N167" s="256"/>
      <c r="O167" s="266"/>
      <c r="P167" s="261"/>
      <c r="Q167" s="261"/>
      <c r="R167" s="261"/>
      <c r="S167" s="629"/>
      <c r="T167" s="629"/>
      <c r="U167" s="629"/>
      <c r="V167" s="629"/>
      <c r="W167" s="261"/>
      <c r="X167" s="261"/>
      <c r="Y167" s="261"/>
      <c r="Z167" s="261"/>
      <c r="AA167" s="261"/>
      <c r="AB167" s="261"/>
      <c r="AC167" s="266"/>
      <c r="AD167" s="633"/>
      <c r="AE167" s="264">
        <f>IF(AE135=0,0,AE159/AE135)</f>
        <v>0</v>
      </c>
      <c r="AF167" s="264">
        <f t="shared" ref="AF167:AI167" si="339">IF(AF135=0,0,AF159/AF135)</f>
        <v>0</v>
      </c>
      <c r="AG167" s="264">
        <f t="shared" si="339"/>
        <v>0</v>
      </c>
      <c r="AH167" s="264">
        <f t="shared" si="339"/>
        <v>0</v>
      </c>
      <c r="AI167" s="264">
        <f t="shared" si="339"/>
        <v>0</v>
      </c>
      <c r="AJ167" s="264">
        <f>IF(AJ135=0,0,AJ159/AJ135)</f>
        <v>0</v>
      </c>
      <c r="AK167" s="264">
        <f t="shared" ref="AK167:AL167" si="340">IF(AK135=0,0,AK159/AK135)</f>
        <v>0</v>
      </c>
      <c r="AL167" s="264">
        <f t="shared" si="340"/>
        <v>0</v>
      </c>
      <c r="AM167" s="264">
        <f>IF(AM135=0,0,AM159/AM135)</f>
        <v>0</v>
      </c>
      <c r="AN167" s="260"/>
      <c r="AO167" s="264">
        <f t="shared" ref="AO167" si="341">IF(AO135=0,0,AO159/AO135)</f>
        <v>0</v>
      </c>
      <c r="AP167" s="260"/>
      <c r="AQ167" s="264"/>
      <c r="AR167" s="264" t="str">
        <f>VLOOKUP($I167,TableInputsData[],ReadMe!$M$3,FALSE)&amp;"  |  "&amp;VLOOKUP($K167,TableInputsData[],ReadMe!$M$3,FALSE)</f>
        <v>PRODUIT 04  |  PRIX MOYEN D'ACHAT PAR PRODUIT/SERVICE</v>
      </c>
      <c r="AS167" s="264"/>
      <c r="AT167" s="294"/>
    </row>
    <row r="168" spans="1:46" ht="13" hidden="1" x14ac:dyDescent="0.2">
      <c r="A168" s="294"/>
      <c r="B168" s="925"/>
      <c r="C168" s="272">
        <v>161</v>
      </c>
      <c r="D168" s="250">
        <f t="shared" si="278"/>
        <v>0</v>
      </c>
      <c r="E168" s="251"/>
      <c r="F168" s="248" t="str">
        <f t="shared" si="338"/>
        <v>YEAR-1</v>
      </c>
      <c r="G168" s="250">
        <f>VLOOKUP(F168,TableInputsData[],$G$6,FALSE)</f>
        <v>2024</v>
      </c>
      <c r="H168" s="250" t="str">
        <f t="shared" si="279"/>
        <v>PRODUCT</v>
      </c>
      <c r="I168" s="248" t="str">
        <f t="shared" si="279"/>
        <v>PRODUCT 04</v>
      </c>
      <c r="J168" s="248" t="str">
        <f>VLOOKUP(I168,TableInputsData[],$J$6,FALSE)</f>
        <v>-</v>
      </c>
      <c r="K168" s="248" t="str">
        <f>K167</f>
        <v>AVERAGE COST OF GOODS SOLD PER UNIT</v>
      </c>
      <c r="L168" s="256"/>
      <c r="M168" s="256"/>
      <c r="N168" s="256"/>
      <c r="O168" s="266"/>
      <c r="P168" s="261"/>
      <c r="Q168" s="261"/>
      <c r="R168" s="261"/>
      <c r="S168" s="629"/>
      <c r="T168" s="629"/>
      <c r="U168" s="629"/>
      <c r="V168" s="629"/>
      <c r="W168" s="261"/>
      <c r="X168" s="261"/>
      <c r="Y168" s="261"/>
      <c r="Z168" s="261"/>
      <c r="AA168" s="261"/>
      <c r="AB168" s="261"/>
      <c r="AC168" s="266"/>
      <c r="AD168" s="633"/>
      <c r="AE168" s="264">
        <f t="shared" ref="AE168:AL168" si="342">IF(AE136=0,0,AE160/AE136)</f>
        <v>0</v>
      </c>
      <c r="AF168" s="264">
        <f t="shared" si="342"/>
        <v>0</v>
      </c>
      <c r="AG168" s="264">
        <f t="shared" si="342"/>
        <v>0</v>
      </c>
      <c r="AH168" s="264">
        <f t="shared" si="342"/>
        <v>0</v>
      </c>
      <c r="AI168" s="264">
        <f t="shared" si="342"/>
        <v>0</v>
      </c>
      <c r="AJ168" s="264">
        <f t="shared" si="342"/>
        <v>0</v>
      </c>
      <c r="AK168" s="264">
        <f t="shared" si="342"/>
        <v>0</v>
      </c>
      <c r="AL168" s="264">
        <f t="shared" si="342"/>
        <v>0</v>
      </c>
      <c r="AM168" s="264">
        <f>IF(AM136=0,0,AM160/AM136)</f>
        <v>0</v>
      </c>
      <c r="AN168" s="260"/>
      <c r="AO168" s="264">
        <f>IF(AO136=0,0,AO160/AO136)</f>
        <v>0</v>
      </c>
      <c r="AP168" s="260"/>
      <c r="AQ168" s="264"/>
      <c r="AR168" s="264" t="str">
        <f>VLOOKUP($I168,TableInputsData[],ReadMe!$M$3,FALSE)&amp;"  |  "&amp;VLOOKUP($K168,TableInputsData[],ReadMe!$M$3,FALSE)</f>
        <v>PRODUIT 04  |  PRIX MOYEN D'ACHAT PAR PRODUIT/SERVICE</v>
      </c>
      <c r="AS168" s="264"/>
      <c r="AT168" s="294"/>
    </row>
    <row r="169" spans="1:46" ht="13" hidden="1" x14ac:dyDescent="0.2">
      <c r="A169" s="294"/>
      <c r="B169" s="925"/>
      <c r="C169" s="272">
        <v>162</v>
      </c>
      <c r="D169" s="250">
        <f t="shared" si="278"/>
        <v>0</v>
      </c>
      <c r="E169" s="251"/>
      <c r="F169" s="248" t="str">
        <f t="shared" si="338"/>
        <v>CURRENT YEAR</v>
      </c>
      <c r="G169" s="250">
        <f>VLOOKUP(F169,TableInputsData[],$G$6,FALSE)</f>
        <v>2025</v>
      </c>
      <c r="H169" s="250" t="str">
        <f t="shared" si="279"/>
        <v>PRODUCT</v>
      </c>
      <c r="I169" s="248" t="str">
        <f t="shared" si="279"/>
        <v>PRODUCT 04</v>
      </c>
      <c r="J169" s="248" t="str">
        <f>VLOOKUP(I169,TableInputsData[],$J$6,FALSE)</f>
        <v>-</v>
      </c>
      <c r="K169" s="248" t="str">
        <f t="shared" ref="K169:K174" si="343">K168</f>
        <v>AVERAGE COST OF GOODS SOLD PER UNIT</v>
      </c>
      <c r="L169" s="256"/>
      <c r="M169" s="256"/>
      <c r="N169" s="256"/>
      <c r="O169" s="266"/>
      <c r="P169" s="261"/>
      <c r="Q169" s="261"/>
      <c r="R169" s="261"/>
      <c r="S169" s="629"/>
      <c r="T169" s="629"/>
      <c r="U169" s="629"/>
      <c r="V169" s="629"/>
      <c r="W169" s="261"/>
      <c r="X169" s="261"/>
      <c r="Y169" s="261"/>
      <c r="Z169" s="261"/>
      <c r="AA169" s="261"/>
      <c r="AB169" s="261"/>
      <c r="AC169" s="266"/>
      <c r="AD169" s="633"/>
      <c r="AE169" s="264">
        <f t="shared" ref="AE169:AL169" si="344">IF(AE137=0,0,AE161/AE137)</f>
        <v>0</v>
      </c>
      <c r="AF169" s="264">
        <f t="shared" si="344"/>
        <v>0</v>
      </c>
      <c r="AG169" s="264">
        <f t="shared" si="344"/>
        <v>0</v>
      </c>
      <c r="AH169" s="264">
        <f t="shared" si="344"/>
        <v>0</v>
      </c>
      <c r="AI169" s="264">
        <f t="shared" si="344"/>
        <v>0</v>
      </c>
      <c r="AJ169" s="264">
        <f t="shared" si="344"/>
        <v>0</v>
      </c>
      <c r="AK169" s="264">
        <f t="shared" si="344"/>
        <v>0</v>
      </c>
      <c r="AL169" s="264">
        <f t="shared" si="344"/>
        <v>0</v>
      </c>
      <c r="AM169" s="264">
        <f>IF(AM137=0,0,AM161/AM137)</f>
        <v>0</v>
      </c>
      <c r="AN169" s="260"/>
      <c r="AO169" s="264">
        <f>IF(AO137=0,0,AO161/AO137)</f>
        <v>0</v>
      </c>
      <c r="AP169" s="260"/>
      <c r="AQ169" s="264"/>
      <c r="AR169" s="264" t="str">
        <f>VLOOKUP($I169,TableInputsData[],ReadMe!$M$3,FALSE)&amp;"  |  "&amp;VLOOKUP($K169,TableInputsData[],ReadMe!$M$3,FALSE)</f>
        <v>PRODUIT 04  |  PRIX MOYEN D'ACHAT PAR PRODUIT/SERVICE</v>
      </c>
      <c r="AS169" s="264"/>
      <c r="AT169" s="294"/>
    </row>
    <row r="170" spans="1:46" ht="13" hidden="1" x14ac:dyDescent="0.2">
      <c r="A170" s="294"/>
      <c r="B170" s="925"/>
      <c r="C170" s="272">
        <v>163</v>
      </c>
      <c r="D170" s="250">
        <f t="shared" si="278"/>
        <v>0</v>
      </c>
      <c r="E170" s="251"/>
      <c r="F170" s="248" t="str">
        <f t="shared" si="338"/>
        <v>YEAR2</v>
      </c>
      <c r="G170" s="250">
        <f>VLOOKUP(F170,TableInputsData[],$G$6,FALSE)</f>
        <v>2026</v>
      </c>
      <c r="H170" s="250" t="str">
        <f t="shared" si="279"/>
        <v>PRODUCT</v>
      </c>
      <c r="I170" s="248" t="str">
        <f t="shared" si="279"/>
        <v>PRODUCT 04</v>
      </c>
      <c r="J170" s="248" t="str">
        <f>VLOOKUP(I170,TableInputsData[],$J$6,FALSE)</f>
        <v>-</v>
      </c>
      <c r="K170" s="248" t="str">
        <f t="shared" si="343"/>
        <v>AVERAGE COST OF GOODS SOLD PER UNIT</v>
      </c>
      <c r="L170" s="256"/>
      <c r="M170" s="256"/>
      <c r="N170" s="256"/>
      <c r="O170" s="266"/>
      <c r="P170" s="261"/>
      <c r="Q170" s="261"/>
      <c r="R170" s="261"/>
      <c r="S170" s="629"/>
      <c r="T170" s="629"/>
      <c r="U170" s="629"/>
      <c r="V170" s="629"/>
      <c r="W170" s="261"/>
      <c r="X170" s="261"/>
      <c r="Y170" s="261"/>
      <c r="Z170" s="261"/>
      <c r="AA170" s="261"/>
      <c r="AB170" s="261"/>
      <c r="AC170" s="266"/>
      <c r="AD170" s="633"/>
      <c r="AE170" s="264">
        <f t="shared" ref="AE170:AM170" si="345">IF(AE138=0,0,AE162/AE138)</f>
        <v>0</v>
      </c>
      <c r="AF170" s="264">
        <f t="shared" si="345"/>
        <v>0</v>
      </c>
      <c r="AG170" s="264">
        <f t="shared" si="345"/>
        <v>0</v>
      </c>
      <c r="AH170" s="264">
        <f t="shared" si="345"/>
        <v>0</v>
      </c>
      <c r="AI170" s="264">
        <f t="shared" si="345"/>
        <v>0</v>
      </c>
      <c r="AJ170" s="264">
        <f t="shared" si="345"/>
        <v>0</v>
      </c>
      <c r="AK170" s="264">
        <f t="shared" si="345"/>
        <v>0</v>
      </c>
      <c r="AL170" s="264">
        <f t="shared" si="345"/>
        <v>0</v>
      </c>
      <c r="AM170" s="264">
        <f t="shared" si="345"/>
        <v>0</v>
      </c>
      <c r="AN170" s="260"/>
      <c r="AO170" s="264">
        <f t="shared" ref="AO170" si="346">IF(AO138=0,0,AO162/AO138)</f>
        <v>0</v>
      </c>
      <c r="AP170" s="260"/>
      <c r="AQ170" s="264"/>
      <c r="AR170" s="264" t="str">
        <f>VLOOKUP($I170,TableInputsData[],ReadMe!$M$3,FALSE)&amp;"  |  "&amp;VLOOKUP($K170,TableInputsData[],ReadMe!$M$3,FALSE)</f>
        <v>PRODUIT 04  |  PRIX MOYEN D'ACHAT PAR PRODUIT/SERVICE</v>
      </c>
      <c r="AS170" s="264"/>
      <c r="AT170" s="294"/>
    </row>
    <row r="171" spans="1:46" ht="13" hidden="1" x14ac:dyDescent="0.2">
      <c r="A171" s="294"/>
      <c r="B171" s="925"/>
      <c r="C171" s="272">
        <v>164</v>
      </c>
      <c r="D171" s="250">
        <f t="shared" si="278"/>
        <v>0</v>
      </c>
      <c r="E171" s="251"/>
      <c r="F171" s="248" t="str">
        <f t="shared" si="338"/>
        <v>YEAR3</v>
      </c>
      <c r="G171" s="250">
        <f>VLOOKUP(F171,TableInputsData[],$G$6,FALSE)</f>
        <v>2027</v>
      </c>
      <c r="H171" s="250" t="str">
        <f t="shared" si="279"/>
        <v>PRODUCT</v>
      </c>
      <c r="I171" s="248" t="str">
        <f t="shared" si="279"/>
        <v>PRODUCT 04</v>
      </c>
      <c r="J171" s="248" t="str">
        <f>VLOOKUP(I171,TableInputsData[],$J$6,FALSE)</f>
        <v>-</v>
      </c>
      <c r="K171" s="248" t="str">
        <f t="shared" si="343"/>
        <v>AVERAGE COST OF GOODS SOLD PER UNIT</v>
      </c>
      <c r="L171" s="256"/>
      <c r="M171" s="256"/>
      <c r="N171" s="256"/>
      <c r="O171" s="266"/>
      <c r="P171" s="261"/>
      <c r="Q171" s="261"/>
      <c r="R171" s="261"/>
      <c r="S171" s="629"/>
      <c r="T171" s="629"/>
      <c r="U171" s="629"/>
      <c r="V171" s="629"/>
      <c r="W171" s="261"/>
      <c r="X171" s="261"/>
      <c r="Y171" s="261"/>
      <c r="Z171" s="261"/>
      <c r="AA171" s="261"/>
      <c r="AB171" s="261"/>
      <c r="AC171" s="266"/>
      <c r="AD171" s="633"/>
      <c r="AE171" s="264">
        <f t="shared" ref="AE171:AM171" si="347">IF(AE139=0,0,AE163/AE139)</f>
        <v>0</v>
      </c>
      <c r="AF171" s="264">
        <f t="shared" si="347"/>
        <v>0</v>
      </c>
      <c r="AG171" s="264">
        <f t="shared" si="347"/>
        <v>0</v>
      </c>
      <c r="AH171" s="264">
        <f t="shared" si="347"/>
        <v>0</v>
      </c>
      <c r="AI171" s="264">
        <f t="shared" si="347"/>
        <v>0</v>
      </c>
      <c r="AJ171" s="264">
        <f t="shared" si="347"/>
        <v>0</v>
      </c>
      <c r="AK171" s="264">
        <f t="shared" si="347"/>
        <v>0</v>
      </c>
      <c r="AL171" s="264">
        <f t="shared" si="347"/>
        <v>0</v>
      </c>
      <c r="AM171" s="264">
        <f t="shared" si="347"/>
        <v>0</v>
      </c>
      <c r="AN171" s="260"/>
      <c r="AO171" s="264">
        <f t="shared" ref="AO171" si="348">IF(AO139=0,0,AO163/AO139)</f>
        <v>0</v>
      </c>
      <c r="AP171" s="260"/>
      <c r="AQ171" s="264"/>
      <c r="AR171" s="264" t="str">
        <f>VLOOKUP($I171,TableInputsData[],ReadMe!$M$3,FALSE)&amp;"  |  "&amp;VLOOKUP($K171,TableInputsData[],ReadMe!$M$3,FALSE)</f>
        <v>PRODUIT 04  |  PRIX MOYEN D'ACHAT PAR PRODUIT/SERVICE</v>
      </c>
      <c r="AS171" s="264"/>
      <c r="AT171" s="294"/>
    </row>
    <row r="172" spans="1:46" ht="13" hidden="1" x14ac:dyDescent="0.2">
      <c r="A172" s="294"/>
      <c r="B172" s="925"/>
      <c r="C172" s="272">
        <v>165</v>
      </c>
      <c r="D172" s="250">
        <f t="shared" si="278"/>
        <v>0</v>
      </c>
      <c r="E172" s="251"/>
      <c r="F172" s="248" t="str">
        <f t="shared" si="338"/>
        <v>YEAR4</v>
      </c>
      <c r="G172" s="250">
        <f>VLOOKUP(F172,TableInputsData[],$G$6,FALSE)</f>
        <v>2028</v>
      </c>
      <c r="H172" s="250" t="str">
        <f t="shared" si="279"/>
        <v>PRODUCT</v>
      </c>
      <c r="I172" s="248" t="str">
        <f t="shared" si="279"/>
        <v>PRODUCT 04</v>
      </c>
      <c r="J172" s="248" t="str">
        <f>VLOOKUP(I172,TableInputsData[],$J$6,FALSE)</f>
        <v>-</v>
      </c>
      <c r="K172" s="248" t="str">
        <f t="shared" si="343"/>
        <v>AVERAGE COST OF GOODS SOLD PER UNIT</v>
      </c>
      <c r="L172" s="256"/>
      <c r="M172" s="256"/>
      <c r="N172" s="256"/>
      <c r="O172" s="266"/>
      <c r="P172" s="261"/>
      <c r="Q172" s="261"/>
      <c r="R172" s="261"/>
      <c r="S172" s="629"/>
      <c r="T172" s="629"/>
      <c r="U172" s="629"/>
      <c r="V172" s="629"/>
      <c r="W172" s="261"/>
      <c r="X172" s="261"/>
      <c r="Y172" s="261"/>
      <c r="Z172" s="261"/>
      <c r="AA172" s="261"/>
      <c r="AB172" s="261"/>
      <c r="AC172" s="266"/>
      <c r="AD172" s="633"/>
      <c r="AE172" s="264">
        <f t="shared" ref="AE172:AM172" si="349">IF(AE140=0,0,AE164/AE140)</f>
        <v>0</v>
      </c>
      <c r="AF172" s="264">
        <f t="shared" si="349"/>
        <v>0</v>
      </c>
      <c r="AG172" s="264">
        <f t="shared" si="349"/>
        <v>0</v>
      </c>
      <c r="AH172" s="264">
        <f t="shared" si="349"/>
        <v>0</v>
      </c>
      <c r="AI172" s="264">
        <f t="shared" si="349"/>
        <v>0</v>
      </c>
      <c r="AJ172" s="264">
        <f t="shared" si="349"/>
        <v>0</v>
      </c>
      <c r="AK172" s="264">
        <f t="shared" si="349"/>
        <v>0</v>
      </c>
      <c r="AL172" s="264">
        <f t="shared" si="349"/>
        <v>0</v>
      </c>
      <c r="AM172" s="264">
        <f t="shared" si="349"/>
        <v>0</v>
      </c>
      <c r="AN172" s="260"/>
      <c r="AO172" s="264">
        <f t="shared" ref="AO172" si="350">IF(AO140=0,0,AO164/AO140)</f>
        <v>0</v>
      </c>
      <c r="AP172" s="260"/>
      <c r="AQ172" s="264"/>
      <c r="AR172" s="264" t="str">
        <f>VLOOKUP($I172,TableInputsData[],ReadMe!$M$3,FALSE)&amp;"  |  "&amp;VLOOKUP($K172,TableInputsData[],ReadMe!$M$3,FALSE)</f>
        <v>PRODUIT 04  |  PRIX MOYEN D'ACHAT PAR PRODUIT/SERVICE</v>
      </c>
      <c r="AS172" s="264"/>
      <c r="AT172" s="294"/>
    </row>
    <row r="173" spans="1:46" ht="13" hidden="1" x14ac:dyDescent="0.2">
      <c r="A173" s="294"/>
      <c r="B173" s="925"/>
      <c r="C173" s="272">
        <v>166</v>
      </c>
      <c r="D173" s="250">
        <f t="shared" si="278"/>
        <v>0</v>
      </c>
      <c r="E173" s="251"/>
      <c r="F173" s="248" t="str">
        <f t="shared" si="338"/>
        <v>YEAR5</v>
      </c>
      <c r="G173" s="250">
        <f>VLOOKUP(F173,TableInputsData[],$G$6,FALSE)</f>
        <v>2029</v>
      </c>
      <c r="H173" s="250" t="str">
        <f t="shared" si="279"/>
        <v>PRODUCT</v>
      </c>
      <c r="I173" s="248" t="str">
        <f t="shared" si="279"/>
        <v>PRODUCT 04</v>
      </c>
      <c r="J173" s="248" t="str">
        <f>VLOOKUP(I173,TableInputsData[],$J$6,FALSE)</f>
        <v>-</v>
      </c>
      <c r="K173" s="248" t="str">
        <f t="shared" si="343"/>
        <v>AVERAGE COST OF GOODS SOLD PER UNIT</v>
      </c>
      <c r="L173" s="256"/>
      <c r="M173" s="256"/>
      <c r="N173" s="256"/>
      <c r="O173" s="266"/>
      <c r="P173" s="261"/>
      <c r="Q173" s="261"/>
      <c r="R173" s="261"/>
      <c r="S173" s="629"/>
      <c r="T173" s="629"/>
      <c r="U173" s="629"/>
      <c r="V173" s="629"/>
      <c r="W173" s="261"/>
      <c r="X173" s="261"/>
      <c r="Y173" s="261"/>
      <c r="Z173" s="261"/>
      <c r="AA173" s="261"/>
      <c r="AB173" s="261"/>
      <c r="AC173" s="266"/>
      <c r="AD173" s="633"/>
      <c r="AE173" s="264">
        <f t="shared" ref="AE173:AM173" si="351">IF(AE141=0,0,AE165/AE141)</f>
        <v>0</v>
      </c>
      <c r="AF173" s="264">
        <f t="shared" si="351"/>
        <v>0</v>
      </c>
      <c r="AG173" s="264">
        <f t="shared" si="351"/>
        <v>0</v>
      </c>
      <c r="AH173" s="264">
        <f t="shared" si="351"/>
        <v>0</v>
      </c>
      <c r="AI173" s="264">
        <f t="shared" si="351"/>
        <v>0</v>
      </c>
      <c r="AJ173" s="264">
        <f t="shared" si="351"/>
        <v>0</v>
      </c>
      <c r="AK173" s="264">
        <f t="shared" si="351"/>
        <v>0</v>
      </c>
      <c r="AL173" s="264">
        <f t="shared" si="351"/>
        <v>0</v>
      </c>
      <c r="AM173" s="264">
        <f t="shared" si="351"/>
        <v>0</v>
      </c>
      <c r="AN173" s="260"/>
      <c r="AO173" s="264">
        <f t="shared" ref="AO173" si="352">IF(AO141=0,0,AO165/AO141)</f>
        <v>0</v>
      </c>
      <c r="AP173" s="260"/>
      <c r="AQ173" s="264"/>
      <c r="AR173" s="264" t="str">
        <f>VLOOKUP($I173,TableInputsData[],ReadMe!$M$3,FALSE)&amp;"  |  "&amp;VLOOKUP($K173,TableInputsData[],ReadMe!$M$3,FALSE)</f>
        <v>PRODUIT 04  |  PRIX MOYEN D'ACHAT PAR PRODUIT/SERVICE</v>
      </c>
      <c r="AS173" s="264"/>
      <c r="AT173" s="294"/>
    </row>
    <row r="174" spans="1:46" ht="13" hidden="1" x14ac:dyDescent="0.2">
      <c r="A174" s="294"/>
      <c r="B174" s="925"/>
      <c r="C174" s="272">
        <v>167</v>
      </c>
      <c r="D174" s="250">
        <f t="shared" si="278"/>
        <v>0</v>
      </c>
      <c r="E174" s="251"/>
      <c r="F174" s="248" t="str">
        <f t="shared" si="338"/>
        <v>YEAR6</v>
      </c>
      <c r="G174" s="250">
        <f>VLOOKUP(F174,TableInputsData[],$G$6,FALSE)</f>
        <v>2030</v>
      </c>
      <c r="H174" s="250" t="str">
        <f t="shared" si="279"/>
        <v>PRODUCT</v>
      </c>
      <c r="I174" s="248" t="str">
        <f t="shared" si="279"/>
        <v>PRODUCT 04</v>
      </c>
      <c r="J174" s="248" t="str">
        <f>VLOOKUP(I174,TableInputsData[],$J$6,FALSE)</f>
        <v>-</v>
      </c>
      <c r="K174" s="248" t="str">
        <f t="shared" si="343"/>
        <v>AVERAGE COST OF GOODS SOLD PER UNIT</v>
      </c>
      <c r="L174" s="256"/>
      <c r="M174" s="256"/>
      <c r="N174" s="256"/>
      <c r="O174" s="266"/>
      <c r="P174" s="261"/>
      <c r="Q174" s="261"/>
      <c r="R174" s="261"/>
      <c r="S174" s="629"/>
      <c r="T174" s="629"/>
      <c r="U174" s="629"/>
      <c r="V174" s="629"/>
      <c r="W174" s="261"/>
      <c r="X174" s="261"/>
      <c r="Y174" s="261"/>
      <c r="Z174" s="261"/>
      <c r="AA174" s="261"/>
      <c r="AB174" s="261"/>
      <c r="AC174" s="266"/>
      <c r="AD174" s="633"/>
      <c r="AE174" s="264">
        <f t="shared" ref="AE174:AM174" si="353">IF(AE142=0,0,AE166/AE142)</f>
        <v>0</v>
      </c>
      <c r="AF174" s="264">
        <f t="shared" si="353"/>
        <v>0</v>
      </c>
      <c r="AG174" s="264">
        <f t="shared" si="353"/>
        <v>0</v>
      </c>
      <c r="AH174" s="264">
        <f t="shared" si="353"/>
        <v>0</v>
      </c>
      <c r="AI174" s="264">
        <f t="shared" si="353"/>
        <v>0</v>
      </c>
      <c r="AJ174" s="264">
        <f t="shared" si="353"/>
        <v>0</v>
      </c>
      <c r="AK174" s="264">
        <f t="shared" si="353"/>
        <v>0</v>
      </c>
      <c r="AL174" s="264">
        <f t="shared" si="353"/>
        <v>0</v>
      </c>
      <c r="AM174" s="264">
        <f t="shared" si="353"/>
        <v>0</v>
      </c>
      <c r="AN174" s="260"/>
      <c r="AO174" s="264">
        <f t="shared" ref="AO174" si="354">IF(AO142=0,0,AO166/AO142)</f>
        <v>0</v>
      </c>
      <c r="AP174" s="260"/>
      <c r="AQ174" s="264"/>
      <c r="AR174" s="264" t="str">
        <f>VLOOKUP($I174,TableInputsData[],ReadMe!$M$3,FALSE)&amp;"  |  "&amp;VLOOKUP($K174,TableInputsData[],ReadMe!$M$3,FALSE)</f>
        <v>PRODUIT 04  |  PRIX MOYEN D'ACHAT PAR PRODUIT/SERVICE</v>
      </c>
      <c r="AS174" s="264"/>
      <c r="AT174" s="294"/>
    </row>
    <row r="175" spans="1:46" ht="13" x14ac:dyDescent="0.2">
      <c r="A175" s="294"/>
      <c r="B175" s="925"/>
      <c r="C175" s="273">
        <v>168</v>
      </c>
      <c r="D175" s="253">
        <v>0</v>
      </c>
      <c r="E175" s="253">
        <v>1</v>
      </c>
      <c r="F175" s="252"/>
      <c r="G175" s="253"/>
      <c r="H175" s="253"/>
      <c r="I175" s="252"/>
      <c r="J175" s="252"/>
      <c r="K175" s="252"/>
      <c r="L175" s="257"/>
      <c r="M175" s="257"/>
      <c r="N175" s="257"/>
      <c r="O175" s="267"/>
      <c r="P175" s="262"/>
      <c r="Q175" s="262"/>
      <c r="R175" s="262"/>
      <c r="S175" s="631"/>
      <c r="T175" s="631"/>
      <c r="U175" s="631"/>
      <c r="V175" s="631"/>
      <c r="W175" s="262"/>
      <c r="X175" s="262"/>
      <c r="Y175" s="262"/>
      <c r="Z175" s="262"/>
      <c r="AA175" s="262"/>
      <c r="AB175" s="262"/>
      <c r="AC175" s="267"/>
      <c r="AD175" s="635"/>
      <c r="AE175" s="270"/>
      <c r="AF175" s="270"/>
      <c r="AG175" s="270"/>
      <c r="AH175" s="270"/>
      <c r="AI175" s="270"/>
      <c r="AJ175" s="270"/>
      <c r="AK175" s="270"/>
      <c r="AL175" s="270"/>
      <c r="AM175" s="270"/>
      <c r="AN175" s="643"/>
      <c r="AO175" s="270"/>
      <c r="AP175" s="270"/>
      <c r="AQ175" s="270"/>
      <c r="AR175" s="270"/>
      <c r="AS175" s="270"/>
      <c r="AT175" s="294"/>
    </row>
    <row r="176" spans="1:46" ht="13" hidden="1" x14ac:dyDescent="0.2">
      <c r="A176" s="294"/>
      <c r="B176" s="924" t="str">
        <f>I177&amp;"___"</f>
        <v>PRODUCT 05___</v>
      </c>
      <c r="C176" s="271">
        <v>169</v>
      </c>
      <c r="D176" s="250">
        <v>0</v>
      </c>
      <c r="E176" s="250"/>
      <c r="F176" s="248"/>
      <c r="G176" s="250"/>
      <c r="H176" s="250"/>
      <c r="I176" s="248"/>
      <c r="J176" s="248"/>
      <c r="K176" s="248"/>
      <c r="L176" s="254"/>
      <c r="M176" s="254"/>
      <c r="N176" s="254"/>
      <c r="O176" s="264"/>
      <c r="P176" s="259"/>
      <c r="Q176" s="259"/>
      <c r="R176" s="259"/>
      <c r="S176" s="628"/>
      <c r="T176" s="628"/>
      <c r="U176" s="628"/>
      <c r="V176" s="628"/>
      <c r="W176" s="259"/>
      <c r="X176" s="259"/>
      <c r="Y176" s="259"/>
      <c r="Z176" s="259"/>
      <c r="AA176" s="259"/>
      <c r="AB176" s="259"/>
      <c r="AC176" s="264"/>
      <c r="AD176" s="609"/>
      <c r="AE176" s="269"/>
      <c r="AF176" s="269"/>
      <c r="AG176" s="269"/>
      <c r="AH176" s="269"/>
      <c r="AI176" s="269"/>
      <c r="AJ176" s="269"/>
      <c r="AK176" s="269"/>
      <c r="AL176" s="269"/>
      <c r="AM176" s="269"/>
      <c r="AN176" s="642"/>
      <c r="AO176" s="269"/>
      <c r="AP176" s="269"/>
      <c r="AQ176" s="269"/>
      <c r="AR176" s="269"/>
      <c r="AS176" s="269"/>
      <c r="AT176" s="294"/>
    </row>
    <row r="177" spans="1:46" ht="13" x14ac:dyDescent="0.2">
      <c r="A177" s="294"/>
      <c r="B177" s="924"/>
      <c r="C177" s="271">
        <v>170</v>
      </c>
      <c r="D177" s="250">
        <f>VLOOKUP($I177,TableInputsData[],$D$6,FALSE)</f>
        <v>0</v>
      </c>
      <c r="E177" s="250">
        <v>1</v>
      </c>
      <c r="F177" s="248" t="s">
        <v>392</v>
      </c>
      <c r="G177" s="250">
        <f>VLOOKUP(F177,TableInputsData[],$G$6,FALSE)</f>
        <v>2023</v>
      </c>
      <c r="H177" s="250" t="s">
        <v>588</v>
      </c>
      <c r="I177" s="248" t="s">
        <v>541</v>
      </c>
      <c r="J177" s="248" t="str">
        <f>VLOOKUP(I177,TableInputsData[],$J$6,FALSE)</f>
        <v>-</v>
      </c>
      <c r="K177" s="248" t="s">
        <v>261</v>
      </c>
      <c r="L177" s="499">
        <v>1000</v>
      </c>
      <c r="M177" s="499">
        <v>0</v>
      </c>
      <c r="N177" s="499">
        <v>0</v>
      </c>
      <c r="O177" s="264">
        <f t="shared" ref="O177:O184" si="355">$L177*$P177+$M177*$Q177+$N177*$R177</f>
        <v>1000</v>
      </c>
      <c r="P177" s="500">
        <v>1</v>
      </c>
      <c r="Q177" s="500">
        <v>0</v>
      </c>
      <c r="R177" s="259">
        <f>1-$P177-$Q177</f>
        <v>0</v>
      </c>
      <c r="S177" s="626">
        <v>500</v>
      </c>
      <c r="T177" s="626">
        <v>0</v>
      </c>
      <c r="U177" s="626">
        <v>0</v>
      </c>
      <c r="V177" s="628">
        <f>($L177*$P177*$S177+$M177*$Q177*$T177+$N177*$R177*$U177)/$O177</f>
        <v>500</v>
      </c>
      <c r="W177" s="500">
        <v>1</v>
      </c>
      <c r="X177" s="500">
        <v>1</v>
      </c>
      <c r="Y177" s="500">
        <v>1</v>
      </c>
      <c r="Z177" s="259">
        <f t="shared" ref="Z177:Z184" si="356">1-$W177</f>
        <v>0</v>
      </c>
      <c r="AA177" s="259">
        <f t="shared" ref="AA177:AA184" si="357">1-$X177</f>
        <v>0</v>
      </c>
      <c r="AB177" s="259">
        <f t="shared" ref="AB177:AB184" si="358">1-$Y177</f>
        <v>0</v>
      </c>
      <c r="AC177" s="628">
        <f>AM209</f>
        <v>0</v>
      </c>
      <c r="AD177" s="628">
        <f>AO209</f>
        <v>0</v>
      </c>
      <c r="AE177" s="501">
        <v>0</v>
      </c>
      <c r="AF177" s="501">
        <v>0</v>
      </c>
      <c r="AG177" s="501">
        <v>0</v>
      </c>
      <c r="AH177" s="501">
        <v>0</v>
      </c>
      <c r="AI177" s="264">
        <f t="shared" ref="AI177:AI180" si="359">$AE177+$AF177+$AG177+$AH177</f>
        <v>0</v>
      </c>
      <c r="AJ177" s="264">
        <f t="shared" ref="AJ177:AJ184" si="360">$AI177*$P177</f>
        <v>0</v>
      </c>
      <c r="AK177" s="264">
        <f t="shared" ref="AK177:AK184" si="361">$AI177*$Q177</f>
        <v>0</v>
      </c>
      <c r="AL177" s="264">
        <f t="shared" ref="AL177:AL184" si="362">$AI177*$R177</f>
        <v>0</v>
      </c>
      <c r="AM177" s="264">
        <f t="shared" ref="AM177:AM184" si="363">$AJ177*$W177+$AK177*$X177+$AL177*$Y177</f>
        <v>0</v>
      </c>
      <c r="AN177" s="640">
        <f>IF(AI177=0,0,AM177/AI177)</f>
        <v>0</v>
      </c>
      <c r="AO177" s="264">
        <f t="shared" ref="AO177:AO184" si="364">$AJ177*$Z177+$AK177*$AA177+$AL177*$AB177</f>
        <v>0</v>
      </c>
      <c r="AP177" s="640">
        <f t="shared" ref="AP177:AP192" si="365">IF(AI177=0,0,AO177/AI177)</f>
        <v>0</v>
      </c>
      <c r="AQ177" s="264" t="str">
        <f>VLOOKUP(I177,TableInputsData[],$AQ$6,FALSE)</f>
        <v>GAMME # : 1 + CANAL DE DISTRIBUTION # : 1</v>
      </c>
      <c r="AR177" s="264" t="str">
        <f>VLOOKUP($I177,TableInputsData[],ReadMe!$M$3,FALSE)&amp;"  |  "&amp;VLOOKUP($K177,TableInputsData[],ReadMe!$M$3,FALSE)</f>
        <v>PRODUIT 05  |  VOLUME</v>
      </c>
      <c r="AS177" s="264" t="b">
        <f t="shared" ref="AS177:AS184" si="366">AND(EXACT(ROUND(AI177,2),ROUND(AJ177+AK177+AL177,2)),EXACT(ROUND(AI177,2),ROUND(AM177+AO177,2)),EXACT(SUM(P177:R177),1),IF(R177&lt;0,FALSE,TRUE),EXACT(SUM(W177:AB177),3),MIN(W177:Y177)&gt;=0, MAX(W177:Y177)&lt;=1)</f>
        <v>1</v>
      </c>
      <c r="AT177" s="294"/>
    </row>
    <row r="178" spans="1:46" ht="13" x14ac:dyDescent="0.2">
      <c r="A178" s="294"/>
      <c r="B178" s="924"/>
      <c r="C178" s="271">
        <v>171</v>
      </c>
      <c r="D178" s="250">
        <f>D177</f>
        <v>0</v>
      </c>
      <c r="E178" s="250">
        <v>1</v>
      </c>
      <c r="F178" s="248" t="s">
        <v>391</v>
      </c>
      <c r="G178" s="250">
        <f>VLOOKUP(F178,TableInputsData[],$G$6,FALSE)</f>
        <v>2024</v>
      </c>
      <c r="H178" s="250" t="str">
        <f>H177</f>
        <v>PRODUCT</v>
      </c>
      <c r="I178" s="248" t="str">
        <f>I177</f>
        <v>PRODUCT 05</v>
      </c>
      <c r="J178" s="248" t="str">
        <f>VLOOKUP(I178,TableInputsData[],$J$6,FALSE)</f>
        <v>-</v>
      </c>
      <c r="K178" s="248" t="str">
        <f>K177</f>
        <v>VOLUME</v>
      </c>
      <c r="L178" s="499">
        <v>1000</v>
      </c>
      <c r="M178" s="499">
        <v>0</v>
      </c>
      <c r="N178" s="499">
        <v>0</v>
      </c>
      <c r="O178" s="264">
        <f t="shared" si="355"/>
        <v>1000</v>
      </c>
      <c r="P178" s="500">
        <v>1</v>
      </c>
      <c r="Q178" s="500">
        <v>0</v>
      </c>
      <c r="R178" s="259">
        <f t="shared" ref="R178:R184" si="367">1-$P178-$Q178</f>
        <v>0</v>
      </c>
      <c r="S178" s="626">
        <v>500</v>
      </c>
      <c r="T178" s="626">
        <v>0</v>
      </c>
      <c r="U178" s="626">
        <v>0</v>
      </c>
      <c r="V178" s="628">
        <f t="shared" ref="V178:V184" si="368">($L178*$P178*$S178+$M178*$Q178*$T178+$N178*$R178*$U178)/$O178</f>
        <v>500</v>
      </c>
      <c r="W178" s="500">
        <v>1</v>
      </c>
      <c r="X178" s="500">
        <v>1</v>
      </c>
      <c r="Y178" s="500">
        <v>1</v>
      </c>
      <c r="Z178" s="259">
        <f t="shared" si="356"/>
        <v>0</v>
      </c>
      <c r="AA178" s="259">
        <f t="shared" si="357"/>
        <v>0</v>
      </c>
      <c r="AB178" s="259">
        <f t="shared" si="358"/>
        <v>0</v>
      </c>
      <c r="AC178" s="628">
        <f t="shared" ref="AC178:AC184" si="369">AM210</f>
        <v>0</v>
      </c>
      <c r="AD178" s="628">
        <f t="shared" ref="AD178:AD184" si="370">AO210</f>
        <v>0</v>
      </c>
      <c r="AE178" s="501">
        <v>0</v>
      </c>
      <c r="AF178" s="501">
        <v>0</v>
      </c>
      <c r="AG178" s="501">
        <v>0</v>
      </c>
      <c r="AH178" s="501">
        <v>0</v>
      </c>
      <c r="AI178" s="264">
        <f t="shared" si="359"/>
        <v>0</v>
      </c>
      <c r="AJ178" s="264">
        <f t="shared" si="360"/>
        <v>0</v>
      </c>
      <c r="AK178" s="264">
        <f t="shared" si="361"/>
        <v>0</v>
      </c>
      <c r="AL178" s="264">
        <f t="shared" si="362"/>
        <v>0</v>
      </c>
      <c r="AM178" s="264">
        <f t="shared" si="363"/>
        <v>0</v>
      </c>
      <c r="AN178" s="640">
        <f t="shared" ref="AN178:AN192" si="371">IF(AI178=0,0,AM178/AI178)</f>
        <v>0</v>
      </c>
      <c r="AO178" s="264">
        <f t="shared" si="364"/>
        <v>0</v>
      </c>
      <c r="AP178" s="640">
        <f t="shared" si="365"/>
        <v>0</v>
      </c>
      <c r="AQ178" s="501"/>
      <c r="AR178" s="264" t="str">
        <f>VLOOKUP($I178,TableInputsData[],ReadMe!$M$3,FALSE)&amp;"  |  "&amp;VLOOKUP($K178,TableInputsData[],ReadMe!$M$3,FALSE)</f>
        <v>PRODUIT 05  |  VOLUME</v>
      </c>
      <c r="AS178" s="264" t="b">
        <f t="shared" si="366"/>
        <v>1</v>
      </c>
      <c r="AT178" s="294"/>
    </row>
    <row r="179" spans="1:46" ht="13" x14ac:dyDescent="0.2">
      <c r="A179" s="294"/>
      <c r="B179" s="924"/>
      <c r="C179" s="271">
        <v>172</v>
      </c>
      <c r="D179" s="250">
        <f t="shared" ref="D179:D216" si="372">D178</f>
        <v>0</v>
      </c>
      <c r="E179" s="250">
        <v>1</v>
      </c>
      <c r="F179" s="248" t="s">
        <v>393</v>
      </c>
      <c r="G179" s="250">
        <f>VLOOKUP(F179,TableInputsData[],$G$6,FALSE)</f>
        <v>2025</v>
      </c>
      <c r="H179" s="250" t="str">
        <f t="shared" ref="H179:I216" si="373">H178</f>
        <v>PRODUCT</v>
      </c>
      <c r="I179" s="248" t="str">
        <f t="shared" si="373"/>
        <v>PRODUCT 05</v>
      </c>
      <c r="J179" s="248" t="str">
        <f>VLOOKUP(I179,TableInputsData[],$J$6,FALSE)</f>
        <v>-</v>
      </c>
      <c r="K179" s="248" t="str">
        <f t="shared" ref="K179:K184" si="374">K178</f>
        <v>VOLUME</v>
      </c>
      <c r="L179" s="499">
        <v>1000</v>
      </c>
      <c r="M179" s="499">
        <v>0</v>
      </c>
      <c r="N179" s="499">
        <v>0</v>
      </c>
      <c r="O179" s="264">
        <f t="shared" si="355"/>
        <v>1000</v>
      </c>
      <c r="P179" s="500">
        <v>1</v>
      </c>
      <c r="Q179" s="500">
        <v>0</v>
      </c>
      <c r="R179" s="259">
        <f t="shared" si="367"/>
        <v>0</v>
      </c>
      <c r="S179" s="626">
        <v>500</v>
      </c>
      <c r="T179" s="626">
        <v>0</v>
      </c>
      <c r="U179" s="626">
        <v>0</v>
      </c>
      <c r="V179" s="628">
        <f t="shared" si="368"/>
        <v>500</v>
      </c>
      <c r="W179" s="500">
        <v>1</v>
      </c>
      <c r="X179" s="500">
        <v>1</v>
      </c>
      <c r="Y179" s="500">
        <v>1</v>
      </c>
      <c r="Z179" s="259">
        <f t="shared" si="356"/>
        <v>0</v>
      </c>
      <c r="AA179" s="259">
        <f t="shared" si="357"/>
        <v>0</v>
      </c>
      <c r="AB179" s="259">
        <f t="shared" si="358"/>
        <v>0</v>
      </c>
      <c r="AC179" s="628">
        <f t="shared" si="369"/>
        <v>0</v>
      </c>
      <c r="AD179" s="628">
        <f t="shared" si="370"/>
        <v>0</v>
      </c>
      <c r="AE179" s="501">
        <v>0</v>
      </c>
      <c r="AF179" s="501">
        <v>0</v>
      </c>
      <c r="AG179" s="501">
        <v>0</v>
      </c>
      <c r="AH179" s="501">
        <v>0</v>
      </c>
      <c r="AI179" s="264">
        <f t="shared" si="359"/>
        <v>0</v>
      </c>
      <c r="AJ179" s="264">
        <f t="shared" si="360"/>
        <v>0</v>
      </c>
      <c r="AK179" s="264">
        <f t="shared" si="361"/>
        <v>0</v>
      </c>
      <c r="AL179" s="264">
        <f t="shared" si="362"/>
        <v>0</v>
      </c>
      <c r="AM179" s="264">
        <f t="shared" si="363"/>
        <v>0</v>
      </c>
      <c r="AN179" s="640">
        <f t="shared" si="371"/>
        <v>0</v>
      </c>
      <c r="AO179" s="264">
        <f t="shared" si="364"/>
        <v>0</v>
      </c>
      <c r="AP179" s="640">
        <f t="shared" si="365"/>
        <v>0</v>
      </c>
      <c r="AQ179" s="501"/>
      <c r="AR179" s="264" t="str">
        <f>VLOOKUP($I179,TableInputsData[],ReadMe!$M$3,FALSE)&amp;"  |  "&amp;VLOOKUP($K179,TableInputsData[],ReadMe!$M$3,FALSE)</f>
        <v>PRODUIT 05  |  VOLUME</v>
      </c>
      <c r="AS179" s="264" t="b">
        <f t="shared" si="366"/>
        <v>1</v>
      </c>
      <c r="AT179" s="294"/>
    </row>
    <row r="180" spans="1:46" ht="13" x14ac:dyDescent="0.2">
      <c r="A180" s="294"/>
      <c r="B180" s="924"/>
      <c r="C180" s="271">
        <v>173</v>
      </c>
      <c r="D180" s="250">
        <f t="shared" si="372"/>
        <v>0</v>
      </c>
      <c r="E180" s="250">
        <v>1</v>
      </c>
      <c r="F180" s="248" t="s">
        <v>396</v>
      </c>
      <c r="G180" s="250">
        <f>VLOOKUP(F180,TableInputsData[],$G$6,FALSE)</f>
        <v>2026</v>
      </c>
      <c r="H180" s="250" t="str">
        <f t="shared" si="373"/>
        <v>PRODUCT</v>
      </c>
      <c r="I180" s="248" t="str">
        <f t="shared" si="373"/>
        <v>PRODUCT 05</v>
      </c>
      <c r="J180" s="248" t="str">
        <f>VLOOKUP(I180,TableInputsData[],$J$6,FALSE)</f>
        <v>-</v>
      </c>
      <c r="K180" s="248" t="str">
        <f t="shared" si="374"/>
        <v>VOLUME</v>
      </c>
      <c r="L180" s="499">
        <v>1000</v>
      </c>
      <c r="M180" s="499">
        <v>0</v>
      </c>
      <c r="N180" s="499">
        <v>0</v>
      </c>
      <c r="O180" s="264">
        <f t="shared" si="355"/>
        <v>1000</v>
      </c>
      <c r="P180" s="500">
        <v>1</v>
      </c>
      <c r="Q180" s="500">
        <v>0</v>
      </c>
      <c r="R180" s="259">
        <f t="shared" si="367"/>
        <v>0</v>
      </c>
      <c r="S180" s="626">
        <v>500</v>
      </c>
      <c r="T180" s="626">
        <v>0</v>
      </c>
      <c r="U180" s="626">
        <v>0</v>
      </c>
      <c r="V180" s="628">
        <f t="shared" si="368"/>
        <v>500</v>
      </c>
      <c r="W180" s="500">
        <v>1</v>
      </c>
      <c r="X180" s="500">
        <v>1</v>
      </c>
      <c r="Y180" s="500">
        <v>1</v>
      </c>
      <c r="Z180" s="259">
        <f t="shared" si="356"/>
        <v>0</v>
      </c>
      <c r="AA180" s="259">
        <f t="shared" si="357"/>
        <v>0</v>
      </c>
      <c r="AB180" s="259">
        <f t="shared" si="358"/>
        <v>0</v>
      </c>
      <c r="AC180" s="628">
        <f t="shared" si="369"/>
        <v>0</v>
      </c>
      <c r="AD180" s="628">
        <f t="shared" si="370"/>
        <v>0</v>
      </c>
      <c r="AE180" s="501">
        <v>0</v>
      </c>
      <c r="AF180" s="501">
        <v>0</v>
      </c>
      <c r="AG180" s="501">
        <v>0</v>
      </c>
      <c r="AH180" s="501">
        <v>0</v>
      </c>
      <c r="AI180" s="264">
        <f t="shared" si="359"/>
        <v>0</v>
      </c>
      <c r="AJ180" s="264">
        <f t="shared" si="360"/>
        <v>0</v>
      </c>
      <c r="AK180" s="264">
        <f t="shared" si="361"/>
        <v>0</v>
      </c>
      <c r="AL180" s="264">
        <f t="shared" si="362"/>
        <v>0</v>
      </c>
      <c r="AM180" s="264">
        <f t="shared" si="363"/>
        <v>0</v>
      </c>
      <c r="AN180" s="640">
        <f t="shared" si="371"/>
        <v>0</v>
      </c>
      <c r="AO180" s="264">
        <f t="shared" si="364"/>
        <v>0</v>
      </c>
      <c r="AP180" s="640">
        <f t="shared" si="365"/>
        <v>0</v>
      </c>
      <c r="AQ180" s="501"/>
      <c r="AR180" s="264" t="str">
        <f>VLOOKUP($I180,TableInputsData[],ReadMe!$M$3,FALSE)&amp;"  |  "&amp;VLOOKUP($K180,TableInputsData[],ReadMe!$M$3,FALSE)</f>
        <v>PRODUIT 05  |  VOLUME</v>
      </c>
      <c r="AS180" s="264" t="b">
        <f t="shared" si="366"/>
        <v>1</v>
      </c>
      <c r="AT180" s="294"/>
    </row>
    <row r="181" spans="1:46" ht="13" x14ac:dyDescent="0.2">
      <c r="A181" s="294"/>
      <c r="B181" s="924"/>
      <c r="C181" s="271">
        <v>174</v>
      </c>
      <c r="D181" s="250">
        <f t="shared" si="372"/>
        <v>0</v>
      </c>
      <c r="E181" s="250">
        <v>1</v>
      </c>
      <c r="F181" s="248" t="s">
        <v>397</v>
      </c>
      <c r="G181" s="250">
        <f>VLOOKUP(F181,TableInputsData[],$G$6,FALSE)</f>
        <v>2027</v>
      </c>
      <c r="H181" s="250" t="str">
        <f t="shared" si="373"/>
        <v>PRODUCT</v>
      </c>
      <c r="I181" s="248" t="str">
        <f t="shared" si="373"/>
        <v>PRODUCT 05</v>
      </c>
      <c r="J181" s="248" t="str">
        <f>VLOOKUP(I181,TableInputsData[],$J$6,FALSE)</f>
        <v>-</v>
      </c>
      <c r="K181" s="248" t="str">
        <f t="shared" si="374"/>
        <v>VOLUME</v>
      </c>
      <c r="L181" s="499">
        <v>1000</v>
      </c>
      <c r="M181" s="499">
        <v>0</v>
      </c>
      <c r="N181" s="499">
        <v>0</v>
      </c>
      <c r="O181" s="264">
        <f t="shared" si="355"/>
        <v>1000</v>
      </c>
      <c r="P181" s="500">
        <v>1</v>
      </c>
      <c r="Q181" s="500">
        <v>0</v>
      </c>
      <c r="R181" s="259">
        <f t="shared" si="367"/>
        <v>0</v>
      </c>
      <c r="S181" s="626">
        <v>500</v>
      </c>
      <c r="T181" s="626">
        <v>0</v>
      </c>
      <c r="U181" s="626">
        <v>0</v>
      </c>
      <c r="V181" s="628">
        <f t="shared" si="368"/>
        <v>500</v>
      </c>
      <c r="W181" s="500">
        <v>1</v>
      </c>
      <c r="X181" s="500">
        <v>1</v>
      </c>
      <c r="Y181" s="500">
        <v>1</v>
      </c>
      <c r="Z181" s="259">
        <f t="shared" si="356"/>
        <v>0</v>
      </c>
      <c r="AA181" s="259">
        <f t="shared" si="357"/>
        <v>0</v>
      </c>
      <c r="AB181" s="259">
        <f t="shared" si="358"/>
        <v>0</v>
      </c>
      <c r="AC181" s="628">
        <f t="shared" si="369"/>
        <v>0</v>
      </c>
      <c r="AD181" s="628">
        <f t="shared" si="370"/>
        <v>0</v>
      </c>
      <c r="AE181" s="264">
        <f>$AI181/4</f>
        <v>0</v>
      </c>
      <c r="AF181" s="264">
        <f t="shared" ref="AF181:AH184" si="375">$AI181/4</f>
        <v>0</v>
      </c>
      <c r="AG181" s="264">
        <f t="shared" si="375"/>
        <v>0</v>
      </c>
      <c r="AH181" s="264">
        <f t="shared" si="375"/>
        <v>0</v>
      </c>
      <c r="AI181" s="501">
        <v>0</v>
      </c>
      <c r="AJ181" s="264">
        <f t="shared" si="360"/>
        <v>0</v>
      </c>
      <c r="AK181" s="264">
        <f t="shared" si="361"/>
        <v>0</v>
      </c>
      <c r="AL181" s="264">
        <f t="shared" si="362"/>
        <v>0</v>
      </c>
      <c r="AM181" s="264">
        <f t="shared" si="363"/>
        <v>0</v>
      </c>
      <c r="AN181" s="640">
        <f t="shared" si="371"/>
        <v>0</v>
      </c>
      <c r="AO181" s="264">
        <f t="shared" si="364"/>
        <v>0</v>
      </c>
      <c r="AP181" s="640">
        <f t="shared" si="365"/>
        <v>0</v>
      </c>
      <c r="AQ181" s="501"/>
      <c r="AR181" s="264" t="str">
        <f>VLOOKUP($I181,TableInputsData[],ReadMe!$M$3,FALSE)&amp;"  |  "&amp;VLOOKUP($K181,TableInputsData[],ReadMe!$M$3,FALSE)</f>
        <v>PRODUIT 05  |  VOLUME</v>
      </c>
      <c r="AS181" s="264" t="b">
        <f t="shared" si="366"/>
        <v>1</v>
      </c>
      <c r="AT181" s="294"/>
    </row>
    <row r="182" spans="1:46" ht="13" x14ac:dyDescent="0.2">
      <c r="A182" s="294"/>
      <c r="B182" s="924"/>
      <c r="C182" s="271">
        <v>175</v>
      </c>
      <c r="D182" s="250">
        <f t="shared" si="372"/>
        <v>0</v>
      </c>
      <c r="E182" s="250">
        <v>1</v>
      </c>
      <c r="F182" s="248" t="s">
        <v>398</v>
      </c>
      <c r="G182" s="250">
        <f>VLOOKUP(F182,TableInputsData[],$G$6,FALSE)</f>
        <v>2028</v>
      </c>
      <c r="H182" s="250" t="str">
        <f t="shared" si="373"/>
        <v>PRODUCT</v>
      </c>
      <c r="I182" s="248" t="str">
        <f t="shared" si="373"/>
        <v>PRODUCT 05</v>
      </c>
      <c r="J182" s="248" t="str">
        <f>VLOOKUP(I182,TableInputsData[],$J$6,FALSE)</f>
        <v>-</v>
      </c>
      <c r="K182" s="248" t="str">
        <f t="shared" si="374"/>
        <v>VOLUME</v>
      </c>
      <c r="L182" s="499">
        <v>1000</v>
      </c>
      <c r="M182" s="499">
        <v>0</v>
      </c>
      <c r="N182" s="499">
        <v>0</v>
      </c>
      <c r="O182" s="264">
        <f t="shared" si="355"/>
        <v>1000</v>
      </c>
      <c r="P182" s="500">
        <v>1</v>
      </c>
      <c r="Q182" s="500">
        <v>0</v>
      </c>
      <c r="R182" s="259">
        <f t="shared" si="367"/>
        <v>0</v>
      </c>
      <c r="S182" s="626">
        <v>500</v>
      </c>
      <c r="T182" s="626">
        <v>0</v>
      </c>
      <c r="U182" s="626">
        <v>0</v>
      </c>
      <c r="V182" s="628">
        <f t="shared" si="368"/>
        <v>500</v>
      </c>
      <c r="W182" s="500">
        <v>1</v>
      </c>
      <c r="X182" s="500">
        <v>1</v>
      </c>
      <c r="Y182" s="500">
        <v>1</v>
      </c>
      <c r="Z182" s="259">
        <f t="shared" si="356"/>
        <v>0</v>
      </c>
      <c r="AA182" s="259">
        <f t="shared" si="357"/>
        <v>0</v>
      </c>
      <c r="AB182" s="259">
        <f t="shared" si="358"/>
        <v>0</v>
      </c>
      <c r="AC182" s="628">
        <f t="shared" si="369"/>
        <v>0</v>
      </c>
      <c r="AD182" s="628">
        <f t="shared" si="370"/>
        <v>0</v>
      </c>
      <c r="AE182" s="264">
        <f t="shared" ref="AE182:AE184" si="376">$AI182/4</f>
        <v>0</v>
      </c>
      <c r="AF182" s="264">
        <f t="shared" si="375"/>
        <v>0</v>
      </c>
      <c r="AG182" s="264">
        <f t="shared" si="375"/>
        <v>0</v>
      </c>
      <c r="AH182" s="264">
        <f t="shared" si="375"/>
        <v>0</v>
      </c>
      <c r="AI182" s="501">
        <v>0</v>
      </c>
      <c r="AJ182" s="264">
        <f t="shared" si="360"/>
        <v>0</v>
      </c>
      <c r="AK182" s="264">
        <f t="shared" si="361"/>
        <v>0</v>
      </c>
      <c r="AL182" s="264">
        <f t="shared" si="362"/>
        <v>0</v>
      </c>
      <c r="AM182" s="264">
        <f t="shared" si="363"/>
        <v>0</v>
      </c>
      <c r="AN182" s="640">
        <f t="shared" si="371"/>
        <v>0</v>
      </c>
      <c r="AO182" s="264">
        <f t="shared" si="364"/>
        <v>0</v>
      </c>
      <c r="AP182" s="640">
        <f t="shared" si="365"/>
        <v>0</v>
      </c>
      <c r="AQ182" s="501"/>
      <c r="AR182" s="264" t="str">
        <f>VLOOKUP($I182,TableInputsData[],ReadMe!$M$3,FALSE)&amp;"  |  "&amp;VLOOKUP($K182,TableInputsData[],ReadMe!$M$3,FALSE)</f>
        <v>PRODUIT 05  |  VOLUME</v>
      </c>
      <c r="AS182" s="264" t="b">
        <f t="shared" si="366"/>
        <v>1</v>
      </c>
      <c r="AT182" s="294"/>
    </row>
    <row r="183" spans="1:46" ht="13" x14ac:dyDescent="0.2">
      <c r="A183" s="294"/>
      <c r="B183" s="924"/>
      <c r="C183" s="271">
        <v>176</v>
      </c>
      <c r="D183" s="250">
        <f t="shared" si="372"/>
        <v>0</v>
      </c>
      <c r="E183" s="250">
        <v>1</v>
      </c>
      <c r="F183" s="248" t="s">
        <v>399</v>
      </c>
      <c r="G183" s="250">
        <f>VLOOKUP(F183,TableInputsData[],$G$6,FALSE)</f>
        <v>2029</v>
      </c>
      <c r="H183" s="250" t="str">
        <f t="shared" si="373"/>
        <v>PRODUCT</v>
      </c>
      <c r="I183" s="248" t="str">
        <f t="shared" si="373"/>
        <v>PRODUCT 05</v>
      </c>
      <c r="J183" s="248" t="str">
        <f>VLOOKUP(I183,TableInputsData[],$J$6,FALSE)</f>
        <v>-</v>
      </c>
      <c r="K183" s="248" t="str">
        <f t="shared" si="374"/>
        <v>VOLUME</v>
      </c>
      <c r="L183" s="499">
        <v>1000</v>
      </c>
      <c r="M183" s="499">
        <v>0</v>
      </c>
      <c r="N183" s="499">
        <v>0</v>
      </c>
      <c r="O183" s="264">
        <f t="shared" si="355"/>
        <v>1000</v>
      </c>
      <c r="P183" s="500">
        <v>1</v>
      </c>
      <c r="Q183" s="500">
        <v>0</v>
      </c>
      <c r="R183" s="259">
        <f t="shared" si="367"/>
        <v>0</v>
      </c>
      <c r="S183" s="626">
        <v>500</v>
      </c>
      <c r="T183" s="626">
        <v>0</v>
      </c>
      <c r="U183" s="626">
        <v>0</v>
      </c>
      <c r="V183" s="628">
        <f t="shared" si="368"/>
        <v>500</v>
      </c>
      <c r="W183" s="500">
        <v>1</v>
      </c>
      <c r="X183" s="500">
        <v>1</v>
      </c>
      <c r="Y183" s="500">
        <v>1</v>
      </c>
      <c r="Z183" s="259">
        <f t="shared" si="356"/>
        <v>0</v>
      </c>
      <c r="AA183" s="259">
        <f t="shared" si="357"/>
        <v>0</v>
      </c>
      <c r="AB183" s="259">
        <f t="shared" si="358"/>
        <v>0</v>
      </c>
      <c r="AC183" s="628">
        <f t="shared" si="369"/>
        <v>0</v>
      </c>
      <c r="AD183" s="628">
        <f t="shared" si="370"/>
        <v>0</v>
      </c>
      <c r="AE183" s="264">
        <f t="shared" si="376"/>
        <v>0</v>
      </c>
      <c r="AF183" s="264">
        <f t="shared" si="375"/>
        <v>0</v>
      </c>
      <c r="AG183" s="264">
        <f t="shared" si="375"/>
        <v>0</v>
      </c>
      <c r="AH183" s="264">
        <f t="shared" si="375"/>
        <v>0</v>
      </c>
      <c r="AI183" s="501">
        <v>0</v>
      </c>
      <c r="AJ183" s="264">
        <f t="shared" si="360"/>
        <v>0</v>
      </c>
      <c r="AK183" s="264">
        <f t="shared" si="361"/>
        <v>0</v>
      </c>
      <c r="AL183" s="264">
        <f t="shared" si="362"/>
        <v>0</v>
      </c>
      <c r="AM183" s="264">
        <f t="shared" si="363"/>
        <v>0</v>
      </c>
      <c r="AN183" s="640">
        <f t="shared" si="371"/>
        <v>0</v>
      </c>
      <c r="AO183" s="264">
        <f t="shared" si="364"/>
        <v>0</v>
      </c>
      <c r="AP183" s="640">
        <f t="shared" si="365"/>
        <v>0</v>
      </c>
      <c r="AQ183" s="501"/>
      <c r="AR183" s="264" t="str">
        <f>VLOOKUP($I183,TableInputsData[],ReadMe!$M$3,FALSE)&amp;"  |  "&amp;VLOOKUP($K183,TableInputsData[],ReadMe!$M$3,FALSE)</f>
        <v>PRODUIT 05  |  VOLUME</v>
      </c>
      <c r="AS183" s="264" t="b">
        <f t="shared" si="366"/>
        <v>1</v>
      </c>
      <c r="AT183" s="294"/>
    </row>
    <row r="184" spans="1:46" ht="13" x14ac:dyDescent="0.2">
      <c r="A184" s="294"/>
      <c r="B184" s="924"/>
      <c r="C184" s="271">
        <v>177</v>
      </c>
      <c r="D184" s="250">
        <f t="shared" si="372"/>
        <v>0</v>
      </c>
      <c r="E184" s="250">
        <v>1</v>
      </c>
      <c r="F184" s="248" t="s">
        <v>400</v>
      </c>
      <c r="G184" s="250">
        <f>VLOOKUP(F184,TableInputsData[],$G$6,FALSE)</f>
        <v>2030</v>
      </c>
      <c r="H184" s="250" t="str">
        <f t="shared" si="373"/>
        <v>PRODUCT</v>
      </c>
      <c r="I184" s="248" t="str">
        <f t="shared" si="373"/>
        <v>PRODUCT 05</v>
      </c>
      <c r="J184" s="248" t="str">
        <f>VLOOKUP(I184,TableInputsData[],$J$6,FALSE)</f>
        <v>-</v>
      </c>
      <c r="K184" s="248" t="str">
        <f t="shared" si="374"/>
        <v>VOLUME</v>
      </c>
      <c r="L184" s="499">
        <v>1000</v>
      </c>
      <c r="M184" s="499">
        <v>0</v>
      </c>
      <c r="N184" s="499">
        <v>0</v>
      </c>
      <c r="O184" s="264">
        <f t="shared" si="355"/>
        <v>1000</v>
      </c>
      <c r="P184" s="500">
        <v>1</v>
      </c>
      <c r="Q184" s="500">
        <v>0</v>
      </c>
      <c r="R184" s="259">
        <f t="shared" si="367"/>
        <v>0</v>
      </c>
      <c r="S184" s="626">
        <v>500</v>
      </c>
      <c r="T184" s="626">
        <v>0</v>
      </c>
      <c r="U184" s="626">
        <v>0</v>
      </c>
      <c r="V184" s="628">
        <f t="shared" si="368"/>
        <v>500</v>
      </c>
      <c r="W184" s="500">
        <v>1</v>
      </c>
      <c r="X184" s="500">
        <v>1</v>
      </c>
      <c r="Y184" s="500">
        <v>1</v>
      </c>
      <c r="Z184" s="259">
        <f t="shared" si="356"/>
        <v>0</v>
      </c>
      <c r="AA184" s="259">
        <f t="shared" si="357"/>
        <v>0</v>
      </c>
      <c r="AB184" s="259">
        <f t="shared" si="358"/>
        <v>0</v>
      </c>
      <c r="AC184" s="628">
        <f t="shared" si="369"/>
        <v>0</v>
      </c>
      <c r="AD184" s="628">
        <f t="shared" si="370"/>
        <v>0</v>
      </c>
      <c r="AE184" s="264">
        <f t="shared" si="376"/>
        <v>0</v>
      </c>
      <c r="AF184" s="264">
        <f t="shared" si="375"/>
        <v>0</v>
      </c>
      <c r="AG184" s="264">
        <f t="shared" si="375"/>
        <v>0</v>
      </c>
      <c r="AH184" s="264">
        <f t="shared" si="375"/>
        <v>0</v>
      </c>
      <c r="AI184" s="501">
        <v>0</v>
      </c>
      <c r="AJ184" s="264">
        <f t="shared" si="360"/>
        <v>0</v>
      </c>
      <c r="AK184" s="264">
        <f t="shared" si="361"/>
        <v>0</v>
      </c>
      <c r="AL184" s="264">
        <f t="shared" si="362"/>
        <v>0</v>
      </c>
      <c r="AM184" s="264">
        <f t="shared" si="363"/>
        <v>0</v>
      </c>
      <c r="AN184" s="640">
        <f t="shared" si="371"/>
        <v>0</v>
      </c>
      <c r="AO184" s="264">
        <f t="shared" si="364"/>
        <v>0</v>
      </c>
      <c r="AP184" s="640">
        <f t="shared" si="365"/>
        <v>0</v>
      </c>
      <c r="AQ184" s="501"/>
      <c r="AR184" s="264" t="str">
        <f>VLOOKUP($I184,TableInputsData[],ReadMe!$M$3,FALSE)&amp;"  |  "&amp;VLOOKUP($K184,TableInputsData[],ReadMe!$M$3,FALSE)</f>
        <v>PRODUIT 05  |  VOLUME</v>
      </c>
      <c r="AS184" s="264" t="b">
        <f t="shared" si="366"/>
        <v>1</v>
      </c>
      <c r="AT184" s="294"/>
    </row>
    <row r="185" spans="1:46" ht="13" hidden="1" x14ac:dyDescent="0.2">
      <c r="A185" s="294"/>
      <c r="B185" s="924"/>
      <c r="C185" s="272">
        <v>178</v>
      </c>
      <c r="D185" s="250">
        <f t="shared" si="372"/>
        <v>0</v>
      </c>
      <c r="E185" s="251"/>
      <c r="F185" s="248" t="str">
        <f t="shared" ref="F185:F192" si="377">F193</f>
        <v>YEAR-2</v>
      </c>
      <c r="G185" s="250">
        <f>VLOOKUP(F185,TableInputsData[],$G$6,FALSE)</f>
        <v>2023</v>
      </c>
      <c r="H185" s="250" t="str">
        <f t="shared" si="373"/>
        <v>PRODUCT</v>
      </c>
      <c r="I185" s="248" t="str">
        <f t="shared" si="373"/>
        <v>PRODUCT 05</v>
      </c>
      <c r="J185" s="248" t="str">
        <f>VLOOKUP(I185,TableInputsData[],$J$6,FALSE)</f>
        <v>-</v>
      </c>
      <c r="K185" s="248" t="s">
        <v>457</v>
      </c>
      <c r="L185" s="256"/>
      <c r="M185" s="256"/>
      <c r="N185" s="256"/>
      <c r="O185" s="266"/>
      <c r="P185" s="261"/>
      <c r="Q185" s="261"/>
      <c r="R185" s="261"/>
      <c r="S185" s="629"/>
      <c r="T185" s="629"/>
      <c r="U185" s="629"/>
      <c r="V185" s="629"/>
      <c r="W185" s="261"/>
      <c r="X185" s="261"/>
      <c r="Y185" s="261"/>
      <c r="Z185" s="261"/>
      <c r="AA185" s="261"/>
      <c r="AB185" s="261"/>
      <c r="AC185" s="266"/>
      <c r="AD185" s="633"/>
      <c r="AE185" s="264">
        <f>AE177*($L177*$P177+$M177*$Q177+$N177*$R177)</f>
        <v>0</v>
      </c>
      <c r="AF185" s="264">
        <f t="shared" ref="AF185:AH185" si="378">AF177*($L177*$P177+$M177*$Q177+$N177*$R177)</f>
        <v>0</v>
      </c>
      <c r="AG185" s="264">
        <f t="shared" si="378"/>
        <v>0</v>
      </c>
      <c r="AH185" s="264">
        <f t="shared" si="378"/>
        <v>0</v>
      </c>
      <c r="AI185" s="264">
        <f>$AE185+$AF185+$AG185+$AH185</f>
        <v>0</v>
      </c>
      <c r="AJ185" s="264">
        <f t="shared" ref="AJ185:AJ192" si="379">$AJ177*$L177</f>
        <v>0</v>
      </c>
      <c r="AK185" s="264">
        <f t="shared" ref="AK185:AK192" si="380">$AK177*$M177</f>
        <v>0</v>
      </c>
      <c r="AL185" s="264">
        <f t="shared" ref="AL185:AL192" si="381">$AL177*$N177</f>
        <v>0</v>
      </c>
      <c r="AM185" s="264">
        <f t="shared" ref="AM185:AM192" si="382">$AJ185*$W177+$AK185*$X177+$AL185*$Y177</f>
        <v>0</v>
      </c>
      <c r="AN185" s="640">
        <f t="shared" si="371"/>
        <v>0</v>
      </c>
      <c r="AO185" s="264">
        <f t="shared" ref="AO185:AO192" si="383">$AJ185*$Z177+$AK185*$AA177+$AL185*$AB177</f>
        <v>0</v>
      </c>
      <c r="AP185" s="640">
        <f t="shared" si="365"/>
        <v>0</v>
      </c>
      <c r="AQ185" s="264"/>
      <c r="AR185" s="264" t="str">
        <f>VLOOKUP($I185,TableInputsData[],ReadMe!$M$3,FALSE)&amp;"  |  "&amp;VLOOKUP($K185,TableInputsData[],ReadMe!$M$3,FALSE)</f>
        <v>PRODUIT 05  |  CHIFFRE D'AFFAIRES</v>
      </c>
      <c r="AS185" s="264" t="b">
        <f t="shared" ref="AS185:AS192" si="384">AND(EXACT(ROUND(AI185,2),ROUND(AJ185+AK185+AL185,2)),EXACT(ROUND(AI185,2),ROUND(AM185+AO185,2)))</f>
        <v>1</v>
      </c>
      <c r="AT185" s="294"/>
    </row>
    <row r="186" spans="1:46" ht="13" hidden="1" x14ac:dyDescent="0.2">
      <c r="A186" s="294"/>
      <c r="B186" s="924"/>
      <c r="C186" s="271">
        <v>179</v>
      </c>
      <c r="D186" s="250">
        <f t="shared" si="372"/>
        <v>0</v>
      </c>
      <c r="E186" s="250"/>
      <c r="F186" s="248" t="str">
        <f t="shared" si="377"/>
        <v>YEAR-1</v>
      </c>
      <c r="G186" s="250">
        <f>VLOOKUP(F186,TableInputsData[],$G$6,FALSE)</f>
        <v>2024</v>
      </c>
      <c r="H186" s="250" t="str">
        <f t="shared" si="373"/>
        <v>PRODUCT</v>
      </c>
      <c r="I186" s="248" t="str">
        <f t="shared" si="373"/>
        <v>PRODUCT 05</v>
      </c>
      <c r="J186" s="248" t="str">
        <f>VLOOKUP(I186,TableInputsData[],$J$6,FALSE)</f>
        <v>-</v>
      </c>
      <c r="K186" s="248" t="str">
        <f>K185</f>
        <v>REVENUE</v>
      </c>
      <c r="L186" s="255"/>
      <c r="M186" s="255"/>
      <c r="N186" s="255"/>
      <c r="O186" s="265"/>
      <c r="P186" s="260"/>
      <c r="Q186" s="260"/>
      <c r="R186" s="260"/>
      <c r="S186" s="630"/>
      <c r="T186" s="630"/>
      <c r="U186" s="630"/>
      <c r="V186" s="630"/>
      <c r="W186" s="260"/>
      <c r="X186" s="260"/>
      <c r="Y186" s="260"/>
      <c r="Z186" s="260"/>
      <c r="AA186" s="260"/>
      <c r="AB186" s="260"/>
      <c r="AC186" s="265"/>
      <c r="AD186" s="634"/>
      <c r="AE186" s="264">
        <f t="shared" ref="AE186:AH186" si="385">AE178*($L178*$P178+$M178*$Q178+$N178*$R178)</f>
        <v>0</v>
      </c>
      <c r="AF186" s="264">
        <f t="shared" si="385"/>
        <v>0</v>
      </c>
      <c r="AG186" s="264">
        <f t="shared" si="385"/>
        <v>0</v>
      </c>
      <c r="AH186" s="264">
        <f t="shared" si="385"/>
        <v>0</v>
      </c>
      <c r="AI186" s="264">
        <f t="shared" ref="AI186:AI191" si="386">$AE186+$AF186+$AG186+$AH186</f>
        <v>0</v>
      </c>
      <c r="AJ186" s="264">
        <f t="shared" si="379"/>
        <v>0</v>
      </c>
      <c r="AK186" s="264">
        <f t="shared" si="380"/>
        <v>0</v>
      </c>
      <c r="AL186" s="264">
        <f t="shared" si="381"/>
        <v>0</v>
      </c>
      <c r="AM186" s="264">
        <f t="shared" si="382"/>
        <v>0</v>
      </c>
      <c r="AN186" s="640">
        <f t="shared" si="371"/>
        <v>0</v>
      </c>
      <c r="AO186" s="264">
        <f t="shared" si="383"/>
        <v>0</v>
      </c>
      <c r="AP186" s="640">
        <f t="shared" si="365"/>
        <v>0</v>
      </c>
      <c r="AQ186" s="264"/>
      <c r="AR186" s="264" t="str">
        <f>VLOOKUP($I186,TableInputsData[],ReadMe!$M$3,FALSE)&amp;"  |  "&amp;VLOOKUP($K186,TableInputsData[],ReadMe!$M$3,FALSE)</f>
        <v>PRODUIT 05  |  CHIFFRE D'AFFAIRES</v>
      </c>
      <c r="AS186" s="264" t="b">
        <f t="shared" si="384"/>
        <v>1</v>
      </c>
      <c r="AT186" s="294"/>
    </row>
    <row r="187" spans="1:46" ht="13" hidden="1" x14ac:dyDescent="0.2">
      <c r="A187" s="294"/>
      <c r="B187" s="924"/>
      <c r="C187" s="271">
        <v>180</v>
      </c>
      <c r="D187" s="250">
        <f t="shared" si="372"/>
        <v>0</v>
      </c>
      <c r="E187" s="250"/>
      <c r="F187" s="248" t="str">
        <f t="shared" si="377"/>
        <v>CURRENT YEAR</v>
      </c>
      <c r="G187" s="250">
        <f>VLOOKUP(F187,TableInputsData[],$G$6,FALSE)</f>
        <v>2025</v>
      </c>
      <c r="H187" s="250" t="str">
        <f t="shared" si="373"/>
        <v>PRODUCT</v>
      </c>
      <c r="I187" s="248" t="str">
        <f t="shared" si="373"/>
        <v>PRODUCT 05</v>
      </c>
      <c r="J187" s="248" t="str">
        <f>VLOOKUP(I187,TableInputsData[],$J$6,FALSE)</f>
        <v>-</v>
      </c>
      <c r="K187" s="248" t="str">
        <f t="shared" ref="K187:K192" si="387">K186</f>
        <v>REVENUE</v>
      </c>
      <c r="L187" s="255"/>
      <c r="M187" s="255"/>
      <c r="N187" s="255"/>
      <c r="O187" s="265"/>
      <c r="P187" s="260"/>
      <c r="Q187" s="260"/>
      <c r="R187" s="260"/>
      <c r="S187" s="630"/>
      <c r="T187" s="630"/>
      <c r="U187" s="630"/>
      <c r="V187" s="630"/>
      <c r="W187" s="260"/>
      <c r="X187" s="260"/>
      <c r="Y187" s="260"/>
      <c r="Z187" s="260"/>
      <c r="AA187" s="260"/>
      <c r="AB187" s="260"/>
      <c r="AC187" s="265"/>
      <c r="AD187" s="634"/>
      <c r="AE187" s="264">
        <f t="shared" ref="AE187:AH187" si="388">AE179*($L179*$P179+$M179*$Q179+$N179*$R179)</f>
        <v>0</v>
      </c>
      <c r="AF187" s="264">
        <f t="shared" si="388"/>
        <v>0</v>
      </c>
      <c r="AG187" s="264">
        <f t="shared" si="388"/>
        <v>0</v>
      </c>
      <c r="AH187" s="264">
        <f t="shared" si="388"/>
        <v>0</v>
      </c>
      <c r="AI187" s="264">
        <f t="shared" si="386"/>
        <v>0</v>
      </c>
      <c r="AJ187" s="264">
        <f t="shared" si="379"/>
        <v>0</v>
      </c>
      <c r="AK187" s="264">
        <f t="shared" si="380"/>
        <v>0</v>
      </c>
      <c r="AL187" s="264">
        <f t="shared" si="381"/>
        <v>0</v>
      </c>
      <c r="AM187" s="264">
        <f t="shared" si="382"/>
        <v>0</v>
      </c>
      <c r="AN187" s="640">
        <f t="shared" si="371"/>
        <v>0</v>
      </c>
      <c r="AO187" s="264">
        <f t="shared" si="383"/>
        <v>0</v>
      </c>
      <c r="AP187" s="640">
        <f t="shared" si="365"/>
        <v>0</v>
      </c>
      <c r="AQ187" s="264"/>
      <c r="AR187" s="264" t="str">
        <f>VLOOKUP($I187,TableInputsData[],ReadMe!$M$3,FALSE)&amp;"  |  "&amp;VLOOKUP($K187,TableInputsData[],ReadMe!$M$3,FALSE)</f>
        <v>PRODUIT 05  |  CHIFFRE D'AFFAIRES</v>
      </c>
      <c r="AS187" s="264" t="b">
        <f t="shared" si="384"/>
        <v>1</v>
      </c>
      <c r="AT187" s="294"/>
    </row>
    <row r="188" spans="1:46" ht="13" hidden="1" x14ac:dyDescent="0.2">
      <c r="A188" s="294"/>
      <c r="B188" s="924"/>
      <c r="C188" s="271">
        <v>181</v>
      </c>
      <c r="D188" s="250">
        <f t="shared" si="372"/>
        <v>0</v>
      </c>
      <c r="E188" s="250"/>
      <c r="F188" s="248" t="str">
        <f t="shared" si="377"/>
        <v>YEAR2</v>
      </c>
      <c r="G188" s="250">
        <f>VLOOKUP(F188,TableInputsData[],$G$6,FALSE)</f>
        <v>2026</v>
      </c>
      <c r="H188" s="250" t="str">
        <f t="shared" si="373"/>
        <v>PRODUCT</v>
      </c>
      <c r="I188" s="248" t="str">
        <f t="shared" si="373"/>
        <v>PRODUCT 05</v>
      </c>
      <c r="J188" s="248" t="str">
        <f>VLOOKUP(I188,TableInputsData[],$J$6,FALSE)</f>
        <v>-</v>
      </c>
      <c r="K188" s="248" t="str">
        <f t="shared" si="387"/>
        <v>REVENUE</v>
      </c>
      <c r="L188" s="255"/>
      <c r="M188" s="255"/>
      <c r="N188" s="255"/>
      <c r="O188" s="265"/>
      <c r="P188" s="260"/>
      <c r="Q188" s="260"/>
      <c r="R188" s="260"/>
      <c r="S188" s="630"/>
      <c r="T188" s="630"/>
      <c r="U188" s="630"/>
      <c r="V188" s="630"/>
      <c r="W188" s="260"/>
      <c r="X188" s="260"/>
      <c r="Y188" s="260"/>
      <c r="Z188" s="260"/>
      <c r="AA188" s="260"/>
      <c r="AB188" s="260"/>
      <c r="AC188" s="265"/>
      <c r="AD188" s="634"/>
      <c r="AE188" s="264">
        <f t="shared" ref="AE188:AH188" si="389">AE180*($L180*$P180+$M180*$Q180+$N180*$R180)</f>
        <v>0</v>
      </c>
      <c r="AF188" s="264">
        <f t="shared" si="389"/>
        <v>0</v>
      </c>
      <c r="AG188" s="264">
        <f t="shared" si="389"/>
        <v>0</v>
      </c>
      <c r="AH188" s="264">
        <f t="shared" si="389"/>
        <v>0</v>
      </c>
      <c r="AI188" s="264">
        <f t="shared" si="386"/>
        <v>0</v>
      </c>
      <c r="AJ188" s="264">
        <f t="shared" si="379"/>
        <v>0</v>
      </c>
      <c r="AK188" s="264">
        <f t="shared" si="380"/>
        <v>0</v>
      </c>
      <c r="AL188" s="264">
        <f t="shared" si="381"/>
        <v>0</v>
      </c>
      <c r="AM188" s="264">
        <f t="shared" si="382"/>
        <v>0</v>
      </c>
      <c r="AN188" s="640">
        <f t="shared" si="371"/>
        <v>0</v>
      </c>
      <c r="AO188" s="264">
        <f t="shared" si="383"/>
        <v>0</v>
      </c>
      <c r="AP188" s="640">
        <f t="shared" si="365"/>
        <v>0</v>
      </c>
      <c r="AQ188" s="264"/>
      <c r="AR188" s="264" t="str">
        <f>VLOOKUP($I188,TableInputsData[],ReadMe!$M$3,FALSE)&amp;"  |  "&amp;VLOOKUP($K188,TableInputsData[],ReadMe!$M$3,FALSE)</f>
        <v>PRODUIT 05  |  CHIFFRE D'AFFAIRES</v>
      </c>
      <c r="AS188" s="264" t="b">
        <f t="shared" si="384"/>
        <v>1</v>
      </c>
      <c r="AT188" s="294"/>
    </row>
    <row r="189" spans="1:46" ht="13" hidden="1" x14ac:dyDescent="0.2">
      <c r="A189" s="294"/>
      <c r="B189" s="924"/>
      <c r="C189" s="271">
        <v>182</v>
      </c>
      <c r="D189" s="250">
        <f t="shared" si="372"/>
        <v>0</v>
      </c>
      <c r="E189" s="250"/>
      <c r="F189" s="248" t="str">
        <f t="shared" si="377"/>
        <v>YEAR3</v>
      </c>
      <c r="G189" s="250">
        <f>VLOOKUP(F189,TableInputsData[],$G$6,FALSE)</f>
        <v>2027</v>
      </c>
      <c r="H189" s="250" t="str">
        <f t="shared" si="373"/>
        <v>PRODUCT</v>
      </c>
      <c r="I189" s="248" t="str">
        <f t="shared" si="373"/>
        <v>PRODUCT 05</v>
      </c>
      <c r="J189" s="248" t="str">
        <f>VLOOKUP(I189,TableInputsData[],$J$6,FALSE)</f>
        <v>-</v>
      </c>
      <c r="K189" s="248" t="str">
        <f t="shared" si="387"/>
        <v>REVENUE</v>
      </c>
      <c r="L189" s="255"/>
      <c r="M189" s="255"/>
      <c r="N189" s="255"/>
      <c r="O189" s="265"/>
      <c r="P189" s="260"/>
      <c r="Q189" s="260"/>
      <c r="R189" s="260"/>
      <c r="S189" s="630"/>
      <c r="T189" s="630"/>
      <c r="U189" s="630"/>
      <c r="V189" s="630"/>
      <c r="W189" s="260"/>
      <c r="X189" s="260"/>
      <c r="Y189" s="260"/>
      <c r="Z189" s="260"/>
      <c r="AA189" s="260"/>
      <c r="AB189" s="260"/>
      <c r="AC189" s="265"/>
      <c r="AD189" s="634"/>
      <c r="AE189" s="264">
        <f t="shared" ref="AE189:AH189" si="390">AE181*($L181*$P181+$M181*$Q181+$N181*$R181)</f>
        <v>0</v>
      </c>
      <c r="AF189" s="264">
        <f t="shared" si="390"/>
        <v>0</v>
      </c>
      <c r="AG189" s="264">
        <f t="shared" si="390"/>
        <v>0</v>
      </c>
      <c r="AH189" s="264">
        <f t="shared" si="390"/>
        <v>0</v>
      </c>
      <c r="AI189" s="264">
        <f t="shared" si="386"/>
        <v>0</v>
      </c>
      <c r="AJ189" s="264">
        <f t="shared" si="379"/>
        <v>0</v>
      </c>
      <c r="AK189" s="264">
        <f t="shared" si="380"/>
        <v>0</v>
      </c>
      <c r="AL189" s="264">
        <f t="shared" si="381"/>
        <v>0</v>
      </c>
      <c r="AM189" s="264">
        <f t="shared" si="382"/>
        <v>0</v>
      </c>
      <c r="AN189" s="640">
        <f t="shared" si="371"/>
        <v>0</v>
      </c>
      <c r="AO189" s="264">
        <f t="shared" si="383"/>
        <v>0</v>
      </c>
      <c r="AP189" s="640">
        <f t="shared" si="365"/>
        <v>0</v>
      </c>
      <c r="AQ189" s="264"/>
      <c r="AR189" s="264" t="str">
        <f>VLOOKUP($I189,TableInputsData[],ReadMe!$M$3,FALSE)&amp;"  |  "&amp;VLOOKUP($K189,TableInputsData[],ReadMe!$M$3,FALSE)</f>
        <v>PRODUIT 05  |  CHIFFRE D'AFFAIRES</v>
      </c>
      <c r="AS189" s="264" t="b">
        <f t="shared" si="384"/>
        <v>1</v>
      </c>
      <c r="AT189" s="294"/>
    </row>
    <row r="190" spans="1:46" ht="13" hidden="1" x14ac:dyDescent="0.2">
      <c r="A190" s="294"/>
      <c r="B190" s="924"/>
      <c r="C190" s="271">
        <v>183</v>
      </c>
      <c r="D190" s="250">
        <f t="shared" si="372"/>
        <v>0</v>
      </c>
      <c r="E190" s="250"/>
      <c r="F190" s="248" t="str">
        <f t="shared" si="377"/>
        <v>YEAR4</v>
      </c>
      <c r="G190" s="250">
        <f>VLOOKUP(F190,TableInputsData[],$G$6,FALSE)</f>
        <v>2028</v>
      </c>
      <c r="H190" s="250" t="str">
        <f t="shared" si="373"/>
        <v>PRODUCT</v>
      </c>
      <c r="I190" s="248" t="str">
        <f t="shared" si="373"/>
        <v>PRODUCT 05</v>
      </c>
      <c r="J190" s="248" t="str">
        <f>VLOOKUP(I190,TableInputsData[],$J$6,FALSE)</f>
        <v>-</v>
      </c>
      <c r="K190" s="248" t="str">
        <f t="shared" si="387"/>
        <v>REVENUE</v>
      </c>
      <c r="L190" s="255"/>
      <c r="M190" s="255"/>
      <c r="N190" s="255"/>
      <c r="O190" s="265"/>
      <c r="P190" s="260"/>
      <c r="Q190" s="260"/>
      <c r="R190" s="260"/>
      <c r="S190" s="630"/>
      <c r="T190" s="630"/>
      <c r="U190" s="630"/>
      <c r="V190" s="630"/>
      <c r="W190" s="260"/>
      <c r="X190" s="260"/>
      <c r="Y190" s="260"/>
      <c r="Z190" s="260"/>
      <c r="AA190" s="260"/>
      <c r="AB190" s="260"/>
      <c r="AC190" s="265"/>
      <c r="AD190" s="634"/>
      <c r="AE190" s="264">
        <f t="shared" ref="AE190:AH190" si="391">AE182*($L182*$P182+$M182*$Q182+$N182*$R182)</f>
        <v>0</v>
      </c>
      <c r="AF190" s="264">
        <f t="shared" si="391"/>
        <v>0</v>
      </c>
      <c r="AG190" s="264">
        <f t="shared" si="391"/>
        <v>0</v>
      </c>
      <c r="AH190" s="264">
        <f t="shared" si="391"/>
        <v>0</v>
      </c>
      <c r="AI190" s="264">
        <f t="shared" si="386"/>
        <v>0</v>
      </c>
      <c r="AJ190" s="264">
        <f t="shared" si="379"/>
        <v>0</v>
      </c>
      <c r="AK190" s="264">
        <f t="shared" si="380"/>
        <v>0</v>
      </c>
      <c r="AL190" s="264">
        <f t="shared" si="381"/>
        <v>0</v>
      </c>
      <c r="AM190" s="264">
        <f t="shared" si="382"/>
        <v>0</v>
      </c>
      <c r="AN190" s="640">
        <f t="shared" si="371"/>
        <v>0</v>
      </c>
      <c r="AO190" s="264">
        <f t="shared" si="383"/>
        <v>0</v>
      </c>
      <c r="AP190" s="640">
        <f t="shared" si="365"/>
        <v>0</v>
      </c>
      <c r="AQ190" s="264"/>
      <c r="AR190" s="264" t="str">
        <f>VLOOKUP($I190,TableInputsData[],ReadMe!$M$3,FALSE)&amp;"  |  "&amp;VLOOKUP($K190,TableInputsData[],ReadMe!$M$3,FALSE)</f>
        <v>PRODUIT 05  |  CHIFFRE D'AFFAIRES</v>
      </c>
      <c r="AS190" s="264" t="b">
        <f t="shared" si="384"/>
        <v>1</v>
      </c>
      <c r="AT190" s="294"/>
    </row>
    <row r="191" spans="1:46" ht="13" hidden="1" x14ac:dyDescent="0.2">
      <c r="A191" s="294"/>
      <c r="B191" s="924"/>
      <c r="C191" s="271">
        <v>184</v>
      </c>
      <c r="D191" s="250">
        <f t="shared" si="372"/>
        <v>0</v>
      </c>
      <c r="E191" s="250"/>
      <c r="F191" s="248" t="str">
        <f t="shared" si="377"/>
        <v>YEAR5</v>
      </c>
      <c r="G191" s="250">
        <f>VLOOKUP(F191,TableInputsData[],$G$6,FALSE)</f>
        <v>2029</v>
      </c>
      <c r="H191" s="250" t="str">
        <f t="shared" si="373"/>
        <v>PRODUCT</v>
      </c>
      <c r="I191" s="248" t="str">
        <f t="shared" si="373"/>
        <v>PRODUCT 05</v>
      </c>
      <c r="J191" s="248" t="str">
        <f>VLOOKUP(I191,TableInputsData[],$J$6,FALSE)</f>
        <v>-</v>
      </c>
      <c r="K191" s="248" t="str">
        <f t="shared" si="387"/>
        <v>REVENUE</v>
      </c>
      <c r="L191" s="255"/>
      <c r="M191" s="255"/>
      <c r="N191" s="255"/>
      <c r="O191" s="265"/>
      <c r="P191" s="260"/>
      <c r="Q191" s="260"/>
      <c r="R191" s="260"/>
      <c r="S191" s="630"/>
      <c r="T191" s="630"/>
      <c r="U191" s="630"/>
      <c r="V191" s="630"/>
      <c r="W191" s="260"/>
      <c r="X191" s="260"/>
      <c r="Y191" s="260"/>
      <c r="Z191" s="260"/>
      <c r="AA191" s="260"/>
      <c r="AB191" s="260"/>
      <c r="AC191" s="265"/>
      <c r="AD191" s="634"/>
      <c r="AE191" s="264">
        <f t="shared" ref="AE191:AH191" si="392">AE183*($L183*$P183+$M183*$Q183+$N183*$R183)</f>
        <v>0</v>
      </c>
      <c r="AF191" s="264">
        <f t="shared" si="392"/>
        <v>0</v>
      </c>
      <c r="AG191" s="264">
        <f t="shared" si="392"/>
        <v>0</v>
      </c>
      <c r="AH191" s="264">
        <f t="shared" si="392"/>
        <v>0</v>
      </c>
      <c r="AI191" s="264">
        <f t="shared" si="386"/>
        <v>0</v>
      </c>
      <c r="AJ191" s="264">
        <f t="shared" si="379"/>
        <v>0</v>
      </c>
      <c r="AK191" s="264">
        <f t="shared" si="380"/>
        <v>0</v>
      </c>
      <c r="AL191" s="264">
        <f t="shared" si="381"/>
        <v>0</v>
      </c>
      <c r="AM191" s="264">
        <f t="shared" si="382"/>
        <v>0</v>
      </c>
      <c r="AN191" s="640">
        <f t="shared" si="371"/>
        <v>0</v>
      </c>
      <c r="AO191" s="264">
        <f t="shared" si="383"/>
        <v>0</v>
      </c>
      <c r="AP191" s="640">
        <f t="shared" si="365"/>
        <v>0</v>
      </c>
      <c r="AQ191" s="264"/>
      <c r="AR191" s="264" t="str">
        <f>VLOOKUP($I191,TableInputsData[],ReadMe!$M$3,FALSE)&amp;"  |  "&amp;VLOOKUP($K191,TableInputsData[],ReadMe!$M$3,FALSE)</f>
        <v>PRODUIT 05  |  CHIFFRE D'AFFAIRES</v>
      </c>
      <c r="AS191" s="264" t="b">
        <f t="shared" si="384"/>
        <v>1</v>
      </c>
      <c r="AT191" s="294"/>
    </row>
    <row r="192" spans="1:46" ht="13" hidden="1" x14ac:dyDescent="0.2">
      <c r="A192" s="294"/>
      <c r="B192" s="924"/>
      <c r="C192" s="271">
        <v>185</v>
      </c>
      <c r="D192" s="250">
        <f t="shared" si="372"/>
        <v>0</v>
      </c>
      <c r="E192" s="250"/>
      <c r="F192" s="248" t="str">
        <f t="shared" si="377"/>
        <v>YEAR6</v>
      </c>
      <c r="G192" s="250">
        <f>VLOOKUP(F192,TableInputsData[],$G$6,FALSE)</f>
        <v>2030</v>
      </c>
      <c r="H192" s="250" t="str">
        <f t="shared" si="373"/>
        <v>PRODUCT</v>
      </c>
      <c r="I192" s="248" t="str">
        <f t="shared" si="373"/>
        <v>PRODUCT 05</v>
      </c>
      <c r="J192" s="248" t="str">
        <f>VLOOKUP(I192,TableInputsData[],$J$6,FALSE)</f>
        <v>-</v>
      </c>
      <c r="K192" s="248" t="str">
        <f t="shared" si="387"/>
        <v>REVENUE</v>
      </c>
      <c r="L192" s="255"/>
      <c r="M192" s="255"/>
      <c r="N192" s="255"/>
      <c r="O192" s="265"/>
      <c r="P192" s="260"/>
      <c r="Q192" s="260"/>
      <c r="R192" s="260"/>
      <c r="S192" s="630"/>
      <c r="T192" s="630"/>
      <c r="U192" s="630"/>
      <c r="V192" s="630"/>
      <c r="W192" s="260"/>
      <c r="X192" s="260"/>
      <c r="Y192" s="260"/>
      <c r="Z192" s="260"/>
      <c r="AA192" s="260"/>
      <c r="AB192" s="260"/>
      <c r="AC192" s="265"/>
      <c r="AD192" s="634"/>
      <c r="AE192" s="264">
        <f t="shared" ref="AE192:AH192" si="393">AE184*($L184*$P184+$M184*$Q184+$N184*$R184)</f>
        <v>0</v>
      </c>
      <c r="AF192" s="264">
        <f t="shared" si="393"/>
        <v>0</v>
      </c>
      <c r="AG192" s="264">
        <f t="shared" si="393"/>
        <v>0</v>
      </c>
      <c r="AH192" s="264">
        <f t="shared" si="393"/>
        <v>0</v>
      </c>
      <c r="AI192" s="264">
        <f>$AE192+$AF192+$AG192+$AH192</f>
        <v>0</v>
      </c>
      <c r="AJ192" s="264">
        <f t="shared" si="379"/>
        <v>0</v>
      </c>
      <c r="AK192" s="264">
        <f t="shared" si="380"/>
        <v>0</v>
      </c>
      <c r="AL192" s="264">
        <f t="shared" si="381"/>
        <v>0</v>
      </c>
      <c r="AM192" s="264">
        <f t="shared" si="382"/>
        <v>0</v>
      </c>
      <c r="AN192" s="640">
        <f t="shared" si="371"/>
        <v>0</v>
      </c>
      <c r="AO192" s="264">
        <f t="shared" si="383"/>
        <v>0</v>
      </c>
      <c r="AP192" s="640">
        <f t="shared" si="365"/>
        <v>0</v>
      </c>
      <c r="AQ192" s="264"/>
      <c r="AR192" s="264" t="str">
        <f>VLOOKUP($I192,TableInputsData[],ReadMe!$M$3,FALSE)&amp;"  |  "&amp;VLOOKUP($K192,TableInputsData[],ReadMe!$M$3,FALSE)</f>
        <v>PRODUIT 05  |  CHIFFRE D'AFFAIRES</v>
      </c>
      <c r="AS192" s="264" t="b">
        <f t="shared" si="384"/>
        <v>1</v>
      </c>
      <c r="AT192" s="294"/>
    </row>
    <row r="193" spans="1:46" ht="13" hidden="1" x14ac:dyDescent="0.2">
      <c r="A193" s="294"/>
      <c r="B193" s="924"/>
      <c r="C193" s="271">
        <v>186</v>
      </c>
      <c r="D193" s="250">
        <f t="shared" si="372"/>
        <v>0</v>
      </c>
      <c r="E193" s="250"/>
      <c r="F193" s="248" t="str">
        <f t="shared" ref="F193:F200" si="394">F177</f>
        <v>YEAR-2</v>
      </c>
      <c r="G193" s="250">
        <f>VLOOKUP(F193,TableInputsData[],$G$6,FALSE)</f>
        <v>2023</v>
      </c>
      <c r="H193" s="250" t="str">
        <f t="shared" si="373"/>
        <v>PRODUCT</v>
      </c>
      <c r="I193" s="248" t="str">
        <f t="shared" si="373"/>
        <v>PRODUCT 05</v>
      </c>
      <c r="J193" s="248" t="str">
        <f>VLOOKUP(I193,TableInputsData[],$J$6,FALSE)</f>
        <v>-</v>
      </c>
      <c r="K193" s="248" t="s">
        <v>456</v>
      </c>
      <c r="L193" s="255"/>
      <c r="M193" s="255"/>
      <c r="N193" s="255"/>
      <c r="O193" s="265"/>
      <c r="P193" s="260"/>
      <c r="Q193" s="260"/>
      <c r="R193" s="260"/>
      <c r="S193" s="630"/>
      <c r="T193" s="630"/>
      <c r="U193" s="630"/>
      <c r="V193" s="630"/>
      <c r="W193" s="260"/>
      <c r="X193" s="260"/>
      <c r="Y193" s="260"/>
      <c r="Z193" s="260"/>
      <c r="AA193" s="260"/>
      <c r="AB193" s="260"/>
      <c r="AC193" s="265"/>
      <c r="AD193" s="634"/>
      <c r="AE193" s="264">
        <f>IF(AE177=0,0,AE185/AE177)</f>
        <v>0</v>
      </c>
      <c r="AF193" s="264">
        <f t="shared" ref="AF193:AI193" si="395">IF(AF177=0,0,AF185/AF177)</f>
        <v>0</v>
      </c>
      <c r="AG193" s="264">
        <f t="shared" si="395"/>
        <v>0</v>
      </c>
      <c r="AH193" s="264">
        <f t="shared" si="395"/>
        <v>0</v>
      </c>
      <c r="AI193" s="264">
        <f t="shared" si="395"/>
        <v>0</v>
      </c>
      <c r="AJ193" s="264">
        <f>IF(AJ177=0,0,AJ185/AJ177)</f>
        <v>0</v>
      </c>
      <c r="AK193" s="264">
        <f t="shared" ref="AK193:AL193" si="396">IF(AK177=0,0,AK185/AK177)</f>
        <v>0</v>
      </c>
      <c r="AL193" s="264">
        <f t="shared" si="396"/>
        <v>0</v>
      </c>
      <c r="AM193" s="264">
        <f>IF(AM177=0,0,AM185/AM177)</f>
        <v>0</v>
      </c>
      <c r="AN193" s="260"/>
      <c r="AO193" s="264">
        <f t="shared" ref="AO193" si="397">IF(AO177=0,0,AO185/AO177)</f>
        <v>0</v>
      </c>
      <c r="AP193" s="260"/>
      <c r="AQ193" s="264"/>
      <c r="AR193" s="264" t="str">
        <f>VLOOKUP($I193,TableInputsData[],ReadMe!$M$3,FALSE)&amp;"  |  "&amp;VLOOKUP($K193,TableInputsData[],ReadMe!$M$3,FALSE)</f>
        <v>PRODUIT 05  |  PRIX MOYEN DE VENTE PAR PRODUIT/SERVICE</v>
      </c>
      <c r="AS193" s="264"/>
      <c r="AT193" s="294"/>
    </row>
    <row r="194" spans="1:46" ht="13" hidden="1" x14ac:dyDescent="0.2">
      <c r="A194" s="294"/>
      <c r="B194" s="924"/>
      <c r="C194" s="271">
        <v>187</v>
      </c>
      <c r="D194" s="250">
        <f t="shared" si="372"/>
        <v>0</v>
      </c>
      <c r="E194" s="250"/>
      <c r="F194" s="248" t="str">
        <f t="shared" si="394"/>
        <v>YEAR-1</v>
      </c>
      <c r="G194" s="250">
        <f>VLOOKUP(F194,TableInputsData[],$G$6,FALSE)</f>
        <v>2024</v>
      </c>
      <c r="H194" s="250" t="str">
        <f t="shared" si="373"/>
        <v>PRODUCT</v>
      </c>
      <c r="I194" s="248" t="str">
        <f t="shared" si="373"/>
        <v>PRODUCT 05</v>
      </c>
      <c r="J194" s="248" t="str">
        <f>VLOOKUP(I194,TableInputsData[],$J$6,FALSE)</f>
        <v>-</v>
      </c>
      <c r="K194" s="248" t="str">
        <f>K193</f>
        <v>AVERAGE SELLING PRICE PER UNIT</v>
      </c>
      <c r="L194" s="255"/>
      <c r="M194" s="255"/>
      <c r="N194" s="255"/>
      <c r="O194" s="265"/>
      <c r="P194" s="260"/>
      <c r="Q194" s="260"/>
      <c r="R194" s="260"/>
      <c r="S194" s="630"/>
      <c r="T194" s="630"/>
      <c r="U194" s="630"/>
      <c r="V194" s="630"/>
      <c r="W194" s="260"/>
      <c r="X194" s="260"/>
      <c r="Y194" s="260"/>
      <c r="Z194" s="260"/>
      <c r="AA194" s="260"/>
      <c r="AB194" s="260"/>
      <c r="AC194" s="265"/>
      <c r="AD194" s="634"/>
      <c r="AE194" s="264">
        <f>IF(AE178=0,0,AE186/AE178)</f>
        <v>0</v>
      </c>
      <c r="AF194" s="264">
        <f t="shared" ref="AF194:AM194" si="398">IF(AF178=0,0,AF186/AF178)</f>
        <v>0</v>
      </c>
      <c r="AG194" s="264">
        <f t="shared" si="398"/>
        <v>0</v>
      </c>
      <c r="AH194" s="264">
        <f t="shared" si="398"/>
        <v>0</v>
      </c>
      <c r="AI194" s="264">
        <f t="shared" si="398"/>
        <v>0</v>
      </c>
      <c r="AJ194" s="264">
        <f t="shared" si="398"/>
        <v>0</v>
      </c>
      <c r="AK194" s="264">
        <f t="shared" si="398"/>
        <v>0</v>
      </c>
      <c r="AL194" s="264">
        <f t="shared" si="398"/>
        <v>0</v>
      </c>
      <c r="AM194" s="264">
        <f t="shared" si="398"/>
        <v>0</v>
      </c>
      <c r="AN194" s="260"/>
      <c r="AO194" s="264">
        <f t="shared" ref="AO194" si="399">IF(AO178=0,0,AO186/AO178)</f>
        <v>0</v>
      </c>
      <c r="AP194" s="260"/>
      <c r="AQ194" s="264"/>
      <c r="AR194" s="264" t="str">
        <f>VLOOKUP($I194,TableInputsData[],ReadMe!$M$3,FALSE)&amp;"  |  "&amp;VLOOKUP($K194,TableInputsData[],ReadMe!$M$3,FALSE)</f>
        <v>PRODUIT 05  |  PRIX MOYEN DE VENTE PAR PRODUIT/SERVICE</v>
      </c>
      <c r="AS194" s="264"/>
      <c r="AT194" s="294"/>
    </row>
    <row r="195" spans="1:46" ht="13" hidden="1" x14ac:dyDescent="0.2">
      <c r="A195" s="294"/>
      <c r="B195" s="924"/>
      <c r="C195" s="271">
        <v>188</v>
      </c>
      <c r="D195" s="250">
        <f t="shared" si="372"/>
        <v>0</v>
      </c>
      <c r="E195" s="250"/>
      <c r="F195" s="248" t="str">
        <f t="shared" si="394"/>
        <v>CURRENT YEAR</v>
      </c>
      <c r="G195" s="250">
        <f>VLOOKUP(F195,TableInputsData[],$G$6,FALSE)</f>
        <v>2025</v>
      </c>
      <c r="H195" s="250" t="str">
        <f t="shared" si="373"/>
        <v>PRODUCT</v>
      </c>
      <c r="I195" s="248" t="str">
        <f t="shared" si="373"/>
        <v>PRODUCT 05</v>
      </c>
      <c r="J195" s="248" t="str">
        <f>VLOOKUP(I195,TableInputsData[],$J$6,FALSE)</f>
        <v>-</v>
      </c>
      <c r="K195" s="248" t="str">
        <f t="shared" ref="K195:K200" si="400">K194</f>
        <v>AVERAGE SELLING PRICE PER UNIT</v>
      </c>
      <c r="L195" s="255"/>
      <c r="M195" s="255"/>
      <c r="N195" s="255"/>
      <c r="O195" s="265"/>
      <c r="P195" s="260"/>
      <c r="Q195" s="260"/>
      <c r="R195" s="260"/>
      <c r="S195" s="630"/>
      <c r="T195" s="630"/>
      <c r="U195" s="630"/>
      <c r="V195" s="630"/>
      <c r="W195" s="260"/>
      <c r="X195" s="260"/>
      <c r="Y195" s="260"/>
      <c r="Z195" s="260"/>
      <c r="AA195" s="260"/>
      <c r="AB195" s="260"/>
      <c r="AC195" s="265"/>
      <c r="AD195" s="634"/>
      <c r="AE195" s="264">
        <f>IF(AE179=0,0,AE187/AE179)</f>
        <v>0</v>
      </c>
      <c r="AF195" s="264">
        <f t="shared" ref="AF195:AM195" si="401">IF(AF179=0,0,AF187/AF179)</f>
        <v>0</v>
      </c>
      <c r="AG195" s="264">
        <f t="shared" si="401"/>
        <v>0</v>
      </c>
      <c r="AH195" s="264">
        <f t="shared" si="401"/>
        <v>0</v>
      </c>
      <c r="AI195" s="264">
        <f t="shared" si="401"/>
        <v>0</v>
      </c>
      <c r="AJ195" s="264">
        <f t="shared" si="401"/>
        <v>0</v>
      </c>
      <c r="AK195" s="264">
        <f t="shared" si="401"/>
        <v>0</v>
      </c>
      <c r="AL195" s="264">
        <f t="shared" si="401"/>
        <v>0</v>
      </c>
      <c r="AM195" s="264">
        <f t="shared" si="401"/>
        <v>0</v>
      </c>
      <c r="AN195" s="260"/>
      <c r="AO195" s="264">
        <f t="shared" ref="AO195" si="402">IF(AO179=0,0,AO187/AO179)</f>
        <v>0</v>
      </c>
      <c r="AP195" s="260"/>
      <c r="AQ195" s="264"/>
      <c r="AR195" s="264" t="str">
        <f>VLOOKUP($I195,TableInputsData[],ReadMe!$M$3,FALSE)&amp;"  |  "&amp;VLOOKUP($K195,TableInputsData[],ReadMe!$M$3,FALSE)</f>
        <v>PRODUIT 05  |  PRIX MOYEN DE VENTE PAR PRODUIT/SERVICE</v>
      </c>
      <c r="AS195" s="264"/>
      <c r="AT195" s="294"/>
    </row>
    <row r="196" spans="1:46" ht="13" hidden="1" x14ac:dyDescent="0.2">
      <c r="A196" s="294"/>
      <c r="B196" s="924"/>
      <c r="C196" s="271">
        <v>189</v>
      </c>
      <c r="D196" s="250">
        <f t="shared" si="372"/>
        <v>0</v>
      </c>
      <c r="E196" s="250"/>
      <c r="F196" s="248" t="str">
        <f t="shared" si="394"/>
        <v>YEAR2</v>
      </c>
      <c r="G196" s="250">
        <f>VLOOKUP(F196,TableInputsData[],$G$6,FALSE)</f>
        <v>2026</v>
      </c>
      <c r="H196" s="250" t="str">
        <f t="shared" si="373"/>
        <v>PRODUCT</v>
      </c>
      <c r="I196" s="248" t="str">
        <f t="shared" si="373"/>
        <v>PRODUCT 05</v>
      </c>
      <c r="J196" s="248" t="str">
        <f>VLOOKUP(I196,TableInputsData[],$J$6,FALSE)</f>
        <v>-</v>
      </c>
      <c r="K196" s="248" t="str">
        <f t="shared" si="400"/>
        <v>AVERAGE SELLING PRICE PER UNIT</v>
      </c>
      <c r="L196" s="255"/>
      <c r="M196" s="255"/>
      <c r="N196" s="255"/>
      <c r="O196" s="265"/>
      <c r="P196" s="260"/>
      <c r="Q196" s="260"/>
      <c r="R196" s="260"/>
      <c r="S196" s="630"/>
      <c r="T196" s="630"/>
      <c r="U196" s="630"/>
      <c r="V196" s="630"/>
      <c r="W196" s="260"/>
      <c r="X196" s="260"/>
      <c r="Y196" s="260"/>
      <c r="Z196" s="260"/>
      <c r="AA196" s="260"/>
      <c r="AB196" s="260"/>
      <c r="AC196" s="265"/>
      <c r="AD196" s="634"/>
      <c r="AE196" s="264">
        <f>IF(AE180=0,0,AE188/AE180)</f>
        <v>0</v>
      </c>
      <c r="AF196" s="264">
        <f t="shared" ref="AF196:AM196" si="403">IF(AF180=0,0,AF188/AF180)</f>
        <v>0</v>
      </c>
      <c r="AG196" s="264">
        <f t="shared" si="403"/>
        <v>0</v>
      </c>
      <c r="AH196" s="264">
        <f t="shared" si="403"/>
        <v>0</v>
      </c>
      <c r="AI196" s="264">
        <f t="shared" si="403"/>
        <v>0</v>
      </c>
      <c r="AJ196" s="264">
        <f t="shared" si="403"/>
        <v>0</v>
      </c>
      <c r="AK196" s="264">
        <f t="shared" si="403"/>
        <v>0</v>
      </c>
      <c r="AL196" s="264">
        <f t="shared" si="403"/>
        <v>0</v>
      </c>
      <c r="AM196" s="264">
        <f t="shared" si="403"/>
        <v>0</v>
      </c>
      <c r="AN196" s="260"/>
      <c r="AO196" s="264">
        <f t="shared" ref="AO196" si="404">IF(AO180=0,0,AO188/AO180)</f>
        <v>0</v>
      </c>
      <c r="AP196" s="260"/>
      <c r="AQ196" s="264"/>
      <c r="AR196" s="264" t="str">
        <f>VLOOKUP($I196,TableInputsData[],ReadMe!$M$3,FALSE)&amp;"  |  "&amp;VLOOKUP($K196,TableInputsData[],ReadMe!$M$3,FALSE)</f>
        <v>PRODUIT 05  |  PRIX MOYEN DE VENTE PAR PRODUIT/SERVICE</v>
      </c>
      <c r="AS196" s="264"/>
      <c r="AT196" s="294"/>
    </row>
    <row r="197" spans="1:46" ht="13" hidden="1" x14ac:dyDescent="0.2">
      <c r="A197" s="294"/>
      <c r="B197" s="924"/>
      <c r="C197" s="271">
        <v>190</v>
      </c>
      <c r="D197" s="250">
        <f t="shared" si="372"/>
        <v>0</v>
      </c>
      <c r="E197" s="250"/>
      <c r="F197" s="248" t="str">
        <f t="shared" si="394"/>
        <v>YEAR3</v>
      </c>
      <c r="G197" s="250">
        <f>VLOOKUP(F197,TableInputsData[],$G$6,FALSE)</f>
        <v>2027</v>
      </c>
      <c r="H197" s="250" t="str">
        <f t="shared" si="373"/>
        <v>PRODUCT</v>
      </c>
      <c r="I197" s="248" t="str">
        <f t="shared" si="373"/>
        <v>PRODUCT 05</v>
      </c>
      <c r="J197" s="248" t="str">
        <f>VLOOKUP(I197,TableInputsData[],$J$6,FALSE)</f>
        <v>-</v>
      </c>
      <c r="K197" s="248" t="str">
        <f t="shared" si="400"/>
        <v>AVERAGE SELLING PRICE PER UNIT</v>
      </c>
      <c r="L197" s="255"/>
      <c r="M197" s="255"/>
      <c r="N197" s="255"/>
      <c r="O197" s="265"/>
      <c r="P197" s="260"/>
      <c r="Q197" s="260"/>
      <c r="R197" s="260"/>
      <c r="S197" s="630"/>
      <c r="T197" s="630"/>
      <c r="U197" s="630"/>
      <c r="V197" s="630"/>
      <c r="W197" s="260"/>
      <c r="X197" s="260"/>
      <c r="Y197" s="260"/>
      <c r="Z197" s="260"/>
      <c r="AA197" s="260"/>
      <c r="AB197" s="260"/>
      <c r="AC197" s="265"/>
      <c r="AD197" s="634"/>
      <c r="AE197" s="264">
        <f t="shared" ref="AE197:AM197" si="405">IF(AE181=0,0,AE189/AE181)</f>
        <v>0</v>
      </c>
      <c r="AF197" s="264">
        <f t="shared" si="405"/>
        <v>0</v>
      </c>
      <c r="AG197" s="264">
        <f t="shared" si="405"/>
        <v>0</v>
      </c>
      <c r="AH197" s="264">
        <f t="shared" si="405"/>
        <v>0</v>
      </c>
      <c r="AI197" s="264">
        <f t="shared" si="405"/>
        <v>0</v>
      </c>
      <c r="AJ197" s="264">
        <f t="shared" si="405"/>
        <v>0</v>
      </c>
      <c r="AK197" s="264">
        <f t="shared" si="405"/>
        <v>0</v>
      </c>
      <c r="AL197" s="264">
        <f t="shared" si="405"/>
        <v>0</v>
      </c>
      <c r="AM197" s="264">
        <f t="shared" si="405"/>
        <v>0</v>
      </c>
      <c r="AN197" s="260"/>
      <c r="AO197" s="264">
        <f t="shared" ref="AO197" si="406">IF(AO181=0,0,AO189/AO181)</f>
        <v>0</v>
      </c>
      <c r="AP197" s="260"/>
      <c r="AQ197" s="264"/>
      <c r="AR197" s="264" t="str">
        <f>VLOOKUP($I197,TableInputsData[],ReadMe!$M$3,FALSE)&amp;"  |  "&amp;VLOOKUP($K197,TableInputsData[],ReadMe!$M$3,FALSE)</f>
        <v>PRODUIT 05  |  PRIX MOYEN DE VENTE PAR PRODUIT/SERVICE</v>
      </c>
      <c r="AS197" s="264"/>
      <c r="AT197" s="294"/>
    </row>
    <row r="198" spans="1:46" ht="13" hidden="1" x14ac:dyDescent="0.2">
      <c r="A198" s="294"/>
      <c r="B198" s="924"/>
      <c r="C198" s="272">
        <v>191</v>
      </c>
      <c r="D198" s="250">
        <f t="shared" si="372"/>
        <v>0</v>
      </c>
      <c r="E198" s="251"/>
      <c r="F198" s="248" t="str">
        <f t="shared" si="394"/>
        <v>YEAR4</v>
      </c>
      <c r="G198" s="250">
        <f>VLOOKUP(F198,TableInputsData[],$G$6,FALSE)</f>
        <v>2028</v>
      </c>
      <c r="H198" s="250" t="str">
        <f t="shared" si="373"/>
        <v>PRODUCT</v>
      </c>
      <c r="I198" s="248" t="str">
        <f t="shared" si="373"/>
        <v>PRODUCT 05</v>
      </c>
      <c r="J198" s="248" t="str">
        <f>VLOOKUP(I198,TableInputsData[],$J$6,FALSE)</f>
        <v>-</v>
      </c>
      <c r="K198" s="248" t="str">
        <f t="shared" si="400"/>
        <v>AVERAGE SELLING PRICE PER UNIT</v>
      </c>
      <c r="L198" s="256"/>
      <c r="M198" s="256"/>
      <c r="N198" s="256"/>
      <c r="O198" s="266"/>
      <c r="P198" s="261"/>
      <c r="Q198" s="261"/>
      <c r="R198" s="261"/>
      <c r="S198" s="629"/>
      <c r="T198" s="629"/>
      <c r="U198" s="629"/>
      <c r="V198" s="629"/>
      <c r="W198" s="261"/>
      <c r="X198" s="261"/>
      <c r="Y198" s="261"/>
      <c r="Z198" s="261"/>
      <c r="AA198" s="261"/>
      <c r="AB198" s="261"/>
      <c r="AC198" s="266"/>
      <c r="AD198" s="633"/>
      <c r="AE198" s="264">
        <f t="shared" ref="AE198:AM198" si="407">IF(AE182=0,0,AE190/AE182)</f>
        <v>0</v>
      </c>
      <c r="AF198" s="264">
        <f t="shared" si="407"/>
        <v>0</v>
      </c>
      <c r="AG198" s="264">
        <f t="shared" si="407"/>
        <v>0</v>
      </c>
      <c r="AH198" s="264">
        <f t="shared" si="407"/>
        <v>0</v>
      </c>
      <c r="AI198" s="264">
        <f t="shared" si="407"/>
        <v>0</v>
      </c>
      <c r="AJ198" s="264">
        <f t="shared" si="407"/>
        <v>0</v>
      </c>
      <c r="AK198" s="264">
        <f t="shared" si="407"/>
        <v>0</v>
      </c>
      <c r="AL198" s="264">
        <f t="shared" si="407"/>
        <v>0</v>
      </c>
      <c r="AM198" s="264">
        <f t="shared" si="407"/>
        <v>0</v>
      </c>
      <c r="AN198" s="260"/>
      <c r="AO198" s="264">
        <f t="shared" ref="AO198" si="408">IF(AO182=0,0,AO190/AO182)</f>
        <v>0</v>
      </c>
      <c r="AP198" s="260"/>
      <c r="AQ198" s="264"/>
      <c r="AR198" s="264" t="str">
        <f>VLOOKUP($I198,TableInputsData[],ReadMe!$M$3,FALSE)&amp;"  |  "&amp;VLOOKUP($K198,TableInputsData[],ReadMe!$M$3,FALSE)</f>
        <v>PRODUIT 05  |  PRIX MOYEN DE VENTE PAR PRODUIT/SERVICE</v>
      </c>
      <c r="AS198" s="264"/>
      <c r="AT198" s="294"/>
    </row>
    <row r="199" spans="1:46" ht="13" hidden="1" x14ac:dyDescent="0.2">
      <c r="A199" s="294"/>
      <c r="B199" s="924"/>
      <c r="C199" s="271">
        <v>192</v>
      </c>
      <c r="D199" s="250">
        <f t="shared" si="372"/>
        <v>0</v>
      </c>
      <c r="E199" s="250"/>
      <c r="F199" s="248" t="str">
        <f t="shared" si="394"/>
        <v>YEAR5</v>
      </c>
      <c r="G199" s="250">
        <f>VLOOKUP(F199,TableInputsData[],$G$6,FALSE)</f>
        <v>2029</v>
      </c>
      <c r="H199" s="250" t="str">
        <f t="shared" si="373"/>
        <v>PRODUCT</v>
      </c>
      <c r="I199" s="248" t="str">
        <f t="shared" si="373"/>
        <v>PRODUCT 05</v>
      </c>
      <c r="J199" s="248" t="str">
        <f>VLOOKUP(I199,TableInputsData[],$J$6,FALSE)</f>
        <v>-</v>
      </c>
      <c r="K199" s="248" t="str">
        <f t="shared" si="400"/>
        <v>AVERAGE SELLING PRICE PER UNIT</v>
      </c>
      <c r="L199" s="255"/>
      <c r="M199" s="255"/>
      <c r="N199" s="255"/>
      <c r="O199" s="265"/>
      <c r="P199" s="260"/>
      <c r="Q199" s="260"/>
      <c r="R199" s="260"/>
      <c r="S199" s="630"/>
      <c r="T199" s="630"/>
      <c r="U199" s="630"/>
      <c r="V199" s="630"/>
      <c r="W199" s="260"/>
      <c r="X199" s="260"/>
      <c r="Y199" s="260"/>
      <c r="Z199" s="260"/>
      <c r="AA199" s="260"/>
      <c r="AB199" s="260"/>
      <c r="AC199" s="265"/>
      <c r="AD199" s="634"/>
      <c r="AE199" s="264">
        <f t="shared" ref="AE199:AM199" si="409">IF(AE183=0,0,AE191/AE183)</f>
        <v>0</v>
      </c>
      <c r="AF199" s="264">
        <f t="shared" si="409"/>
        <v>0</v>
      </c>
      <c r="AG199" s="264">
        <f t="shared" si="409"/>
        <v>0</v>
      </c>
      <c r="AH199" s="264">
        <f t="shared" si="409"/>
        <v>0</v>
      </c>
      <c r="AI199" s="264">
        <f t="shared" si="409"/>
        <v>0</v>
      </c>
      <c r="AJ199" s="264">
        <f t="shared" si="409"/>
        <v>0</v>
      </c>
      <c r="AK199" s="264">
        <f t="shared" si="409"/>
        <v>0</v>
      </c>
      <c r="AL199" s="264">
        <f t="shared" si="409"/>
        <v>0</v>
      </c>
      <c r="AM199" s="264">
        <f t="shared" si="409"/>
        <v>0</v>
      </c>
      <c r="AN199" s="260"/>
      <c r="AO199" s="264">
        <f t="shared" ref="AO199" si="410">IF(AO183=0,0,AO191/AO183)</f>
        <v>0</v>
      </c>
      <c r="AP199" s="260"/>
      <c r="AQ199" s="264"/>
      <c r="AR199" s="264" t="str">
        <f>VLOOKUP($I199,TableInputsData[],ReadMe!$M$3,FALSE)&amp;"  |  "&amp;VLOOKUP($K199,TableInputsData[],ReadMe!$M$3,FALSE)</f>
        <v>PRODUIT 05  |  PRIX MOYEN DE VENTE PAR PRODUIT/SERVICE</v>
      </c>
      <c r="AS199" s="264"/>
      <c r="AT199" s="294"/>
    </row>
    <row r="200" spans="1:46" ht="13" hidden="1" x14ac:dyDescent="0.2">
      <c r="A200" s="294"/>
      <c r="B200" s="924"/>
      <c r="C200" s="271">
        <v>193</v>
      </c>
      <c r="D200" s="250">
        <f t="shared" si="372"/>
        <v>0</v>
      </c>
      <c r="E200" s="250"/>
      <c r="F200" s="248" t="str">
        <f t="shared" si="394"/>
        <v>YEAR6</v>
      </c>
      <c r="G200" s="250">
        <f>VLOOKUP(F200,TableInputsData[],$G$6,FALSE)</f>
        <v>2030</v>
      </c>
      <c r="H200" s="250" t="str">
        <f t="shared" si="373"/>
        <v>PRODUCT</v>
      </c>
      <c r="I200" s="248" t="str">
        <f t="shared" si="373"/>
        <v>PRODUCT 05</v>
      </c>
      <c r="J200" s="248" t="str">
        <f>VLOOKUP(I200,TableInputsData[],$J$6,FALSE)</f>
        <v>-</v>
      </c>
      <c r="K200" s="248" t="str">
        <f t="shared" si="400"/>
        <v>AVERAGE SELLING PRICE PER UNIT</v>
      </c>
      <c r="L200" s="255"/>
      <c r="M200" s="255"/>
      <c r="N200" s="255"/>
      <c r="O200" s="265"/>
      <c r="P200" s="260"/>
      <c r="Q200" s="260"/>
      <c r="R200" s="260"/>
      <c r="S200" s="630"/>
      <c r="T200" s="630"/>
      <c r="U200" s="630"/>
      <c r="V200" s="630"/>
      <c r="W200" s="260"/>
      <c r="X200" s="260"/>
      <c r="Y200" s="260"/>
      <c r="Z200" s="260"/>
      <c r="AA200" s="260"/>
      <c r="AB200" s="260"/>
      <c r="AC200" s="265"/>
      <c r="AD200" s="634"/>
      <c r="AE200" s="264">
        <f t="shared" ref="AE200:AM200" si="411">IF(AE184=0,0,AE192/AE184)</f>
        <v>0</v>
      </c>
      <c r="AF200" s="264">
        <f t="shared" si="411"/>
        <v>0</v>
      </c>
      <c r="AG200" s="264">
        <f t="shared" si="411"/>
        <v>0</v>
      </c>
      <c r="AH200" s="264">
        <f t="shared" si="411"/>
        <v>0</v>
      </c>
      <c r="AI200" s="264">
        <f t="shared" si="411"/>
        <v>0</v>
      </c>
      <c r="AJ200" s="264">
        <f t="shared" si="411"/>
        <v>0</v>
      </c>
      <c r="AK200" s="264">
        <f t="shared" si="411"/>
        <v>0</v>
      </c>
      <c r="AL200" s="264">
        <f t="shared" si="411"/>
        <v>0</v>
      </c>
      <c r="AM200" s="264">
        <f t="shared" si="411"/>
        <v>0</v>
      </c>
      <c r="AN200" s="260"/>
      <c r="AO200" s="264">
        <f t="shared" ref="AO200" si="412">IF(AO184=0,0,AO192/AO184)</f>
        <v>0</v>
      </c>
      <c r="AP200" s="260"/>
      <c r="AQ200" s="264"/>
      <c r="AR200" s="264" t="str">
        <f>VLOOKUP($I200,TableInputsData[],ReadMe!$M$3,FALSE)&amp;"  |  "&amp;VLOOKUP($K200,TableInputsData[],ReadMe!$M$3,FALSE)</f>
        <v>PRODUIT 05  |  PRIX MOYEN DE VENTE PAR PRODUIT/SERVICE</v>
      </c>
      <c r="AS200" s="264"/>
      <c r="AT200" s="294"/>
    </row>
    <row r="201" spans="1:46" ht="13" hidden="1" x14ac:dyDescent="0.2">
      <c r="A201" s="294"/>
      <c r="B201" s="924"/>
      <c r="C201" s="272">
        <v>194</v>
      </c>
      <c r="D201" s="250">
        <f t="shared" si="372"/>
        <v>0</v>
      </c>
      <c r="E201" s="251"/>
      <c r="F201" s="248" t="str">
        <f t="shared" ref="F201:F208" si="413">F209</f>
        <v>YEAR-2</v>
      </c>
      <c r="G201" s="250">
        <f>VLOOKUP(F201,TableInputsData[],$G$6,FALSE)</f>
        <v>2023</v>
      </c>
      <c r="H201" s="250" t="str">
        <f t="shared" si="373"/>
        <v>PRODUCT</v>
      </c>
      <c r="I201" s="248" t="str">
        <f t="shared" si="373"/>
        <v>PRODUCT 05</v>
      </c>
      <c r="J201" s="248" t="str">
        <f>VLOOKUP(I201,TableInputsData[],$J$6,FALSE)</f>
        <v>-</v>
      </c>
      <c r="K201" s="248" t="s">
        <v>531</v>
      </c>
      <c r="L201" s="256"/>
      <c r="M201" s="256"/>
      <c r="N201" s="256"/>
      <c r="O201" s="266"/>
      <c r="P201" s="261"/>
      <c r="Q201" s="261"/>
      <c r="R201" s="261"/>
      <c r="S201" s="629"/>
      <c r="T201" s="629"/>
      <c r="U201" s="629"/>
      <c r="V201" s="629"/>
      <c r="W201" s="261"/>
      <c r="X201" s="261"/>
      <c r="Y201" s="261"/>
      <c r="Z201" s="261"/>
      <c r="AA201" s="261"/>
      <c r="AB201" s="261"/>
      <c r="AC201" s="266"/>
      <c r="AD201" s="633"/>
      <c r="AE201" s="264">
        <f>AE177*($S177*$P177+$T177*$Q177+$U177*$R177)</f>
        <v>0</v>
      </c>
      <c r="AF201" s="264">
        <f t="shared" ref="AF201:AH201" si="414">AF177*($S177*$P177+$T177*$Q177+$U177*$R177)</f>
        <v>0</v>
      </c>
      <c r="AG201" s="264">
        <f t="shared" si="414"/>
        <v>0</v>
      </c>
      <c r="AH201" s="264">
        <f t="shared" si="414"/>
        <v>0</v>
      </c>
      <c r="AI201" s="264">
        <f t="shared" ref="AI201:AI208" si="415">$AE201+$AF201+$AG201+$AH201</f>
        <v>0</v>
      </c>
      <c r="AJ201" s="264">
        <f t="shared" ref="AJ201:AJ208" si="416">$AJ177*$S177</f>
        <v>0</v>
      </c>
      <c r="AK201" s="264">
        <f t="shared" ref="AK201:AK208" si="417">$AK177*$T177</f>
        <v>0</v>
      </c>
      <c r="AL201" s="264">
        <f t="shared" ref="AL201:AL208" si="418">$AL177*$U177</f>
        <v>0</v>
      </c>
      <c r="AM201" s="264">
        <f t="shared" ref="AM201:AM208" si="419">$AJ201*$W177+$AK201*$X177+$AL201*$Y177</f>
        <v>0</v>
      </c>
      <c r="AN201" s="640">
        <f t="shared" ref="AN201:AN208" si="420">IF(AI201=0,0,AM201/AI201)</f>
        <v>0</v>
      </c>
      <c r="AO201" s="264">
        <f t="shared" ref="AO201:AO208" si="421">$AJ201*$Z177+$AK201*$AA177+$AL201*$AB177</f>
        <v>0</v>
      </c>
      <c r="AP201" s="640">
        <f t="shared" ref="AP201:AP208" si="422">IF(AI201=0,0,AO201/AI201)</f>
        <v>0</v>
      </c>
      <c r="AQ201" s="264"/>
      <c r="AR201" s="264" t="str">
        <f>VLOOKUP($I201,TableInputsData[],ReadMe!$M$3,FALSE)&amp;"  |  "&amp;VLOOKUP($K201,TableInputsData[],ReadMe!$M$3,FALSE)</f>
        <v>PRODUIT 05  |  DEPENSES SUR ACHATS</v>
      </c>
      <c r="AS201" s="264" t="b">
        <f t="shared" ref="AS201:AS208" si="423">AND(EXACT(ROUND(AI201,2),ROUND(AJ201+AK201+AL201,2)),EXACT(ROUND(AI201,2),ROUND(AM201+AO201,2)))</f>
        <v>1</v>
      </c>
      <c r="AT201" s="294"/>
    </row>
    <row r="202" spans="1:46" ht="13" hidden="1" x14ac:dyDescent="0.2">
      <c r="A202" s="294"/>
      <c r="B202" s="924"/>
      <c r="C202" s="271">
        <v>195</v>
      </c>
      <c r="D202" s="250">
        <f t="shared" si="372"/>
        <v>0</v>
      </c>
      <c r="E202" s="250"/>
      <c r="F202" s="248" t="str">
        <f t="shared" si="413"/>
        <v>YEAR-1</v>
      </c>
      <c r="G202" s="250">
        <f>VLOOKUP(F202,TableInputsData[],$G$6,FALSE)</f>
        <v>2024</v>
      </c>
      <c r="H202" s="250" t="str">
        <f t="shared" si="373"/>
        <v>PRODUCT</v>
      </c>
      <c r="I202" s="248" t="str">
        <f t="shared" si="373"/>
        <v>PRODUCT 05</v>
      </c>
      <c r="J202" s="248" t="str">
        <f>VLOOKUP(I202,TableInputsData[],$J$6,FALSE)</f>
        <v>-</v>
      </c>
      <c r="K202" s="248" t="str">
        <f>K201</f>
        <v>COST OF GOODS SOLD</v>
      </c>
      <c r="L202" s="255"/>
      <c r="M202" s="255"/>
      <c r="N202" s="255"/>
      <c r="O202" s="265"/>
      <c r="P202" s="260"/>
      <c r="Q202" s="260"/>
      <c r="R202" s="260"/>
      <c r="S202" s="630"/>
      <c r="T202" s="630"/>
      <c r="U202" s="630"/>
      <c r="V202" s="630"/>
      <c r="W202" s="260"/>
      <c r="X202" s="260"/>
      <c r="Y202" s="260"/>
      <c r="Z202" s="260"/>
      <c r="AA202" s="260"/>
      <c r="AB202" s="260"/>
      <c r="AC202" s="265"/>
      <c r="AD202" s="634"/>
      <c r="AE202" s="264">
        <f t="shared" ref="AE202:AH202" si="424">AE178*($S178*$P178+$T178*$Q178+$U178*$R178)</f>
        <v>0</v>
      </c>
      <c r="AF202" s="264">
        <f t="shared" si="424"/>
        <v>0</v>
      </c>
      <c r="AG202" s="264">
        <f t="shared" si="424"/>
        <v>0</v>
      </c>
      <c r="AH202" s="264">
        <f t="shared" si="424"/>
        <v>0</v>
      </c>
      <c r="AI202" s="264">
        <f t="shared" si="415"/>
        <v>0</v>
      </c>
      <c r="AJ202" s="264">
        <f t="shared" si="416"/>
        <v>0</v>
      </c>
      <c r="AK202" s="264">
        <f t="shared" si="417"/>
        <v>0</v>
      </c>
      <c r="AL202" s="264">
        <f t="shared" si="418"/>
        <v>0</v>
      </c>
      <c r="AM202" s="264">
        <f t="shared" si="419"/>
        <v>0</v>
      </c>
      <c r="AN202" s="640">
        <f t="shared" si="420"/>
        <v>0</v>
      </c>
      <c r="AO202" s="264">
        <f t="shared" si="421"/>
        <v>0</v>
      </c>
      <c r="AP202" s="640">
        <f t="shared" si="422"/>
        <v>0</v>
      </c>
      <c r="AQ202" s="264"/>
      <c r="AR202" s="264" t="str">
        <f>VLOOKUP($I202,TableInputsData[],ReadMe!$M$3,FALSE)&amp;"  |  "&amp;VLOOKUP($K202,TableInputsData[],ReadMe!$M$3,FALSE)</f>
        <v>PRODUIT 05  |  DEPENSES SUR ACHATS</v>
      </c>
      <c r="AS202" s="264" t="b">
        <f t="shared" si="423"/>
        <v>1</v>
      </c>
      <c r="AT202" s="294"/>
    </row>
    <row r="203" spans="1:46" ht="13" hidden="1" x14ac:dyDescent="0.2">
      <c r="A203" s="294"/>
      <c r="B203" s="924"/>
      <c r="C203" s="271">
        <v>196</v>
      </c>
      <c r="D203" s="250">
        <f t="shared" si="372"/>
        <v>0</v>
      </c>
      <c r="E203" s="250"/>
      <c r="F203" s="248" t="str">
        <f t="shared" si="413"/>
        <v>CURRENT YEAR</v>
      </c>
      <c r="G203" s="250">
        <f>VLOOKUP(F203,TableInputsData[],$G$6,FALSE)</f>
        <v>2025</v>
      </c>
      <c r="H203" s="250" t="str">
        <f t="shared" si="373"/>
        <v>PRODUCT</v>
      </c>
      <c r="I203" s="248" t="str">
        <f t="shared" si="373"/>
        <v>PRODUCT 05</v>
      </c>
      <c r="J203" s="248" t="str">
        <f>VLOOKUP(I203,TableInputsData[],$J$6,FALSE)</f>
        <v>-</v>
      </c>
      <c r="K203" s="248" t="str">
        <f t="shared" ref="K203:K208" si="425">K202</f>
        <v>COST OF GOODS SOLD</v>
      </c>
      <c r="L203" s="255"/>
      <c r="M203" s="255"/>
      <c r="N203" s="255"/>
      <c r="O203" s="265"/>
      <c r="P203" s="260"/>
      <c r="Q203" s="260"/>
      <c r="R203" s="260"/>
      <c r="S203" s="630"/>
      <c r="T203" s="630"/>
      <c r="U203" s="630"/>
      <c r="V203" s="630"/>
      <c r="W203" s="260"/>
      <c r="X203" s="260"/>
      <c r="Y203" s="260"/>
      <c r="Z203" s="260"/>
      <c r="AA203" s="260"/>
      <c r="AB203" s="260"/>
      <c r="AC203" s="265"/>
      <c r="AD203" s="634"/>
      <c r="AE203" s="264">
        <f t="shared" ref="AE203:AH203" si="426">AE179*($S179*$P179+$T179*$Q179+$U179*$R179)</f>
        <v>0</v>
      </c>
      <c r="AF203" s="264">
        <f t="shared" si="426"/>
        <v>0</v>
      </c>
      <c r="AG203" s="264">
        <f t="shared" si="426"/>
        <v>0</v>
      </c>
      <c r="AH203" s="264">
        <f t="shared" si="426"/>
        <v>0</v>
      </c>
      <c r="AI203" s="264">
        <f t="shared" si="415"/>
        <v>0</v>
      </c>
      <c r="AJ203" s="264">
        <f t="shared" si="416"/>
        <v>0</v>
      </c>
      <c r="AK203" s="264">
        <f t="shared" si="417"/>
        <v>0</v>
      </c>
      <c r="AL203" s="264">
        <f t="shared" si="418"/>
        <v>0</v>
      </c>
      <c r="AM203" s="264">
        <f t="shared" si="419"/>
        <v>0</v>
      </c>
      <c r="AN203" s="640">
        <f t="shared" si="420"/>
        <v>0</v>
      </c>
      <c r="AO203" s="264">
        <f t="shared" si="421"/>
        <v>0</v>
      </c>
      <c r="AP203" s="640">
        <f t="shared" si="422"/>
        <v>0</v>
      </c>
      <c r="AQ203" s="264"/>
      <c r="AR203" s="264" t="str">
        <f>VLOOKUP($I203,TableInputsData[],ReadMe!$M$3,FALSE)&amp;"  |  "&amp;VLOOKUP($K203,TableInputsData[],ReadMe!$M$3,FALSE)</f>
        <v>PRODUIT 05  |  DEPENSES SUR ACHATS</v>
      </c>
      <c r="AS203" s="264" t="b">
        <f t="shared" si="423"/>
        <v>1</v>
      </c>
      <c r="AT203" s="294"/>
    </row>
    <row r="204" spans="1:46" ht="13" hidden="1" x14ac:dyDescent="0.2">
      <c r="A204" s="294"/>
      <c r="B204" s="924"/>
      <c r="C204" s="271">
        <v>197</v>
      </c>
      <c r="D204" s="250">
        <f t="shared" si="372"/>
        <v>0</v>
      </c>
      <c r="E204" s="250"/>
      <c r="F204" s="248" t="str">
        <f t="shared" si="413"/>
        <v>YEAR2</v>
      </c>
      <c r="G204" s="250">
        <f>VLOOKUP(F204,TableInputsData[],$G$6,FALSE)</f>
        <v>2026</v>
      </c>
      <c r="H204" s="250" t="str">
        <f t="shared" si="373"/>
        <v>PRODUCT</v>
      </c>
      <c r="I204" s="248" t="str">
        <f t="shared" si="373"/>
        <v>PRODUCT 05</v>
      </c>
      <c r="J204" s="248" t="str">
        <f>VLOOKUP(I204,TableInputsData[],$J$6,FALSE)</f>
        <v>-</v>
      </c>
      <c r="K204" s="248" t="str">
        <f t="shared" si="425"/>
        <v>COST OF GOODS SOLD</v>
      </c>
      <c r="L204" s="255"/>
      <c r="M204" s="255"/>
      <c r="N204" s="255"/>
      <c r="O204" s="265"/>
      <c r="P204" s="260"/>
      <c r="Q204" s="260"/>
      <c r="R204" s="260"/>
      <c r="S204" s="630"/>
      <c r="T204" s="630"/>
      <c r="U204" s="630"/>
      <c r="V204" s="630"/>
      <c r="W204" s="260"/>
      <c r="X204" s="260"/>
      <c r="Y204" s="260"/>
      <c r="Z204" s="260"/>
      <c r="AA204" s="260"/>
      <c r="AB204" s="260"/>
      <c r="AC204" s="265"/>
      <c r="AD204" s="634"/>
      <c r="AE204" s="264">
        <f t="shared" ref="AE204:AH204" si="427">AE180*($S180*$P180+$T180*$Q180+$U180*$R180)</f>
        <v>0</v>
      </c>
      <c r="AF204" s="264">
        <f t="shared" si="427"/>
        <v>0</v>
      </c>
      <c r="AG204" s="264">
        <f t="shared" si="427"/>
        <v>0</v>
      </c>
      <c r="AH204" s="264">
        <f t="shared" si="427"/>
        <v>0</v>
      </c>
      <c r="AI204" s="264">
        <f t="shared" si="415"/>
        <v>0</v>
      </c>
      <c r="AJ204" s="264">
        <f t="shared" si="416"/>
        <v>0</v>
      </c>
      <c r="AK204" s="264">
        <f t="shared" si="417"/>
        <v>0</v>
      </c>
      <c r="AL204" s="264">
        <f t="shared" si="418"/>
        <v>0</v>
      </c>
      <c r="AM204" s="264">
        <f t="shared" si="419"/>
        <v>0</v>
      </c>
      <c r="AN204" s="640">
        <f t="shared" si="420"/>
        <v>0</v>
      </c>
      <c r="AO204" s="264">
        <f t="shared" si="421"/>
        <v>0</v>
      </c>
      <c r="AP204" s="640">
        <f t="shared" si="422"/>
        <v>0</v>
      </c>
      <c r="AQ204" s="264"/>
      <c r="AR204" s="264" t="str">
        <f>VLOOKUP($I204,TableInputsData[],ReadMe!$M$3,FALSE)&amp;"  |  "&amp;VLOOKUP($K204,TableInputsData[],ReadMe!$M$3,FALSE)</f>
        <v>PRODUIT 05  |  DEPENSES SUR ACHATS</v>
      </c>
      <c r="AS204" s="264" t="b">
        <f t="shared" si="423"/>
        <v>1</v>
      </c>
      <c r="AT204" s="294"/>
    </row>
    <row r="205" spans="1:46" ht="13" hidden="1" x14ac:dyDescent="0.2">
      <c r="A205" s="294"/>
      <c r="B205" s="924"/>
      <c r="C205" s="271">
        <v>198</v>
      </c>
      <c r="D205" s="250">
        <f t="shared" si="372"/>
        <v>0</v>
      </c>
      <c r="E205" s="250"/>
      <c r="F205" s="248" t="str">
        <f t="shared" si="413"/>
        <v>YEAR3</v>
      </c>
      <c r="G205" s="250">
        <f>VLOOKUP(F205,TableInputsData[],$G$6,FALSE)</f>
        <v>2027</v>
      </c>
      <c r="H205" s="250" t="str">
        <f t="shared" si="373"/>
        <v>PRODUCT</v>
      </c>
      <c r="I205" s="248" t="str">
        <f t="shared" si="373"/>
        <v>PRODUCT 05</v>
      </c>
      <c r="J205" s="248" t="str">
        <f>VLOOKUP(I205,TableInputsData[],$J$6,FALSE)</f>
        <v>-</v>
      </c>
      <c r="K205" s="248" t="str">
        <f t="shared" si="425"/>
        <v>COST OF GOODS SOLD</v>
      </c>
      <c r="L205" s="255"/>
      <c r="M205" s="255"/>
      <c r="N205" s="255"/>
      <c r="O205" s="265"/>
      <c r="P205" s="260"/>
      <c r="Q205" s="260"/>
      <c r="R205" s="260"/>
      <c r="S205" s="630"/>
      <c r="T205" s="630"/>
      <c r="U205" s="630"/>
      <c r="V205" s="630"/>
      <c r="W205" s="260"/>
      <c r="X205" s="260"/>
      <c r="Y205" s="260"/>
      <c r="Z205" s="260"/>
      <c r="AA205" s="260"/>
      <c r="AB205" s="260"/>
      <c r="AC205" s="265"/>
      <c r="AD205" s="634"/>
      <c r="AE205" s="264">
        <f t="shared" ref="AE205:AH205" si="428">AE181*($S181*$P181+$T181*$Q181+$U181*$R181)</f>
        <v>0</v>
      </c>
      <c r="AF205" s="264">
        <f t="shared" si="428"/>
        <v>0</v>
      </c>
      <c r="AG205" s="264">
        <f t="shared" si="428"/>
        <v>0</v>
      </c>
      <c r="AH205" s="264">
        <f t="shared" si="428"/>
        <v>0</v>
      </c>
      <c r="AI205" s="264">
        <f t="shared" si="415"/>
        <v>0</v>
      </c>
      <c r="AJ205" s="264">
        <f t="shared" si="416"/>
        <v>0</v>
      </c>
      <c r="AK205" s="264">
        <f t="shared" si="417"/>
        <v>0</v>
      </c>
      <c r="AL205" s="264">
        <f t="shared" si="418"/>
        <v>0</v>
      </c>
      <c r="AM205" s="264">
        <f t="shared" si="419"/>
        <v>0</v>
      </c>
      <c r="AN205" s="640">
        <f t="shared" si="420"/>
        <v>0</v>
      </c>
      <c r="AO205" s="264">
        <f t="shared" si="421"/>
        <v>0</v>
      </c>
      <c r="AP205" s="640">
        <f t="shared" si="422"/>
        <v>0</v>
      </c>
      <c r="AQ205" s="264"/>
      <c r="AR205" s="264" t="str">
        <f>VLOOKUP($I205,TableInputsData[],ReadMe!$M$3,FALSE)&amp;"  |  "&amp;VLOOKUP($K205,TableInputsData[],ReadMe!$M$3,FALSE)</f>
        <v>PRODUIT 05  |  DEPENSES SUR ACHATS</v>
      </c>
      <c r="AS205" s="264" t="b">
        <f t="shared" si="423"/>
        <v>1</v>
      </c>
      <c r="AT205" s="294"/>
    </row>
    <row r="206" spans="1:46" ht="13" hidden="1" x14ac:dyDescent="0.2">
      <c r="A206" s="294"/>
      <c r="B206" s="924"/>
      <c r="C206" s="271">
        <v>199</v>
      </c>
      <c r="D206" s="250">
        <f t="shared" si="372"/>
        <v>0</v>
      </c>
      <c r="E206" s="250"/>
      <c r="F206" s="248" t="str">
        <f t="shared" si="413"/>
        <v>YEAR4</v>
      </c>
      <c r="G206" s="250">
        <f>VLOOKUP(F206,TableInputsData[],$G$6,FALSE)</f>
        <v>2028</v>
      </c>
      <c r="H206" s="250" t="str">
        <f t="shared" si="373"/>
        <v>PRODUCT</v>
      </c>
      <c r="I206" s="248" t="str">
        <f t="shared" si="373"/>
        <v>PRODUCT 05</v>
      </c>
      <c r="J206" s="248" t="str">
        <f>VLOOKUP(I206,TableInputsData[],$J$6,FALSE)</f>
        <v>-</v>
      </c>
      <c r="K206" s="248" t="str">
        <f t="shared" si="425"/>
        <v>COST OF GOODS SOLD</v>
      </c>
      <c r="L206" s="255"/>
      <c r="M206" s="255"/>
      <c r="N206" s="255"/>
      <c r="O206" s="265"/>
      <c r="P206" s="260"/>
      <c r="Q206" s="260"/>
      <c r="R206" s="260"/>
      <c r="S206" s="630"/>
      <c r="T206" s="630"/>
      <c r="U206" s="630"/>
      <c r="V206" s="630"/>
      <c r="W206" s="260"/>
      <c r="X206" s="260"/>
      <c r="Y206" s="260"/>
      <c r="Z206" s="260"/>
      <c r="AA206" s="260"/>
      <c r="AB206" s="260"/>
      <c r="AC206" s="265"/>
      <c r="AD206" s="634"/>
      <c r="AE206" s="264">
        <f t="shared" ref="AE206:AH206" si="429">AE182*($S182*$P182+$T182*$Q182+$U182*$R182)</f>
        <v>0</v>
      </c>
      <c r="AF206" s="264">
        <f t="shared" si="429"/>
        <v>0</v>
      </c>
      <c r="AG206" s="264">
        <f t="shared" si="429"/>
        <v>0</v>
      </c>
      <c r="AH206" s="264">
        <f t="shared" si="429"/>
        <v>0</v>
      </c>
      <c r="AI206" s="264">
        <f t="shared" si="415"/>
        <v>0</v>
      </c>
      <c r="AJ206" s="264">
        <f t="shared" si="416"/>
        <v>0</v>
      </c>
      <c r="AK206" s="264">
        <f t="shared" si="417"/>
        <v>0</v>
      </c>
      <c r="AL206" s="264">
        <f t="shared" si="418"/>
        <v>0</v>
      </c>
      <c r="AM206" s="264">
        <f t="shared" si="419"/>
        <v>0</v>
      </c>
      <c r="AN206" s="640">
        <f t="shared" si="420"/>
        <v>0</v>
      </c>
      <c r="AO206" s="264">
        <f t="shared" si="421"/>
        <v>0</v>
      </c>
      <c r="AP206" s="640">
        <f t="shared" si="422"/>
        <v>0</v>
      </c>
      <c r="AQ206" s="264"/>
      <c r="AR206" s="264" t="str">
        <f>VLOOKUP($I206,TableInputsData[],ReadMe!$M$3,FALSE)&amp;"  |  "&amp;VLOOKUP($K206,TableInputsData[],ReadMe!$M$3,FALSE)</f>
        <v>PRODUIT 05  |  DEPENSES SUR ACHATS</v>
      </c>
      <c r="AS206" s="264" t="b">
        <f t="shared" si="423"/>
        <v>1</v>
      </c>
      <c r="AT206" s="294"/>
    </row>
    <row r="207" spans="1:46" ht="13" hidden="1" x14ac:dyDescent="0.2">
      <c r="A207" s="294"/>
      <c r="B207" s="924"/>
      <c r="C207" s="271">
        <v>200</v>
      </c>
      <c r="D207" s="250">
        <f t="shared" si="372"/>
        <v>0</v>
      </c>
      <c r="E207" s="250"/>
      <c r="F207" s="248" t="str">
        <f t="shared" si="413"/>
        <v>YEAR5</v>
      </c>
      <c r="G207" s="250">
        <f>VLOOKUP(F207,TableInputsData[],$G$6,FALSE)</f>
        <v>2029</v>
      </c>
      <c r="H207" s="250" t="str">
        <f t="shared" si="373"/>
        <v>PRODUCT</v>
      </c>
      <c r="I207" s="248" t="str">
        <f t="shared" si="373"/>
        <v>PRODUCT 05</v>
      </c>
      <c r="J207" s="248" t="str">
        <f>VLOOKUP(I207,TableInputsData[],$J$6,FALSE)</f>
        <v>-</v>
      </c>
      <c r="K207" s="248" t="str">
        <f t="shared" si="425"/>
        <v>COST OF GOODS SOLD</v>
      </c>
      <c r="L207" s="255"/>
      <c r="M207" s="255"/>
      <c r="N207" s="255"/>
      <c r="O207" s="265"/>
      <c r="P207" s="260"/>
      <c r="Q207" s="260"/>
      <c r="R207" s="260"/>
      <c r="S207" s="630"/>
      <c r="T207" s="630"/>
      <c r="U207" s="630"/>
      <c r="V207" s="630"/>
      <c r="W207" s="260"/>
      <c r="X207" s="260"/>
      <c r="Y207" s="260"/>
      <c r="Z207" s="260"/>
      <c r="AA207" s="260"/>
      <c r="AB207" s="260"/>
      <c r="AC207" s="265"/>
      <c r="AD207" s="634"/>
      <c r="AE207" s="264">
        <f t="shared" ref="AE207:AH207" si="430">AE183*($S183*$P183+$T183*$Q183+$U183*$R183)</f>
        <v>0</v>
      </c>
      <c r="AF207" s="264">
        <f t="shared" si="430"/>
        <v>0</v>
      </c>
      <c r="AG207" s="264">
        <f t="shared" si="430"/>
        <v>0</v>
      </c>
      <c r="AH207" s="264">
        <f t="shared" si="430"/>
        <v>0</v>
      </c>
      <c r="AI207" s="264">
        <f t="shared" si="415"/>
        <v>0</v>
      </c>
      <c r="AJ207" s="264">
        <f t="shared" si="416"/>
        <v>0</v>
      </c>
      <c r="AK207" s="264">
        <f t="shared" si="417"/>
        <v>0</v>
      </c>
      <c r="AL207" s="264">
        <f t="shared" si="418"/>
        <v>0</v>
      </c>
      <c r="AM207" s="264">
        <f t="shared" si="419"/>
        <v>0</v>
      </c>
      <c r="AN207" s="640">
        <f t="shared" si="420"/>
        <v>0</v>
      </c>
      <c r="AO207" s="264">
        <f t="shared" si="421"/>
        <v>0</v>
      </c>
      <c r="AP207" s="640">
        <f t="shared" si="422"/>
        <v>0</v>
      </c>
      <c r="AQ207" s="264"/>
      <c r="AR207" s="264" t="str">
        <f>VLOOKUP($I207,TableInputsData[],ReadMe!$M$3,FALSE)&amp;"  |  "&amp;VLOOKUP($K207,TableInputsData[],ReadMe!$M$3,FALSE)</f>
        <v>PRODUIT 05  |  DEPENSES SUR ACHATS</v>
      </c>
      <c r="AS207" s="264" t="b">
        <f t="shared" si="423"/>
        <v>1</v>
      </c>
      <c r="AT207" s="294"/>
    </row>
    <row r="208" spans="1:46" ht="13" hidden="1" x14ac:dyDescent="0.2">
      <c r="A208" s="294"/>
      <c r="B208" s="924"/>
      <c r="C208" s="271">
        <v>201</v>
      </c>
      <c r="D208" s="250">
        <f t="shared" si="372"/>
        <v>0</v>
      </c>
      <c r="E208" s="250"/>
      <c r="F208" s="248" t="str">
        <f t="shared" si="413"/>
        <v>YEAR6</v>
      </c>
      <c r="G208" s="250">
        <f>VLOOKUP(F208,TableInputsData[],$G$6,FALSE)</f>
        <v>2030</v>
      </c>
      <c r="H208" s="250" t="str">
        <f t="shared" si="373"/>
        <v>PRODUCT</v>
      </c>
      <c r="I208" s="248" t="str">
        <f t="shared" si="373"/>
        <v>PRODUCT 05</v>
      </c>
      <c r="J208" s="248" t="str">
        <f>VLOOKUP(I208,TableInputsData[],$J$6,FALSE)</f>
        <v>-</v>
      </c>
      <c r="K208" s="248" t="str">
        <f t="shared" si="425"/>
        <v>COST OF GOODS SOLD</v>
      </c>
      <c r="L208" s="255"/>
      <c r="M208" s="255"/>
      <c r="N208" s="255"/>
      <c r="O208" s="265"/>
      <c r="P208" s="260"/>
      <c r="Q208" s="260"/>
      <c r="R208" s="260"/>
      <c r="S208" s="630"/>
      <c r="T208" s="630"/>
      <c r="U208" s="630"/>
      <c r="V208" s="630"/>
      <c r="W208" s="260"/>
      <c r="X208" s="260"/>
      <c r="Y208" s="260"/>
      <c r="Z208" s="260"/>
      <c r="AA208" s="260"/>
      <c r="AB208" s="260"/>
      <c r="AC208" s="265"/>
      <c r="AD208" s="634"/>
      <c r="AE208" s="264">
        <f t="shared" ref="AE208:AH208" si="431">AE184*($S184*$P184+$T184*$Q184+$U184*$R184)</f>
        <v>0</v>
      </c>
      <c r="AF208" s="264">
        <f t="shared" si="431"/>
        <v>0</v>
      </c>
      <c r="AG208" s="264">
        <f t="shared" si="431"/>
        <v>0</v>
      </c>
      <c r="AH208" s="264">
        <f t="shared" si="431"/>
        <v>0</v>
      </c>
      <c r="AI208" s="264">
        <f t="shared" si="415"/>
        <v>0</v>
      </c>
      <c r="AJ208" s="264">
        <f t="shared" si="416"/>
        <v>0</v>
      </c>
      <c r="AK208" s="264">
        <f t="shared" si="417"/>
        <v>0</v>
      </c>
      <c r="AL208" s="264">
        <f t="shared" si="418"/>
        <v>0</v>
      </c>
      <c r="AM208" s="264">
        <f t="shared" si="419"/>
        <v>0</v>
      </c>
      <c r="AN208" s="640">
        <f t="shared" si="420"/>
        <v>0</v>
      </c>
      <c r="AO208" s="264">
        <f t="shared" si="421"/>
        <v>0</v>
      </c>
      <c r="AP208" s="640">
        <f t="shared" si="422"/>
        <v>0</v>
      </c>
      <c r="AQ208" s="264"/>
      <c r="AR208" s="264" t="str">
        <f>VLOOKUP($I208,TableInputsData[],ReadMe!$M$3,FALSE)&amp;"  |  "&amp;VLOOKUP($K208,TableInputsData[],ReadMe!$M$3,FALSE)</f>
        <v>PRODUIT 05  |  DEPENSES SUR ACHATS</v>
      </c>
      <c r="AS208" s="264" t="b">
        <f t="shared" si="423"/>
        <v>1</v>
      </c>
      <c r="AT208" s="294"/>
    </row>
    <row r="209" spans="1:46" ht="13" hidden="1" x14ac:dyDescent="0.2">
      <c r="A209" s="294"/>
      <c r="B209" s="924"/>
      <c r="C209" s="272">
        <v>202</v>
      </c>
      <c r="D209" s="250">
        <f t="shared" si="372"/>
        <v>0</v>
      </c>
      <c r="E209" s="251"/>
      <c r="F209" s="248" t="str">
        <f t="shared" ref="F209:F216" si="432">F185</f>
        <v>YEAR-2</v>
      </c>
      <c r="G209" s="250">
        <f>VLOOKUP(F209,TableInputsData[],$G$6,FALSE)</f>
        <v>2023</v>
      </c>
      <c r="H209" s="250" t="str">
        <f t="shared" si="373"/>
        <v>PRODUCT</v>
      </c>
      <c r="I209" s="248" t="str">
        <f t="shared" si="373"/>
        <v>PRODUCT 05</v>
      </c>
      <c r="J209" s="248" t="str">
        <f>VLOOKUP(I209,TableInputsData[],$J$6,FALSE)</f>
        <v>-</v>
      </c>
      <c r="K209" s="248" t="s">
        <v>532</v>
      </c>
      <c r="L209" s="256"/>
      <c r="M209" s="256"/>
      <c r="N209" s="256"/>
      <c r="O209" s="266"/>
      <c r="P209" s="261"/>
      <c r="Q209" s="261"/>
      <c r="R209" s="261"/>
      <c r="S209" s="629"/>
      <c r="T209" s="629"/>
      <c r="U209" s="629"/>
      <c r="V209" s="629"/>
      <c r="W209" s="261"/>
      <c r="X209" s="261"/>
      <c r="Y209" s="261"/>
      <c r="Z209" s="261"/>
      <c r="AA209" s="261"/>
      <c r="AB209" s="261"/>
      <c r="AC209" s="266"/>
      <c r="AD209" s="633"/>
      <c r="AE209" s="264">
        <f>IF(AE177=0,0,AE201/AE177)</f>
        <v>0</v>
      </c>
      <c r="AF209" s="264">
        <f t="shared" ref="AF209:AI209" si="433">IF(AF177=0,0,AF201/AF177)</f>
        <v>0</v>
      </c>
      <c r="AG209" s="264">
        <f t="shared" si="433"/>
        <v>0</v>
      </c>
      <c r="AH209" s="264">
        <f t="shared" si="433"/>
        <v>0</v>
      </c>
      <c r="AI209" s="264">
        <f t="shared" si="433"/>
        <v>0</v>
      </c>
      <c r="AJ209" s="264">
        <f>IF(AJ177=0,0,AJ201/AJ177)</f>
        <v>0</v>
      </c>
      <c r="AK209" s="264">
        <f t="shared" ref="AK209:AL209" si="434">IF(AK177=0,0,AK201/AK177)</f>
        <v>0</v>
      </c>
      <c r="AL209" s="264">
        <f t="shared" si="434"/>
        <v>0</v>
      </c>
      <c r="AM209" s="264">
        <f>IF(AM177=0,0,AM201/AM177)</f>
        <v>0</v>
      </c>
      <c r="AN209" s="260"/>
      <c r="AO209" s="264">
        <f t="shared" ref="AO209" si="435">IF(AO177=0,0,AO201/AO177)</f>
        <v>0</v>
      </c>
      <c r="AP209" s="260"/>
      <c r="AQ209" s="264"/>
      <c r="AR209" s="264" t="str">
        <f>VLOOKUP($I209,TableInputsData[],ReadMe!$M$3,FALSE)&amp;"  |  "&amp;VLOOKUP($K209,TableInputsData[],ReadMe!$M$3,FALSE)</f>
        <v>PRODUIT 05  |  PRIX MOYEN D'ACHAT PAR PRODUIT/SERVICE</v>
      </c>
      <c r="AS209" s="264"/>
      <c r="AT209" s="294"/>
    </row>
    <row r="210" spans="1:46" ht="13" hidden="1" x14ac:dyDescent="0.2">
      <c r="A210" s="294"/>
      <c r="B210" s="924"/>
      <c r="C210" s="272">
        <v>203</v>
      </c>
      <c r="D210" s="250">
        <f t="shared" si="372"/>
        <v>0</v>
      </c>
      <c r="E210" s="251"/>
      <c r="F210" s="248" t="str">
        <f t="shared" si="432"/>
        <v>YEAR-1</v>
      </c>
      <c r="G210" s="250">
        <f>VLOOKUP(F210,TableInputsData[],$G$6,FALSE)</f>
        <v>2024</v>
      </c>
      <c r="H210" s="250" t="str">
        <f t="shared" si="373"/>
        <v>PRODUCT</v>
      </c>
      <c r="I210" s="248" t="str">
        <f t="shared" si="373"/>
        <v>PRODUCT 05</v>
      </c>
      <c r="J210" s="248" t="str">
        <f>VLOOKUP(I210,TableInputsData[],$J$6,FALSE)</f>
        <v>-</v>
      </c>
      <c r="K210" s="248" t="str">
        <f>K209</f>
        <v>AVERAGE COST OF GOODS SOLD PER UNIT</v>
      </c>
      <c r="L210" s="256"/>
      <c r="M210" s="256"/>
      <c r="N210" s="256"/>
      <c r="O210" s="266"/>
      <c r="P210" s="261"/>
      <c r="Q210" s="261"/>
      <c r="R210" s="261"/>
      <c r="S210" s="629"/>
      <c r="T210" s="629"/>
      <c r="U210" s="629"/>
      <c r="V210" s="629"/>
      <c r="W210" s="261"/>
      <c r="X210" s="261"/>
      <c r="Y210" s="261"/>
      <c r="Z210" s="261"/>
      <c r="AA210" s="261"/>
      <c r="AB210" s="261"/>
      <c r="AC210" s="266"/>
      <c r="AD210" s="633"/>
      <c r="AE210" s="264">
        <f t="shared" ref="AE210:AL210" si="436">IF(AE178=0,0,AE202/AE178)</f>
        <v>0</v>
      </c>
      <c r="AF210" s="264">
        <f t="shared" si="436"/>
        <v>0</v>
      </c>
      <c r="AG210" s="264">
        <f t="shared" si="436"/>
        <v>0</v>
      </c>
      <c r="AH210" s="264">
        <f t="shared" si="436"/>
        <v>0</v>
      </c>
      <c r="AI210" s="264">
        <f t="shared" si="436"/>
        <v>0</v>
      </c>
      <c r="AJ210" s="264">
        <f t="shared" si="436"/>
        <v>0</v>
      </c>
      <c r="AK210" s="264">
        <f t="shared" si="436"/>
        <v>0</v>
      </c>
      <c r="AL210" s="264">
        <f t="shared" si="436"/>
        <v>0</v>
      </c>
      <c r="AM210" s="264">
        <f>IF(AM178=0,0,AM202/AM178)</f>
        <v>0</v>
      </c>
      <c r="AN210" s="260"/>
      <c r="AO210" s="264">
        <f>IF(AO178=0,0,AO202/AO178)</f>
        <v>0</v>
      </c>
      <c r="AP210" s="260"/>
      <c r="AQ210" s="264"/>
      <c r="AR210" s="264" t="str">
        <f>VLOOKUP($I210,TableInputsData[],ReadMe!$M$3,FALSE)&amp;"  |  "&amp;VLOOKUP($K210,TableInputsData[],ReadMe!$M$3,FALSE)</f>
        <v>PRODUIT 05  |  PRIX MOYEN D'ACHAT PAR PRODUIT/SERVICE</v>
      </c>
      <c r="AS210" s="264"/>
      <c r="AT210" s="294"/>
    </row>
    <row r="211" spans="1:46" ht="13" hidden="1" x14ac:dyDescent="0.2">
      <c r="A211" s="294"/>
      <c r="B211" s="924"/>
      <c r="C211" s="272">
        <v>204</v>
      </c>
      <c r="D211" s="250">
        <f t="shared" si="372"/>
        <v>0</v>
      </c>
      <c r="E211" s="251"/>
      <c r="F211" s="248" t="str">
        <f t="shared" si="432"/>
        <v>CURRENT YEAR</v>
      </c>
      <c r="G211" s="250">
        <f>VLOOKUP(F211,TableInputsData[],$G$6,FALSE)</f>
        <v>2025</v>
      </c>
      <c r="H211" s="250" t="str">
        <f t="shared" si="373"/>
        <v>PRODUCT</v>
      </c>
      <c r="I211" s="248" t="str">
        <f t="shared" si="373"/>
        <v>PRODUCT 05</v>
      </c>
      <c r="J211" s="248" t="str">
        <f>VLOOKUP(I211,TableInputsData[],$J$6,FALSE)</f>
        <v>-</v>
      </c>
      <c r="K211" s="248" t="str">
        <f t="shared" ref="K211:K216" si="437">K210</f>
        <v>AVERAGE COST OF GOODS SOLD PER UNIT</v>
      </c>
      <c r="L211" s="256"/>
      <c r="M211" s="256"/>
      <c r="N211" s="256"/>
      <c r="O211" s="266"/>
      <c r="P211" s="261"/>
      <c r="Q211" s="261"/>
      <c r="R211" s="261"/>
      <c r="S211" s="629"/>
      <c r="T211" s="629"/>
      <c r="U211" s="629"/>
      <c r="V211" s="629"/>
      <c r="W211" s="261"/>
      <c r="X211" s="261"/>
      <c r="Y211" s="261"/>
      <c r="Z211" s="261"/>
      <c r="AA211" s="261"/>
      <c r="AB211" s="261"/>
      <c r="AC211" s="266"/>
      <c r="AD211" s="633"/>
      <c r="AE211" s="264">
        <f t="shared" ref="AE211:AL211" si="438">IF(AE179=0,0,AE203/AE179)</f>
        <v>0</v>
      </c>
      <c r="AF211" s="264">
        <f t="shared" si="438"/>
        <v>0</v>
      </c>
      <c r="AG211" s="264">
        <f t="shared" si="438"/>
        <v>0</v>
      </c>
      <c r="AH211" s="264">
        <f t="shared" si="438"/>
        <v>0</v>
      </c>
      <c r="AI211" s="264">
        <f t="shared" si="438"/>
        <v>0</v>
      </c>
      <c r="AJ211" s="264">
        <f t="shared" si="438"/>
        <v>0</v>
      </c>
      <c r="AK211" s="264">
        <f t="shared" si="438"/>
        <v>0</v>
      </c>
      <c r="AL211" s="264">
        <f t="shared" si="438"/>
        <v>0</v>
      </c>
      <c r="AM211" s="264">
        <f>IF(AM179=0,0,AM203/AM179)</f>
        <v>0</v>
      </c>
      <c r="AN211" s="260"/>
      <c r="AO211" s="264">
        <f>IF(AO179=0,0,AO203/AO179)</f>
        <v>0</v>
      </c>
      <c r="AP211" s="260"/>
      <c r="AQ211" s="264"/>
      <c r="AR211" s="264" t="str">
        <f>VLOOKUP($I211,TableInputsData[],ReadMe!$M$3,FALSE)&amp;"  |  "&amp;VLOOKUP($K211,TableInputsData[],ReadMe!$M$3,FALSE)</f>
        <v>PRODUIT 05  |  PRIX MOYEN D'ACHAT PAR PRODUIT/SERVICE</v>
      </c>
      <c r="AS211" s="264"/>
      <c r="AT211" s="294"/>
    </row>
    <row r="212" spans="1:46" ht="13" hidden="1" x14ac:dyDescent="0.2">
      <c r="A212" s="294"/>
      <c r="B212" s="924"/>
      <c r="C212" s="272">
        <v>205</v>
      </c>
      <c r="D212" s="250">
        <f t="shared" si="372"/>
        <v>0</v>
      </c>
      <c r="E212" s="251"/>
      <c r="F212" s="248" t="str">
        <f t="shared" si="432"/>
        <v>YEAR2</v>
      </c>
      <c r="G212" s="250">
        <f>VLOOKUP(F212,TableInputsData[],$G$6,FALSE)</f>
        <v>2026</v>
      </c>
      <c r="H212" s="250" t="str">
        <f t="shared" si="373"/>
        <v>PRODUCT</v>
      </c>
      <c r="I212" s="248" t="str">
        <f t="shared" si="373"/>
        <v>PRODUCT 05</v>
      </c>
      <c r="J212" s="248" t="str">
        <f>VLOOKUP(I212,TableInputsData[],$J$6,FALSE)</f>
        <v>-</v>
      </c>
      <c r="K212" s="248" t="str">
        <f t="shared" si="437"/>
        <v>AVERAGE COST OF GOODS SOLD PER UNIT</v>
      </c>
      <c r="L212" s="256"/>
      <c r="M212" s="256"/>
      <c r="N212" s="256"/>
      <c r="O212" s="266"/>
      <c r="P212" s="261"/>
      <c r="Q212" s="261"/>
      <c r="R212" s="261"/>
      <c r="S212" s="629"/>
      <c r="T212" s="629"/>
      <c r="U212" s="629"/>
      <c r="V212" s="629"/>
      <c r="W212" s="261"/>
      <c r="X212" s="261"/>
      <c r="Y212" s="261"/>
      <c r="Z212" s="261"/>
      <c r="AA212" s="261"/>
      <c r="AB212" s="261"/>
      <c r="AC212" s="266"/>
      <c r="AD212" s="633"/>
      <c r="AE212" s="264">
        <f t="shared" ref="AE212:AM212" si="439">IF(AE180=0,0,AE204/AE180)</f>
        <v>0</v>
      </c>
      <c r="AF212" s="264">
        <f t="shared" si="439"/>
        <v>0</v>
      </c>
      <c r="AG212" s="264">
        <f t="shared" si="439"/>
        <v>0</v>
      </c>
      <c r="AH212" s="264">
        <f t="shared" si="439"/>
        <v>0</v>
      </c>
      <c r="AI212" s="264">
        <f t="shared" si="439"/>
        <v>0</v>
      </c>
      <c r="AJ212" s="264">
        <f t="shared" si="439"/>
        <v>0</v>
      </c>
      <c r="AK212" s="264">
        <f t="shared" si="439"/>
        <v>0</v>
      </c>
      <c r="AL212" s="264">
        <f t="shared" si="439"/>
        <v>0</v>
      </c>
      <c r="AM212" s="264">
        <f t="shared" si="439"/>
        <v>0</v>
      </c>
      <c r="AN212" s="260"/>
      <c r="AO212" s="264">
        <f t="shared" ref="AO212" si="440">IF(AO180=0,0,AO204/AO180)</f>
        <v>0</v>
      </c>
      <c r="AP212" s="260"/>
      <c r="AQ212" s="264"/>
      <c r="AR212" s="264" t="str">
        <f>VLOOKUP($I212,TableInputsData[],ReadMe!$M$3,FALSE)&amp;"  |  "&amp;VLOOKUP($K212,TableInputsData[],ReadMe!$M$3,FALSE)</f>
        <v>PRODUIT 05  |  PRIX MOYEN D'ACHAT PAR PRODUIT/SERVICE</v>
      </c>
      <c r="AS212" s="264"/>
      <c r="AT212" s="294"/>
    </row>
    <row r="213" spans="1:46" ht="13" hidden="1" x14ac:dyDescent="0.2">
      <c r="A213" s="294"/>
      <c r="B213" s="924"/>
      <c r="C213" s="272">
        <v>206</v>
      </c>
      <c r="D213" s="250">
        <f t="shared" si="372"/>
        <v>0</v>
      </c>
      <c r="E213" s="251"/>
      <c r="F213" s="248" t="str">
        <f t="shared" si="432"/>
        <v>YEAR3</v>
      </c>
      <c r="G213" s="250">
        <f>VLOOKUP(F213,TableInputsData[],$G$6,FALSE)</f>
        <v>2027</v>
      </c>
      <c r="H213" s="250" t="str">
        <f t="shared" si="373"/>
        <v>PRODUCT</v>
      </c>
      <c r="I213" s="248" t="str">
        <f t="shared" si="373"/>
        <v>PRODUCT 05</v>
      </c>
      <c r="J213" s="248" t="str">
        <f>VLOOKUP(I213,TableInputsData[],$J$6,FALSE)</f>
        <v>-</v>
      </c>
      <c r="K213" s="248" t="str">
        <f t="shared" si="437"/>
        <v>AVERAGE COST OF GOODS SOLD PER UNIT</v>
      </c>
      <c r="L213" s="256"/>
      <c r="M213" s="256"/>
      <c r="N213" s="256"/>
      <c r="O213" s="266"/>
      <c r="P213" s="261"/>
      <c r="Q213" s="261"/>
      <c r="R213" s="261"/>
      <c r="S213" s="629"/>
      <c r="T213" s="629"/>
      <c r="U213" s="629"/>
      <c r="V213" s="629"/>
      <c r="W213" s="261"/>
      <c r="X213" s="261"/>
      <c r="Y213" s="261"/>
      <c r="Z213" s="261"/>
      <c r="AA213" s="261"/>
      <c r="AB213" s="261"/>
      <c r="AC213" s="266"/>
      <c r="AD213" s="633"/>
      <c r="AE213" s="264">
        <f t="shared" ref="AE213:AM213" si="441">IF(AE181=0,0,AE205/AE181)</f>
        <v>0</v>
      </c>
      <c r="AF213" s="264">
        <f t="shared" si="441"/>
        <v>0</v>
      </c>
      <c r="AG213" s="264">
        <f t="shared" si="441"/>
        <v>0</v>
      </c>
      <c r="AH213" s="264">
        <f t="shared" si="441"/>
        <v>0</v>
      </c>
      <c r="AI213" s="264">
        <f t="shared" si="441"/>
        <v>0</v>
      </c>
      <c r="AJ213" s="264">
        <f t="shared" si="441"/>
        <v>0</v>
      </c>
      <c r="AK213" s="264">
        <f t="shared" si="441"/>
        <v>0</v>
      </c>
      <c r="AL213" s="264">
        <f t="shared" si="441"/>
        <v>0</v>
      </c>
      <c r="AM213" s="264">
        <f t="shared" si="441"/>
        <v>0</v>
      </c>
      <c r="AN213" s="260"/>
      <c r="AO213" s="264">
        <f t="shared" ref="AO213" si="442">IF(AO181=0,0,AO205/AO181)</f>
        <v>0</v>
      </c>
      <c r="AP213" s="260"/>
      <c r="AQ213" s="264"/>
      <c r="AR213" s="264" t="str">
        <f>VLOOKUP($I213,TableInputsData[],ReadMe!$M$3,FALSE)&amp;"  |  "&amp;VLOOKUP($K213,TableInputsData[],ReadMe!$M$3,FALSE)</f>
        <v>PRODUIT 05  |  PRIX MOYEN D'ACHAT PAR PRODUIT/SERVICE</v>
      </c>
      <c r="AS213" s="264"/>
      <c r="AT213" s="294"/>
    </row>
    <row r="214" spans="1:46" ht="13" hidden="1" x14ac:dyDescent="0.2">
      <c r="A214" s="294"/>
      <c r="B214" s="924"/>
      <c r="C214" s="272">
        <v>207</v>
      </c>
      <c r="D214" s="250">
        <f t="shared" si="372"/>
        <v>0</v>
      </c>
      <c r="E214" s="251"/>
      <c r="F214" s="248" t="str">
        <f t="shared" si="432"/>
        <v>YEAR4</v>
      </c>
      <c r="G214" s="250">
        <f>VLOOKUP(F214,TableInputsData[],$G$6,FALSE)</f>
        <v>2028</v>
      </c>
      <c r="H214" s="250" t="str">
        <f t="shared" si="373"/>
        <v>PRODUCT</v>
      </c>
      <c r="I214" s="248" t="str">
        <f t="shared" si="373"/>
        <v>PRODUCT 05</v>
      </c>
      <c r="J214" s="248" t="str">
        <f>VLOOKUP(I214,TableInputsData[],$J$6,FALSE)</f>
        <v>-</v>
      </c>
      <c r="K214" s="248" t="str">
        <f t="shared" si="437"/>
        <v>AVERAGE COST OF GOODS SOLD PER UNIT</v>
      </c>
      <c r="L214" s="256"/>
      <c r="M214" s="256"/>
      <c r="N214" s="256"/>
      <c r="O214" s="266"/>
      <c r="P214" s="261"/>
      <c r="Q214" s="261"/>
      <c r="R214" s="261"/>
      <c r="S214" s="629"/>
      <c r="T214" s="629"/>
      <c r="U214" s="629"/>
      <c r="V214" s="629"/>
      <c r="W214" s="261"/>
      <c r="X214" s="261"/>
      <c r="Y214" s="261"/>
      <c r="Z214" s="261"/>
      <c r="AA214" s="261"/>
      <c r="AB214" s="261"/>
      <c r="AC214" s="266"/>
      <c r="AD214" s="633"/>
      <c r="AE214" s="264">
        <f t="shared" ref="AE214:AM214" si="443">IF(AE182=0,0,AE206/AE182)</f>
        <v>0</v>
      </c>
      <c r="AF214" s="264">
        <f t="shared" si="443"/>
        <v>0</v>
      </c>
      <c r="AG214" s="264">
        <f t="shared" si="443"/>
        <v>0</v>
      </c>
      <c r="AH214" s="264">
        <f t="shared" si="443"/>
        <v>0</v>
      </c>
      <c r="AI214" s="264">
        <f t="shared" si="443"/>
        <v>0</v>
      </c>
      <c r="AJ214" s="264">
        <f t="shared" si="443"/>
        <v>0</v>
      </c>
      <c r="AK214" s="264">
        <f t="shared" si="443"/>
        <v>0</v>
      </c>
      <c r="AL214" s="264">
        <f t="shared" si="443"/>
        <v>0</v>
      </c>
      <c r="AM214" s="264">
        <f t="shared" si="443"/>
        <v>0</v>
      </c>
      <c r="AN214" s="260"/>
      <c r="AO214" s="264">
        <f t="shared" ref="AO214" si="444">IF(AO182=0,0,AO206/AO182)</f>
        <v>0</v>
      </c>
      <c r="AP214" s="260"/>
      <c r="AQ214" s="264"/>
      <c r="AR214" s="264" t="str">
        <f>VLOOKUP($I214,TableInputsData[],ReadMe!$M$3,FALSE)&amp;"  |  "&amp;VLOOKUP($K214,TableInputsData[],ReadMe!$M$3,FALSE)</f>
        <v>PRODUIT 05  |  PRIX MOYEN D'ACHAT PAR PRODUIT/SERVICE</v>
      </c>
      <c r="AS214" s="264"/>
      <c r="AT214" s="294"/>
    </row>
    <row r="215" spans="1:46" ht="13" hidden="1" x14ac:dyDescent="0.2">
      <c r="A215" s="294"/>
      <c r="B215" s="924"/>
      <c r="C215" s="272">
        <v>208</v>
      </c>
      <c r="D215" s="250">
        <f t="shared" si="372"/>
        <v>0</v>
      </c>
      <c r="E215" s="251"/>
      <c r="F215" s="248" t="str">
        <f t="shared" si="432"/>
        <v>YEAR5</v>
      </c>
      <c r="G215" s="250">
        <f>VLOOKUP(F215,TableInputsData[],$G$6,FALSE)</f>
        <v>2029</v>
      </c>
      <c r="H215" s="250" t="str">
        <f t="shared" si="373"/>
        <v>PRODUCT</v>
      </c>
      <c r="I215" s="248" t="str">
        <f t="shared" si="373"/>
        <v>PRODUCT 05</v>
      </c>
      <c r="J215" s="248" t="str">
        <f>VLOOKUP(I215,TableInputsData[],$J$6,FALSE)</f>
        <v>-</v>
      </c>
      <c r="K215" s="248" t="str">
        <f t="shared" si="437"/>
        <v>AVERAGE COST OF GOODS SOLD PER UNIT</v>
      </c>
      <c r="L215" s="256"/>
      <c r="M215" s="256"/>
      <c r="N215" s="256"/>
      <c r="O215" s="266"/>
      <c r="P215" s="261"/>
      <c r="Q215" s="261"/>
      <c r="R215" s="261"/>
      <c r="S215" s="629"/>
      <c r="T215" s="629"/>
      <c r="U215" s="629"/>
      <c r="V215" s="629"/>
      <c r="W215" s="261"/>
      <c r="X215" s="261"/>
      <c r="Y215" s="261"/>
      <c r="Z215" s="261"/>
      <c r="AA215" s="261"/>
      <c r="AB215" s="261"/>
      <c r="AC215" s="266"/>
      <c r="AD215" s="633"/>
      <c r="AE215" s="264">
        <f t="shared" ref="AE215:AM215" si="445">IF(AE183=0,0,AE207/AE183)</f>
        <v>0</v>
      </c>
      <c r="AF215" s="264">
        <f t="shared" si="445"/>
        <v>0</v>
      </c>
      <c r="AG215" s="264">
        <f t="shared" si="445"/>
        <v>0</v>
      </c>
      <c r="AH215" s="264">
        <f t="shared" si="445"/>
        <v>0</v>
      </c>
      <c r="AI215" s="264">
        <f t="shared" si="445"/>
        <v>0</v>
      </c>
      <c r="AJ215" s="264">
        <f t="shared" si="445"/>
        <v>0</v>
      </c>
      <c r="AK215" s="264">
        <f t="shared" si="445"/>
        <v>0</v>
      </c>
      <c r="AL215" s="264">
        <f t="shared" si="445"/>
        <v>0</v>
      </c>
      <c r="AM215" s="264">
        <f t="shared" si="445"/>
        <v>0</v>
      </c>
      <c r="AN215" s="260"/>
      <c r="AO215" s="264">
        <f t="shared" ref="AO215" si="446">IF(AO183=0,0,AO207/AO183)</f>
        <v>0</v>
      </c>
      <c r="AP215" s="260"/>
      <c r="AQ215" s="264"/>
      <c r="AR215" s="264" t="str">
        <f>VLOOKUP($I215,TableInputsData[],ReadMe!$M$3,FALSE)&amp;"  |  "&amp;VLOOKUP($K215,TableInputsData[],ReadMe!$M$3,FALSE)</f>
        <v>PRODUIT 05  |  PRIX MOYEN D'ACHAT PAR PRODUIT/SERVICE</v>
      </c>
      <c r="AS215" s="264"/>
      <c r="AT215" s="294"/>
    </row>
    <row r="216" spans="1:46" ht="13" hidden="1" x14ac:dyDescent="0.2">
      <c r="A216" s="294"/>
      <c r="B216" s="924"/>
      <c r="C216" s="272">
        <v>209</v>
      </c>
      <c r="D216" s="250">
        <f t="shared" si="372"/>
        <v>0</v>
      </c>
      <c r="E216" s="251"/>
      <c r="F216" s="248" t="str">
        <f t="shared" si="432"/>
        <v>YEAR6</v>
      </c>
      <c r="G216" s="250">
        <f>VLOOKUP(F216,TableInputsData[],$G$6,FALSE)</f>
        <v>2030</v>
      </c>
      <c r="H216" s="250" t="str">
        <f t="shared" si="373"/>
        <v>PRODUCT</v>
      </c>
      <c r="I216" s="248" t="str">
        <f t="shared" si="373"/>
        <v>PRODUCT 05</v>
      </c>
      <c r="J216" s="248" t="str">
        <f>VLOOKUP(I216,TableInputsData[],$J$6,FALSE)</f>
        <v>-</v>
      </c>
      <c r="K216" s="248" t="str">
        <f t="shared" si="437"/>
        <v>AVERAGE COST OF GOODS SOLD PER UNIT</v>
      </c>
      <c r="L216" s="256"/>
      <c r="M216" s="256"/>
      <c r="N216" s="256"/>
      <c r="O216" s="266"/>
      <c r="P216" s="261"/>
      <c r="Q216" s="261"/>
      <c r="R216" s="261"/>
      <c r="S216" s="629"/>
      <c r="T216" s="629"/>
      <c r="U216" s="629"/>
      <c r="V216" s="629"/>
      <c r="W216" s="261"/>
      <c r="X216" s="261"/>
      <c r="Y216" s="261"/>
      <c r="Z216" s="261"/>
      <c r="AA216" s="261"/>
      <c r="AB216" s="261"/>
      <c r="AC216" s="266"/>
      <c r="AD216" s="633"/>
      <c r="AE216" s="264">
        <f t="shared" ref="AE216:AM216" si="447">IF(AE184=0,0,AE208/AE184)</f>
        <v>0</v>
      </c>
      <c r="AF216" s="264">
        <f t="shared" si="447"/>
        <v>0</v>
      </c>
      <c r="AG216" s="264">
        <f t="shared" si="447"/>
        <v>0</v>
      </c>
      <c r="AH216" s="264">
        <f t="shared" si="447"/>
        <v>0</v>
      </c>
      <c r="AI216" s="264">
        <f t="shared" si="447"/>
        <v>0</v>
      </c>
      <c r="AJ216" s="264">
        <f t="shared" si="447"/>
        <v>0</v>
      </c>
      <c r="AK216" s="264">
        <f t="shared" si="447"/>
        <v>0</v>
      </c>
      <c r="AL216" s="264">
        <f t="shared" si="447"/>
        <v>0</v>
      </c>
      <c r="AM216" s="264">
        <f t="shared" si="447"/>
        <v>0</v>
      </c>
      <c r="AN216" s="260"/>
      <c r="AO216" s="264">
        <f t="shared" ref="AO216" si="448">IF(AO184=0,0,AO208/AO184)</f>
        <v>0</v>
      </c>
      <c r="AP216" s="260"/>
      <c r="AQ216" s="264"/>
      <c r="AR216" s="264" t="str">
        <f>VLOOKUP($I216,TableInputsData[],ReadMe!$M$3,FALSE)&amp;"  |  "&amp;VLOOKUP($K216,TableInputsData[],ReadMe!$M$3,FALSE)</f>
        <v>PRODUIT 05  |  PRIX MOYEN D'ACHAT PAR PRODUIT/SERVICE</v>
      </c>
      <c r="AS216" s="264"/>
      <c r="AT216" s="294"/>
    </row>
    <row r="217" spans="1:46" ht="13" x14ac:dyDescent="0.2">
      <c r="A217" s="294"/>
      <c r="B217" s="924"/>
      <c r="C217" s="273">
        <v>210</v>
      </c>
      <c r="D217" s="253">
        <v>0</v>
      </c>
      <c r="E217" s="253">
        <v>1</v>
      </c>
      <c r="F217" s="252"/>
      <c r="G217" s="253"/>
      <c r="H217" s="253"/>
      <c r="I217" s="252"/>
      <c r="J217" s="252"/>
      <c r="K217" s="252"/>
      <c r="L217" s="257"/>
      <c r="M217" s="257"/>
      <c r="N217" s="257"/>
      <c r="O217" s="267"/>
      <c r="P217" s="262"/>
      <c r="Q217" s="262"/>
      <c r="R217" s="262"/>
      <c r="S217" s="631"/>
      <c r="T217" s="631"/>
      <c r="U217" s="631"/>
      <c r="V217" s="631"/>
      <c r="W217" s="262"/>
      <c r="X217" s="262"/>
      <c r="Y217" s="262"/>
      <c r="Z217" s="262"/>
      <c r="AA217" s="262"/>
      <c r="AB217" s="262"/>
      <c r="AC217" s="267"/>
      <c r="AD217" s="635"/>
      <c r="AE217" s="270"/>
      <c r="AF217" s="270"/>
      <c r="AG217" s="270"/>
      <c r="AH217" s="270"/>
      <c r="AI217" s="270"/>
      <c r="AJ217" s="270"/>
      <c r="AK217" s="270"/>
      <c r="AL217" s="270"/>
      <c r="AM217" s="270"/>
      <c r="AN217" s="643"/>
      <c r="AO217" s="270"/>
      <c r="AP217" s="270"/>
      <c r="AQ217" s="270"/>
      <c r="AR217" s="270"/>
      <c r="AS217" s="270"/>
      <c r="AT217" s="294"/>
    </row>
    <row r="218" spans="1:46" ht="13" hidden="1" x14ac:dyDescent="0.2">
      <c r="A218" s="294"/>
      <c r="B218" s="925" t="str">
        <f>I219&amp;"___"</f>
        <v>PRODUCT 06___</v>
      </c>
      <c r="C218" s="271">
        <v>211</v>
      </c>
      <c r="D218" s="250">
        <v>0</v>
      </c>
      <c r="E218" s="250"/>
      <c r="F218" s="248"/>
      <c r="G218" s="250"/>
      <c r="H218" s="250"/>
      <c r="I218" s="248"/>
      <c r="J218" s="248"/>
      <c r="K218" s="248"/>
      <c r="L218" s="254"/>
      <c r="M218" s="254"/>
      <c r="N218" s="254"/>
      <c r="O218" s="264"/>
      <c r="P218" s="259"/>
      <c r="Q218" s="259"/>
      <c r="R218" s="259"/>
      <c r="S218" s="628"/>
      <c r="T218" s="628"/>
      <c r="U218" s="628"/>
      <c r="V218" s="628"/>
      <c r="W218" s="259"/>
      <c r="X218" s="259"/>
      <c r="Y218" s="259"/>
      <c r="Z218" s="259"/>
      <c r="AA218" s="259"/>
      <c r="AB218" s="259"/>
      <c r="AC218" s="264"/>
      <c r="AD218" s="609"/>
      <c r="AE218" s="269"/>
      <c r="AF218" s="269"/>
      <c r="AG218" s="269"/>
      <c r="AH218" s="269"/>
      <c r="AI218" s="269"/>
      <c r="AJ218" s="269"/>
      <c r="AK218" s="269"/>
      <c r="AL218" s="269"/>
      <c r="AM218" s="269"/>
      <c r="AN218" s="642"/>
      <c r="AO218" s="269"/>
      <c r="AP218" s="269"/>
      <c r="AQ218" s="269"/>
      <c r="AR218" s="269"/>
      <c r="AS218" s="269"/>
      <c r="AT218" s="294"/>
    </row>
    <row r="219" spans="1:46" ht="13" x14ac:dyDescent="0.2">
      <c r="A219" s="294"/>
      <c r="B219" s="925"/>
      <c r="C219" s="271">
        <v>212</v>
      </c>
      <c r="D219" s="250">
        <f>VLOOKUP($I219,TableInputsData[],$D$6,FALSE)</f>
        <v>0</v>
      </c>
      <c r="E219" s="250">
        <v>1</v>
      </c>
      <c r="F219" s="248" t="s">
        <v>392</v>
      </c>
      <c r="G219" s="250">
        <f>VLOOKUP(F219,TableInputsData[],$G$6,FALSE)</f>
        <v>2023</v>
      </c>
      <c r="H219" s="250" t="s">
        <v>588</v>
      </c>
      <c r="I219" s="248" t="s">
        <v>542</v>
      </c>
      <c r="J219" s="248" t="str">
        <f>VLOOKUP(I219,TableInputsData[],$J$6,FALSE)</f>
        <v>-</v>
      </c>
      <c r="K219" s="248" t="s">
        <v>261</v>
      </c>
      <c r="L219" s="499">
        <v>1000</v>
      </c>
      <c r="M219" s="499">
        <v>0</v>
      </c>
      <c r="N219" s="499">
        <v>0</v>
      </c>
      <c r="O219" s="264">
        <f t="shared" ref="O219:O226" si="449">$L219*$P219+$M219*$Q219+$N219*$R219</f>
        <v>1000</v>
      </c>
      <c r="P219" s="500">
        <v>1</v>
      </c>
      <c r="Q219" s="500">
        <v>0</v>
      </c>
      <c r="R219" s="259">
        <f>1-$P219-$Q219</f>
        <v>0</v>
      </c>
      <c r="S219" s="626">
        <v>500</v>
      </c>
      <c r="T219" s="626">
        <v>0</v>
      </c>
      <c r="U219" s="626">
        <v>0</v>
      </c>
      <c r="V219" s="628">
        <f>($L219*$P219*$S219+$M219*$Q219*$T219+$N219*$R219*$U219)/$O219</f>
        <v>500</v>
      </c>
      <c r="W219" s="500">
        <v>1</v>
      </c>
      <c r="X219" s="500">
        <v>1</v>
      </c>
      <c r="Y219" s="500">
        <v>1</v>
      </c>
      <c r="Z219" s="259">
        <f t="shared" ref="Z219:Z226" si="450">1-$W219</f>
        <v>0</v>
      </c>
      <c r="AA219" s="259">
        <f t="shared" ref="AA219:AA226" si="451">1-$X219</f>
        <v>0</v>
      </c>
      <c r="AB219" s="259">
        <f t="shared" ref="AB219:AB226" si="452">1-$Y219</f>
        <v>0</v>
      </c>
      <c r="AC219" s="628">
        <f>AM251</f>
        <v>0</v>
      </c>
      <c r="AD219" s="628">
        <f>AO251</f>
        <v>0</v>
      </c>
      <c r="AE219" s="501">
        <v>0</v>
      </c>
      <c r="AF219" s="501">
        <v>0</v>
      </c>
      <c r="AG219" s="501">
        <v>0</v>
      </c>
      <c r="AH219" s="501">
        <v>0</v>
      </c>
      <c r="AI219" s="264">
        <f t="shared" ref="AI219:AI222" si="453">$AE219+$AF219+$AG219+$AH219</f>
        <v>0</v>
      </c>
      <c r="AJ219" s="264">
        <f t="shared" ref="AJ219:AJ226" si="454">$AI219*$P219</f>
        <v>0</v>
      </c>
      <c r="AK219" s="264">
        <f t="shared" ref="AK219:AK226" si="455">$AI219*$Q219</f>
        <v>0</v>
      </c>
      <c r="AL219" s="264">
        <f t="shared" ref="AL219:AL226" si="456">$AI219*$R219</f>
        <v>0</v>
      </c>
      <c r="AM219" s="264">
        <f t="shared" ref="AM219:AM226" si="457">$AJ219*$W219+$AK219*$X219+$AL219*$Y219</f>
        <v>0</v>
      </c>
      <c r="AN219" s="640">
        <f>IF(AI219=0,0,AM219/AI219)</f>
        <v>0</v>
      </c>
      <c r="AO219" s="264">
        <f t="shared" ref="AO219:AO226" si="458">$AJ219*$Z219+$AK219*$AA219+$AL219*$AB219</f>
        <v>0</v>
      </c>
      <c r="AP219" s="640">
        <f t="shared" ref="AP219:AP234" si="459">IF(AI219=0,0,AO219/AI219)</f>
        <v>0</v>
      </c>
      <c r="AQ219" s="264" t="str">
        <f>VLOOKUP(I219,TableInputsData[],$AQ$6,FALSE)</f>
        <v>GAMME # : 1 + CANAL DE DISTRIBUTION # : 1</v>
      </c>
      <c r="AR219" s="264" t="str">
        <f>VLOOKUP($I219,TableInputsData[],ReadMe!$M$3,FALSE)&amp;"  |  "&amp;VLOOKUP($K219,TableInputsData[],ReadMe!$M$3,FALSE)</f>
        <v>PRODUIT 06  |  VOLUME</v>
      </c>
      <c r="AS219" s="264" t="b">
        <f t="shared" ref="AS219:AS226" si="460">AND(EXACT(ROUND(AI219,2),ROUND(AJ219+AK219+AL219,2)),EXACT(ROUND(AI219,2),ROUND(AM219+AO219,2)),EXACT(SUM(P219:R219),1),IF(R219&lt;0,FALSE,TRUE),EXACT(SUM(W219:AB219),3),MIN(W219:Y219)&gt;=0, MAX(W219:Y219)&lt;=1)</f>
        <v>1</v>
      </c>
      <c r="AT219" s="294"/>
    </row>
    <row r="220" spans="1:46" ht="13" x14ac:dyDescent="0.2">
      <c r="A220" s="294"/>
      <c r="B220" s="925"/>
      <c r="C220" s="271">
        <v>213</v>
      </c>
      <c r="D220" s="250">
        <f>D219</f>
        <v>0</v>
      </c>
      <c r="E220" s="250">
        <v>1</v>
      </c>
      <c r="F220" s="248" t="s">
        <v>391</v>
      </c>
      <c r="G220" s="250">
        <f>VLOOKUP(F220,TableInputsData[],$G$6,FALSE)</f>
        <v>2024</v>
      </c>
      <c r="H220" s="250" t="str">
        <f>H219</f>
        <v>PRODUCT</v>
      </c>
      <c r="I220" s="248" t="str">
        <f>I219</f>
        <v>PRODUCT 06</v>
      </c>
      <c r="J220" s="248" t="str">
        <f>VLOOKUP(I220,TableInputsData[],$J$6,FALSE)</f>
        <v>-</v>
      </c>
      <c r="K220" s="248" t="str">
        <f>K219</f>
        <v>VOLUME</v>
      </c>
      <c r="L220" s="499">
        <v>1000</v>
      </c>
      <c r="M220" s="499">
        <v>0</v>
      </c>
      <c r="N220" s="499">
        <v>0</v>
      </c>
      <c r="O220" s="264">
        <f t="shared" si="449"/>
        <v>1000</v>
      </c>
      <c r="P220" s="500">
        <v>1</v>
      </c>
      <c r="Q220" s="500">
        <v>0</v>
      </c>
      <c r="R220" s="259">
        <f t="shared" ref="R220:R226" si="461">1-$P220-$Q220</f>
        <v>0</v>
      </c>
      <c r="S220" s="626">
        <v>500</v>
      </c>
      <c r="T220" s="626">
        <v>0</v>
      </c>
      <c r="U220" s="626">
        <v>0</v>
      </c>
      <c r="V220" s="628">
        <f t="shared" ref="V220:V226" si="462">($L220*$P220*$S220+$M220*$Q220*$T220+$N220*$R220*$U220)/$O220</f>
        <v>500</v>
      </c>
      <c r="W220" s="500">
        <v>1</v>
      </c>
      <c r="X220" s="500">
        <v>1</v>
      </c>
      <c r="Y220" s="500">
        <v>1</v>
      </c>
      <c r="Z220" s="259">
        <f t="shared" si="450"/>
        <v>0</v>
      </c>
      <c r="AA220" s="259">
        <f t="shared" si="451"/>
        <v>0</v>
      </c>
      <c r="AB220" s="259">
        <f t="shared" si="452"/>
        <v>0</v>
      </c>
      <c r="AC220" s="628">
        <f t="shared" ref="AC220:AC226" si="463">AM252</f>
        <v>0</v>
      </c>
      <c r="AD220" s="628">
        <f t="shared" ref="AD220:AD226" si="464">AO252</f>
        <v>0</v>
      </c>
      <c r="AE220" s="501">
        <v>0</v>
      </c>
      <c r="AF220" s="501">
        <v>0</v>
      </c>
      <c r="AG220" s="501">
        <v>0</v>
      </c>
      <c r="AH220" s="501">
        <v>0</v>
      </c>
      <c r="AI220" s="264">
        <f t="shared" si="453"/>
        <v>0</v>
      </c>
      <c r="AJ220" s="264">
        <f t="shared" si="454"/>
        <v>0</v>
      </c>
      <c r="AK220" s="264">
        <f t="shared" si="455"/>
        <v>0</v>
      </c>
      <c r="AL220" s="264">
        <f t="shared" si="456"/>
        <v>0</v>
      </c>
      <c r="AM220" s="264">
        <f t="shared" si="457"/>
        <v>0</v>
      </c>
      <c r="AN220" s="640">
        <f t="shared" ref="AN220:AN234" si="465">IF(AI220=0,0,AM220/AI220)</f>
        <v>0</v>
      </c>
      <c r="AO220" s="264">
        <f t="shared" si="458"/>
        <v>0</v>
      </c>
      <c r="AP220" s="640">
        <f t="shared" si="459"/>
        <v>0</v>
      </c>
      <c r="AQ220" s="501"/>
      <c r="AR220" s="264" t="str">
        <f>VLOOKUP($I220,TableInputsData[],ReadMe!$M$3,FALSE)&amp;"  |  "&amp;VLOOKUP($K220,TableInputsData[],ReadMe!$M$3,FALSE)</f>
        <v>PRODUIT 06  |  VOLUME</v>
      </c>
      <c r="AS220" s="264" t="b">
        <f t="shared" si="460"/>
        <v>1</v>
      </c>
      <c r="AT220" s="294"/>
    </row>
    <row r="221" spans="1:46" ht="13" x14ac:dyDescent="0.2">
      <c r="A221" s="294"/>
      <c r="B221" s="925"/>
      <c r="C221" s="271">
        <v>214</v>
      </c>
      <c r="D221" s="250">
        <f t="shared" ref="D221:D258" si="466">D220</f>
        <v>0</v>
      </c>
      <c r="E221" s="250">
        <v>1</v>
      </c>
      <c r="F221" s="248" t="s">
        <v>393</v>
      </c>
      <c r="G221" s="250">
        <f>VLOOKUP(F221,TableInputsData[],$G$6,FALSE)</f>
        <v>2025</v>
      </c>
      <c r="H221" s="250" t="str">
        <f t="shared" ref="H221:I258" si="467">H220</f>
        <v>PRODUCT</v>
      </c>
      <c r="I221" s="248" t="str">
        <f t="shared" si="467"/>
        <v>PRODUCT 06</v>
      </c>
      <c r="J221" s="248" t="str">
        <f>VLOOKUP(I221,TableInputsData[],$J$6,FALSE)</f>
        <v>-</v>
      </c>
      <c r="K221" s="248" t="str">
        <f t="shared" ref="K221:K226" si="468">K220</f>
        <v>VOLUME</v>
      </c>
      <c r="L221" s="499">
        <v>1000</v>
      </c>
      <c r="M221" s="499">
        <v>0</v>
      </c>
      <c r="N221" s="499">
        <v>0</v>
      </c>
      <c r="O221" s="264">
        <f t="shared" si="449"/>
        <v>1000</v>
      </c>
      <c r="P221" s="500">
        <v>1</v>
      </c>
      <c r="Q221" s="500">
        <v>0</v>
      </c>
      <c r="R221" s="259">
        <f t="shared" si="461"/>
        <v>0</v>
      </c>
      <c r="S221" s="626">
        <v>500</v>
      </c>
      <c r="T221" s="626">
        <v>0</v>
      </c>
      <c r="U221" s="626">
        <v>0</v>
      </c>
      <c r="V221" s="628">
        <f t="shared" si="462"/>
        <v>500</v>
      </c>
      <c r="W221" s="500">
        <v>1</v>
      </c>
      <c r="X221" s="500">
        <v>1</v>
      </c>
      <c r="Y221" s="500">
        <v>1</v>
      </c>
      <c r="Z221" s="259">
        <f t="shared" si="450"/>
        <v>0</v>
      </c>
      <c r="AA221" s="259">
        <f t="shared" si="451"/>
        <v>0</v>
      </c>
      <c r="AB221" s="259">
        <f t="shared" si="452"/>
        <v>0</v>
      </c>
      <c r="AC221" s="628">
        <f t="shared" si="463"/>
        <v>0</v>
      </c>
      <c r="AD221" s="628">
        <f t="shared" si="464"/>
        <v>0</v>
      </c>
      <c r="AE221" s="501">
        <v>0</v>
      </c>
      <c r="AF221" s="501">
        <v>0</v>
      </c>
      <c r="AG221" s="501">
        <v>0</v>
      </c>
      <c r="AH221" s="501">
        <v>0</v>
      </c>
      <c r="AI221" s="264">
        <f t="shared" si="453"/>
        <v>0</v>
      </c>
      <c r="AJ221" s="264">
        <f t="shared" si="454"/>
        <v>0</v>
      </c>
      <c r="AK221" s="264">
        <f t="shared" si="455"/>
        <v>0</v>
      </c>
      <c r="AL221" s="264">
        <f t="shared" si="456"/>
        <v>0</v>
      </c>
      <c r="AM221" s="264">
        <f t="shared" si="457"/>
        <v>0</v>
      </c>
      <c r="AN221" s="640">
        <f t="shared" si="465"/>
        <v>0</v>
      </c>
      <c r="AO221" s="264">
        <f t="shared" si="458"/>
        <v>0</v>
      </c>
      <c r="AP221" s="640">
        <f t="shared" si="459"/>
        <v>0</v>
      </c>
      <c r="AQ221" s="501"/>
      <c r="AR221" s="264" t="str">
        <f>VLOOKUP($I221,TableInputsData[],ReadMe!$M$3,FALSE)&amp;"  |  "&amp;VLOOKUP($K221,TableInputsData[],ReadMe!$M$3,FALSE)</f>
        <v>PRODUIT 06  |  VOLUME</v>
      </c>
      <c r="AS221" s="264" t="b">
        <f t="shared" si="460"/>
        <v>1</v>
      </c>
      <c r="AT221" s="294"/>
    </row>
    <row r="222" spans="1:46" ht="13" x14ac:dyDescent="0.2">
      <c r="A222" s="294"/>
      <c r="B222" s="925"/>
      <c r="C222" s="271">
        <v>215</v>
      </c>
      <c r="D222" s="250">
        <f t="shared" si="466"/>
        <v>0</v>
      </c>
      <c r="E222" s="250">
        <v>1</v>
      </c>
      <c r="F222" s="248" t="s">
        <v>396</v>
      </c>
      <c r="G222" s="250">
        <f>VLOOKUP(F222,TableInputsData[],$G$6,FALSE)</f>
        <v>2026</v>
      </c>
      <c r="H222" s="250" t="str">
        <f t="shared" si="467"/>
        <v>PRODUCT</v>
      </c>
      <c r="I222" s="248" t="str">
        <f t="shared" si="467"/>
        <v>PRODUCT 06</v>
      </c>
      <c r="J222" s="248" t="str">
        <f>VLOOKUP(I222,TableInputsData[],$J$6,FALSE)</f>
        <v>-</v>
      </c>
      <c r="K222" s="248" t="str">
        <f t="shared" si="468"/>
        <v>VOLUME</v>
      </c>
      <c r="L222" s="499">
        <v>1000</v>
      </c>
      <c r="M222" s="499">
        <v>0</v>
      </c>
      <c r="N222" s="499">
        <v>0</v>
      </c>
      <c r="O222" s="264">
        <f t="shared" si="449"/>
        <v>1000</v>
      </c>
      <c r="P222" s="500">
        <v>1</v>
      </c>
      <c r="Q222" s="500">
        <v>0</v>
      </c>
      <c r="R222" s="259">
        <f t="shared" si="461"/>
        <v>0</v>
      </c>
      <c r="S222" s="626">
        <v>500</v>
      </c>
      <c r="T222" s="626">
        <v>0</v>
      </c>
      <c r="U222" s="626">
        <v>0</v>
      </c>
      <c r="V222" s="628">
        <f t="shared" si="462"/>
        <v>500</v>
      </c>
      <c r="W222" s="500">
        <v>1</v>
      </c>
      <c r="X222" s="500">
        <v>1</v>
      </c>
      <c r="Y222" s="500">
        <v>1</v>
      </c>
      <c r="Z222" s="259">
        <f t="shared" si="450"/>
        <v>0</v>
      </c>
      <c r="AA222" s="259">
        <f t="shared" si="451"/>
        <v>0</v>
      </c>
      <c r="AB222" s="259">
        <f t="shared" si="452"/>
        <v>0</v>
      </c>
      <c r="AC222" s="628">
        <f t="shared" si="463"/>
        <v>0</v>
      </c>
      <c r="AD222" s="628">
        <f t="shared" si="464"/>
        <v>0</v>
      </c>
      <c r="AE222" s="501">
        <v>0</v>
      </c>
      <c r="AF222" s="501">
        <v>0</v>
      </c>
      <c r="AG222" s="501">
        <v>0</v>
      </c>
      <c r="AH222" s="501">
        <v>0</v>
      </c>
      <c r="AI222" s="264">
        <f t="shared" si="453"/>
        <v>0</v>
      </c>
      <c r="AJ222" s="264">
        <f t="shared" si="454"/>
        <v>0</v>
      </c>
      <c r="AK222" s="264">
        <f t="shared" si="455"/>
        <v>0</v>
      </c>
      <c r="AL222" s="264">
        <f t="shared" si="456"/>
        <v>0</v>
      </c>
      <c r="AM222" s="264">
        <f t="shared" si="457"/>
        <v>0</v>
      </c>
      <c r="AN222" s="640">
        <f t="shared" si="465"/>
        <v>0</v>
      </c>
      <c r="AO222" s="264">
        <f t="shared" si="458"/>
        <v>0</v>
      </c>
      <c r="AP222" s="640">
        <f t="shared" si="459"/>
        <v>0</v>
      </c>
      <c r="AQ222" s="501"/>
      <c r="AR222" s="264" t="str">
        <f>VLOOKUP($I222,TableInputsData[],ReadMe!$M$3,FALSE)&amp;"  |  "&amp;VLOOKUP($K222,TableInputsData[],ReadMe!$M$3,FALSE)</f>
        <v>PRODUIT 06  |  VOLUME</v>
      </c>
      <c r="AS222" s="264" t="b">
        <f t="shared" si="460"/>
        <v>1</v>
      </c>
      <c r="AT222" s="294"/>
    </row>
    <row r="223" spans="1:46" ht="13" x14ac:dyDescent="0.2">
      <c r="A223" s="294"/>
      <c r="B223" s="925"/>
      <c r="C223" s="271">
        <v>216</v>
      </c>
      <c r="D223" s="250">
        <f t="shared" si="466"/>
        <v>0</v>
      </c>
      <c r="E223" s="250">
        <v>1</v>
      </c>
      <c r="F223" s="248" t="s">
        <v>397</v>
      </c>
      <c r="G223" s="250">
        <f>VLOOKUP(F223,TableInputsData[],$G$6,FALSE)</f>
        <v>2027</v>
      </c>
      <c r="H223" s="250" t="str">
        <f t="shared" si="467"/>
        <v>PRODUCT</v>
      </c>
      <c r="I223" s="248" t="str">
        <f t="shared" si="467"/>
        <v>PRODUCT 06</v>
      </c>
      <c r="J223" s="248" t="str">
        <f>VLOOKUP(I223,TableInputsData[],$J$6,FALSE)</f>
        <v>-</v>
      </c>
      <c r="K223" s="248" t="str">
        <f t="shared" si="468"/>
        <v>VOLUME</v>
      </c>
      <c r="L223" s="499">
        <v>1000</v>
      </c>
      <c r="M223" s="499">
        <v>0</v>
      </c>
      <c r="N223" s="499">
        <v>0</v>
      </c>
      <c r="O223" s="264">
        <f t="shared" si="449"/>
        <v>1000</v>
      </c>
      <c r="P223" s="500">
        <v>1</v>
      </c>
      <c r="Q223" s="500">
        <v>0</v>
      </c>
      <c r="R223" s="259">
        <f t="shared" si="461"/>
        <v>0</v>
      </c>
      <c r="S223" s="626">
        <v>500</v>
      </c>
      <c r="T223" s="626">
        <v>0</v>
      </c>
      <c r="U223" s="626">
        <v>0</v>
      </c>
      <c r="V223" s="628">
        <f t="shared" si="462"/>
        <v>500</v>
      </c>
      <c r="W223" s="500">
        <v>1</v>
      </c>
      <c r="X223" s="500">
        <v>1</v>
      </c>
      <c r="Y223" s="500">
        <v>1</v>
      </c>
      <c r="Z223" s="259">
        <f t="shared" si="450"/>
        <v>0</v>
      </c>
      <c r="AA223" s="259">
        <f t="shared" si="451"/>
        <v>0</v>
      </c>
      <c r="AB223" s="259">
        <f t="shared" si="452"/>
        <v>0</v>
      </c>
      <c r="AC223" s="628">
        <f t="shared" si="463"/>
        <v>0</v>
      </c>
      <c r="AD223" s="628">
        <f t="shared" si="464"/>
        <v>0</v>
      </c>
      <c r="AE223" s="264">
        <f>$AI223/4</f>
        <v>0</v>
      </c>
      <c r="AF223" s="264">
        <f t="shared" ref="AF223:AH226" si="469">$AI223/4</f>
        <v>0</v>
      </c>
      <c r="AG223" s="264">
        <f t="shared" si="469"/>
        <v>0</v>
      </c>
      <c r="AH223" s="264">
        <f t="shared" si="469"/>
        <v>0</v>
      </c>
      <c r="AI223" s="501">
        <v>0</v>
      </c>
      <c r="AJ223" s="264">
        <f t="shared" si="454"/>
        <v>0</v>
      </c>
      <c r="AK223" s="264">
        <f t="shared" si="455"/>
        <v>0</v>
      </c>
      <c r="AL223" s="264">
        <f t="shared" si="456"/>
        <v>0</v>
      </c>
      <c r="AM223" s="264">
        <f t="shared" si="457"/>
        <v>0</v>
      </c>
      <c r="AN223" s="640">
        <f t="shared" si="465"/>
        <v>0</v>
      </c>
      <c r="AO223" s="264">
        <f t="shared" si="458"/>
        <v>0</v>
      </c>
      <c r="AP223" s="640">
        <f t="shared" si="459"/>
        <v>0</v>
      </c>
      <c r="AQ223" s="501"/>
      <c r="AR223" s="264" t="str">
        <f>VLOOKUP($I223,TableInputsData[],ReadMe!$M$3,FALSE)&amp;"  |  "&amp;VLOOKUP($K223,TableInputsData[],ReadMe!$M$3,FALSE)</f>
        <v>PRODUIT 06  |  VOLUME</v>
      </c>
      <c r="AS223" s="264" t="b">
        <f t="shared" si="460"/>
        <v>1</v>
      </c>
      <c r="AT223" s="294"/>
    </row>
    <row r="224" spans="1:46" ht="13" x14ac:dyDescent="0.2">
      <c r="A224" s="294"/>
      <c r="B224" s="925"/>
      <c r="C224" s="271">
        <v>217</v>
      </c>
      <c r="D224" s="250">
        <f t="shared" si="466"/>
        <v>0</v>
      </c>
      <c r="E224" s="250">
        <v>1</v>
      </c>
      <c r="F224" s="248" t="s">
        <v>398</v>
      </c>
      <c r="G224" s="250">
        <f>VLOOKUP(F224,TableInputsData[],$G$6,FALSE)</f>
        <v>2028</v>
      </c>
      <c r="H224" s="250" t="str">
        <f t="shared" si="467"/>
        <v>PRODUCT</v>
      </c>
      <c r="I224" s="248" t="str">
        <f t="shared" si="467"/>
        <v>PRODUCT 06</v>
      </c>
      <c r="J224" s="248" t="str">
        <f>VLOOKUP(I224,TableInputsData[],$J$6,FALSE)</f>
        <v>-</v>
      </c>
      <c r="K224" s="248" t="str">
        <f t="shared" si="468"/>
        <v>VOLUME</v>
      </c>
      <c r="L224" s="499">
        <v>1000</v>
      </c>
      <c r="M224" s="499">
        <v>0</v>
      </c>
      <c r="N224" s="499">
        <v>0</v>
      </c>
      <c r="O224" s="264">
        <f t="shared" si="449"/>
        <v>1000</v>
      </c>
      <c r="P224" s="500">
        <v>1</v>
      </c>
      <c r="Q224" s="500">
        <v>0</v>
      </c>
      <c r="R224" s="259">
        <f t="shared" si="461"/>
        <v>0</v>
      </c>
      <c r="S224" s="626">
        <v>500</v>
      </c>
      <c r="T224" s="626">
        <v>0</v>
      </c>
      <c r="U224" s="626">
        <v>0</v>
      </c>
      <c r="V224" s="628">
        <f t="shared" si="462"/>
        <v>500</v>
      </c>
      <c r="W224" s="500">
        <v>1</v>
      </c>
      <c r="X224" s="500">
        <v>1</v>
      </c>
      <c r="Y224" s="500">
        <v>1</v>
      </c>
      <c r="Z224" s="259">
        <f t="shared" si="450"/>
        <v>0</v>
      </c>
      <c r="AA224" s="259">
        <f t="shared" si="451"/>
        <v>0</v>
      </c>
      <c r="AB224" s="259">
        <f t="shared" si="452"/>
        <v>0</v>
      </c>
      <c r="AC224" s="628">
        <f t="shared" si="463"/>
        <v>0</v>
      </c>
      <c r="AD224" s="628">
        <f t="shared" si="464"/>
        <v>0</v>
      </c>
      <c r="AE224" s="264">
        <f t="shared" ref="AE224:AE226" si="470">$AI224/4</f>
        <v>0</v>
      </c>
      <c r="AF224" s="264">
        <f t="shared" si="469"/>
        <v>0</v>
      </c>
      <c r="AG224" s="264">
        <f t="shared" si="469"/>
        <v>0</v>
      </c>
      <c r="AH224" s="264">
        <f t="shared" si="469"/>
        <v>0</v>
      </c>
      <c r="AI224" s="501">
        <v>0</v>
      </c>
      <c r="AJ224" s="264">
        <f t="shared" si="454"/>
        <v>0</v>
      </c>
      <c r="AK224" s="264">
        <f t="shared" si="455"/>
        <v>0</v>
      </c>
      <c r="AL224" s="264">
        <f t="shared" si="456"/>
        <v>0</v>
      </c>
      <c r="AM224" s="264">
        <f t="shared" si="457"/>
        <v>0</v>
      </c>
      <c r="AN224" s="640">
        <f t="shared" si="465"/>
        <v>0</v>
      </c>
      <c r="AO224" s="264">
        <f t="shared" si="458"/>
        <v>0</v>
      </c>
      <c r="AP224" s="640">
        <f t="shared" si="459"/>
        <v>0</v>
      </c>
      <c r="AQ224" s="501"/>
      <c r="AR224" s="264" t="str">
        <f>VLOOKUP($I224,TableInputsData[],ReadMe!$M$3,FALSE)&amp;"  |  "&amp;VLOOKUP($K224,TableInputsData[],ReadMe!$M$3,FALSE)</f>
        <v>PRODUIT 06  |  VOLUME</v>
      </c>
      <c r="AS224" s="264" t="b">
        <f t="shared" si="460"/>
        <v>1</v>
      </c>
      <c r="AT224" s="294"/>
    </row>
    <row r="225" spans="1:46" ht="13" x14ac:dyDescent="0.2">
      <c r="A225" s="294"/>
      <c r="B225" s="925"/>
      <c r="C225" s="271">
        <v>218</v>
      </c>
      <c r="D225" s="250">
        <f t="shared" si="466"/>
        <v>0</v>
      </c>
      <c r="E225" s="250">
        <v>1</v>
      </c>
      <c r="F225" s="248" t="s">
        <v>399</v>
      </c>
      <c r="G225" s="250">
        <f>VLOOKUP(F225,TableInputsData[],$G$6,FALSE)</f>
        <v>2029</v>
      </c>
      <c r="H225" s="250" t="str">
        <f t="shared" si="467"/>
        <v>PRODUCT</v>
      </c>
      <c r="I225" s="248" t="str">
        <f t="shared" si="467"/>
        <v>PRODUCT 06</v>
      </c>
      <c r="J225" s="248" t="str">
        <f>VLOOKUP(I225,TableInputsData[],$J$6,FALSE)</f>
        <v>-</v>
      </c>
      <c r="K225" s="248" t="str">
        <f t="shared" si="468"/>
        <v>VOLUME</v>
      </c>
      <c r="L225" s="499">
        <v>1000</v>
      </c>
      <c r="M225" s="499">
        <v>0</v>
      </c>
      <c r="N225" s="499">
        <v>0</v>
      </c>
      <c r="O225" s="264">
        <f t="shared" si="449"/>
        <v>1000</v>
      </c>
      <c r="P225" s="500">
        <v>1</v>
      </c>
      <c r="Q225" s="500">
        <v>0</v>
      </c>
      <c r="R225" s="259">
        <f t="shared" si="461"/>
        <v>0</v>
      </c>
      <c r="S225" s="626">
        <v>500</v>
      </c>
      <c r="T225" s="626">
        <v>0</v>
      </c>
      <c r="U225" s="626">
        <v>0</v>
      </c>
      <c r="V225" s="628">
        <f t="shared" si="462"/>
        <v>500</v>
      </c>
      <c r="W225" s="500">
        <v>1</v>
      </c>
      <c r="X225" s="500">
        <v>1</v>
      </c>
      <c r="Y225" s="500">
        <v>1</v>
      </c>
      <c r="Z225" s="259">
        <f t="shared" si="450"/>
        <v>0</v>
      </c>
      <c r="AA225" s="259">
        <f t="shared" si="451"/>
        <v>0</v>
      </c>
      <c r="AB225" s="259">
        <f t="shared" si="452"/>
        <v>0</v>
      </c>
      <c r="AC225" s="628">
        <f t="shared" si="463"/>
        <v>0</v>
      </c>
      <c r="AD225" s="628">
        <f t="shared" si="464"/>
        <v>0</v>
      </c>
      <c r="AE225" s="264">
        <f t="shared" si="470"/>
        <v>0</v>
      </c>
      <c r="AF225" s="264">
        <f t="shared" si="469"/>
        <v>0</v>
      </c>
      <c r="AG225" s="264">
        <f t="shared" si="469"/>
        <v>0</v>
      </c>
      <c r="AH225" s="264">
        <f t="shared" si="469"/>
        <v>0</v>
      </c>
      <c r="AI225" s="501">
        <v>0</v>
      </c>
      <c r="AJ225" s="264">
        <f t="shared" si="454"/>
        <v>0</v>
      </c>
      <c r="AK225" s="264">
        <f t="shared" si="455"/>
        <v>0</v>
      </c>
      <c r="AL225" s="264">
        <f t="shared" si="456"/>
        <v>0</v>
      </c>
      <c r="AM225" s="264">
        <f t="shared" si="457"/>
        <v>0</v>
      </c>
      <c r="AN225" s="640">
        <f t="shared" si="465"/>
        <v>0</v>
      </c>
      <c r="AO225" s="264">
        <f t="shared" si="458"/>
        <v>0</v>
      </c>
      <c r="AP225" s="640">
        <f t="shared" si="459"/>
        <v>0</v>
      </c>
      <c r="AQ225" s="501"/>
      <c r="AR225" s="264" t="str">
        <f>VLOOKUP($I225,TableInputsData[],ReadMe!$M$3,FALSE)&amp;"  |  "&amp;VLOOKUP($K225,TableInputsData[],ReadMe!$M$3,FALSE)</f>
        <v>PRODUIT 06  |  VOLUME</v>
      </c>
      <c r="AS225" s="264" t="b">
        <f t="shared" si="460"/>
        <v>1</v>
      </c>
      <c r="AT225" s="294"/>
    </row>
    <row r="226" spans="1:46" ht="13" x14ac:dyDescent="0.2">
      <c r="A226" s="294"/>
      <c r="B226" s="925"/>
      <c r="C226" s="271">
        <v>219</v>
      </c>
      <c r="D226" s="250">
        <f t="shared" si="466"/>
        <v>0</v>
      </c>
      <c r="E226" s="250">
        <v>1</v>
      </c>
      <c r="F226" s="248" t="s">
        <v>400</v>
      </c>
      <c r="G226" s="250">
        <f>VLOOKUP(F226,TableInputsData[],$G$6,FALSE)</f>
        <v>2030</v>
      </c>
      <c r="H226" s="250" t="str">
        <f t="shared" si="467"/>
        <v>PRODUCT</v>
      </c>
      <c r="I226" s="248" t="str">
        <f t="shared" si="467"/>
        <v>PRODUCT 06</v>
      </c>
      <c r="J226" s="248" t="str">
        <f>VLOOKUP(I226,TableInputsData[],$J$6,FALSE)</f>
        <v>-</v>
      </c>
      <c r="K226" s="248" t="str">
        <f t="shared" si="468"/>
        <v>VOLUME</v>
      </c>
      <c r="L226" s="499">
        <v>1000</v>
      </c>
      <c r="M226" s="499">
        <v>0</v>
      </c>
      <c r="N226" s="499">
        <v>0</v>
      </c>
      <c r="O226" s="264">
        <f t="shared" si="449"/>
        <v>1000</v>
      </c>
      <c r="P226" s="500">
        <v>1</v>
      </c>
      <c r="Q226" s="500">
        <v>0</v>
      </c>
      <c r="R226" s="259">
        <f t="shared" si="461"/>
        <v>0</v>
      </c>
      <c r="S226" s="626">
        <v>500</v>
      </c>
      <c r="T226" s="626">
        <v>0</v>
      </c>
      <c r="U226" s="626">
        <v>0</v>
      </c>
      <c r="V226" s="628">
        <f t="shared" si="462"/>
        <v>500</v>
      </c>
      <c r="W226" s="500">
        <v>1</v>
      </c>
      <c r="X226" s="500">
        <v>1</v>
      </c>
      <c r="Y226" s="500">
        <v>1</v>
      </c>
      <c r="Z226" s="259">
        <f t="shared" si="450"/>
        <v>0</v>
      </c>
      <c r="AA226" s="259">
        <f t="shared" si="451"/>
        <v>0</v>
      </c>
      <c r="AB226" s="259">
        <f t="shared" si="452"/>
        <v>0</v>
      </c>
      <c r="AC226" s="628">
        <f t="shared" si="463"/>
        <v>0</v>
      </c>
      <c r="AD226" s="628">
        <f t="shared" si="464"/>
        <v>0</v>
      </c>
      <c r="AE226" s="264">
        <f t="shared" si="470"/>
        <v>0</v>
      </c>
      <c r="AF226" s="264">
        <f t="shared" si="469"/>
        <v>0</v>
      </c>
      <c r="AG226" s="264">
        <f t="shared" si="469"/>
        <v>0</v>
      </c>
      <c r="AH226" s="264">
        <f t="shared" si="469"/>
        <v>0</v>
      </c>
      <c r="AI226" s="501">
        <v>0</v>
      </c>
      <c r="AJ226" s="264">
        <f t="shared" si="454"/>
        <v>0</v>
      </c>
      <c r="AK226" s="264">
        <f t="shared" si="455"/>
        <v>0</v>
      </c>
      <c r="AL226" s="264">
        <f t="shared" si="456"/>
        <v>0</v>
      </c>
      <c r="AM226" s="264">
        <f t="shared" si="457"/>
        <v>0</v>
      </c>
      <c r="AN226" s="640">
        <f t="shared" si="465"/>
        <v>0</v>
      </c>
      <c r="AO226" s="264">
        <f t="shared" si="458"/>
        <v>0</v>
      </c>
      <c r="AP226" s="640">
        <f t="shared" si="459"/>
        <v>0</v>
      </c>
      <c r="AQ226" s="501"/>
      <c r="AR226" s="264" t="str">
        <f>VLOOKUP($I226,TableInputsData[],ReadMe!$M$3,FALSE)&amp;"  |  "&amp;VLOOKUP($K226,TableInputsData[],ReadMe!$M$3,FALSE)</f>
        <v>PRODUIT 06  |  VOLUME</v>
      </c>
      <c r="AS226" s="264" t="b">
        <f t="shared" si="460"/>
        <v>1</v>
      </c>
      <c r="AT226" s="294"/>
    </row>
    <row r="227" spans="1:46" ht="13" hidden="1" x14ac:dyDescent="0.2">
      <c r="A227" s="294"/>
      <c r="B227" s="925"/>
      <c r="C227" s="272">
        <v>220</v>
      </c>
      <c r="D227" s="250">
        <f t="shared" si="466"/>
        <v>0</v>
      </c>
      <c r="E227" s="251"/>
      <c r="F227" s="248" t="str">
        <f t="shared" ref="F227:F234" si="471">F235</f>
        <v>YEAR-2</v>
      </c>
      <c r="G227" s="250">
        <f>VLOOKUP(F227,TableInputsData[],$G$6,FALSE)</f>
        <v>2023</v>
      </c>
      <c r="H227" s="250" t="str">
        <f t="shared" si="467"/>
        <v>PRODUCT</v>
      </c>
      <c r="I227" s="248" t="str">
        <f t="shared" si="467"/>
        <v>PRODUCT 06</v>
      </c>
      <c r="J227" s="248" t="str">
        <f>VLOOKUP(I227,TableInputsData[],$J$6,FALSE)</f>
        <v>-</v>
      </c>
      <c r="K227" s="248" t="s">
        <v>457</v>
      </c>
      <c r="L227" s="256"/>
      <c r="M227" s="256"/>
      <c r="N227" s="256"/>
      <c r="O227" s="266"/>
      <c r="P227" s="261"/>
      <c r="Q227" s="261"/>
      <c r="R227" s="261"/>
      <c r="S227" s="629"/>
      <c r="T227" s="629"/>
      <c r="U227" s="629"/>
      <c r="V227" s="629"/>
      <c r="W227" s="261"/>
      <c r="X227" s="261"/>
      <c r="Y227" s="261"/>
      <c r="Z227" s="261"/>
      <c r="AA227" s="261"/>
      <c r="AB227" s="261"/>
      <c r="AC227" s="266"/>
      <c r="AD227" s="633"/>
      <c r="AE227" s="264">
        <f>AE219*($L219*$P219+$M219*$Q219+$N219*$R219)</f>
        <v>0</v>
      </c>
      <c r="AF227" s="264">
        <f t="shared" ref="AF227:AH227" si="472">AF219*($L219*$P219+$M219*$Q219+$N219*$R219)</f>
        <v>0</v>
      </c>
      <c r="AG227" s="264">
        <f t="shared" si="472"/>
        <v>0</v>
      </c>
      <c r="AH227" s="264">
        <f t="shared" si="472"/>
        <v>0</v>
      </c>
      <c r="AI227" s="264">
        <f>$AE227+$AF227+$AG227+$AH227</f>
        <v>0</v>
      </c>
      <c r="AJ227" s="264">
        <f t="shared" ref="AJ227:AJ234" si="473">$AJ219*$L219</f>
        <v>0</v>
      </c>
      <c r="AK227" s="264">
        <f t="shared" ref="AK227:AK234" si="474">$AK219*$M219</f>
        <v>0</v>
      </c>
      <c r="AL227" s="264">
        <f t="shared" ref="AL227:AL234" si="475">$AL219*$N219</f>
        <v>0</v>
      </c>
      <c r="AM227" s="264">
        <f t="shared" ref="AM227:AM234" si="476">$AJ227*$W219+$AK227*$X219+$AL227*$Y219</f>
        <v>0</v>
      </c>
      <c r="AN227" s="640">
        <f t="shared" si="465"/>
        <v>0</v>
      </c>
      <c r="AO227" s="264">
        <f t="shared" ref="AO227:AO234" si="477">$AJ227*$Z219+$AK227*$AA219+$AL227*$AB219</f>
        <v>0</v>
      </c>
      <c r="AP227" s="640">
        <f t="shared" si="459"/>
        <v>0</v>
      </c>
      <c r="AQ227" s="264"/>
      <c r="AR227" s="264" t="str">
        <f>VLOOKUP($I227,TableInputsData[],ReadMe!$M$3,FALSE)&amp;"  |  "&amp;VLOOKUP($K227,TableInputsData[],ReadMe!$M$3,FALSE)</f>
        <v>PRODUIT 06  |  CHIFFRE D'AFFAIRES</v>
      </c>
      <c r="AS227" s="264" t="b">
        <f t="shared" ref="AS227:AS234" si="478">AND(EXACT(ROUND(AI227,2),ROUND(AJ227+AK227+AL227,2)),EXACT(ROUND(AI227,2),ROUND(AM227+AO227,2)))</f>
        <v>1</v>
      </c>
      <c r="AT227" s="294"/>
    </row>
    <row r="228" spans="1:46" ht="13" hidden="1" x14ac:dyDescent="0.2">
      <c r="A228" s="294"/>
      <c r="B228" s="925"/>
      <c r="C228" s="271">
        <v>221</v>
      </c>
      <c r="D228" s="250">
        <f t="shared" si="466"/>
        <v>0</v>
      </c>
      <c r="E228" s="250"/>
      <c r="F228" s="248" t="str">
        <f t="shared" si="471"/>
        <v>YEAR-1</v>
      </c>
      <c r="G228" s="250">
        <f>VLOOKUP(F228,TableInputsData[],$G$6,FALSE)</f>
        <v>2024</v>
      </c>
      <c r="H228" s="250" t="str">
        <f t="shared" si="467"/>
        <v>PRODUCT</v>
      </c>
      <c r="I228" s="248" t="str">
        <f t="shared" si="467"/>
        <v>PRODUCT 06</v>
      </c>
      <c r="J228" s="248" t="str">
        <f>VLOOKUP(I228,TableInputsData[],$J$6,FALSE)</f>
        <v>-</v>
      </c>
      <c r="K228" s="248" t="str">
        <f>K227</f>
        <v>REVENUE</v>
      </c>
      <c r="L228" s="255"/>
      <c r="M228" s="255"/>
      <c r="N228" s="255"/>
      <c r="O228" s="265"/>
      <c r="P228" s="260"/>
      <c r="Q228" s="260"/>
      <c r="R228" s="260"/>
      <c r="S228" s="630"/>
      <c r="T228" s="630"/>
      <c r="U228" s="630"/>
      <c r="V228" s="630"/>
      <c r="W228" s="260"/>
      <c r="X228" s="260"/>
      <c r="Y228" s="260"/>
      <c r="Z228" s="260"/>
      <c r="AA228" s="260"/>
      <c r="AB228" s="260"/>
      <c r="AC228" s="265"/>
      <c r="AD228" s="634"/>
      <c r="AE228" s="264">
        <f t="shared" ref="AE228:AH228" si="479">AE220*($L220*$P220+$M220*$Q220+$N220*$R220)</f>
        <v>0</v>
      </c>
      <c r="AF228" s="264">
        <f t="shared" si="479"/>
        <v>0</v>
      </c>
      <c r="AG228" s="264">
        <f t="shared" si="479"/>
        <v>0</v>
      </c>
      <c r="AH228" s="264">
        <f t="shared" si="479"/>
        <v>0</v>
      </c>
      <c r="AI228" s="264">
        <f t="shared" ref="AI228:AI233" si="480">$AE228+$AF228+$AG228+$AH228</f>
        <v>0</v>
      </c>
      <c r="AJ228" s="264">
        <f t="shared" si="473"/>
        <v>0</v>
      </c>
      <c r="AK228" s="264">
        <f t="shared" si="474"/>
        <v>0</v>
      </c>
      <c r="AL228" s="264">
        <f t="shared" si="475"/>
        <v>0</v>
      </c>
      <c r="AM228" s="264">
        <f t="shared" si="476"/>
        <v>0</v>
      </c>
      <c r="AN228" s="640">
        <f t="shared" si="465"/>
        <v>0</v>
      </c>
      <c r="AO228" s="264">
        <f t="shared" si="477"/>
        <v>0</v>
      </c>
      <c r="AP228" s="640">
        <f t="shared" si="459"/>
        <v>0</v>
      </c>
      <c r="AQ228" s="264"/>
      <c r="AR228" s="264" t="str">
        <f>VLOOKUP($I228,TableInputsData[],ReadMe!$M$3,FALSE)&amp;"  |  "&amp;VLOOKUP($K228,TableInputsData[],ReadMe!$M$3,FALSE)</f>
        <v>PRODUIT 06  |  CHIFFRE D'AFFAIRES</v>
      </c>
      <c r="AS228" s="264" t="b">
        <f t="shared" si="478"/>
        <v>1</v>
      </c>
      <c r="AT228" s="294"/>
    </row>
    <row r="229" spans="1:46" ht="13" hidden="1" x14ac:dyDescent="0.2">
      <c r="A229" s="294"/>
      <c r="B229" s="925"/>
      <c r="C229" s="271">
        <v>222</v>
      </c>
      <c r="D229" s="250">
        <f t="shared" si="466"/>
        <v>0</v>
      </c>
      <c r="E229" s="250"/>
      <c r="F229" s="248" t="str">
        <f t="shared" si="471"/>
        <v>CURRENT YEAR</v>
      </c>
      <c r="G229" s="250">
        <f>VLOOKUP(F229,TableInputsData[],$G$6,FALSE)</f>
        <v>2025</v>
      </c>
      <c r="H229" s="250" t="str">
        <f t="shared" si="467"/>
        <v>PRODUCT</v>
      </c>
      <c r="I229" s="248" t="str">
        <f t="shared" si="467"/>
        <v>PRODUCT 06</v>
      </c>
      <c r="J229" s="248" t="str">
        <f>VLOOKUP(I229,TableInputsData[],$J$6,FALSE)</f>
        <v>-</v>
      </c>
      <c r="K229" s="248" t="str">
        <f t="shared" ref="K229:K234" si="481">K228</f>
        <v>REVENUE</v>
      </c>
      <c r="L229" s="255"/>
      <c r="M229" s="255"/>
      <c r="N229" s="255"/>
      <c r="O229" s="265"/>
      <c r="P229" s="260"/>
      <c r="Q229" s="260"/>
      <c r="R229" s="260"/>
      <c r="S229" s="630"/>
      <c r="T229" s="630"/>
      <c r="U229" s="630"/>
      <c r="V229" s="630"/>
      <c r="W229" s="260"/>
      <c r="X229" s="260"/>
      <c r="Y229" s="260"/>
      <c r="Z229" s="260"/>
      <c r="AA229" s="260"/>
      <c r="AB229" s="260"/>
      <c r="AC229" s="265"/>
      <c r="AD229" s="634"/>
      <c r="AE229" s="264">
        <f t="shared" ref="AE229:AH229" si="482">AE221*($L221*$P221+$M221*$Q221+$N221*$R221)</f>
        <v>0</v>
      </c>
      <c r="AF229" s="264">
        <f t="shared" si="482"/>
        <v>0</v>
      </c>
      <c r="AG229" s="264">
        <f t="shared" si="482"/>
        <v>0</v>
      </c>
      <c r="AH229" s="264">
        <f t="shared" si="482"/>
        <v>0</v>
      </c>
      <c r="AI229" s="264">
        <f t="shared" si="480"/>
        <v>0</v>
      </c>
      <c r="AJ229" s="264">
        <f t="shared" si="473"/>
        <v>0</v>
      </c>
      <c r="AK229" s="264">
        <f t="shared" si="474"/>
        <v>0</v>
      </c>
      <c r="AL229" s="264">
        <f t="shared" si="475"/>
        <v>0</v>
      </c>
      <c r="AM229" s="264">
        <f t="shared" si="476"/>
        <v>0</v>
      </c>
      <c r="AN229" s="640">
        <f t="shared" si="465"/>
        <v>0</v>
      </c>
      <c r="AO229" s="264">
        <f t="shared" si="477"/>
        <v>0</v>
      </c>
      <c r="AP229" s="640">
        <f t="shared" si="459"/>
        <v>0</v>
      </c>
      <c r="AQ229" s="264"/>
      <c r="AR229" s="264" t="str">
        <f>VLOOKUP($I229,TableInputsData[],ReadMe!$M$3,FALSE)&amp;"  |  "&amp;VLOOKUP($K229,TableInputsData[],ReadMe!$M$3,FALSE)</f>
        <v>PRODUIT 06  |  CHIFFRE D'AFFAIRES</v>
      </c>
      <c r="AS229" s="264" t="b">
        <f t="shared" si="478"/>
        <v>1</v>
      </c>
      <c r="AT229" s="294"/>
    </row>
    <row r="230" spans="1:46" ht="13" hidden="1" x14ac:dyDescent="0.2">
      <c r="A230" s="294"/>
      <c r="B230" s="925"/>
      <c r="C230" s="271">
        <v>223</v>
      </c>
      <c r="D230" s="250">
        <f t="shared" si="466"/>
        <v>0</v>
      </c>
      <c r="E230" s="250"/>
      <c r="F230" s="248" t="str">
        <f t="shared" si="471"/>
        <v>YEAR2</v>
      </c>
      <c r="G230" s="250">
        <f>VLOOKUP(F230,TableInputsData[],$G$6,FALSE)</f>
        <v>2026</v>
      </c>
      <c r="H230" s="250" t="str">
        <f t="shared" si="467"/>
        <v>PRODUCT</v>
      </c>
      <c r="I230" s="248" t="str">
        <f t="shared" si="467"/>
        <v>PRODUCT 06</v>
      </c>
      <c r="J230" s="248" t="str">
        <f>VLOOKUP(I230,TableInputsData[],$J$6,FALSE)</f>
        <v>-</v>
      </c>
      <c r="K230" s="248" t="str">
        <f t="shared" si="481"/>
        <v>REVENUE</v>
      </c>
      <c r="L230" s="255"/>
      <c r="M230" s="255"/>
      <c r="N230" s="255"/>
      <c r="O230" s="265"/>
      <c r="P230" s="260"/>
      <c r="Q230" s="260"/>
      <c r="R230" s="260"/>
      <c r="S230" s="630"/>
      <c r="T230" s="630"/>
      <c r="U230" s="630"/>
      <c r="V230" s="630"/>
      <c r="W230" s="260"/>
      <c r="X230" s="260"/>
      <c r="Y230" s="260"/>
      <c r="Z230" s="260"/>
      <c r="AA230" s="260"/>
      <c r="AB230" s="260"/>
      <c r="AC230" s="265"/>
      <c r="AD230" s="634"/>
      <c r="AE230" s="264">
        <f t="shared" ref="AE230:AH230" si="483">AE222*($L222*$P222+$M222*$Q222+$N222*$R222)</f>
        <v>0</v>
      </c>
      <c r="AF230" s="264">
        <f t="shared" si="483"/>
        <v>0</v>
      </c>
      <c r="AG230" s="264">
        <f t="shared" si="483"/>
        <v>0</v>
      </c>
      <c r="AH230" s="264">
        <f t="shared" si="483"/>
        <v>0</v>
      </c>
      <c r="AI230" s="264">
        <f t="shared" si="480"/>
        <v>0</v>
      </c>
      <c r="AJ230" s="264">
        <f t="shared" si="473"/>
        <v>0</v>
      </c>
      <c r="AK230" s="264">
        <f t="shared" si="474"/>
        <v>0</v>
      </c>
      <c r="AL230" s="264">
        <f t="shared" si="475"/>
        <v>0</v>
      </c>
      <c r="AM230" s="264">
        <f t="shared" si="476"/>
        <v>0</v>
      </c>
      <c r="AN230" s="640">
        <f t="shared" si="465"/>
        <v>0</v>
      </c>
      <c r="AO230" s="264">
        <f t="shared" si="477"/>
        <v>0</v>
      </c>
      <c r="AP230" s="640">
        <f t="shared" si="459"/>
        <v>0</v>
      </c>
      <c r="AQ230" s="264"/>
      <c r="AR230" s="264" t="str">
        <f>VLOOKUP($I230,TableInputsData[],ReadMe!$M$3,FALSE)&amp;"  |  "&amp;VLOOKUP($K230,TableInputsData[],ReadMe!$M$3,FALSE)</f>
        <v>PRODUIT 06  |  CHIFFRE D'AFFAIRES</v>
      </c>
      <c r="AS230" s="264" t="b">
        <f t="shared" si="478"/>
        <v>1</v>
      </c>
      <c r="AT230" s="294"/>
    </row>
    <row r="231" spans="1:46" ht="13" hidden="1" x14ac:dyDescent="0.2">
      <c r="A231" s="294"/>
      <c r="B231" s="925"/>
      <c r="C231" s="271">
        <v>224</v>
      </c>
      <c r="D231" s="250">
        <f t="shared" si="466"/>
        <v>0</v>
      </c>
      <c r="E231" s="250"/>
      <c r="F231" s="248" t="str">
        <f t="shared" si="471"/>
        <v>YEAR3</v>
      </c>
      <c r="G231" s="250">
        <f>VLOOKUP(F231,TableInputsData[],$G$6,FALSE)</f>
        <v>2027</v>
      </c>
      <c r="H231" s="250" t="str">
        <f t="shared" si="467"/>
        <v>PRODUCT</v>
      </c>
      <c r="I231" s="248" t="str">
        <f t="shared" si="467"/>
        <v>PRODUCT 06</v>
      </c>
      <c r="J231" s="248" t="str">
        <f>VLOOKUP(I231,TableInputsData[],$J$6,FALSE)</f>
        <v>-</v>
      </c>
      <c r="K231" s="248" t="str">
        <f t="shared" si="481"/>
        <v>REVENUE</v>
      </c>
      <c r="L231" s="255"/>
      <c r="M231" s="255"/>
      <c r="N231" s="255"/>
      <c r="O231" s="265"/>
      <c r="P231" s="260"/>
      <c r="Q231" s="260"/>
      <c r="R231" s="260"/>
      <c r="S231" s="630"/>
      <c r="T231" s="630"/>
      <c r="U231" s="630"/>
      <c r="V231" s="630"/>
      <c r="W231" s="260"/>
      <c r="X231" s="260"/>
      <c r="Y231" s="260"/>
      <c r="Z231" s="260"/>
      <c r="AA231" s="260"/>
      <c r="AB231" s="260"/>
      <c r="AC231" s="265"/>
      <c r="AD231" s="634"/>
      <c r="AE231" s="264">
        <f t="shared" ref="AE231:AH231" si="484">AE223*($L223*$P223+$M223*$Q223+$N223*$R223)</f>
        <v>0</v>
      </c>
      <c r="AF231" s="264">
        <f t="shared" si="484"/>
        <v>0</v>
      </c>
      <c r="AG231" s="264">
        <f t="shared" si="484"/>
        <v>0</v>
      </c>
      <c r="AH231" s="264">
        <f t="shared" si="484"/>
        <v>0</v>
      </c>
      <c r="AI231" s="264">
        <f t="shared" si="480"/>
        <v>0</v>
      </c>
      <c r="AJ231" s="264">
        <f t="shared" si="473"/>
        <v>0</v>
      </c>
      <c r="AK231" s="264">
        <f t="shared" si="474"/>
        <v>0</v>
      </c>
      <c r="AL231" s="264">
        <f t="shared" si="475"/>
        <v>0</v>
      </c>
      <c r="AM231" s="264">
        <f t="shared" si="476"/>
        <v>0</v>
      </c>
      <c r="AN231" s="640">
        <f t="shared" si="465"/>
        <v>0</v>
      </c>
      <c r="AO231" s="264">
        <f t="shared" si="477"/>
        <v>0</v>
      </c>
      <c r="AP231" s="640">
        <f t="shared" si="459"/>
        <v>0</v>
      </c>
      <c r="AQ231" s="264"/>
      <c r="AR231" s="264" t="str">
        <f>VLOOKUP($I231,TableInputsData[],ReadMe!$M$3,FALSE)&amp;"  |  "&amp;VLOOKUP($K231,TableInputsData[],ReadMe!$M$3,FALSE)</f>
        <v>PRODUIT 06  |  CHIFFRE D'AFFAIRES</v>
      </c>
      <c r="AS231" s="264" t="b">
        <f t="shared" si="478"/>
        <v>1</v>
      </c>
      <c r="AT231" s="294"/>
    </row>
    <row r="232" spans="1:46" ht="13" hidden="1" x14ac:dyDescent="0.2">
      <c r="A232" s="294"/>
      <c r="B232" s="925"/>
      <c r="C232" s="271">
        <v>225</v>
      </c>
      <c r="D232" s="250">
        <f t="shared" si="466"/>
        <v>0</v>
      </c>
      <c r="E232" s="250"/>
      <c r="F232" s="248" t="str">
        <f t="shared" si="471"/>
        <v>YEAR4</v>
      </c>
      <c r="G232" s="250">
        <f>VLOOKUP(F232,TableInputsData[],$G$6,FALSE)</f>
        <v>2028</v>
      </c>
      <c r="H232" s="250" t="str">
        <f t="shared" si="467"/>
        <v>PRODUCT</v>
      </c>
      <c r="I232" s="248" t="str">
        <f t="shared" si="467"/>
        <v>PRODUCT 06</v>
      </c>
      <c r="J232" s="248" t="str">
        <f>VLOOKUP(I232,TableInputsData[],$J$6,FALSE)</f>
        <v>-</v>
      </c>
      <c r="K232" s="248" t="str">
        <f t="shared" si="481"/>
        <v>REVENUE</v>
      </c>
      <c r="L232" s="255"/>
      <c r="M232" s="255"/>
      <c r="N232" s="255"/>
      <c r="O232" s="265"/>
      <c r="P232" s="260"/>
      <c r="Q232" s="260"/>
      <c r="R232" s="260"/>
      <c r="S232" s="630"/>
      <c r="T232" s="630"/>
      <c r="U232" s="630"/>
      <c r="V232" s="630"/>
      <c r="W232" s="260"/>
      <c r="X232" s="260"/>
      <c r="Y232" s="260"/>
      <c r="Z232" s="260"/>
      <c r="AA232" s="260"/>
      <c r="AB232" s="260"/>
      <c r="AC232" s="265"/>
      <c r="AD232" s="634"/>
      <c r="AE232" s="264">
        <f t="shared" ref="AE232:AH232" si="485">AE224*($L224*$P224+$M224*$Q224+$N224*$R224)</f>
        <v>0</v>
      </c>
      <c r="AF232" s="264">
        <f t="shared" si="485"/>
        <v>0</v>
      </c>
      <c r="AG232" s="264">
        <f t="shared" si="485"/>
        <v>0</v>
      </c>
      <c r="AH232" s="264">
        <f t="shared" si="485"/>
        <v>0</v>
      </c>
      <c r="AI232" s="264">
        <f t="shared" si="480"/>
        <v>0</v>
      </c>
      <c r="AJ232" s="264">
        <f t="shared" si="473"/>
        <v>0</v>
      </c>
      <c r="AK232" s="264">
        <f t="shared" si="474"/>
        <v>0</v>
      </c>
      <c r="AL232" s="264">
        <f t="shared" si="475"/>
        <v>0</v>
      </c>
      <c r="AM232" s="264">
        <f t="shared" si="476"/>
        <v>0</v>
      </c>
      <c r="AN232" s="640">
        <f t="shared" si="465"/>
        <v>0</v>
      </c>
      <c r="AO232" s="264">
        <f t="shared" si="477"/>
        <v>0</v>
      </c>
      <c r="AP232" s="640">
        <f t="shared" si="459"/>
        <v>0</v>
      </c>
      <c r="AQ232" s="264"/>
      <c r="AR232" s="264" t="str">
        <f>VLOOKUP($I232,TableInputsData[],ReadMe!$M$3,FALSE)&amp;"  |  "&amp;VLOOKUP($K232,TableInputsData[],ReadMe!$M$3,FALSE)</f>
        <v>PRODUIT 06  |  CHIFFRE D'AFFAIRES</v>
      </c>
      <c r="AS232" s="264" t="b">
        <f t="shared" si="478"/>
        <v>1</v>
      </c>
      <c r="AT232" s="294"/>
    </row>
    <row r="233" spans="1:46" ht="13" hidden="1" x14ac:dyDescent="0.2">
      <c r="A233" s="294"/>
      <c r="B233" s="925"/>
      <c r="C233" s="271">
        <v>226</v>
      </c>
      <c r="D233" s="250">
        <f t="shared" si="466"/>
        <v>0</v>
      </c>
      <c r="E233" s="250"/>
      <c r="F233" s="248" t="str">
        <f t="shared" si="471"/>
        <v>YEAR5</v>
      </c>
      <c r="G233" s="250">
        <f>VLOOKUP(F233,TableInputsData[],$G$6,FALSE)</f>
        <v>2029</v>
      </c>
      <c r="H233" s="250" t="str">
        <f t="shared" si="467"/>
        <v>PRODUCT</v>
      </c>
      <c r="I233" s="248" t="str">
        <f t="shared" si="467"/>
        <v>PRODUCT 06</v>
      </c>
      <c r="J233" s="248" t="str">
        <f>VLOOKUP(I233,TableInputsData[],$J$6,FALSE)</f>
        <v>-</v>
      </c>
      <c r="K233" s="248" t="str">
        <f t="shared" si="481"/>
        <v>REVENUE</v>
      </c>
      <c r="L233" s="255"/>
      <c r="M233" s="255"/>
      <c r="N233" s="255"/>
      <c r="O233" s="265"/>
      <c r="P233" s="260"/>
      <c r="Q233" s="260"/>
      <c r="R233" s="260"/>
      <c r="S233" s="630"/>
      <c r="T233" s="630"/>
      <c r="U233" s="630"/>
      <c r="V233" s="630"/>
      <c r="W233" s="260"/>
      <c r="X233" s="260"/>
      <c r="Y233" s="260"/>
      <c r="Z233" s="260"/>
      <c r="AA233" s="260"/>
      <c r="AB233" s="260"/>
      <c r="AC233" s="265"/>
      <c r="AD233" s="634"/>
      <c r="AE233" s="264">
        <f t="shared" ref="AE233:AH233" si="486">AE225*($L225*$P225+$M225*$Q225+$N225*$R225)</f>
        <v>0</v>
      </c>
      <c r="AF233" s="264">
        <f t="shared" si="486"/>
        <v>0</v>
      </c>
      <c r="AG233" s="264">
        <f t="shared" si="486"/>
        <v>0</v>
      </c>
      <c r="AH233" s="264">
        <f t="shared" si="486"/>
        <v>0</v>
      </c>
      <c r="AI233" s="264">
        <f t="shared" si="480"/>
        <v>0</v>
      </c>
      <c r="AJ233" s="264">
        <f t="shared" si="473"/>
        <v>0</v>
      </c>
      <c r="AK233" s="264">
        <f t="shared" si="474"/>
        <v>0</v>
      </c>
      <c r="AL233" s="264">
        <f t="shared" si="475"/>
        <v>0</v>
      </c>
      <c r="AM233" s="264">
        <f t="shared" si="476"/>
        <v>0</v>
      </c>
      <c r="AN233" s="640">
        <f t="shared" si="465"/>
        <v>0</v>
      </c>
      <c r="AO233" s="264">
        <f t="shared" si="477"/>
        <v>0</v>
      </c>
      <c r="AP233" s="640">
        <f t="shared" si="459"/>
        <v>0</v>
      </c>
      <c r="AQ233" s="264"/>
      <c r="AR233" s="264" t="str">
        <f>VLOOKUP($I233,TableInputsData[],ReadMe!$M$3,FALSE)&amp;"  |  "&amp;VLOOKUP($K233,TableInputsData[],ReadMe!$M$3,FALSE)</f>
        <v>PRODUIT 06  |  CHIFFRE D'AFFAIRES</v>
      </c>
      <c r="AS233" s="264" t="b">
        <f t="shared" si="478"/>
        <v>1</v>
      </c>
      <c r="AT233" s="294"/>
    </row>
    <row r="234" spans="1:46" ht="13" hidden="1" x14ac:dyDescent="0.2">
      <c r="A234" s="294"/>
      <c r="B234" s="925"/>
      <c r="C234" s="271">
        <v>227</v>
      </c>
      <c r="D234" s="250">
        <f t="shared" si="466"/>
        <v>0</v>
      </c>
      <c r="E234" s="250"/>
      <c r="F234" s="248" t="str">
        <f t="shared" si="471"/>
        <v>YEAR6</v>
      </c>
      <c r="G234" s="250">
        <f>VLOOKUP(F234,TableInputsData[],$G$6,FALSE)</f>
        <v>2030</v>
      </c>
      <c r="H234" s="250" t="str">
        <f t="shared" si="467"/>
        <v>PRODUCT</v>
      </c>
      <c r="I234" s="248" t="str">
        <f t="shared" si="467"/>
        <v>PRODUCT 06</v>
      </c>
      <c r="J234" s="248" t="str">
        <f>VLOOKUP(I234,TableInputsData[],$J$6,FALSE)</f>
        <v>-</v>
      </c>
      <c r="K234" s="248" t="str">
        <f t="shared" si="481"/>
        <v>REVENUE</v>
      </c>
      <c r="L234" s="255"/>
      <c r="M234" s="255"/>
      <c r="N234" s="255"/>
      <c r="O234" s="265"/>
      <c r="P234" s="260"/>
      <c r="Q234" s="260"/>
      <c r="R234" s="260"/>
      <c r="S234" s="630"/>
      <c r="T234" s="630"/>
      <c r="U234" s="630"/>
      <c r="V234" s="630"/>
      <c r="W234" s="260"/>
      <c r="X234" s="260"/>
      <c r="Y234" s="260"/>
      <c r="Z234" s="260"/>
      <c r="AA234" s="260"/>
      <c r="AB234" s="260"/>
      <c r="AC234" s="265"/>
      <c r="AD234" s="634"/>
      <c r="AE234" s="264">
        <f t="shared" ref="AE234:AH234" si="487">AE226*($L226*$P226+$M226*$Q226+$N226*$R226)</f>
        <v>0</v>
      </c>
      <c r="AF234" s="264">
        <f t="shared" si="487"/>
        <v>0</v>
      </c>
      <c r="AG234" s="264">
        <f t="shared" si="487"/>
        <v>0</v>
      </c>
      <c r="AH234" s="264">
        <f t="shared" si="487"/>
        <v>0</v>
      </c>
      <c r="AI234" s="264">
        <f>$AE234+$AF234+$AG234+$AH234</f>
        <v>0</v>
      </c>
      <c r="AJ234" s="264">
        <f t="shared" si="473"/>
        <v>0</v>
      </c>
      <c r="AK234" s="264">
        <f t="shared" si="474"/>
        <v>0</v>
      </c>
      <c r="AL234" s="264">
        <f t="shared" si="475"/>
        <v>0</v>
      </c>
      <c r="AM234" s="264">
        <f t="shared" si="476"/>
        <v>0</v>
      </c>
      <c r="AN234" s="640">
        <f t="shared" si="465"/>
        <v>0</v>
      </c>
      <c r="AO234" s="264">
        <f t="shared" si="477"/>
        <v>0</v>
      </c>
      <c r="AP234" s="640">
        <f t="shared" si="459"/>
        <v>0</v>
      </c>
      <c r="AQ234" s="264"/>
      <c r="AR234" s="264" t="str">
        <f>VLOOKUP($I234,TableInputsData[],ReadMe!$M$3,FALSE)&amp;"  |  "&amp;VLOOKUP($K234,TableInputsData[],ReadMe!$M$3,FALSE)</f>
        <v>PRODUIT 06  |  CHIFFRE D'AFFAIRES</v>
      </c>
      <c r="AS234" s="264" t="b">
        <f t="shared" si="478"/>
        <v>1</v>
      </c>
      <c r="AT234" s="294"/>
    </row>
    <row r="235" spans="1:46" ht="13" hidden="1" x14ac:dyDescent="0.2">
      <c r="A235" s="294"/>
      <c r="B235" s="925"/>
      <c r="C235" s="271">
        <v>228</v>
      </c>
      <c r="D235" s="250">
        <f t="shared" si="466"/>
        <v>0</v>
      </c>
      <c r="E235" s="250"/>
      <c r="F235" s="248" t="str">
        <f t="shared" ref="F235:F242" si="488">F219</f>
        <v>YEAR-2</v>
      </c>
      <c r="G235" s="250">
        <f>VLOOKUP(F235,TableInputsData[],$G$6,FALSE)</f>
        <v>2023</v>
      </c>
      <c r="H235" s="250" t="str">
        <f t="shared" si="467"/>
        <v>PRODUCT</v>
      </c>
      <c r="I235" s="248" t="str">
        <f t="shared" si="467"/>
        <v>PRODUCT 06</v>
      </c>
      <c r="J235" s="248" t="str">
        <f>VLOOKUP(I235,TableInputsData[],$J$6,FALSE)</f>
        <v>-</v>
      </c>
      <c r="K235" s="248" t="s">
        <v>456</v>
      </c>
      <c r="L235" s="255"/>
      <c r="M235" s="255"/>
      <c r="N235" s="255"/>
      <c r="O235" s="265"/>
      <c r="P235" s="260"/>
      <c r="Q235" s="260"/>
      <c r="R235" s="260"/>
      <c r="S235" s="630"/>
      <c r="T235" s="630"/>
      <c r="U235" s="630"/>
      <c r="V235" s="630"/>
      <c r="W235" s="260"/>
      <c r="X235" s="260"/>
      <c r="Y235" s="260"/>
      <c r="Z235" s="260"/>
      <c r="AA235" s="260"/>
      <c r="AB235" s="260"/>
      <c r="AC235" s="265"/>
      <c r="AD235" s="634"/>
      <c r="AE235" s="264">
        <f>IF(AE219=0,0,AE227/AE219)</f>
        <v>0</v>
      </c>
      <c r="AF235" s="264">
        <f t="shared" ref="AF235:AI235" si="489">IF(AF219=0,0,AF227/AF219)</f>
        <v>0</v>
      </c>
      <c r="AG235" s="264">
        <f t="shared" si="489"/>
        <v>0</v>
      </c>
      <c r="AH235" s="264">
        <f t="shared" si="489"/>
        <v>0</v>
      </c>
      <c r="AI235" s="264">
        <f t="shared" si="489"/>
        <v>0</v>
      </c>
      <c r="AJ235" s="264">
        <f>IF(AJ219=0,0,AJ227/AJ219)</f>
        <v>0</v>
      </c>
      <c r="AK235" s="264">
        <f t="shared" ref="AK235:AL235" si="490">IF(AK219=0,0,AK227/AK219)</f>
        <v>0</v>
      </c>
      <c r="AL235" s="264">
        <f t="shared" si="490"/>
        <v>0</v>
      </c>
      <c r="AM235" s="264">
        <f>IF(AM219=0,0,AM227/AM219)</f>
        <v>0</v>
      </c>
      <c r="AN235" s="260"/>
      <c r="AO235" s="264">
        <f t="shared" ref="AO235" si="491">IF(AO219=0,0,AO227/AO219)</f>
        <v>0</v>
      </c>
      <c r="AP235" s="260"/>
      <c r="AQ235" s="264"/>
      <c r="AR235" s="264" t="str">
        <f>VLOOKUP($I235,TableInputsData[],ReadMe!$M$3,FALSE)&amp;"  |  "&amp;VLOOKUP($K235,TableInputsData[],ReadMe!$M$3,FALSE)</f>
        <v>PRODUIT 06  |  PRIX MOYEN DE VENTE PAR PRODUIT/SERVICE</v>
      </c>
      <c r="AS235" s="264"/>
      <c r="AT235" s="294"/>
    </row>
    <row r="236" spans="1:46" ht="13" hidden="1" x14ac:dyDescent="0.2">
      <c r="A236" s="294"/>
      <c r="B236" s="925"/>
      <c r="C236" s="271">
        <v>229</v>
      </c>
      <c r="D236" s="250">
        <f t="shared" si="466"/>
        <v>0</v>
      </c>
      <c r="E236" s="250"/>
      <c r="F236" s="248" t="str">
        <f t="shared" si="488"/>
        <v>YEAR-1</v>
      </c>
      <c r="G236" s="250">
        <f>VLOOKUP(F236,TableInputsData[],$G$6,FALSE)</f>
        <v>2024</v>
      </c>
      <c r="H236" s="250" t="str">
        <f t="shared" si="467"/>
        <v>PRODUCT</v>
      </c>
      <c r="I236" s="248" t="str">
        <f t="shared" si="467"/>
        <v>PRODUCT 06</v>
      </c>
      <c r="J236" s="248" t="str">
        <f>VLOOKUP(I236,TableInputsData[],$J$6,FALSE)</f>
        <v>-</v>
      </c>
      <c r="K236" s="248" t="str">
        <f>K235</f>
        <v>AVERAGE SELLING PRICE PER UNIT</v>
      </c>
      <c r="L236" s="255"/>
      <c r="M236" s="255"/>
      <c r="N236" s="255"/>
      <c r="O236" s="265"/>
      <c r="P236" s="260"/>
      <c r="Q236" s="260"/>
      <c r="R236" s="260"/>
      <c r="S236" s="630"/>
      <c r="T236" s="630"/>
      <c r="U236" s="630"/>
      <c r="V236" s="630"/>
      <c r="W236" s="260"/>
      <c r="X236" s="260"/>
      <c r="Y236" s="260"/>
      <c r="Z236" s="260"/>
      <c r="AA236" s="260"/>
      <c r="AB236" s="260"/>
      <c r="AC236" s="265"/>
      <c r="AD236" s="634"/>
      <c r="AE236" s="264">
        <f>IF(AE220=0,0,AE228/AE220)</f>
        <v>0</v>
      </c>
      <c r="AF236" s="264">
        <f t="shared" ref="AF236:AM236" si="492">IF(AF220=0,0,AF228/AF220)</f>
        <v>0</v>
      </c>
      <c r="AG236" s="264">
        <f t="shared" si="492"/>
        <v>0</v>
      </c>
      <c r="AH236" s="264">
        <f t="shared" si="492"/>
        <v>0</v>
      </c>
      <c r="AI236" s="264">
        <f t="shared" si="492"/>
        <v>0</v>
      </c>
      <c r="AJ236" s="264">
        <f t="shared" si="492"/>
        <v>0</v>
      </c>
      <c r="AK236" s="264">
        <f t="shared" si="492"/>
        <v>0</v>
      </c>
      <c r="AL236" s="264">
        <f t="shared" si="492"/>
        <v>0</v>
      </c>
      <c r="AM236" s="264">
        <f t="shared" si="492"/>
        <v>0</v>
      </c>
      <c r="AN236" s="260"/>
      <c r="AO236" s="264">
        <f t="shared" ref="AO236" si="493">IF(AO220=0,0,AO228/AO220)</f>
        <v>0</v>
      </c>
      <c r="AP236" s="260"/>
      <c r="AQ236" s="264"/>
      <c r="AR236" s="264" t="str">
        <f>VLOOKUP($I236,TableInputsData[],ReadMe!$M$3,FALSE)&amp;"  |  "&amp;VLOOKUP($K236,TableInputsData[],ReadMe!$M$3,FALSE)</f>
        <v>PRODUIT 06  |  PRIX MOYEN DE VENTE PAR PRODUIT/SERVICE</v>
      </c>
      <c r="AS236" s="264"/>
      <c r="AT236" s="294"/>
    </row>
    <row r="237" spans="1:46" ht="13" hidden="1" x14ac:dyDescent="0.2">
      <c r="A237" s="294"/>
      <c r="B237" s="925"/>
      <c r="C237" s="271">
        <v>230</v>
      </c>
      <c r="D237" s="250">
        <f t="shared" si="466"/>
        <v>0</v>
      </c>
      <c r="E237" s="250"/>
      <c r="F237" s="248" t="str">
        <f t="shared" si="488"/>
        <v>CURRENT YEAR</v>
      </c>
      <c r="G237" s="250">
        <f>VLOOKUP(F237,TableInputsData[],$G$6,FALSE)</f>
        <v>2025</v>
      </c>
      <c r="H237" s="250" t="str">
        <f t="shared" si="467"/>
        <v>PRODUCT</v>
      </c>
      <c r="I237" s="248" t="str">
        <f t="shared" si="467"/>
        <v>PRODUCT 06</v>
      </c>
      <c r="J237" s="248" t="str">
        <f>VLOOKUP(I237,TableInputsData[],$J$6,FALSE)</f>
        <v>-</v>
      </c>
      <c r="K237" s="248" t="str">
        <f t="shared" ref="K237:K242" si="494">K236</f>
        <v>AVERAGE SELLING PRICE PER UNIT</v>
      </c>
      <c r="L237" s="255"/>
      <c r="M237" s="255"/>
      <c r="N237" s="255"/>
      <c r="O237" s="265"/>
      <c r="P237" s="260"/>
      <c r="Q237" s="260"/>
      <c r="R237" s="260"/>
      <c r="S237" s="630"/>
      <c r="T237" s="630"/>
      <c r="U237" s="630"/>
      <c r="V237" s="630"/>
      <c r="W237" s="260"/>
      <c r="X237" s="260"/>
      <c r="Y237" s="260"/>
      <c r="Z237" s="260"/>
      <c r="AA237" s="260"/>
      <c r="AB237" s="260"/>
      <c r="AC237" s="265"/>
      <c r="AD237" s="634"/>
      <c r="AE237" s="264">
        <f>IF(AE221=0,0,AE229/AE221)</f>
        <v>0</v>
      </c>
      <c r="AF237" s="264">
        <f t="shared" ref="AF237:AM237" si="495">IF(AF221=0,0,AF229/AF221)</f>
        <v>0</v>
      </c>
      <c r="AG237" s="264">
        <f t="shared" si="495"/>
        <v>0</v>
      </c>
      <c r="AH237" s="264">
        <f t="shared" si="495"/>
        <v>0</v>
      </c>
      <c r="AI237" s="264">
        <f t="shared" si="495"/>
        <v>0</v>
      </c>
      <c r="AJ237" s="264">
        <f t="shared" si="495"/>
        <v>0</v>
      </c>
      <c r="AK237" s="264">
        <f t="shared" si="495"/>
        <v>0</v>
      </c>
      <c r="AL237" s="264">
        <f t="shared" si="495"/>
        <v>0</v>
      </c>
      <c r="AM237" s="264">
        <f t="shared" si="495"/>
        <v>0</v>
      </c>
      <c r="AN237" s="260"/>
      <c r="AO237" s="264">
        <f t="shared" ref="AO237" si="496">IF(AO221=0,0,AO229/AO221)</f>
        <v>0</v>
      </c>
      <c r="AP237" s="260"/>
      <c r="AQ237" s="264"/>
      <c r="AR237" s="264" t="str">
        <f>VLOOKUP($I237,TableInputsData[],ReadMe!$M$3,FALSE)&amp;"  |  "&amp;VLOOKUP($K237,TableInputsData[],ReadMe!$M$3,FALSE)</f>
        <v>PRODUIT 06  |  PRIX MOYEN DE VENTE PAR PRODUIT/SERVICE</v>
      </c>
      <c r="AS237" s="264"/>
      <c r="AT237" s="294"/>
    </row>
    <row r="238" spans="1:46" ht="13" hidden="1" x14ac:dyDescent="0.2">
      <c r="A238" s="294"/>
      <c r="B238" s="925"/>
      <c r="C238" s="271">
        <v>231</v>
      </c>
      <c r="D238" s="250">
        <f t="shared" si="466"/>
        <v>0</v>
      </c>
      <c r="E238" s="250"/>
      <c r="F238" s="248" t="str">
        <f t="shared" si="488"/>
        <v>YEAR2</v>
      </c>
      <c r="G238" s="250">
        <f>VLOOKUP(F238,TableInputsData[],$G$6,FALSE)</f>
        <v>2026</v>
      </c>
      <c r="H238" s="250" t="str">
        <f t="shared" si="467"/>
        <v>PRODUCT</v>
      </c>
      <c r="I238" s="248" t="str">
        <f t="shared" si="467"/>
        <v>PRODUCT 06</v>
      </c>
      <c r="J238" s="248" t="str">
        <f>VLOOKUP(I238,TableInputsData[],$J$6,FALSE)</f>
        <v>-</v>
      </c>
      <c r="K238" s="248" t="str">
        <f t="shared" si="494"/>
        <v>AVERAGE SELLING PRICE PER UNIT</v>
      </c>
      <c r="L238" s="255"/>
      <c r="M238" s="255"/>
      <c r="N238" s="255"/>
      <c r="O238" s="265"/>
      <c r="P238" s="260"/>
      <c r="Q238" s="260"/>
      <c r="R238" s="260"/>
      <c r="S238" s="630"/>
      <c r="T238" s="630"/>
      <c r="U238" s="630"/>
      <c r="V238" s="630"/>
      <c r="W238" s="260"/>
      <c r="X238" s="260"/>
      <c r="Y238" s="260"/>
      <c r="Z238" s="260"/>
      <c r="AA238" s="260"/>
      <c r="AB238" s="260"/>
      <c r="AC238" s="265"/>
      <c r="AD238" s="634"/>
      <c r="AE238" s="264">
        <f>IF(AE222=0,0,AE230/AE222)</f>
        <v>0</v>
      </c>
      <c r="AF238" s="264">
        <f t="shared" ref="AF238:AM238" si="497">IF(AF222=0,0,AF230/AF222)</f>
        <v>0</v>
      </c>
      <c r="AG238" s="264">
        <f t="shared" si="497"/>
        <v>0</v>
      </c>
      <c r="AH238" s="264">
        <f t="shared" si="497"/>
        <v>0</v>
      </c>
      <c r="AI238" s="264">
        <f t="shared" si="497"/>
        <v>0</v>
      </c>
      <c r="AJ238" s="264">
        <f t="shared" si="497"/>
        <v>0</v>
      </c>
      <c r="AK238" s="264">
        <f t="shared" si="497"/>
        <v>0</v>
      </c>
      <c r="AL238" s="264">
        <f t="shared" si="497"/>
        <v>0</v>
      </c>
      <c r="AM238" s="264">
        <f t="shared" si="497"/>
        <v>0</v>
      </c>
      <c r="AN238" s="260"/>
      <c r="AO238" s="264">
        <f t="shared" ref="AO238" si="498">IF(AO222=0,0,AO230/AO222)</f>
        <v>0</v>
      </c>
      <c r="AP238" s="260"/>
      <c r="AQ238" s="264"/>
      <c r="AR238" s="264" t="str">
        <f>VLOOKUP($I238,TableInputsData[],ReadMe!$M$3,FALSE)&amp;"  |  "&amp;VLOOKUP($K238,TableInputsData[],ReadMe!$M$3,FALSE)</f>
        <v>PRODUIT 06  |  PRIX MOYEN DE VENTE PAR PRODUIT/SERVICE</v>
      </c>
      <c r="AS238" s="264"/>
      <c r="AT238" s="294"/>
    </row>
    <row r="239" spans="1:46" ht="13" hidden="1" x14ac:dyDescent="0.2">
      <c r="A239" s="294"/>
      <c r="B239" s="925"/>
      <c r="C239" s="271">
        <v>232</v>
      </c>
      <c r="D239" s="250">
        <f t="shared" si="466"/>
        <v>0</v>
      </c>
      <c r="E239" s="250"/>
      <c r="F239" s="248" t="str">
        <f t="shared" si="488"/>
        <v>YEAR3</v>
      </c>
      <c r="G239" s="250">
        <f>VLOOKUP(F239,TableInputsData[],$G$6,FALSE)</f>
        <v>2027</v>
      </c>
      <c r="H239" s="250" t="str">
        <f t="shared" si="467"/>
        <v>PRODUCT</v>
      </c>
      <c r="I239" s="248" t="str">
        <f t="shared" si="467"/>
        <v>PRODUCT 06</v>
      </c>
      <c r="J239" s="248" t="str">
        <f>VLOOKUP(I239,TableInputsData[],$J$6,FALSE)</f>
        <v>-</v>
      </c>
      <c r="K239" s="248" t="str">
        <f t="shared" si="494"/>
        <v>AVERAGE SELLING PRICE PER UNIT</v>
      </c>
      <c r="L239" s="255"/>
      <c r="M239" s="255"/>
      <c r="N239" s="255"/>
      <c r="O239" s="265"/>
      <c r="P239" s="260"/>
      <c r="Q239" s="260"/>
      <c r="R239" s="260"/>
      <c r="S239" s="630"/>
      <c r="T239" s="630"/>
      <c r="U239" s="630"/>
      <c r="V239" s="630"/>
      <c r="W239" s="260"/>
      <c r="X239" s="260"/>
      <c r="Y239" s="260"/>
      <c r="Z239" s="260"/>
      <c r="AA239" s="260"/>
      <c r="AB239" s="260"/>
      <c r="AC239" s="265"/>
      <c r="AD239" s="634"/>
      <c r="AE239" s="264">
        <f t="shared" ref="AE239:AM239" si="499">IF(AE223=0,0,AE231/AE223)</f>
        <v>0</v>
      </c>
      <c r="AF239" s="264">
        <f t="shared" si="499"/>
        <v>0</v>
      </c>
      <c r="AG239" s="264">
        <f t="shared" si="499"/>
        <v>0</v>
      </c>
      <c r="AH239" s="264">
        <f t="shared" si="499"/>
        <v>0</v>
      </c>
      <c r="AI239" s="264">
        <f t="shared" si="499"/>
        <v>0</v>
      </c>
      <c r="AJ239" s="264">
        <f t="shared" si="499"/>
        <v>0</v>
      </c>
      <c r="AK239" s="264">
        <f t="shared" si="499"/>
        <v>0</v>
      </c>
      <c r="AL239" s="264">
        <f t="shared" si="499"/>
        <v>0</v>
      </c>
      <c r="AM239" s="264">
        <f t="shared" si="499"/>
        <v>0</v>
      </c>
      <c r="AN239" s="260"/>
      <c r="AO239" s="264">
        <f t="shared" ref="AO239" si="500">IF(AO223=0,0,AO231/AO223)</f>
        <v>0</v>
      </c>
      <c r="AP239" s="260"/>
      <c r="AQ239" s="264"/>
      <c r="AR239" s="264" t="str">
        <f>VLOOKUP($I239,TableInputsData[],ReadMe!$M$3,FALSE)&amp;"  |  "&amp;VLOOKUP($K239,TableInputsData[],ReadMe!$M$3,FALSE)</f>
        <v>PRODUIT 06  |  PRIX MOYEN DE VENTE PAR PRODUIT/SERVICE</v>
      </c>
      <c r="AS239" s="264"/>
      <c r="AT239" s="294"/>
    </row>
    <row r="240" spans="1:46" ht="13" hidden="1" x14ac:dyDescent="0.2">
      <c r="A240" s="294"/>
      <c r="B240" s="925"/>
      <c r="C240" s="272">
        <v>233</v>
      </c>
      <c r="D240" s="250">
        <f t="shared" si="466"/>
        <v>0</v>
      </c>
      <c r="E240" s="251"/>
      <c r="F240" s="248" t="str">
        <f t="shared" si="488"/>
        <v>YEAR4</v>
      </c>
      <c r="G240" s="250">
        <f>VLOOKUP(F240,TableInputsData[],$G$6,FALSE)</f>
        <v>2028</v>
      </c>
      <c r="H240" s="250" t="str">
        <f t="shared" si="467"/>
        <v>PRODUCT</v>
      </c>
      <c r="I240" s="248" t="str">
        <f t="shared" si="467"/>
        <v>PRODUCT 06</v>
      </c>
      <c r="J240" s="248" t="str">
        <f>VLOOKUP(I240,TableInputsData[],$J$6,FALSE)</f>
        <v>-</v>
      </c>
      <c r="K240" s="248" t="str">
        <f t="shared" si="494"/>
        <v>AVERAGE SELLING PRICE PER UNIT</v>
      </c>
      <c r="L240" s="256"/>
      <c r="M240" s="256"/>
      <c r="N240" s="256"/>
      <c r="O240" s="266"/>
      <c r="P240" s="261"/>
      <c r="Q240" s="261"/>
      <c r="R240" s="261"/>
      <c r="S240" s="629"/>
      <c r="T240" s="629"/>
      <c r="U240" s="629"/>
      <c r="V240" s="629"/>
      <c r="W240" s="261"/>
      <c r="X240" s="261"/>
      <c r="Y240" s="261"/>
      <c r="Z240" s="261"/>
      <c r="AA240" s="261"/>
      <c r="AB240" s="261"/>
      <c r="AC240" s="266"/>
      <c r="AD240" s="633"/>
      <c r="AE240" s="264">
        <f t="shared" ref="AE240:AM240" si="501">IF(AE224=0,0,AE232/AE224)</f>
        <v>0</v>
      </c>
      <c r="AF240" s="264">
        <f t="shared" si="501"/>
        <v>0</v>
      </c>
      <c r="AG240" s="264">
        <f t="shared" si="501"/>
        <v>0</v>
      </c>
      <c r="AH240" s="264">
        <f t="shared" si="501"/>
        <v>0</v>
      </c>
      <c r="AI240" s="264">
        <f t="shared" si="501"/>
        <v>0</v>
      </c>
      <c r="AJ240" s="264">
        <f t="shared" si="501"/>
        <v>0</v>
      </c>
      <c r="AK240" s="264">
        <f t="shared" si="501"/>
        <v>0</v>
      </c>
      <c r="AL240" s="264">
        <f t="shared" si="501"/>
        <v>0</v>
      </c>
      <c r="AM240" s="264">
        <f t="shared" si="501"/>
        <v>0</v>
      </c>
      <c r="AN240" s="260"/>
      <c r="AO240" s="264">
        <f t="shared" ref="AO240" si="502">IF(AO224=0,0,AO232/AO224)</f>
        <v>0</v>
      </c>
      <c r="AP240" s="260"/>
      <c r="AQ240" s="264"/>
      <c r="AR240" s="264" t="str">
        <f>VLOOKUP($I240,TableInputsData[],ReadMe!$M$3,FALSE)&amp;"  |  "&amp;VLOOKUP($K240,TableInputsData[],ReadMe!$M$3,FALSE)</f>
        <v>PRODUIT 06  |  PRIX MOYEN DE VENTE PAR PRODUIT/SERVICE</v>
      </c>
      <c r="AS240" s="264"/>
      <c r="AT240" s="294"/>
    </row>
    <row r="241" spans="1:46" ht="13" hidden="1" x14ac:dyDescent="0.2">
      <c r="A241" s="294"/>
      <c r="B241" s="925"/>
      <c r="C241" s="271">
        <v>234</v>
      </c>
      <c r="D241" s="250">
        <f t="shared" si="466"/>
        <v>0</v>
      </c>
      <c r="E241" s="250"/>
      <c r="F241" s="248" t="str">
        <f t="shared" si="488"/>
        <v>YEAR5</v>
      </c>
      <c r="G241" s="250">
        <f>VLOOKUP(F241,TableInputsData[],$G$6,FALSE)</f>
        <v>2029</v>
      </c>
      <c r="H241" s="250" t="str">
        <f t="shared" si="467"/>
        <v>PRODUCT</v>
      </c>
      <c r="I241" s="248" t="str">
        <f t="shared" si="467"/>
        <v>PRODUCT 06</v>
      </c>
      <c r="J241" s="248" t="str">
        <f>VLOOKUP(I241,TableInputsData[],$J$6,FALSE)</f>
        <v>-</v>
      </c>
      <c r="K241" s="248" t="str">
        <f t="shared" si="494"/>
        <v>AVERAGE SELLING PRICE PER UNIT</v>
      </c>
      <c r="L241" s="255"/>
      <c r="M241" s="255"/>
      <c r="N241" s="255"/>
      <c r="O241" s="265"/>
      <c r="P241" s="260"/>
      <c r="Q241" s="260"/>
      <c r="R241" s="260"/>
      <c r="S241" s="630"/>
      <c r="T241" s="630"/>
      <c r="U241" s="630"/>
      <c r="V241" s="630"/>
      <c r="W241" s="260"/>
      <c r="X241" s="260"/>
      <c r="Y241" s="260"/>
      <c r="Z241" s="260"/>
      <c r="AA241" s="260"/>
      <c r="AB241" s="260"/>
      <c r="AC241" s="265"/>
      <c r="AD241" s="634"/>
      <c r="AE241" s="264">
        <f t="shared" ref="AE241:AM241" si="503">IF(AE225=0,0,AE233/AE225)</f>
        <v>0</v>
      </c>
      <c r="AF241" s="264">
        <f t="shared" si="503"/>
        <v>0</v>
      </c>
      <c r="AG241" s="264">
        <f t="shared" si="503"/>
        <v>0</v>
      </c>
      <c r="AH241" s="264">
        <f t="shared" si="503"/>
        <v>0</v>
      </c>
      <c r="AI241" s="264">
        <f t="shared" si="503"/>
        <v>0</v>
      </c>
      <c r="AJ241" s="264">
        <f t="shared" si="503"/>
        <v>0</v>
      </c>
      <c r="AK241" s="264">
        <f t="shared" si="503"/>
        <v>0</v>
      </c>
      <c r="AL241" s="264">
        <f t="shared" si="503"/>
        <v>0</v>
      </c>
      <c r="AM241" s="264">
        <f t="shared" si="503"/>
        <v>0</v>
      </c>
      <c r="AN241" s="260"/>
      <c r="AO241" s="264">
        <f t="shared" ref="AO241" si="504">IF(AO225=0,0,AO233/AO225)</f>
        <v>0</v>
      </c>
      <c r="AP241" s="260"/>
      <c r="AQ241" s="264"/>
      <c r="AR241" s="264" t="str">
        <f>VLOOKUP($I241,TableInputsData[],ReadMe!$M$3,FALSE)&amp;"  |  "&amp;VLOOKUP($K241,TableInputsData[],ReadMe!$M$3,FALSE)</f>
        <v>PRODUIT 06  |  PRIX MOYEN DE VENTE PAR PRODUIT/SERVICE</v>
      </c>
      <c r="AS241" s="264"/>
      <c r="AT241" s="294"/>
    </row>
    <row r="242" spans="1:46" ht="13" hidden="1" x14ac:dyDescent="0.2">
      <c r="A242" s="294"/>
      <c r="B242" s="925"/>
      <c r="C242" s="271">
        <v>235</v>
      </c>
      <c r="D242" s="250">
        <f t="shared" si="466"/>
        <v>0</v>
      </c>
      <c r="E242" s="250"/>
      <c r="F242" s="248" t="str">
        <f t="shared" si="488"/>
        <v>YEAR6</v>
      </c>
      <c r="G242" s="250">
        <f>VLOOKUP(F242,TableInputsData[],$G$6,FALSE)</f>
        <v>2030</v>
      </c>
      <c r="H242" s="250" t="str">
        <f t="shared" si="467"/>
        <v>PRODUCT</v>
      </c>
      <c r="I242" s="248" t="str">
        <f t="shared" si="467"/>
        <v>PRODUCT 06</v>
      </c>
      <c r="J242" s="248" t="str">
        <f>VLOOKUP(I242,TableInputsData[],$J$6,FALSE)</f>
        <v>-</v>
      </c>
      <c r="K242" s="248" t="str">
        <f t="shared" si="494"/>
        <v>AVERAGE SELLING PRICE PER UNIT</v>
      </c>
      <c r="L242" s="255"/>
      <c r="M242" s="255"/>
      <c r="N242" s="255"/>
      <c r="O242" s="265"/>
      <c r="P242" s="260"/>
      <c r="Q242" s="260"/>
      <c r="R242" s="260"/>
      <c r="S242" s="630"/>
      <c r="T242" s="630"/>
      <c r="U242" s="630"/>
      <c r="V242" s="630"/>
      <c r="W242" s="260"/>
      <c r="X242" s="260"/>
      <c r="Y242" s="260"/>
      <c r="Z242" s="260"/>
      <c r="AA242" s="260"/>
      <c r="AB242" s="260"/>
      <c r="AC242" s="265"/>
      <c r="AD242" s="634"/>
      <c r="AE242" s="264">
        <f t="shared" ref="AE242:AM242" si="505">IF(AE226=0,0,AE234/AE226)</f>
        <v>0</v>
      </c>
      <c r="AF242" s="264">
        <f t="shared" si="505"/>
        <v>0</v>
      </c>
      <c r="AG242" s="264">
        <f t="shared" si="505"/>
        <v>0</v>
      </c>
      <c r="AH242" s="264">
        <f t="shared" si="505"/>
        <v>0</v>
      </c>
      <c r="AI242" s="264">
        <f t="shared" si="505"/>
        <v>0</v>
      </c>
      <c r="AJ242" s="264">
        <f t="shared" si="505"/>
        <v>0</v>
      </c>
      <c r="AK242" s="264">
        <f t="shared" si="505"/>
        <v>0</v>
      </c>
      <c r="AL242" s="264">
        <f t="shared" si="505"/>
        <v>0</v>
      </c>
      <c r="AM242" s="264">
        <f t="shared" si="505"/>
        <v>0</v>
      </c>
      <c r="AN242" s="260"/>
      <c r="AO242" s="264">
        <f t="shared" ref="AO242" si="506">IF(AO226=0,0,AO234/AO226)</f>
        <v>0</v>
      </c>
      <c r="AP242" s="260"/>
      <c r="AQ242" s="264"/>
      <c r="AR242" s="264" t="str">
        <f>VLOOKUP($I242,TableInputsData[],ReadMe!$M$3,FALSE)&amp;"  |  "&amp;VLOOKUP($K242,TableInputsData[],ReadMe!$M$3,FALSE)</f>
        <v>PRODUIT 06  |  PRIX MOYEN DE VENTE PAR PRODUIT/SERVICE</v>
      </c>
      <c r="AS242" s="264"/>
      <c r="AT242" s="294"/>
    </row>
    <row r="243" spans="1:46" ht="13" hidden="1" x14ac:dyDescent="0.2">
      <c r="A243" s="294"/>
      <c r="B243" s="925"/>
      <c r="C243" s="272">
        <v>236</v>
      </c>
      <c r="D243" s="250">
        <f t="shared" si="466"/>
        <v>0</v>
      </c>
      <c r="E243" s="251"/>
      <c r="F243" s="248" t="str">
        <f t="shared" ref="F243:F250" si="507">F251</f>
        <v>YEAR-2</v>
      </c>
      <c r="G243" s="250">
        <f>VLOOKUP(F243,TableInputsData[],$G$6,FALSE)</f>
        <v>2023</v>
      </c>
      <c r="H243" s="250" t="str">
        <f t="shared" si="467"/>
        <v>PRODUCT</v>
      </c>
      <c r="I243" s="248" t="str">
        <f t="shared" si="467"/>
        <v>PRODUCT 06</v>
      </c>
      <c r="J243" s="248" t="str">
        <f>VLOOKUP(I243,TableInputsData[],$J$6,FALSE)</f>
        <v>-</v>
      </c>
      <c r="K243" s="248" t="s">
        <v>531</v>
      </c>
      <c r="L243" s="256"/>
      <c r="M243" s="256"/>
      <c r="N243" s="256"/>
      <c r="O243" s="266"/>
      <c r="P243" s="261"/>
      <c r="Q243" s="261"/>
      <c r="R243" s="261"/>
      <c r="S243" s="629"/>
      <c r="T243" s="629"/>
      <c r="U243" s="629"/>
      <c r="V243" s="629"/>
      <c r="W243" s="261"/>
      <c r="X243" s="261"/>
      <c r="Y243" s="261"/>
      <c r="Z243" s="261"/>
      <c r="AA243" s="261"/>
      <c r="AB243" s="261"/>
      <c r="AC243" s="266"/>
      <c r="AD243" s="633"/>
      <c r="AE243" s="264">
        <f>AE219*($S219*$P219+$T219*$Q219+$U219*$R219)</f>
        <v>0</v>
      </c>
      <c r="AF243" s="264">
        <f t="shared" ref="AF243:AH243" si="508">AF219*($S219*$P219+$T219*$Q219+$U219*$R219)</f>
        <v>0</v>
      </c>
      <c r="AG243" s="264">
        <f t="shared" si="508"/>
        <v>0</v>
      </c>
      <c r="AH243" s="264">
        <f t="shared" si="508"/>
        <v>0</v>
      </c>
      <c r="AI243" s="264">
        <f t="shared" ref="AI243:AI250" si="509">$AE243+$AF243+$AG243+$AH243</f>
        <v>0</v>
      </c>
      <c r="AJ243" s="264">
        <f t="shared" ref="AJ243:AJ250" si="510">$AJ219*$S219</f>
        <v>0</v>
      </c>
      <c r="AK243" s="264">
        <f t="shared" ref="AK243:AK250" si="511">$AK219*$T219</f>
        <v>0</v>
      </c>
      <c r="AL243" s="264">
        <f t="shared" ref="AL243:AL250" si="512">$AL219*$U219</f>
        <v>0</v>
      </c>
      <c r="AM243" s="264">
        <f t="shared" ref="AM243:AM250" si="513">$AJ243*$W219+$AK243*$X219+$AL243*$Y219</f>
        <v>0</v>
      </c>
      <c r="AN243" s="640">
        <f t="shared" ref="AN243:AN250" si="514">IF(AI243=0,0,AM243/AI243)</f>
        <v>0</v>
      </c>
      <c r="AO243" s="264">
        <f t="shared" ref="AO243:AO250" si="515">$AJ243*$Z219+$AK243*$AA219+$AL243*$AB219</f>
        <v>0</v>
      </c>
      <c r="AP243" s="640">
        <f t="shared" ref="AP243:AP250" si="516">IF(AI243=0,0,AO243/AI243)</f>
        <v>0</v>
      </c>
      <c r="AQ243" s="264"/>
      <c r="AR243" s="264" t="str">
        <f>VLOOKUP($I243,TableInputsData[],ReadMe!$M$3,FALSE)&amp;"  |  "&amp;VLOOKUP($K243,TableInputsData[],ReadMe!$M$3,FALSE)</f>
        <v>PRODUIT 06  |  DEPENSES SUR ACHATS</v>
      </c>
      <c r="AS243" s="264" t="b">
        <f t="shared" ref="AS243:AS250" si="517">AND(EXACT(ROUND(AI243,2),ROUND(AJ243+AK243+AL243,2)),EXACT(ROUND(AI243,2),ROUND(AM243+AO243,2)))</f>
        <v>1</v>
      </c>
      <c r="AT243" s="294"/>
    </row>
    <row r="244" spans="1:46" ht="13" hidden="1" x14ac:dyDescent="0.2">
      <c r="A244" s="294"/>
      <c r="B244" s="925"/>
      <c r="C244" s="271">
        <v>237</v>
      </c>
      <c r="D244" s="250">
        <f t="shared" si="466"/>
        <v>0</v>
      </c>
      <c r="E244" s="250"/>
      <c r="F244" s="248" t="str">
        <f t="shared" si="507"/>
        <v>YEAR-1</v>
      </c>
      <c r="G244" s="250">
        <f>VLOOKUP(F244,TableInputsData[],$G$6,FALSE)</f>
        <v>2024</v>
      </c>
      <c r="H244" s="250" t="str">
        <f t="shared" si="467"/>
        <v>PRODUCT</v>
      </c>
      <c r="I244" s="248" t="str">
        <f t="shared" si="467"/>
        <v>PRODUCT 06</v>
      </c>
      <c r="J244" s="248" t="str">
        <f>VLOOKUP(I244,TableInputsData[],$J$6,FALSE)</f>
        <v>-</v>
      </c>
      <c r="K244" s="248" t="str">
        <f>K243</f>
        <v>COST OF GOODS SOLD</v>
      </c>
      <c r="L244" s="255"/>
      <c r="M244" s="255"/>
      <c r="N244" s="255"/>
      <c r="O244" s="265"/>
      <c r="P244" s="260"/>
      <c r="Q244" s="260"/>
      <c r="R244" s="260"/>
      <c r="S244" s="630"/>
      <c r="T244" s="630"/>
      <c r="U244" s="630"/>
      <c r="V244" s="630"/>
      <c r="W244" s="260"/>
      <c r="X244" s="260"/>
      <c r="Y244" s="260"/>
      <c r="Z244" s="260"/>
      <c r="AA244" s="260"/>
      <c r="AB244" s="260"/>
      <c r="AC244" s="265"/>
      <c r="AD244" s="634"/>
      <c r="AE244" s="264">
        <f t="shared" ref="AE244:AH244" si="518">AE220*($S220*$P220+$T220*$Q220+$U220*$R220)</f>
        <v>0</v>
      </c>
      <c r="AF244" s="264">
        <f t="shared" si="518"/>
        <v>0</v>
      </c>
      <c r="AG244" s="264">
        <f t="shared" si="518"/>
        <v>0</v>
      </c>
      <c r="AH244" s="264">
        <f t="shared" si="518"/>
        <v>0</v>
      </c>
      <c r="AI244" s="264">
        <f t="shared" si="509"/>
        <v>0</v>
      </c>
      <c r="AJ244" s="264">
        <f t="shared" si="510"/>
        <v>0</v>
      </c>
      <c r="AK244" s="264">
        <f t="shared" si="511"/>
        <v>0</v>
      </c>
      <c r="AL244" s="264">
        <f t="shared" si="512"/>
        <v>0</v>
      </c>
      <c r="AM244" s="264">
        <f t="shared" si="513"/>
        <v>0</v>
      </c>
      <c r="AN244" s="640">
        <f t="shared" si="514"/>
        <v>0</v>
      </c>
      <c r="AO244" s="264">
        <f t="shared" si="515"/>
        <v>0</v>
      </c>
      <c r="AP244" s="640">
        <f t="shared" si="516"/>
        <v>0</v>
      </c>
      <c r="AQ244" s="264"/>
      <c r="AR244" s="264" t="str">
        <f>VLOOKUP($I244,TableInputsData[],ReadMe!$M$3,FALSE)&amp;"  |  "&amp;VLOOKUP($K244,TableInputsData[],ReadMe!$M$3,FALSE)</f>
        <v>PRODUIT 06  |  DEPENSES SUR ACHATS</v>
      </c>
      <c r="AS244" s="264" t="b">
        <f t="shared" si="517"/>
        <v>1</v>
      </c>
      <c r="AT244" s="294"/>
    </row>
    <row r="245" spans="1:46" ht="13" hidden="1" x14ac:dyDescent="0.2">
      <c r="A245" s="294"/>
      <c r="B245" s="925"/>
      <c r="C245" s="271">
        <v>238</v>
      </c>
      <c r="D245" s="250">
        <f t="shared" si="466"/>
        <v>0</v>
      </c>
      <c r="E245" s="250"/>
      <c r="F245" s="248" t="str">
        <f t="shared" si="507"/>
        <v>CURRENT YEAR</v>
      </c>
      <c r="G245" s="250">
        <f>VLOOKUP(F245,TableInputsData[],$G$6,FALSE)</f>
        <v>2025</v>
      </c>
      <c r="H245" s="250" t="str">
        <f t="shared" si="467"/>
        <v>PRODUCT</v>
      </c>
      <c r="I245" s="248" t="str">
        <f t="shared" si="467"/>
        <v>PRODUCT 06</v>
      </c>
      <c r="J245" s="248" t="str">
        <f>VLOOKUP(I245,TableInputsData[],$J$6,FALSE)</f>
        <v>-</v>
      </c>
      <c r="K245" s="248" t="str">
        <f t="shared" ref="K245:K250" si="519">K244</f>
        <v>COST OF GOODS SOLD</v>
      </c>
      <c r="L245" s="255"/>
      <c r="M245" s="255"/>
      <c r="N245" s="255"/>
      <c r="O245" s="265"/>
      <c r="P245" s="260"/>
      <c r="Q245" s="260"/>
      <c r="R245" s="260"/>
      <c r="S245" s="630"/>
      <c r="T245" s="630"/>
      <c r="U245" s="630"/>
      <c r="V245" s="630"/>
      <c r="W245" s="260"/>
      <c r="X245" s="260"/>
      <c r="Y245" s="260"/>
      <c r="Z245" s="260"/>
      <c r="AA245" s="260"/>
      <c r="AB245" s="260"/>
      <c r="AC245" s="265"/>
      <c r="AD245" s="634"/>
      <c r="AE245" s="264">
        <f t="shared" ref="AE245:AH245" si="520">AE221*($S221*$P221+$T221*$Q221+$U221*$R221)</f>
        <v>0</v>
      </c>
      <c r="AF245" s="264">
        <f t="shared" si="520"/>
        <v>0</v>
      </c>
      <c r="AG245" s="264">
        <f t="shared" si="520"/>
        <v>0</v>
      </c>
      <c r="AH245" s="264">
        <f t="shared" si="520"/>
        <v>0</v>
      </c>
      <c r="AI245" s="264">
        <f t="shared" si="509"/>
        <v>0</v>
      </c>
      <c r="AJ245" s="264">
        <f t="shared" si="510"/>
        <v>0</v>
      </c>
      <c r="AK245" s="264">
        <f t="shared" si="511"/>
        <v>0</v>
      </c>
      <c r="AL245" s="264">
        <f t="shared" si="512"/>
        <v>0</v>
      </c>
      <c r="AM245" s="264">
        <f t="shared" si="513"/>
        <v>0</v>
      </c>
      <c r="AN245" s="640">
        <f t="shared" si="514"/>
        <v>0</v>
      </c>
      <c r="AO245" s="264">
        <f t="shared" si="515"/>
        <v>0</v>
      </c>
      <c r="AP245" s="640">
        <f t="shared" si="516"/>
        <v>0</v>
      </c>
      <c r="AQ245" s="264"/>
      <c r="AR245" s="264" t="str">
        <f>VLOOKUP($I245,TableInputsData[],ReadMe!$M$3,FALSE)&amp;"  |  "&amp;VLOOKUP($K245,TableInputsData[],ReadMe!$M$3,FALSE)</f>
        <v>PRODUIT 06  |  DEPENSES SUR ACHATS</v>
      </c>
      <c r="AS245" s="264" t="b">
        <f t="shared" si="517"/>
        <v>1</v>
      </c>
      <c r="AT245" s="294"/>
    </row>
    <row r="246" spans="1:46" ht="13" hidden="1" x14ac:dyDescent="0.2">
      <c r="A246" s="294"/>
      <c r="B246" s="925"/>
      <c r="C246" s="271">
        <v>239</v>
      </c>
      <c r="D246" s="250">
        <f t="shared" si="466"/>
        <v>0</v>
      </c>
      <c r="E246" s="250"/>
      <c r="F246" s="248" t="str">
        <f t="shared" si="507"/>
        <v>YEAR2</v>
      </c>
      <c r="G246" s="250">
        <f>VLOOKUP(F246,TableInputsData[],$G$6,FALSE)</f>
        <v>2026</v>
      </c>
      <c r="H246" s="250" t="str">
        <f t="shared" si="467"/>
        <v>PRODUCT</v>
      </c>
      <c r="I246" s="248" t="str">
        <f t="shared" si="467"/>
        <v>PRODUCT 06</v>
      </c>
      <c r="J246" s="248" t="str">
        <f>VLOOKUP(I246,TableInputsData[],$J$6,FALSE)</f>
        <v>-</v>
      </c>
      <c r="K246" s="248" t="str">
        <f t="shared" si="519"/>
        <v>COST OF GOODS SOLD</v>
      </c>
      <c r="L246" s="255"/>
      <c r="M246" s="255"/>
      <c r="N246" s="255"/>
      <c r="O246" s="265"/>
      <c r="P246" s="260"/>
      <c r="Q246" s="260"/>
      <c r="R246" s="260"/>
      <c r="S246" s="630"/>
      <c r="T246" s="630"/>
      <c r="U246" s="630"/>
      <c r="V246" s="630"/>
      <c r="W246" s="260"/>
      <c r="X246" s="260"/>
      <c r="Y246" s="260"/>
      <c r="Z246" s="260"/>
      <c r="AA246" s="260"/>
      <c r="AB246" s="260"/>
      <c r="AC246" s="265"/>
      <c r="AD246" s="634"/>
      <c r="AE246" s="264">
        <f t="shared" ref="AE246:AH246" si="521">AE222*($S222*$P222+$T222*$Q222+$U222*$R222)</f>
        <v>0</v>
      </c>
      <c r="AF246" s="264">
        <f t="shared" si="521"/>
        <v>0</v>
      </c>
      <c r="AG246" s="264">
        <f t="shared" si="521"/>
        <v>0</v>
      </c>
      <c r="AH246" s="264">
        <f t="shared" si="521"/>
        <v>0</v>
      </c>
      <c r="AI246" s="264">
        <f t="shared" si="509"/>
        <v>0</v>
      </c>
      <c r="AJ246" s="264">
        <f t="shared" si="510"/>
        <v>0</v>
      </c>
      <c r="AK246" s="264">
        <f t="shared" si="511"/>
        <v>0</v>
      </c>
      <c r="AL246" s="264">
        <f t="shared" si="512"/>
        <v>0</v>
      </c>
      <c r="AM246" s="264">
        <f t="shared" si="513"/>
        <v>0</v>
      </c>
      <c r="AN246" s="640">
        <f t="shared" si="514"/>
        <v>0</v>
      </c>
      <c r="AO246" s="264">
        <f t="shared" si="515"/>
        <v>0</v>
      </c>
      <c r="AP246" s="640">
        <f t="shared" si="516"/>
        <v>0</v>
      </c>
      <c r="AQ246" s="264"/>
      <c r="AR246" s="264" t="str">
        <f>VLOOKUP($I246,TableInputsData[],ReadMe!$M$3,FALSE)&amp;"  |  "&amp;VLOOKUP($K246,TableInputsData[],ReadMe!$M$3,FALSE)</f>
        <v>PRODUIT 06  |  DEPENSES SUR ACHATS</v>
      </c>
      <c r="AS246" s="264" t="b">
        <f t="shared" si="517"/>
        <v>1</v>
      </c>
      <c r="AT246" s="294"/>
    </row>
    <row r="247" spans="1:46" ht="13" hidden="1" x14ac:dyDescent="0.2">
      <c r="A247" s="294"/>
      <c r="B247" s="925"/>
      <c r="C247" s="271">
        <v>240</v>
      </c>
      <c r="D247" s="250">
        <f t="shared" si="466"/>
        <v>0</v>
      </c>
      <c r="E247" s="250"/>
      <c r="F247" s="248" t="str">
        <f t="shared" si="507"/>
        <v>YEAR3</v>
      </c>
      <c r="G247" s="250">
        <f>VLOOKUP(F247,TableInputsData[],$G$6,FALSE)</f>
        <v>2027</v>
      </c>
      <c r="H247" s="250" t="str">
        <f t="shared" si="467"/>
        <v>PRODUCT</v>
      </c>
      <c r="I247" s="248" t="str">
        <f t="shared" si="467"/>
        <v>PRODUCT 06</v>
      </c>
      <c r="J247" s="248" t="str">
        <f>VLOOKUP(I247,TableInputsData[],$J$6,FALSE)</f>
        <v>-</v>
      </c>
      <c r="K247" s="248" t="str">
        <f t="shared" si="519"/>
        <v>COST OF GOODS SOLD</v>
      </c>
      <c r="L247" s="255"/>
      <c r="M247" s="255"/>
      <c r="N247" s="255"/>
      <c r="O247" s="265"/>
      <c r="P247" s="260"/>
      <c r="Q247" s="260"/>
      <c r="R247" s="260"/>
      <c r="S247" s="630"/>
      <c r="T247" s="630"/>
      <c r="U247" s="630"/>
      <c r="V247" s="630"/>
      <c r="W247" s="260"/>
      <c r="X247" s="260"/>
      <c r="Y247" s="260"/>
      <c r="Z247" s="260"/>
      <c r="AA247" s="260"/>
      <c r="AB247" s="260"/>
      <c r="AC247" s="265"/>
      <c r="AD247" s="634"/>
      <c r="AE247" s="264">
        <f t="shared" ref="AE247:AH247" si="522">AE223*($S223*$P223+$T223*$Q223+$U223*$R223)</f>
        <v>0</v>
      </c>
      <c r="AF247" s="264">
        <f t="shared" si="522"/>
        <v>0</v>
      </c>
      <c r="AG247" s="264">
        <f t="shared" si="522"/>
        <v>0</v>
      </c>
      <c r="AH247" s="264">
        <f t="shared" si="522"/>
        <v>0</v>
      </c>
      <c r="AI247" s="264">
        <f t="shared" si="509"/>
        <v>0</v>
      </c>
      <c r="AJ247" s="264">
        <f t="shared" si="510"/>
        <v>0</v>
      </c>
      <c r="AK247" s="264">
        <f t="shared" si="511"/>
        <v>0</v>
      </c>
      <c r="AL247" s="264">
        <f t="shared" si="512"/>
        <v>0</v>
      </c>
      <c r="AM247" s="264">
        <f t="shared" si="513"/>
        <v>0</v>
      </c>
      <c r="AN247" s="640">
        <f t="shared" si="514"/>
        <v>0</v>
      </c>
      <c r="AO247" s="264">
        <f t="shared" si="515"/>
        <v>0</v>
      </c>
      <c r="AP247" s="640">
        <f t="shared" si="516"/>
        <v>0</v>
      </c>
      <c r="AQ247" s="264"/>
      <c r="AR247" s="264" t="str">
        <f>VLOOKUP($I247,TableInputsData[],ReadMe!$M$3,FALSE)&amp;"  |  "&amp;VLOOKUP($K247,TableInputsData[],ReadMe!$M$3,FALSE)</f>
        <v>PRODUIT 06  |  DEPENSES SUR ACHATS</v>
      </c>
      <c r="AS247" s="264" t="b">
        <f t="shared" si="517"/>
        <v>1</v>
      </c>
      <c r="AT247" s="294"/>
    </row>
    <row r="248" spans="1:46" ht="13" hidden="1" x14ac:dyDescent="0.2">
      <c r="A248" s="294"/>
      <c r="B248" s="925"/>
      <c r="C248" s="271">
        <v>241</v>
      </c>
      <c r="D248" s="250">
        <f t="shared" si="466"/>
        <v>0</v>
      </c>
      <c r="E248" s="250"/>
      <c r="F248" s="248" t="str">
        <f t="shared" si="507"/>
        <v>YEAR4</v>
      </c>
      <c r="G248" s="250">
        <f>VLOOKUP(F248,TableInputsData[],$G$6,FALSE)</f>
        <v>2028</v>
      </c>
      <c r="H248" s="250" t="str">
        <f t="shared" si="467"/>
        <v>PRODUCT</v>
      </c>
      <c r="I248" s="248" t="str">
        <f t="shared" si="467"/>
        <v>PRODUCT 06</v>
      </c>
      <c r="J248" s="248" t="str">
        <f>VLOOKUP(I248,TableInputsData[],$J$6,FALSE)</f>
        <v>-</v>
      </c>
      <c r="K248" s="248" t="str">
        <f t="shared" si="519"/>
        <v>COST OF GOODS SOLD</v>
      </c>
      <c r="L248" s="255"/>
      <c r="M248" s="255"/>
      <c r="N248" s="255"/>
      <c r="O248" s="265"/>
      <c r="P248" s="260"/>
      <c r="Q248" s="260"/>
      <c r="R248" s="260"/>
      <c r="S248" s="630"/>
      <c r="T248" s="630"/>
      <c r="U248" s="630"/>
      <c r="V248" s="630"/>
      <c r="W248" s="260"/>
      <c r="X248" s="260"/>
      <c r="Y248" s="260"/>
      <c r="Z248" s="260"/>
      <c r="AA248" s="260"/>
      <c r="AB248" s="260"/>
      <c r="AC248" s="265"/>
      <c r="AD248" s="634"/>
      <c r="AE248" s="264">
        <f t="shared" ref="AE248:AH248" si="523">AE224*($S224*$P224+$T224*$Q224+$U224*$R224)</f>
        <v>0</v>
      </c>
      <c r="AF248" s="264">
        <f t="shared" si="523"/>
        <v>0</v>
      </c>
      <c r="AG248" s="264">
        <f t="shared" si="523"/>
        <v>0</v>
      </c>
      <c r="AH248" s="264">
        <f t="shared" si="523"/>
        <v>0</v>
      </c>
      <c r="AI248" s="264">
        <f t="shared" si="509"/>
        <v>0</v>
      </c>
      <c r="AJ248" s="264">
        <f t="shared" si="510"/>
        <v>0</v>
      </c>
      <c r="AK248" s="264">
        <f t="shared" si="511"/>
        <v>0</v>
      </c>
      <c r="AL248" s="264">
        <f t="shared" si="512"/>
        <v>0</v>
      </c>
      <c r="AM248" s="264">
        <f t="shared" si="513"/>
        <v>0</v>
      </c>
      <c r="AN248" s="640">
        <f t="shared" si="514"/>
        <v>0</v>
      </c>
      <c r="AO248" s="264">
        <f t="shared" si="515"/>
        <v>0</v>
      </c>
      <c r="AP248" s="640">
        <f t="shared" si="516"/>
        <v>0</v>
      </c>
      <c r="AQ248" s="264"/>
      <c r="AR248" s="264" t="str">
        <f>VLOOKUP($I248,TableInputsData[],ReadMe!$M$3,FALSE)&amp;"  |  "&amp;VLOOKUP($K248,TableInputsData[],ReadMe!$M$3,FALSE)</f>
        <v>PRODUIT 06  |  DEPENSES SUR ACHATS</v>
      </c>
      <c r="AS248" s="264" t="b">
        <f t="shared" si="517"/>
        <v>1</v>
      </c>
      <c r="AT248" s="294"/>
    </row>
    <row r="249" spans="1:46" ht="13" hidden="1" x14ac:dyDescent="0.2">
      <c r="A249" s="294"/>
      <c r="B249" s="925"/>
      <c r="C249" s="271">
        <v>242</v>
      </c>
      <c r="D249" s="250">
        <f t="shared" si="466"/>
        <v>0</v>
      </c>
      <c r="E249" s="250"/>
      <c r="F249" s="248" t="str">
        <f t="shared" si="507"/>
        <v>YEAR5</v>
      </c>
      <c r="G249" s="250">
        <f>VLOOKUP(F249,TableInputsData[],$G$6,FALSE)</f>
        <v>2029</v>
      </c>
      <c r="H249" s="250" t="str">
        <f t="shared" si="467"/>
        <v>PRODUCT</v>
      </c>
      <c r="I249" s="248" t="str">
        <f t="shared" si="467"/>
        <v>PRODUCT 06</v>
      </c>
      <c r="J249" s="248" t="str">
        <f>VLOOKUP(I249,TableInputsData[],$J$6,FALSE)</f>
        <v>-</v>
      </c>
      <c r="K249" s="248" t="str">
        <f t="shared" si="519"/>
        <v>COST OF GOODS SOLD</v>
      </c>
      <c r="L249" s="255"/>
      <c r="M249" s="255"/>
      <c r="N249" s="255"/>
      <c r="O249" s="265"/>
      <c r="P249" s="260"/>
      <c r="Q249" s="260"/>
      <c r="R249" s="260"/>
      <c r="S249" s="630"/>
      <c r="T249" s="630"/>
      <c r="U249" s="630"/>
      <c r="V249" s="630"/>
      <c r="W249" s="260"/>
      <c r="X249" s="260"/>
      <c r="Y249" s="260"/>
      <c r="Z249" s="260"/>
      <c r="AA249" s="260"/>
      <c r="AB249" s="260"/>
      <c r="AC249" s="265"/>
      <c r="AD249" s="634"/>
      <c r="AE249" s="264">
        <f t="shared" ref="AE249:AH249" si="524">AE225*($S225*$P225+$T225*$Q225+$U225*$R225)</f>
        <v>0</v>
      </c>
      <c r="AF249" s="264">
        <f t="shared" si="524"/>
        <v>0</v>
      </c>
      <c r="AG249" s="264">
        <f t="shared" si="524"/>
        <v>0</v>
      </c>
      <c r="AH249" s="264">
        <f t="shared" si="524"/>
        <v>0</v>
      </c>
      <c r="AI249" s="264">
        <f t="shared" si="509"/>
        <v>0</v>
      </c>
      <c r="AJ249" s="264">
        <f t="shared" si="510"/>
        <v>0</v>
      </c>
      <c r="AK249" s="264">
        <f t="shared" si="511"/>
        <v>0</v>
      </c>
      <c r="AL249" s="264">
        <f t="shared" si="512"/>
        <v>0</v>
      </c>
      <c r="AM249" s="264">
        <f t="shared" si="513"/>
        <v>0</v>
      </c>
      <c r="AN249" s="640">
        <f t="shared" si="514"/>
        <v>0</v>
      </c>
      <c r="AO249" s="264">
        <f t="shared" si="515"/>
        <v>0</v>
      </c>
      <c r="AP249" s="640">
        <f t="shared" si="516"/>
        <v>0</v>
      </c>
      <c r="AQ249" s="264"/>
      <c r="AR249" s="264" t="str">
        <f>VLOOKUP($I249,TableInputsData[],ReadMe!$M$3,FALSE)&amp;"  |  "&amp;VLOOKUP($K249,TableInputsData[],ReadMe!$M$3,FALSE)</f>
        <v>PRODUIT 06  |  DEPENSES SUR ACHATS</v>
      </c>
      <c r="AS249" s="264" t="b">
        <f t="shared" si="517"/>
        <v>1</v>
      </c>
      <c r="AT249" s="294"/>
    </row>
    <row r="250" spans="1:46" ht="13" hidden="1" x14ac:dyDescent="0.2">
      <c r="A250" s="294"/>
      <c r="B250" s="925"/>
      <c r="C250" s="271">
        <v>243</v>
      </c>
      <c r="D250" s="250">
        <f t="shared" si="466"/>
        <v>0</v>
      </c>
      <c r="E250" s="250"/>
      <c r="F250" s="248" t="str">
        <f t="shared" si="507"/>
        <v>YEAR6</v>
      </c>
      <c r="G250" s="250">
        <f>VLOOKUP(F250,TableInputsData[],$G$6,FALSE)</f>
        <v>2030</v>
      </c>
      <c r="H250" s="250" t="str">
        <f t="shared" si="467"/>
        <v>PRODUCT</v>
      </c>
      <c r="I250" s="248" t="str">
        <f t="shared" si="467"/>
        <v>PRODUCT 06</v>
      </c>
      <c r="J250" s="248" t="str">
        <f>VLOOKUP(I250,TableInputsData[],$J$6,FALSE)</f>
        <v>-</v>
      </c>
      <c r="K250" s="248" t="str">
        <f t="shared" si="519"/>
        <v>COST OF GOODS SOLD</v>
      </c>
      <c r="L250" s="255"/>
      <c r="M250" s="255"/>
      <c r="N250" s="255"/>
      <c r="O250" s="265"/>
      <c r="P250" s="260"/>
      <c r="Q250" s="260"/>
      <c r="R250" s="260"/>
      <c r="S250" s="630"/>
      <c r="T250" s="630"/>
      <c r="U250" s="630"/>
      <c r="V250" s="630"/>
      <c r="W250" s="260"/>
      <c r="X250" s="260"/>
      <c r="Y250" s="260"/>
      <c r="Z250" s="260"/>
      <c r="AA250" s="260"/>
      <c r="AB250" s="260"/>
      <c r="AC250" s="265"/>
      <c r="AD250" s="634"/>
      <c r="AE250" s="264">
        <f t="shared" ref="AE250:AH250" si="525">AE226*($S226*$P226+$T226*$Q226+$U226*$R226)</f>
        <v>0</v>
      </c>
      <c r="AF250" s="264">
        <f t="shared" si="525"/>
        <v>0</v>
      </c>
      <c r="AG250" s="264">
        <f t="shared" si="525"/>
        <v>0</v>
      </c>
      <c r="AH250" s="264">
        <f t="shared" si="525"/>
        <v>0</v>
      </c>
      <c r="AI250" s="264">
        <f t="shared" si="509"/>
        <v>0</v>
      </c>
      <c r="AJ250" s="264">
        <f t="shared" si="510"/>
        <v>0</v>
      </c>
      <c r="AK250" s="264">
        <f t="shared" si="511"/>
        <v>0</v>
      </c>
      <c r="AL250" s="264">
        <f t="shared" si="512"/>
        <v>0</v>
      </c>
      <c r="AM250" s="264">
        <f t="shared" si="513"/>
        <v>0</v>
      </c>
      <c r="AN250" s="640">
        <f t="shared" si="514"/>
        <v>0</v>
      </c>
      <c r="AO250" s="264">
        <f t="shared" si="515"/>
        <v>0</v>
      </c>
      <c r="AP250" s="640">
        <f t="shared" si="516"/>
        <v>0</v>
      </c>
      <c r="AQ250" s="264"/>
      <c r="AR250" s="264" t="str">
        <f>VLOOKUP($I250,TableInputsData[],ReadMe!$M$3,FALSE)&amp;"  |  "&amp;VLOOKUP($K250,TableInputsData[],ReadMe!$M$3,FALSE)</f>
        <v>PRODUIT 06  |  DEPENSES SUR ACHATS</v>
      </c>
      <c r="AS250" s="264" t="b">
        <f t="shared" si="517"/>
        <v>1</v>
      </c>
      <c r="AT250" s="294"/>
    </row>
    <row r="251" spans="1:46" ht="13" hidden="1" x14ac:dyDescent="0.2">
      <c r="A251" s="294"/>
      <c r="B251" s="925"/>
      <c r="C251" s="272">
        <v>244</v>
      </c>
      <c r="D251" s="250">
        <f t="shared" si="466"/>
        <v>0</v>
      </c>
      <c r="E251" s="251"/>
      <c r="F251" s="248" t="str">
        <f t="shared" ref="F251:F258" si="526">F227</f>
        <v>YEAR-2</v>
      </c>
      <c r="G251" s="250">
        <f>VLOOKUP(F251,TableInputsData[],$G$6,FALSE)</f>
        <v>2023</v>
      </c>
      <c r="H251" s="250" t="str">
        <f t="shared" si="467"/>
        <v>PRODUCT</v>
      </c>
      <c r="I251" s="248" t="str">
        <f t="shared" si="467"/>
        <v>PRODUCT 06</v>
      </c>
      <c r="J251" s="248" t="str">
        <f>VLOOKUP(I251,TableInputsData[],$J$6,FALSE)</f>
        <v>-</v>
      </c>
      <c r="K251" s="248" t="s">
        <v>532</v>
      </c>
      <c r="L251" s="256"/>
      <c r="M251" s="256"/>
      <c r="N251" s="256"/>
      <c r="O251" s="266"/>
      <c r="P251" s="261"/>
      <c r="Q251" s="261"/>
      <c r="R251" s="261"/>
      <c r="S251" s="629"/>
      <c r="T251" s="629"/>
      <c r="U251" s="629"/>
      <c r="V251" s="629"/>
      <c r="W251" s="261"/>
      <c r="X251" s="261"/>
      <c r="Y251" s="261"/>
      <c r="Z251" s="261"/>
      <c r="AA251" s="261"/>
      <c r="AB251" s="261"/>
      <c r="AC251" s="266"/>
      <c r="AD251" s="633"/>
      <c r="AE251" s="264">
        <f>IF(AE219=0,0,AE243/AE219)</f>
        <v>0</v>
      </c>
      <c r="AF251" s="264">
        <f t="shared" ref="AF251:AI251" si="527">IF(AF219=0,0,AF243/AF219)</f>
        <v>0</v>
      </c>
      <c r="AG251" s="264">
        <f t="shared" si="527"/>
        <v>0</v>
      </c>
      <c r="AH251" s="264">
        <f t="shared" si="527"/>
        <v>0</v>
      </c>
      <c r="AI251" s="264">
        <f t="shared" si="527"/>
        <v>0</v>
      </c>
      <c r="AJ251" s="264">
        <f>IF(AJ219=0,0,AJ243/AJ219)</f>
        <v>0</v>
      </c>
      <c r="AK251" s="264">
        <f t="shared" ref="AK251:AL251" si="528">IF(AK219=0,0,AK243/AK219)</f>
        <v>0</v>
      </c>
      <c r="AL251" s="264">
        <f t="shared" si="528"/>
        <v>0</v>
      </c>
      <c r="AM251" s="264">
        <f>IF(AM219=0,0,AM243/AM219)</f>
        <v>0</v>
      </c>
      <c r="AN251" s="260"/>
      <c r="AO251" s="264">
        <f t="shared" ref="AO251" si="529">IF(AO219=0,0,AO243/AO219)</f>
        <v>0</v>
      </c>
      <c r="AP251" s="260"/>
      <c r="AQ251" s="264"/>
      <c r="AR251" s="264" t="str">
        <f>VLOOKUP($I251,TableInputsData[],ReadMe!$M$3,FALSE)&amp;"  |  "&amp;VLOOKUP($K251,TableInputsData[],ReadMe!$M$3,FALSE)</f>
        <v>PRODUIT 06  |  PRIX MOYEN D'ACHAT PAR PRODUIT/SERVICE</v>
      </c>
      <c r="AS251" s="264"/>
      <c r="AT251" s="294"/>
    </row>
    <row r="252" spans="1:46" ht="13" hidden="1" x14ac:dyDescent="0.2">
      <c r="A252" s="294"/>
      <c r="B252" s="925"/>
      <c r="C252" s="272">
        <v>245</v>
      </c>
      <c r="D252" s="250">
        <f t="shared" si="466"/>
        <v>0</v>
      </c>
      <c r="E252" s="251"/>
      <c r="F252" s="248" t="str">
        <f t="shared" si="526"/>
        <v>YEAR-1</v>
      </c>
      <c r="G252" s="250">
        <f>VLOOKUP(F252,TableInputsData[],$G$6,FALSE)</f>
        <v>2024</v>
      </c>
      <c r="H252" s="250" t="str">
        <f t="shared" si="467"/>
        <v>PRODUCT</v>
      </c>
      <c r="I252" s="248" t="str">
        <f t="shared" si="467"/>
        <v>PRODUCT 06</v>
      </c>
      <c r="J252" s="248" t="str">
        <f>VLOOKUP(I252,TableInputsData[],$J$6,FALSE)</f>
        <v>-</v>
      </c>
      <c r="K252" s="248" t="str">
        <f>K251</f>
        <v>AVERAGE COST OF GOODS SOLD PER UNIT</v>
      </c>
      <c r="L252" s="256"/>
      <c r="M252" s="256"/>
      <c r="N252" s="256"/>
      <c r="O252" s="266"/>
      <c r="P252" s="261"/>
      <c r="Q252" s="261"/>
      <c r="R252" s="261"/>
      <c r="S252" s="629"/>
      <c r="T252" s="629"/>
      <c r="U252" s="629"/>
      <c r="V252" s="629"/>
      <c r="W252" s="261"/>
      <c r="X252" s="261"/>
      <c r="Y252" s="261"/>
      <c r="Z252" s="261"/>
      <c r="AA252" s="261"/>
      <c r="AB252" s="261"/>
      <c r="AC252" s="266"/>
      <c r="AD252" s="633"/>
      <c r="AE252" s="264">
        <f t="shared" ref="AE252:AL252" si="530">IF(AE220=0,0,AE244/AE220)</f>
        <v>0</v>
      </c>
      <c r="AF252" s="264">
        <f t="shared" si="530"/>
        <v>0</v>
      </c>
      <c r="AG252" s="264">
        <f t="shared" si="530"/>
        <v>0</v>
      </c>
      <c r="AH252" s="264">
        <f t="shared" si="530"/>
        <v>0</v>
      </c>
      <c r="AI252" s="264">
        <f t="shared" si="530"/>
        <v>0</v>
      </c>
      <c r="AJ252" s="264">
        <f t="shared" si="530"/>
        <v>0</v>
      </c>
      <c r="AK252" s="264">
        <f t="shared" si="530"/>
        <v>0</v>
      </c>
      <c r="AL252" s="264">
        <f t="shared" si="530"/>
        <v>0</v>
      </c>
      <c r="AM252" s="264">
        <f>IF(AM220=0,0,AM244/AM220)</f>
        <v>0</v>
      </c>
      <c r="AN252" s="260"/>
      <c r="AO252" s="264">
        <f>IF(AO220=0,0,AO244/AO220)</f>
        <v>0</v>
      </c>
      <c r="AP252" s="260"/>
      <c r="AQ252" s="264"/>
      <c r="AR252" s="264" t="str">
        <f>VLOOKUP($I252,TableInputsData[],ReadMe!$M$3,FALSE)&amp;"  |  "&amp;VLOOKUP($K252,TableInputsData[],ReadMe!$M$3,FALSE)</f>
        <v>PRODUIT 06  |  PRIX MOYEN D'ACHAT PAR PRODUIT/SERVICE</v>
      </c>
      <c r="AS252" s="264"/>
      <c r="AT252" s="294"/>
    </row>
    <row r="253" spans="1:46" ht="13" hidden="1" x14ac:dyDescent="0.2">
      <c r="A253" s="294"/>
      <c r="B253" s="925"/>
      <c r="C253" s="272">
        <v>246</v>
      </c>
      <c r="D253" s="250">
        <f t="shared" si="466"/>
        <v>0</v>
      </c>
      <c r="E253" s="251"/>
      <c r="F253" s="248" t="str">
        <f t="shared" si="526"/>
        <v>CURRENT YEAR</v>
      </c>
      <c r="G253" s="250">
        <f>VLOOKUP(F253,TableInputsData[],$G$6,FALSE)</f>
        <v>2025</v>
      </c>
      <c r="H253" s="250" t="str">
        <f t="shared" si="467"/>
        <v>PRODUCT</v>
      </c>
      <c r="I253" s="248" t="str">
        <f t="shared" si="467"/>
        <v>PRODUCT 06</v>
      </c>
      <c r="J253" s="248" t="str">
        <f>VLOOKUP(I253,TableInputsData[],$J$6,FALSE)</f>
        <v>-</v>
      </c>
      <c r="K253" s="248" t="str">
        <f t="shared" ref="K253:K258" si="531">K252</f>
        <v>AVERAGE COST OF GOODS SOLD PER UNIT</v>
      </c>
      <c r="L253" s="256"/>
      <c r="M253" s="256"/>
      <c r="N253" s="256"/>
      <c r="O253" s="266"/>
      <c r="P253" s="261"/>
      <c r="Q253" s="261"/>
      <c r="R253" s="261"/>
      <c r="S253" s="629"/>
      <c r="T253" s="629"/>
      <c r="U253" s="629"/>
      <c r="V253" s="629"/>
      <c r="W253" s="261"/>
      <c r="X253" s="261"/>
      <c r="Y253" s="261"/>
      <c r="Z253" s="261"/>
      <c r="AA253" s="261"/>
      <c r="AB253" s="261"/>
      <c r="AC253" s="266"/>
      <c r="AD253" s="633"/>
      <c r="AE253" s="264">
        <f t="shared" ref="AE253:AL253" si="532">IF(AE221=0,0,AE245/AE221)</f>
        <v>0</v>
      </c>
      <c r="AF253" s="264">
        <f t="shared" si="532"/>
        <v>0</v>
      </c>
      <c r="AG253" s="264">
        <f t="shared" si="532"/>
        <v>0</v>
      </c>
      <c r="AH253" s="264">
        <f t="shared" si="532"/>
        <v>0</v>
      </c>
      <c r="AI253" s="264">
        <f t="shared" si="532"/>
        <v>0</v>
      </c>
      <c r="AJ253" s="264">
        <f t="shared" si="532"/>
        <v>0</v>
      </c>
      <c r="AK253" s="264">
        <f t="shared" si="532"/>
        <v>0</v>
      </c>
      <c r="AL253" s="264">
        <f t="shared" si="532"/>
        <v>0</v>
      </c>
      <c r="AM253" s="264">
        <f>IF(AM221=0,0,AM245/AM221)</f>
        <v>0</v>
      </c>
      <c r="AN253" s="260"/>
      <c r="AO253" s="264">
        <f>IF(AO221=0,0,AO245/AO221)</f>
        <v>0</v>
      </c>
      <c r="AP253" s="260"/>
      <c r="AQ253" s="264"/>
      <c r="AR253" s="264" t="str">
        <f>VLOOKUP($I253,TableInputsData[],ReadMe!$M$3,FALSE)&amp;"  |  "&amp;VLOOKUP($K253,TableInputsData[],ReadMe!$M$3,FALSE)</f>
        <v>PRODUIT 06  |  PRIX MOYEN D'ACHAT PAR PRODUIT/SERVICE</v>
      </c>
      <c r="AS253" s="264"/>
      <c r="AT253" s="294"/>
    </row>
    <row r="254" spans="1:46" ht="13" hidden="1" x14ac:dyDescent="0.2">
      <c r="A254" s="294"/>
      <c r="B254" s="925"/>
      <c r="C254" s="272">
        <v>247</v>
      </c>
      <c r="D254" s="250">
        <f t="shared" si="466"/>
        <v>0</v>
      </c>
      <c r="E254" s="251"/>
      <c r="F254" s="248" t="str">
        <f t="shared" si="526"/>
        <v>YEAR2</v>
      </c>
      <c r="G254" s="250">
        <f>VLOOKUP(F254,TableInputsData[],$G$6,FALSE)</f>
        <v>2026</v>
      </c>
      <c r="H254" s="250" t="str">
        <f t="shared" si="467"/>
        <v>PRODUCT</v>
      </c>
      <c r="I254" s="248" t="str">
        <f t="shared" si="467"/>
        <v>PRODUCT 06</v>
      </c>
      <c r="J254" s="248" t="str">
        <f>VLOOKUP(I254,TableInputsData[],$J$6,FALSE)</f>
        <v>-</v>
      </c>
      <c r="K254" s="248" t="str">
        <f t="shared" si="531"/>
        <v>AVERAGE COST OF GOODS SOLD PER UNIT</v>
      </c>
      <c r="L254" s="256"/>
      <c r="M254" s="256"/>
      <c r="N254" s="256"/>
      <c r="O254" s="266"/>
      <c r="P254" s="261"/>
      <c r="Q254" s="261"/>
      <c r="R254" s="261"/>
      <c r="S254" s="629"/>
      <c r="T254" s="629"/>
      <c r="U254" s="629"/>
      <c r="V254" s="629"/>
      <c r="W254" s="261"/>
      <c r="X254" s="261"/>
      <c r="Y254" s="261"/>
      <c r="Z254" s="261"/>
      <c r="AA254" s="261"/>
      <c r="AB254" s="261"/>
      <c r="AC254" s="266"/>
      <c r="AD254" s="633"/>
      <c r="AE254" s="264">
        <f t="shared" ref="AE254:AM254" si="533">IF(AE222=0,0,AE246/AE222)</f>
        <v>0</v>
      </c>
      <c r="AF254" s="264">
        <f t="shared" si="533"/>
        <v>0</v>
      </c>
      <c r="AG254" s="264">
        <f t="shared" si="533"/>
        <v>0</v>
      </c>
      <c r="AH254" s="264">
        <f t="shared" si="533"/>
        <v>0</v>
      </c>
      <c r="AI254" s="264">
        <f t="shared" si="533"/>
        <v>0</v>
      </c>
      <c r="AJ254" s="264">
        <f t="shared" si="533"/>
        <v>0</v>
      </c>
      <c r="AK254" s="264">
        <f t="shared" si="533"/>
        <v>0</v>
      </c>
      <c r="AL254" s="264">
        <f t="shared" si="533"/>
        <v>0</v>
      </c>
      <c r="AM254" s="264">
        <f t="shared" si="533"/>
        <v>0</v>
      </c>
      <c r="AN254" s="260"/>
      <c r="AO254" s="264">
        <f t="shared" ref="AO254" si="534">IF(AO222=0,0,AO246/AO222)</f>
        <v>0</v>
      </c>
      <c r="AP254" s="260"/>
      <c r="AQ254" s="264"/>
      <c r="AR254" s="264" t="str">
        <f>VLOOKUP($I254,TableInputsData[],ReadMe!$M$3,FALSE)&amp;"  |  "&amp;VLOOKUP($K254,TableInputsData[],ReadMe!$M$3,FALSE)</f>
        <v>PRODUIT 06  |  PRIX MOYEN D'ACHAT PAR PRODUIT/SERVICE</v>
      </c>
      <c r="AS254" s="264"/>
      <c r="AT254" s="294"/>
    </row>
    <row r="255" spans="1:46" ht="13" hidden="1" x14ac:dyDescent="0.2">
      <c r="A255" s="294"/>
      <c r="B255" s="925"/>
      <c r="C255" s="272">
        <v>248</v>
      </c>
      <c r="D255" s="250">
        <f t="shared" si="466"/>
        <v>0</v>
      </c>
      <c r="E255" s="251"/>
      <c r="F255" s="248" t="str">
        <f t="shared" si="526"/>
        <v>YEAR3</v>
      </c>
      <c r="G255" s="250">
        <f>VLOOKUP(F255,TableInputsData[],$G$6,FALSE)</f>
        <v>2027</v>
      </c>
      <c r="H255" s="250" t="str">
        <f t="shared" si="467"/>
        <v>PRODUCT</v>
      </c>
      <c r="I255" s="248" t="str">
        <f t="shared" si="467"/>
        <v>PRODUCT 06</v>
      </c>
      <c r="J255" s="248" t="str">
        <f>VLOOKUP(I255,TableInputsData[],$J$6,FALSE)</f>
        <v>-</v>
      </c>
      <c r="K255" s="248" t="str">
        <f t="shared" si="531"/>
        <v>AVERAGE COST OF GOODS SOLD PER UNIT</v>
      </c>
      <c r="L255" s="256"/>
      <c r="M255" s="256"/>
      <c r="N255" s="256"/>
      <c r="O255" s="266"/>
      <c r="P255" s="261"/>
      <c r="Q255" s="261"/>
      <c r="R255" s="261"/>
      <c r="S255" s="629"/>
      <c r="T255" s="629"/>
      <c r="U255" s="629"/>
      <c r="V255" s="629"/>
      <c r="W255" s="261"/>
      <c r="X255" s="261"/>
      <c r="Y255" s="261"/>
      <c r="Z255" s="261"/>
      <c r="AA255" s="261"/>
      <c r="AB255" s="261"/>
      <c r="AC255" s="266"/>
      <c r="AD255" s="633"/>
      <c r="AE255" s="264">
        <f t="shared" ref="AE255:AM255" si="535">IF(AE223=0,0,AE247/AE223)</f>
        <v>0</v>
      </c>
      <c r="AF255" s="264">
        <f t="shared" si="535"/>
        <v>0</v>
      </c>
      <c r="AG255" s="264">
        <f t="shared" si="535"/>
        <v>0</v>
      </c>
      <c r="AH255" s="264">
        <f t="shared" si="535"/>
        <v>0</v>
      </c>
      <c r="AI255" s="264">
        <f t="shared" si="535"/>
        <v>0</v>
      </c>
      <c r="AJ255" s="264">
        <f t="shared" si="535"/>
        <v>0</v>
      </c>
      <c r="AK255" s="264">
        <f t="shared" si="535"/>
        <v>0</v>
      </c>
      <c r="AL255" s="264">
        <f t="shared" si="535"/>
        <v>0</v>
      </c>
      <c r="AM255" s="264">
        <f t="shared" si="535"/>
        <v>0</v>
      </c>
      <c r="AN255" s="260"/>
      <c r="AO255" s="264">
        <f t="shared" ref="AO255" si="536">IF(AO223=0,0,AO247/AO223)</f>
        <v>0</v>
      </c>
      <c r="AP255" s="260"/>
      <c r="AQ255" s="264"/>
      <c r="AR255" s="264" t="str">
        <f>VLOOKUP($I255,TableInputsData[],ReadMe!$M$3,FALSE)&amp;"  |  "&amp;VLOOKUP($K255,TableInputsData[],ReadMe!$M$3,FALSE)</f>
        <v>PRODUIT 06  |  PRIX MOYEN D'ACHAT PAR PRODUIT/SERVICE</v>
      </c>
      <c r="AS255" s="264"/>
      <c r="AT255" s="294"/>
    </row>
    <row r="256" spans="1:46" ht="13" hidden="1" x14ac:dyDescent="0.2">
      <c r="A256" s="294"/>
      <c r="B256" s="925"/>
      <c r="C256" s="272">
        <v>249</v>
      </c>
      <c r="D256" s="250">
        <f t="shared" si="466"/>
        <v>0</v>
      </c>
      <c r="E256" s="251"/>
      <c r="F256" s="248" t="str">
        <f t="shared" si="526"/>
        <v>YEAR4</v>
      </c>
      <c r="G256" s="250">
        <f>VLOOKUP(F256,TableInputsData[],$G$6,FALSE)</f>
        <v>2028</v>
      </c>
      <c r="H256" s="250" t="str">
        <f t="shared" si="467"/>
        <v>PRODUCT</v>
      </c>
      <c r="I256" s="248" t="str">
        <f t="shared" si="467"/>
        <v>PRODUCT 06</v>
      </c>
      <c r="J256" s="248" t="str">
        <f>VLOOKUP(I256,TableInputsData[],$J$6,FALSE)</f>
        <v>-</v>
      </c>
      <c r="K256" s="248" t="str">
        <f t="shared" si="531"/>
        <v>AVERAGE COST OF GOODS SOLD PER UNIT</v>
      </c>
      <c r="L256" s="256"/>
      <c r="M256" s="256"/>
      <c r="N256" s="256"/>
      <c r="O256" s="266"/>
      <c r="P256" s="261"/>
      <c r="Q256" s="261"/>
      <c r="R256" s="261"/>
      <c r="S256" s="629"/>
      <c r="T256" s="629"/>
      <c r="U256" s="629"/>
      <c r="V256" s="629"/>
      <c r="W256" s="261"/>
      <c r="X256" s="261"/>
      <c r="Y256" s="261"/>
      <c r="Z256" s="261"/>
      <c r="AA256" s="261"/>
      <c r="AB256" s="261"/>
      <c r="AC256" s="266"/>
      <c r="AD256" s="633"/>
      <c r="AE256" s="264">
        <f t="shared" ref="AE256:AM256" si="537">IF(AE224=0,0,AE248/AE224)</f>
        <v>0</v>
      </c>
      <c r="AF256" s="264">
        <f t="shared" si="537"/>
        <v>0</v>
      </c>
      <c r="AG256" s="264">
        <f t="shared" si="537"/>
        <v>0</v>
      </c>
      <c r="AH256" s="264">
        <f t="shared" si="537"/>
        <v>0</v>
      </c>
      <c r="AI256" s="264">
        <f t="shared" si="537"/>
        <v>0</v>
      </c>
      <c r="AJ256" s="264">
        <f t="shared" si="537"/>
        <v>0</v>
      </c>
      <c r="AK256" s="264">
        <f t="shared" si="537"/>
        <v>0</v>
      </c>
      <c r="AL256" s="264">
        <f t="shared" si="537"/>
        <v>0</v>
      </c>
      <c r="AM256" s="264">
        <f t="shared" si="537"/>
        <v>0</v>
      </c>
      <c r="AN256" s="260"/>
      <c r="AO256" s="264">
        <f t="shared" ref="AO256" si="538">IF(AO224=0,0,AO248/AO224)</f>
        <v>0</v>
      </c>
      <c r="AP256" s="260"/>
      <c r="AQ256" s="264"/>
      <c r="AR256" s="264" t="str">
        <f>VLOOKUP($I256,TableInputsData[],ReadMe!$M$3,FALSE)&amp;"  |  "&amp;VLOOKUP($K256,TableInputsData[],ReadMe!$M$3,FALSE)</f>
        <v>PRODUIT 06  |  PRIX MOYEN D'ACHAT PAR PRODUIT/SERVICE</v>
      </c>
      <c r="AS256" s="264"/>
      <c r="AT256" s="294"/>
    </row>
    <row r="257" spans="1:46" ht="13" hidden="1" x14ac:dyDescent="0.2">
      <c r="A257" s="294"/>
      <c r="B257" s="925"/>
      <c r="C257" s="272">
        <v>250</v>
      </c>
      <c r="D257" s="250">
        <f t="shared" si="466"/>
        <v>0</v>
      </c>
      <c r="E257" s="251"/>
      <c r="F257" s="248" t="str">
        <f t="shared" si="526"/>
        <v>YEAR5</v>
      </c>
      <c r="G257" s="250">
        <f>VLOOKUP(F257,TableInputsData[],$G$6,FALSE)</f>
        <v>2029</v>
      </c>
      <c r="H257" s="250" t="str">
        <f t="shared" si="467"/>
        <v>PRODUCT</v>
      </c>
      <c r="I257" s="248" t="str">
        <f t="shared" si="467"/>
        <v>PRODUCT 06</v>
      </c>
      <c r="J257" s="248" t="str">
        <f>VLOOKUP(I257,TableInputsData[],$J$6,FALSE)</f>
        <v>-</v>
      </c>
      <c r="K257" s="248" t="str">
        <f t="shared" si="531"/>
        <v>AVERAGE COST OF GOODS SOLD PER UNIT</v>
      </c>
      <c r="L257" s="256"/>
      <c r="M257" s="256"/>
      <c r="N257" s="256"/>
      <c r="O257" s="266"/>
      <c r="P257" s="261"/>
      <c r="Q257" s="261"/>
      <c r="R257" s="261"/>
      <c r="S257" s="629"/>
      <c r="T257" s="629"/>
      <c r="U257" s="629"/>
      <c r="V257" s="629"/>
      <c r="W257" s="261"/>
      <c r="X257" s="261"/>
      <c r="Y257" s="261"/>
      <c r="Z257" s="261"/>
      <c r="AA257" s="261"/>
      <c r="AB257" s="261"/>
      <c r="AC257" s="266"/>
      <c r="AD257" s="633"/>
      <c r="AE257" s="264">
        <f t="shared" ref="AE257:AM257" si="539">IF(AE225=0,0,AE249/AE225)</f>
        <v>0</v>
      </c>
      <c r="AF257" s="264">
        <f t="shared" si="539"/>
        <v>0</v>
      </c>
      <c r="AG257" s="264">
        <f t="shared" si="539"/>
        <v>0</v>
      </c>
      <c r="AH257" s="264">
        <f t="shared" si="539"/>
        <v>0</v>
      </c>
      <c r="AI257" s="264">
        <f t="shared" si="539"/>
        <v>0</v>
      </c>
      <c r="AJ257" s="264">
        <f t="shared" si="539"/>
        <v>0</v>
      </c>
      <c r="AK257" s="264">
        <f t="shared" si="539"/>
        <v>0</v>
      </c>
      <c r="AL257" s="264">
        <f t="shared" si="539"/>
        <v>0</v>
      </c>
      <c r="AM257" s="264">
        <f t="shared" si="539"/>
        <v>0</v>
      </c>
      <c r="AN257" s="260"/>
      <c r="AO257" s="264">
        <f t="shared" ref="AO257" si="540">IF(AO225=0,0,AO249/AO225)</f>
        <v>0</v>
      </c>
      <c r="AP257" s="260"/>
      <c r="AQ257" s="264"/>
      <c r="AR257" s="264" t="str">
        <f>VLOOKUP($I257,TableInputsData[],ReadMe!$M$3,FALSE)&amp;"  |  "&amp;VLOOKUP($K257,TableInputsData[],ReadMe!$M$3,FALSE)</f>
        <v>PRODUIT 06  |  PRIX MOYEN D'ACHAT PAR PRODUIT/SERVICE</v>
      </c>
      <c r="AS257" s="264"/>
      <c r="AT257" s="294"/>
    </row>
    <row r="258" spans="1:46" ht="13" hidden="1" x14ac:dyDescent="0.2">
      <c r="A258" s="294"/>
      <c r="B258" s="925"/>
      <c r="C258" s="272">
        <v>251</v>
      </c>
      <c r="D258" s="250">
        <f t="shared" si="466"/>
        <v>0</v>
      </c>
      <c r="E258" s="251"/>
      <c r="F258" s="248" t="str">
        <f t="shared" si="526"/>
        <v>YEAR6</v>
      </c>
      <c r="G258" s="250">
        <f>VLOOKUP(F258,TableInputsData[],$G$6,FALSE)</f>
        <v>2030</v>
      </c>
      <c r="H258" s="250" t="str">
        <f t="shared" si="467"/>
        <v>PRODUCT</v>
      </c>
      <c r="I258" s="248" t="str">
        <f t="shared" si="467"/>
        <v>PRODUCT 06</v>
      </c>
      <c r="J258" s="248" t="str">
        <f>VLOOKUP(I258,TableInputsData[],$J$6,FALSE)</f>
        <v>-</v>
      </c>
      <c r="K258" s="248" t="str">
        <f t="shared" si="531"/>
        <v>AVERAGE COST OF GOODS SOLD PER UNIT</v>
      </c>
      <c r="L258" s="256"/>
      <c r="M258" s="256"/>
      <c r="N258" s="256"/>
      <c r="O258" s="266"/>
      <c r="P258" s="261"/>
      <c r="Q258" s="261"/>
      <c r="R258" s="261"/>
      <c r="S258" s="629"/>
      <c r="T258" s="629"/>
      <c r="U258" s="629"/>
      <c r="V258" s="629"/>
      <c r="W258" s="261"/>
      <c r="X258" s="261"/>
      <c r="Y258" s="261"/>
      <c r="Z258" s="261"/>
      <c r="AA258" s="261"/>
      <c r="AB258" s="261"/>
      <c r="AC258" s="266"/>
      <c r="AD258" s="633"/>
      <c r="AE258" s="264">
        <f t="shared" ref="AE258:AM258" si="541">IF(AE226=0,0,AE250/AE226)</f>
        <v>0</v>
      </c>
      <c r="AF258" s="264">
        <f t="shared" si="541"/>
        <v>0</v>
      </c>
      <c r="AG258" s="264">
        <f t="shared" si="541"/>
        <v>0</v>
      </c>
      <c r="AH258" s="264">
        <f t="shared" si="541"/>
        <v>0</v>
      </c>
      <c r="AI258" s="264">
        <f t="shared" si="541"/>
        <v>0</v>
      </c>
      <c r="AJ258" s="264">
        <f t="shared" si="541"/>
        <v>0</v>
      </c>
      <c r="AK258" s="264">
        <f t="shared" si="541"/>
        <v>0</v>
      </c>
      <c r="AL258" s="264">
        <f t="shared" si="541"/>
        <v>0</v>
      </c>
      <c r="AM258" s="264">
        <f t="shared" si="541"/>
        <v>0</v>
      </c>
      <c r="AN258" s="260"/>
      <c r="AO258" s="264">
        <f t="shared" ref="AO258" si="542">IF(AO226=0,0,AO250/AO226)</f>
        <v>0</v>
      </c>
      <c r="AP258" s="260"/>
      <c r="AQ258" s="264"/>
      <c r="AR258" s="264" t="str">
        <f>VLOOKUP($I258,TableInputsData[],ReadMe!$M$3,FALSE)&amp;"  |  "&amp;VLOOKUP($K258,TableInputsData[],ReadMe!$M$3,FALSE)</f>
        <v>PRODUIT 06  |  PRIX MOYEN D'ACHAT PAR PRODUIT/SERVICE</v>
      </c>
      <c r="AS258" s="264"/>
      <c r="AT258" s="294"/>
    </row>
    <row r="259" spans="1:46" ht="13" x14ac:dyDescent="0.2">
      <c r="A259" s="294"/>
      <c r="B259" s="925"/>
      <c r="C259" s="273">
        <v>252</v>
      </c>
      <c r="D259" s="253">
        <v>0</v>
      </c>
      <c r="E259" s="253">
        <v>1</v>
      </c>
      <c r="F259" s="252"/>
      <c r="G259" s="253"/>
      <c r="H259" s="253"/>
      <c r="I259" s="252"/>
      <c r="J259" s="252"/>
      <c r="K259" s="252"/>
      <c r="L259" s="257"/>
      <c r="M259" s="257"/>
      <c r="N259" s="257"/>
      <c r="O259" s="267"/>
      <c r="P259" s="262"/>
      <c r="Q259" s="262"/>
      <c r="R259" s="262"/>
      <c r="S259" s="631"/>
      <c r="T259" s="631"/>
      <c r="U259" s="631"/>
      <c r="V259" s="631"/>
      <c r="W259" s="262"/>
      <c r="X259" s="262"/>
      <c r="Y259" s="262"/>
      <c r="Z259" s="262"/>
      <c r="AA259" s="262"/>
      <c r="AB259" s="262"/>
      <c r="AC259" s="267"/>
      <c r="AD259" s="635"/>
      <c r="AE259" s="270"/>
      <c r="AF259" s="270"/>
      <c r="AG259" s="270"/>
      <c r="AH259" s="270"/>
      <c r="AI259" s="270"/>
      <c r="AJ259" s="270"/>
      <c r="AK259" s="270"/>
      <c r="AL259" s="270"/>
      <c r="AM259" s="270"/>
      <c r="AN259" s="643"/>
      <c r="AO259" s="270"/>
      <c r="AP259" s="270"/>
      <c r="AQ259" s="270"/>
      <c r="AR259" s="270"/>
      <c r="AS259" s="270"/>
      <c r="AT259" s="294"/>
    </row>
    <row r="260" spans="1:46" ht="13" hidden="1" x14ac:dyDescent="0.2">
      <c r="A260" s="294"/>
      <c r="B260" s="924" t="str">
        <f>I261&amp;"___"</f>
        <v>PRODUCT 07___</v>
      </c>
      <c r="C260" s="271">
        <v>253</v>
      </c>
      <c r="D260" s="250">
        <v>0</v>
      </c>
      <c r="E260" s="250"/>
      <c r="F260" s="248"/>
      <c r="G260" s="250"/>
      <c r="H260" s="250"/>
      <c r="I260" s="248"/>
      <c r="J260" s="248"/>
      <c r="K260" s="248"/>
      <c r="L260" s="254"/>
      <c r="M260" s="254"/>
      <c r="N260" s="254"/>
      <c r="O260" s="264"/>
      <c r="P260" s="259"/>
      <c r="Q260" s="259"/>
      <c r="R260" s="259"/>
      <c r="S260" s="628"/>
      <c r="T260" s="628"/>
      <c r="U260" s="628"/>
      <c r="V260" s="628"/>
      <c r="W260" s="259"/>
      <c r="X260" s="259"/>
      <c r="Y260" s="259"/>
      <c r="Z260" s="259"/>
      <c r="AA260" s="259"/>
      <c r="AB260" s="259"/>
      <c r="AC260" s="264"/>
      <c r="AD260" s="609"/>
      <c r="AE260" s="269"/>
      <c r="AF260" s="269"/>
      <c r="AG260" s="269"/>
      <c r="AH260" s="269"/>
      <c r="AI260" s="269"/>
      <c r="AJ260" s="269"/>
      <c r="AK260" s="269"/>
      <c r="AL260" s="269"/>
      <c r="AM260" s="269"/>
      <c r="AN260" s="642"/>
      <c r="AO260" s="269"/>
      <c r="AP260" s="269"/>
      <c r="AQ260" s="269"/>
      <c r="AR260" s="269"/>
      <c r="AS260" s="269"/>
      <c r="AT260" s="294"/>
    </row>
    <row r="261" spans="1:46" ht="13" x14ac:dyDescent="0.2">
      <c r="A261" s="294"/>
      <c r="B261" s="924"/>
      <c r="C261" s="271">
        <v>254</v>
      </c>
      <c r="D261" s="250">
        <f>VLOOKUP($I261,TableInputsData[],$D$6,FALSE)</f>
        <v>0</v>
      </c>
      <c r="E261" s="250">
        <v>1</v>
      </c>
      <c r="F261" s="248" t="s">
        <v>392</v>
      </c>
      <c r="G261" s="250">
        <f>VLOOKUP(F261,TableInputsData[],$G$6,FALSE)</f>
        <v>2023</v>
      </c>
      <c r="H261" s="250" t="s">
        <v>588</v>
      </c>
      <c r="I261" s="248" t="s">
        <v>543</v>
      </c>
      <c r="J261" s="248" t="str">
        <f>VLOOKUP(I261,TableInputsData[],$J$6,FALSE)</f>
        <v>-</v>
      </c>
      <c r="K261" s="248" t="s">
        <v>261</v>
      </c>
      <c r="L261" s="499">
        <v>1000</v>
      </c>
      <c r="M261" s="499">
        <v>0</v>
      </c>
      <c r="N261" s="499">
        <v>0</v>
      </c>
      <c r="O261" s="264">
        <f t="shared" ref="O261:O268" si="543">$L261*$P261+$M261*$Q261+$N261*$R261</f>
        <v>1000</v>
      </c>
      <c r="P261" s="500">
        <v>1</v>
      </c>
      <c r="Q261" s="500">
        <v>0</v>
      </c>
      <c r="R261" s="259">
        <f>1-$P261-$Q261</f>
        <v>0</v>
      </c>
      <c r="S261" s="626">
        <v>500</v>
      </c>
      <c r="T261" s="626">
        <v>0</v>
      </c>
      <c r="U261" s="626">
        <v>0</v>
      </c>
      <c r="V261" s="628">
        <f>($L261*$P261*$S261+$M261*$Q261*$T261+$N261*$R261*$U261)/$O261</f>
        <v>500</v>
      </c>
      <c r="W261" s="500">
        <v>1</v>
      </c>
      <c r="X261" s="500">
        <v>1</v>
      </c>
      <c r="Y261" s="500">
        <v>1</v>
      </c>
      <c r="Z261" s="259">
        <f t="shared" ref="Z261:Z268" si="544">1-$W261</f>
        <v>0</v>
      </c>
      <c r="AA261" s="259">
        <f t="shared" ref="AA261:AA268" si="545">1-$X261</f>
        <v>0</v>
      </c>
      <c r="AB261" s="259">
        <f t="shared" ref="AB261:AB268" si="546">1-$Y261</f>
        <v>0</v>
      </c>
      <c r="AC261" s="628">
        <f>AM293</f>
        <v>0</v>
      </c>
      <c r="AD261" s="628">
        <f>AO293</f>
        <v>0</v>
      </c>
      <c r="AE261" s="501">
        <v>0</v>
      </c>
      <c r="AF261" s="501">
        <v>0</v>
      </c>
      <c r="AG261" s="501">
        <v>0</v>
      </c>
      <c r="AH261" s="501">
        <v>0</v>
      </c>
      <c r="AI261" s="264">
        <f t="shared" ref="AI261:AI264" si="547">$AE261+$AF261+$AG261+$AH261</f>
        <v>0</v>
      </c>
      <c r="AJ261" s="264">
        <f t="shared" ref="AJ261:AJ268" si="548">$AI261*$P261</f>
        <v>0</v>
      </c>
      <c r="AK261" s="264">
        <f t="shared" ref="AK261:AK268" si="549">$AI261*$Q261</f>
        <v>0</v>
      </c>
      <c r="AL261" s="264">
        <f t="shared" ref="AL261:AL268" si="550">$AI261*$R261</f>
        <v>0</v>
      </c>
      <c r="AM261" s="264">
        <f t="shared" ref="AM261:AM268" si="551">$AJ261*$W261+$AK261*$X261+$AL261*$Y261</f>
        <v>0</v>
      </c>
      <c r="AN261" s="640">
        <f>IF(AI261=0,0,AM261/AI261)</f>
        <v>0</v>
      </c>
      <c r="AO261" s="264">
        <f t="shared" ref="AO261:AO268" si="552">$AJ261*$Z261+$AK261*$AA261+$AL261*$AB261</f>
        <v>0</v>
      </c>
      <c r="AP261" s="640">
        <f t="shared" ref="AP261:AP276" si="553">IF(AI261=0,0,AO261/AI261)</f>
        <v>0</v>
      </c>
      <c r="AQ261" s="264" t="str">
        <f>VLOOKUP(I261,TableInputsData[],$AQ$6,FALSE)</f>
        <v>GAMME # : 1 + CANAL DE DISTRIBUTION # : 1</v>
      </c>
      <c r="AR261" s="264" t="str">
        <f>VLOOKUP($I261,TableInputsData[],ReadMe!$M$3,FALSE)&amp;"  |  "&amp;VLOOKUP($K261,TableInputsData[],ReadMe!$M$3,FALSE)</f>
        <v>PRODUIT 07  |  VOLUME</v>
      </c>
      <c r="AS261" s="264" t="b">
        <f t="shared" ref="AS261:AS268" si="554">AND(EXACT(ROUND(AI261,2),ROUND(AJ261+AK261+AL261,2)),EXACT(ROUND(AI261,2),ROUND(AM261+AO261,2)),EXACT(SUM(P261:R261),1),IF(R261&lt;0,FALSE,TRUE),EXACT(SUM(W261:AB261),3),MIN(W261:Y261)&gt;=0, MAX(W261:Y261)&lt;=1)</f>
        <v>1</v>
      </c>
      <c r="AT261" s="294"/>
    </row>
    <row r="262" spans="1:46" ht="13" x14ac:dyDescent="0.2">
      <c r="A262" s="294"/>
      <c r="B262" s="924"/>
      <c r="C262" s="271">
        <v>255</v>
      </c>
      <c r="D262" s="250">
        <f>D261</f>
        <v>0</v>
      </c>
      <c r="E262" s="250">
        <v>1</v>
      </c>
      <c r="F262" s="248" t="s">
        <v>391</v>
      </c>
      <c r="G262" s="250">
        <f>VLOOKUP(F262,TableInputsData[],$G$6,FALSE)</f>
        <v>2024</v>
      </c>
      <c r="H262" s="250" t="str">
        <f>H261</f>
        <v>PRODUCT</v>
      </c>
      <c r="I262" s="248" t="str">
        <f>I261</f>
        <v>PRODUCT 07</v>
      </c>
      <c r="J262" s="248" t="str">
        <f>VLOOKUP(I262,TableInputsData[],$J$6,FALSE)</f>
        <v>-</v>
      </c>
      <c r="K262" s="248" t="str">
        <f>K261</f>
        <v>VOLUME</v>
      </c>
      <c r="L262" s="499">
        <v>1000</v>
      </c>
      <c r="M262" s="499">
        <v>0</v>
      </c>
      <c r="N262" s="499">
        <v>0</v>
      </c>
      <c r="O262" s="264">
        <f t="shared" si="543"/>
        <v>1000</v>
      </c>
      <c r="P262" s="500">
        <v>1</v>
      </c>
      <c r="Q262" s="500">
        <v>0</v>
      </c>
      <c r="R262" s="259">
        <f t="shared" ref="R262:R268" si="555">1-$P262-$Q262</f>
        <v>0</v>
      </c>
      <c r="S262" s="626">
        <v>500</v>
      </c>
      <c r="T262" s="626">
        <v>0</v>
      </c>
      <c r="U262" s="626">
        <v>0</v>
      </c>
      <c r="V262" s="628">
        <f t="shared" ref="V262:V268" si="556">($L262*$P262*$S262+$M262*$Q262*$T262+$N262*$R262*$U262)/$O262</f>
        <v>500</v>
      </c>
      <c r="W262" s="500">
        <v>1</v>
      </c>
      <c r="X262" s="500">
        <v>1</v>
      </c>
      <c r="Y262" s="500">
        <v>1</v>
      </c>
      <c r="Z262" s="259">
        <f t="shared" si="544"/>
        <v>0</v>
      </c>
      <c r="AA262" s="259">
        <f t="shared" si="545"/>
        <v>0</v>
      </c>
      <c r="AB262" s="259">
        <f t="shared" si="546"/>
        <v>0</v>
      </c>
      <c r="AC262" s="628">
        <f t="shared" ref="AC262:AC268" si="557">AM294</f>
        <v>0</v>
      </c>
      <c r="AD262" s="628">
        <f t="shared" ref="AD262:AD268" si="558">AO294</f>
        <v>0</v>
      </c>
      <c r="AE262" s="501">
        <v>0</v>
      </c>
      <c r="AF262" s="501">
        <v>0</v>
      </c>
      <c r="AG262" s="501">
        <v>0</v>
      </c>
      <c r="AH262" s="501">
        <v>0</v>
      </c>
      <c r="AI262" s="264">
        <f t="shared" si="547"/>
        <v>0</v>
      </c>
      <c r="AJ262" s="264">
        <f t="shared" si="548"/>
        <v>0</v>
      </c>
      <c r="AK262" s="264">
        <f t="shared" si="549"/>
        <v>0</v>
      </c>
      <c r="AL262" s="264">
        <f t="shared" si="550"/>
        <v>0</v>
      </c>
      <c r="AM262" s="264">
        <f t="shared" si="551"/>
        <v>0</v>
      </c>
      <c r="AN262" s="640">
        <f t="shared" ref="AN262:AN276" si="559">IF(AI262=0,0,AM262/AI262)</f>
        <v>0</v>
      </c>
      <c r="AO262" s="264">
        <f t="shared" si="552"/>
        <v>0</v>
      </c>
      <c r="AP262" s="640">
        <f t="shared" si="553"/>
        <v>0</v>
      </c>
      <c r="AQ262" s="501"/>
      <c r="AR262" s="264" t="str">
        <f>VLOOKUP($I262,TableInputsData[],ReadMe!$M$3,FALSE)&amp;"  |  "&amp;VLOOKUP($K262,TableInputsData[],ReadMe!$M$3,FALSE)</f>
        <v>PRODUIT 07  |  VOLUME</v>
      </c>
      <c r="AS262" s="264" t="b">
        <f t="shared" si="554"/>
        <v>1</v>
      </c>
      <c r="AT262" s="294"/>
    </row>
    <row r="263" spans="1:46" ht="13" x14ac:dyDescent="0.2">
      <c r="A263" s="294"/>
      <c r="B263" s="924"/>
      <c r="C263" s="271">
        <v>256</v>
      </c>
      <c r="D263" s="250">
        <f t="shared" ref="D263:D300" si="560">D262</f>
        <v>0</v>
      </c>
      <c r="E263" s="250">
        <v>1</v>
      </c>
      <c r="F263" s="248" t="s">
        <v>393</v>
      </c>
      <c r="G263" s="250">
        <f>VLOOKUP(F263,TableInputsData[],$G$6,FALSE)</f>
        <v>2025</v>
      </c>
      <c r="H263" s="250" t="str">
        <f t="shared" ref="H263:I300" si="561">H262</f>
        <v>PRODUCT</v>
      </c>
      <c r="I263" s="248" t="str">
        <f t="shared" si="561"/>
        <v>PRODUCT 07</v>
      </c>
      <c r="J263" s="248" t="str">
        <f>VLOOKUP(I263,TableInputsData[],$J$6,FALSE)</f>
        <v>-</v>
      </c>
      <c r="K263" s="248" t="str">
        <f t="shared" ref="K263:K268" si="562">K262</f>
        <v>VOLUME</v>
      </c>
      <c r="L263" s="499">
        <v>1000</v>
      </c>
      <c r="M263" s="499">
        <v>0</v>
      </c>
      <c r="N263" s="499">
        <v>0</v>
      </c>
      <c r="O263" s="264">
        <f t="shared" si="543"/>
        <v>1000</v>
      </c>
      <c r="P263" s="500">
        <v>1</v>
      </c>
      <c r="Q263" s="500">
        <v>0</v>
      </c>
      <c r="R263" s="259">
        <f t="shared" si="555"/>
        <v>0</v>
      </c>
      <c r="S263" s="626">
        <v>500</v>
      </c>
      <c r="T263" s="626">
        <v>0</v>
      </c>
      <c r="U263" s="626">
        <v>0</v>
      </c>
      <c r="V263" s="628">
        <f t="shared" si="556"/>
        <v>500</v>
      </c>
      <c r="W263" s="500">
        <v>1</v>
      </c>
      <c r="X263" s="500">
        <v>1</v>
      </c>
      <c r="Y263" s="500">
        <v>1</v>
      </c>
      <c r="Z263" s="259">
        <f t="shared" si="544"/>
        <v>0</v>
      </c>
      <c r="AA263" s="259">
        <f t="shared" si="545"/>
        <v>0</v>
      </c>
      <c r="AB263" s="259">
        <f t="shared" si="546"/>
        <v>0</v>
      </c>
      <c r="AC263" s="628">
        <f t="shared" si="557"/>
        <v>0</v>
      </c>
      <c r="AD263" s="628">
        <f t="shared" si="558"/>
        <v>0</v>
      </c>
      <c r="AE263" s="501">
        <v>0</v>
      </c>
      <c r="AF263" s="501">
        <v>0</v>
      </c>
      <c r="AG263" s="501">
        <v>0</v>
      </c>
      <c r="AH263" s="501">
        <v>0</v>
      </c>
      <c r="AI263" s="264">
        <f t="shared" si="547"/>
        <v>0</v>
      </c>
      <c r="AJ263" s="264">
        <f t="shared" si="548"/>
        <v>0</v>
      </c>
      <c r="AK263" s="264">
        <f t="shared" si="549"/>
        <v>0</v>
      </c>
      <c r="AL263" s="264">
        <f t="shared" si="550"/>
        <v>0</v>
      </c>
      <c r="AM263" s="264">
        <f t="shared" si="551"/>
        <v>0</v>
      </c>
      <c r="AN263" s="640">
        <f t="shared" si="559"/>
        <v>0</v>
      </c>
      <c r="AO263" s="264">
        <f t="shared" si="552"/>
        <v>0</v>
      </c>
      <c r="AP263" s="640">
        <f t="shared" si="553"/>
        <v>0</v>
      </c>
      <c r="AQ263" s="501"/>
      <c r="AR263" s="264" t="str">
        <f>VLOOKUP($I263,TableInputsData[],ReadMe!$M$3,FALSE)&amp;"  |  "&amp;VLOOKUP($K263,TableInputsData[],ReadMe!$M$3,FALSE)</f>
        <v>PRODUIT 07  |  VOLUME</v>
      </c>
      <c r="AS263" s="264" t="b">
        <f t="shared" si="554"/>
        <v>1</v>
      </c>
      <c r="AT263" s="294"/>
    </row>
    <row r="264" spans="1:46" ht="13" x14ac:dyDescent="0.2">
      <c r="A264" s="294"/>
      <c r="B264" s="924"/>
      <c r="C264" s="271">
        <v>257</v>
      </c>
      <c r="D264" s="250">
        <f t="shared" si="560"/>
        <v>0</v>
      </c>
      <c r="E264" s="250">
        <v>1</v>
      </c>
      <c r="F264" s="248" t="s">
        <v>396</v>
      </c>
      <c r="G264" s="250">
        <f>VLOOKUP(F264,TableInputsData[],$G$6,FALSE)</f>
        <v>2026</v>
      </c>
      <c r="H264" s="250" t="str">
        <f t="shared" si="561"/>
        <v>PRODUCT</v>
      </c>
      <c r="I264" s="248" t="str">
        <f t="shared" si="561"/>
        <v>PRODUCT 07</v>
      </c>
      <c r="J264" s="248" t="str">
        <f>VLOOKUP(I264,TableInputsData[],$J$6,FALSE)</f>
        <v>-</v>
      </c>
      <c r="K264" s="248" t="str">
        <f t="shared" si="562"/>
        <v>VOLUME</v>
      </c>
      <c r="L264" s="499">
        <v>1000</v>
      </c>
      <c r="M264" s="499">
        <v>0</v>
      </c>
      <c r="N264" s="499">
        <v>0</v>
      </c>
      <c r="O264" s="264">
        <f t="shared" si="543"/>
        <v>1000</v>
      </c>
      <c r="P264" s="500">
        <v>1</v>
      </c>
      <c r="Q264" s="500">
        <v>0</v>
      </c>
      <c r="R264" s="259">
        <f t="shared" si="555"/>
        <v>0</v>
      </c>
      <c r="S264" s="626">
        <v>500</v>
      </c>
      <c r="T264" s="626">
        <v>0</v>
      </c>
      <c r="U264" s="626">
        <v>0</v>
      </c>
      <c r="V264" s="628">
        <f t="shared" si="556"/>
        <v>500</v>
      </c>
      <c r="W264" s="500">
        <v>1</v>
      </c>
      <c r="X264" s="500">
        <v>1</v>
      </c>
      <c r="Y264" s="500">
        <v>1</v>
      </c>
      <c r="Z264" s="259">
        <f t="shared" si="544"/>
        <v>0</v>
      </c>
      <c r="AA264" s="259">
        <f t="shared" si="545"/>
        <v>0</v>
      </c>
      <c r="AB264" s="259">
        <f t="shared" si="546"/>
        <v>0</v>
      </c>
      <c r="AC264" s="628">
        <f t="shared" si="557"/>
        <v>0</v>
      </c>
      <c r="AD264" s="628">
        <f t="shared" si="558"/>
        <v>0</v>
      </c>
      <c r="AE264" s="501">
        <v>0</v>
      </c>
      <c r="AF264" s="501">
        <v>0</v>
      </c>
      <c r="AG264" s="501">
        <v>0</v>
      </c>
      <c r="AH264" s="501">
        <v>0</v>
      </c>
      <c r="AI264" s="264">
        <f t="shared" si="547"/>
        <v>0</v>
      </c>
      <c r="AJ264" s="264">
        <f t="shared" si="548"/>
        <v>0</v>
      </c>
      <c r="AK264" s="264">
        <f t="shared" si="549"/>
        <v>0</v>
      </c>
      <c r="AL264" s="264">
        <f t="shared" si="550"/>
        <v>0</v>
      </c>
      <c r="AM264" s="264">
        <f t="shared" si="551"/>
        <v>0</v>
      </c>
      <c r="AN264" s="640">
        <f t="shared" si="559"/>
        <v>0</v>
      </c>
      <c r="AO264" s="264">
        <f t="shared" si="552"/>
        <v>0</v>
      </c>
      <c r="AP264" s="640">
        <f t="shared" si="553"/>
        <v>0</v>
      </c>
      <c r="AQ264" s="501"/>
      <c r="AR264" s="264" t="str">
        <f>VLOOKUP($I264,TableInputsData[],ReadMe!$M$3,FALSE)&amp;"  |  "&amp;VLOOKUP($K264,TableInputsData[],ReadMe!$M$3,FALSE)</f>
        <v>PRODUIT 07  |  VOLUME</v>
      </c>
      <c r="AS264" s="264" t="b">
        <f t="shared" si="554"/>
        <v>1</v>
      </c>
      <c r="AT264" s="294"/>
    </row>
    <row r="265" spans="1:46" ht="13" x14ac:dyDescent="0.2">
      <c r="A265" s="294"/>
      <c r="B265" s="924"/>
      <c r="C265" s="271">
        <v>258</v>
      </c>
      <c r="D265" s="250">
        <f t="shared" si="560"/>
        <v>0</v>
      </c>
      <c r="E265" s="250">
        <v>1</v>
      </c>
      <c r="F265" s="248" t="s">
        <v>397</v>
      </c>
      <c r="G265" s="250">
        <f>VLOOKUP(F265,TableInputsData[],$G$6,FALSE)</f>
        <v>2027</v>
      </c>
      <c r="H265" s="250" t="str">
        <f t="shared" si="561"/>
        <v>PRODUCT</v>
      </c>
      <c r="I265" s="248" t="str">
        <f t="shared" si="561"/>
        <v>PRODUCT 07</v>
      </c>
      <c r="J265" s="248" t="str">
        <f>VLOOKUP(I265,TableInputsData[],$J$6,FALSE)</f>
        <v>-</v>
      </c>
      <c r="K265" s="248" t="str">
        <f t="shared" si="562"/>
        <v>VOLUME</v>
      </c>
      <c r="L265" s="499">
        <v>1000</v>
      </c>
      <c r="M265" s="499">
        <v>0</v>
      </c>
      <c r="N265" s="499">
        <v>0</v>
      </c>
      <c r="O265" s="264">
        <f t="shared" si="543"/>
        <v>1000</v>
      </c>
      <c r="P265" s="500">
        <v>1</v>
      </c>
      <c r="Q265" s="500">
        <v>0</v>
      </c>
      <c r="R265" s="259">
        <f t="shared" si="555"/>
        <v>0</v>
      </c>
      <c r="S265" s="626">
        <v>500</v>
      </c>
      <c r="T265" s="626">
        <v>0</v>
      </c>
      <c r="U265" s="626">
        <v>0</v>
      </c>
      <c r="V265" s="628">
        <f t="shared" si="556"/>
        <v>500</v>
      </c>
      <c r="W265" s="500">
        <v>1</v>
      </c>
      <c r="X265" s="500">
        <v>1</v>
      </c>
      <c r="Y265" s="500">
        <v>1</v>
      </c>
      <c r="Z265" s="259">
        <f t="shared" si="544"/>
        <v>0</v>
      </c>
      <c r="AA265" s="259">
        <f t="shared" si="545"/>
        <v>0</v>
      </c>
      <c r="AB265" s="259">
        <f t="shared" si="546"/>
        <v>0</v>
      </c>
      <c r="AC265" s="628">
        <f t="shared" si="557"/>
        <v>0</v>
      </c>
      <c r="AD265" s="628">
        <f t="shared" si="558"/>
        <v>0</v>
      </c>
      <c r="AE265" s="264">
        <f>$AI265/4</f>
        <v>0</v>
      </c>
      <c r="AF265" s="264">
        <f t="shared" ref="AF265:AH268" si="563">$AI265/4</f>
        <v>0</v>
      </c>
      <c r="AG265" s="264">
        <f t="shared" si="563"/>
        <v>0</v>
      </c>
      <c r="AH265" s="264">
        <f t="shared" si="563"/>
        <v>0</v>
      </c>
      <c r="AI265" s="501">
        <v>0</v>
      </c>
      <c r="AJ265" s="264">
        <f t="shared" si="548"/>
        <v>0</v>
      </c>
      <c r="AK265" s="264">
        <f t="shared" si="549"/>
        <v>0</v>
      </c>
      <c r="AL265" s="264">
        <f t="shared" si="550"/>
        <v>0</v>
      </c>
      <c r="AM265" s="264">
        <f t="shared" si="551"/>
        <v>0</v>
      </c>
      <c r="AN265" s="640">
        <f t="shared" si="559"/>
        <v>0</v>
      </c>
      <c r="AO265" s="264">
        <f t="shared" si="552"/>
        <v>0</v>
      </c>
      <c r="AP265" s="640">
        <f t="shared" si="553"/>
        <v>0</v>
      </c>
      <c r="AQ265" s="501"/>
      <c r="AR265" s="264" t="str">
        <f>VLOOKUP($I265,TableInputsData[],ReadMe!$M$3,FALSE)&amp;"  |  "&amp;VLOOKUP($K265,TableInputsData[],ReadMe!$M$3,FALSE)</f>
        <v>PRODUIT 07  |  VOLUME</v>
      </c>
      <c r="AS265" s="264" t="b">
        <f t="shared" si="554"/>
        <v>1</v>
      </c>
      <c r="AT265" s="294"/>
    </row>
    <row r="266" spans="1:46" ht="13" x14ac:dyDescent="0.2">
      <c r="A266" s="294"/>
      <c r="B266" s="924"/>
      <c r="C266" s="271">
        <v>259</v>
      </c>
      <c r="D266" s="250">
        <f t="shared" si="560"/>
        <v>0</v>
      </c>
      <c r="E266" s="250">
        <v>1</v>
      </c>
      <c r="F266" s="248" t="s">
        <v>398</v>
      </c>
      <c r="G266" s="250">
        <f>VLOOKUP(F266,TableInputsData[],$G$6,FALSE)</f>
        <v>2028</v>
      </c>
      <c r="H266" s="250" t="str">
        <f t="shared" si="561"/>
        <v>PRODUCT</v>
      </c>
      <c r="I266" s="248" t="str">
        <f t="shared" si="561"/>
        <v>PRODUCT 07</v>
      </c>
      <c r="J266" s="248" t="str">
        <f>VLOOKUP(I266,TableInputsData[],$J$6,FALSE)</f>
        <v>-</v>
      </c>
      <c r="K266" s="248" t="str">
        <f t="shared" si="562"/>
        <v>VOLUME</v>
      </c>
      <c r="L266" s="499">
        <v>1000</v>
      </c>
      <c r="M266" s="499">
        <v>0</v>
      </c>
      <c r="N266" s="499">
        <v>0</v>
      </c>
      <c r="O266" s="264">
        <f t="shared" si="543"/>
        <v>1000</v>
      </c>
      <c r="P266" s="500">
        <v>1</v>
      </c>
      <c r="Q266" s="500">
        <v>0</v>
      </c>
      <c r="R266" s="259">
        <f t="shared" si="555"/>
        <v>0</v>
      </c>
      <c r="S266" s="626">
        <v>500</v>
      </c>
      <c r="T266" s="626">
        <v>0</v>
      </c>
      <c r="U266" s="626">
        <v>0</v>
      </c>
      <c r="V266" s="628">
        <f t="shared" si="556"/>
        <v>500</v>
      </c>
      <c r="W266" s="500">
        <v>1</v>
      </c>
      <c r="X266" s="500">
        <v>1</v>
      </c>
      <c r="Y266" s="500">
        <v>1</v>
      </c>
      <c r="Z266" s="259">
        <f t="shared" si="544"/>
        <v>0</v>
      </c>
      <c r="AA266" s="259">
        <f t="shared" si="545"/>
        <v>0</v>
      </c>
      <c r="AB266" s="259">
        <f t="shared" si="546"/>
        <v>0</v>
      </c>
      <c r="AC266" s="628">
        <f t="shared" si="557"/>
        <v>0</v>
      </c>
      <c r="AD266" s="628">
        <f t="shared" si="558"/>
        <v>0</v>
      </c>
      <c r="AE266" s="264">
        <f t="shared" ref="AE266:AE268" si="564">$AI266/4</f>
        <v>0</v>
      </c>
      <c r="AF266" s="264">
        <f t="shared" si="563"/>
        <v>0</v>
      </c>
      <c r="AG266" s="264">
        <f t="shared" si="563"/>
        <v>0</v>
      </c>
      <c r="AH266" s="264">
        <f t="shared" si="563"/>
        <v>0</v>
      </c>
      <c r="AI266" s="501">
        <v>0</v>
      </c>
      <c r="AJ266" s="264">
        <f t="shared" si="548"/>
        <v>0</v>
      </c>
      <c r="AK266" s="264">
        <f t="shared" si="549"/>
        <v>0</v>
      </c>
      <c r="AL266" s="264">
        <f t="shared" si="550"/>
        <v>0</v>
      </c>
      <c r="AM266" s="264">
        <f t="shared" si="551"/>
        <v>0</v>
      </c>
      <c r="AN266" s="640">
        <f t="shared" si="559"/>
        <v>0</v>
      </c>
      <c r="AO266" s="264">
        <f t="shared" si="552"/>
        <v>0</v>
      </c>
      <c r="AP266" s="640">
        <f t="shared" si="553"/>
        <v>0</v>
      </c>
      <c r="AQ266" s="501"/>
      <c r="AR266" s="264" t="str">
        <f>VLOOKUP($I266,TableInputsData[],ReadMe!$M$3,FALSE)&amp;"  |  "&amp;VLOOKUP($K266,TableInputsData[],ReadMe!$M$3,FALSE)</f>
        <v>PRODUIT 07  |  VOLUME</v>
      </c>
      <c r="AS266" s="264" t="b">
        <f t="shared" si="554"/>
        <v>1</v>
      </c>
      <c r="AT266" s="294"/>
    </row>
    <row r="267" spans="1:46" ht="13" x14ac:dyDescent="0.2">
      <c r="A267" s="294"/>
      <c r="B267" s="924"/>
      <c r="C267" s="271">
        <v>260</v>
      </c>
      <c r="D267" s="250">
        <f t="shared" si="560"/>
        <v>0</v>
      </c>
      <c r="E267" s="250">
        <v>1</v>
      </c>
      <c r="F267" s="248" t="s">
        <v>399</v>
      </c>
      <c r="G267" s="250">
        <f>VLOOKUP(F267,TableInputsData[],$G$6,FALSE)</f>
        <v>2029</v>
      </c>
      <c r="H267" s="250" t="str">
        <f t="shared" si="561"/>
        <v>PRODUCT</v>
      </c>
      <c r="I267" s="248" t="str">
        <f t="shared" si="561"/>
        <v>PRODUCT 07</v>
      </c>
      <c r="J267" s="248" t="str">
        <f>VLOOKUP(I267,TableInputsData[],$J$6,FALSE)</f>
        <v>-</v>
      </c>
      <c r="K267" s="248" t="str">
        <f t="shared" si="562"/>
        <v>VOLUME</v>
      </c>
      <c r="L267" s="499">
        <v>1000</v>
      </c>
      <c r="M267" s="499">
        <v>0</v>
      </c>
      <c r="N267" s="499">
        <v>0</v>
      </c>
      <c r="O267" s="264">
        <f t="shared" si="543"/>
        <v>1000</v>
      </c>
      <c r="P267" s="500">
        <v>1</v>
      </c>
      <c r="Q267" s="500">
        <v>0</v>
      </c>
      <c r="R267" s="259">
        <f t="shared" si="555"/>
        <v>0</v>
      </c>
      <c r="S267" s="626">
        <v>500</v>
      </c>
      <c r="T267" s="626">
        <v>0</v>
      </c>
      <c r="U267" s="626">
        <v>0</v>
      </c>
      <c r="V267" s="628">
        <f t="shared" si="556"/>
        <v>500</v>
      </c>
      <c r="W267" s="500">
        <v>1</v>
      </c>
      <c r="X267" s="500">
        <v>1</v>
      </c>
      <c r="Y267" s="500">
        <v>1</v>
      </c>
      <c r="Z267" s="259">
        <f t="shared" si="544"/>
        <v>0</v>
      </c>
      <c r="AA267" s="259">
        <f t="shared" si="545"/>
        <v>0</v>
      </c>
      <c r="AB267" s="259">
        <f t="shared" si="546"/>
        <v>0</v>
      </c>
      <c r="AC267" s="628">
        <f t="shared" si="557"/>
        <v>0</v>
      </c>
      <c r="AD267" s="628">
        <f t="shared" si="558"/>
        <v>0</v>
      </c>
      <c r="AE267" s="264">
        <f t="shared" si="564"/>
        <v>0</v>
      </c>
      <c r="AF267" s="264">
        <f t="shared" si="563"/>
        <v>0</v>
      </c>
      <c r="AG267" s="264">
        <f t="shared" si="563"/>
        <v>0</v>
      </c>
      <c r="AH267" s="264">
        <f t="shared" si="563"/>
        <v>0</v>
      </c>
      <c r="AI267" s="501">
        <v>0</v>
      </c>
      <c r="AJ267" s="264">
        <f t="shared" si="548"/>
        <v>0</v>
      </c>
      <c r="AK267" s="264">
        <f t="shared" si="549"/>
        <v>0</v>
      </c>
      <c r="AL267" s="264">
        <f t="shared" si="550"/>
        <v>0</v>
      </c>
      <c r="AM267" s="264">
        <f t="shared" si="551"/>
        <v>0</v>
      </c>
      <c r="AN267" s="640">
        <f t="shared" si="559"/>
        <v>0</v>
      </c>
      <c r="AO267" s="264">
        <f t="shared" si="552"/>
        <v>0</v>
      </c>
      <c r="AP267" s="640">
        <f t="shared" si="553"/>
        <v>0</v>
      </c>
      <c r="AQ267" s="501"/>
      <c r="AR267" s="264" t="str">
        <f>VLOOKUP($I267,TableInputsData[],ReadMe!$M$3,FALSE)&amp;"  |  "&amp;VLOOKUP($K267,TableInputsData[],ReadMe!$M$3,FALSE)</f>
        <v>PRODUIT 07  |  VOLUME</v>
      </c>
      <c r="AS267" s="264" t="b">
        <f t="shared" si="554"/>
        <v>1</v>
      </c>
      <c r="AT267" s="294"/>
    </row>
    <row r="268" spans="1:46" ht="13" x14ac:dyDescent="0.2">
      <c r="A268" s="294"/>
      <c r="B268" s="924"/>
      <c r="C268" s="271">
        <v>261</v>
      </c>
      <c r="D268" s="250">
        <f t="shared" si="560"/>
        <v>0</v>
      </c>
      <c r="E268" s="250">
        <v>1</v>
      </c>
      <c r="F268" s="248" t="s">
        <v>400</v>
      </c>
      <c r="G268" s="250">
        <f>VLOOKUP(F268,TableInputsData[],$G$6,FALSE)</f>
        <v>2030</v>
      </c>
      <c r="H268" s="250" t="str">
        <f t="shared" si="561"/>
        <v>PRODUCT</v>
      </c>
      <c r="I268" s="248" t="str">
        <f t="shared" si="561"/>
        <v>PRODUCT 07</v>
      </c>
      <c r="J268" s="248" t="str">
        <f>VLOOKUP(I268,TableInputsData[],$J$6,FALSE)</f>
        <v>-</v>
      </c>
      <c r="K268" s="248" t="str">
        <f t="shared" si="562"/>
        <v>VOLUME</v>
      </c>
      <c r="L268" s="499">
        <v>1000</v>
      </c>
      <c r="M268" s="499">
        <v>0</v>
      </c>
      <c r="N268" s="499">
        <v>0</v>
      </c>
      <c r="O268" s="264">
        <f t="shared" si="543"/>
        <v>1000</v>
      </c>
      <c r="P268" s="500">
        <v>1</v>
      </c>
      <c r="Q268" s="500">
        <v>0</v>
      </c>
      <c r="R268" s="259">
        <f t="shared" si="555"/>
        <v>0</v>
      </c>
      <c r="S268" s="626">
        <v>500</v>
      </c>
      <c r="T268" s="626">
        <v>0</v>
      </c>
      <c r="U268" s="626">
        <v>0</v>
      </c>
      <c r="V268" s="628">
        <f t="shared" si="556"/>
        <v>500</v>
      </c>
      <c r="W268" s="500">
        <v>1</v>
      </c>
      <c r="X268" s="500">
        <v>1</v>
      </c>
      <c r="Y268" s="500">
        <v>1</v>
      </c>
      <c r="Z268" s="259">
        <f t="shared" si="544"/>
        <v>0</v>
      </c>
      <c r="AA268" s="259">
        <f t="shared" si="545"/>
        <v>0</v>
      </c>
      <c r="AB268" s="259">
        <f t="shared" si="546"/>
        <v>0</v>
      </c>
      <c r="AC268" s="628">
        <f t="shared" si="557"/>
        <v>0</v>
      </c>
      <c r="AD268" s="628">
        <f t="shared" si="558"/>
        <v>0</v>
      </c>
      <c r="AE268" s="264">
        <f t="shared" si="564"/>
        <v>0</v>
      </c>
      <c r="AF268" s="264">
        <f t="shared" si="563"/>
        <v>0</v>
      </c>
      <c r="AG268" s="264">
        <f t="shared" si="563"/>
        <v>0</v>
      </c>
      <c r="AH268" s="264">
        <f t="shared" si="563"/>
        <v>0</v>
      </c>
      <c r="AI268" s="501">
        <v>0</v>
      </c>
      <c r="AJ268" s="264">
        <f t="shared" si="548"/>
        <v>0</v>
      </c>
      <c r="AK268" s="264">
        <f t="shared" si="549"/>
        <v>0</v>
      </c>
      <c r="AL268" s="264">
        <f t="shared" si="550"/>
        <v>0</v>
      </c>
      <c r="AM268" s="264">
        <f t="shared" si="551"/>
        <v>0</v>
      </c>
      <c r="AN268" s="640">
        <f t="shared" si="559"/>
        <v>0</v>
      </c>
      <c r="AO268" s="264">
        <f t="shared" si="552"/>
        <v>0</v>
      </c>
      <c r="AP268" s="640">
        <f t="shared" si="553"/>
        <v>0</v>
      </c>
      <c r="AQ268" s="501"/>
      <c r="AR268" s="264" t="str">
        <f>VLOOKUP($I268,TableInputsData[],ReadMe!$M$3,FALSE)&amp;"  |  "&amp;VLOOKUP($K268,TableInputsData[],ReadMe!$M$3,FALSE)</f>
        <v>PRODUIT 07  |  VOLUME</v>
      </c>
      <c r="AS268" s="264" t="b">
        <f t="shared" si="554"/>
        <v>1</v>
      </c>
      <c r="AT268" s="294"/>
    </row>
    <row r="269" spans="1:46" ht="13" hidden="1" x14ac:dyDescent="0.2">
      <c r="A269" s="294"/>
      <c r="B269" s="924"/>
      <c r="C269" s="272">
        <v>262</v>
      </c>
      <c r="D269" s="250">
        <f t="shared" si="560"/>
        <v>0</v>
      </c>
      <c r="E269" s="251"/>
      <c r="F269" s="248" t="str">
        <f t="shared" ref="F269:F276" si="565">F277</f>
        <v>YEAR-2</v>
      </c>
      <c r="G269" s="250">
        <f>VLOOKUP(F269,TableInputsData[],$G$6,FALSE)</f>
        <v>2023</v>
      </c>
      <c r="H269" s="250" t="str">
        <f t="shared" si="561"/>
        <v>PRODUCT</v>
      </c>
      <c r="I269" s="248" t="str">
        <f t="shared" si="561"/>
        <v>PRODUCT 07</v>
      </c>
      <c r="J269" s="248" t="str">
        <f>VLOOKUP(I269,TableInputsData[],$J$6,FALSE)</f>
        <v>-</v>
      </c>
      <c r="K269" s="248" t="s">
        <v>457</v>
      </c>
      <c r="L269" s="256"/>
      <c r="M269" s="256"/>
      <c r="N269" s="256"/>
      <c r="O269" s="266"/>
      <c r="P269" s="261"/>
      <c r="Q269" s="261"/>
      <c r="R269" s="261"/>
      <c r="S269" s="629"/>
      <c r="T269" s="629"/>
      <c r="U269" s="629"/>
      <c r="V269" s="629"/>
      <c r="W269" s="261"/>
      <c r="X269" s="261"/>
      <c r="Y269" s="261"/>
      <c r="Z269" s="261"/>
      <c r="AA269" s="261"/>
      <c r="AB269" s="261"/>
      <c r="AC269" s="266"/>
      <c r="AD269" s="633"/>
      <c r="AE269" s="264">
        <f>AE261*($L261*$P261+$M261*$Q261+$N261*$R261)</f>
        <v>0</v>
      </c>
      <c r="AF269" s="264">
        <f t="shared" ref="AF269:AH269" si="566">AF261*($L261*$P261+$M261*$Q261+$N261*$R261)</f>
        <v>0</v>
      </c>
      <c r="AG269" s="264">
        <f t="shared" si="566"/>
        <v>0</v>
      </c>
      <c r="AH269" s="264">
        <f t="shared" si="566"/>
        <v>0</v>
      </c>
      <c r="AI269" s="264">
        <f>$AE269+$AF269+$AG269+$AH269</f>
        <v>0</v>
      </c>
      <c r="AJ269" s="264">
        <f t="shared" ref="AJ269:AJ276" si="567">$AJ261*$L261</f>
        <v>0</v>
      </c>
      <c r="AK269" s="264">
        <f t="shared" ref="AK269:AK276" si="568">$AK261*$M261</f>
        <v>0</v>
      </c>
      <c r="AL269" s="264">
        <f t="shared" ref="AL269:AL276" si="569">$AL261*$N261</f>
        <v>0</v>
      </c>
      <c r="AM269" s="264">
        <f t="shared" ref="AM269:AM276" si="570">$AJ269*$W261+$AK269*$X261+$AL269*$Y261</f>
        <v>0</v>
      </c>
      <c r="AN269" s="640">
        <f t="shared" si="559"/>
        <v>0</v>
      </c>
      <c r="AO269" s="264">
        <f t="shared" ref="AO269:AO276" si="571">$AJ269*$Z261+$AK269*$AA261+$AL269*$AB261</f>
        <v>0</v>
      </c>
      <c r="AP269" s="640">
        <f t="shared" si="553"/>
        <v>0</v>
      </c>
      <c r="AQ269" s="264"/>
      <c r="AR269" s="264" t="str">
        <f>VLOOKUP($I269,TableInputsData[],ReadMe!$M$3,FALSE)&amp;"  |  "&amp;VLOOKUP($K269,TableInputsData[],ReadMe!$M$3,FALSE)</f>
        <v>PRODUIT 07  |  CHIFFRE D'AFFAIRES</v>
      </c>
      <c r="AS269" s="264" t="b">
        <f t="shared" ref="AS269:AS276" si="572">AND(EXACT(ROUND(AI269,2),ROUND(AJ269+AK269+AL269,2)),EXACT(ROUND(AI269,2),ROUND(AM269+AO269,2)))</f>
        <v>1</v>
      </c>
      <c r="AT269" s="294"/>
    </row>
    <row r="270" spans="1:46" ht="13" hidden="1" x14ac:dyDescent="0.2">
      <c r="A270" s="294"/>
      <c r="B270" s="924"/>
      <c r="C270" s="271">
        <v>263</v>
      </c>
      <c r="D270" s="250">
        <f t="shared" si="560"/>
        <v>0</v>
      </c>
      <c r="E270" s="250"/>
      <c r="F270" s="248" t="str">
        <f t="shared" si="565"/>
        <v>YEAR-1</v>
      </c>
      <c r="G270" s="250">
        <f>VLOOKUP(F270,TableInputsData[],$G$6,FALSE)</f>
        <v>2024</v>
      </c>
      <c r="H270" s="250" t="str">
        <f t="shared" si="561"/>
        <v>PRODUCT</v>
      </c>
      <c r="I270" s="248" t="str">
        <f t="shared" si="561"/>
        <v>PRODUCT 07</v>
      </c>
      <c r="J270" s="248" t="str">
        <f>VLOOKUP(I270,TableInputsData[],$J$6,FALSE)</f>
        <v>-</v>
      </c>
      <c r="K270" s="248" t="str">
        <f>K269</f>
        <v>REVENUE</v>
      </c>
      <c r="L270" s="255"/>
      <c r="M270" s="255"/>
      <c r="N270" s="255"/>
      <c r="O270" s="265"/>
      <c r="P270" s="260"/>
      <c r="Q270" s="260"/>
      <c r="R270" s="260"/>
      <c r="S270" s="630"/>
      <c r="T270" s="630"/>
      <c r="U270" s="630"/>
      <c r="V270" s="630"/>
      <c r="W270" s="260"/>
      <c r="X270" s="260"/>
      <c r="Y270" s="260"/>
      <c r="Z270" s="260"/>
      <c r="AA270" s="260"/>
      <c r="AB270" s="260"/>
      <c r="AC270" s="265"/>
      <c r="AD270" s="634"/>
      <c r="AE270" s="264">
        <f t="shared" ref="AE270:AH270" si="573">AE262*($L262*$P262+$M262*$Q262+$N262*$R262)</f>
        <v>0</v>
      </c>
      <c r="AF270" s="264">
        <f t="shared" si="573"/>
        <v>0</v>
      </c>
      <c r="AG270" s="264">
        <f t="shared" si="573"/>
        <v>0</v>
      </c>
      <c r="AH270" s="264">
        <f t="shared" si="573"/>
        <v>0</v>
      </c>
      <c r="AI270" s="264">
        <f t="shared" ref="AI270:AI275" si="574">$AE270+$AF270+$AG270+$AH270</f>
        <v>0</v>
      </c>
      <c r="AJ270" s="264">
        <f t="shared" si="567"/>
        <v>0</v>
      </c>
      <c r="AK270" s="264">
        <f t="shared" si="568"/>
        <v>0</v>
      </c>
      <c r="AL270" s="264">
        <f t="shared" si="569"/>
        <v>0</v>
      </c>
      <c r="AM270" s="264">
        <f t="shared" si="570"/>
        <v>0</v>
      </c>
      <c r="AN270" s="640">
        <f t="shared" si="559"/>
        <v>0</v>
      </c>
      <c r="AO270" s="264">
        <f t="shared" si="571"/>
        <v>0</v>
      </c>
      <c r="AP270" s="640">
        <f t="shared" si="553"/>
        <v>0</v>
      </c>
      <c r="AQ270" s="264"/>
      <c r="AR270" s="264" t="str">
        <f>VLOOKUP($I270,TableInputsData[],ReadMe!$M$3,FALSE)&amp;"  |  "&amp;VLOOKUP($K270,TableInputsData[],ReadMe!$M$3,FALSE)</f>
        <v>PRODUIT 07  |  CHIFFRE D'AFFAIRES</v>
      </c>
      <c r="AS270" s="264" t="b">
        <f t="shared" si="572"/>
        <v>1</v>
      </c>
      <c r="AT270" s="294"/>
    </row>
    <row r="271" spans="1:46" ht="13" hidden="1" x14ac:dyDescent="0.2">
      <c r="A271" s="294"/>
      <c r="B271" s="924"/>
      <c r="C271" s="271">
        <v>264</v>
      </c>
      <c r="D271" s="250">
        <f t="shared" si="560"/>
        <v>0</v>
      </c>
      <c r="E271" s="250"/>
      <c r="F271" s="248" t="str">
        <f t="shared" si="565"/>
        <v>CURRENT YEAR</v>
      </c>
      <c r="G271" s="250">
        <f>VLOOKUP(F271,TableInputsData[],$G$6,FALSE)</f>
        <v>2025</v>
      </c>
      <c r="H271" s="250" t="str">
        <f t="shared" si="561"/>
        <v>PRODUCT</v>
      </c>
      <c r="I271" s="248" t="str">
        <f t="shared" si="561"/>
        <v>PRODUCT 07</v>
      </c>
      <c r="J271" s="248" t="str">
        <f>VLOOKUP(I271,TableInputsData[],$J$6,FALSE)</f>
        <v>-</v>
      </c>
      <c r="K271" s="248" t="str">
        <f t="shared" ref="K271:K276" si="575">K270</f>
        <v>REVENUE</v>
      </c>
      <c r="L271" s="255"/>
      <c r="M271" s="255"/>
      <c r="N271" s="255"/>
      <c r="O271" s="265"/>
      <c r="P271" s="260"/>
      <c r="Q271" s="260"/>
      <c r="R271" s="260"/>
      <c r="S271" s="630"/>
      <c r="T271" s="630"/>
      <c r="U271" s="630"/>
      <c r="V271" s="630"/>
      <c r="W271" s="260"/>
      <c r="X271" s="260"/>
      <c r="Y271" s="260"/>
      <c r="Z271" s="260"/>
      <c r="AA271" s="260"/>
      <c r="AB271" s="260"/>
      <c r="AC271" s="265"/>
      <c r="AD271" s="634"/>
      <c r="AE271" s="264">
        <f t="shared" ref="AE271:AH271" si="576">AE263*($L263*$P263+$M263*$Q263+$N263*$R263)</f>
        <v>0</v>
      </c>
      <c r="AF271" s="264">
        <f t="shared" si="576"/>
        <v>0</v>
      </c>
      <c r="AG271" s="264">
        <f t="shared" si="576"/>
        <v>0</v>
      </c>
      <c r="AH271" s="264">
        <f t="shared" si="576"/>
        <v>0</v>
      </c>
      <c r="AI271" s="264">
        <f t="shared" si="574"/>
        <v>0</v>
      </c>
      <c r="AJ271" s="264">
        <f t="shared" si="567"/>
        <v>0</v>
      </c>
      <c r="AK271" s="264">
        <f t="shared" si="568"/>
        <v>0</v>
      </c>
      <c r="AL271" s="264">
        <f t="shared" si="569"/>
        <v>0</v>
      </c>
      <c r="AM271" s="264">
        <f t="shared" si="570"/>
        <v>0</v>
      </c>
      <c r="AN271" s="640">
        <f t="shared" si="559"/>
        <v>0</v>
      </c>
      <c r="AO271" s="264">
        <f t="shared" si="571"/>
        <v>0</v>
      </c>
      <c r="AP271" s="640">
        <f t="shared" si="553"/>
        <v>0</v>
      </c>
      <c r="AQ271" s="264"/>
      <c r="AR271" s="264" t="str">
        <f>VLOOKUP($I271,TableInputsData[],ReadMe!$M$3,FALSE)&amp;"  |  "&amp;VLOOKUP($K271,TableInputsData[],ReadMe!$M$3,FALSE)</f>
        <v>PRODUIT 07  |  CHIFFRE D'AFFAIRES</v>
      </c>
      <c r="AS271" s="264" t="b">
        <f t="shared" si="572"/>
        <v>1</v>
      </c>
      <c r="AT271" s="294"/>
    </row>
    <row r="272" spans="1:46" ht="13" hidden="1" x14ac:dyDescent="0.2">
      <c r="A272" s="294"/>
      <c r="B272" s="924"/>
      <c r="C272" s="271">
        <v>265</v>
      </c>
      <c r="D272" s="250">
        <f t="shared" si="560"/>
        <v>0</v>
      </c>
      <c r="E272" s="250"/>
      <c r="F272" s="248" t="str">
        <f t="shared" si="565"/>
        <v>YEAR2</v>
      </c>
      <c r="G272" s="250">
        <f>VLOOKUP(F272,TableInputsData[],$G$6,FALSE)</f>
        <v>2026</v>
      </c>
      <c r="H272" s="250" t="str">
        <f t="shared" si="561"/>
        <v>PRODUCT</v>
      </c>
      <c r="I272" s="248" t="str">
        <f t="shared" si="561"/>
        <v>PRODUCT 07</v>
      </c>
      <c r="J272" s="248" t="str">
        <f>VLOOKUP(I272,TableInputsData[],$J$6,FALSE)</f>
        <v>-</v>
      </c>
      <c r="K272" s="248" t="str">
        <f t="shared" si="575"/>
        <v>REVENUE</v>
      </c>
      <c r="L272" s="255"/>
      <c r="M272" s="255"/>
      <c r="N272" s="255"/>
      <c r="O272" s="265"/>
      <c r="P272" s="260"/>
      <c r="Q272" s="260"/>
      <c r="R272" s="260"/>
      <c r="S272" s="630"/>
      <c r="T272" s="630"/>
      <c r="U272" s="630"/>
      <c r="V272" s="630"/>
      <c r="W272" s="260"/>
      <c r="X272" s="260"/>
      <c r="Y272" s="260"/>
      <c r="Z272" s="260"/>
      <c r="AA272" s="260"/>
      <c r="AB272" s="260"/>
      <c r="AC272" s="265"/>
      <c r="AD272" s="634"/>
      <c r="AE272" s="264">
        <f t="shared" ref="AE272:AH272" si="577">AE264*($L264*$P264+$M264*$Q264+$N264*$R264)</f>
        <v>0</v>
      </c>
      <c r="AF272" s="264">
        <f t="shared" si="577"/>
        <v>0</v>
      </c>
      <c r="AG272" s="264">
        <f t="shared" si="577"/>
        <v>0</v>
      </c>
      <c r="AH272" s="264">
        <f t="shared" si="577"/>
        <v>0</v>
      </c>
      <c r="AI272" s="264">
        <f t="shared" si="574"/>
        <v>0</v>
      </c>
      <c r="AJ272" s="264">
        <f t="shared" si="567"/>
        <v>0</v>
      </c>
      <c r="AK272" s="264">
        <f t="shared" si="568"/>
        <v>0</v>
      </c>
      <c r="AL272" s="264">
        <f t="shared" si="569"/>
        <v>0</v>
      </c>
      <c r="AM272" s="264">
        <f t="shared" si="570"/>
        <v>0</v>
      </c>
      <c r="AN272" s="640">
        <f t="shared" si="559"/>
        <v>0</v>
      </c>
      <c r="AO272" s="264">
        <f t="shared" si="571"/>
        <v>0</v>
      </c>
      <c r="AP272" s="640">
        <f t="shared" si="553"/>
        <v>0</v>
      </c>
      <c r="AQ272" s="264"/>
      <c r="AR272" s="264" t="str">
        <f>VLOOKUP($I272,TableInputsData[],ReadMe!$M$3,FALSE)&amp;"  |  "&amp;VLOOKUP($K272,TableInputsData[],ReadMe!$M$3,FALSE)</f>
        <v>PRODUIT 07  |  CHIFFRE D'AFFAIRES</v>
      </c>
      <c r="AS272" s="264" t="b">
        <f t="shared" si="572"/>
        <v>1</v>
      </c>
      <c r="AT272" s="294"/>
    </row>
    <row r="273" spans="1:46" ht="13" hidden="1" x14ac:dyDescent="0.2">
      <c r="A273" s="294"/>
      <c r="B273" s="924"/>
      <c r="C273" s="271">
        <v>266</v>
      </c>
      <c r="D273" s="250">
        <f t="shared" si="560"/>
        <v>0</v>
      </c>
      <c r="E273" s="250"/>
      <c r="F273" s="248" t="str">
        <f t="shared" si="565"/>
        <v>YEAR3</v>
      </c>
      <c r="G273" s="250">
        <f>VLOOKUP(F273,TableInputsData[],$G$6,FALSE)</f>
        <v>2027</v>
      </c>
      <c r="H273" s="250" t="str">
        <f t="shared" si="561"/>
        <v>PRODUCT</v>
      </c>
      <c r="I273" s="248" t="str">
        <f t="shared" si="561"/>
        <v>PRODUCT 07</v>
      </c>
      <c r="J273" s="248" t="str">
        <f>VLOOKUP(I273,TableInputsData[],$J$6,FALSE)</f>
        <v>-</v>
      </c>
      <c r="K273" s="248" t="str">
        <f t="shared" si="575"/>
        <v>REVENUE</v>
      </c>
      <c r="L273" s="255"/>
      <c r="M273" s="255"/>
      <c r="N273" s="255"/>
      <c r="O273" s="265"/>
      <c r="P273" s="260"/>
      <c r="Q273" s="260"/>
      <c r="R273" s="260"/>
      <c r="S273" s="630"/>
      <c r="T273" s="630"/>
      <c r="U273" s="630"/>
      <c r="V273" s="630"/>
      <c r="W273" s="260"/>
      <c r="X273" s="260"/>
      <c r="Y273" s="260"/>
      <c r="Z273" s="260"/>
      <c r="AA273" s="260"/>
      <c r="AB273" s="260"/>
      <c r="AC273" s="265"/>
      <c r="AD273" s="634"/>
      <c r="AE273" s="264">
        <f t="shared" ref="AE273:AH273" si="578">AE265*($L265*$P265+$M265*$Q265+$N265*$R265)</f>
        <v>0</v>
      </c>
      <c r="AF273" s="264">
        <f t="shared" si="578"/>
        <v>0</v>
      </c>
      <c r="AG273" s="264">
        <f t="shared" si="578"/>
        <v>0</v>
      </c>
      <c r="AH273" s="264">
        <f t="shared" si="578"/>
        <v>0</v>
      </c>
      <c r="AI273" s="264">
        <f t="shared" si="574"/>
        <v>0</v>
      </c>
      <c r="AJ273" s="264">
        <f t="shared" si="567"/>
        <v>0</v>
      </c>
      <c r="AK273" s="264">
        <f t="shared" si="568"/>
        <v>0</v>
      </c>
      <c r="AL273" s="264">
        <f t="shared" si="569"/>
        <v>0</v>
      </c>
      <c r="AM273" s="264">
        <f t="shared" si="570"/>
        <v>0</v>
      </c>
      <c r="AN273" s="640">
        <f t="shared" si="559"/>
        <v>0</v>
      </c>
      <c r="AO273" s="264">
        <f t="shared" si="571"/>
        <v>0</v>
      </c>
      <c r="AP273" s="640">
        <f t="shared" si="553"/>
        <v>0</v>
      </c>
      <c r="AQ273" s="264"/>
      <c r="AR273" s="264" t="str">
        <f>VLOOKUP($I273,TableInputsData[],ReadMe!$M$3,FALSE)&amp;"  |  "&amp;VLOOKUP($K273,TableInputsData[],ReadMe!$M$3,FALSE)</f>
        <v>PRODUIT 07  |  CHIFFRE D'AFFAIRES</v>
      </c>
      <c r="AS273" s="264" t="b">
        <f t="shared" si="572"/>
        <v>1</v>
      </c>
      <c r="AT273" s="294"/>
    </row>
    <row r="274" spans="1:46" ht="13" hidden="1" x14ac:dyDescent="0.2">
      <c r="A274" s="294"/>
      <c r="B274" s="924"/>
      <c r="C274" s="271">
        <v>267</v>
      </c>
      <c r="D274" s="250">
        <f t="shared" si="560"/>
        <v>0</v>
      </c>
      <c r="E274" s="250"/>
      <c r="F274" s="248" t="str">
        <f t="shared" si="565"/>
        <v>YEAR4</v>
      </c>
      <c r="G274" s="250">
        <f>VLOOKUP(F274,TableInputsData[],$G$6,FALSE)</f>
        <v>2028</v>
      </c>
      <c r="H274" s="250" t="str">
        <f t="shared" si="561"/>
        <v>PRODUCT</v>
      </c>
      <c r="I274" s="248" t="str">
        <f t="shared" si="561"/>
        <v>PRODUCT 07</v>
      </c>
      <c r="J274" s="248" t="str">
        <f>VLOOKUP(I274,TableInputsData[],$J$6,FALSE)</f>
        <v>-</v>
      </c>
      <c r="K274" s="248" t="str">
        <f t="shared" si="575"/>
        <v>REVENUE</v>
      </c>
      <c r="L274" s="255"/>
      <c r="M274" s="255"/>
      <c r="N274" s="255"/>
      <c r="O274" s="265"/>
      <c r="P274" s="260"/>
      <c r="Q274" s="260"/>
      <c r="R274" s="260"/>
      <c r="S274" s="630"/>
      <c r="T274" s="630"/>
      <c r="U274" s="630"/>
      <c r="V274" s="630"/>
      <c r="W274" s="260"/>
      <c r="X274" s="260"/>
      <c r="Y274" s="260"/>
      <c r="Z274" s="260"/>
      <c r="AA274" s="260"/>
      <c r="AB274" s="260"/>
      <c r="AC274" s="265"/>
      <c r="AD274" s="634"/>
      <c r="AE274" s="264">
        <f t="shared" ref="AE274:AH274" si="579">AE266*($L266*$P266+$M266*$Q266+$N266*$R266)</f>
        <v>0</v>
      </c>
      <c r="AF274" s="264">
        <f t="shared" si="579"/>
        <v>0</v>
      </c>
      <c r="AG274" s="264">
        <f t="shared" si="579"/>
        <v>0</v>
      </c>
      <c r="AH274" s="264">
        <f t="shared" si="579"/>
        <v>0</v>
      </c>
      <c r="AI274" s="264">
        <f t="shared" si="574"/>
        <v>0</v>
      </c>
      <c r="AJ274" s="264">
        <f t="shared" si="567"/>
        <v>0</v>
      </c>
      <c r="AK274" s="264">
        <f t="shared" si="568"/>
        <v>0</v>
      </c>
      <c r="AL274" s="264">
        <f t="shared" si="569"/>
        <v>0</v>
      </c>
      <c r="AM274" s="264">
        <f t="shared" si="570"/>
        <v>0</v>
      </c>
      <c r="AN274" s="640">
        <f t="shared" si="559"/>
        <v>0</v>
      </c>
      <c r="AO274" s="264">
        <f t="shared" si="571"/>
        <v>0</v>
      </c>
      <c r="AP274" s="640">
        <f t="shared" si="553"/>
        <v>0</v>
      </c>
      <c r="AQ274" s="264"/>
      <c r="AR274" s="264" t="str">
        <f>VLOOKUP($I274,TableInputsData[],ReadMe!$M$3,FALSE)&amp;"  |  "&amp;VLOOKUP($K274,TableInputsData[],ReadMe!$M$3,FALSE)</f>
        <v>PRODUIT 07  |  CHIFFRE D'AFFAIRES</v>
      </c>
      <c r="AS274" s="264" t="b">
        <f t="shared" si="572"/>
        <v>1</v>
      </c>
      <c r="AT274" s="294"/>
    </row>
    <row r="275" spans="1:46" ht="13" hidden="1" x14ac:dyDescent="0.2">
      <c r="A275" s="294"/>
      <c r="B275" s="924"/>
      <c r="C275" s="271">
        <v>268</v>
      </c>
      <c r="D275" s="250">
        <f t="shared" si="560"/>
        <v>0</v>
      </c>
      <c r="E275" s="250"/>
      <c r="F275" s="248" t="str">
        <f t="shared" si="565"/>
        <v>YEAR5</v>
      </c>
      <c r="G275" s="250">
        <f>VLOOKUP(F275,TableInputsData[],$G$6,FALSE)</f>
        <v>2029</v>
      </c>
      <c r="H275" s="250" t="str">
        <f t="shared" si="561"/>
        <v>PRODUCT</v>
      </c>
      <c r="I275" s="248" t="str">
        <f t="shared" si="561"/>
        <v>PRODUCT 07</v>
      </c>
      <c r="J275" s="248" t="str">
        <f>VLOOKUP(I275,TableInputsData[],$J$6,FALSE)</f>
        <v>-</v>
      </c>
      <c r="K275" s="248" t="str">
        <f t="shared" si="575"/>
        <v>REVENUE</v>
      </c>
      <c r="L275" s="255"/>
      <c r="M275" s="255"/>
      <c r="N275" s="255"/>
      <c r="O275" s="265"/>
      <c r="P275" s="260"/>
      <c r="Q275" s="260"/>
      <c r="R275" s="260"/>
      <c r="S275" s="630"/>
      <c r="T275" s="630"/>
      <c r="U275" s="630"/>
      <c r="V275" s="630"/>
      <c r="W275" s="260"/>
      <c r="X275" s="260"/>
      <c r="Y275" s="260"/>
      <c r="Z275" s="260"/>
      <c r="AA275" s="260"/>
      <c r="AB275" s="260"/>
      <c r="AC275" s="265"/>
      <c r="AD275" s="634"/>
      <c r="AE275" s="264">
        <f t="shared" ref="AE275:AH275" si="580">AE267*($L267*$P267+$M267*$Q267+$N267*$R267)</f>
        <v>0</v>
      </c>
      <c r="AF275" s="264">
        <f t="shared" si="580"/>
        <v>0</v>
      </c>
      <c r="AG275" s="264">
        <f t="shared" si="580"/>
        <v>0</v>
      </c>
      <c r="AH275" s="264">
        <f t="shared" si="580"/>
        <v>0</v>
      </c>
      <c r="AI275" s="264">
        <f t="shared" si="574"/>
        <v>0</v>
      </c>
      <c r="AJ275" s="264">
        <f t="shared" si="567"/>
        <v>0</v>
      </c>
      <c r="AK275" s="264">
        <f t="shared" si="568"/>
        <v>0</v>
      </c>
      <c r="AL275" s="264">
        <f t="shared" si="569"/>
        <v>0</v>
      </c>
      <c r="AM275" s="264">
        <f t="shared" si="570"/>
        <v>0</v>
      </c>
      <c r="AN275" s="640">
        <f t="shared" si="559"/>
        <v>0</v>
      </c>
      <c r="AO275" s="264">
        <f t="shared" si="571"/>
        <v>0</v>
      </c>
      <c r="AP275" s="640">
        <f t="shared" si="553"/>
        <v>0</v>
      </c>
      <c r="AQ275" s="264"/>
      <c r="AR275" s="264" t="str">
        <f>VLOOKUP($I275,TableInputsData[],ReadMe!$M$3,FALSE)&amp;"  |  "&amp;VLOOKUP($K275,TableInputsData[],ReadMe!$M$3,FALSE)</f>
        <v>PRODUIT 07  |  CHIFFRE D'AFFAIRES</v>
      </c>
      <c r="AS275" s="264" t="b">
        <f t="shared" si="572"/>
        <v>1</v>
      </c>
      <c r="AT275" s="294"/>
    </row>
    <row r="276" spans="1:46" ht="13" hidden="1" x14ac:dyDescent="0.2">
      <c r="A276" s="294"/>
      <c r="B276" s="924"/>
      <c r="C276" s="271">
        <v>269</v>
      </c>
      <c r="D276" s="250">
        <f t="shared" si="560"/>
        <v>0</v>
      </c>
      <c r="E276" s="250"/>
      <c r="F276" s="248" t="str">
        <f t="shared" si="565"/>
        <v>YEAR6</v>
      </c>
      <c r="G276" s="250">
        <f>VLOOKUP(F276,TableInputsData[],$G$6,FALSE)</f>
        <v>2030</v>
      </c>
      <c r="H276" s="250" t="str">
        <f t="shared" si="561"/>
        <v>PRODUCT</v>
      </c>
      <c r="I276" s="248" t="str">
        <f t="shared" si="561"/>
        <v>PRODUCT 07</v>
      </c>
      <c r="J276" s="248" t="str">
        <f>VLOOKUP(I276,TableInputsData[],$J$6,FALSE)</f>
        <v>-</v>
      </c>
      <c r="K276" s="248" t="str">
        <f t="shared" si="575"/>
        <v>REVENUE</v>
      </c>
      <c r="L276" s="255"/>
      <c r="M276" s="255"/>
      <c r="N276" s="255"/>
      <c r="O276" s="265"/>
      <c r="P276" s="260"/>
      <c r="Q276" s="260"/>
      <c r="R276" s="260"/>
      <c r="S276" s="630"/>
      <c r="T276" s="630"/>
      <c r="U276" s="630"/>
      <c r="V276" s="630"/>
      <c r="W276" s="260"/>
      <c r="X276" s="260"/>
      <c r="Y276" s="260"/>
      <c r="Z276" s="260"/>
      <c r="AA276" s="260"/>
      <c r="AB276" s="260"/>
      <c r="AC276" s="265"/>
      <c r="AD276" s="634"/>
      <c r="AE276" s="264">
        <f t="shared" ref="AE276:AH276" si="581">AE268*($L268*$P268+$M268*$Q268+$N268*$R268)</f>
        <v>0</v>
      </c>
      <c r="AF276" s="264">
        <f t="shared" si="581"/>
        <v>0</v>
      </c>
      <c r="AG276" s="264">
        <f t="shared" si="581"/>
        <v>0</v>
      </c>
      <c r="AH276" s="264">
        <f t="shared" si="581"/>
        <v>0</v>
      </c>
      <c r="AI276" s="264">
        <f>$AE276+$AF276+$AG276+$AH276</f>
        <v>0</v>
      </c>
      <c r="AJ276" s="264">
        <f t="shared" si="567"/>
        <v>0</v>
      </c>
      <c r="AK276" s="264">
        <f t="shared" si="568"/>
        <v>0</v>
      </c>
      <c r="AL276" s="264">
        <f t="shared" si="569"/>
        <v>0</v>
      </c>
      <c r="AM276" s="264">
        <f t="shared" si="570"/>
        <v>0</v>
      </c>
      <c r="AN276" s="640">
        <f t="shared" si="559"/>
        <v>0</v>
      </c>
      <c r="AO276" s="264">
        <f t="shared" si="571"/>
        <v>0</v>
      </c>
      <c r="AP276" s="640">
        <f t="shared" si="553"/>
        <v>0</v>
      </c>
      <c r="AQ276" s="264"/>
      <c r="AR276" s="264" t="str">
        <f>VLOOKUP($I276,TableInputsData[],ReadMe!$M$3,FALSE)&amp;"  |  "&amp;VLOOKUP($K276,TableInputsData[],ReadMe!$M$3,FALSE)</f>
        <v>PRODUIT 07  |  CHIFFRE D'AFFAIRES</v>
      </c>
      <c r="AS276" s="264" t="b">
        <f t="shared" si="572"/>
        <v>1</v>
      </c>
      <c r="AT276" s="294"/>
    </row>
    <row r="277" spans="1:46" ht="13" hidden="1" x14ac:dyDescent="0.2">
      <c r="A277" s="294"/>
      <c r="B277" s="924"/>
      <c r="C277" s="271">
        <v>270</v>
      </c>
      <c r="D277" s="250">
        <f t="shared" si="560"/>
        <v>0</v>
      </c>
      <c r="E277" s="250"/>
      <c r="F277" s="248" t="str">
        <f t="shared" ref="F277:F284" si="582">F261</f>
        <v>YEAR-2</v>
      </c>
      <c r="G277" s="250">
        <f>VLOOKUP(F277,TableInputsData[],$G$6,FALSE)</f>
        <v>2023</v>
      </c>
      <c r="H277" s="250" t="str">
        <f t="shared" si="561"/>
        <v>PRODUCT</v>
      </c>
      <c r="I277" s="248" t="str">
        <f t="shared" si="561"/>
        <v>PRODUCT 07</v>
      </c>
      <c r="J277" s="248" t="str">
        <f>VLOOKUP(I277,TableInputsData[],$J$6,FALSE)</f>
        <v>-</v>
      </c>
      <c r="K277" s="248" t="s">
        <v>456</v>
      </c>
      <c r="L277" s="255"/>
      <c r="M277" s="255"/>
      <c r="N277" s="255"/>
      <c r="O277" s="265"/>
      <c r="P277" s="260"/>
      <c r="Q277" s="260"/>
      <c r="R277" s="260"/>
      <c r="S277" s="630"/>
      <c r="T277" s="630"/>
      <c r="U277" s="630"/>
      <c r="V277" s="630"/>
      <c r="W277" s="260"/>
      <c r="X277" s="260"/>
      <c r="Y277" s="260"/>
      <c r="Z277" s="260"/>
      <c r="AA277" s="260"/>
      <c r="AB277" s="260"/>
      <c r="AC277" s="265"/>
      <c r="AD277" s="634"/>
      <c r="AE277" s="264">
        <f>IF(AE261=0,0,AE269/AE261)</f>
        <v>0</v>
      </c>
      <c r="AF277" s="264">
        <f t="shared" ref="AF277:AI277" si="583">IF(AF261=0,0,AF269/AF261)</f>
        <v>0</v>
      </c>
      <c r="AG277" s="264">
        <f t="shared" si="583"/>
        <v>0</v>
      </c>
      <c r="AH277" s="264">
        <f t="shared" si="583"/>
        <v>0</v>
      </c>
      <c r="AI277" s="264">
        <f t="shared" si="583"/>
        <v>0</v>
      </c>
      <c r="AJ277" s="264">
        <f>IF(AJ261=0,0,AJ269/AJ261)</f>
        <v>0</v>
      </c>
      <c r="AK277" s="264">
        <f t="shared" ref="AK277:AL277" si="584">IF(AK261=0,0,AK269/AK261)</f>
        <v>0</v>
      </c>
      <c r="AL277" s="264">
        <f t="shared" si="584"/>
        <v>0</v>
      </c>
      <c r="AM277" s="264">
        <f>IF(AM261=0,0,AM269/AM261)</f>
        <v>0</v>
      </c>
      <c r="AN277" s="260"/>
      <c r="AO277" s="264">
        <f t="shared" ref="AO277" si="585">IF(AO261=0,0,AO269/AO261)</f>
        <v>0</v>
      </c>
      <c r="AP277" s="260"/>
      <c r="AQ277" s="264"/>
      <c r="AR277" s="264" t="str">
        <f>VLOOKUP($I277,TableInputsData[],ReadMe!$M$3,FALSE)&amp;"  |  "&amp;VLOOKUP($K277,TableInputsData[],ReadMe!$M$3,FALSE)</f>
        <v>PRODUIT 07  |  PRIX MOYEN DE VENTE PAR PRODUIT/SERVICE</v>
      </c>
      <c r="AS277" s="264"/>
      <c r="AT277" s="294"/>
    </row>
    <row r="278" spans="1:46" ht="13" hidden="1" x14ac:dyDescent="0.2">
      <c r="A278" s="294"/>
      <c r="B278" s="924"/>
      <c r="C278" s="271">
        <v>271</v>
      </c>
      <c r="D278" s="250">
        <f t="shared" si="560"/>
        <v>0</v>
      </c>
      <c r="E278" s="250"/>
      <c r="F278" s="248" t="str">
        <f t="shared" si="582"/>
        <v>YEAR-1</v>
      </c>
      <c r="G278" s="250">
        <f>VLOOKUP(F278,TableInputsData[],$G$6,FALSE)</f>
        <v>2024</v>
      </c>
      <c r="H278" s="250" t="str">
        <f t="shared" si="561"/>
        <v>PRODUCT</v>
      </c>
      <c r="I278" s="248" t="str">
        <f t="shared" si="561"/>
        <v>PRODUCT 07</v>
      </c>
      <c r="J278" s="248" t="str">
        <f>VLOOKUP(I278,TableInputsData[],$J$6,FALSE)</f>
        <v>-</v>
      </c>
      <c r="K278" s="248" t="str">
        <f>K277</f>
        <v>AVERAGE SELLING PRICE PER UNIT</v>
      </c>
      <c r="L278" s="255"/>
      <c r="M278" s="255"/>
      <c r="N278" s="255"/>
      <c r="O278" s="265"/>
      <c r="P278" s="260"/>
      <c r="Q278" s="260"/>
      <c r="R278" s="260"/>
      <c r="S278" s="630"/>
      <c r="T278" s="630"/>
      <c r="U278" s="630"/>
      <c r="V278" s="630"/>
      <c r="W278" s="260"/>
      <c r="X278" s="260"/>
      <c r="Y278" s="260"/>
      <c r="Z278" s="260"/>
      <c r="AA278" s="260"/>
      <c r="AB278" s="260"/>
      <c r="AC278" s="265"/>
      <c r="AD278" s="634"/>
      <c r="AE278" s="264">
        <f>IF(AE262=0,0,AE270/AE262)</f>
        <v>0</v>
      </c>
      <c r="AF278" s="264">
        <f t="shared" ref="AF278:AM278" si="586">IF(AF262=0,0,AF270/AF262)</f>
        <v>0</v>
      </c>
      <c r="AG278" s="264">
        <f t="shared" si="586"/>
        <v>0</v>
      </c>
      <c r="AH278" s="264">
        <f t="shared" si="586"/>
        <v>0</v>
      </c>
      <c r="AI278" s="264">
        <f t="shared" si="586"/>
        <v>0</v>
      </c>
      <c r="AJ278" s="264">
        <f t="shared" si="586"/>
        <v>0</v>
      </c>
      <c r="AK278" s="264">
        <f t="shared" si="586"/>
        <v>0</v>
      </c>
      <c r="AL278" s="264">
        <f t="shared" si="586"/>
        <v>0</v>
      </c>
      <c r="AM278" s="264">
        <f t="shared" si="586"/>
        <v>0</v>
      </c>
      <c r="AN278" s="260"/>
      <c r="AO278" s="264">
        <f t="shared" ref="AO278" si="587">IF(AO262=0,0,AO270/AO262)</f>
        <v>0</v>
      </c>
      <c r="AP278" s="260"/>
      <c r="AQ278" s="264"/>
      <c r="AR278" s="264" t="str">
        <f>VLOOKUP($I278,TableInputsData[],ReadMe!$M$3,FALSE)&amp;"  |  "&amp;VLOOKUP($K278,TableInputsData[],ReadMe!$M$3,FALSE)</f>
        <v>PRODUIT 07  |  PRIX MOYEN DE VENTE PAR PRODUIT/SERVICE</v>
      </c>
      <c r="AS278" s="264"/>
      <c r="AT278" s="294"/>
    </row>
    <row r="279" spans="1:46" ht="13" hidden="1" x14ac:dyDescent="0.2">
      <c r="A279" s="294"/>
      <c r="B279" s="924"/>
      <c r="C279" s="271">
        <v>272</v>
      </c>
      <c r="D279" s="250">
        <f t="shared" si="560"/>
        <v>0</v>
      </c>
      <c r="E279" s="250"/>
      <c r="F279" s="248" t="str">
        <f t="shared" si="582"/>
        <v>CURRENT YEAR</v>
      </c>
      <c r="G279" s="250">
        <f>VLOOKUP(F279,TableInputsData[],$G$6,FALSE)</f>
        <v>2025</v>
      </c>
      <c r="H279" s="250" t="str">
        <f t="shared" si="561"/>
        <v>PRODUCT</v>
      </c>
      <c r="I279" s="248" t="str">
        <f t="shared" si="561"/>
        <v>PRODUCT 07</v>
      </c>
      <c r="J279" s="248" t="str">
        <f>VLOOKUP(I279,TableInputsData[],$J$6,FALSE)</f>
        <v>-</v>
      </c>
      <c r="K279" s="248" t="str">
        <f t="shared" ref="K279:K284" si="588">K278</f>
        <v>AVERAGE SELLING PRICE PER UNIT</v>
      </c>
      <c r="L279" s="255"/>
      <c r="M279" s="255"/>
      <c r="N279" s="255"/>
      <c r="O279" s="265"/>
      <c r="P279" s="260"/>
      <c r="Q279" s="260"/>
      <c r="R279" s="260"/>
      <c r="S279" s="630"/>
      <c r="T279" s="630"/>
      <c r="U279" s="630"/>
      <c r="V279" s="630"/>
      <c r="W279" s="260"/>
      <c r="X279" s="260"/>
      <c r="Y279" s="260"/>
      <c r="Z279" s="260"/>
      <c r="AA279" s="260"/>
      <c r="AB279" s="260"/>
      <c r="AC279" s="265"/>
      <c r="AD279" s="634"/>
      <c r="AE279" s="264">
        <f>IF(AE263=0,0,AE271/AE263)</f>
        <v>0</v>
      </c>
      <c r="AF279" s="264">
        <f t="shared" ref="AF279:AM279" si="589">IF(AF263=0,0,AF271/AF263)</f>
        <v>0</v>
      </c>
      <c r="AG279" s="264">
        <f t="shared" si="589"/>
        <v>0</v>
      </c>
      <c r="AH279" s="264">
        <f t="shared" si="589"/>
        <v>0</v>
      </c>
      <c r="AI279" s="264">
        <f t="shared" si="589"/>
        <v>0</v>
      </c>
      <c r="AJ279" s="264">
        <f t="shared" si="589"/>
        <v>0</v>
      </c>
      <c r="AK279" s="264">
        <f t="shared" si="589"/>
        <v>0</v>
      </c>
      <c r="AL279" s="264">
        <f t="shared" si="589"/>
        <v>0</v>
      </c>
      <c r="AM279" s="264">
        <f t="shared" si="589"/>
        <v>0</v>
      </c>
      <c r="AN279" s="260"/>
      <c r="AO279" s="264">
        <f t="shared" ref="AO279" si="590">IF(AO263=0,0,AO271/AO263)</f>
        <v>0</v>
      </c>
      <c r="AP279" s="260"/>
      <c r="AQ279" s="264"/>
      <c r="AR279" s="264" t="str">
        <f>VLOOKUP($I279,TableInputsData[],ReadMe!$M$3,FALSE)&amp;"  |  "&amp;VLOOKUP($K279,TableInputsData[],ReadMe!$M$3,FALSE)</f>
        <v>PRODUIT 07  |  PRIX MOYEN DE VENTE PAR PRODUIT/SERVICE</v>
      </c>
      <c r="AS279" s="264"/>
      <c r="AT279" s="294"/>
    </row>
    <row r="280" spans="1:46" ht="13" hidden="1" x14ac:dyDescent="0.2">
      <c r="A280" s="294"/>
      <c r="B280" s="924"/>
      <c r="C280" s="271">
        <v>273</v>
      </c>
      <c r="D280" s="250">
        <f t="shared" si="560"/>
        <v>0</v>
      </c>
      <c r="E280" s="250"/>
      <c r="F280" s="248" t="str">
        <f t="shared" si="582"/>
        <v>YEAR2</v>
      </c>
      <c r="G280" s="250">
        <f>VLOOKUP(F280,TableInputsData[],$G$6,FALSE)</f>
        <v>2026</v>
      </c>
      <c r="H280" s="250" t="str">
        <f t="shared" si="561"/>
        <v>PRODUCT</v>
      </c>
      <c r="I280" s="248" t="str">
        <f t="shared" si="561"/>
        <v>PRODUCT 07</v>
      </c>
      <c r="J280" s="248" t="str">
        <f>VLOOKUP(I280,TableInputsData[],$J$6,FALSE)</f>
        <v>-</v>
      </c>
      <c r="K280" s="248" t="str">
        <f t="shared" si="588"/>
        <v>AVERAGE SELLING PRICE PER UNIT</v>
      </c>
      <c r="L280" s="255"/>
      <c r="M280" s="255"/>
      <c r="N280" s="255"/>
      <c r="O280" s="265"/>
      <c r="P280" s="260"/>
      <c r="Q280" s="260"/>
      <c r="R280" s="260"/>
      <c r="S280" s="630"/>
      <c r="T280" s="630"/>
      <c r="U280" s="630"/>
      <c r="V280" s="630"/>
      <c r="W280" s="260"/>
      <c r="X280" s="260"/>
      <c r="Y280" s="260"/>
      <c r="Z280" s="260"/>
      <c r="AA280" s="260"/>
      <c r="AB280" s="260"/>
      <c r="AC280" s="265"/>
      <c r="AD280" s="634"/>
      <c r="AE280" s="264">
        <f>IF(AE264=0,0,AE272/AE264)</f>
        <v>0</v>
      </c>
      <c r="AF280" s="264">
        <f t="shared" ref="AF280:AM280" si="591">IF(AF264=0,0,AF272/AF264)</f>
        <v>0</v>
      </c>
      <c r="AG280" s="264">
        <f t="shared" si="591"/>
        <v>0</v>
      </c>
      <c r="AH280" s="264">
        <f t="shared" si="591"/>
        <v>0</v>
      </c>
      <c r="AI280" s="264">
        <f t="shared" si="591"/>
        <v>0</v>
      </c>
      <c r="AJ280" s="264">
        <f t="shared" si="591"/>
        <v>0</v>
      </c>
      <c r="AK280" s="264">
        <f t="shared" si="591"/>
        <v>0</v>
      </c>
      <c r="AL280" s="264">
        <f t="shared" si="591"/>
        <v>0</v>
      </c>
      <c r="AM280" s="264">
        <f t="shared" si="591"/>
        <v>0</v>
      </c>
      <c r="AN280" s="260"/>
      <c r="AO280" s="264">
        <f t="shared" ref="AO280" si="592">IF(AO264=0,0,AO272/AO264)</f>
        <v>0</v>
      </c>
      <c r="AP280" s="260"/>
      <c r="AQ280" s="264"/>
      <c r="AR280" s="264" t="str">
        <f>VLOOKUP($I280,TableInputsData[],ReadMe!$M$3,FALSE)&amp;"  |  "&amp;VLOOKUP($K280,TableInputsData[],ReadMe!$M$3,FALSE)</f>
        <v>PRODUIT 07  |  PRIX MOYEN DE VENTE PAR PRODUIT/SERVICE</v>
      </c>
      <c r="AS280" s="264"/>
      <c r="AT280" s="294"/>
    </row>
    <row r="281" spans="1:46" ht="13" hidden="1" x14ac:dyDescent="0.2">
      <c r="A281" s="294"/>
      <c r="B281" s="924"/>
      <c r="C281" s="271">
        <v>274</v>
      </c>
      <c r="D281" s="250">
        <f t="shared" si="560"/>
        <v>0</v>
      </c>
      <c r="E281" s="250"/>
      <c r="F281" s="248" t="str">
        <f t="shared" si="582"/>
        <v>YEAR3</v>
      </c>
      <c r="G281" s="250">
        <f>VLOOKUP(F281,TableInputsData[],$G$6,FALSE)</f>
        <v>2027</v>
      </c>
      <c r="H281" s="250" t="str">
        <f t="shared" si="561"/>
        <v>PRODUCT</v>
      </c>
      <c r="I281" s="248" t="str">
        <f t="shared" si="561"/>
        <v>PRODUCT 07</v>
      </c>
      <c r="J281" s="248" t="str">
        <f>VLOOKUP(I281,TableInputsData[],$J$6,FALSE)</f>
        <v>-</v>
      </c>
      <c r="K281" s="248" t="str">
        <f t="shared" si="588"/>
        <v>AVERAGE SELLING PRICE PER UNIT</v>
      </c>
      <c r="L281" s="255"/>
      <c r="M281" s="255"/>
      <c r="N281" s="255"/>
      <c r="O281" s="265"/>
      <c r="P281" s="260"/>
      <c r="Q281" s="260"/>
      <c r="R281" s="260"/>
      <c r="S281" s="630"/>
      <c r="T281" s="630"/>
      <c r="U281" s="630"/>
      <c r="V281" s="630"/>
      <c r="W281" s="260"/>
      <c r="X281" s="260"/>
      <c r="Y281" s="260"/>
      <c r="Z281" s="260"/>
      <c r="AA281" s="260"/>
      <c r="AB281" s="260"/>
      <c r="AC281" s="265"/>
      <c r="AD281" s="634"/>
      <c r="AE281" s="264">
        <f t="shared" ref="AE281:AM281" si="593">IF(AE265=0,0,AE273/AE265)</f>
        <v>0</v>
      </c>
      <c r="AF281" s="264">
        <f t="shared" si="593"/>
        <v>0</v>
      </c>
      <c r="AG281" s="264">
        <f t="shared" si="593"/>
        <v>0</v>
      </c>
      <c r="AH281" s="264">
        <f t="shared" si="593"/>
        <v>0</v>
      </c>
      <c r="AI281" s="264">
        <f t="shared" si="593"/>
        <v>0</v>
      </c>
      <c r="AJ281" s="264">
        <f t="shared" si="593"/>
        <v>0</v>
      </c>
      <c r="AK281" s="264">
        <f t="shared" si="593"/>
        <v>0</v>
      </c>
      <c r="AL281" s="264">
        <f t="shared" si="593"/>
        <v>0</v>
      </c>
      <c r="AM281" s="264">
        <f t="shared" si="593"/>
        <v>0</v>
      </c>
      <c r="AN281" s="260"/>
      <c r="AO281" s="264">
        <f t="shared" ref="AO281" si="594">IF(AO265=0,0,AO273/AO265)</f>
        <v>0</v>
      </c>
      <c r="AP281" s="260"/>
      <c r="AQ281" s="264"/>
      <c r="AR281" s="264" t="str">
        <f>VLOOKUP($I281,TableInputsData[],ReadMe!$M$3,FALSE)&amp;"  |  "&amp;VLOOKUP($K281,TableInputsData[],ReadMe!$M$3,FALSE)</f>
        <v>PRODUIT 07  |  PRIX MOYEN DE VENTE PAR PRODUIT/SERVICE</v>
      </c>
      <c r="AS281" s="264"/>
      <c r="AT281" s="294"/>
    </row>
    <row r="282" spans="1:46" ht="13" hidden="1" x14ac:dyDescent="0.2">
      <c r="A282" s="294"/>
      <c r="B282" s="924"/>
      <c r="C282" s="272">
        <v>275</v>
      </c>
      <c r="D282" s="250">
        <f t="shared" si="560"/>
        <v>0</v>
      </c>
      <c r="E282" s="251"/>
      <c r="F282" s="248" t="str">
        <f t="shared" si="582"/>
        <v>YEAR4</v>
      </c>
      <c r="G282" s="250">
        <f>VLOOKUP(F282,TableInputsData[],$G$6,FALSE)</f>
        <v>2028</v>
      </c>
      <c r="H282" s="250" t="str">
        <f t="shared" si="561"/>
        <v>PRODUCT</v>
      </c>
      <c r="I282" s="248" t="str">
        <f t="shared" si="561"/>
        <v>PRODUCT 07</v>
      </c>
      <c r="J282" s="248" t="str">
        <f>VLOOKUP(I282,TableInputsData[],$J$6,FALSE)</f>
        <v>-</v>
      </c>
      <c r="K282" s="248" t="str">
        <f t="shared" si="588"/>
        <v>AVERAGE SELLING PRICE PER UNIT</v>
      </c>
      <c r="L282" s="256"/>
      <c r="M282" s="256"/>
      <c r="N282" s="256"/>
      <c r="O282" s="266"/>
      <c r="P282" s="261"/>
      <c r="Q282" s="261"/>
      <c r="R282" s="261"/>
      <c r="S282" s="629"/>
      <c r="T282" s="629"/>
      <c r="U282" s="629"/>
      <c r="V282" s="629"/>
      <c r="W282" s="261"/>
      <c r="X282" s="261"/>
      <c r="Y282" s="261"/>
      <c r="Z282" s="261"/>
      <c r="AA282" s="261"/>
      <c r="AB282" s="261"/>
      <c r="AC282" s="266"/>
      <c r="AD282" s="633"/>
      <c r="AE282" s="264">
        <f t="shared" ref="AE282:AM282" si="595">IF(AE266=0,0,AE274/AE266)</f>
        <v>0</v>
      </c>
      <c r="AF282" s="264">
        <f t="shared" si="595"/>
        <v>0</v>
      </c>
      <c r="AG282" s="264">
        <f t="shared" si="595"/>
        <v>0</v>
      </c>
      <c r="AH282" s="264">
        <f t="shared" si="595"/>
        <v>0</v>
      </c>
      <c r="AI282" s="264">
        <f t="shared" si="595"/>
        <v>0</v>
      </c>
      <c r="AJ282" s="264">
        <f t="shared" si="595"/>
        <v>0</v>
      </c>
      <c r="AK282" s="264">
        <f t="shared" si="595"/>
        <v>0</v>
      </c>
      <c r="AL282" s="264">
        <f t="shared" si="595"/>
        <v>0</v>
      </c>
      <c r="AM282" s="264">
        <f t="shared" si="595"/>
        <v>0</v>
      </c>
      <c r="AN282" s="260"/>
      <c r="AO282" s="264">
        <f t="shared" ref="AO282" si="596">IF(AO266=0,0,AO274/AO266)</f>
        <v>0</v>
      </c>
      <c r="AP282" s="260"/>
      <c r="AQ282" s="264"/>
      <c r="AR282" s="264" t="str">
        <f>VLOOKUP($I282,TableInputsData[],ReadMe!$M$3,FALSE)&amp;"  |  "&amp;VLOOKUP($K282,TableInputsData[],ReadMe!$M$3,FALSE)</f>
        <v>PRODUIT 07  |  PRIX MOYEN DE VENTE PAR PRODUIT/SERVICE</v>
      </c>
      <c r="AS282" s="264"/>
      <c r="AT282" s="294"/>
    </row>
    <row r="283" spans="1:46" ht="13" hidden="1" x14ac:dyDescent="0.2">
      <c r="A283" s="294"/>
      <c r="B283" s="924"/>
      <c r="C283" s="271">
        <v>276</v>
      </c>
      <c r="D283" s="250">
        <f t="shared" si="560"/>
        <v>0</v>
      </c>
      <c r="E283" s="250"/>
      <c r="F283" s="248" t="str">
        <f t="shared" si="582"/>
        <v>YEAR5</v>
      </c>
      <c r="G283" s="250">
        <f>VLOOKUP(F283,TableInputsData[],$G$6,FALSE)</f>
        <v>2029</v>
      </c>
      <c r="H283" s="250" t="str">
        <f t="shared" si="561"/>
        <v>PRODUCT</v>
      </c>
      <c r="I283" s="248" t="str">
        <f t="shared" si="561"/>
        <v>PRODUCT 07</v>
      </c>
      <c r="J283" s="248" t="str">
        <f>VLOOKUP(I283,TableInputsData[],$J$6,FALSE)</f>
        <v>-</v>
      </c>
      <c r="K283" s="248" t="str">
        <f t="shared" si="588"/>
        <v>AVERAGE SELLING PRICE PER UNIT</v>
      </c>
      <c r="L283" s="255"/>
      <c r="M283" s="255"/>
      <c r="N283" s="255"/>
      <c r="O283" s="265"/>
      <c r="P283" s="260"/>
      <c r="Q283" s="260"/>
      <c r="R283" s="260"/>
      <c r="S283" s="630"/>
      <c r="T283" s="630"/>
      <c r="U283" s="630"/>
      <c r="V283" s="630"/>
      <c r="W283" s="260"/>
      <c r="X283" s="260"/>
      <c r="Y283" s="260"/>
      <c r="Z283" s="260"/>
      <c r="AA283" s="260"/>
      <c r="AB283" s="260"/>
      <c r="AC283" s="265"/>
      <c r="AD283" s="634"/>
      <c r="AE283" s="264">
        <f t="shared" ref="AE283:AM283" si="597">IF(AE267=0,0,AE275/AE267)</f>
        <v>0</v>
      </c>
      <c r="AF283" s="264">
        <f t="shared" si="597"/>
        <v>0</v>
      </c>
      <c r="AG283" s="264">
        <f t="shared" si="597"/>
        <v>0</v>
      </c>
      <c r="AH283" s="264">
        <f t="shared" si="597"/>
        <v>0</v>
      </c>
      <c r="AI283" s="264">
        <f t="shared" si="597"/>
        <v>0</v>
      </c>
      <c r="AJ283" s="264">
        <f t="shared" si="597"/>
        <v>0</v>
      </c>
      <c r="AK283" s="264">
        <f t="shared" si="597"/>
        <v>0</v>
      </c>
      <c r="AL283" s="264">
        <f t="shared" si="597"/>
        <v>0</v>
      </c>
      <c r="AM283" s="264">
        <f t="shared" si="597"/>
        <v>0</v>
      </c>
      <c r="AN283" s="260"/>
      <c r="AO283" s="264">
        <f t="shared" ref="AO283" si="598">IF(AO267=0,0,AO275/AO267)</f>
        <v>0</v>
      </c>
      <c r="AP283" s="260"/>
      <c r="AQ283" s="264"/>
      <c r="AR283" s="264" t="str">
        <f>VLOOKUP($I283,TableInputsData[],ReadMe!$M$3,FALSE)&amp;"  |  "&amp;VLOOKUP($K283,TableInputsData[],ReadMe!$M$3,FALSE)</f>
        <v>PRODUIT 07  |  PRIX MOYEN DE VENTE PAR PRODUIT/SERVICE</v>
      </c>
      <c r="AS283" s="264"/>
      <c r="AT283" s="294"/>
    </row>
    <row r="284" spans="1:46" ht="13" hidden="1" x14ac:dyDescent="0.2">
      <c r="A284" s="294"/>
      <c r="B284" s="924"/>
      <c r="C284" s="271">
        <v>277</v>
      </c>
      <c r="D284" s="250">
        <f t="shared" si="560"/>
        <v>0</v>
      </c>
      <c r="E284" s="250"/>
      <c r="F284" s="248" t="str">
        <f t="shared" si="582"/>
        <v>YEAR6</v>
      </c>
      <c r="G284" s="250">
        <f>VLOOKUP(F284,TableInputsData[],$G$6,FALSE)</f>
        <v>2030</v>
      </c>
      <c r="H284" s="250" t="str">
        <f t="shared" si="561"/>
        <v>PRODUCT</v>
      </c>
      <c r="I284" s="248" t="str">
        <f t="shared" si="561"/>
        <v>PRODUCT 07</v>
      </c>
      <c r="J284" s="248" t="str">
        <f>VLOOKUP(I284,TableInputsData[],$J$6,FALSE)</f>
        <v>-</v>
      </c>
      <c r="K284" s="248" t="str">
        <f t="shared" si="588"/>
        <v>AVERAGE SELLING PRICE PER UNIT</v>
      </c>
      <c r="L284" s="255"/>
      <c r="M284" s="255"/>
      <c r="N284" s="255"/>
      <c r="O284" s="265"/>
      <c r="P284" s="260"/>
      <c r="Q284" s="260"/>
      <c r="R284" s="260"/>
      <c r="S284" s="630"/>
      <c r="T284" s="630"/>
      <c r="U284" s="630"/>
      <c r="V284" s="630"/>
      <c r="W284" s="260"/>
      <c r="X284" s="260"/>
      <c r="Y284" s="260"/>
      <c r="Z284" s="260"/>
      <c r="AA284" s="260"/>
      <c r="AB284" s="260"/>
      <c r="AC284" s="265"/>
      <c r="AD284" s="634"/>
      <c r="AE284" s="264">
        <f t="shared" ref="AE284:AM284" si="599">IF(AE268=0,0,AE276/AE268)</f>
        <v>0</v>
      </c>
      <c r="AF284" s="264">
        <f t="shared" si="599"/>
        <v>0</v>
      </c>
      <c r="AG284" s="264">
        <f t="shared" si="599"/>
        <v>0</v>
      </c>
      <c r="AH284" s="264">
        <f t="shared" si="599"/>
        <v>0</v>
      </c>
      <c r="AI284" s="264">
        <f t="shared" si="599"/>
        <v>0</v>
      </c>
      <c r="AJ284" s="264">
        <f t="shared" si="599"/>
        <v>0</v>
      </c>
      <c r="AK284" s="264">
        <f t="shared" si="599"/>
        <v>0</v>
      </c>
      <c r="AL284" s="264">
        <f t="shared" si="599"/>
        <v>0</v>
      </c>
      <c r="AM284" s="264">
        <f t="shared" si="599"/>
        <v>0</v>
      </c>
      <c r="AN284" s="260"/>
      <c r="AO284" s="264">
        <f t="shared" ref="AO284" si="600">IF(AO268=0,0,AO276/AO268)</f>
        <v>0</v>
      </c>
      <c r="AP284" s="260"/>
      <c r="AQ284" s="264"/>
      <c r="AR284" s="264" t="str">
        <f>VLOOKUP($I284,TableInputsData[],ReadMe!$M$3,FALSE)&amp;"  |  "&amp;VLOOKUP($K284,TableInputsData[],ReadMe!$M$3,FALSE)</f>
        <v>PRODUIT 07  |  PRIX MOYEN DE VENTE PAR PRODUIT/SERVICE</v>
      </c>
      <c r="AS284" s="264"/>
      <c r="AT284" s="294"/>
    </row>
    <row r="285" spans="1:46" ht="13" hidden="1" x14ac:dyDescent="0.2">
      <c r="A285" s="294"/>
      <c r="B285" s="924"/>
      <c r="C285" s="272">
        <v>278</v>
      </c>
      <c r="D285" s="250">
        <f t="shared" si="560"/>
        <v>0</v>
      </c>
      <c r="E285" s="251"/>
      <c r="F285" s="248" t="str">
        <f t="shared" ref="F285:F292" si="601">F293</f>
        <v>YEAR-2</v>
      </c>
      <c r="G285" s="250">
        <f>VLOOKUP(F285,TableInputsData[],$G$6,FALSE)</f>
        <v>2023</v>
      </c>
      <c r="H285" s="250" t="str">
        <f t="shared" si="561"/>
        <v>PRODUCT</v>
      </c>
      <c r="I285" s="248" t="str">
        <f t="shared" si="561"/>
        <v>PRODUCT 07</v>
      </c>
      <c r="J285" s="248" t="str">
        <f>VLOOKUP(I285,TableInputsData[],$J$6,FALSE)</f>
        <v>-</v>
      </c>
      <c r="K285" s="248" t="s">
        <v>531</v>
      </c>
      <c r="L285" s="256"/>
      <c r="M285" s="256"/>
      <c r="N285" s="256"/>
      <c r="O285" s="266"/>
      <c r="P285" s="261"/>
      <c r="Q285" s="261"/>
      <c r="R285" s="261"/>
      <c r="S285" s="629"/>
      <c r="T285" s="629"/>
      <c r="U285" s="629"/>
      <c r="V285" s="629"/>
      <c r="W285" s="261"/>
      <c r="X285" s="261"/>
      <c r="Y285" s="261"/>
      <c r="Z285" s="261"/>
      <c r="AA285" s="261"/>
      <c r="AB285" s="261"/>
      <c r="AC285" s="266"/>
      <c r="AD285" s="633"/>
      <c r="AE285" s="264">
        <f>AE261*($S261*$P261+$T261*$Q261+$U261*$R261)</f>
        <v>0</v>
      </c>
      <c r="AF285" s="264">
        <f t="shared" ref="AF285:AH285" si="602">AF261*($S261*$P261+$T261*$Q261+$U261*$R261)</f>
        <v>0</v>
      </c>
      <c r="AG285" s="264">
        <f t="shared" si="602"/>
        <v>0</v>
      </c>
      <c r="AH285" s="264">
        <f t="shared" si="602"/>
        <v>0</v>
      </c>
      <c r="AI285" s="264">
        <f t="shared" ref="AI285:AI292" si="603">$AE285+$AF285+$AG285+$AH285</f>
        <v>0</v>
      </c>
      <c r="AJ285" s="264">
        <f t="shared" ref="AJ285:AJ292" si="604">$AJ261*$S261</f>
        <v>0</v>
      </c>
      <c r="AK285" s="264">
        <f t="shared" ref="AK285:AK292" si="605">$AK261*$T261</f>
        <v>0</v>
      </c>
      <c r="AL285" s="264">
        <f t="shared" ref="AL285:AL292" si="606">$AL261*$U261</f>
        <v>0</v>
      </c>
      <c r="AM285" s="264">
        <f t="shared" ref="AM285:AM292" si="607">$AJ285*$W261+$AK285*$X261+$AL285*$Y261</f>
        <v>0</v>
      </c>
      <c r="AN285" s="640">
        <f t="shared" ref="AN285:AN292" si="608">IF(AI285=0,0,AM285/AI285)</f>
        <v>0</v>
      </c>
      <c r="AO285" s="264">
        <f t="shared" ref="AO285:AO292" si="609">$AJ285*$Z261+$AK285*$AA261+$AL285*$AB261</f>
        <v>0</v>
      </c>
      <c r="AP285" s="640">
        <f t="shared" ref="AP285:AP292" si="610">IF(AI285=0,0,AO285/AI285)</f>
        <v>0</v>
      </c>
      <c r="AQ285" s="264"/>
      <c r="AR285" s="264" t="str">
        <f>VLOOKUP($I285,TableInputsData[],ReadMe!$M$3,FALSE)&amp;"  |  "&amp;VLOOKUP($K285,TableInputsData[],ReadMe!$M$3,FALSE)</f>
        <v>PRODUIT 07  |  DEPENSES SUR ACHATS</v>
      </c>
      <c r="AS285" s="264" t="b">
        <f t="shared" ref="AS285:AS292" si="611">AND(EXACT(ROUND(AI285,2),ROUND(AJ285+AK285+AL285,2)),EXACT(ROUND(AI285,2),ROUND(AM285+AO285,2)))</f>
        <v>1</v>
      </c>
      <c r="AT285" s="294"/>
    </row>
    <row r="286" spans="1:46" ht="13" hidden="1" x14ac:dyDescent="0.2">
      <c r="A286" s="294"/>
      <c r="B286" s="924"/>
      <c r="C286" s="271">
        <v>279</v>
      </c>
      <c r="D286" s="250">
        <f t="shared" si="560"/>
        <v>0</v>
      </c>
      <c r="E286" s="250"/>
      <c r="F286" s="248" t="str">
        <f t="shared" si="601"/>
        <v>YEAR-1</v>
      </c>
      <c r="G286" s="250">
        <f>VLOOKUP(F286,TableInputsData[],$G$6,FALSE)</f>
        <v>2024</v>
      </c>
      <c r="H286" s="250" t="str">
        <f t="shared" si="561"/>
        <v>PRODUCT</v>
      </c>
      <c r="I286" s="248" t="str">
        <f t="shared" si="561"/>
        <v>PRODUCT 07</v>
      </c>
      <c r="J286" s="248" t="str">
        <f>VLOOKUP(I286,TableInputsData[],$J$6,FALSE)</f>
        <v>-</v>
      </c>
      <c r="K286" s="248" t="str">
        <f>K285</f>
        <v>COST OF GOODS SOLD</v>
      </c>
      <c r="L286" s="255"/>
      <c r="M286" s="255"/>
      <c r="N286" s="255"/>
      <c r="O286" s="265"/>
      <c r="P286" s="260"/>
      <c r="Q286" s="260"/>
      <c r="R286" s="260"/>
      <c r="S286" s="630"/>
      <c r="T286" s="630"/>
      <c r="U286" s="630"/>
      <c r="V286" s="630"/>
      <c r="W286" s="260"/>
      <c r="X286" s="260"/>
      <c r="Y286" s="260"/>
      <c r="Z286" s="260"/>
      <c r="AA286" s="260"/>
      <c r="AB286" s="260"/>
      <c r="AC286" s="265"/>
      <c r="AD286" s="634"/>
      <c r="AE286" s="264">
        <f t="shared" ref="AE286:AH286" si="612">AE262*($S262*$P262+$T262*$Q262+$U262*$R262)</f>
        <v>0</v>
      </c>
      <c r="AF286" s="264">
        <f t="shared" si="612"/>
        <v>0</v>
      </c>
      <c r="AG286" s="264">
        <f t="shared" si="612"/>
        <v>0</v>
      </c>
      <c r="AH286" s="264">
        <f t="shared" si="612"/>
        <v>0</v>
      </c>
      <c r="AI286" s="264">
        <f t="shared" si="603"/>
        <v>0</v>
      </c>
      <c r="AJ286" s="264">
        <f t="shared" si="604"/>
        <v>0</v>
      </c>
      <c r="AK286" s="264">
        <f t="shared" si="605"/>
        <v>0</v>
      </c>
      <c r="AL286" s="264">
        <f t="shared" si="606"/>
        <v>0</v>
      </c>
      <c r="AM286" s="264">
        <f t="shared" si="607"/>
        <v>0</v>
      </c>
      <c r="AN286" s="640">
        <f t="shared" si="608"/>
        <v>0</v>
      </c>
      <c r="AO286" s="264">
        <f t="shared" si="609"/>
        <v>0</v>
      </c>
      <c r="AP286" s="640">
        <f t="shared" si="610"/>
        <v>0</v>
      </c>
      <c r="AQ286" s="264"/>
      <c r="AR286" s="264" t="str">
        <f>VLOOKUP($I286,TableInputsData[],ReadMe!$M$3,FALSE)&amp;"  |  "&amp;VLOOKUP($K286,TableInputsData[],ReadMe!$M$3,FALSE)</f>
        <v>PRODUIT 07  |  DEPENSES SUR ACHATS</v>
      </c>
      <c r="AS286" s="264" t="b">
        <f t="shared" si="611"/>
        <v>1</v>
      </c>
      <c r="AT286" s="294"/>
    </row>
    <row r="287" spans="1:46" ht="13" hidden="1" x14ac:dyDescent="0.2">
      <c r="A287" s="294"/>
      <c r="B287" s="924"/>
      <c r="C287" s="271">
        <v>280</v>
      </c>
      <c r="D287" s="250">
        <f t="shared" si="560"/>
        <v>0</v>
      </c>
      <c r="E287" s="250"/>
      <c r="F287" s="248" t="str">
        <f t="shared" si="601"/>
        <v>CURRENT YEAR</v>
      </c>
      <c r="G287" s="250">
        <f>VLOOKUP(F287,TableInputsData[],$G$6,FALSE)</f>
        <v>2025</v>
      </c>
      <c r="H287" s="250" t="str">
        <f t="shared" si="561"/>
        <v>PRODUCT</v>
      </c>
      <c r="I287" s="248" t="str">
        <f t="shared" si="561"/>
        <v>PRODUCT 07</v>
      </c>
      <c r="J287" s="248" t="str">
        <f>VLOOKUP(I287,TableInputsData[],$J$6,FALSE)</f>
        <v>-</v>
      </c>
      <c r="K287" s="248" t="str">
        <f t="shared" ref="K287:K292" si="613">K286</f>
        <v>COST OF GOODS SOLD</v>
      </c>
      <c r="L287" s="255"/>
      <c r="M287" s="255"/>
      <c r="N287" s="255"/>
      <c r="O287" s="265"/>
      <c r="P287" s="260"/>
      <c r="Q287" s="260"/>
      <c r="R287" s="260"/>
      <c r="S287" s="630"/>
      <c r="T287" s="630"/>
      <c r="U287" s="630"/>
      <c r="V287" s="630"/>
      <c r="W287" s="260"/>
      <c r="X287" s="260"/>
      <c r="Y287" s="260"/>
      <c r="Z287" s="260"/>
      <c r="AA287" s="260"/>
      <c r="AB287" s="260"/>
      <c r="AC287" s="265"/>
      <c r="AD287" s="634"/>
      <c r="AE287" s="264">
        <f t="shared" ref="AE287:AH287" si="614">AE263*($S263*$P263+$T263*$Q263+$U263*$R263)</f>
        <v>0</v>
      </c>
      <c r="AF287" s="264">
        <f t="shared" si="614"/>
        <v>0</v>
      </c>
      <c r="AG287" s="264">
        <f t="shared" si="614"/>
        <v>0</v>
      </c>
      <c r="AH287" s="264">
        <f t="shared" si="614"/>
        <v>0</v>
      </c>
      <c r="AI287" s="264">
        <f t="shared" si="603"/>
        <v>0</v>
      </c>
      <c r="AJ287" s="264">
        <f t="shared" si="604"/>
        <v>0</v>
      </c>
      <c r="AK287" s="264">
        <f t="shared" si="605"/>
        <v>0</v>
      </c>
      <c r="AL287" s="264">
        <f t="shared" si="606"/>
        <v>0</v>
      </c>
      <c r="AM287" s="264">
        <f t="shared" si="607"/>
        <v>0</v>
      </c>
      <c r="AN287" s="640">
        <f t="shared" si="608"/>
        <v>0</v>
      </c>
      <c r="AO287" s="264">
        <f t="shared" si="609"/>
        <v>0</v>
      </c>
      <c r="AP287" s="640">
        <f t="shared" si="610"/>
        <v>0</v>
      </c>
      <c r="AQ287" s="264"/>
      <c r="AR287" s="264" t="str">
        <f>VLOOKUP($I287,TableInputsData[],ReadMe!$M$3,FALSE)&amp;"  |  "&amp;VLOOKUP($K287,TableInputsData[],ReadMe!$M$3,FALSE)</f>
        <v>PRODUIT 07  |  DEPENSES SUR ACHATS</v>
      </c>
      <c r="AS287" s="264" t="b">
        <f t="shared" si="611"/>
        <v>1</v>
      </c>
      <c r="AT287" s="294"/>
    </row>
    <row r="288" spans="1:46" ht="13" hidden="1" x14ac:dyDescent="0.2">
      <c r="A288" s="294"/>
      <c r="B288" s="924"/>
      <c r="C288" s="271">
        <v>281</v>
      </c>
      <c r="D288" s="250">
        <f t="shared" si="560"/>
        <v>0</v>
      </c>
      <c r="E288" s="250"/>
      <c r="F288" s="248" t="str">
        <f t="shared" si="601"/>
        <v>YEAR2</v>
      </c>
      <c r="G288" s="250">
        <f>VLOOKUP(F288,TableInputsData[],$G$6,FALSE)</f>
        <v>2026</v>
      </c>
      <c r="H288" s="250" t="str">
        <f t="shared" si="561"/>
        <v>PRODUCT</v>
      </c>
      <c r="I288" s="248" t="str">
        <f t="shared" si="561"/>
        <v>PRODUCT 07</v>
      </c>
      <c r="J288" s="248" t="str">
        <f>VLOOKUP(I288,TableInputsData[],$J$6,FALSE)</f>
        <v>-</v>
      </c>
      <c r="K288" s="248" t="str">
        <f t="shared" si="613"/>
        <v>COST OF GOODS SOLD</v>
      </c>
      <c r="L288" s="255"/>
      <c r="M288" s="255"/>
      <c r="N288" s="255"/>
      <c r="O288" s="265"/>
      <c r="P288" s="260"/>
      <c r="Q288" s="260"/>
      <c r="R288" s="260"/>
      <c r="S288" s="630"/>
      <c r="T288" s="630"/>
      <c r="U288" s="630"/>
      <c r="V288" s="630"/>
      <c r="W288" s="260"/>
      <c r="X288" s="260"/>
      <c r="Y288" s="260"/>
      <c r="Z288" s="260"/>
      <c r="AA288" s="260"/>
      <c r="AB288" s="260"/>
      <c r="AC288" s="265"/>
      <c r="AD288" s="634"/>
      <c r="AE288" s="264">
        <f t="shared" ref="AE288:AH288" si="615">AE264*($S264*$P264+$T264*$Q264+$U264*$R264)</f>
        <v>0</v>
      </c>
      <c r="AF288" s="264">
        <f t="shared" si="615"/>
        <v>0</v>
      </c>
      <c r="AG288" s="264">
        <f t="shared" si="615"/>
        <v>0</v>
      </c>
      <c r="AH288" s="264">
        <f t="shared" si="615"/>
        <v>0</v>
      </c>
      <c r="AI288" s="264">
        <f t="shared" si="603"/>
        <v>0</v>
      </c>
      <c r="AJ288" s="264">
        <f t="shared" si="604"/>
        <v>0</v>
      </c>
      <c r="AK288" s="264">
        <f t="shared" si="605"/>
        <v>0</v>
      </c>
      <c r="AL288" s="264">
        <f t="shared" si="606"/>
        <v>0</v>
      </c>
      <c r="AM288" s="264">
        <f t="shared" si="607"/>
        <v>0</v>
      </c>
      <c r="AN288" s="640">
        <f t="shared" si="608"/>
        <v>0</v>
      </c>
      <c r="AO288" s="264">
        <f t="shared" si="609"/>
        <v>0</v>
      </c>
      <c r="AP288" s="640">
        <f t="shared" si="610"/>
        <v>0</v>
      </c>
      <c r="AQ288" s="264"/>
      <c r="AR288" s="264" t="str">
        <f>VLOOKUP($I288,TableInputsData[],ReadMe!$M$3,FALSE)&amp;"  |  "&amp;VLOOKUP($K288,TableInputsData[],ReadMe!$M$3,FALSE)</f>
        <v>PRODUIT 07  |  DEPENSES SUR ACHATS</v>
      </c>
      <c r="AS288" s="264" t="b">
        <f t="shared" si="611"/>
        <v>1</v>
      </c>
      <c r="AT288" s="294"/>
    </row>
    <row r="289" spans="1:46" ht="13" hidden="1" x14ac:dyDescent="0.2">
      <c r="A289" s="294"/>
      <c r="B289" s="924"/>
      <c r="C289" s="271">
        <v>282</v>
      </c>
      <c r="D289" s="250">
        <f t="shared" si="560"/>
        <v>0</v>
      </c>
      <c r="E289" s="250"/>
      <c r="F289" s="248" t="str">
        <f t="shared" si="601"/>
        <v>YEAR3</v>
      </c>
      <c r="G289" s="250">
        <f>VLOOKUP(F289,TableInputsData[],$G$6,FALSE)</f>
        <v>2027</v>
      </c>
      <c r="H289" s="250" t="str">
        <f t="shared" si="561"/>
        <v>PRODUCT</v>
      </c>
      <c r="I289" s="248" t="str">
        <f t="shared" si="561"/>
        <v>PRODUCT 07</v>
      </c>
      <c r="J289" s="248" t="str">
        <f>VLOOKUP(I289,TableInputsData[],$J$6,FALSE)</f>
        <v>-</v>
      </c>
      <c r="K289" s="248" t="str">
        <f t="shared" si="613"/>
        <v>COST OF GOODS SOLD</v>
      </c>
      <c r="L289" s="255"/>
      <c r="M289" s="255"/>
      <c r="N289" s="255"/>
      <c r="O289" s="265"/>
      <c r="P289" s="260"/>
      <c r="Q289" s="260"/>
      <c r="R289" s="260"/>
      <c r="S289" s="630"/>
      <c r="T289" s="630"/>
      <c r="U289" s="630"/>
      <c r="V289" s="630"/>
      <c r="W289" s="260"/>
      <c r="X289" s="260"/>
      <c r="Y289" s="260"/>
      <c r="Z289" s="260"/>
      <c r="AA289" s="260"/>
      <c r="AB289" s="260"/>
      <c r="AC289" s="265"/>
      <c r="AD289" s="634"/>
      <c r="AE289" s="264">
        <f t="shared" ref="AE289:AH289" si="616">AE265*($S265*$P265+$T265*$Q265+$U265*$R265)</f>
        <v>0</v>
      </c>
      <c r="AF289" s="264">
        <f t="shared" si="616"/>
        <v>0</v>
      </c>
      <c r="AG289" s="264">
        <f t="shared" si="616"/>
        <v>0</v>
      </c>
      <c r="AH289" s="264">
        <f t="shared" si="616"/>
        <v>0</v>
      </c>
      <c r="AI289" s="264">
        <f t="shared" si="603"/>
        <v>0</v>
      </c>
      <c r="AJ289" s="264">
        <f t="shared" si="604"/>
        <v>0</v>
      </c>
      <c r="AK289" s="264">
        <f t="shared" si="605"/>
        <v>0</v>
      </c>
      <c r="AL289" s="264">
        <f t="shared" si="606"/>
        <v>0</v>
      </c>
      <c r="AM289" s="264">
        <f t="shared" si="607"/>
        <v>0</v>
      </c>
      <c r="AN289" s="640">
        <f t="shared" si="608"/>
        <v>0</v>
      </c>
      <c r="AO289" s="264">
        <f t="shared" si="609"/>
        <v>0</v>
      </c>
      <c r="AP289" s="640">
        <f t="shared" si="610"/>
        <v>0</v>
      </c>
      <c r="AQ289" s="264"/>
      <c r="AR289" s="264" t="str">
        <f>VLOOKUP($I289,TableInputsData[],ReadMe!$M$3,FALSE)&amp;"  |  "&amp;VLOOKUP($K289,TableInputsData[],ReadMe!$M$3,FALSE)</f>
        <v>PRODUIT 07  |  DEPENSES SUR ACHATS</v>
      </c>
      <c r="AS289" s="264" t="b">
        <f t="shared" si="611"/>
        <v>1</v>
      </c>
      <c r="AT289" s="294"/>
    </row>
    <row r="290" spans="1:46" ht="13" hidden="1" x14ac:dyDescent="0.2">
      <c r="A290" s="294"/>
      <c r="B290" s="924"/>
      <c r="C290" s="271">
        <v>283</v>
      </c>
      <c r="D290" s="250">
        <f t="shared" si="560"/>
        <v>0</v>
      </c>
      <c r="E290" s="250"/>
      <c r="F290" s="248" t="str">
        <f t="shared" si="601"/>
        <v>YEAR4</v>
      </c>
      <c r="G290" s="250">
        <f>VLOOKUP(F290,TableInputsData[],$G$6,FALSE)</f>
        <v>2028</v>
      </c>
      <c r="H290" s="250" t="str">
        <f t="shared" si="561"/>
        <v>PRODUCT</v>
      </c>
      <c r="I290" s="248" t="str">
        <f t="shared" si="561"/>
        <v>PRODUCT 07</v>
      </c>
      <c r="J290" s="248" t="str">
        <f>VLOOKUP(I290,TableInputsData[],$J$6,FALSE)</f>
        <v>-</v>
      </c>
      <c r="K290" s="248" t="str">
        <f t="shared" si="613"/>
        <v>COST OF GOODS SOLD</v>
      </c>
      <c r="L290" s="255"/>
      <c r="M290" s="255"/>
      <c r="N290" s="255"/>
      <c r="O290" s="265"/>
      <c r="P290" s="260"/>
      <c r="Q290" s="260"/>
      <c r="R290" s="260"/>
      <c r="S290" s="630"/>
      <c r="T290" s="630"/>
      <c r="U290" s="630"/>
      <c r="V290" s="630"/>
      <c r="W290" s="260"/>
      <c r="X290" s="260"/>
      <c r="Y290" s="260"/>
      <c r="Z290" s="260"/>
      <c r="AA290" s="260"/>
      <c r="AB290" s="260"/>
      <c r="AC290" s="265"/>
      <c r="AD290" s="634"/>
      <c r="AE290" s="264">
        <f t="shared" ref="AE290:AH290" si="617">AE266*($S266*$P266+$T266*$Q266+$U266*$R266)</f>
        <v>0</v>
      </c>
      <c r="AF290" s="264">
        <f t="shared" si="617"/>
        <v>0</v>
      </c>
      <c r="AG290" s="264">
        <f t="shared" si="617"/>
        <v>0</v>
      </c>
      <c r="AH290" s="264">
        <f t="shared" si="617"/>
        <v>0</v>
      </c>
      <c r="AI290" s="264">
        <f t="shared" si="603"/>
        <v>0</v>
      </c>
      <c r="AJ290" s="264">
        <f t="shared" si="604"/>
        <v>0</v>
      </c>
      <c r="AK290" s="264">
        <f t="shared" si="605"/>
        <v>0</v>
      </c>
      <c r="AL290" s="264">
        <f t="shared" si="606"/>
        <v>0</v>
      </c>
      <c r="AM290" s="264">
        <f t="shared" si="607"/>
        <v>0</v>
      </c>
      <c r="AN290" s="640">
        <f t="shared" si="608"/>
        <v>0</v>
      </c>
      <c r="AO290" s="264">
        <f t="shared" si="609"/>
        <v>0</v>
      </c>
      <c r="AP290" s="640">
        <f t="shared" si="610"/>
        <v>0</v>
      </c>
      <c r="AQ290" s="264"/>
      <c r="AR290" s="264" t="str">
        <f>VLOOKUP($I290,TableInputsData[],ReadMe!$M$3,FALSE)&amp;"  |  "&amp;VLOOKUP($K290,TableInputsData[],ReadMe!$M$3,FALSE)</f>
        <v>PRODUIT 07  |  DEPENSES SUR ACHATS</v>
      </c>
      <c r="AS290" s="264" t="b">
        <f t="shared" si="611"/>
        <v>1</v>
      </c>
      <c r="AT290" s="294"/>
    </row>
    <row r="291" spans="1:46" ht="13" hidden="1" x14ac:dyDescent="0.2">
      <c r="A291" s="294"/>
      <c r="B291" s="924"/>
      <c r="C291" s="271">
        <v>284</v>
      </c>
      <c r="D291" s="250">
        <f t="shared" si="560"/>
        <v>0</v>
      </c>
      <c r="E291" s="250"/>
      <c r="F291" s="248" t="str">
        <f t="shared" si="601"/>
        <v>YEAR5</v>
      </c>
      <c r="G291" s="250">
        <f>VLOOKUP(F291,TableInputsData[],$G$6,FALSE)</f>
        <v>2029</v>
      </c>
      <c r="H291" s="250" t="str">
        <f t="shared" si="561"/>
        <v>PRODUCT</v>
      </c>
      <c r="I291" s="248" t="str">
        <f t="shared" si="561"/>
        <v>PRODUCT 07</v>
      </c>
      <c r="J291" s="248" t="str">
        <f>VLOOKUP(I291,TableInputsData[],$J$6,FALSE)</f>
        <v>-</v>
      </c>
      <c r="K291" s="248" t="str">
        <f t="shared" si="613"/>
        <v>COST OF GOODS SOLD</v>
      </c>
      <c r="L291" s="255"/>
      <c r="M291" s="255"/>
      <c r="N291" s="255"/>
      <c r="O291" s="265"/>
      <c r="P291" s="260"/>
      <c r="Q291" s="260"/>
      <c r="R291" s="260"/>
      <c r="S291" s="630"/>
      <c r="T291" s="630"/>
      <c r="U291" s="630"/>
      <c r="V291" s="630"/>
      <c r="W291" s="260"/>
      <c r="X291" s="260"/>
      <c r="Y291" s="260"/>
      <c r="Z291" s="260"/>
      <c r="AA291" s="260"/>
      <c r="AB291" s="260"/>
      <c r="AC291" s="265"/>
      <c r="AD291" s="634"/>
      <c r="AE291" s="264">
        <f t="shared" ref="AE291:AH291" si="618">AE267*($S267*$P267+$T267*$Q267+$U267*$R267)</f>
        <v>0</v>
      </c>
      <c r="AF291" s="264">
        <f t="shared" si="618"/>
        <v>0</v>
      </c>
      <c r="AG291" s="264">
        <f t="shared" si="618"/>
        <v>0</v>
      </c>
      <c r="AH291" s="264">
        <f t="shared" si="618"/>
        <v>0</v>
      </c>
      <c r="AI291" s="264">
        <f t="shared" si="603"/>
        <v>0</v>
      </c>
      <c r="AJ291" s="264">
        <f t="shared" si="604"/>
        <v>0</v>
      </c>
      <c r="AK291" s="264">
        <f t="shared" si="605"/>
        <v>0</v>
      </c>
      <c r="AL291" s="264">
        <f t="shared" si="606"/>
        <v>0</v>
      </c>
      <c r="AM291" s="264">
        <f t="shared" si="607"/>
        <v>0</v>
      </c>
      <c r="AN291" s="640">
        <f t="shared" si="608"/>
        <v>0</v>
      </c>
      <c r="AO291" s="264">
        <f t="shared" si="609"/>
        <v>0</v>
      </c>
      <c r="AP291" s="640">
        <f t="shared" si="610"/>
        <v>0</v>
      </c>
      <c r="AQ291" s="264"/>
      <c r="AR291" s="264" t="str">
        <f>VLOOKUP($I291,TableInputsData[],ReadMe!$M$3,FALSE)&amp;"  |  "&amp;VLOOKUP($K291,TableInputsData[],ReadMe!$M$3,FALSE)</f>
        <v>PRODUIT 07  |  DEPENSES SUR ACHATS</v>
      </c>
      <c r="AS291" s="264" t="b">
        <f t="shared" si="611"/>
        <v>1</v>
      </c>
      <c r="AT291" s="294"/>
    </row>
    <row r="292" spans="1:46" ht="13" hidden="1" x14ac:dyDescent="0.2">
      <c r="A292" s="294"/>
      <c r="B292" s="924"/>
      <c r="C292" s="271">
        <v>285</v>
      </c>
      <c r="D292" s="250">
        <f t="shared" si="560"/>
        <v>0</v>
      </c>
      <c r="E292" s="250"/>
      <c r="F292" s="248" t="str">
        <f t="shared" si="601"/>
        <v>YEAR6</v>
      </c>
      <c r="G292" s="250">
        <f>VLOOKUP(F292,TableInputsData[],$G$6,FALSE)</f>
        <v>2030</v>
      </c>
      <c r="H292" s="250" t="str">
        <f t="shared" si="561"/>
        <v>PRODUCT</v>
      </c>
      <c r="I292" s="248" t="str">
        <f t="shared" si="561"/>
        <v>PRODUCT 07</v>
      </c>
      <c r="J292" s="248" t="str">
        <f>VLOOKUP(I292,TableInputsData[],$J$6,FALSE)</f>
        <v>-</v>
      </c>
      <c r="K292" s="248" t="str">
        <f t="shared" si="613"/>
        <v>COST OF GOODS SOLD</v>
      </c>
      <c r="L292" s="255"/>
      <c r="M292" s="255"/>
      <c r="N292" s="255"/>
      <c r="O292" s="265"/>
      <c r="P292" s="260"/>
      <c r="Q292" s="260"/>
      <c r="R292" s="260"/>
      <c r="S292" s="630"/>
      <c r="T292" s="630"/>
      <c r="U292" s="630"/>
      <c r="V292" s="630"/>
      <c r="W292" s="260"/>
      <c r="X292" s="260"/>
      <c r="Y292" s="260"/>
      <c r="Z292" s="260"/>
      <c r="AA292" s="260"/>
      <c r="AB292" s="260"/>
      <c r="AC292" s="265"/>
      <c r="AD292" s="634"/>
      <c r="AE292" s="264">
        <f t="shared" ref="AE292:AH292" si="619">AE268*($S268*$P268+$T268*$Q268+$U268*$R268)</f>
        <v>0</v>
      </c>
      <c r="AF292" s="264">
        <f t="shared" si="619"/>
        <v>0</v>
      </c>
      <c r="AG292" s="264">
        <f t="shared" si="619"/>
        <v>0</v>
      </c>
      <c r="AH292" s="264">
        <f t="shared" si="619"/>
        <v>0</v>
      </c>
      <c r="AI292" s="264">
        <f t="shared" si="603"/>
        <v>0</v>
      </c>
      <c r="AJ292" s="264">
        <f t="shared" si="604"/>
        <v>0</v>
      </c>
      <c r="AK292" s="264">
        <f t="shared" si="605"/>
        <v>0</v>
      </c>
      <c r="AL292" s="264">
        <f t="shared" si="606"/>
        <v>0</v>
      </c>
      <c r="AM292" s="264">
        <f t="shared" si="607"/>
        <v>0</v>
      </c>
      <c r="AN292" s="640">
        <f t="shared" si="608"/>
        <v>0</v>
      </c>
      <c r="AO292" s="264">
        <f t="shared" si="609"/>
        <v>0</v>
      </c>
      <c r="AP292" s="640">
        <f t="shared" si="610"/>
        <v>0</v>
      </c>
      <c r="AQ292" s="264"/>
      <c r="AR292" s="264" t="str">
        <f>VLOOKUP($I292,TableInputsData[],ReadMe!$M$3,FALSE)&amp;"  |  "&amp;VLOOKUP($K292,TableInputsData[],ReadMe!$M$3,FALSE)</f>
        <v>PRODUIT 07  |  DEPENSES SUR ACHATS</v>
      </c>
      <c r="AS292" s="264" t="b">
        <f t="shared" si="611"/>
        <v>1</v>
      </c>
      <c r="AT292" s="294"/>
    </row>
    <row r="293" spans="1:46" ht="13" hidden="1" x14ac:dyDescent="0.2">
      <c r="A293" s="294"/>
      <c r="B293" s="924"/>
      <c r="C293" s="272">
        <v>286</v>
      </c>
      <c r="D293" s="250">
        <f t="shared" si="560"/>
        <v>0</v>
      </c>
      <c r="E293" s="251"/>
      <c r="F293" s="248" t="str">
        <f t="shared" ref="F293:F300" si="620">F269</f>
        <v>YEAR-2</v>
      </c>
      <c r="G293" s="250">
        <f>VLOOKUP(F293,TableInputsData[],$G$6,FALSE)</f>
        <v>2023</v>
      </c>
      <c r="H293" s="250" t="str">
        <f t="shared" si="561"/>
        <v>PRODUCT</v>
      </c>
      <c r="I293" s="248" t="str">
        <f t="shared" si="561"/>
        <v>PRODUCT 07</v>
      </c>
      <c r="J293" s="248" t="str">
        <f>VLOOKUP(I293,TableInputsData[],$J$6,FALSE)</f>
        <v>-</v>
      </c>
      <c r="K293" s="248" t="s">
        <v>532</v>
      </c>
      <c r="L293" s="256"/>
      <c r="M293" s="256"/>
      <c r="N293" s="256"/>
      <c r="O293" s="266"/>
      <c r="P293" s="261"/>
      <c r="Q293" s="261"/>
      <c r="R293" s="261"/>
      <c r="S293" s="629"/>
      <c r="T293" s="629"/>
      <c r="U293" s="629"/>
      <c r="V293" s="629"/>
      <c r="W293" s="261"/>
      <c r="X293" s="261"/>
      <c r="Y293" s="261"/>
      <c r="Z293" s="261"/>
      <c r="AA293" s="261"/>
      <c r="AB293" s="261"/>
      <c r="AC293" s="266"/>
      <c r="AD293" s="633"/>
      <c r="AE293" s="264">
        <f>IF(AE261=0,0,AE285/AE261)</f>
        <v>0</v>
      </c>
      <c r="AF293" s="264">
        <f t="shared" ref="AF293:AI293" si="621">IF(AF261=0,0,AF285/AF261)</f>
        <v>0</v>
      </c>
      <c r="AG293" s="264">
        <f t="shared" si="621"/>
        <v>0</v>
      </c>
      <c r="AH293" s="264">
        <f t="shared" si="621"/>
        <v>0</v>
      </c>
      <c r="AI293" s="264">
        <f t="shared" si="621"/>
        <v>0</v>
      </c>
      <c r="AJ293" s="264">
        <f>IF(AJ261=0,0,AJ285/AJ261)</f>
        <v>0</v>
      </c>
      <c r="AK293" s="264">
        <f t="shared" ref="AK293:AL293" si="622">IF(AK261=0,0,AK285/AK261)</f>
        <v>0</v>
      </c>
      <c r="AL293" s="264">
        <f t="shared" si="622"/>
        <v>0</v>
      </c>
      <c r="AM293" s="264">
        <f>IF(AM261=0,0,AM285/AM261)</f>
        <v>0</v>
      </c>
      <c r="AN293" s="260"/>
      <c r="AO293" s="264">
        <f t="shared" ref="AO293" si="623">IF(AO261=0,0,AO285/AO261)</f>
        <v>0</v>
      </c>
      <c r="AP293" s="260"/>
      <c r="AQ293" s="264"/>
      <c r="AR293" s="264" t="str">
        <f>VLOOKUP($I293,TableInputsData[],ReadMe!$M$3,FALSE)&amp;"  |  "&amp;VLOOKUP($K293,TableInputsData[],ReadMe!$M$3,FALSE)</f>
        <v>PRODUIT 07  |  PRIX MOYEN D'ACHAT PAR PRODUIT/SERVICE</v>
      </c>
      <c r="AS293" s="264"/>
      <c r="AT293" s="294"/>
    </row>
    <row r="294" spans="1:46" ht="13" hidden="1" x14ac:dyDescent="0.2">
      <c r="A294" s="294"/>
      <c r="B294" s="924"/>
      <c r="C294" s="272">
        <v>287</v>
      </c>
      <c r="D294" s="250">
        <f t="shared" si="560"/>
        <v>0</v>
      </c>
      <c r="E294" s="251"/>
      <c r="F294" s="248" t="str">
        <f t="shared" si="620"/>
        <v>YEAR-1</v>
      </c>
      <c r="G294" s="250">
        <f>VLOOKUP(F294,TableInputsData[],$G$6,FALSE)</f>
        <v>2024</v>
      </c>
      <c r="H294" s="250" t="str">
        <f t="shared" si="561"/>
        <v>PRODUCT</v>
      </c>
      <c r="I294" s="248" t="str">
        <f t="shared" si="561"/>
        <v>PRODUCT 07</v>
      </c>
      <c r="J294" s="248" t="str">
        <f>VLOOKUP(I294,TableInputsData[],$J$6,FALSE)</f>
        <v>-</v>
      </c>
      <c r="K294" s="248" t="str">
        <f>K293</f>
        <v>AVERAGE COST OF GOODS SOLD PER UNIT</v>
      </c>
      <c r="L294" s="256"/>
      <c r="M294" s="256"/>
      <c r="N294" s="256"/>
      <c r="O294" s="266"/>
      <c r="P294" s="261"/>
      <c r="Q294" s="261"/>
      <c r="R294" s="261"/>
      <c r="S294" s="629"/>
      <c r="T294" s="629"/>
      <c r="U294" s="629"/>
      <c r="V294" s="629"/>
      <c r="W294" s="261"/>
      <c r="X294" s="261"/>
      <c r="Y294" s="261"/>
      <c r="Z294" s="261"/>
      <c r="AA294" s="261"/>
      <c r="AB294" s="261"/>
      <c r="AC294" s="266"/>
      <c r="AD294" s="633"/>
      <c r="AE294" s="264">
        <f t="shared" ref="AE294:AL294" si="624">IF(AE262=0,0,AE286/AE262)</f>
        <v>0</v>
      </c>
      <c r="AF294" s="264">
        <f t="shared" si="624"/>
        <v>0</v>
      </c>
      <c r="AG294" s="264">
        <f t="shared" si="624"/>
        <v>0</v>
      </c>
      <c r="AH294" s="264">
        <f t="shared" si="624"/>
        <v>0</v>
      </c>
      <c r="AI294" s="264">
        <f t="shared" si="624"/>
        <v>0</v>
      </c>
      <c r="AJ294" s="264">
        <f t="shared" si="624"/>
        <v>0</v>
      </c>
      <c r="AK294" s="264">
        <f t="shared" si="624"/>
        <v>0</v>
      </c>
      <c r="AL294" s="264">
        <f t="shared" si="624"/>
        <v>0</v>
      </c>
      <c r="AM294" s="264">
        <f>IF(AM262=0,0,AM286/AM262)</f>
        <v>0</v>
      </c>
      <c r="AN294" s="260"/>
      <c r="AO294" s="264">
        <f>IF(AO262=0,0,AO286/AO262)</f>
        <v>0</v>
      </c>
      <c r="AP294" s="260"/>
      <c r="AQ294" s="264"/>
      <c r="AR294" s="264" t="str">
        <f>VLOOKUP($I294,TableInputsData[],ReadMe!$M$3,FALSE)&amp;"  |  "&amp;VLOOKUP($K294,TableInputsData[],ReadMe!$M$3,FALSE)</f>
        <v>PRODUIT 07  |  PRIX MOYEN D'ACHAT PAR PRODUIT/SERVICE</v>
      </c>
      <c r="AS294" s="264"/>
      <c r="AT294" s="294"/>
    </row>
    <row r="295" spans="1:46" ht="13" hidden="1" x14ac:dyDescent="0.2">
      <c r="A295" s="294"/>
      <c r="B295" s="924"/>
      <c r="C295" s="272">
        <v>288</v>
      </c>
      <c r="D295" s="250">
        <f t="shared" si="560"/>
        <v>0</v>
      </c>
      <c r="E295" s="251"/>
      <c r="F295" s="248" t="str">
        <f t="shared" si="620"/>
        <v>CURRENT YEAR</v>
      </c>
      <c r="G295" s="250">
        <f>VLOOKUP(F295,TableInputsData[],$G$6,FALSE)</f>
        <v>2025</v>
      </c>
      <c r="H295" s="250" t="str">
        <f t="shared" si="561"/>
        <v>PRODUCT</v>
      </c>
      <c r="I295" s="248" t="str">
        <f t="shared" si="561"/>
        <v>PRODUCT 07</v>
      </c>
      <c r="J295" s="248" t="str">
        <f>VLOOKUP(I295,TableInputsData[],$J$6,FALSE)</f>
        <v>-</v>
      </c>
      <c r="K295" s="248" t="str">
        <f t="shared" ref="K295:K300" si="625">K294</f>
        <v>AVERAGE COST OF GOODS SOLD PER UNIT</v>
      </c>
      <c r="L295" s="256"/>
      <c r="M295" s="256"/>
      <c r="N295" s="256"/>
      <c r="O295" s="266"/>
      <c r="P295" s="261"/>
      <c r="Q295" s="261"/>
      <c r="R295" s="261"/>
      <c r="S295" s="629"/>
      <c r="T295" s="629"/>
      <c r="U295" s="629"/>
      <c r="V295" s="629"/>
      <c r="W295" s="261"/>
      <c r="X295" s="261"/>
      <c r="Y295" s="261"/>
      <c r="Z295" s="261"/>
      <c r="AA295" s="261"/>
      <c r="AB295" s="261"/>
      <c r="AC295" s="266"/>
      <c r="AD295" s="633"/>
      <c r="AE295" s="264">
        <f t="shared" ref="AE295:AL295" si="626">IF(AE263=0,0,AE287/AE263)</f>
        <v>0</v>
      </c>
      <c r="AF295" s="264">
        <f t="shared" si="626"/>
        <v>0</v>
      </c>
      <c r="AG295" s="264">
        <f t="shared" si="626"/>
        <v>0</v>
      </c>
      <c r="AH295" s="264">
        <f t="shared" si="626"/>
        <v>0</v>
      </c>
      <c r="AI295" s="264">
        <f t="shared" si="626"/>
        <v>0</v>
      </c>
      <c r="AJ295" s="264">
        <f t="shared" si="626"/>
        <v>0</v>
      </c>
      <c r="AK295" s="264">
        <f t="shared" si="626"/>
        <v>0</v>
      </c>
      <c r="AL295" s="264">
        <f t="shared" si="626"/>
        <v>0</v>
      </c>
      <c r="AM295" s="264">
        <f>IF(AM263=0,0,AM287/AM263)</f>
        <v>0</v>
      </c>
      <c r="AN295" s="260"/>
      <c r="AO295" s="264">
        <f>IF(AO263=0,0,AO287/AO263)</f>
        <v>0</v>
      </c>
      <c r="AP295" s="260"/>
      <c r="AQ295" s="264"/>
      <c r="AR295" s="264" t="str">
        <f>VLOOKUP($I295,TableInputsData[],ReadMe!$M$3,FALSE)&amp;"  |  "&amp;VLOOKUP($K295,TableInputsData[],ReadMe!$M$3,FALSE)</f>
        <v>PRODUIT 07  |  PRIX MOYEN D'ACHAT PAR PRODUIT/SERVICE</v>
      </c>
      <c r="AS295" s="264"/>
      <c r="AT295" s="294"/>
    </row>
    <row r="296" spans="1:46" ht="13" hidden="1" x14ac:dyDescent="0.2">
      <c r="A296" s="294"/>
      <c r="B296" s="924"/>
      <c r="C296" s="272">
        <v>289</v>
      </c>
      <c r="D296" s="250">
        <f t="shared" si="560"/>
        <v>0</v>
      </c>
      <c r="E296" s="251"/>
      <c r="F296" s="248" t="str">
        <f t="shared" si="620"/>
        <v>YEAR2</v>
      </c>
      <c r="G296" s="250">
        <f>VLOOKUP(F296,TableInputsData[],$G$6,FALSE)</f>
        <v>2026</v>
      </c>
      <c r="H296" s="250" t="str">
        <f t="shared" si="561"/>
        <v>PRODUCT</v>
      </c>
      <c r="I296" s="248" t="str">
        <f t="shared" si="561"/>
        <v>PRODUCT 07</v>
      </c>
      <c r="J296" s="248" t="str">
        <f>VLOOKUP(I296,TableInputsData[],$J$6,FALSE)</f>
        <v>-</v>
      </c>
      <c r="K296" s="248" t="str">
        <f t="shared" si="625"/>
        <v>AVERAGE COST OF GOODS SOLD PER UNIT</v>
      </c>
      <c r="L296" s="256"/>
      <c r="M296" s="256"/>
      <c r="N296" s="256"/>
      <c r="O296" s="266"/>
      <c r="P296" s="261"/>
      <c r="Q296" s="261"/>
      <c r="R296" s="261"/>
      <c r="S296" s="629"/>
      <c r="T296" s="629"/>
      <c r="U296" s="629"/>
      <c r="V296" s="629"/>
      <c r="W296" s="261"/>
      <c r="X296" s="261"/>
      <c r="Y296" s="261"/>
      <c r="Z296" s="261"/>
      <c r="AA296" s="261"/>
      <c r="AB296" s="261"/>
      <c r="AC296" s="266"/>
      <c r="AD296" s="633"/>
      <c r="AE296" s="264">
        <f t="shared" ref="AE296:AM296" si="627">IF(AE264=0,0,AE288/AE264)</f>
        <v>0</v>
      </c>
      <c r="AF296" s="264">
        <f t="shared" si="627"/>
        <v>0</v>
      </c>
      <c r="AG296" s="264">
        <f t="shared" si="627"/>
        <v>0</v>
      </c>
      <c r="AH296" s="264">
        <f t="shared" si="627"/>
        <v>0</v>
      </c>
      <c r="AI296" s="264">
        <f t="shared" si="627"/>
        <v>0</v>
      </c>
      <c r="AJ296" s="264">
        <f t="shared" si="627"/>
        <v>0</v>
      </c>
      <c r="AK296" s="264">
        <f t="shared" si="627"/>
        <v>0</v>
      </c>
      <c r="AL296" s="264">
        <f t="shared" si="627"/>
        <v>0</v>
      </c>
      <c r="AM296" s="264">
        <f t="shared" si="627"/>
        <v>0</v>
      </c>
      <c r="AN296" s="260"/>
      <c r="AO296" s="264">
        <f t="shared" ref="AO296" si="628">IF(AO264=0,0,AO288/AO264)</f>
        <v>0</v>
      </c>
      <c r="AP296" s="260"/>
      <c r="AQ296" s="264"/>
      <c r="AR296" s="264" t="str">
        <f>VLOOKUP($I296,TableInputsData[],ReadMe!$M$3,FALSE)&amp;"  |  "&amp;VLOOKUP($K296,TableInputsData[],ReadMe!$M$3,FALSE)</f>
        <v>PRODUIT 07  |  PRIX MOYEN D'ACHAT PAR PRODUIT/SERVICE</v>
      </c>
      <c r="AS296" s="264"/>
      <c r="AT296" s="294"/>
    </row>
    <row r="297" spans="1:46" ht="13" hidden="1" x14ac:dyDescent="0.2">
      <c r="A297" s="294"/>
      <c r="B297" s="924"/>
      <c r="C297" s="272">
        <v>290</v>
      </c>
      <c r="D297" s="250">
        <f t="shared" si="560"/>
        <v>0</v>
      </c>
      <c r="E297" s="251"/>
      <c r="F297" s="248" t="str">
        <f t="shared" si="620"/>
        <v>YEAR3</v>
      </c>
      <c r="G297" s="250">
        <f>VLOOKUP(F297,TableInputsData[],$G$6,FALSE)</f>
        <v>2027</v>
      </c>
      <c r="H297" s="250" t="str">
        <f t="shared" si="561"/>
        <v>PRODUCT</v>
      </c>
      <c r="I297" s="248" t="str">
        <f t="shared" si="561"/>
        <v>PRODUCT 07</v>
      </c>
      <c r="J297" s="248" t="str">
        <f>VLOOKUP(I297,TableInputsData[],$J$6,FALSE)</f>
        <v>-</v>
      </c>
      <c r="K297" s="248" t="str">
        <f t="shared" si="625"/>
        <v>AVERAGE COST OF GOODS SOLD PER UNIT</v>
      </c>
      <c r="L297" s="256"/>
      <c r="M297" s="256"/>
      <c r="N297" s="256"/>
      <c r="O297" s="266"/>
      <c r="P297" s="261"/>
      <c r="Q297" s="261"/>
      <c r="R297" s="261"/>
      <c r="S297" s="629"/>
      <c r="T297" s="629"/>
      <c r="U297" s="629"/>
      <c r="V297" s="629"/>
      <c r="W297" s="261"/>
      <c r="X297" s="261"/>
      <c r="Y297" s="261"/>
      <c r="Z297" s="261"/>
      <c r="AA297" s="261"/>
      <c r="AB297" s="261"/>
      <c r="AC297" s="266"/>
      <c r="AD297" s="633"/>
      <c r="AE297" s="264">
        <f t="shared" ref="AE297:AM297" si="629">IF(AE265=0,0,AE289/AE265)</f>
        <v>0</v>
      </c>
      <c r="AF297" s="264">
        <f t="shared" si="629"/>
        <v>0</v>
      </c>
      <c r="AG297" s="264">
        <f t="shared" si="629"/>
        <v>0</v>
      </c>
      <c r="AH297" s="264">
        <f t="shared" si="629"/>
        <v>0</v>
      </c>
      <c r="AI297" s="264">
        <f t="shared" si="629"/>
        <v>0</v>
      </c>
      <c r="AJ297" s="264">
        <f t="shared" si="629"/>
        <v>0</v>
      </c>
      <c r="AK297" s="264">
        <f t="shared" si="629"/>
        <v>0</v>
      </c>
      <c r="AL297" s="264">
        <f t="shared" si="629"/>
        <v>0</v>
      </c>
      <c r="AM297" s="264">
        <f t="shared" si="629"/>
        <v>0</v>
      </c>
      <c r="AN297" s="260"/>
      <c r="AO297" s="264">
        <f t="shared" ref="AO297" si="630">IF(AO265=0,0,AO289/AO265)</f>
        <v>0</v>
      </c>
      <c r="AP297" s="260"/>
      <c r="AQ297" s="264"/>
      <c r="AR297" s="264" t="str">
        <f>VLOOKUP($I297,TableInputsData[],ReadMe!$M$3,FALSE)&amp;"  |  "&amp;VLOOKUP($K297,TableInputsData[],ReadMe!$M$3,FALSE)</f>
        <v>PRODUIT 07  |  PRIX MOYEN D'ACHAT PAR PRODUIT/SERVICE</v>
      </c>
      <c r="AS297" s="264"/>
      <c r="AT297" s="294"/>
    </row>
    <row r="298" spans="1:46" ht="13" hidden="1" x14ac:dyDescent="0.2">
      <c r="A298" s="294"/>
      <c r="B298" s="924"/>
      <c r="C298" s="272">
        <v>291</v>
      </c>
      <c r="D298" s="250">
        <f t="shared" si="560"/>
        <v>0</v>
      </c>
      <c r="E298" s="251"/>
      <c r="F298" s="248" t="str">
        <f t="shared" si="620"/>
        <v>YEAR4</v>
      </c>
      <c r="G298" s="250">
        <f>VLOOKUP(F298,TableInputsData[],$G$6,FALSE)</f>
        <v>2028</v>
      </c>
      <c r="H298" s="250" t="str">
        <f t="shared" si="561"/>
        <v>PRODUCT</v>
      </c>
      <c r="I298" s="248" t="str">
        <f t="shared" si="561"/>
        <v>PRODUCT 07</v>
      </c>
      <c r="J298" s="248" t="str">
        <f>VLOOKUP(I298,TableInputsData[],$J$6,FALSE)</f>
        <v>-</v>
      </c>
      <c r="K298" s="248" t="str">
        <f t="shared" si="625"/>
        <v>AVERAGE COST OF GOODS SOLD PER UNIT</v>
      </c>
      <c r="L298" s="256"/>
      <c r="M298" s="256"/>
      <c r="N298" s="256"/>
      <c r="O298" s="266"/>
      <c r="P298" s="261"/>
      <c r="Q298" s="261"/>
      <c r="R298" s="261"/>
      <c r="S298" s="629"/>
      <c r="T298" s="629"/>
      <c r="U298" s="629"/>
      <c r="V298" s="629"/>
      <c r="W298" s="261"/>
      <c r="X298" s="261"/>
      <c r="Y298" s="261"/>
      <c r="Z298" s="261"/>
      <c r="AA298" s="261"/>
      <c r="AB298" s="261"/>
      <c r="AC298" s="266"/>
      <c r="AD298" s="633"/>
      <c r="AE298" s="264">
        <f t="shared" ref="AE298:AM298" si="631">IF(AE266=0,0,AE290/AE266)</f>
        <v>0</v>
      </c>
      <c r="AF298" s="264">
        <f t="shared" si="631"/>
        <v>0</v>
      </c>
      <c r="AG298" s="264">
        <f t="shared" si="631"/>
        <v>0</v>
      </c>
      <c r="AH298" s="264">
        <f t="shared" si="631"/>
        <v>0</v>
      </c>
      <c r="AI298" s="264">
        <f t="shared" si="631"/>
        <v>0</v>
      </c>
      <c r="AJ298" s="264">
        <f t="shared" si="631"/>
        <v>0</v>
      </c>
      <c r="AK298" s="264">
        <f t="shared" si="631"/>
        <v>0</v>
      </c>
      <c r="AL298" s="264">
        <f t="shared" si="631"/>
        <v>0</v>
      </c>
      <c r="AM298" s="264">
        <f t="shared" si="631"/>
        <v>0</v>
      </c>
      <c r="AN298" s="260"/>
      <c r="AO298" s="264">
        <f t="shared" ref="AO298" si="632">IF(AO266=0,0,AO290/AO266)</f>
        <v>0</v>
      </c>
      <c r="AP298" s="260"/>
      <c r="AQ298" s="264"/>
      <c r="AR298" s="264" t="str">
        <f>VLOOKUP($I298,TableInputsData[],ReadMe!$M$3,FALSE)&amp;"  |  "&amp;VLOOKUP($K298,TableInputsData[],ReadMe!$M$3,FALSE)</f>
        <v>PRODUIT 07  |  PRIX MOYEN D'ACHAT PAR PRODUIT/SERVICE</v>
      </c>
      <c r="AS298" s="264"/>
      <c r="AT298" s="294"/>
    </row>
    <row r="299" spans="1:46" ht="13" hidden="1" x14ac:dyDescent="0.2">
      <c r="A299" s="294"/>
      <c r="B299" s="924"/>
      <c r="C299" s="272">
        <v>292</v>
      </c>
      <c r="D299" s="250">
        <f t="shared" si="560"/>
        <v>0</v>
      </c>
      <c r="E299" s="251"/>
      <c r="F299" s="248" t="str">
        <f t="shared" si="620"/>
        <v>YEAR5</v>
      </c>
      <c r="G299" s="250">
        <f>VLOOKUP(F299,TableInputsData[],$G$6,FALSE)</f>
        <v>2029</v>
      </c>
      <c r="H299" s="250" t="str">
        <f t="shared" si="561"/>
        <v>PRODUCT</v>
      </c>
      <c r="I299" s="248" t="str">
        <f t="shared" si="561"/>
        <v>PRODUCT 07</v>
      </c>
      <c r="J299" s="248" t="str">
        <f>VLOOKUP(I299,TableInputsData[],$J$6,FALSE)</f>
        <v>-</v>
      </c>
      <c r="K299" s="248" t="str">
        <f t="shared" si="625"/>
        <v>AVERAGE COST OF GOODS SOLD PER UNIT</v>
      </c>
      <c r="L299" s="256"/>
      <c r="M299" s="256"/>
      <c r="N299" s="256"/>
      <c r="O299" s="266"/>
      <c r="P299" s="261"/>
      <c r="Q299" s="261"/>
      <c r="R299" s="261"/>
      <c r="S299" s="629"/>
      <c r="T299" s="629"/>
      <c r="U299" s="629"/>
      <c r="V299" s="629"/>
      <c r="W299" s="261"/>
      <c r="X299" s="261"/>
      <c r="Y299" s="261"/>
      <c r="Z299" s="261"/>
      <c r="AA299" s="261"/>
      <c r="AB299" s="261"/>
      <c r="AC299" s="266"/>
      <c r="AD299" s="633"/>
      <c r="AE299" s="264">
        <f t="shared" ref="AE299:AM299" si="633">IF(AE267=0,0,AE291/AE267)</f>
        <v>0</v>
      </c>
      <c r="AF299" s="264">
        <f t="shared" si="633"/>
        <v>0</v>
      </c>
      <c r="AG299" s="264">
        <f t="shared" si="633"/>
        <v>0</v>
      </c>
      <c r="AH299" s="264">
        <f t="shared" si="633"/>
        <v>0</v>
      </c>
      <c r="AI299" s="264">
        <f t="shared" si="633"/>
        <v>0</v>
      </c>
      <c r="AJ299" s="264">
        <f t="shared" si="633"/>
        <v>0</v>
      </c>
      <c r="AK299" s="264">
        <f t="shared" si="633"/>
        <v>0</v>
      </c>
      <c r="AL299" s="264">
        <f t="shared" si="633"/>
        <v>0</v>
      </c>
      <c r="AM299" s="264">
        <f t="shared" si="633"/>
        <v>0</v>
      </c>
      <c r="AN299" s="260"/>
      <c r="AO299" s="264">
        <f t="shared" ref="AO299" si="634">IF(AO267=0,0,AO291/AO267)</f>
        <v>0</v>
      </c>
      <c r="AP299" s="260"/>
      <c r="AQ299" s="264"/>
      <c r="AR299" s="264" t="str">
        <f>VLOOKUP($I299,TableInputsData[],ReadMe!$M$3,FALSE)&amp;"  |  "&amp;VLOOKUP($K299,TableInputsData[],ReadMe!$M$3,FALSE)</f>
        <v>PRODUIT 07  |  PRIX MOYEN D'ACHAT PAR PRODUIT/SERVICE</v>
      </c>
      <c r="AS299" s="264"/>
      <c r="AT299" s="294"/>
    </row>
    <row r="300" spans="1:46" ht="13" hidden="1" x14ac:dyDescent="0.2">
      <c r="A300" s="294"/>
      <c r="B300" s="924"/>
      <c r="C300" s="272">
        <v>293</v>
      </c>
      <c r="D300" s="250">
        <f t="shared" si="560"/>
        <v>0</v>
      </c>
      <c r="E300" s="251"/>
      <c r="F300" s="248" t="str">
        <f t="shared" si="620"/>
        <v>YEAR6</v>
      </c>
      <c r="G300" s="250">
        <f>VLOOKUP(F300,TableInputsData[],$G$6,FALSE)</f>
        <v>2030</v>
      </c>
      <c r="H300" s="250" t="str">
        <f t="shared" si="561"/>
        <v>PRODUCT</v>
      </c>
      <c r="I300" s="248" t="str">
        <f t="shared" si="561"/>
        <v>PRODUCT 07</v>
      </c>
      <c r="J300" s="248" t="str">
        <f>VLOOKUP(I300,TableInputsData[],$J$6,FALSE)</f>
        <v>-</v>
      </c>
      <c r="K300" s="248" t="str">
        <f t="shared" si="625"/>
        <v>AVERAGE COST OF GOODS SOLD PER UNIT</v>
      </c>
      <c r="L300" s="256"/>
      <c r="M300" s="256"/>
      <c r="N300" s="256"/>
      <c r="O300" s="266"/>
      <c r="P300" s="261"/>
      <c r="Q300" s="261"/>
      <c r="R300" s="261"/>
      <c r="S300" s="629"/>
      <c r="T300" s="629"/>
      <c r="U300" s="629"/>
      <c r="V300" s="629"/>
      <c r="W300" s="261"/>
      <c r="X300" s="261"/>
      <c r="Y300" s="261"/>
      <c r="Z300" s="261"/>
      <c r="AA300" s="261"/>
      <c r="AB300" s="261"/>
      <c r="AC300" s="266"/>
      <c r="AD300" s="633"/>
      <c r="AE300" s="264">
        <f t="shared" ref="AE300:AM300" si="635">IF(AE268=0,0,AE292/AE268)</f>
        <v>0</v>
      </c>
      <c r="AF300" s="264">
        <f t="shared" si="635"/>
        <v>0</v>
      </c>
      <c r="AG300" s="264">
        <f t="shared" si="635"/>
        <v>0</v>
      </c>
      <c r="AH300" s="264">
        <f t="shared" si="635"/>
        <v>0</v>
      </c>
      <c r="AI300" s="264">
        <f t="shared" si="635"/>
        <v>0</v>
      </c>
      <c r="AJ300" s="264">
        <f t="shared" si="635"/>
        <v>0</v>
      </c>
      <c r="AK300" s="264">
        <f t="shared" si="635"/>
        <v>0</v>
      </c>
      <c r="AL300" s="264">
        <f t="shared" si="635"/>
        <v>0</v>
      </c>
      <c r="AM300" s="264">
        <f t="shared" si="635"/>
        <v>0</v>
      </c>
      <c r="AN300" s="260"/>
      <c r="AO300" s="264">
        <f t="shared" ref="AO300" si="636">IF(AO268=0,0,AO292/AO268)</f>
        <v>0</v>
      </c>
      <c r="AP300" s="260"/>
      <c r="AQ300" s="264"/>
      <c r="AR300" s="264" t="str">
        <f>VLOOKUP($I300,TableInputsData[],ReadMe!$M$3,FALSE)&amp;"  |  "&amp;VLOOKUP($K300,TableInputsData[],ReadMe!$M$3,FALSE)</f>
        <v>PRODUIT 07  |  PRIX MOYEN D'ACHAT PAR PRODUIT/SERVICE</v>
      </c>
      <c r="AS300" s="264"/>
      <c r="AT300" s="294"/>
    </row>
    <row r="301" spans="1:46" ht="13" x14ac:dyDescent="0.2">
      <c r="A301" s="294"/>
      <c r="B301" s="924"/>
      <c r="C301" s="273">
        <v>294</v>
      </c>
      <c r="D301" s="253">
        <v>0</v>
      </c>
      <c r="E301" s="253">
        <v>1</v>
      </c>
      <c r="F301" s="252"/>
      <c r="G301" s="253"/>
      <c r="H301" s="253"/>
      <c r="I301" s="252"/>
      <c r="J301" s="252"/>
      <c r="K301" s="252"/>
      <c r="L301" s="257"/>
      <c r="M301" s="257"/>
      <c r="N301" s="257"/>
      <c r="O301" s="267"/>
      <c r="P301" s="262"/>
      <c r="Q301" s="262"/>
      <c r="R301" s="262"/>
      <c r="S301" s="631"/>
      <c r="T301" s="631"/>
      <c r="U301" s="631"/>
      <c r="V301" s="631"/>
      <c r="W301" s="262"/>
      <c r="X301" s="262"/>
      <c r="Y301" s="262"/>
      <c r="Z301" s="262"/>
      <c r="AA301" s="262"/>
      <c r="AB301" s="262"/>
      <c r="AC301" s="267"/>
      <c r="AD301" s="635"/>
      <c r="AE301" s="270"/>
      <c r="AF301" s="270"/>
      <c r="AG301" s="270"/>
      <c r="AH301" s="270"/>
      <c r="AI301" s="270"/>
      <c r="AJ301" s="270"/>
      <c r="AK301" s="270"/>
      <c r="AL301" s="270"/>
      <c r="AM301" s="270"/>
      <c r="AN301" s="643"/>
      <c r="AO301" s="270"/>
      <c r="AP301" s="270"/>
      <c r="AQ301" s="270"/>
      <c r="AR301" s="270"/>
      <c r="AS301" s="270"/>
      <c r="AT301" s="294"/>
    </row>
    <row r="302" spans="1:46" ht="13" hidden="1" x14ac:dyDescent="0.2">
      <c r="A302" s="294"/>
      <c r="B302" s="925" t="str">
        <f>I303&amp;"___"</f>
        <v>PRODUCT 08___</v>
      </c>
      <c r="C302" s="271">
        <v>295</v>
      </c>
      <c r="D302" s="250">
        <v>0</v>
      </c>
      <c r="E302" s="250"/>
      <c r="F302" s="248"/>
      <c r="G302" s="250"/>
      <c r="H302" s="250"/>
      <c r="I302" s="248"/>
      <c r="J302" s="248"/>
      <c r="K302" s="248"/>
      <c r="L302" s="254"/>
      <c r="M302" s="254"/>
      <c r="N302" s="254"/>
      <c r="O302" s="264"/>
      <c r="P302" s="259"/>
      <c r="Q302" s="259"/>
      <c r="R302" s="259"/>
      <c r="S302" s="628"/>
      <c r="T302" s="628"/>
      <c r="U302" s="628"/>
      <c r="V302" s="628"/>
      <c r="W302" s="259"/>
      <c r="X302" s="259"/>
      <c r="Y302" s="259"/>
      <c r="Z302" s="259"/>
      <c r="AA302" s="259"/>
      <c r="AB302" s="259"/>
      <c r="AC302" s="264"/>
      <c r="AD302" s="609"/>
      <c r="AE302" s="269"/>
      <c r="AF302" s="269"/>
      <c r="AG302" s="269"/>
      <c r="AH302" s="269"/>
      <c r="AI302" s="269"/>
      <c r="AJ302" s="269"/>
      <c r="AK302" s="269"/>
      <c r="AL302" s="269"/>
      <c r="AM302" s="269"/>
      <c r="AN302" s="642"/>
      <c r="AO302" s="269"/>
      <c r="AP302" s="269"/>
      <c r="AQ302" s="269"/>
      <c r="AR302" s="269"/>
      <c r="AS302" s="269"/>
      <c r="AT302" s="294"/>
    </row>
    <row r="303" spans="1:46" ht="13" x14ac:dyDescent="0.2">
      <c r="A303" s="294"/>
      <c r="B303" s="925"/>
      <c r="C303" s="271">
        <v>296</v>
      </c>
      <c r="D303" s="250">
        <f>VLOOKUP($I303,TableInputsData[],$D$6,FALSE)</f>
        <v>0</v>
      </c>
      <c r="E303" s="250">
        <v>1</v>
      </c>
      <c r="F303" s="248" t="s">
        <v>392</v>
      </c>
      <c r="G303" s="250">
        <f>VLOOKUP(F303,TableInputsData[],$G$6,FALSE)</f>
        <v>2023</v>
      </c>
      <c r="H303" s="250" t="s">
        <v>588</v>
      </c>
      <c r="I303" s="248" t="s">
        <v>544</v>
      </c>
      <c r="J303" s="248" t="str">
        <f>VLOOKUP(I303,TableInputsData[],$J$6,FALSE)</f>
        <v>-</v>
      </c>
      <c r="K303" s="248" t="s">
        <v>261</v>
      </c>
      <c r="L303" s="499">
        <v>1000</v>
      </c>
      <c r="M303" s="499">
        <v>0</v>
      </c>
      <c r="N303" s="499">
        <v>0</v>
      </c>
      <c r="O303" s="264">
        <f t="shared" ref="O303:O310" si="637">$L303*$P303+$M303*$Q303+$N303*$R303</f>
        <v>1000</v>
      </c>
      <c r="P303" s="500">
        <v>1</v>
      </c>
      <c r="Q303" s="500">
        <v>0</v>
      </c>
      <c r="R303" s="259">
        <f>1-$P303-$Q303</f>
        <v>0</v>
      </c>
      <c r="S303" s="626">
        <v>500</v>
      </c>
      <c r="T303" s="626">
        <v>0</v>
      </c>
      <c r="U303" s="626">
        <v>0</v>
      </c>
      <c r="V303" s="628">
        <f>($L303*$P303*$S303+$M303*$Q303*$T303+$N303*$R303*$U303)/$O303</f>
        <v>500</v>
      </c>
      <c r="W303" s="500">
        <v>1</v>
      </c>
      <c r="X303" s="500">
        <v>1</v>
      </c>
      <c r="Y303" s="500">
        <v>1</v>
      </c>
      <c r="Z303" s="259">
        <f t="shared" ref="Z303:Z310" si="638">1-$W303</f>
        <v>0</v>
      </c>
      <c r="AA303" s="259">
        <f t="shared" ref="AA303:AA310" si="639">1-$X303</f>
        <v>0</v>
      </c>
      <c r="AB303" s="259">
        <f t="shared" ref="AB303:AB310" si="640">1-$Y303</f>
        <v>0</v>
      </c>
      <c r="AC303" s="628">
        <f>AM335</f>
        <v>0</v>
      </c>
      <c r="AD303" s="628">
        <f>AO335</f>
        <v>0</v>
      </c>
      <c r="AE303" s="501">
        <v>0</v>
      </c>
      <c r="AF303" s="501">
        <v>0</v>
      </c>
      <c r="AG303" s="501">
        <v>0</v>
      </c>
      <c r="AH303" s="501">
        <v>0</v>
      </c>
      <c r="AI303" s="264">
        <f t="shared" ref="AI303:AI306" si="641">$AE303+$AF303+$AG303+$AH303</f>
        <v>0</v>
      </c>
      <c r="AJ303" s="264">
        <f t="shared" ref="AJ303:AJ310" si="642">$AI303*$P303</f>
        <v>0</v>
      </c>
      <c r="AK303" s="264">
        <f t="shared" ref="AK303:AK310" si="643">$AI303*$Q303</f>
        <v>0</v>
      </c>
      <c r="AL303" s="264">
        <f t="shared" ref="AL303:AL310" si="644">$AI303*$R303</f>
        <v>0</v>
      </c>
      <c r="AM303" s="264">
        <f t="shared" ref="AM303:AM310" si="645">$AJ303*$W303+$AK303*$X303+$AL303*$Y303</f>
        <v>0</v>
      </c>
      <c r="AN303" s="640">
        <f>IF(AI303=0,0,AM303/AI303)</f>
        <v>0</v>
      </c>
      <c r="AO303" s="264">
        <f t="shared" ref="AO303:AO310" si="646">$AJ303*$Z303+$AK303*$AA303+$AL303*$AB303</f>
        <v>0</v>
      </c>
      <c r="AP303" s="640">
        <f t="shared" ref="AP303:AP318" si="647">IF(AI303=0,0,AO303/AI303)</f>
        <v>0</v>
      </c>
      <c r="AQ303" s="264" t="str">
        <f>VLOOKUP(I303,TableInputsData[],$AQ$6,FALSE)</f>
        <v>GAMME # : 1 + CANAL DE DISTRIBUTION # : 1</v>
      </c>
      <c r="AR303" s="264" t="str">
        <f>VLOOKUP($I303,TableInputsData[],ReadMe!$M$3,FALSE)&amp;"  |  "&amp;VLOOKUP($K303,TableInputsData[],ReadMe!$M$3,FALSE)</f>
        <v>PRODUIT 08  |  VOLUME</v>
      </c>
      <c r="AS303" s="264" t="b">
        <f t="shared" ref="AS303:AS310" si="648">AND(EXACT(ROUND(AI303,2),ROUND(AJ303+AK303+AL303,2)),EXACT(ROUND(AI303,2),ROUND(AM303+AO303,2)),EXACT(SUM(P303:R303),1),IF(R303&lt;0,FALSE,TRUE),EXACT(SUM(W303:AB303),3),MIN(W303:Y303)&gt;=0, MAX(W303:Y303)&lt;=1)</f>
        <v>1</v>
      </c>
      <c r="AT303" s="294"/>
    </row>
    <row r="304" spans="1:46" ht="13" x14ac:dyDescent="0.2">
      <c r="A304" s="294"/>
      <c r="B304" s="925"/>
      <c r="C304" s="271">
        <v>297</v>
      </c>
      <c r="D304" s="250">
        <f>D303</f>
        <v>0</v>
      </c>
      <c r="E304" s="250">
        <v>1</v>
      </c>
      <c r="F304" s="248" t="s">
        <v>391</v>
      </c>
      <c r="G304" s="250">
        <f>VLOOKUP(F304,TableInputsData[],$G$6,FALSE)</f>
        <v>2024</v>
      </c>
      <c r="H304" s="250" t="str">
        <f>H303</f>
        <v>PRODUCT</v>
      </c>
      <c r="I304" s="248" t="str">
        <f>I303</f>
        <v>PRODUCT 08</v>
      </c>
      <c r="J304" s="248" t="str">
        <f>VLOOKUP(I304,TableInputsData[],$J$6,FALSE)</f>
        <v>-</v>
      </c>
      <c r="K304" s="248" t="str">
        <f>K303</f>
        <v>VOLUME</v>
      </c>
      <c r="L304" s="499">
        <v>1000</v>
      </c>
      <c r="M304" s="499">
        <v>0</v>
      </c>
      <c r="N304" s="499">
        <v>0</v>
      </c>
      <c r="O304" s="264">
        <f t="shared" si="637"/>
        <v>1000</v>
      </c>
      <c r="P304" s="500">
        <v>1</v>
      </c>
      <c r="Q304" s="500">
        <v>0</v>
      </c>
      <c r="R304" s="259">
        <f t="shared" ref="R304:R310" si="649">1-$P304-$Q304</f>
        <v>0</v>
      </c>
      <c r="S304" s="626">
        <v>500</v>
      </c>
      <c r="T304" s="626">
        <v>0</v>
      </c>
      <c r="U304" s="626">
        <v>0</v>
      </c>
      <c r="V304" s="628">
        <f t="shared" ref="V304:V310" si="650">($L304*$P304*$S304+$M304*$Q304*$T304+$N304*$R304*$U304)/$O304</f>
        <v>500</v>
      </c>
      <c r="W304" s="500">
        <v>1</v>
      </c>
      <c r="X304" s="500">
        <v>1</v>
      </c>
      <c r="Y304" s="500">
        <v>1</v>
      </c>
      <c r="Z304" s="259">
        <f t="shared" si="638"/>
        <v>0</v>
      </c>
      <c r="AA304" s="259">
        <f t="shared" si="639"/>
        <v>0</v>
      </c>
      <c r="AB304" s="259">
        <f t="shared" si="640"/>
        <v>0</v>
      </c>
      <c r="AC304" s="628">
        <f t="shared" ref="AC304:AC310" si="651">AM336</f>
        <v>0</v>
      </c>
      <c r="AD304" s="628">
        <f t="shared" ref="AD304:AD310" si="652">AO336</f>
        <v>0</v>
      </c>
      <c r="AE304" s="501">
        <v>0</v>
      </c>
      <c r="AF304" s="501">
        <v>0</v>
      </c>
      <c r="AG304" s="501">
        <v>0</v>
      </c>
      <c r="AH304" s="501">
        <v>0</v>
      </c>
      <c r="AI304" s="264">
        <f t="shared" si="641"/>
        <v>0</v>
      </c>
      <c r="AJ304" s="264">
        <f t="shared" si="642"/>
        <v>0</v>
      </c>
      <c r="AK304" s="264">
        <f t="shared" si="643"/>
        <v>0</v>
      </c>
      <c r="AL304" s="264">
        <f t="shared" si="644"/>
        <v>0</v>
      </c>
      <c r="AM304" s="264">
        <f t="shared" si="645"/>
        <v>0</v>
      </c>
      <c r="AN304" s="640">
        <f t="shared" ref="AN304:AN318" si="653">IF(AI304=0,0,AM304/AI304)</f>
        <v>0</v>
      </c>
      <c r="AO304" s="264">
        <f t="shared" si="646"/>
        <v>0</v>
      </c>
      <c r="AP304" s="640">
        <f t="shared" si="647"/>
        <v>0</v>
      </c>
      <c r="AQ304" s="501"/>
      <c r="AR304" s="264" t="str">
        <f>VLOOKUP($I304,TableInputsData[],ReadMe!$M$3,FALSE)&amp;"  |  "&amp;VLOOKUP($K304,TableInputsData[],ReadMe!$M$3,FALSE)</f>
        <v>PRODUIT 08  |  VOLUME</v>
      </c>
      <c r="AS304" s="264" t="b">
        <f t="shared" si="648"/>
        <v>1</v>
      </c>
      <c r="AT304" s="294"/>
    </row>
    <row r="305" spans="1:46" ht="13" x14ac:dyDescent="0.2">
      <c r="A305" s="294"/>
      <c r="B305" s="925"/>
      <c r="C305" s="271">
        <v>298</v>
      </c>
      <c r="D305" s="250">
        <f t="shared" ref="D305:D342" si="654">D304</f>
        <v>0</v>
      </c>
      <c r="E305" s="250">
        <v>1</v>
      </c>
      <c r="F305" s="248" t="s">
        <v>393</v>
      </c>
      <c r="G305" s="250">
        <f>VLOOKUP(F305,TableInputsData[],$G$6,FALSE)</f>
        <v>2025</v>
      </c>
      <c r="H305" s="250" t="str">
        <f t="shared" ref="H305:I342" si="655">H304</f>
        <v>PRODUCT</v>
      </c>
      <c r="I305" s="248" t="str">
        <f t="shared" si="655"/>
        <v>PRODUCT 08</v>
      </c>
      <c r="J305" s="248" t="str">
        <f>VLOOKUP(I305,TableInputsData[],$J$6,FALSE)</f>
        <v>-</v>
      </c>
      <c r="K305" s="248" t="str">
        <f t="shared" ref="K305:K310" si="656">K304</f>
        <v>VOLUME</v>
      </c>
      <c r="L305" s="499">
        <v>1000</v>
      </c>
      <c r="M305" s="499">
        <v>0</v>
      </c>
      <c r="N305" s="499">
        <v>0</v>
      </c>
      <c r="O305" s="264">
        <f t="shared" si="637"/>
        <v>1000</v>
      </c>
      <c r="P305" s="500">
        <v>1</v>
      </c>
      <c r="Q305" s="500">
        <v>0</v>
      </c>
      <c r="R305" s="259">
        <f t="shared" si="649"/>
        <v>0</v>
      </c>
      <c r="S305" s="626">
        <v>500</v>
      </c>
      <c r="T305" s="626">
        <v>0</v>
      </c>
      <c r="U305" s="626">
        <v>0</v>
      </c>
      <c r="V305" s="628">
        <f t="shared" si="650"/>
        <v>500</v>
      </c>
      <c r="W305" s="500">
        <v>1</v>
      </c>
      <c r="X305" s="500">
        <v>1</v>
      </c>
      <c r="Y305" s="500">
        <v>1</v>
      </c>
      <c r="Z305" s="259">
        <f t="shared" si="638"/>
        <v>0</v>
      </c>
      <c r="AA305" s="259">
        <f t="shared" si="639"/>
        <v>0</v>
      </c>
      <c r="AB305" s="259">
        <f t="shared" si="640"/>
        <v>0</v>
      </c>
      <c r="AC305" s="628">
        <f t="shared" si="651"/>
        <v>0</v>
      </c>
      <c r="AD305" s="628">
        <f t="shared" si="652"/>
        <v>0</v>
      </c>
      <c r="AE305" s="501">
        <v>0</v>
      </c>
      <c r="AF305" s="501">
        <v>0</v>
      </c>
      <c r="AG305" s="501">
        <v>0</v>
      </c>
      <c r="AH305" s="501">
        <v>0</v>
      </c>
      <c r="AI305" s="264">
        <f t="shared" si="641"/>
        <v>0</v>
      </c>
      <c r="AJ305" s="264">
        <f t="shared" si="642"/>
        <v>0</v>
      </c>
      <c r="AK305" s="264">
        <f t="shared" si="643"/>
        <v>0</v>
      </c>
      <c r="AL305" s="264">
        <f t="shared" si="644"/>
        <v>0</v>
      </c>
      <c r="AM305" s="264">
        <f t="shared" si="645"/>
        <v>0</v>
      </c>
      <c r="AN305" s="640">
        <f t="shared" si="653"/>
        <v>0</v>
      </c>
      <c r="AO305" s="264">
        <f t="shared" si="646"/>
        <v>0</v>
      </c>
      <c r="AP305" s="640">
        <f t="shared" si="647"/>
        <v>0</v>
      </c>
      <c r="AQ305" s="501"/>
      <c r="AR305" s="264" t="str">
        <f>VLOOKUP($I305,TableInputsData[],ReadMe!$M$3,FALSE)&amp;"  |  "&amp;VLOOKUP($K305,TableInputsData[],ReadMe!$M$3,FALSE)</f>
        <v>PRODUIT 08  |  VOLUME</v>
      </c>
      <c r="AS305" s="264" t="b">
        <f t="shared" si="648"/>
        <v>1</v>
      </c>
      <c r="AT305" s="294"/>
    </row>
    <row r="306" spans="1:46" ht="13" x14ac:dyDescent="0.2">
      <c r="A306" s="294"/>
      <c r="B306" s="925"/>
      <c r="C306" s="271">
        <v>299</v>
      </c>
      <c r="D306" s="250">
        <f t="shared" si="654"/>
        <v>0</v>
      </c>
      <c r="E306" s="250">
        <v>1</v>
      </c>
      <c r="F306" s="248" t="s">
        <v>396</v>
      </c>
      <c r="G306" s="250">
        <f>VLOOKUP(F306,TableInputsData[],$G$6,FALSE)</f>
        <v>2026</v>
      </c>
      <c r="H306" s="250" t="str">
        <f t="shared" si="655"/>
        <v>PRODUCT</v>
      </c>
      <c r="I306" s="248" t="str">
        <f t="shared" si="655"/>
        <v>PRODUCT 08</v>
      </c>
      <c r="J306" s="248" t="str">
        <f>VLOOKUP(I306,TableInputsData[],$J$6,FALSE)</f>
        <v>-</v>
      </c>
      <c r="K306" s="248" t="str">
        <f t="shared" si="656"/>
        <v>VOLUME</v>
      </c>
      <c r="L306" s="499">
        <v>1000</v>
      </c>
      <c r="M306" s="499">
        <v>0</v>
      </c>
      <c r="N306" s="499">
        <v>0</v>
      </c>
      <c r="O306" s="264">
        <f t="shared" si="637"/>
        <v>1000</v>
      </c>
      <c r="P306" s="500">
        <v>1</v>
      </c>
      <c r="Q306" s="500">
        <v>0</v>
      </c>
      <c r="R306" s="259">
        <f t="shared" si="649"/>
        <v>0</v>
      </c>
      <c r="S306" s="626">
        <v>500</v>
      </c>
      <c r="T306" s="626">
        <v>0</v>
      </c>
      <c r="U306" s="626">
        <v>0</v>
      </c>
      <c r="V306" s="628">
        <f t="shared" si="650"/>
        <v>500</v>
      </c>
      <c r="W306" s="500">
        <v>1</v>
      </c>
      <c r="X306" s="500">
        <v>1</v>
      </c>
      <c r="Y306" s="500">
        <v>1</v>
      </c>
      <c r="Z306" s="259">
        <f t="shared" si="638"/>
        <v>0</v>
      </c>
      <c r="AA306" s="259">
        <f t="shared" si="639"/>
        <v>0</v>
      </c>
      <c r="AB306" s="259">
        <f t="shared" si="640"/>
        <v>0</v>
      </c>
      <c r="AC306" s="628">
        <f t="shared" si="651"/>
        <v>0</v>
      </c>
      <c r="AD306" s="628">
        <f t="shared" si="652"/>
        <v>0</v>
      </c>
      <c r="AE306" s="501">
        <v>0</v>
      </c>
      <c r="AF306" s="501">
        <v>0</v>
      </c>
      <c r="AG306" s="501">
        <v>0</v>
      </c>
      <c r="AH306" s="501">
        <v>0</v>
      </c>
      <c r="AI306" s="264">
        <f t="shared" si="641"/>
        <v>0</v>
      </c>
      <c r="AJ306" s="264">
        <f t="shared" si="642"/>
        <v>0</v>
      </c>
      <c r="AK306" s="264">
        <f t="shared" si="643"/>
        <v>0</v>
      </c>
      <c r="AL306" s="264">
        <f t="shared" si="644"/>
        <v>0</v>
      </c>
      <c r="AM306" s="264">
        <f t="shared" si="645"/>
        <v>0</v>
      </c>
      <c r="AN306" s="640">
        <f t="shared" si="653"/>
        <v>0</v>
      </c>
      <c r="AO306" s="264">
        <f t="shared" si="646"/>
        <v>0</v>
      </c>
      <c r="AP306" s="640">
        <f t="shared" si="647"/>
        <v>0</v>
      </c>
      <c r="AQ306" s="501"/>
      <c r="AR306" s="264" t="str">
        <f>VLOOKUP($I306,TableInputsData[],ReadMe!$M$3,FALSE)&amp;"  |  "&amp;VLOOKUP($K306,TableInputsData[],ReadMe!$M$3,FALSE)</f>
        <v>PRODUIT 08  |  VOLUME</v>
      </c>
      <c r="AS306" s="264" t="b">
        <f t="shared" si="648"/>
        <v>1</v>
      </c>
      <c r="AT306" s="294"/>
    </row>
    <row r="307" spans="1:46" ht="13" x14ac:dyDescent="0.2">
      <c r="A307" s="294"/>
      <c r="B307" s="925"/>
      <c r="C307" s="271">
        <v>300</v>
      </c>
      <c r="D307" s="250">
        <f t="shared" si="654"/>
        <v>0</v>
      </c>
      <c r="E307" s="250">
        <v>1</v>
      </c>
      <c r="F307" s="248" t="s">
        <v>397</v>
      </c>
      <c r="G307" s="250">
        <f>VLOOKUP(F307,TableInputsData[],$G$6,FALSE)</f>
        <v>2027</v>
      </c>
      <c r="H307" s="250" t="str">
        <f t="shared" si="655"/>
        <v>PRODUCT</v>
      </c>
      <c r="I307" s="248" t="str">
        <f t="shared" si="655"/>
        <v>PRODUCT 08</v>
      </c>
      <c r="J307" s="248" t="str">
        <f>VLOOKUP(I307,TableInputsData[],$J$6,FALSE)</f>
        <v>-</v>
      </c>
      <c r="K307" s="248" t="str">
        <f t="shared" si="656"/>
        <v>VOLUME</v>
      </c>
      <c r="L307" s="499">
        <v>1000</v>
      </c>
      <c r="M307" s="499">
        <v>0</v>
      </c>
      <c r="N307" s="499">
        <v>0</v>
      </c>
      <c r="O307" s="264">
        <f t="shared" si="637"/>
        <v>1000</v>
      </c>
      <c r="P307" s="500">
        <v>1</v>
      </c>
      <c r="Q307" s="500">
        <v>0</v>
      </c>
      <c r="R307" s="259">
        <f t="shared" si="649"/>
        <v>0</v>
      </c>
      <c r="S307" s="626">
        <v>500</v>
      </c>
      <c r="T307" s="626">
        <v>0</v>
      </c>
      <c r="U307" s="626">
        <v>0</v>
      </c>
      <c r="V307" s="628">
        <f t="shared" si="650"/>
        <v>500</v>
      </c>
      <c r="W307" s="500">
        <v>1</v>
      </c>
      <c r="X307" s="500">
        <v>1</v>
      </c>
      <c r="Y307" s="500">
        <v>1</v>
      </c>
      <c r="Z307" s="259">
        <f t="shared" si="638"/>
        <v>0</v>
      </c>
      <c r="AA307" s="259">
        <f t="shared" si="639"/>
        <v>0</v>
      </c>
      <c r="AB307" s="259">
        <f t="shared" si="640"/>
        <v>0</v>
      </c>
      <c r="AC307" s="628">
        <f t="shared" si="651"/>
        <v>0</v>
      </c>
      <c r="AD307" s="628">
        <f t="shared" si="652"/>
        <v>0</v>
      </c>
      <c r="AE307" s="264">
        <f>$AI307/4</f>
        <v>0</v>
      </c>
      <c r="AF307" s="264">
        <f t="shared" ref="AF307:AH310" si="657">$AI307/4</f>
        <v>0</v>
      </c>
      <c r="AG307" s="264">
        <f t="shared" si="657"/>
        <v>0</v>
      </c>
      <c r="AH307" s="264">
        <f t="shared" si="657"/>
        <v>0</v>
      </c>
      <c r="AI307" s="501">
        <v>0</v>
      </c>
      <c r="AJ307" s="264">
        <f t="shared" si="642"/>
        <v>0</v>
      </c>
      <c r="AK307" s="264">
        <f t="shared" si="643"/>
        <v>0</v>
      </c>
      <c r="AL307" s="264">
        <f t="shared" si="644"/>
        <v>0</v>
      </c>
      <c r="AM307" s="264">
        <f t="shared" si="645"/>
        <v>0</v>
      </c>
      <c r="AN307" s="640">
        <f t="shared" si="653"/>
        <v>0</v>
      </c>
      <c r="AO307" s="264">
        <f t="shared" si="646"/>
        <v>0</v>
      </c>
      <c r="AP307" s="640">
        <f t="shared" si="647"/>
        <v>0</v>
      </c>
      <c r="AQ307" s="501"/>
      <c r="AR307" s="264" t="str">
        <f>VLOOKUP($I307,TableInputsData[],ReadMe!$M$3,FALSE)&amp;"  |  "&amp;VLOOKUP($K307,TableInputsData[],ReadMe!$M$3,FALSE)</f>
        <v>PRODUIT 08  |  VOLUME</v>
      </c>
      <c r="AS307" s="264" t="b">
        <f t="shared" si="648"/>
        <v>1</v>
      </c>
      <c r="AT307" s="294"/>
    </row>
    <row r="308" spans="1:46" ht="13" x14ac:dyDescent="0.2">
      <c r="A308" s="294"/>
      <c r="B308" s="925"/>
      <c r="C308" s="271">
        <v>301</v>
      </c>
      <c r="D308" s="250">
        <f t="shared" si="654"/>
        <v>0</v>
      </c>
      <c r="E308" s="250">
        <v>1</v>
      </c>
      <c r="F308" s="248" t="s">
        <v>398</v>
      </c>
      <c r="G308" s="250">
        <f>VLOOKUP(F308,TableInputsData[],$G$6,FALSE)</f>
        <v>2028</v>
      </c>
      <c r="H308" s="250" t="str">
        <f t="shared" si="655"/>
        <v>PRODUCT</v>
      </c>
      <c r="I308" s="248" t="str">
        <f t="shared" si="655"/>
        <v>PRODUCT 08</v>
      </c>
      <c r="J308" s="248" t="str">
        <f>VLOOKUP(I308,TableInputsData[],$J$6,FALSE)</f>
        <v>-</v>
      </c>
      <c r="K308" s="248" t="str">
        <f t="shared" si="656"/>
        <v>VOLUME</v>
      </c>
      <c r="L308" s="499">
        <v>1000</v>
      </c>
      <c r="M308" s="499">
        <v>0</v>
      </c>
      <c r="N308" s="499">
        <v>0</v>
      </c>
      <c r="O308" s="264">
        <f t="shared" si="637"/>
        <v>1000</v>
      </c>
      <c r="P308" s="500">
        <v>1</v>
      </c>
      <c r="Q308" s="500">
        <v>0</v>
      </c>
      <c r="R308" s="259">
        <f t="shared" si="649"/>
        <v>0</v>
      </c>
      <c r="S308" s="626">
        <v>500</v>
      </c>
      <c r="T308" s="626">
        <v>0</v>
      </c>
      <c r="U308" s="626">
        <v>0</v>
      </c>
      <c r="V308" s="628">
        <f t="shared" si="650"/>
        <v>500</v>
      </c>
      <c r="W308" s="500">
        <v>1</v>
      </c>
      <c r="X308" s="500">
        <v>1</v>
      </c>
      <c r="Y308" s="500">
        <v>1</v>
      </c>
      <c r="Z308" s="259">
        <f t="shared" si="638"/>
        <v>0</v>
      </c>
      <c r="AA308" s="259">
        <f t="shared" si="639"/>
        <v>0</v>
      </c>
      <c r="AB308" s="259">
        <f t="shared" si="640"/>
        <v>0</v>
      </c>
      <c r="AC308" s="628">
        <f t="shared" si="651"/>
        <v>0</v>
      </c>
      <c r="AD308" s="628">
        <f t="shared" si="652"/>
        <v>0</v>
      </c>
      <c r="AE308" s="264">
        <f t="shared" ref="AE308:AE310" si="658">$AI308/4</f>
        <v>0</v>
      </c>
      <c r="AF308" s="264">
        <f t="shared" si="657"/>
        <v>0</v>
      </c>
      <c r="AG308" s="264">
        <f t="shared" si="657"/>
        <v>0</v>
      </c>
      <c r="AH308" s="264">
        <f t="shared" si="657"/>
        <v>0</v>
      </c>
      <c r="AI308" s="501">
        <v>0</v>
      </c>
      <c r="AJ308" s="264">
        <f t="shared" si="642"/>
        <v>0</v>
      </c>
      <c r="AK308" s="264">
        <f t="shared" si="643"/>
        <v>0</v>
      </c>
      <c r="AL308" s="264">
        <f t="shared" si="644"/>
        <v>0</v>
      </c>
      <c r="AM308" s="264">
        <f t="shared" si="645"/>
        <v>0</v>
      </c>
      <c r="AN308" s="640">
        <f t="shared" si="653"/>
        <v>0</v>
      </c>
      <c r="AO308" s="264">
        <f t="shared" si="646"/>
        <v>0</v>
      </c>
      <c r="AP308" s="640">
        <f t="shared" si="647"/>
        <v>0</v>
      </c>
      <c r="AQ308" s="501"/>
      <c r="AR308" s="264" t="str">
        <f>VLOOKUP($I308,TableInputsData[],ReadMe!$M$3,FALSE)&amp;"  |  "&amp;VLOOKUP($K308,TableInputsData[],ReadMe!$M$3,FALSE)</f>
        <v>PRODUIT 08  |  VOLUME</v>
      </c>
      <c r="AS308" s="264" t="b">
        <f t="shared" si="648"/>
        <v>1</v>
      </c>
      <c r="AT308" s="294"/>
    </row>
    <row r="309" spans="1:46" ht="13" x14ac:dyDescent="0.2">
      <c r="A309" s="294"/>
      <c r="B309" s="925"/>
      <c r="C309" s="271">
        <v>302</v>
      </c>
      <c r="D309" s="250">
        <f t="shared" si="654"/>
        <v>0</v>
      </c>
      <c r="E309" s="250">
        <v>1</v>
      </c>
      <c r="F309" s="248" t="s">
        <v>399</v>
      </c>
      <c r="G309" s="250">
        <f>VLOOKUP(F309,TableInputsData[],$G$6,FALSE)</f>
        <v>2029</v>
      </c>
      <c r="H309" s="250" t="str">
        <f t="shared" si="655"/>
        <v>PRODUCT</v>
      </c>
      <c r="I309" s="248" t="str">
        <f t="shared" si="655"/>
        <v>PRODUCT 08</v>
      </c>
      <c r="J309" s="248" t="str">
        <f>VLOOKUP(I309,TableInputsData[],$J$6,FALSE)</f>
        <v>-</v>
      </c>
      <c r="K309" s="248" t="str">
        <f t="shared" si="656"/>
        <v>VOLUME</v>
      </c>
      <c r="L309" s="499">
        <v>1000</v>
      </c>
      <c r="M309" s="499">
        <v>0</v>
      </c>
      <c r="N309" s="499">
        <v>0</v>
      </c>
      <c r="O309" s="264">
        <f t="shared" si="637"/>
        <v>1000</v>
      </c>
      <c r="P309" s="500">
        <v>1</v>
      </c>
      <c r="Q309" s="500">
        <v>0</v>
      </c>
      <c r="R309" s="259">
        <f t="shared" si="649"/>
        <v>0</v>
      </c>
      <c r="S309" s="626">
        <v>500</v>
      </c>
      <c r="T309" s="626">
        <v>0</v>
      </c>
      <c r="U309" s="626">
        <v>0</v>
      </c>
      <c r="V309" s="628">
        <f t="shared" si="650"/>
        <v>500</v>
      </c>
      <c r="W309" s="500">
        <v>1</v>
      </c>
      <c r="X309" s="500">
        <v>1</v>
      </c>
      <c r="Y309" s="500">
        <v>1</v>
      </c>
      <c r="Z309" s="259">
        <f t="shared" si="638"/>
        <v>0</v>
      </c>
      <c r="AA309" s="259">
        <f t="shared" si="639"/>
        <v>0</v>
      </c>
      <c r="AB309" s="259">
        <f t="shared" si="640"/>
        <v>0</v>
      </c>
      <c r="AC309" s="628">
        <f t="shared" si="651"/>
        <v>0</v>
      </c>
      <c r="AD309" s="628">
        <f t="shared" si="652"/>
        <v>0</v>
      </c>
      <c r="AE309" s="264">
        <f t="shared" si="658"/>
        <v>0</v>
      </c>
      <c r="AF309" s="264">
        <f t="shared" si="657"/>
        <v>0</v>
      </c>
      <c r="AG309" s="264">
        <f t="shared" si="657"/>
        <v>0</v>
      </c>
      <c r="AH309" s="264">
        <f t="shared" si="657"/>
        <v>0</v>
      </c>
      <c r="AI309" s="501">
        <v>0</v>
      </c>
      <c r="AJ309" s="264">
        <f t="shared" si="642"/>
        <v>0</v>
      </c>
      <c r="AK309" s="264">
        <f t="shared" si="643"/>
        <v>0</v>
      </c>
      <c r="AL309" s="264">
        <f t="shared" si="644"/>
        <v>0</v>
      </c>
      <c r="AM309" s="264">
        <f t="shared" si="645"/>
        <v>0</v>
      </c>
      <c r="AN309" s="640">
        <f t="shared" si="653"/>
        <v>0</v>
      </c>
      <c r="AO309" s="264">
        <f t="shared" si="646"/>
        <v>0</v>
      </c>
      <c r="AP309" s="640">
        <f t="shared" si="647"/>
        <v>0</v>
      </c>
      <c r="AQ309" s="501"/>
      <c r="AR309" s="264" t="str">
        <f>VLOOKUP($I309,TableInputsData[],ReadMe!$M$3,FALSE)&amp;"  |  "&amp;VLOOKUP($K309,TableInputsData[],ReadMe!$M$3,FALSE)</f>
        <v>PRODUIT 08  |  VOLUME</v>
      </c>
      <c r="AS309" s="264" t="b">
        <f t="shared" si="648"/>
        <v>1</v>
      </c>
      <c r="AT309" s="294"/>
    </row>
    <row r="310" spans="1:46" ht="13" x14ac:dyDescent="0.2">
      <c r="A310" s="294"/>
      <c r="B310" s="925"/>
      <c r="C310" s="271">
        <v>303</v>
      </c>
      <c r="D310" s="250">
        <f t="shared" si="654"/>
        <v>0</v>
      </c>
      <c r="E310" s="250">
        <v>1</v>
      </c>
      <c r="F310" s="248" t="s">
        <v>400</v>
      </c>
      <c r="G310" s="250">
        <f>VLOOKUP(F310,TableInputsData[],$G$6,FALSE)</f>
        <v>2030</v>
      </c>
      <c r="H310" s="250" t="str">
        <f t="shared" si="655"/>
        <v>PRODUCT</v>
      </c>
      <c r="I310" s="248" t="str">
        <f t="shared" si="655"/>
        <v>PRODUCT 08</v>
      </c>
      <c r="J310" s="248" t="str">
        <f>VLOOKUP(I310,TableInputsData[],$J$6,FALSE)</f>
        <v>-</v>
      </c>
      <c r="K310" s="248" t="str">
        <f t="shared" si="656"/>
        <v>VOLUME</v>
      </c>
      <c r="L310" s="499">
        <v>1000</v>
      </c>
      <c r="M310" s="499">
        <v>0</v>
      </c>
      <c r="N310" s="499">
        <v>0</v>
      </c>
      <c r="O310" s="264">
        <f t="shared" si="637"/>
        <v>1000</v>
      </c>
      <c r="P310" s="500">
        <v>1</v>
      </c>
      <c r="Q310" s="500">
        <v>0</v>
      </c>
      <c r="R310" s="259">
        <f t="shared" si="649"/>
        <v>0</v>
      </c>
      <c r="S310" s="626">
        <v>500</v>
      </c>
      <c r="T310" s="626">
        <v>0</v>
      </c>
      <c r="U310" s="626">
        <v>0</v>
      </c>
      <c r="V310" s="628">
        <f t="shared" si="650"/>
        <v>500</v>
      </c>
      <c r="W310" s="500">
        <v>1</v>
      </c>
      <c r="X310" s="500">
        <v>1</v>
      </c>
      <c r="Y310" s="500">
        <v>1</v>
      </c>
      <c r="Z310" s="259">
        <f t="shared" si="638"/>
        <v>0</v>
      </c>
      <c r="AA310" s="259">
        <f t="shared" si="639"/>
        <v>0</v>
      </c>
      <c r="AB310" s="259">
        <f t="shared" si="640"/>
        <v>0</v>
      </c>
      <c r="AC310" s="628">
        <f t="shared" si="651"/>
        <v>0</v>
      </c>
      <c r="AD310" s="628">
        <f t="shared" si="652"/>
        <v>0</v>
      </c>
      <c r="AE310" s="264">
        <f t="shared" si="658"/>
        <v>0</v>
      </c>
      <c r="AF310" s="264">
        <f t="shared" si="657"/>
        <v>0</v>
      </c>
      <c r="AG310" s="264">
        <f t="shared" si="657"/>
        <v>0</v>
      </c>
      <c r="AH310" s="264">
        <f t="shared" si="657"/>
        <v>0</v>
      </c>
      <c r="AI310" s="501">
        <v>0</v>
      </c>
      <c r="AJ310" s="264">
        <f t="shared" si="642"/>
        <v>0</v>
      </c>
      <c r="AK310" s="264">
        <f t="shared" si="643"/>
        <v>0</v>
      </c>
      <c r="AL310" s="264">
        <f t="shared" si="644"/>
        <v>0</v>
      </c>
      <c r="AM310" s="264">
        <f t="shared" si="645"/>
        <v>0</v>
      </c>
      <c r="AN310" s="640">
        <f t="shared" si="653"/>
        <v>0</v>
      </c>
      <c r="AO310" s="264">
        <f t="shared" si="646"/>
        <v>0</v>
      </c>
      <c r="AP310" s="640">
        <f t="shared" si="647"/>
        <v>0</v>
      </c>
      <c r="AQ310" s="501"/>
      <c r="AR310" s="264" t="str">
        <f>VLOOKUP($I310,TableInputsData[],ReadMe!$M$3,FALSE)&amp;"  |  "&amp;VLOOKUP($K310,TableInputsData[],ReadMe!$M$3,FALSE)</f>
        <v>PRODUIT 08  |  VOLUME</v>
      </c>
      <c r="AS310" s="264" t="b">
        <f t="shared" si="648"/>
        <v>1</v>
      </c>
      <c r="AT310" s="294"/>
    </row>
    <row r="311" spans="1:46" ht="13" hidden="1" x14ac:dyDescent="0.2">
      <c r="A311" s="294"/>
      <c r="B311" s="925"/>
      <c r="C311" s="272">
        <v>304</v>
      </c>
      <c r="D311" s="250">
        <f t="shared" si="654"/>
        <v>0</v>
      </c>
      <c r="E311" s="251"/>
      <c r="F311" s="248" t="str">
        <f t="shared" ref="F311:F318" si="659">F319</f>
        <v>YEAR-2</v>
      </c>
      <c r="G311" s="250">
        <f>VLOOKUP(F311,TableInputsData[],$G$6,FALSE)</f>
        <v>2023</v>
      </c>
      <c r="H311" s="250" t="str">
        <f t="shared" si="655"/>
        <v>PRODUCT</v>
      </c>
      <c r="I311" s="248" t="str">
        <f t="shared" si="655"/>
        <v>PRODUCT 08</v>
      </c>
      <c r="J311" s="248" t="str">
        <f>VLOOKUP(I311,TableInputsData[],$J$6,FALSE)</f>
        <v>-</v>
      </c>
      <c r="K311" s="248" t="s">
        <v>457</v>
      </c>
      <c r="L311" s="256"/>
      <c r="M311" s="256"/>
      <c r="N311" s="256"/>
      <c r="O311" s="266"/>
      <c r="P311" s="261"/>
      <c r="Q311" s="261"/>
      <c r="R311" s="261"/>
      <c r="S311" s="629"/>
      <c r="T311" s="629"/>
      <c r="U311" s="629"/>
      <c r="V311" s="629"/>
      <c r="W311" s="261"/>
      <c r="X311" s="261"/>
      <c r="Y311" s="261"/>
      <c r="Z311" s="261"/>
      <c r="AA311" s="261"/>
      <c r="AB311" s="261"/>
      <c r="AC311" s="266"/>
      <c r="AD311" s="633"/>
      <c r="AE311" s="264">
        <f>AE303*($L303*$P303+$M303*$Q303+$N303*$R303)</f>
        <v>0</v>
      </c>
      <c r="AF311" s="264">
        <f t="shared" ref="AF311:AH311" si="660">AF303*($L303*$P303+$M303*$Q303+$N303*$R303)</f>
        <v>0</v>
      </c>
      <c r="AG311" s="264">
        <f t="shared" si="660"/>
        <v>0</v>
      </c>
      <c r="AH311" s="264">
        <f t="shared" si="660"/>
        <v>0</v>
      </c>
      <c r="AI311" s="264">
        <f>$AE311+$AF311+$AG311+$AH311</f>
        <v>0</v>
      </c>
      <c r="AJ311" s="264">
        <f t="shared" ref="AJ311:AJ318" si="661">$AJ303*$L303</f>
        <v>0</v>
      </c>
      <c r="AK311" s="264">
        <f t="shared" ref="AK311:AK318" si="662">$AK303*$M303</f>
        <v>0</v>
      </c>
      <c r="AL311" s="264">
        <f t="shared" ref="AL311:AL318" si="663">$AL303*$N303</f>
        <v>0</v>
      </c>
      <c r="AM311" s="264">
        <f t="shared" ref="AM311:AM318" si="664">$AJ311*$W303+$AK311*$X303+$AL311*$Y303</f>
        <v>0</v>
      </c>
      <c r="AN311" s="640">
        <f t="shared" si="653"/>
        <v>0</v>
      </c>
      <c r="AO311" s="264">
        <f t="shared" ref="AO311:AO318" si="665">$AJ311*$Z303+$AK311*$AA303+$AL311*$AB303</f>
        <v>0</v>
      </c>
      <c r="AP311" s="640">
        <f t="shared" si="647"/>
        <v>0</v>
      </c>
      <c r="AQ311" s="264"/>
      <c r="AR311" s="264" t="str">
        <f>VLOOKUP($I311,TableInputsData[],ReadMe!$M$3,FALSE)&amp;"  |  "&amp;VLOOKUP($K311,TableInputsData[],ReadMe!$M$3,FALSE)</f>
        <v>PRODUIT 08  |  CHIFFRE D'AFFAIRES</v>
      </c>
      <c r="AS311" s="264" t="b">
        <f t="shared" ref="AS311:AS318" si="666">AND(EXACT(ROUND(AI311,2),ROUND(AJ311+AK311+AL311,2)),EXACT(ROUND(AI311,2),ROUND(AM311+AO311,2)))</f>
        <v>1</v>
      </c>
      <c r="AT311" s="294"/>
    </row>
    <row r="312" spans="1:46" ht="13" hidden="1" x14ac:dyDescent="0.2">
      <c r="A312" s="294"/>
      <c r="B312" s="925"/>
      <c r="C312" s="271">
        <v>305</v>
      </c>
      <c r="D312" s="250">
        <f t="shared" si="654"/>
        <v>0</v>
      </c>
      <c r="E312" s="250"/>
      <c r="F312" s="248" t="str">
        <f t="shared" si="659"/>
        <v>YEAR-1</v>
      </c>
      <c r="G312" s="250">
        <f>VLOOKUP(F312,TableInputsData[],$G$6,FALSE)</f>
        <v>2024</v>
      </c>
      <c r="H312" s="250" t="str">
        <f t="shared" si="655"/>
        <v>PRODUCT</v>
      </c>
      <c r="I312" s="248" t="str">
        <f t="shared" si="655"/>
        <v>PRODUCT 08</v>
      </c>
      <c r="J312" s="248" t="str">
        <f>VLOOKUP(I312,TableInputsData[],$J$6,FALSE)</f>
        <v>-</v>
      </c>
      <c r="K312" s="248" t="str">
        <f>K311</f>
        <v>REVENUE</v>
      </c>
      <c r="L312" s="255"/>
      <c r="M312" s="255"/>
      <c r="N312" s="255"/>
      <c r="O312" s="265"/>
      <c r="P312" s="260"/>
      <c r="Q312" s="260"/>
      <c r="R312" s="260"/>
      <c r="S312" s="630"/>
      <c r="T312" s="630"/>
      <c r="U312" s="630"/>
      <c r="V312" s="630"/>
      <c r="W312" s="260"/>
      <c r="X312" s="260"/>
      <c r="Y312" s="260"/>
      <c r="Z312" s="260"/>
      <c r="AA312" s="260"/>
      <c r="AB312" s="260"/>
      <c r="AC312" s="265"/>
      <c r="AD312" s="634"/>
      <c r="AE312" s="264">
        <f t="shared" ref="AE312:AH312" si="667">AE304*($L304*$P304+$M304*$Q304+$N304*$R304)</f>
        <v>0</v>
      </c>
      <c r="AF312" s="264">
        <f t="shared" si="667"/>
        <v>0</v>
      </c>
      <c r="AG312" s="264">
        <f t="shared" si="667"/>
        <v>0</v>
      </c>
      <c r="AH312" s="264">
        <f t="shared" si="667"/>
        <v>0</v>
      </c>
      <c r="AI312" s="264">
        <f t="shared" ref="AI312:AI317" si="668">$AE312+$AF312+$AG312+$AH312</f>
        <v>0</v>
      </c>
      <c r="AJ312" s="264">
        <f t="shared" si="661"/>
        <v>0</v>
      </c>
      <c r="AK312" s="264">
        <f t="shared" si="662"/>
        <v>0</v>
      </c>
      <c r="AL312" s="264">
        <f t="shared" si="663"/>
        <v>0</v>
      </c>
      <c r="AM312" s="264">
        <f t="shared" si="664"/>
        <v>0</v>
      </c>
      <c r="AN312" s="640">
        <f t="shared" si="653"/>
        <v>0</v>
      </c>
      <c r="AO312" s="264">
        <f t="shared" si="665"/>
        <v>0</v>
      </c>
      <c r="AP312" s="640">
        <f t="shared" si="647"/>
        <v>0</v>
      </c>
      <c r="AQ312" s="264"/>
      <c r="AR312" s="264" t="str">
        <f>VLOOKUP($I312,TableInputsData[],ReadMe!$M$3,FALSE)&amp;"  |  "&amp;VLOOKUP($K312,TableInputsData[],ReadMe!$M$3,FALSE)</f>
        <v>PRODUIT 08  |  CHIFFRE D'AFFAIRES</v>
      </c>
      <c r="AS312" s="264" t="b">
        <f t="shared" si="666"/>
        <v>1</v>
      </c>
      <c r="AT312" s="294"/>
    </row>
    <row r="313" spans="1:46" ht="13" hidden="1" x14ac:dyDescent="0.2">
      <c r="A313" s="294"/>
      <c r="B313" s="925"/>
      <c r="C313" s="271">
        <v>306</v>
      </c>
      <c r="D313" s="250">
        <f t="shared" si="654"/>
        <v>0</v>
      </c>
      <c r="E313" s="250"/>
      <c r="F313" s="248" t="str">
        <f t="shared" si="659"/>
        <v>CURRENT YEAR</v>
      </c>
      <c r="G313" s="250">
        <f>VLOOKUP(F313,TableInputsData[],$G$6,FALSE)</f>
        <v>2025</v>
      </c>
      <c r="H313" s="250" t="str">
        <f t="shared" si="655"/>
        <v>PRODUCT</v>
      </c>
      <c r="I313" s="248" t="str">
        <f t="shared" si="655"/>
        <v>PRODUCT 08</v>
      </c>
      <c r="J313" s="248" t="str">
        <f>VLOOKUP(I313,TableInputsData[],$J$6,FALSE)</f>
        <v>-</v>
      </c>
      <c r="K313" s="248" t="str">
        <f t="shared" ref="K313:K318" si="669">K312</f>
        <v>REVENUE</v>
      </c>
      <c r="L313" s="255"/>
      <c r="M313" s="255"/>
      <c r="N313" s="255"/>
      <c r="O313" s="265"/>
      <c r="P313" s="260"/>
      <c r="Q313" s="260"/>
      <c r="R313" s="260"/>
      <c r="S313" s="630"/>
      <c r="T313" s="630"/>
      <c r="U313" s="630"/>
      <c r="V313" s="630"/>
      <c r="W313" s="260"/>
      <c r="X313" s="260"/>
      <c r="Y313" s="260"/>
      <c r="Z313" s="260"/>
      <c r="AA313" s="260"/>
      <c r="AB313" s="260"/>
      <c r="AC313" s="265"/>
      <c r="AD313" s="634"/>
      <c r="AE313" s="264">
        <f t="shared" ref="AE313:AH313" si="670">AE305*($L305*$P305+$M305*$Q305+$N305*$R305)</f>
        <v>0</v>
      </c>
      <c r="AF313" s="264">
        <f t="shared" si="670"/>
        <v>0</v>
      </c>
      <c r="AG313" s="264">
        <f t="shared" si="670"/>
        <v>0</v>
      </c>
      <c r="AH313" s="264">
        <f t="shared" si="670"/>
        <v>0</v>
      </c>
      <c r="AI313" s="264">
        <f t="shared" si="668"/>
        <v>0</v>
      </c>
      <c r="AJ313" s="264">
        <f t="shared" si="661"/>
        <v>0</v>
      </c>
      <c r="AK313" s="264">
        <f t="shared" si="662"/>
        <v>0</v>
      </c>
      <c r="AL313" s="264">
        <f t="shared" si="663"/>
        <v>0</v>
      </c>
      <c r="AM313" s="264">
        <f t="shared" si="664"/>
        <v>0</v>
      </c>
      <c r="AN313" s="640">
        <f t="shared" si="653"/>
        <v>0</v>
      </c>
      <c r="AO313" s="264">
        <f t="shared" si="665"/>
        <v>0</v>
      </c>
      <c r="AP313" s="640">
        <f t="shared" si="647"/>
        <v>0</v>
      </c>
      <c r="AQ313" s="264"/>
      <c r="AR313" s="264" t="str">
        <f>VLOOKUP($I313,TableInputsData[],ReadMe!$M$3,FALSE)&amp;"  |  "&amp;VLOOKUP($K313,TableInputsData[],ReadMe!$M$3,FALSE)</f>
        <v>PRODUIT 08  |  CHIFFRE D'AFFAIRES</v>
      </c>
      <c r="AS313" s="264" t="b">
        <f t="shared" si="666"/>
        <v>1</v>
      </c>
      <c r="AT313" s="294"/>
    </row>
    <row r="314" spans="1:46" ht="13" hidden="1" x14ac:dyDescent="0.2">
      <c r="A314" s="294"/>
      <c r="B314" s="925"/>
      <c r="C314" s="271">
        <v>307</v>
      </c>
      <c r="D314" s="250">
        <f t="shared" si="654"/>
        <v>0</v>
      </c>
      <c r="E314" s="250"/>
      <c r="F314" s="248" t="str">
        <f t="shared" si="659"/>
        <v>YEAR2</v>
      </c>
      <c r="G314" s="250">
        <f>VLOOKUP(F314,TableInputsData[],$G$6,FALSE)</f>
        <v>2026</v>
      </c>
      <c r="H314" s="250" t="str">
        <f t="shared" si="655"/>
        <v>PRODUCT</v>
      </c>
      <c r="I314" s="248" t="str">
        <f t="shared" si="655"/>
        <v>PRODUCT 08</v>
      </c>
      <c r="J314" s="248" t="str">
        <f>VLOOKUP(I314,TableInputsData[],$J$6,FALSE)</f>
        <v>-</v>
      </c>
      <c r="K314" s="248" t="str">
        <f t="shared" si="669"/>
        <v>REVENUE</v>
      </c>
      <c r="L314" s="255"/>
      <c r="M314" s="255"/>
      <c r="N314" s="255"/>
      <c r="O314" s="265"/>
      <c r="P314" s="260"/>
      <c r="Q314" s="260"/>
      <c r="R314" s="260"/>
      <c r="S314" s="630"/>
      <c r="T314" s="630"/>
      <c r="U314" s="630"/>
      <c r="V314" s="630"/>
      <c r="W314" s="260"/>
      <c r="X314" s="260"/>
      <c r="Y314" s="260"/>
      <c r="Z314" s="260"/>
      <c r="AA314" s="260"/>
      <c r="AB314" s="260"/>
      <c r="AC314" s="265"/>
      <c r="AD314" s="634"/>
      <c r="AE314" s="264">
        <f t="shared" ref="AE314:AH314" si="671">AE306*($L306*$P306+$M306*$Q306+$N306*$R306)</f>
        <v>0</v>
      </c>
      <c r="AF314" s="264">
        <f t="shared" si="671"/>
        <v>0</v>
      </c>
      <c r="AG314" s="264">
        <f t="shared" si="671"/>
        <v>0</v>
      </c>
      <c r="AH314" s="264">
        <f t="shared" si="671"/>
        <v>0</v>
      </c>
      <c r="AI314" s="264">
        <f t="shared" si="668"/>
        <v>0</v>
      </c>
      <c r="AJ314" s="264">
        <f t="shared" si="661"/>
        <v>0</v>
      </c>
      <c r="AK314" s="264">
        <f t="shared" si="662"/>
        <v>0</v>
      </c>
      <c r="AL314" s="264">
        <f t="shared" si="663"/>
        <v>0</v>
      </c>
      <c r="AM314" s="264">
        <f t="shared" si="664"/>
        <v>0</v>
      </c>
      <c r="AN314" s="640">
        <f t="shared" si="653"/>
        <v>0</v>
      </c>
      <c r="AO314" s="264">
        <f t="shared" si="665"/>
        <v>0</v>
      </c>
      <c r="AP314" s="640">
        <f t="shared" si="647"/>
        <v>0</v>
      </c>
      <c r="AQ314" s="264"/>
      <c r="AR314" s="264" t="str">
        <f>VLOOKUP($I314,TableInputsData[],ReadMe!$M$3,FALSE)&amp;"  |  "&amp;VLOOKUP($K314,TableInputsData[],ReadMe!$M$3,FALSE)</f>
        <v>PRODUIT 08  |  CHIFFRE D'AFFAIRES</v>
      </c>
      <c r="AS314" s="264" t="b">
        <f t="shared" si="666"/>
        <v>1</v>
      </c>
      <c r="AT314" s="294"/>
    </row>
    <row r="315" spans="1:46" ht="13" hidden="1" x14ac:dyDescent="0.2">
      <c r="A315" s="294"/>
      <c r="B315" s="925"/>
      <c r="C315" s="271">
        <v>308</v>
      </c>
      <c r="D315" s="250">
        <f t="shared" si="654"/>
        <v>0</v>
      </c>
      <c r="E315" s="250"/>
      <c r="F315" s="248" t="str">
        <f t="shared" si="659"/>
        <v>YEAR3</v>
      </c>
      <c r="G315" s="250">
        <f>VLOOKUP(F315,TableInputsData[],$G$6,FALSE)</f>
        <v>2027</v>
      </c>
      <c r="H315" s="250" t="str">
        <f t="shared" si="655"/>
        <v>PRODUCT</v>
      </c>
      <c r="I315" s="248" t="str">
        <f t="shared" si="655"/>
        <v>PRODUCT 08</v>
      </c>
      <c r="J315" s="248" t="str">
        <f>VLOOKUP(I315,TableInputsData[],$J$6,FALSE)</f>
        <v>-</v>
      </c>
      <c r="K315" s="248" t="str">
        <f t="shared" si="669"/>
        <v>REVENUE</v>
      </c>
      <c r="L315" s="255"/>
      <c r="M315" s="255"/>
      <c r="N315" s="255"/>
      <c r="O315" s="265"/>
      <c r="P315" s="260"/>
      <c r="Q315" s="260"/>
      <c r="R315" s="260"/>
      <c r="S315" s="630"/>
      <c r="T315" s="630"/>
      <c r="U315" s="630"/>
      <c r="V315" s="630"/>
      <c r="W315" s="260"/>
      <c r="X315" s="260"/>
      <c r="Y315" s="260"/>
      <c r="Z315" s="260"/>
      <c r="AA315" s="260"/>
      <c r="AB315" s="260"/>
      <c r="AC315" s="265"/>
      <c r="AD315" s="634"/>
      <c r="AE315" s="264">
        <f t="shared" ref="AE315:AH315" si="672">AE307*($L307*$P307+$M307*$Q307+$N307*$R307)</f>
        <v>0</v>
      </c>
      <c r="AF315" s="264">
        <f t="shared" si="672"/>
        <v>0</v>
      </c>
      <c r="AG315" s="264">
        <f t="shared" si="672"/>
        <v>0</v>
      </c>
      <c r="AH315" s="264">
        <f t="shared" si="672"/>
        <v>0</v>
      </c>
      <c r="AI315" s="264">
        <f t="shared" si="668"/>
        <v>0</v>
      </c>
      <c r="AJ315" s="264">
        <f t="shared" si="661"/>
        <v>0</v>
      </c>
      <c r="AK315" s="264">
        <f t="shared" si="662"/>
        <v>0</v>
      </c>
      <c r="AL315" s="264">
        <f t="shared" si="663"/>
        <v>0</v>
      </c>
      <c r="AM315" s="264">
        <f t="shared" si="664"/>
        <v>0</v>
      </c>
      <c r="AN315" s="640">
        <f t="shared" si="653"/>
        <v>0</v>
      </c>
      <c r="AO315" s="264">
        <f t="shared" si="665"/>
        <v>0</v>
      </c>
      <c r="AP315" s="640">
        <f t="shared" si="647"/>
        <v>0</v>
      </c>
      <c r="AQ315" s="264"/>
      <c r="AR315" s="264" t="str">
        <f>VLOOKUP($I315,TableInputsData[],ReadMe!$M$3,FALSE)&amp;"  |  "&amp;VLOOKUP($K315,TableInputsData[],ReadMe!$M$3,FALSE)</f>
        <v>PRODUIT 08  |  CHIFFRE D'AFFAIRES</v>
      </c>
      <c r="AS315" s="264" t="b">
        <f t="shared" si="666"/>
        <v>1</v>
      </c>
      <c r="AT315" s="294"/>
    </row>
    <row r="316" spans="1:46" ht="13" hidden="1" x14ac:dyDescent="0.2">
      <c r="A316" s="294"/>
      <c r="B316" s="925"/>
      <c r="C316" s="271">
        <v>309</v>
      </c>
      <c r="D316" s="250">
        <f t="shared" si="654"/>
        <v>0</v>
      </c>
      <c r="E316" s="250"/>
      <c r="F316" s="248" t="str">
        <f t="shared" si="659"/>
        <v>YEAR4</v>
      </c>
      <c r="G316" s="250">
        <f>VLOOKUP(F316,TableInputsData[],$G$6,FALSE)</f>
        <v>2028</v>
      </c>
      <c r="H316" s="250" t="str">
        <f t="shared" si="655"/>
        <v>PRODUCT</v>
      </c>
      <c r="I316" s="248" t="str">
        <f t="shared" si="655"/>
        <v>PRODUCT 08</v>
      </c>
      <c r="J316" s="248" t="str">
        <f>VLOOKUP(I316,TableInputsData[],$J$6,FALSE)</f>
        <v>-</v>
      </c>
      <c r="K316" s="248" t="str">
        <f t="shared" si="669"/>
        <v>REVENUE</v>
      </c>
      <c r="L316" s="255"/>
      <c r="M316" s="255"/>
      <c r="N316" s="255"/>
      <c r="O316" s="265"/>
      <c r="P316" s="260"/>
      <c r="Q316" s="260"/>
      <c r="R316" s="260"/>
      <c r="S316" s="630"/>
      <c r="T316" s="630"/>
      <c r="U316" s="630"/>
      <c r="V316" s="630"/>
      <c r="W316" s="260"/>
      <c r="X316" s="260"/>
      <c r="Y316" s="260"/>
      <c r="Z316" s="260"/>
      <c r="AA316" s="260"/>
      <c r="AB316" s="260"/>
      <c r="AC316" s="265"/>
      <c r="AD316" s="634"/>
      <c r="AE316" s="264">
        <f t="shared" ref="AE316:AH316" si="673">AE308*($L308*$P308+$M308*$Q308+$N308*$R308)</f>
        <v>0</v>
      </c>
      <c r="AF316" s="264">
        <f t="shared" si="673"/>
        <v>0</v>
      </c>
      <c r="AG316" s="264">
        <f t="shared" si="673"/>
        <v>0</v>
      </c>
      <c r="AH316" s="264">
        <f t="shared" si="673"/>
        <v>0</v>
      </c>
      <c r="AI316" s="264">
        <f t="shared" si="668"/>
        <v>0</v>
      </c>
      <c r="AJ316" s="264">
        <f t="shared" si="661"/>
        <v>0</v>
      </c>
      <c r="AK316" s="264">
        <f t="shared" si="662"/>
        <v>0</v>
      </c>
      <c r="AL316" s="264">
        <f t="shared" si="663"/>
        <v>0</v>
      </c>
      <c r="AM316" s="264">
        <f t="shared" si="664"/>
        <v>0</v>
      </c>
      <c r="AN316" s="640">
        <f t="shared" si="653"/>
        <v>0</v>
      </c>
      <c r="AO316" s="264">
        <f t="shared" si="665"/>
        <v>0</v>
      </c>
      <c r="AP316" s="640">
        <f t="shared" si="647"/>
        <v>0</v>
      </c>
      <c r="AQ316" s="264"/>
      <c r="AR316" s="264" t="str">
        <f>VLOOKUP($I316,TableInputsData[],ReadMe!$M$3,FALSE)&amp;"  |  "&amp;VLOOKUP($K316,TableInputsData[],ReadMe!$M$3,FALSE)</f>
        <v>PRODUIT 08  |  CHIFFRE D'AFFAIRES</v>
      </c>
      <c r="AS316" s="264" t="b">
        <f t="shared" si="666"/>
        <v>1</v>
      </c>
      <c r="AT316" s="294"/>
    </row>
    <row r="317" spans="1:46" ht="13" hidden="1" x14ac:dyDescent="0.2">
      <c r="A317" s="294"/>
      <c r="B317" s="925"/>
      <c r="C317" s="271">
        <v>310</v>
      </c>
      <c r="D317" s="250">
        <f t="shared" si="654"/>
        <v>0</v>
      </c>
      <c r="E317" s="250"/>
      <c r="F317" s="248" t="str">
        <f t="shared" si="659"/>
        <v>YEAR5</v>
      </c>
      <c r="G317" s="250">
        <f>VLOOKUP(F317,TableInputsData[],$G$6,FALSE)</f>
        <v>2029</v>
      </c>
      <c r="H317" s="250" t="str">
        <f t="shared" si="655"/>
        <v>PRODUCT</v>
      </c>
      <c r="I317" s="248" t="str">
        <f t="shared" si="655"/>
        <v>PRODUCT 08</v>
      </c>
      <c r="J317" s="248" t="str">
        <f>VLOOKUP(I317,TableInputsData[],$J$6,FALSE)</f>
        <v>-</v>
      </c>
      <c r="K317" s="248" t="str">
        <f t="shared" si="669"/>
        <v>REVENUE</v>
      </c>
      <c r="L317" s="255"/>
      <c r="M317" s="255"/>
      <c r="N317" s="255"/>
      <c r="O317" s="265"/>
      <c r="P317" s="260"/>
      <c r="Q317" s="260"/>
      <c r="R317" s="260"/>
      <c r="S317" s="630"/>
      <c r="T317" s="630"/>
      <c r="U317" s="630"/>
      <c r="V317" s="630"/>
      <c r="W317" s="260"/>
      <c r="X317" s="260"/>
      <c r="Y317" s="260"/>
      <c r="Z317" s="260"/>
      <c r="AA317" s="260"/>
      <c r="AB317" s="260"/>
      <c r="AC317" s="265"/>
      <c r="AD317" s="634"/>
      <c r="AE317" s="264">
        <f t="shared" ref="AE317:AH317" si="674">AE309*($L309*$P309+$M309*$Q309+$N309*$R309)</f>
        <v>0</v>
      </c>
      <c r="AF317" s="264">
        <f t="shared" si="674"/>
        <v>0</v>
      </c>
      <c r="AG317" s="264">
        <f t="shared" si="674"/>
        <v>0</v>
      </c>
      <c r="AH317" s="264">
        <f t="shared" si="674"/>
        <v>0</v>
      </c>
      <c r="AI317" s="264">
        <f t="shared" si="668"/>
        <v>0</v>
      </c>
      <c r="AJ317" s="264">
        <f t="shared" si="661"/>
        <v>0</v>
      </c>
      <c r="AK317" s="264">
        <f t="shared" si="662"/>
        <v>0</v>
      </c>
      <c r="AL317" s="264">
        <f t="shared" si="663"/>
        <v>0</v>
      </c>
      <c r="AM317" s="264">
        <f t="shared" si="664"/>
        <v>0</v>
      </c>
      <c r="AN317" s="640">
        <f t="shared" si="653"/>
        <v>0</v>
      </c>
      <c r="AO317" s="264">
        <f t="shared" si="665"/>
        <v>0</v>
      </c>
      <c r="AP317" s="640">
        <f t="shared" si="647"/>
        <v>0</v>
      </c>
      <c r="AQ317" s="264"/>
      <c r="AR317" s="264" t="str">
        <f>VLOOKUP($I317,TableInputsData[],ReadMe!$M$3,FALSE)&amp;"  |  "&amp;VLOOKUP($K317,TableInputsData[],ReadMe!$M$3,FALSE)</f>
        <v>PRODUIT 08  |  CHIFFRE D'AFFAIRES</v>
      </c>
      <c r="AS317" s="264" t="b">
        <f t="shared" si="666"/>
        <v>1</v>
      </c>
      <c r="AT317" s="294"/>
    </row>
    <row r="318" spans="1:46" ht="13" hidden="1" x14ac:dyDescent="0.2">
      <c r="A318" s="294"/>
      <c r="B318" s="925"/>
      <c r="C318" s="271">
        <v>311</v>
      </c>
      <c r="D318" s="250">
        <f t="shared" si="654"/>
        <v>0</v>
      </c>
      <c r="E318" s="250"/>
      <c r="F318" s="248" t="str">
        <f t="shared" si="659"/>
        <v>YEAR6</v>
      </c>
      <c r="G318" s="250">
        <f>VLOOKUP(F318,TableInputsData[],$G$6,FALSE)</f>
        <v>2030</v>
      </c>
      <c r="H318" s="250" t="str">
        <f t="shared" si="655"/>
        <v>PRODUCT</v>
      </c>
      <c r="I318" s="248" t="str">
        <f t="shared" si="655"/>
        <v>PRODUCT 08</v>
      </c>
      <c r="J318" s="248" t="str">
        <f>VLOOKUP(I318,TableInputsData[],$J$6,FALSE)</f>
        <v>-</v>
      </c>
      <c r="K318" s="248" t="str">
        <f t="shared" si="669"/>
        <v>REVENUE</v>
      </c>
      <c r="L318" s="255"/>
      <c r="M318" s="255"/>
      <c r="N318" s="255"/>
      <c r="O318" s="265"/>
      <c r="P318" s="260"/>
      <c r="Q318" s="260"/>
      <c r="R318" s="260"/>
      <c r="S318" s="630"/>
      <c r="T318" s="630"/>
      <c r="U318" s="630"/>
      <c r="V318" s="630"/>
      <c r="W318" s="260"/>
      <c r="X318" s="260"/>
      <c r="Y318" s="260"/>
      <c r="Z318" s="260"/>
      <c r="AA318" s="260"/>
      <c r="AB318" s="260"/>
      <c r="AC318" s="265"/>
      <c r="AD318" s="634"/>
      <c r="AE318" s="264">
        <f t="shared" ref="AE318:AH318" si="675">AE310*($L310*$P310+$M310*$Q310+$N310*$R310)</f>
        <v>0</v>
      </c>
      <c r="AF318" s="264">
        <f t="shared" si="675"/>
        <v>0</v>
      </c>
      <c r="AG318" s="264">
        <f t="shared" si="675"/>
        <v>0</v>
      </c>
      <c r="AH318" s="264">
        <f t="shared" si="675"/>
        <v>0</v>
      </c>
      <c r="AI318" s="264">
        <f>$AE318+$AF318+$AG318+$AH318</f>
        <v>0</v>
      </c>
      <c r="AJ318" s="264">
        <f t="shared" si="661"/>
        <v>0</v>
      </c>
      <c r="AK318" s="264">
        <f t="shared" si="662"/>
        <v>0</v>
      </c>
      <c r="AL318" s="264">
        <f t="shared" si="663"/>
        <v>0</v>
      </c>
      <c r="AM318" s="264">
        <f t="shared" si="664"/>
        <v>0</v>
      </c>
      <c r="AN318" s="640">
        <f t="shared" si="653"/>
        <v>0</v>
      </c>
      <c r="AO318" s="264">
        <f t="shared" si="665"/>
        <v>0</v>
      </c>
      <c r="AP318" s="640">
        <f t="shared" si="647"/>
        <v>0</v>
      </c>
      <c r="AQ318" s="264"/>
      <c r="AR318" s="264" t="str">
        <f>VLOOKUP($I318,TableInputsData[],ReadMe!$M$3,FALSE)&amp;"  |  "&amp;VLOOKUP($K318,TableInputsData[],ReadMe!$M$3,FALSE)</f>
        <v>PRODUIT 08  |  CHIFFRE D'AFFAIRES</v>
      </c>
      <c r="AS318" s="264" t="b">
        <f t="shared" si="666"/>
        <v>1</v>
      </c>
      <c r="AT318" s="294"/>
    </row>
    <row r="319" spans="1:46" ht="13" hidden="1" x14ac:dyDescent="0.2">
      <c r="A319" s="294"/>
      <c r="B319" s="925"/>
      <c r="C319" s="271">
        <v>312</v>
      </c>
      <c r="D319" s="250">
        <f t="shared" si="654"/>
        <v>0</v>
      </c>
      <c r="E319" s="250"/>
      <c r="F319" s="248" t="str">
        <f t="shared" ref="F319:F326" si="676">F303</f>
        <v>YEAR-2</v>
      </c>
      <c r="G319" s="250">
        <f>VLOOKUP(F319,TableInputsData[],$G$6,FALSE)</f>
        <v>2023</v>
      </c>
      <c r="H319" s="250" t="str">
        <f t="shared" si="655"/>
        <v>PRODUCT</v>
      </c>
      <c r="I319" s="248" t="str">
        <f t="shared" si="655"/>
        <v>PRODUCT 08</v>
      </c>
      <c r="J319" s="248" t="str">
        <f>VLOOKUP(I319,TableInputsData[],$J$6,FALSE)</f>
        <v>-</v>
      </c>
      <c r="K319" s="248" t="s">
        <v>456</v>
      </c>
      <c r="L319" s="255"/>
      <c r="M319" s="255"/>
      <c r="N319" s="255"/>
      <c r="O319" s="265"/>
      <c r="P319" s="260"/>
      <c r="Q319" s="260"/>
      <c r="R319" s="260"/>
      <c r="S319" s="630"/>
      <c r="T319" s="630"/>
      <c r="U319" s="630"/>
      <c r="V319" s="630"/>
      <c r="W319" s="260"/>
      <c r="X319" s="260"/>
      <c r="Y319" s="260"/>
      <c r="Z319" s="260"/>
      <c r="AA319" s="260"/>
      <c r="AB319" s="260"/>
      <c r="AC319" s="265"/>
      <c r="AD319" s="634"/>
      <c r="AE319" s="264">
        <f>IF(AE303=0,0,AE311/AE303)</f>
        <v>0</v>
      </c>
      <c r="AF319" s="264">
        <f t="shared" ref="AF319:AI319" si="677">IF(AF303=0,0,AF311/AF303)</f>
        <v>0</v>
      </c>
      <c r="AG319" s="264">
        <f t="shared" si="677"/>
        <v>0</v>
      </c>
      <c r="AH319" s="264">
        <f t="shared" si="677"/>
        <v>0</v>
      </c>
      <c r="AI319" s="264">
        <f t="shared" si="677"/>
        <v>0</v>
      </c>
      <c r="AJ319" s="264">
        <f>IF(AJ303=0,0,AJ311/AJ303)</f>
        <v>0</v>
      </c>
      <c r="AK319" s="264">
        <f t="shared" ref="AK319:AL319" si="678">IF(AK303=0,0,AK311/AK303)</f>
        <v>0</v>
      </c>
      <c r="AL319" s="264">
        <f t="shared" si="678"/>
        <v>0</v>
      </c>
      <c r="AM319" s="264">
        <f>IF(AM303=0,0,AM311/AM303)</f>
        <v>0</v>
      </c>
      <c r="AN319" s="260"/>
      <c r="AO319" s="264">
        <f t="shared" ref="AO319" si="679">IF(AO303=0,0,AO311/AO303)</f>
        <v>0</v>
      </c>
      <c r="AP319" s="260"/>
      <c r="AQ319" s="264"/>
      <c r="AR319" s="264" t="str">
        <f>VLOOKUP($I319,TableInputsData[],ReadMe!$M$3,FALSE)&amp;"  |  "&amp;VLOOKUP($K319,TableInputsData[],ReadMe!$M$3,FALSE)</f>
        <v>PRODUIT 08  |  PRIX MOYEN DE VENTE PAR PRODUIT/SERVICE</v>
      </c>
      <c r="AS319" s="264"/>
      <c r="AT319" s="294"/>
    </row>
    <row r="320" spans="1:46" ht="13" hidden="1" x14ac:dyDescent="0.2">
      <c r="A320" s="294"/>
      <c r="B320" s="925"/>
      <c r="C320" s="271">
        <v>313</v>
      </c>
      <c r="D320" s="250">
        <f t="shared" si="654"/>
        <v>0</v>
      </c>
      <c r="E320" s="250"/>
      <c r="F320" s="248" t="str">
        <f t="shared" si="676"/>
        <v>YEAR-1</v>
      </c>
      <c r="G320" s="250">
        <f>VLOOKUP(F320,TableInputsData[],$G$6,FALSE)</f>
        <v>2024</v>
      </c>
      <c r="H320" s="250" t="str">
        <f t="shared" si="655"/>
        <v>PRODUCT</v>
      </c>
      <c r="I320" s="248" t="str">
        <f t="shared" si="655"/>
        <v>PRODUCT 08</v>
      </c>
      <c r="J320" s="248" t="str">
        <f>VLOOKUP(I320,TableInputsData[],$J$6,FALSE)</f>
        <v>-</v>
      </c>
      <c r="K320" s="248" t="str">
        <f>K319</f>
        <v>AVERAGE SELLING PRICE PER UNIT</v>
      </c>
      <c r="L320" s="255"/>
      <c r="M320" s="255"/>
      <c r="N320" s="255"/>
      <c r="O320" s="265"/>
      <c r="P320" s="260"/>
      <c r="Q320" s="260"/>
      <c r="R320" s="260"/>
      <c r="S320" s="630"/>
      <c r="T320" s="630"/>
      <c r="U320" s="630"/>
      <c r="V320" s="630"/>
      <c r="W320" s="260"/>
      <c r="X320" s="260"/>
      <c r="Y320" s="260"/>
      <c r="Z320" s="260"/>
      <c r="AA320" s="260"/>
      <c r="AB320" s="260"/>
      <c r="AC320" s="265"/>
      <c r="AD320" s="634"/>
      <c r="AE320" s="264">
        <f>IF(AE304=0,0,AE312/AE304)</f>
        <v>0</v>
      </c>
      <c r="AF320" s="264">
        <f t="shared" ref="AF320:AM320" si="680">IF(AF304=0,0,AF312/AF304)</f>
        <v>0</v>
      </c>
      <c r="AG320" s="264">
        <f t="shared" si="680"/>
        <v>0</v>
      </c>
      <c r="AH320" s="264">
        <f t="shared" si="680"/>
        <v>0</v>
      </c>
      <c r="AI320" s="264">
        <f t="shared" si="680"/>
        <v>0</v>
      </c>
      <c r="AJ320" s="264">
        <f t="shared" si="680"/>
        <v>0</v>
      </c>
      <c r="AK320" s="264">
        <f t="shared" si="680"/>
        <v>0</v>
      </c>
      <c r="AL320" s="264">
        <f t="shared" si="680"/>
        <v>0</v>
      </c>
      <c r="AM320" s="264">
        <f t="shared" si="680"/>
        <v>0</v>
      </c>
      <c r="AN320" s="260"/>
      <c r="AO320" s="264">
        <f t="shared" ref="AO320" si="681">IF(AO304=0,0,AO312/AO304)</f>
        <v>0</v>
      </c>
      <c r="AP320" s="260"/>
      <c r="AQ320" s="264"/>
      <c r="AR320" s="264" t="str">
        <f>VLOOKUP($I320,TableInputsData[],ReadMe!$M$3,FALSE)&amp;"  |  "&amp;VLOOKUP($K320,TableInputsData[],ReadMe!$M$3,FALSE)</f>
        <v>PRODUIT 08  |  PRIX MOYEN DE VENTE PAR PRODUIT/SERVICE</v>
      </c>
      <c r="AS320" s="264"/>
      <c r="AT320" s="294"/>
    </row>
    <row r="321" spans="1:46" ht="13" hidden="1" x14ac:dyDescent="0.2">
      <c r="A321" s="294"/>
      <c r="B321" s="925"/>
      <c r="C321" s="271">
        <v>314</v>
      </c>
      <c r="D321" s="250">
        <f t="shared" si="654"/>
        <v>0</v>
      </c>
      <c r="E321" s="250"/>
      <c r="F321" s="248" t="str">
        <f t="shared" si="676"/>
        <v>CURRENT YEAR</v>
      </c>
      <c r="G321" s="250">
        <f>VLOOKUP(F321,TableInputsData[],$G$6,FALSE)</f>
        <v>2025</v>
      </c>
      <c r="H321" s="250" t="str">
        <f t="shared" si="655"/>
        <v>PRODUCT</v>
      </c>
      <c r="I321" s="248" t="str">
        <f t="shared" si="655"/>
        <v>PRODUCT 08</v>
      </c>
      <c r="J321" s="248" t="str">
        <f>VLOOKUP(I321,TableInputsData[],$J$6,FALSE)</f>
        <v>-</v>
      </c>
      <c r="K321" s="248" t="str">
        <f t="shared" ref="K321:K326" si="682">K320</f>
        <v>AVERAGE SELLING PRICE PER UNIT</v>
      </c>
      <c r="L321" s="255"/>
      <c r="M321" s="255"/>
      <c r="N321" s="255"/>
      <c r="O321" s="265"/>
      <c r="P321" s="260"/>
      <c r="Q321" s="260"/>
      <c r="R321" s="260"/>
      <c r="S321" s="630"/>
      <c r="T321" s="630"/>
      <c r="U321" s="630"/>
      <c r="V321" s="630"/>
      <c r="W321" s="260"/>
      <c r="X321" s="260"/>
      <c r="Y321" s="260"/>
      <c r="Z321" s="260"/>
      <c r="AA321" s="260"/>
      <c r="AB321" s="260"/>
      <c r="AC321" s="265"/>
      <c r="AD321" s="634"/>
      <c r="AE321" s="264">
        <f>IF(AE305=0,0,AE313/AE305)</f>
        <v>0</v>
      </c>
      <c r="AF321" s="264">
        <f t="shared" ref="AF321:AM321" si="683">IF(AF305=0,0,AF313/AF305)</f>
        <v>0</v>
      </c>
      <c r="AG321" s="264">
        <f t="shared" si="683"/>
        <v>0</v>
      </c>
      <c r="AH321" s="264">
        <f t="shared" si="683"/>
        <v>0</v>
      </c>
      <c r="AI321" s="264">
        <f t="shared" si="683"/>
        <v>0</v>
      </c>
      <c r="AJ321" s="264">
        <f t="shared" si="683"/>
        <v>0</v>
      </c>
      <c r="AK321" s="264">
        <f t="shared" si="683"/>
        <v>0</v>
      </c>
      <c r="AL321" s="264">
        <f t="shared" si="683"/>
        <v>0</v>
      </c>
      <c r="AM321" s="264">
        <f t="shared" si="683"/>
        <v>0</v>
      </c>
      <c r="AN321" s="260"/>
      <c r="AO321" s="264">
        <f t="shared" ref="AO321" si="684">IF(AO305=0,0,AO313/AO305)</f>
        <v>0</v>
      </c>
      <c r="AP321" s="260"/>
      <c r="AQ321" s="264"/>
      <c r="AR321" s="264" t="str">
        <f>VLOOKUP($I321,TableInputsData[],ReadMe!$M$3,FALSE)&amp;"  |  "&amp;VLOOKUP($K321,TableInputsData[],ReadMe!$M$3,FALSE)</f>
        <v>PRODUIT 08  |  PRIX MOYEN DE VENTE PAR PRODUIT/SERVICE</v>
      </c>
      <c r="AS321" s="264"/>
      <c r="AT321" s="294"/>
    </row>
    <row r="322" spans="1:46" ht="13" hidden="1" x14ac:dyDescent="0.2">
      <c r="A322" s="294"/>
      <c r="B322" s="925"/>
      <c r="C322" s="271">
        <v>315</v>
      </c>
      <c r="D322" s="250">
        <f t="shared" si="654"/>
        <v>0</v>
      </c>
      <c r="E322" s="250"/>
      <c r="F322" s="248" t="str">
        <f t="shared" si="676"/>
        <v>YEAR2</v>
      </c>
      <c r="G322" s="250">
        <f>VLOOKUP(F322,TableInputsData[],$G$6,FALSE)</f>
        <v>2026</v>
      </c>
      <c r="H322" s="250" t="str">
        <f t="shared" si="655"/>
        <v>PRODUCT</v>
      </c>
      <c r="I322" s="248" t="str">
        <f t="shared" si="655"/>
        <v>PRODUCT 08</v>
      </c>
      <c r="J322" s="248" t="str">
        <f>VLOOKUP(I322,TableInputsData[],$J$6,FALSE)</f>
        <v>-</v>
      </c>
      <c r="K322" s="248" t="str">
        <f t="shared" si="682"/>
        <v>AVERAGE SELLING PRICE PER UNIT</v>
      </c>
      <c r="L322" s="255"/>
      <c r="M322" s="255"/>
      <c r="N322" s="255"/>
      <c r="O322" s="265"/>
      <c r="P322" s="260"/>
      <c r="Q322" s="260"/>
      <c r="R322" s="260"/>
      <c r="S322" s="630"/>
      <c r="T322" s="630"/>
      <c r="U322" s="630"/>
      <c r="V322" s="630"/>
      <c r="W322" s="260"/>
      <c r="X322" s="260"/>
      <c r="Y322" s="260"/>
      <c r="Z322" s="260"/>
      <c r="AA322" s="260"/>
      <c r="AB322" s="260"/>
      <c r="AC322" s="265"/>
      <c r="AD322" s="634"/>
      <c r="AE322" s="264">
        <f>IF(AE306=0,0,AE314/AE306)</f>
        <v>0</v>
      </c>
      <c r="AF322" s="264">
        <f t="shared" ref="AF322:AM322" si="685">IF(AF306=0,0,AF314/AF306)</f>
        <v>0</v>
      </c>
      <c r="AG322" s="264">
        <f t="shared" si="685"/>
        <v>0</v>
      </c>
      <c r="AH322" s="264">
        <f t="shared" si="685"/>
        <v>0</v>
      </c>
      <c r="AI322" s="264">
        <f t="shared" si="685"/>
        <v>0</v>
      </c>
      <c r="AJ322" s="264">
        <f t="shared" si="685"/>
        <v>0</v>
      </c>
      <c r="AK322" s="264">
        <f t="shared" si="685"/>
        <v>0</v>
      </c>
      <c r="AL322" s="264">
        <f t="shared" si="685"/>
        <v>0</v>
      </c>
      <c r="AM322" s="264">
        <f t="shared" si="685"/>
        <v>0</v>
      </c>
      <c r="AN322" s="260"/>
      <c r="AO322" s="264">
        <f t="shared" ref="AO322" si="686">IF(AO306=0,0,AO314/AO306)</f>
        <v>0</v>
      </c>
      <c r="AP322" s="260"/>
      <c r="AQ322" s="264"/>
      <c r="AR322" s="264" t="str">
        <f>VLOOKUP($I322,TableInputsData[],ReadMe!$M$3,FALSE)&amp;"  |  "&amp;VLOOKUP($K322,TableInputsData[],ReadMe!$M$3,FALSE)</f>
        <v>PRODUIT 08  |  PRIX MOYEN DE VENTE PAR PRODUIT/SERVICE</v>
      </c>
      <c r="AS322" s="264"/>
      <c r="AT322" s="294"/>
    </row>
    <row r="323" spans="1:46" ht="13" hidden="1" x14ac:dyDescent="0.2">
      <c r="A323" s="294"/>
      <c r="B323" s="925"/>
      <c r="C323" s="271">
        <v>316</v>
      </c>
      <c r="D323" s="250">
        <f t="shared" si="654"/>
        <v>0</v>
      </c>
      <c r="E323" s="250"/>
      <c r="F323" s="248" t="str">
        <f t="shared" si="676"/>
        <v>YEAR3</v>
      </c>
      <c r="G323" s="250">
        <f>VLOOKUP(F323,TableInputsData[],$G$6,FALSE)</f>
        <v>2027</v>
      </c>
      <c r="H323" s="250" t="str">
        <f t="shared" si="655"/>
        <v>PRODUCT</v>
      </c>
      <c r="I323" s="248" t="str">
        <f t="shared" si="655"/>
        <v>PRODUCT 08</v>
      </c>
      <c r="J323" s="248" t="str">
        <f>VLOOKUP(I323,TableInputsData[],$J$6,FALSE)</f>
        <v>-</v>
      </c>
      <c r="K323" s="248" t="str">
        <f t="shared" si="682"/>
        <v>AVERAGE SELLING PRICE PER UNIT</v>
      </c>
      <c r="L323" s="255"/>
      <c r="M323" s="255"/>
      <c r="N323" s="255"/>
      <c r="O323" s="265"/>
      <c r="P323" s="260"/>
      <c r="Q323" s="260"/>
      <c r="R323" s="260"/>
      <c r="S323" s="630"/>
      <c r="T323" s="630"/>
      <c r="U323" s="630"/>
      <c r="V323" s="630"/>
      <c r="W323" s="260"/>
      <c r="X323" s="260"/>
      <c r="Y323" s="260"/>
      <c r="Z323" s="260"/>
      <c r="AA323" s="260"/>
      <c r="AB323" s="260"/>
      <c r="AC323" s="265"/>
      <c r="AD323" s="634"/>
      <c r="AE323" s="264">
        <f t="shared" ref="AE323:AM323" si="687">IF(AE307=0,0,AE315/AE307)</f>
        <v>0</v>
      </c>
      <c r="AF323" s="264">
        <f t="shared" si="687"/>
        <v>0</v>
      </c>
      <c r="AG323" s="264">
        <f t="shared" si="687"/>
        <v>0</v>
      </c>
      <c r="AH323" s="264">
        <f t="shared" si="687"/>
        <v>0</v>
      </c>
      <c r="AI323" s="264">
        <f t="shared" si="687"/>
        <v>0</v>
      </c>
      <c r="AJ323" s="264">
        <f t="shared" si="687"/>
        <v>0</v>
      </c>
      <c r="AK323" s="264">
        <f t="shared" si="687"/>
        <v>0</v>
      </c>
      <c r="AL323" s="264">
        <f t="shared" si="687"/>
        <v>0</v>
      </c>
      <c r="AM323" s="264">
        <f t="shared" si="687"/>
        <v>0</v>
      </c>
      <c r="AN323" s="260"/>
      <c r="AO323" s="264">
        <f t="shared" ref="AO323" si="688">IF(AO307=0,0,AO315/AO307)</f>
        <v>0</v>
      </c>
      <c r="AP323" s="260"/>
      <c r="AQ323" s="264"/>
      <c r="AR323" s="264" t="str">
        <f>VLOOKUP($I323,TableInputsData[],ReadMe!$M$3,FALSE)&amp;"  |  "&amp;VLOOKUP($K323,TableInputsData[],ReadMe!$M$3,FALSE)</f>
        <v>PRODUIT 08  |  PRIX MOYEN DE VENTE PAR PRODUIT/SERVICE</v>
      </c>
      <c r="AS323" s="264"/>
      <c r="AT323" s="294"/>
    </row>
    <row r="324" spans="1:46" ht="13" hidden="1" x14ac:dyDescent="0.2">
      <c r="A324" s="294"/>
      <c r="B324" s="925"/>
      <c r="C324" s="272">
        <v>317</v>
      </c>
      <c r="D324" s="250">
        <f t="shared" si="654"/>
        <v>0</v>
      </c>
      <c r="E324" s="251"/>
      <c r="F324" s="248" t="str">
        <f t="shared" si="676"/>
        <v>YEAR4</v>
      </c>
      <c r="G324" s="250">
        <f>VLOOKUP(F324,TableInputsData[],$G$6,FALSE)</f>
        <v>2028</v>
      </c>
      <c r="H324" s="250" t="str">
        <f t="shared" si="655"/>
        <v>PRODUCT</v>
      </c>
      <c r="I324" s="248" t="str">
        <f t="shared" si="655"/>
        <v>PRODUCT 08</v>
      </c>
      <c r="J324" s="248" t="str">
        <f>VLOOKUP(I324,TableInputsData[],$J$6,FALSE)</f>
        <v>-</v>
      </c>
      <c r="K324" s="248" t="str">
        <f t="shared" si="682"/>
        <v>AVERAGE SELLING PRICE PER UNIT</v>
      </c>
      <c r="L324" s="256"/>
      <c r="M324" s="256"/>
      <c r="N324" s="256"/>
      <c r="O324" s="266"/>
      <c r="P324" s="261"/>
      <c r="Q324" s="261"/>
      <c r="R324" s="261"/>
      <c r="S324" s="629"/>
      <c r="T324" s="629"/>
      <c r="U324" s="629"/>
      <c r="V324" s="629"/>
      <c r="W324" s="261"/>
      <c r="X324" s="261"/>
      <c r="Y324" s="261"/>
      <c r="Z324" s="261"/>
      <c r="AA324" s="261"/>
      <c r="AB324" s="261"/>
      <c r="AC324" s="266"/>
      <c r="AD324" s="633"/>
      <c r="AE324" s="264">
        <f t="shared" ref="AE324:AM324" si="689">IF(AE308=0,0,AE316/AE308)</f>
        <v>0</v>
      </c>
      <c r="AF324" s="264">
        <f t="shared" si="689"/>
        <v>0</v>
      </c>
      <c r="AG324" s="264">
        <f t="shared" si="689"/>
        <v>0</v>
      </c>
      <c r="AH324" s="264">
        <f t="shared" si="689"/>
        <v>0</v>
      </c>
      <c r="AI324" s="264">
        <f t="shared" si="689"/>
        <v>0</v>
      </c>
      <c r="AJ324" s="264">
        <f t="shared" si="689"/>
        <v>0</v>
      </c>
      <c r="AK324" s="264">
        <f t="shared" si="689"/>
        <v>0</v>
      </c>
      <c r="AL324" s="264">
        <f t="shared" si="689"/>
        <v>0</v>
      </c>
      <c r="AM324" s="264">
        <f t="shared" si="689"/>
        <v>0</v>
      </c>
      <c r="AN324" s="260"/>
      <c r="AO324" s="264">
        <f t="shared" ref="AO324" si="690">IF(AO308=0,0,AO316/AO308)</f>
        <v>0</v>
      </c>
      <c r="AP324" s="260"/>
      <c r="AQ324" s="264"/>
      <c r="AR324" s="264" t="str">
        <f>VLOOKUP($I324,TableInputsData[],ReadMe!$M$3,FALSE)&amp;"  |  "&amp;VLOOKUP($K324,TableInputsData[],ReadMe!$M$3,FALSE)</f>
        <v>PRODUIT 08  |  PRIX MOYEN DE VENTE PAR PRODUIT/SERVICE</v>
      </c>
      <c r="AS324" s="264"/>
      <c r="AT324" s="294"/>
    </row>
    <row r="325" spans="1:46" ht="13" hidden="1" x14ac:dyDescent="0.2">
      <c r="A325" s="294"/>
      <c r="B325" s="925"/>
      <c r="C325" s="271">
        <v>318</v>
      </c>
      <c r="D325" s="250">
        <f t="shared" si="654"/>
        <v>0</v>
      </c>
      <c r="E325" s="250"/>
      <c r="F325" s="248" t="str">
        <f t="shared" si="676"/>
        <v>YEAR5</v>
      </c>
      <c r="G325" s="250">
        <f>VLOOKUP(F325,TableInputsData[],$G$6,FALSE)</f>
        <v>2029</v>
      </c>
      <c r="H325" s="250" t="str">
        <f t="shared" si="655"/>
        <v>PRODUCT</v>
      </c>
      <c r="I325" s="248" t="str">
        <f t="shared" si="655"/>
        <v>PRODUCT 08</v>
      </c>
      <c r="J325" s="248" t="str">
        <f>VLOOKUP(I325,TableInputsData[],$J$6,FALSE)</f>
        <v>-</v>
      </c>
      <c r="K325" s="248" t="str">
        <f t="shared" si="682"/>
        <v>AVERAGE SELLING PRICE PER UNIT</v>
      </c>
      <c r="L325" s="255"/>
      <c r="M325" s="255"/>
      <c r="N325" s="255"/>
      <c r="O325" s="265"/>
      <c r="P325" s="260"/>
      <c r="Q325" s="260"/>
      <c r="R325" s="260"/>
      <c r="S325" s="630"/>
      <c r="T325" s="630"/>
      <c r="U325" s="630"/>
      <c r="V325" s="630"/>
      <c r="W325" s="260"/>
      <c r="X325" s="260"/>
      <c r="Y325" s="260"/>
      <c r="Z325" s="260"/>
      <c r="AA325" s="260"/>
      <c r="AB325" s="260"/>
      <c r="AC325" s="265"/>
      <c r="AD325" s="634"/>
      <c r="AE325" s="264">
        <f t="shared" ref="AE325:AM325" si="691">IF(AE309=0,0,AE317/AE309)</f>
        <v>0</v>
      </c>
      <c r="AF325" s="264">
        <f t="shared" si="691"/>
        <v>0</v>
      </c>
      <c r="AG325" s="264">
        <f t="shared" si="691"/>
        <v>0</v>
      </c>
      <c r="AH325" s="264">
        <f t="shared" si="691"/>
        <v>0</v>
      </c>
      <c r="AI325" s="264">
        <f t="shared" si="691"/>
        <v>0</v>
      </c>
      <c r="AJ325" s="264">
        <f t="shared" si="691"/>
        <v>0</v>
      </c>
      <c r="AK325" s="264">
        <f t="shared" si="691"/>
        <v>0</v>
      </c>
      <c r="AL325" s="264">
        <f t="shared" si="691"/>
        <v>0</v>
      </c>
      <c r="AM325" s="264">
        <f t="shared" si="691"/>
        <v>0</v>
      </c>
      <c r="AN325" s="260"/>
      <c r="AO325" s="264">
        <f t="shared" ref="AO325" si="692">IF(AO309=0,0,AO317/AO309)</f>
        <v>0</v>
      </c>
      <c r="AP325" s="260"/>
      <c r="AQ325" s="264"/>
      <c r="AR325" s="264" t="str">
        <f>VLOOKUP($I325,TableInputsData[],ReadMe!$M$3,FALSE)&amp;"  |  "&amp;VLOOKUP($K325,TableInputsData[],ReadMe!$M$3,FALSE)</f>
        <v>PRODUIT 08  |  PRIX MOYEN DE VENTE PAR PRODUIT/SERVICE</v>
      </c>
      <c r="AS325" s="264"/>
      <c r="AT325" s="294"/>
    </row>
    <row r="326" spans="1:46" ht="13" hidden="1" x14ac:dyDescent="0.2">
      <c r="A326" s="294"/>
      <c r="B326" s="925"/>
      <c r="C326" s="271">
        <v>319</v>
      </c>
      <c r="D326" s="250">
        <f t="shared" si="654"/>
        <v>0</v>
      </c>
      <c r="E326" s="250"/>
      <c r="F326" s="248" t="str">
        <f t="shared" si="676"/>
        <v>YEAR6</v>
      </c>
      <c r="G326" s="250">
        <f>VLOOKUP(F326,TableInputsData[],$G$6,FALSE)</f>
        <v>2030</v>
      </c>
      <c r="H326" s="250" t="str">
        <f t="shared" si="655"/>
        <v>PRODUCT</v>
      </c>
      <c r="I326" s="248" t="str">
        <f t="shared" si="655"/>
        <v>PRODUCT 08</v>
      </c>
      <c r="J326" s="248" t="str">
        <f>VLOOKUP(I326,TableInputsData[],$J$6,FALSE)</f>
        <v>-</v>
      </c>
      <c r="K326" s="248" t="str">
        <f t="shared" si="682"/>
        <v>AVERAGE SELLING PRICE PER UNIT</v>
      </c>
      <c r="L326" s="255"/>
      <c r="M326" s="255"/>
      <c r="N326" s="255"/>
      <c r="O326" s="265"/>
      <c r="P326" s="260"/>
      <c r="Q326" s="260"/>
      <c r="R326" s="260"/>
      <c r="S326" s="630"/>
      <c r="T326" s="630"/>
      <c r="U326" s="630"/>
      <c r="V326" s="630"/>
      <c r="W326" s="260"/>
      <c r="X326" s="260"/>
      <c r="Y326" s="260"/>
      <c r="Z326" s="260"/>
      <c r="AA326" s="260"/>
      <c r="AB326" s="260"/>
      <c r="AC326" s="265"/>
      <c r="AD326" s="634"/>
      <c r="AE326" s="264">
        <f t="shared" ref="AE326:AM326" si="693">IF(AE310=0,0,AE318/AE310)</f>
        <v>0</v>
      </c>
      <c r="AF326" s="264">
        <f t="shared" si="693"/>
        <v>0</v>
      </c>
      <c r="AG326" s="264">
        <f t="shared" si="693"/>
        <v>0</v>
      </c>
      <c r="AH326" s="264">
        <f t="shared" si="693"/>
        <v>0</v>
      </c>
      <c r="AI326" s="264">
        <f t="shared" si="693"/>
        <v>0</v>
      </c>
      <c r="AJ326" s="264">
        <f t="shared" si="693"/>
        <v>0</v>
      </c>
      <c r="AK326" s="264">
        <f t="shared" si="693"/>
        <v>0</v>
      </c>
      <c r="AL326" s="264">
        <f t="shared" si="693"/>
        <v>0</v>
      </c>
      <c r="AM326" s="264">
        <f t="shared" si="693"/>
        <v>0</v>
      </c>
      <c r="AN326" s="260"/>
      <c r="AO326" s="264">
        <f t="shared" ref="AO326" si="694">IF(AO310=0,0,AO318/AO310)</f>
        <v>0</v>
      </c>
      <c r="AP326" s="260"/>
      <c r="AQ326" s="264"/>
      <c r="AR326" s="264" t="str">
        <f>VLOOKUP($I326,TableInputsData[],ReadMe!$M$3,FALSE)&amp;"  |  "&amp;VLOOKUP($K326,TableInputsData[],ReadMe!$M$3,FALSE)</f>
        <v>PRODUIT 08  |  PRIX MOYEN DE VENTE PAR PRODUIT/SERVICE</v>
      </c>
      <c r="AS326" s="264"/>
      <c r="AT326" s="294"/>
    </row>
    <row r="327" spans="1:46" ht="13" hidden="1" x14ac:dyDescent="0.2">
      <c r="A327" s="294"/>
      <c r="B327" s="925"/>
      <c r="C327" s="272">
        <v>320</v>
      </c>
      <c r="D327" s="250">
        <f t="shared" si="654"/>
        <v>0</v>
      </c>
      <c r="E327" s="251"/>
      <c r="F327" s="248" t="str">
        <f t="shared" ref="F327:F334" si="695">F335</f>
        <v>YEAR-2</v>
      </c>
      <c r="G327" s="250">
        <f>VLOOKUP(F327,TableInputsData[],$G$6,FALSE)</f>
        <v>2023</v>
      </c>
      <c r="H327" s="250" t="str">
        <f t="shared" si="655"/>
        <v>PRODUCT</v>
      </c>
      <c r="I327" s="248" t="str">
        <f t="shared" si="655"/>
        <v>PRODUCT 08</v>
      </c>
      <c r="J327" s="248" t="str">
        <f>VLOOKUP(I327,TableInputsData[],$J$6,FALSE)</f>
        <v>-</v>
      </c>
      <c r="K327" s="248" t="s">
        <v>531</v>
      </c>
      <c r="L327" s="256"/>
      <c r="M327" s="256"/>
      <c r="N327" s="256"/>
      <c r="O327" s="266"/>
      <c r="P327" s="261"/>
      <c r="Q327" s="261"/>
      <c r="R327" s="261"/>
      <c r="S327" s="629"/>
      <c r="T327" s="629"/>
      <c r="U327" s="629"/>
      <c r="V327" s="629"/>
      <c r="W327" s="261"/>
      <c r="X327" s="261"/>
      <c r="Y327" s="261"/>
      <c r="Z327" s="261"/>
      <c r="AA327" s="261"/>
      <c r="AB327" s="261"/>
      <c r="AC327" s="266"/>
      <c r="AD327" s="633"/>
      <c r="AE327" s="264">
        <f>AE303*($S303*$P303+$T303*$Q303+$U303*$R303)</f>
        <v>0</v>
      </c>
      <c r="AF327" s="264">
        <f t="shared" ref="AF327:AH327" si="696">AF303*($S303*$P303+$T303*$Q303+$U303*$R303)</f>
        <v>0</v>
      </c>
      <c r="AG327" s="264">
        <f t="shared" si="696"/>
        <v>0</v>
      </c>
      <c r="AH327" s="264">
        <f t="shared" si="696"/>
        <v>0</v>
      </c>
      <c r="AI327" s="264">
        <f t="shared" ref="AI327:AI334" si="697">$AE327+$AF327+$AG327+$AH327</f>
        <v>0</v>
      </c>
      <c r="AJ327" s="264">
        <f t="shared" ref="AJ327:AJ334" si="698">$AJ303*$S303</f>
        <v>0</v>
      </c>
      <c r="AK327" s="264">
        <f t="shared" ref="AK327:AK334" si="699">$AK303*$T303</f>
        <v>0</v>
      </c>
      <c r="AL327" s="264">
        <f t="shared" ref="AL327:AL334" si="700">$AL303*$U303</f>
        <v>0</v>
      </c>
      <c r="AM327" s="264">
        <f t="shared" ref="AM327:AM334" si="701">$AJ327*$W303+$AK327*$X303+$AL327*$Y303</f>
        <v>0</v>
      </c>
      <c r="AN327" s="640">
        <f t="shared" ref="AN327:AN334" si="702">IF(AI327=0,0,AM327/AI327)</f>
        <v>0</v>
      </c>
      <c r="AO327" s="264">
        <f t="shared" ref="AO327:AO334" si="703">$AJ327*$Z303+$AK327*$AA303+$AL327*$AB303</f>
        <v>0</v>
      </c>
      <c r="AP327" s="640">
        <f t="shared" ref="AP327:AP334" si="704">IF(AI327=0,0,AO327/AI327)</f>
        <v>0</v>
      </c>
      <c r="AQ327" s="264"/>
      <c r="AR327" s="264" t="str">
        <f>VLOOKUP($I327,TableInputsData[],ReadMe!$M$3,FALSE)&amp;"  |  "&amp;VLOOKUP($K327,TableInputsData[],ReadMe!$M$3,FALSE)</f>
        <v>PRODUIT 08  |  DEPENSES SUR ACHATS</v>
      </c>
      <c r="AS327" s="264" t="b">
        <f t="shared" ref="AS327:AS334" si="705">AND(EXACT(ROUND(AI327,2),ROUND(AJ327+AK327+AL327,2)),EXACT(ROUND(AI327,2),ROUND(AM327+AO327,2)))</f>
        <v>1</v>
      </c>
      <c r="AT327" s="294"/>
    </row>
    <row r="328" spans="1:46" ht="13" hidden="1" x14ac:dyDescent="0.2">
      <c r="A328" s="294"/>
      <c r="B328" s="925"/>
      <c r="C328" s="271">
        <v>321</v>
      </c>
      <c r="D328" s="250">
        <f t="shared" si="654"/>
        <v>0</v>
      </c>
      <c r="E328" s="250"/>
      <c r="F328" s="248" t="str">
        <f t="shared" si="695"/>
        <v>YEAR-1</v>
      </c>
      <c r="G328" s="250">
        <f>VLOOKUP(F328,TableInputsData[],$G$6,FALSE)</f>
        <v>2024</v>
      </c>
      <c r="H328" s="250" t="str">
        <f t="shared" si="655"/>
        <v>PRODUCT</v>
      </c>
      <c r="I328" s="248" t="str">
        <f t="shared" si="655"/>
        <v>PRODUCT 08</v>
      </c>
      <c r="J328" s="248" t="str">
        <f>VLOOKUP(I328,TableInputsData[],$J$6,FALSE)</f>
        <v>-</v>
      </c>
      <c r="K328" s="248" t="str">
        <f>K327</f>
        <v>COST OF GOODS SOLD</v>
      </c>
      <c r="L328" s="255"/>
      <c r="M328" s="255"/>
      <c r="N328" s="255"/>
      <c r="O328" s="265"/>
      <c r="P328" s="260"/>
      <c r="Q328" s="260"/>
      <c r="R328" s="260"/>
      <c r="S328" s="630"/>
      <c r="T328" s="630"/>
      <c r="U328" s="630"/>
      <c r="V328" s="630"/>
      <c r="W328" s="260"/>
      <c r="X328" s="260"/>
      <c r="Y328" s="260"/>
      <c r="Z328" s="260"/>
      <c r="AA328" s="260"/>
      <c r="AB328" s="260"/>
      <c r="AC328" s="265"/>
      <c r="AD328" s="634"/>
      <c r="AE328" s="264">
        <f t="shared" ref="AE328:AH328" si="706">AE304*($S304*$P304+$T304*$Q304+$U304*$R304)</f>
        <v>0</v>
      </c>
      <c r="AF328" s="264">
        <f t="shared" si="706"/>
        <v>0</v>
      </c>
      <c r="AG328" s="264">
        <f t="shared" si="706"/>
        <v>0</v>
      </c>
      <c r="AH328" s="264">
        <f t="shared" si="706"/>
        <v>0</v>
      </c>
      <c r="AI328" s="264">
        <f t="shared" si="697"/>
        <v>0</v>
      </c>
      <c r="AJ328" s="264">
        <f t="shared" si="698"/>
        <v>0</v>
      </c>
      <c r="AK328" s="264">
        <f t="shared" si="699"/>
        <v>0</v>
      </c>
      <c r="AL328" s="264">
        <f t="shared" si="700"/>
        <v>0</v>
      </c>
      <c r="AM328" s="264">
        <f t="shared" si="701"/>
        <v>0</v>
      </c>
      <c r="AN328" s="640">
        <f t="shared" si="702"/>
        <v>0</v>
      </c>
      <c r="AO328" s="264">
        <f t="shared" si="703"/>
        <v>0</v>
      </c>
      <c r="AP328" s="640">
        <f t="shared" si="704"/>
        <v>0</v>
      </c>
      <c r="AQ328" s="264"/>
      <c r="AR328" s="264" t="str">
        <f>VLOOKUP($I328,TableInputsData[],ReadMe!$M$3,FALSE)&amp;"  |  "&amp;VLOOKUP($K328,TableInputsData[],ReadMe!$M$3,FALSE)</f>
        <v>PRODUIT 08  |  DEPENSES SUR ACHATS</v>
      </c>
      <c r="AS328" s="264" t="b">
        <f t="shared" si="705"/>
        <v>1</v>
      </c>
      <c r="AT328" s="294"/>
    </row>
    <row r="329" spans="1:46" ht="13" hidden="1" x14ac:dyDescent="0.2">
      <c r="A329" s="294"/>
      <c r="B329" s="925"/>
      <c r="C329" s="271">
        <v>322</v>
      </c>
      <c r="D329" s="250">
        <f t="shared" si="654"/>
        <v>0</v>
      </c>
      <c r="E329" s="250"/>
      <c r="F329" s="248" t="str">
        <f t="shared" si="695"/>
        <v>CURRENT YEAR</v>
      </c>
      <c r="G329" s="250">
        <f>VLOOKUP(F329,TableInputsData[],$G$6,FALSE)</f>
        <v>2025</v>
      </c>
      <c r="H329" s="250" t="str">
        <f t="shared" si="655"/>
        <v>PRODUCT</v>
      </c>
      <c r="I329" s="248" t="str">
        <f t="shared" si="655"/>
        <v>PRODUCT 08</v>
      </c>
      <c r="J329" s="248" t="str">
        <f>VLOOKUP(I329,TableInputsData[],$J$6,FALSE)</f>
        <v>-</v>
      </c>
      <c r="K329" s="248" t="str">
        <f t="shared" ref="K329:K334" si="707">K328</f>
        <v>COST OF GOODS SOLD</v>
      </c>
      <c r="L329" s="255"/>
      <c r="M329" s="255"/>
      <c r="N329" s="255"/>
      <c r="O329" s="265"/>
      <c r="P329" s="260"/>
      <c r="Q329" s="260"/>
      <c r="R329" s="260"/>
      <c r="S329" s="630"/>
      <c r="T329" s="630"/>
      <c r="U329" s="630"/>
      <c r="V329" s="630"/>
      <c r="W329" s="260"/>
      <c r="X329" s="260"/>
      <c r="Y329" s="260"/>
      <c r="Z329" s="260"/>
      <c r="AA329" s="260"/>
      <c r="AB329" s="260"/>
      <c r="AC329" s="265"/>
      <c r="AD329" s="634"/>
      <c r="AE329" s="264">
        <f t="shared" ref="AE329:AH329" si="708">AE305*($S305*$P305+$T305*$Q305+$U305*$R305)</f>
        <v>0</v>
      </c>
      <c r="AF329" s="264">
        <f t="shared" si="708"/>
        <v>0</v>
      </c>
      <c r="AG329" s="264">
        <f t="shared" si="708"/>
        <v>0</v>
      </c>
      <c r="AH329" s="264">
        <f t="shared" si="708"/>
        <v>0</v>
      </c>
      <c r="AI329" s="264">
        <f t="shared" si="697"/>
        <v>0</v>
      </c>
      <c r="AJ329" s="264">
        <f t="shared" si="698"/>
        <v>0</v>
      </c>
      <c r="AK329" s="264">
        <f t="shared" si="699"/>
        <v>0</v>
      </c>
      <c r="AL329" s="264">
        <f t="shared" si="700"/>
        <v>0</v>
      </c>
      <c r="AM329" s="264">
        <f t="shared" si="701"/>
        <v>0</v>
      </c>
      <c r="AN329" s="640">
        <f t="shared" si="702"/>
        <v>0</v>
      </c>
      <c r="AO329" s="264">
        <f t="shared" si="703"/>
        <v>0</v>
      </c>
      <c r="AP329" s="640">
        <f t="shared" si="704"/>
        <v>0</v>
      </c>
      <c r="AQ329" s="264"/>
      <c r="AR329" s="264" t="str">
        <f>VLOOKUP($I329,TableInputsData[],ReadMe!$M$3,FALSE)&amp;"  |  "&amp;VLOOKUP($K329,TableInputsData[],ReadMe!$M$3,FALSE)</f>
        <v>PRODUIT 08  |  DEPENSES SUR ACHATS</v>
      </c>
      <c r="AS329" s="264" t="b">
        <f t="shared" si="705"/>
        <v>1</v>
      </c>
      <c r="AT329" s="294"/>
    </row>
    <row r="330" spans="1:46" ht="13" hidden="1" x14ac:dyDescent="0.2">
      <c r="A330" s="294"/>
      <c r="B330" s="925"/>
      <c r="C330" s="271">
        <v>323</v>
      </c>
      <c r="D330" s="250">
        <f t="shared" si="654"/>
        <v>0</v>
      </c>
      <c r="E330" s="250"/>
      <c r="F330" s="248" t="str">
        <f t="shared" si="695"/>
        <v>YEAR2</v>
      </c>
      <c r="G330" s="250">
        <f>VLOOKUP(F330,TableInputsData[],$G$6,FALSE)</f>
        <v>2026</v>
      </c>
      <c r="H330" s="250" t="str">
        <f t="shared" si="655"/>
        <v>PRODUCT</v>
      </c>
      <c r="I330" s="248" t="str">
        <f t="shared" si="655"/>
        <v>PRODUCT 08</v>
      </c>
      <c r="J330" s="248" t="str">
        <f>VLOOKUP(I330,TableInputsData[],$J$6,FALSE)</f>
        <v>-</v>
      </c>
      <c r="K330" s="248" t="str">
        <f t="shared" si="707"/>
        <v>COST OF GOODS SOLD</v>
      </c>
      <c r="L330" s="255"/>
      <c r="M330" s="255"/>
      <c r="N330" s="255"/>
      <c r="O330" s="265"/>
      <c r="P330" s="260"/>
      <c r="Q330" s="260"/>
      <c r="R330" s="260"/>
      <c r="S330" s="630"/>
      <c r="T330" s="630"/>
      <c r="U330" s="630"/>
      <c r="V330" s="630"/>
      <c r="W330" s="260"/>
      <c r="X330" s="260"/>
      <c r="Y330" s="260"/>
      <c r="Z330" s="260"/>
      <c r="AA330" s="260"/>
      <c r="AB330" s="260"/>
      <c r="AC330" s="265"/>
      <c r="AD330" s="634"/>
      <c r="AE330" s="264">
        <f t="shared" ref="AE330:AH330" si="709">AE306*($S306*$P306+$T306*$Q306+$U306*$R306)</f>
        <v>0</v>
      </c>
      <c r="AF330" s="264">
        <f t="shared" si="709"/>
        <v>0</v>
      </c>
      <c r="AG330" s="264">
        <f t="shared" si="709"/>
        <v>0</v>
      </c>
      <c r="AH330" s="264">
        <f t="shared" si="709"/>
        <v>0</v>
      </c>
      <c r="AI330" s="264">
        <f t="shared" si="697"/>
        <v>0</v>
      </c>
      <c r="AJ330" s="264">
        <f t="shared" si="698"/>
        <v>0</v>
      </c>
      <c r="AK330" s="264">
        <f t="shared" si="699"/>
        <v>0</v>
      </c>
      <c r="AL330" s="264">
        <f t="shared" si="700"/>
        <v>0</v>
      </c>
      <c r="AM330" s="264">
        <f t="shared" si="701"/>
        <v>0</v>
      </c>
      <c r="AN330" s="640">
        <f t="shared" si="702"/>
        <v>0</v>
      </c>
      <c r="AO330" s="264">
        <f t="shared" si="703"/>
        <v>0</v>
      </c>
      <c r="AP330" s="640">
        <f t="shared" si="704"/>
        <v>0</v>
      </c>
      <c r="AQ330" s="264"/>
      <c r="AR330" s="264" t="str">
        <f>VLOOKUP($I330,TableInputsData[],ReadMe!$M$3,FALSE)&amp;"  |  "&amp;VLOOKUP($K330,TableInputsData[],ReadMe!$M$3,FALSE)</f>
        <v>PRODUIT 08  |  DEPENSES SUR ACHATS</v>
      </c>
      <c r="AS330" s="264" t="b">
        <f t="shared" si="705"/>
        <v>1</v>
      </c>
      <c r="AT330" s="294"/>
    </row>
    <row r="331" spans="1:46" ht="13" hidden="1" x14ac:dyDescent="0.2">
      <c r="A331" s="294"/>
      <c r="B331" s="925"/>
      <c r="C331" s="271">
        <v>324</v>
      </c>
      <c r="D331" s="250">
        <f t="shared" si="654"/>
        <v>0</v>
      </c>
      <c r="E331" s="250"/>
      <c r="F331" s="248" t="str">
        <f t="shared" si="695"/>
        <v>YEAR3</v>
      </c>
      <c r="G331" s="250">
        <f>VLOOKUP(F331,TableInputsData[],$G$6,FALSE)</f>
        <v>2027</v>
      </c>
      <c r="H331" s="250" t="str">
        <f t="shared" si="655"/>
        <v>PRODUCT</v>
      </c>
      <c r="I331" s="248" t="str">
        <f t="shared" si="655"/>
        <v>PRODUCT 08</v>
      </c>
      <c r="J331" s="248" t="str">
        <f>VLOOKUP(I331,TableInputsData[],$J$6,FALSE)</f>
        <v>-</v>
      </c>
      <c r="K331" s="248" t="str">
        <f t="shared" si="707"/>
        <v>COST OF GOODS SOLD</v>
      </c>
      <c r="L331" s="255"/>
      <c r="M331" s="255"/>
      <c r="N331" s="255"/>
      <c r="O331" s="265"/>
      <c r="P331" s="260"/>
      <c r="Q331" s="260"/>
      <c r="R331" s="260"/>
      <c r="S331" s="630"/>
      <c r="T331" s="630"/>
      <c r="U331" s="630"/>
      <c r="V331" s="630"/>
      <c r="W331" s="260"/>
      <c r="X331" s="260"/>
      <c r="Y331" s="260"/>
      <c r="Z331" s="260"/>
      <c r="AA331" s="260"/>
      <c r="AB331" s="260"/>
      <c r="AC331" s="265"/>
      <c r="AD331" s="634"/>
      <c r="AE331" s="264">
        <f t="shared" ref="AE331:AH331" si="710">AE307*($S307*$P307+$T307*$Q307+$U307*$R307)</f>
        <v>0</v>
      </c>
      <c r="AF331" s="264">
        <f t="shared" si="710"/>
        <v>0</v>
      </c>
      <c r="AG331" s="264">
        <f t="shared" si="710"/>
        <v>0</v>
      </c>
      <c r="AH331" s="264">
        <f t="shared" si="710"/>
        <v>0</v>
      </c>
      <c r="AI331" s="264">
        <f t="shared" si="697"/>
        <v>0</v>
      </c>
      <c r="AJ331" s="264">
        <f t="shared" si="698"/>
        <v>0</v>
      </c>
      <c r="AK331" s="264">
        <f t="shared" si="699"/>
        <v>0</v>
      </c>
      <c r="AL331" s="264">
        <f t="shared" si="700"/>
        <v>0</v>
      </c>
      <c r="AM331" s="264">
        <f t="shared" si="701"/>
        <v>0</v>
      </c>
      <c r="AN331" s="640">
        <f t="shared" si="702"/>
        <v>0</v>
      </c>
      <c r="AO331" s="264">
        <f t="shared" si="703"/>
        <v>0</v>
      </c>
      <c r="AP331" s="640">
        <f t="shared" si="704"/>
        <v>0</v>
      </c>
      <c r="AQ331" s="264"/>
      <c r="AR331" s="264" t="str">
        <f>VLOOKUP($I331,TableInputsData[],ReadMe!$M$3,FALSE)&amp;"  |  "&amp;VLOOKUP($K331,TableInputsData[],ReadMe!$M$3,FALSE)</f>
        <v>PRODUIT 08  |  DEPENSES SUR ACHATS</v>
      </c>
      <c r="AS331" s="264" t="b">
        <f t="shared" si="705"/>
        <v>1</v>
      </c>
      <c r="AT331" s="294"/>
    </row>
    <row r="332" spans="1:46" ht="13" hidden="1" x14ac:dyDescent="0.2">
      <c r="A332" s="294"/>
      <c r="B332" s="925"/>
      <c r="C332" s="271">
        <v>325</v>
      </c>
      <c r="D332" s="250">
        <f t="shared" si="654"/>
        <v>0</v>
      </c>
      <c r="E332" s="250"/>
      <c r="F332" s="248" t="str">
        <f t="shared" si="695"/>
        <v>YEAR4</v>
      </c>
      <c r="G332" s="250">
        <f>VLOOKUP(F332,TableInputsData[],$G$6,FALSE)</f>
        <v>2028</v>
      </c>
      <c r="H332" s="250" t="str">
        <f t="shared" si="655"/>
        <v>PRODUCT</v>
      </c>
      <c r="I332" s="248" t="str">
        <f t="shared" si="655"/>
        <v>PRODUCT 08</v>
      </c>
      <c r="J332" s="248" t="str">
        <f>VLOOKUP(I332,TableInputsData[],$J$6,FALSE)</f>
        <v>-</v>
      </c>
      <c r="K332" s="248" t="str">
        <f t="shared" si="707"/>
        <v>COST OF GOODS SOLD</v>
      </c>
      <c r="L332" s="255"/>
      <c r="M332" s="255"/>
      <c r="N332" s="255"/>
      <c r="O332" s="265"/>
      <c r="P332" s="260"/>
      <c r="Q332" s="260"/>
      <c r="R332" s="260"/>
      <c r="S332" s="630"/>
      <c r="T332" s="630"/>
      <c r="U332" s="630"/>
      <c r="V332" s="630"/>
      <c r="W332" s="260"/>
      <c r="X332" s="260"/>
      <c r="Y332" s="260"/>
      <c r="Z332" s="260"/>
      <c r="AA332" s="260"/>
      <c r="AB332" s="260"/>
      <c r="AC332" s="265"/>
      <c r="AD332" s="634"/>
      <c r="AE332" s="264">
        <f t="shared" ref="AE332:AH332" si="711">AE308*($S308*$P308+$T308*$Q308+$U308*$R308)</f>
        <v>0</v>
      </c>
      <c r="AF332" s="264">
        <f t="shared" si="711"/>
        <v>0</v>
      </c>
      <c r="AG332" s="264">
        <f t="shared" si="711"/>
        <v>0</v>
      </c>
      <c r="AH332" s="264">
        <f t="shared" si="711"/>
        <v>0</v>
      </c>
      <c r="AI332" s="264">
        <f t="shared" si="697"/>
        <v>0</v>
      </c>
      <c r="AJ332" s="264">
        <f t="shared" si="698"/>
        <v>0</v>
      </c>
      <c r="AK332" s="264">
        <f t="shared" si="699"/>
        <v>0</v>
      </c>
      <c r="AL332" s="264">
        <f t="shared" si="700"/>
        <v>0</v>
      </c>
      <c r="AM332" s="264">
        <f t="shared" si="701"/>
        <v>0</v>
      </c>
      <c r="AN332" s="640">
        <f t="shared" si="702"/>
        <v>0</v>
      </c>
      <c r="AO332" s="264">
        <f t="shared" si="703"/>
        <v>0</v>
      </c>
      <c r="AP332" s="640">
        <f t="shared" si="704"/>
        <v>0</v>
      </c>
      <c r="AQ332" s="264"/>
      <c r="AR332" s="264" t="str">
        <f>VLOOKUP($I332,TableInputsData[],ReadMe!$M$3,FALSE)&amp;"  |  "&amp;VLOOKUP($K332,TableInputsData[],ReadMe!$M$3,FALSE)</f>
        <v>PRODUIT 08  |  DEPENSES SUR ACHATS</v>
      </c>
      <c r="AS332" s="264" t="b">
        <f t="shared" si="705"/>
        <v>1</v>
      </c>
      <c r="AT332" s="294"/>
    </row>
    <row r="333" spans="1:46" ht="13" hidden="1" x14ac:dyDescent="0.2">
      <c r="A333" s="294"/>
      <c r="B333" s="925"/>
      <c r="C333" s="271">
        <v>326</v>
      </c>
      <c r="D333" s="250">
        <f t="shared" si="654"/>
        <v>0</v>
      </c>
      <c r="E333" s="250"/>
      <c r="F333" s="248" t="str">
        <f t="shared" si="695"/>
        <v>YEAR5</v>
      </c>
      <c r="G333" s="250">
        <f>VLOOKUP(F333,TableInputsData[],$G$6,FALSE)</f>
        <v>2029</v>
      </c>
      <c r="H333" s="250" t="str">
        <f t="shared" si="655"/>
        <v>PRODUCT</v>
      </c>
      <c r="I333" s="248" t="str">
        <f t="shared" si="655"/>
        <v>PRODUCT 08</v>
      </c>
      <c r="J333" s="248" t="str">
        <f>VLOOKUP(I333,TableInputsData[],$J$6,FALSE)</f>
        <v>-</v>
      </c>
      <c r="K333" s="248" t="str">
        <f t="shared" si="707"/>
        <v>COST OF GOODS SOLD</v>
      </c>
      <c r="L333" s="255"/>
      <c r="M333" s="255"/>
      <c r="N333" s="255"/>
      <c r="O333" s="265"/>
      <c r="P333" s="260"/>
      <c r="Q333" s="260"/>
      <c r="R333" s="260"/>
      <c r="S333" s="630"/>
      <c r="T333" s="630"/>
      <c r="U333" s="630"/>
      <c r="V333" s="630"/>
      <c r="W333" s="260"/>
      <c r="X333" s="260"/>
      <c r="Y333" s="260"/>
      <c r="Z333" s="260"/>
      <c r="AA333" s="260"/>
      <c r="AB333" s="260"/>
      <c r="AC333" s="265"/>
      <c r="AD333" s="634"/>
      <c r="AE333" s="264">
        <f t="shared" ref="AE333:AH333" si="712">AE309*($S309*$P309+$T309*$Q309+$U309*$R309)</f>
        <v>0</v>
      </c>
      <c r="AF333" s="264">
        <f t="shared" si="712"/>
        <v>0</v>
      </c>
      <c r="AG333" s="264">
        <f t="shared" si="712"/>
        <v>0</v>
      </c>
      <c r="AH333" s="264">
        <f t="shared" si="712"/>
        <v>0</v>
      </c>
      <c r="AI333" s="264">
        <f t="shared" si="697"/>
        <v>0</v>
      </c>
      <c r="AJ333" s="264">
        <f t="shared" si="698"/>
        <v>0</v>
      </c>
      <c r="AK333" s="264">
        <f t="shared" si="699"/>
        <v>0</v>
      </c>
      <c r="AL333" s="264">
        <f t="shared" si="700"/>
        <v>0</v>
      </c>
      <c r="AM333" s="264">
        <f t="shared" si="701"/>
        <v>0</v>
      </c>
      <c r="AN333" s="640">
        <f t="shared" si="702"/>
        <v>0</v>
      </c>
      <c r="AO333" s="264">
        <f t="shared" si="703"/>
        <v>0</v>
      </c>
      <c r="AP333" s="640">
        <f t="shared" si="704"/>
        <v>0</v>
      </c>
      <c r="AQ333" s="264"/>
      <c r="AR333" s="264" t="str">
        <f>VLOOKUP($I333,TableInputsData[],ReadMe!$M$3,FALSE)&amp;"  |  "&amp;VLOOKUP($K333,TableInputsData[],ReadMe!$M$3,FALSE)</f>
        <v>PRODUIT 08  |  DEPENSES SUR ACHATS</v>
      </c>
      <c r="AS333" s="264" t="b">
        <f t="shared" si="705"/>
        <v>1</v>
      </c>
      <c r="AT333" s="294"/>
    </row>
    <row r="334" spans="1:46" ht="13" hidden="1" x14ac:dyDescent="0.2">
      <c r="A334" s="294"/>
      <c r="B334" s="925"/>
      <c r="C334" s="271">
        <v>327</v>
      </c>
      <c r="D334" s="250">
        <f t="shared" si="654"/>
        <v>0</v>
      </c>
      <c r="E334" s="250"/>
      <c r="F334" s="248" t="str">
        <f t="shared" si="695"/>
        <v>YEAR6</v>
      </c>
      <c r="G334" s="250">
        <f>VLOOKUP(F334,TableInputsData[],$G$6,FALSE)</f>
        <v>2030</v>
      </c>
      <c r="H334" s="250" t="str">
        <f t="shared" si="655"/>
        <v>PRODUCT</v>
      </c>
      <c r="I334" s="248" t="str">
        <f t="shared" si="655"/>
        <v>PRODUCT 08</v>
      </c>
      <c r="J334" s="248" t="str">
        <f>VLOOKUP(I334,TableInputsData[],$J$6,FALSE)</f>
        <v>-</v>
      </c>
      <c r="K334" s="248" t="str">
        <f t="shared" si="707"/>
        <v>COST OF GOODS SOLD</v>
      </c>
      <c r="L334" s="255"/>
      <c r="M334" s="255"/>
      <c r="N334" s="255"/>
      <c r="O334" s="265"/>
      <c r="P334" s="260"/>
      <c r="Q334" s="260"/>
      <c r="R334" s="260"/>
      <c r="S334" s="630"/>
      <c r="T334" s="630"/>
      <c r="U334" s="630"/>
      <c r="V334" s="630"/>
      <c r="W334" s="260"/>
      <c r="X334" s="260"/>
      <c r="Y334" s="260"/>
      <c r="Z334" s="260"/>
      <c r="AA334" s="260"/>
      <c r="AB334" s="260"/>
      <c r="AC334" s="265"/>
      <c r="AD334" s="634"/>
      <c r="AE334" s="264">
        <f t="shared" ref="AE334:AH334" si="713">AE310*($S310*$P310+$T310*$Q310+$U310*$R310)</f>
        <v>0</v>
      </c>
      <c r="AF334" s="264">
        <f t="shared" si="713"/>
        <v>0</v>
      </c>
      <c r="AG334" s="264">
        <f t="shared" si="713"/>
        <v>0</v>
      </c>
      <c r="AH334" s="264">
        <f t="shared" si="713"/>
        <v>0</v>
      </c>
      <c r="AI334" s="264">
        <f t="shared" si="697"/>
        <v>0</v>
      </c>
      <c r="AJ334" s="264">
        <f t="shared" si="698"/>
        <v>0</v>
      </c>
      <c r="AK334" s="264">
        <f t="shared" si="699"/>
        <v>0</v>
      </c>
      <c r="AL334" s="264">
        <f t="shared" si="700"/>
        <v>0</v>
      </c>
      <c r="AM334" s="264">
        <f t="shared" si="701"/>
        <v>0</v>
      </c>
      <c r="AN334" s="640">
        <f t="shared" si="702"/>
        <v>0</v>
      </c>
      <c r="AO334" s="264">
        <f t="shared" si="703"/>
        <v>0</v>
      </c>
      <c r="AP334" s="640">
        <f t="shared" si="704"/>
        <v>0</v>
      </c>
      <c r="AQ334" s="264"/>
      <c r="AR334" s="264" t="str">
        <f>VLOOKUP($I334,TableInputsData[],ReadMe!$M$3,FALSE)&amp;"  |  "&amp;VLOOKUP($K334,TableInputsData[],ReadMe!$M$3,FALSE)</f>
        <v>PRODUIT 08  |  DEPENSES SUR ACHATS</v>
      </c>
      <c r="AS334" s="264" t="b">
        <f t="shared" si="705"/>
        <v>1</v>
      </c>
      <c r="AT334" s="294"/>
    </row>
    <row r="335" spans="1:46" ht="13" hidden="1" x14ac:dyDescent="0.2">
      <c r="A335" s="294"/>
      <c r="B335" s="925"/>
      <c r="C335" s="272">
        <v>328</v>
      </c>
      <c r="D335" s="250">
        <f t="shared" si="654"/>
        <v>0</v>
      </c>
      <c r="E335" s="251"/>
      <c r="F335" s="248" t="str">
        <f t="shared" ref="F335:F342" si="714">F311</f>
        <v>YEAR-2</v>
      </c>
      <c r="G335" s="250">
        <f>VLOOKUP(F335,TableInputsData[],$G$6,FALSE)</f>
        <v>2023</v>
      </c>
      <c r="H335" s="250" t="str">
        <f t="shared" si="655"/>
        <v>PRODUCT</v>
      </c>
      <c r="I335" s="248" t="str">
        <f t="shared" si="655"/>
        <v>PRODUCT 08</v>
      </c>
      <c r="J335" s="248" t="str">
        <f>VLOOKUP(I335,TableInputsData[],$J$6,FALSE)</f>
        <v>-</v>
      </c>
      <c r="K335" s="248" t="s">
        <v>532</v>
      </c>
      <c r="L335" s="256"/>
      <c r="M335" s="256"/>
      <c r="N335" s="256"/>
      <c r="O335" s="266"/>
      <c r="P335" s="261"/>
      <c r="Q335" s="261"/>
      <c r="R335" s="261"/>
      <c r="S335" s="629"/>
      <c r="T335" s="629"/>
      <c r="U335" s="629"/>
      <c r="V335" s="629"/>
      <c r="W335" s="261"/>
      <c r="X335" s="261"/>
      <c r="Y335" s="261"/>
      <c r="Z335" s="261"/>
      <c r="AA335" s="261"/>
      <c r="AB335" s="261"/>
      <c r="AC335" s="266"/>
      <c r="AD335" s="633"/>
      <c r="AE335" s="264">
        <f>IF(AE303=0,0,AE327/AE303)</f>
        <v>0</v>
      </c>
      <c r="AF335" s="264">
        <f t="shared" ref="AF335:AI335" si="715">IF(AF303=0,0,AF327/AF303)</f>
        <v>0</v>
      </c>
      <c r="AG335" s="264">
        <f t="shared" si="715"/>
        <v>0</v>
      </c>
      <c r="AH335" s="264">
        <f t="shared" si="715"/>
        <v>0</v>
      </c>
      <c r="AI335" s="264">
        <f t="shared" si="715"/>
        <v>0</v>
      </c>
      <c r="AJ335" s="264">
        <f>IF(AJ303=0,0,AJ327/AJ303)</f>
        <v>0</v>
      </c>
      <c r="AK335" s="264">
        <f t="shared" ref="AK335:AL335" si="716">IF(AK303=0,0,AK327/AK303)</f>
        <v>0</v>
      </c>
      <c r="AL335" s="264">
        <f t="shared" si="716"/>
        <v>0</v>
      </c>
      <c r="AM335" s="264">
        <f>IF(AM303=0,0,AM327/AM303)</f>
        <v>0</v>
      </c>
      <c r="AN335" s="260"/>
      <c r="AO335" s="264">
        <f t="shared" ref="AO335" si="717">IF(AO303=0,0,AO327/AO303)</f>
        <v>0</v>
      </c>
      <c r="AP335" s="260"/>
      <c r="AQ335" s="264"/>
      <c r="AR335" s="264" t="str">
        <f>VLOOKUP($I335,TableInputsData[],ReadMe!$M$3,FALSE)&amp;"  |  "&amp;VLOOKUP($K335,TableInputsData[],ReadMe!$M$3,FALSE)</f>
        <v>PRODUIT 08  |  PRIX MOYEN D'ACHAT PAR PRODUIT/SERVICE</v>
      </c>
      <c r="AS335" s="264"/>
      <c r="AT335" s="294"/>
    </row>
    <row r="336" spans="1:46" ht="13" hidden="1" x14ac:dyDescent="0.2">
      <c r="A336" s="294"/>
      <c r="B336" s="925"/>
      <c r="C336" s="272">
        <v>329</v>
      </c>
      <c r="D336" s="250">
        <f t="shared" si="654"/>
        <v>0</v>
      </c>
      <c r="E336" s="251"/>
      <c r="F336" s="248" t="str">
        <f t="shared" si="714"/>
        <v>YEAR-1</v>
      </c>
      <c r="G336" s="250">
        <f>VLOOKUP(F336,TableInputsData[],$G$6,FALSE)</f>
        <v>2024</v>
      </c>
      <c r="H336" s="250" t="str">
        <f t="shared" si="655"/>
        <v>PRODUCT</v>
      </c>
      <c r="I336" s="248" t="str">
        <f t="shared" si="655"/>
        <v>PRODUCT 08</v>
      </c>
      <c r="J336" s="248" t="str">
        <f>VLOOKUP(I336,TableInputsData[],$J$6,FALSE)</f>
        <v>-</v>
      </c>
      <c r="K336" s="248" t="str">
        <f>K335</f>
        <v>AVERAGE COST OF GOODS SOLD PER UNIT</v>
      </c>
      <c r="L336" s="256"/>
      <c r="M336" s="256"/>
      <c r="N336" s="256"/>
      <c r="O336" s="266"/>
      <c r="P336" s="261"/>
      <c r="Q336" s="261"/>
      <c r="R336" s="261"/>
      <c r="S336" s="629"/>
      <c r="T336" s="629"/>
      <c r="U336" s="629"/>
      <c r="V336" s="629"/>
      <c r="W336" s="261"/>
      <c r="X336" s="261"/>
      <c r="Y336" s="261"/>
      <c r="Z336" s="261"/>
      <c r="AA336" s="261"/>
      <c r="AB336" s="261"/>
      <c r="AC336" s="266"/>
      <c r="AD336" s="633"/>
      <c r="AE336" s="264">
        <f t="shared" ref="AE336:AL336" si="718">IF(AE304=0,0,AE328/AE304)</f>
        <v>0</v>
      </c>
      <c r="AF336" s="264">
        <f t="shared" si="718"/>
        <v>0</v>
      </c>
      <c r="AG336" s="264">
        <f t="shared" si="718"/>
        <v>0</v>
      </c>
      <c r="AH336" s="264">
        <f t="shared" si="718"/>
        <v>0</v>
      </c>
      <c r="AI336" s="264">
        <f t="shared" si="718"/>
        <v>0</v>
      </c>
      <c r="AJ336" s="264">
        <f t="shared" si="718"/>
        <v>0</v>
      </c>
      <c r="AK336" s="264">
        <f t="shared" si="718"/>
        <v>0</v>
      </c>
      <c r="AL336" s="264">
        <f t="shared" si="718"/>
        <v>0</v>
      </c>
      <c r="AM336" s="264">
        <f>IF(AM304=0,0,AM328/AM304)</f>
        <v>0</v>
      </c>
      <c r="AN336" s="260"/>
      <c r="AO336" s="264">
        <f>IF(AO304=0,0,AO328/AO304)</f>
        <v>0</v>
      </c>
      <c r="AP336" s="260"/>
      <c r="AQ336" s="264"/>
      <c r="AR336" s="264" t="str">
        <f>VLOOKUP($I336,TableInputsData[],ReadMe!$M$3,FALSE)&amp;"  |  "&amp;VLOOKUP($K336,TableInputsData[],ReadMe!$M$3,FALSE)</f>
        <v>PRODUIT 08  |  PRIX MOYEN D'ACHAT PAR PRODUIT/SERVICE</v>
      </c>
      <c r="AS336" s="264"/>
      <c r="AT336" s="294"/>
    </row>
    <row r="337" spans="1:46" ht="13" hidden="1" x14ac:dyDescent="0.2">
      <c r="A337" s="294"/>
      <c r="B337" s="925"/>
      <c r="C337" s="272">
        <v>330</v>
      </c>
      <c r="D337" s="250">
        <f t="shared" si="654"/>
        <v>0</v>
      </c>
      <c r="E337" s="251"/>
      <c r="F337" s="248" t="str">
        <f t="shared" si="714"/>
        <v>CURRENT YEAR</v>
      </c>
      <c r="G337" s="250">
        <f>VLOOKUP(F337,TableInputsData[],$G$6,FALSE)</f>
        <v>2025</v>
      </c>
      <c r="H337" s="250" t="str">
        <f t="shared" si="655"/>
        <v>PRODUCT</v>
      </c>
      <c r="I337" s="248" t="str">
        <f t="shared" si="655"/>
        <v>PRODUCT 08</v>
      </c>
      <c r="J337" s="248" t="str">
        <f>VLOOKUP(I337,TableInputsData[],$J$6,FALSE)</f>
        <v>-</v>
      </c>
      <c r="K337" s="248" t="str">
        <f t="shared" ref="K337:K342" si="719">K336</f>
        <v>AVERAGE COST OF GOODS SOLD PER UNIT</v>
      </c>
      <c r="L337" s="256"/>
      <c r="M337" s="256"/>
      <c r="N337" s="256"/>
      <c r="O337" s="266"/>
      <c r="P337" s="261"/>
      <c r="Q337" s="261"/>
      <c r="R337" s="261"/>
      <c r="S337" s="629"/>
      <c r="T337" s="629"/>
      <c r="U337" s="629"/>
      <c r="V337" s="629"/>
      <c r="W337" s="261"/>
      <c r="X337" s="261"/>
      <c r="Y337" s="261"/>
      <c r="Z337" s="261"/>
      <c r="AA337" s="261"/>
      <c r="AB337" s="261"/>
      <c r="AC337" s="266"/>
      <c r="AD337" s="633"/>
      <c r="AE337" s="264">
        <f t="shared" ref="AE337:AL337" si="720">IF(AE305=0,0,AE329/AE305)</f>
        <v>0</v>
      </c>
      <c r="AF337" s="264">
        <f t="shared" si="720"/>
        <v>0</v>
      </c>
      <c r="AG337" s="264">
        <f t="shared" si="720"/>
        <v>0</v>
      </c>
      <c r="AH337" s="264">
        <f t="shared" si="720"/>
        <v>0</v>
      </c>
      <c r="AI337" s="264">
        <f t="shared" si="720"/>
        <v>0</v>
      </c>
      <c r="AJ337" s="264">
        <f t="shared" si="720"/>
        <v>0</v>
      </c>
      <c r="AK337" s="264">
        <f t="shared" si="720"/>
        <v>0</v>
      </c>
      <c r="AL337" s="264">
        <f t="shared" si="720"/>
        <v>0</v>
      </c>
      <c r="AM337" s="264">
        <f>IF(AM305=0,0,AM329/AM305)</f>
        <v>0</v>
      </c>
      <c r="AN337" s="260"/>
      <c r="AO337" s="264">
        <f>IF(AO305=0,0,AO329/AO305)</f>
        <v>0</v>
      </c>
      <c r="AP337" s="260"/>
      <c r="AQ337" s="264"/>
      <c r="AR337" s="264" t="str">
        <f>VLOOKUP($I337,TableInputsData[],ReadMe!$M$3,FALSE)&amp;"  |  "&amp;VLOOKUP($K337,TableInputsData[],ReadMe!$M$3,FALSE)</f>
        <v>PRODUIT 08  |  PRIX MOYEN D'ACHAT PAR PRODUIT/SERVICE</v>
      </c>
      <c r="AS337" s="264"/>
      <c r="AT337" s="294"/>
    </row>
    <row r="338" spans="1:46" ht="13" hidden="1" x14ac:dyDescent="0.2">
      <c r="A338" s="294"/>
      <c r="B338" s="925"/>
      <c r="C338" s="272">
        <v>331</v>
      </c>
      <c r="D338" s="250">
        <f t="shared" si="654"/>
        <v>0</v>
      </c>
      <c r="E338" s="251"/>
      <c r="F338" s="248" t="str">
        <f t="shared" si="714"/>
        <v>YEAR2</v>
      </c>
      <c r="G338" s="250">
        <f>VLOOKUP(F338,TableInputsData[],$G$6,FALSE)</f>
        <v>2026</v>
      </c>
      <c r="H338" s="250" t="str">
        <f t="shared" si="655"/>
        <v>PRODUCT</v>
      </c>
      <c r="I338" s="248" t="str">
        <f t="shared" si="655"/>
        <v>PRODUCT 08</v>
      </c>
      <c r="J338" s="248" t="str">
        <f>VLOOKUP(I338,TableInputsData[],$J$6,FALSE)</f>
        <v>-</v>
      </c>
      <c r="K338" s="248" t="str">
        <f t="shared" si="719"/>
        <v>AVERAGE COST OF GOODS SOLD PER UNIT</v>
      </c>
      <c r="L338" s="256"/>
      <c r="M338" s="256"/>
      <c r="N338" s="256"/>
      <c r="O338" s="266"/>
      <c r="P338" s="261"/>
      <c r="Q338" s="261"/>
      <c r="R338" s="261"/>
      <c r="S338" s="629"/>
      <c r="T338" s="629"/>
      <c r="U338" s="629"/>
      <c r="V338" s="629"/>
      <c r="W338" s="261"/>
      <c r="X338" s="261"/>
      <c r="Y338" s="261"/>
      <c r="Z338" s="261"/>
      <c r="AA338" s="261"/>
      <c r="AB338" s="261"/>
      <c r="AC338" s="266"/>
      <c r="AD338" s="633"/>
      <c r="AE338" s="264">
        <f t="shared" ref="AE338:AM338" si="721">IF(AE306=0,0,AE330/AE306)</f>
        <v>0</v>
      </c>
      <c r="AF338" s="264">
        <f t="shared" si="721"/>
        <v>0</v>
      </c>
      <c r="AG338" s="264">
        <f t="shared" si="721"/>
        <v>0</v>
      </c>
      <c r="AH338" s="264">
        <f t="shared" si="721"/>
        <v>0</v>
      </c>
      <c r="AI338" s="264">
        <f t="shared" si="721"/>
        <v>0</v>
      </c>
      <c r="AJ338" s="264">
        <f t="shared" si="721"/>
        <v>0</v>
      </c>
      <c r="AK338" s="264">
        <f t="shared" si="721"/>
        <v>0</v>
      </c>
      <c r="AL338" s="264">
        <f t="shared" si="721"/>
        <v>0</v>
      </c>
      <c r="AM338" s="264">
        <f t="shared" si="721"/>
        <v>0</v>
      </c>
      <c r="AN338" s="260"/>
      <c r="AO338" s="264">
        <f t="shared" ref="AO338" si="722">IF(AO306=0,0,AO330/AO306)</f>
        <v>0</v>
      </c>
      <c r="AP338" s="260"/>
      <c r="AQ338" s="264"/>
      <c r="AR338" s="264" t="str">
        <f>VLOOKUP($I338,TableInputsData[],ReadMe!$M$3,FALSE)&amp;"  |  "&amp;VLOOKUP($K338,TableInputsData[],ReadMe!$M$3,FALSE)</f>
        <v>PRODUIT 08  |  PRIX MOYEN D'ACHAT PAR PRODUIT/SERVICE</v>
      </c>
      <c r="AS338" s="264"/>
      <c r="AT338" s="294"/>
    </row>
    <row r="339" spans="1:46" ht="13" hidden="1" x14ac:dyDescent="0.2">
      <c r="A339" s="294"/>
      <c r="B339" s="925"/>
      <c r="C339" s="272">
        <v>332</v>
      </c>
      <c r="D339" s="250">
        <f t="shared" si="654"/>
        <v>0</v>
      </c>
      <c r="E339" s="251"/>
      <c r="F339" s="248" t="str">
        <f t="shared" si="714"/>
        <v>YEAR3</v>
      </c>
      <c r="G339" s="250">
        <f>VLOOKUP(F339,TableInputsData[],$G$6,FALSE)</f>
        <v>2027</v>
      </c>
      <c r="H339" s="250" t="str">
        <f t="shared" si="655"/>
        <v>PRODUCT</v>
      </c>
      <c r="I339" s="248" t="str">
        <f t="shared" si="655"/>
        <v>PRODUCT 08</v>
      </c>
      <c r="J339" s="248" t="str">
        <f>VLOOKUP(I339,TableInputsData[],$J$6,FALSE)</f>
        <v>-</v>
      </c>
      <c r="K339" s="248" t="str">
        <f t="shared" si="719"/>
        <v>AVERAGE COST OF GOODS SOLD PER UNIT</v>
      </c>
      <c r="L339" s="256"/>
      <c r="M339" s="256"/>
      <c r="N339" s="256"/>
      <c r="O339" s="266"/>
      <c r="P339" s="261"/>
      <c r="Q339" s="261"/>
      <c r="R339" s="261"/>
      <c r="S339" s="629"/>
      <c r="T339" s="629"/>
      <c r="U339" s="629"/>
      <c r="V339" s="629"/>
      <c r="W339" s="261"/>
      <c r="X339" s="261"/>
      <c r="Y339" s="261"/>
      <c r="Z339" s="261"/>
      <c r="AA339" s="261"/>
      <c r="AB339" s="261"/>
      <c r="AC339" s="266"/>
      <c r="AD339" s="633"/>
      <c r="AE339" s="264">
        <f t="shared" ref="AE339:AM339" si="723">IF(AE307=0,0,AE331/AE307)</f>
        <v>0</v>
      </c>
      <c r="AF339" s="264">
        <f t="shared" si="723"/>
        <v>0</v>
      </c>
      <c r="AG339" s="264">
        <f t="shared" si="723"/>
        <v>0</v>
      </c>
      <c r="AH339" s="264">
        <f t="shared" si="723"/>
        <v>0</v>
      </c>
      <c r="AI339" s="264">
        <f t="shared" si="723"/>
        <v>0</v>
      </c>
      <c r="AJ339" s="264">
        <f t="shared" si="723"/>
        <v>0</v>
      </c>
      <c r="AK339" s="264">
        <f t="shared" si="723"/>
        <v>0</v>
      </c>
      <c r="AL339" s="264">
        <f t="shared" si="723"/>
        <v>0</v>
      </c>
      <c r="AM339" s="264">
        <f t="shared" si="723"/>
        <v>0</v>
      </c>
      <c r="AN339" s="260"/>
      <c r="AO339" s="264">
        <f t="shared" ref="AO339" si="724">IF(AO307=0,0,AO331/AO307)</f>
        <v>0</v>
      </c>
      <c r="AP339" s="260"/>
      <c r="AQ339" s="264"/>
      <c r="AR339" s="264" t="str">
        <f>VLOOKUP($I339,TableInputsData[],ReadMe!$M$3,FALSE)&amp;"  |  "&amp;VLOOKUP($K339,TableInputsData[],ReadMe!$M$3,FALSE)</f>
        <v>PRODUIT 08  |  PRIX MOYEN D'ACHAT PAR PRODUIT/SERVICE</v>
      </c>
      <c r="AS339" s="264"/>
      <c r="AT339" s="294"/>
    </row>
    <row r="340" spans="1:46" ht="13" hidden="1" x14ac:dyDescent="0.2">
      <c r="A340" s="294"/>
      <c r="B340" s="925"/>
      <c r="C340" s="272">
        <v>333</v>
      </c>
      <c r="D340" s="250">
        <f t="shared" si="654"/>
        <v>0</v>
      </c>
      <c r="E340" s="251"/>
      <c r="F340" s="248" t="str">
        <f t="shared" si="714"/>
        <v>YEAR4</v>
      </c>
      <c r="G340" s="250">
        <f>VLOOKUP(F340,TableInputsData[],$G$6,FALSE)</f>
        <v>2028</v>
      </c>
      <c r="H340" s="250" t="str">
        <f t="shared" si="655"/>
        <v>PRODUCT</v>
      </c>
      <c r="I340" s="248" t="str">
        <f t="shared" si="655"/>
        <v>PRODUCT 08</v>
      </c>
      <c r="J340" s="248" t="str">
        <f>VLOOKUP(I340,TableInputsData[],$J$6,FALSE)</f>
        <v>-</v>
      </c>
      <c r="K340" s="248" t="str">
        <f t="shared" si="719"/>
        <v>AVERAGE COST OF GOODS SOLD PER UNIT</v>
      </c>
      <c r="L340" s="256"/>
      <c r="M340" s="256"/>
      <c r="N340" s="256"/>
      <c r="O340" s="266"/>
      <c r="P340" s="261"/>
      <c r="Q340" s="261"/>
      <c r="R340" s="261"/>
      <c r="S340" s="629"/>
      <c r="T340" s="629"/>
      <c r="U340" s="629"/>
      <c r="V340" s="629"/>
      <c r="W340" s="261"/>
      <c r="X340" s="261"/>
      <c r="Y340" s="261"/>
      <c r="Z340" s="261"/>
      <c r="AA340" s="261"/>
      <c r="AB340" s="261"/>
      <c r="AC340" s="266"/>
      <c r="AD340" s="633"/>
      <c r="AE340" s="264">
        <f t="shared" ref="AE340:AM340" si="725">IF(AE308=0,0,AE332/AE308)</f>
        <v>0</v>
      </c>
      <c r="AF340" s="264">
        <f t="shared" si="725"/>
        <v>0</v>
      </c>
      <c r="AG340" s="264">
        <f t="shared" si="725"/>
        <v>0</v>
      </c>
      <c r="AH340" s="264">
        <f t="shared" si="725"/>
        <v>0</v>
      </c>
      <c r="AI340" s="264">
        <f t="shared" si="725"/>
        <v>0</v>
      </c>
      <c r="AJ340" s="264">
        <f t="shared" si="725"/>
        <v>0</v>
      </c>
      <c r="AK340" s="264">
        <f t="shared" si="725"/>
        <v>0</v>
      </c>
      <c r="AL340" s="264">
        <f t="shared" si="725"/>
        <v>0</v>
      </c>
      <c r="AM340" s="264">
        <f t="shared" si="725"/>
        <v>0</v>
      </c>
      <c r="AN340" s="260"/>
      <c r="AO340" s="264">
        <f t="shared" ref="AO340" si="726">IF(AO308=0,0,AO332/AO308)</f>
        <v>0</v>
      </c>
      <c r="AP340" s="260"/>
      <c r="AQ340" s="264"/>
      <c r="AR340" s="264" t="str">
        <f>VLOOKUP($I340,TableInputsData[],ReadMe!$M$3,FALSE)&amp;"  |  "&amp;VLOOKUP($K340,TableInputsData[],ReadMe!$M$3,FALSE)</f>
        <v>PRODUIT 08  |  PRIX MOYEN D'ACHAT PAR PRODUIT/SERVICE</v>
      </c>
      <c r="AS340" s="264"/>
      <c r="AT340" s="294"/>
    </row>
    <row r="341" spans="1:46" ht="13" hidden="1" x14ac:dyDescent="0.2">
      <c r="A341" s="294"/>
      <c r="B341" s="925"/>
      <c r="C341" s="272">
        <v>334</v>
      </c>
      <c r="D341" s="250">
        <f t="shared" si="654"/>
        <v>0</v>
      </c>
      <c r="E341" s="251"/>
      <c r="F341" s="248" t="str">
        <f t="shared" si="714"/>
        <v>YEAR5</v>
      </c>
      <c r="G341" s="250">
        <f>VLOOKUP(F341,TableInputsData[],$G$6,FALSE)</f>
        <v>2029</v>
      </c>
      <c r="H341" s="250" t="str">
        <f t="shared" si="655"/>
        <v>PRODUCT</v>
      </c>
      <c r="I341" s="248" t="str">
        <f t="shared" si="655"/>
        <v>PRODUCT 08</v>
      </c>
      <c r="J341" s="248" t="str">
        <f>VLOOKUP(I341,TableInputsData[],$J$6,FALSE)</f>
        <v>-</v>
      </c>
      <c r="K341" s="248" t="str">
        <f t="shared" si="719"/>
        <v>AVERAGE COST OF GOODS SOLD PER UNIT</v>
      </c>
      <c r="L341" s="256"/>
      <c r="M341" s="256"/>
      <c r="N341" s="256"/>
      <c r="O341" s="266"/>
      <c r="P341" s="261"/>
      <c r="Q341" s="261"/>
      <c r="R341" s="261"/>
      <c r="S341" s="629"/>
      <c r="T341" s="629"/>
      <c r="U341" s="629"/>
      <c r="V341" s="629"/>
      <c r="W341" s="261"/>
      <c r="X341" s="261"/>
      <c r="Y341" s="261"/>
      <c r="Z341" s="261"/>
      <c r="AA341" s="261"/>
      <c r="AB341" s="261"/>
      <c r="AC341" s="266"/>
      <c r="AD341" s="633"/>
      <c r="AE341" s="264">
        <f t="shared" ref="AE341:AM341" si="727">IF(AE309=0,0,AE333/AE309)</f>
        <v>0</v>
      </c>
      <c r="AF341" s="264">
        <f t="shared" si="727"/>
        <v>0</v>
      </c>
      <c r="AG341" s="264">
        <f t="shared" si="727"/>
        <v>0</v>
      </c>
      <c r="AH341" s="264">
        <f t="shared" si="727"/>
        <v>0</v>
      </c>
      <c r="AI341" s="264">
        <f t="shared" si="727"/>
        <v>0</v>
      </c>
      <c r="AJ341" s="264">
        <f t="shared" si="727"/>
        <v>0</v>
      </c>
      <c r="AK341" s="264">
        <f t="shared" si="727"/>
        <v>0</v>
      </c>
      <c r="AL341" s="264">
        <f t="shared" si="727"/>
        <v>0</v>
      </c>
      <c r="AM341" s="264">
        <f t="shared" si="727"/>
        <v>0</v>
      </c>
      <c r="AN341" s="260"/>
      <c r="AO341" s="264">
        <f t="shared" ref="AO341" si="728">IF(AO309=0,0,AO333/AO309)</f>
        <v>0</v>
      </c>
      <c r="AP341" s="260"/>
      <c r="AQ341" s="264"/>
      <c r="AR341" s="264" t="str">
        <f>VLOOKUP($I341,TableInputsData[],ReadMe!$M$3,FALSE)&amp;"  |  "&amp;VLOOKUP($K341,TableInputsData[],ReadMe!$M$3,FALSE)</f>
        <v>PRODUIT 08  |  PRIX MOYEN D'ACHAT PAR PRODUIT/SERVICE</v>
      </c>
      <c r="AS341" s="264"/>
      <c r="AT341" s="294"/>
    </row>
    <row r="342" spans="1:46" ht="13" hidden="1" x14ac:dyDescent="0.2">
      <c r="A342" s="294"/>
      <c r="B342" s="925"/>
      <c r="C342" s="272">
        <v>335</v>
      </c>
      <c r="D342" s="250">
        <f t="shared" si="654"/>
        <v>0</v>
      </c>
      <c r="E342" s="251"/>
      <c r="F342" s="248" t="str">
        <f t="shared" si="714"/>
        <v>YEAR6</v>
      </c>
      <c r="G342" s="250">
        <f>VLOOKUP(F342,TableInputsData[],$G$6,FALSE)</f>
        <v>2030</v>
      </c>
      <c r="H342" s="250" t="str">
        <f t="shared" si="655"/>
        <v>PRODUCT</v>
      </c>
      <c r="I342" s="248" t="str">
        <f t="shared" si="655"/>
        <v>PRODUCT 08</v>
      </c>
      <c r="J342" s="248" t="str">
        <f>VLOOKUP(I342,TableInputsData[],$J$6,FALSE)</f>
        <v>-</v>
      </c>
      <c r="K342" s="248" t="str">
        <f t="shared" si="719"/>
        <v>AVERAGE COST OF GOODS SOLD PER UNIT</v>
      </c>
      <c r="L342" s="256"/>
      <c r="M342" s="256"/>
      <c r="N342" s="256"/>
      <c r="O342" s="266"/>
      <c r="P342" s="261"/>
      <c r="Q342" s="261"/>
      <c r="R342" s="261"/>
      <c r="S342" s="629"/>
      <c r="T342" s="629"/>
      <c r="U342" s="629"/>
      <c r="V342" s="629"/>
      <c r="W342" s="261"/>
      <c r="X342" s="261"/>
      <c r="Y342" s="261"/>
      <c r="Z342" s="261"/>
      <c r="AA342" s="261"/>
      <c r="AB342" s="261"/>
      <c r="AC342" s="266"/>
      <c r="AD342" s="633"/>
      <c r="AE342" s="264">
        <f t="shared" ref="AE342:AM342" si="729">IF(AE310=0,0,AE334/AE310)</f>
        <v>0</v>
      </c>
      <c r="AF342" s="264">
        <f t="shared" si="729"/>
        <v>0</v>
      </c>
      <c r="AG342" s="264">
        <f t="shared" si="729"/>
        <v>0</v>
      </c>
      <c r="AH342" s="264">
        <f t="shared" si="729"/>
        <v>0</v>
      </c>
      <c r="AI342" s="264">
        <f t="shared" si="729"/>
        <v>0</v>
      </c>
      <c r="AJ342" s="264">
        <f t="shared" si="729"/>
        <v>0</v>
      </c>
      <c r="AK342" s="264">
        <f t="shared" si="729"/>
        <v>0</v>
      </c>
      <c r="AL342" s="264">
        <f t="shared" si="729"/>
        <v>0</v>
      </c>
      <c r="AM342" s="264">
        <f t="shared" si="729"/>
        <v>0</v>
      </c>
      <c r="AN342" s="260"/>
      <c r="AO342" s="264">
        <f t="shared" ref="AO342" si="730">IF(AO310=0,0,AO334/AO310)</f>
        <v>0</v>
      </c>
      <c r="AP342" s="260"/>
      <c r="AQ342" s="264"/>
      <c r="AR342" s="264" t="str">
        <f>VLOOKUP($I342,TableInputsData[],ReadMe!$M$3,FALSE)&amp;"  |  "&amp;VLOOKUP($K342,TableInputsData[],ReadMe!$M$3,FALSE)</f>
        <v>PRODUIT 08  |  PRIX MOYEN D'ACHAT PAR PRODUIT/SERVICE</v>
      </c>
      <c r="AS342" s="264"/>
      <c r="AT342" s="294"/>
    </row>
    <row r="343" spans="1:46" ht="13" x14ac:dyDescent="0.2">
      <c r="A343" s="294"/>
      <c r="B343" s="925"/>
      <c r="C343" s="273">
        <v>336</v>
      </c>
      <c r="D343" s="253">
        <v>0</v>
      </c>
      <c r="E343" s="253">
        <v>1</v>
      </c>
      <c r="F343" s="252"/>
      <c r="G343" s="253"/>
      <c r="H343" s="253"/>
      <c r="I343" s="252"/>
      <c r="J343" s="252"/>
      <c r="K343" s="252"/>
      <c r="L343" s="257"/>
      <c r="M343" s="257"/>
      <c r="N343" s="257"/>
      <c r="O343" s="267"/>
      <c r="P343" s="262"/>
      <c r="Q343" s="262"/>
      <c r="R343" s="262"/>
      <c r="S343" s="631"/>
      <c r="T343" s="631"/>
      <c r="U343" s="631"/>
      <c r="V343" s="631"/>
      <c r="W343" s="262"/>
      <c r="X343" s="262"/>
      <c r="Y343" s="262"/>
      <c r="Z343" s="262"/>
      <c r="AA343" s="262"/>
      <c r="AB343" s="262"/>
      <c r="AC343" s="267"/>
      <c r="AD343" s="635"/>
      <c r="AE343" s="270"/>
      <c r="AF343" s="270"/>
      <c r="AG343" s="270"/>
      <c r="AH343" s="270"/>
      <c r="AI343" s="270"/>
      <c r="AJ343" s="270"/>
      <c r="AK343" s="270"/>
      <c r="AL343" s="270"/>
      <c r="AM343" s="270"/>
      <c r="AN343" s="643"/>
      <c r="AO343" s="270"/>
      <c r="AP343" s="270"/>
      <c r="AQ343" s="270"/>
      <c r="AR343" s="270"/>
      <c r="AS343" s="270"/>
      <c r="AT343" s="294"/>
    </row>
    <row r="344" spans="1:46" ht="13" hidden="1" x14ac:dyDescent="0.2">
      <c r="A344" s="294"/>
      <c r="B344" s="924" t="str">
        <f>I345&amp;"___"</f>
        <v>PRODUCT 09___</v>
      </c>
      <c r="C344" s="271">
        <v>337</v>
      </c>
      <c r="D344" s="250">
        <v>0</v>
      </c>
      <c r="E344" s="250"/>
      <c r="F344" s="248"/>
      <c r="G344" s="250"/>
      <c r="H344" s="250"/>
      <c r="I344" s="248"/>
      <c r="J344" s="248"/>
      <c r="K344" s="248"/>
      <c r="L344" s="254"/>
      <c r="M344" s="254"/>
      <c r="N344" s="254"/>
      <c r="O344" s="264"/>
      <c r="P344" s="259"/>
      <c r="Q344" s="259"/>
      <c r="R344" s="259"/>
      <c r="S344" s="628"/>
      <c r="T344" s="628"/>
      <c r="U344" s="628"/>
      <c r="V344" s="628"/>
      <c r="W344" s="259"/>
      <c r="X344" s="259"/>
      <c r="Y344" s="259"/>
      <c r="Z344" s="259"/>
      <c r="AA344" s="259"/>
      <c r="AB344" s="259"/>
      <c r="AC344" s="264"/>
      <c r="AD344" s="609"/>
      <c r="AE344" s="269"/>
      <c r="AF344" s="269"/>
      <c r="AG344" s="269"/>
      <c r="AH344" s="269"/>
      <c r="AI344" s="269"/>
      <c r="AJ344" s="269"/>
      <c r="AK344" s="269"/>
      <c r="AL344" s="269"/>
      <c r="AM344" s="269"/>
      <c r="AN344" s="642"/>
      <c r="AO344" s="269"/>
      <c r="AP344" s="269"/>
      <c r="AQ344" s="269"/>
      <c r="AR344" s="269"/>
      <c r="AS344" s="269"/>
      <c r="AT344" s="294"/>
    </row>
    <row r="345" spans="1:46" ht="13" x14ac:dyDescent="0.2">
      <c r="A345" s="294"/>
      <c r="B345" s="924"/>
      <c r="C345" s="271">
        <v>338</v>
      </c>
      <c r="D345" s="250">
        <f>VLOOKUP($I345,TableInputsData[],$D$6,FALSE)</f>
        <v>0</v>
      </c>
      <c r="E345" s="250">
        <v>1</v>
      </c>
      <c r="F345" s="248" t="s">
        <v>392</v>
      </c>
      <c r="G345" s="250">
        <f>VLOOKUP(F345,TableInputsData[],$G$6,FALSE)</f>
        <v>2023</v>
      </c>
      <c r="H345" s="250" t="s">
        <v>588</v>
      </c>
      <c r="I345" s="248" t="s">
        <v>545</v>
      </c>
      <c r="J345" s="248" t="str">
        <f>VLOOKUP(I345,TableInputsData[],$J$6,FALSE)</f>
        <v>-</v>
      </c>
      <c r="K345" s="248" t="s">
        <v>261</v>
      </c>
      <c r="L345" s="499">
        <v>1000</v>
      </c>
      <c r="M345" s="499">
        <v>0</v>
      </c>
      <c r="N345" s="499">
        <v>0</v>
      </c>
      <c r="O345" s="264">
        <f t="shared" ref="O345:O352" si="731">$L345*$P345+$M345*$Q345+$N345*$R345</f>
        <v>1000</v>
      </c>
      <c r="P345" s="500">
        <v>1</v>
      </c>
      <c r="Q345" s="500">
        <v>0</v>
      </c>
      <c r="R345" s="259">
        <f>1-$P345-$Q345</f>
        <v>0</v>
      </c>
      <c r="S345" s="626">
        <v>500</v>
      </c>
      <c r="T345" s="626">
        <v>0</v>
      </c>
      <c r="U345" s="626">
        <v>0</v>
      </c>
      <c r="V345" s="628">
        <f>($L345*$P345*$S345+$M345*$Q345*$T345+$N345*$R345*$U345)/$O345</f>
        <v>500</v>
      </c>
      <c r="W345" s="500">
        <v>1</v>
      </c>
      <c r="X345" s="500">
        <v>1</v>
      </c>
      <c r="Y345" s="500">
        <v>1</v>
      </c>
      <c r="Z345" s="259">
        <f t="shared" ref="Z345:Z352" si="732">1-$W345</f>
        <v>0</v>
      </c>
      <c r="AA345" s="259">
        <f t="shared" ref="AA345:AA352" si="733">1-$X345</f>
        <v>0</v>
      </c>
      <c r="AB345" s="259">
        <f t="shared" ref="AB345:AB352" si="734">1-$Y345</f>
        <v>0</v>
      </c>
      <c r="AC345" s="628">
        <f>AM377</f>
        <v>0</v>
      </c>
      <c r="AD345" s="628">
        <f>AO377</f>
        <v>0</v>
      </c>
      <c r="AE345" s="501">
        <v>0</v>
      </c>
      <c r="AF345" s="501">
        <v>0</v>
      </c>
      <c r="AG345" s="501">
        <v>0</v>
      </c>
      <c r="AH345" s="501">
        <v>0</v>
      </c>
      <c r="AI345" s="264">
        <f t="shared" ref="AI345:AI348" si="735">$AE345+$AF345+$AG345+$AH345</f>
        <v>0</v>
      </c>
      <c r="AJ345" s="264">
        <f t="shared" ref="AJ345:AJ352" si="736">$AI345*$P345</f>
        <v>0</v>
      </c>
      <c r="AK345" s="264">
        <f t="shared" ref="AK345:AK352" si="737">$AI345*$Q345</f>
        <v>0</v>
      </c>
      <c r="AL345" s="264">
        <f t="shared" ref="AL345:AL352" si="738">$AI345*$R345</f>
        <v>0</v>
      </c>
      <c r="AM345" s="264">
        <f t="shared" ref="AM345:AM352" si="739">$AJ345*$W345+$AK345*$X345+$AL345*$Y345</f>
        <v>0</v>
      </c>
      <c r="AN345" s="640">
        <f>IF(AI345=0,0,AM345/AI345)</f>
        <v>0</v>
      </c>
      <c r="AO345" s="264">
        <f t="shared" ref="AO345:AO352" si="740">$AJ345*$Z345+$AK345*$AA345+$AL345*$AB345</f>
        <v>0</v>
      </c>
      <c r="AP345" s="640">
        <f t="shared" ref="AP345:AP360" si="741">IF(AI345=0,0,AO345/AI345)</f>
        <v>0</v>
      </c>
      <c r="AQ345" s="264" t="str">
        <f>VLOOKUP(I345,TableInputsData[],$AQ$6,FALSE)</f>
        <v>GAMME # : 1 + CANAL DE DISTRIBUTION # : 1</v>
      </c>
      <c r="AR345" s="264" t="str">
        <f>VLOOKUP($I345,TableInputsData[],ReadMe!$M$3,FALSE)&amp;"  |  "&amp;VLOOKUP($K345,TableInputsData[],ReadMe!$M$3,FALSE)</f>
        <v>PRODUIT 09  |  VOLUME</v>
      </c>
      <c r="AS345" s="264" t="b">
        <f t="shared" ref="AS345:AS352" si="742">AND(EXACT(ROUND(AI345,2),ROUND(AJ345+AK345+AL345,2)),EXACT(ROUND(AI345,2),ROUND(AM345+AO345,2)),EXACT(SUM(P345:R345),1),IF(R345&lt;0,FALSE,TRUE),EXACT(SUM(W345:AB345),3),MIN(W345:Y345)&gt;=0, MAX(W345:Y345)&lt;=1)</f>
        <v>1</v>
      </c>
      <c r="AT345" s="294"/>
    </row>
    <row r="346" spans="1:46" ht="13" x14ac:dyDescent="0.2">
      <c r="A346" s="294"/>
      <c r="B346" s="924"/>
      <c r="C346" s="271">
        <v>339</v>
      </c>
      <c r="D346" s="250">
        <f>D345</f>
        <v>0</v>
      </c>
      <c r="E346" s="250">
        <v>1</v>
      </c>
      <c r="F346" s="248" t="s">
        <v>391</v>
      </c>
      <c r="G346" s="250">
        <f>VLOOKUP(F346,TableInputsData[],$G$6,FALSE)</f>
        <v>2024</v>
      </c>
      <c r="H346" s="250" t="str">
        <f>H345</f>
        <v>PRODUCT</v>
      </c>
      <c r="I346" s="248" t="str">
        <f>I345</f>
        <v>PRODUCT 09</v>
      </c>
      <c r="J346" s="248" t="str">
        <f>VLOOKUP(I346,TableInputsData[],$J$6,FALSE)</f>
        <v>-</v>
      </c>
      <c r="K346" s="248" t="str">
        <f>K345</f>
        <v>VOLUME</v>
      </c>
      <c r="L346" s="499">
        <v>1000</v>
      </c>
      <c r="M346" s="499">
        <v>0</v>
      </c>
      <c r="N346" s="499">
        <v>0</v>
      </c>
      <c r="O346" s="264">
        <f t="shared" si="731"/>
        <v>1000</v>
      </c>
      <c r="P346" s="500">
        <v>1</v>
      </c>
      <c r="Q346" s="500">
        <v>0</v>
      </c>
      <c r="R346" s="259">
        <f t="shared" ref="R346:R352" si="743">1-$P346-$Q346</f>
        <v>0</v>
      </c>
      <c r="S346" s="626">
        <v>500</v>
      </c>
      <c r="T346" s="626">
        <v>0</v>
      </c>
      <c r="U346" s="626">
        <v>0</v>
      </c>
      <c r="V346" s="628">
        <f t="shared" ref="V346:V352" si="744">($L346*$P346*$S346+$M346*$Q346*$T346+$N346*$R346*$U346)/$O346</f>
        <v>500</v>
      </c>
      <c r="W346" s="500">
        <v>1</v>
      </c>
      <c r="X346" s="500">
        <v>1</v>
      </c>
      <c r="Y346" s="500">
        <v>1</v>
      </c>
      <c r="Z346" s="259">
        <f t="shared" si="732"/>
        <v>0</v>
      </c>
      <c r="AA346" s="259">
        <f t="shared" si="733"/>
        <v>0</v>
      </c>
      <c r="AB346" s="259">
        <f t="shared" si="734"/>
        <v>0</v>
      </c>
      <c r="AC346" s="628">
        <f t="shared" ref="AC346:AC352" si="745">AM378</f>
        <v>0</v>
      </c>
      <c r="AD346" s="628">
        <f t="shared" ref="AD346:AD352" si="746">AO378</f>
        <v>0</v>
      </c>
      <c r="AE346" s="501">
        <v>0</v>
      </c>
      <c r="AF346" s="501">
        <v>0</v>
      </c>
      <c r="AG346" s="501">
        <v>0</v>
      </c>
      <c r="AH346" s="501">
        <v>0</v>
      </c>
      <c r="AI346" s="264">
        <f t="shared" si="735"/>
        <v>0</v>
      </c>
      <c r="AJ346" s="264">
        <f t="shared" si="736"/>
        <v>0</v>
      </c>
      <c r="AK346" s="264">
        <f t="shared" si="737"/>
        <v>0</v>
      </c>
      <c r="AL346" s="264">
        <f t="shared" si="738"/>
        <v>0</v>
      </c>
      <c r="AM346" s="264">
        <f t="shared" si="739"/>
        <v>0</v>
      </c>
      <c r="AN346" s="640">
        <f t="shared" ref="AN346:AN360" si="747">IF(AI346=0,0,AM346/AI346)</f>
        <v>0</v>
      </c>
      <c r="AO346" s="264">
        <f t="shared" si="740"/>
        <v>0</v>
      </c>
      <c r="AP346" s="640">
        <f t="shared" si="741"/>
        <v>0</v>
      </c>
      <c r="AQ346" s="501"/>
      <c r="AR346" s="264" t="str">
        <f>VLOOKUP($I346,TableInputsData[],ReadMe!$M$3,FALSE)&amp;"  |  "&amp;VLOOKUP($K346,TableInputsData[],ReadMe!$M$3,FALSE)</f>
        <v>PRODUIT 09  |  VOLUME</v>
      </c>
      <c r="AS346" s="264" t="b">
        <f t="shared" si="742"/>
        <v>1</v>
      </c>
      <c r="AT346" s="294"/>
    </row>
    <row r="347" spans="1:46" ht="13" x14ac:dyDescent="0.2">
      <c r="A347" s="294"/>
      <c r="B347" s="924"/>
      <c r="C347" s="271">
        <v>340</v>
      </c>
      <c r="D347" s="250">
        <f t="shared" ref="D347:D384" si="748">D346</f>
        <v>0</v>
      </c>
      <c r="E347" s="250">
        <v>1</v>
      </c>
      <c r="F347" s="248" t="s">
        <v>393</v>
      </c>
      <c r="G347" s="250">
        <f>VLOOKUP(F347,TableInputsData[],$G$6,FALSE)</f>
        <v>2025</v>
      </c>
      <c r="H347" s="250" t="str">
        <f t="shared" ref="H347:I384" si="749">H346</f>
        <v>PRODUCT</v>
      </c>
      <c r="I347" s="248" t="str">
        <f t="shared" si="749"/>
        <v>PRODUCT 09</v>
      </c>
      <c r="J347" s="248" t="str">
        <f>VLOOKUP(I347,TableInputsData[],$J$6,FALSE)</f>
        <v>-</v>
      </c>
      <c r="K347" s="248" t="str">
        <f t="shared" ref="K347:K352" si="750">K346</f>
        <v>VOLUME</v>
      </c>
      <c r="L347" s="499">
        <v>1000</v>
      </c>
      <c r="M347" s="499">
        <v>0</v>
      </c>
      <c r="N347" s="499">
        <v>0</v>
      </c>
      <c r="O347" s="264">
        <f t="shared" si="731"/>
        <v>1000</v>
      </c>
      <c r="P347" s="500">
        <v>1</v>
      </c>
      <c r="Q347" s="500">
        <v>0</v>
      </c>
      <c r="R347" s="259">
        <f t="shared" si="743"/>
        <v>0</v>
      </c>
      <c r="S347" s="626">
        <v>500</v>
      </c>
      <c r="T347" s="626">
        <v>0</v>
      </c>
      <c r="U347" s="626">
        <v>0</v>
      </c>
      <c r="V347" s="628">
        <f t="shared" si="744"/>
        <v>500</v>
      </c>
      <c r="W347" s="500">
        <v>1</v>
      </c>
      <c r="X347" s="500">
        <v>1</v>
      </c>
      <c r="Y347" s="500">
        <v>1</v>
      </c>
      <c r="Z347" s="259">
        <f t="shared" si="732"/>
        <v>0</v>
      </c>
      <c r="AA347" s="259">
        <f t="shared" si="733"/>
        <v>0</v>
      </c>
      <c r="AB347" s="259">
        <f t="shared" si="734"/>
        <v>0</v>
      </c>
      <c r="AC347" s="628">
        <f t="shared" si="745"/>
        <v>0</v>
      </c>
      <c r="AD347" s="628">
        <f t="shared" si="746"/>
        <v>0</v>
      </c>
      <c r="AE347" s="501">
        <v>0</v>
      </c>
      <c r="AF347" s="501">
        <v>0</v>
      </c>
      <c r="AG347" s="501">
        <v>0</v>
      </c>
      <c r="AH347" s="501">
        <v>0</v>
      </c>
      <c r="AI347" s="264">
        <f t="shared" si="735"/>
        <v>0</v>
      </c>
      <c r="AJ347" s="264">
        <f t="shared" si="736"/>
        <v>0</v>
      </c>
      <c r="AK347" s="264">
        <f t="shared" si="737"/>
        <v>0</v>
      </c>
      <c r="AL347" s="264">
        <f t="shared" si="738"/>
        <v>0</v>
      </c>
      <c r="AM347" s="264">
        <f t="shared" si="739"/>
        <v>0</v>
      </c>
      <c r="AN347" s="640">
        <f t="shared" si="747"/>
        <v>0</v>
      </c>
      <c r="AO347" s="264">
        <f t="shared" si="740"/>
        <v>0</v>
      </c>
      <c r="AP347" s="640">
        <f t="shared" si="741"/>
        <v>0</v>
      </c>
      <c r="AQ347" s="501"/>
      <c r="AR347" s="264" t="str">
        <f>VLOOKUP($I347,TableInputsData[],ReadMe!$M$3,FALSE)&amp;"  |  "&amp;VLOOKUP($K347,TableInputsData[],ReadMe!$M$3,FALSE)</f>
        <v>PRODUIT 09  |  VOLUME</v>
      </c>
      <c r="AS347" s="264" t="b">
        <f t="shared" si="742"/>
        <v>1</v>
      </c>
      <c r="AT347" s="294"/>
    </row>
    <row r="348" spans="1:46" ht="13" x14ac:dyDescent="0.2">
      <c r="A348" s="294"/>
      <c r="B348" s="924"/>
      <c r="C348" s="271">
        <v>341</v>
      </c>
      <c r="D348" s="250">
        <f t="shared" si="748"/>
        <v>0</v>
      </c>
      <c r="E348" s="250">
        <v>1</v>
      </c>
      <c r="F348" s="248" t="s">
        <v>396</v>
      </c>
      <c r="G348" s="250">
        <f>VLOOKUP(F348,TableInputsData[],$G$6,FALSE)</f>
        <v>2026</v>
      </c>
      <c r="H348" s="250" t="str">
        <f t="shared" si="749"/>
        <v>PRODUCT</v>
      </c>
      <c r="I348" s="248" t="str">
        <f t="shared" si="749"/>
        <v>PRODUCT 09</v>
      </c>
      <c r="J348" s="248" t="str">
        <f>VLOOKUP(I348,TableInputsData[],$J$6,FALSE)</f>
        <v>-</v>
      </c>
      <c r="K348" s="248" t="str">
        <f t="shared" si="750"/>
        <v>VOLUME</v>
      </c>
      <c r="L348" s="499">
        <v>1000</v>
      </c>
      <c r="M348" s="499">
        <v>0</v>
      </c>
      <c r="N348" s="499">
        <v>0</v>
      </c>
      <c r="O348" s="264">
        <f t="shared" si="731"/>
        <v>1000</v>
      </c>
      <c r="P348" s="500">
        <v>1</v>
      </c>
      <c r="Q348" s="500">
        <v>0</v>
      </c>
      <c r="R348" s="259">
        <f t="shared" si="743"/>
        <v>0</v>
      </c>
      <c r="S348" s="626">
        <v>500</v>
      </c>
      <c r="T348" s="626">
        <v>0</v>
      </c>
      <c r="U348" s="626">
        <v>0</v>
      </c>
      <c r="V348" s="628">
        <f t="shared" si="744"/>
        <v>500</v>
      </c>
      <c r="W348" s="500">
        <v>1</v>
      </c>
      <c r="X348" s="500">
        <v>1</v>
      </c>
      <c r="Y348" s="500">
        <v>1</v>
      </c>
      <c r="Z348" s="259">
        <f t="shared" si="732"/>
        <v>0</v>
      </c>
      <c r="AA348" s="259">
        <f t="shared" si="733"/>
        <v>0</v>
      </c>
      <c r="AB348" s="259">
        <f t="shared" si="734"/>
        <v>0</v>
      </c>
      <c r="AC348" s="628">
        <f t="shared" si="745"/>
        <v>0</v>
      </c>
      <c r="AD348" s="628">
        <f t="shared" si="746"/>
        <v>0</v>
      </c>
      <c r="AE348" s="501">
        <v>0</v>
      </c>
      <c r="AF348" s="501">
        <v>0</v>
      </c>
      <c r="AG348" s="501">
        <v>0</v>
      </c>
      <c r="AH348" s="501">
        <v>0</v>
      </c>
      <c r="AI348" s="264">
        <f t="shared" si="735"/>
        <v>0</v>
      </c>
      <c r="AJ348" s="264">
        <f t="shared" si="736"/>
        <v>0</v>
      </c>
      <c r="AK348" s="264">
        <f t="shared" si="737"/>
        <v>0</v>
      </c>
      <c r="AL348" s="264">
        <f t="shared" si="738"/>
        <v>0</v>
      </c>
      <c r="AM348" s="264">
        <f t="shared" si="739"/>
        <v>0</v>
      </c>
      <c r="AN348" s="640">
        <f t="shared" si="747"/>
        <v>0</v>
      </c>
      <c r="AO348" s="264">
        <f t="shared" si="740"/>
        <v>0</v>
      </c>
      <c r="AP348" s="640">
        <f t="shared" si="741"/>
        <v>0</v>
      </c>
      <c r="AQ348" s="501"/>
      <c r="AR348" s="264" t="str">
        <f>VLOOKUP($I348,TableInputsData[],ReadMe!$M$3,FALSE)&amp;"  |  "&amp;VLOOKUP($K348,TableInputsData[],ReadMe!$M$3,FALSE)</f>
        <v>PRODUIT 09  |  VOLUME</v>
      </c>
      <c r="AS348" s="264" t="b">
        <f t="shared" si="742"/>
        <v>1</v>
      </c>
      <c r="AT348" s="294"/>
    </row>
    <row r="349" spans="1:46" ht="13" x14ac:dyDescent="0.2">
      <c r="A349" s="294"/>
      <c r="B349" s="924"/>
      <c r="C349" s="271">
        <v>342</v>
      </c>
      <c r="D349" s="250">
        <f t="shared" si="748"/>
        <v>0</v>
      </c>
      <c r="E349" s="250">
        <v>1</v>
      </c>
      <c r="F349" s="248" t="s">
        <v>397</v>
      </c>
      <c r="G349" s="250">
        <f>VLOOKUP(F349,TableInputsData[],$G$6,FALSE)</f>
        <v>2027</v>
      </c>
      <c r="H349" s="250" t="str">
        <f t="shared" si="749"/>
        <v>PRODUCT</v>
      </c>
      <c r="I349" s="248" t="str">
        <f t="shared" si="749"/>
        <v>PRODUCT 09</v>
      </c>
      <c r="J349" s="248" t="str">
        <f>VLOOKUP(I349,TableInputsData[],$J$6,FALSE)</f>
        <v>-</v>
      </c>
      <c r="K349" s="248" t="str">
        <f t="shared" si="750"/>
        <v>VOLUME</v>
      </c>
      <c r="L349" s="499">
        <v>1000</v>
      </c>
      <c r="M349" s="499">
        <v>0</v>
      </c>
      <c r="N349" s="499">
        <v>0</v>
      </c>
      <c r="O349" s="264">
        <f t="shared" si="731"/>
        <v>1000</v>
      </c>
      <c r="P349" s="500">
        <v>1</v>
      </c>
      <c r="Q349" s="500">
        <v>0</v>
      </c>
      <c r="R349" s="259">
        <f t="shared" si="743"/>
        <v>0</v>
      </c>
      <c r="S349" s="626">
        <v>500</v>
      </c>
      <c r="T349" s="626">
        <v>0</v>
      </c>
      <c r="U349" s="626">
        <v>0</v>
      </c>
      <c r="V349" s="628">
        <f t="shared" si="744"/>
        <v>500</v>
      </c>
      <c r="W349" s="500">
        <v>1</v>
      </c>
      <c r="X349" s="500">
        <v>1</v>
      </c>
      <c r="Y349" s="500">
        <v>1</v>
      </c>
      <c r="Z349" s="259">
        <f t="shared" si="732"/>
        <v>0</v>
      </c>
      <c r="AA349" s="259">
        <f t="shared" si="733"/>
        <v>0</v>
      </c>
      <c r="AB349" s="259">
        <f t="shared" si="734"/>
        <v>0</v>
      </c>
      <c r="AC349" s="628">
        <f t="shared" si="745"/>
        <v>0</v>
      </c>
      <c r="AD349" s="628">
        <f t="shared" si="746"/>
        <v>0</v>
      </c>
      <c r="AE349" s="264">
        <f>$AI349/4</f>
        <v>0</v>
      </c>
      <c r="AF349" s="264">
        <f t="shared" ref="AF349:AH352" si="751">$AI349/4</f>
        <v>0</v>
      </c>
      <c r="AG349" s="264">
        <f t="shared" si="751"/>
        <v>0</v>
      </c>
      <c r="AH349" s="264">
        <f t="shared" si="751"/>
        <v>0</v>
      </c>
      <c r="AI349" s="501">
        <v>0</v>
      </c>
      <c r="AJ349" s="264">
        <f t="shared" si="736"/>
        <v>0</v>
      </c>
      <c r="AK349" s="264">
        <f t="shared" si="737"/>
        <v>0</v>
      </c>
      <c r="AL349" s="264">
        <f t="shared" si="738"/>
        <v>0</v>
      </c>
      <c r="AM349" s="264">
        <f t="shared" si="739"/>
        <v>0</v>
      </c>
      <c r="AN349" s="640">
        <f t="shared" si="747"/>
        <v>0</v>
      </c>
      <c r="AO349" s="264">
        <f t="shared" si="740"/>
        <v>0</v>
      </c>
      <c r="AP349" s="640">
        <f t="shared" si="741"/>
        <v>0</v>
      </c>
      <c r="AQ349" s="501"/>
      <c r="AR349" s="264" t="str">
        <f>VLOOKUP($I349,TableInputsData[],ReadMe!$M$3,FALSE)&amp;"  |  "&amp;VLOOKUP($K349,TableInputsData[],ReadMe!$M$3,FALSE)</f>
        <v>PRODUIT 09  |  VOLUME</v>
      </c>
      <c r="AS349" s="264" t="b">
        <f t="shared" si="742"/>
        <v>1</v>
      </c>
      <c r="AT349" s="294"/>
    </row>
    <row r="350" spans="1:46" ht="13" x14ac:dyDescent="0.2">
      <c r="A350" s="294"/>
      <c r="B350" s="924"/>
      <c r="C350" s="271">
        <v>343</v>
      </c>
      <c r="D350" s="250">
        <f t="shared" si="748"/>
        <v>0</v>
      </c>
      <c r="E350" s="250">
        <v>1</v>
      </c>
      <c r="F350" s="248" t="s">
        <v>398</v>
      </c>
      <c r="G350" s="250">
        <f>VLOOKUP(F350,TableInputsData[],$G$6,FALSE)</f>
        <v>2028</v>
      </c>
      <c r="H350" s="250" t="str">
        <f t="shared" si="749"/>
        <v>PRODUCT</v>
      </c>
      <c r="I350" s="248" t="str">
        <f t="shared" si="749"/>
        <v>PRODUCT 09</v>
      </c>
      <c r="J350" s="248" t="str">
        <f>VLOOKUP(I350,TableInputsData[],$J$6,FALSE)</f>
        <v>-</v>
      </c>
      <c r="K350" s="248" t="str">
        <f t="shared" si="750"/>
        <v>VOLUME</v>
      </c>
      <c r="L350" s="499">
        <v>1000</v>
      </c>
      <c r="M350" s="499">
        <v>0</v>
      </c>
      <c r="N350" s="499">
        <v>0</v>
      </c>
      <c r="O350" s="264">
        <f t="shared" si="731"/>
        <v>1000</v>
      </c>
      <c r="P350" s="500">
        <v>1</v>
      </c>
      <c r="Q350" s="500">
        <v>0</v>
      </c>
      <c r="R350" s="259">
        <f t="shared" si="743"/>
        <v>0</v>
      </c>
      <c r="S350" s="626">
        <v>500</v>
      </c>
      <c r="T350" s="626">
        <v>0</v>
      </c>
      <c r="U350" s="626">
        <v>0</v>
      </c>
      <c r="V350" s="628">
        <f t="shared" si="744"/>
        <v>500</v>
      </c>
      <c r="W350" s="500">
        <v>1</v>
      </c>
      <c r="X350" s="500">
        <v>1</v>
      </c>
      <c r="Y350" s="500">
        <v>1</v>
      </c>
      <c r="Z350" s="259">
        <f t="shared" si="732"/>
        <v>0</v>
      </c>
      <c r="AA350" s="259">
        <f t="shared" si="733"/>
        <v>0</v>
      </c>
      <c r="AB350" s="259">
        <f t="shared" si="734"/>
        <v>0</v>
      </c>
      <c r="AC350" s="628">
        <f t="shared" si="745"/>
        <v>0</v>
      </c>
      <c r="AD350" s="628">
        <f t="shared" si="746"/>
        <v>0</v>
      </c>
      <c r="AE350" s="264">
        <f t="shared" ref="AE350:AE352" si="752">$AI350/4</f>
        <v>0</v>
      </c>
      <c r="AF350" s="264">
        <f t="shared" si="751"/>
        <v>0</v>
      </c>
      <c r="AG350" s="264">
        <f t="shared" si="751"/>
        <v>0</v>
      </c>
      <c r="AH350" s="264">
        <f t="shared" si="751"/>
        <v>0</v>
      </c>
      <c r="AI350" s="501">
        <v>0</v>
      </c>
      <c r="AJ350" s="264">
        <f t="shared" si="736"/>
        <v>0</v>
      </c>
      <c r="AK350" s="264">
        <f t="shared" si="737"/>
        <v>0</v>
      </c>
      <c r="AL350" s="264">
        <f t="shared" si="738"/>
        <v>0</v>
      </c>
      <c r="AM350" s="264">
        <f t="shared" si="739"/>
        <v>0</v>
      </c>
      <c r="AN350" s="640">
        <f t="shared" si="747"/>
        <v>0</v>
      </c>
      <c r="AO350" s="264">
        <f t="shared" si="740"/>
        <v>0</v>
      </c>
      <c r="AP350" s="640">
        <f t="shared" si="741"/>
        <v>0</v>
      </c>
      <c r="AQ350" s="501"/>
      <c r="AR350" s="264" t="str">
        <f>VLOOKUP($I350,TableInputsData[],ReadMe!$M$3,FALSE)&amp;"  |  "&amp;VLOOKUP($K350,TableInputsData[],ReadMe!$M$3,FALSE)</f>
        <v>PRODUIT 09  |  VOLUME</v>
      </c>
      <c r="AS350" s="264" t="b">
        <f t="shared" si="742"/>
        <v>1</v>
      </c>
      <c r="AT350" s="294"/>
    </row>
    <row r="351" spans="1:46" ht="13" x14ac:dyDescent="0.2">
      <c r="A351" s="294"/>
      <c r="B351" s="924"/>
      <c r="C351" s="271">
        <v>344</v>
      </c>
      <c r="D351" s="250">
        <f t="shared" si="748"/>
        <v>0</v>
      </c>
      <c r="E351" s="250">
        <v>1</v>
      </c>
      <c r="F351" s="248" t="s">
        <v>399</v>
      </c>
      <c r="G351" s="250">
        <f>VLOOKUP(F351,TableInputsData[],$G$6,FALSE)</f>
        <v>2029</v>
      </c>
      <c r="H351" s="250" t="str">
        <f t="shared" si="749"/>
        <v>PRODUCT</v>
      </c>
      <c r="I351" s="248" t="str">
        <f t="shared" si="749"/>
        <v>PRODUCT 09</v>
      </c>
      <c r="J351" s="248" t="str">
        <f>VLOOKUP(I351,TableInputsData[],$J$6,FALSE)</f>
        <v>-</v>
      </c>
      <c r="K351" s="248" t="str">
        <f t="shared" si="750"/>
        <v>VOLUME</v>
      </c>
      <c r="L351" s="499">
        <v>1000</v>
      </c>
      <c r="M351" s="499">
        <v>0</v>
      </c>
      <c r="N351" s="499">
        <v>0</v>
      </c>
      <c r="O351" s="264">
        <f t="shared" si="731"/>
        <v>1000</v>
      </c>
      <c r="P351" s="500">
        <v>1</v>
      </c>
      <c r="Q351" s="500">
        <v>0</v>
      </c>
      <c r="R351" s="259">
        <f t="shared" si="743"/>
        <v>0</v>
      </c>
      <c r="S351" s="626">
        <v>500</v>
      </c>
      <c r="T351" s="626">
        <v>0</v>
      </c>
      <c r="U351" s="626">
        <v>0</v>
      </c>
      <c r="V351" s="628">
        <f t="shared" si="744"/>
        <v>500</v>
      </c>
      <c r="W351" s="500">
        <v>1</v>
      </c>
      <c r="X351" s="500">
        <v>1</v>
      </c>
      <c r="Y351" s="500">
        <v>1</v>
      </c>
      <c r="Z351" s="259">
        <f t="shared" si="732"/>
        <v>0</v>
      </c>
      <c r="AA351" s="259">
        <f t="shared" si="733"/>
        <v>0</v>
      </c>
      <c r="AB351" s="259">
        <f t="shared" si="734"/>
        <v>0</v>
      </c>
      <c r="AC351" s="628">
        <f t="shared" si="745"/>
        <v>0</v>
      </c>
      <c r="AD351" s="628">
        <f t="shared" si="746"/>
        <v>0</v>
      </c>
      <c r="AE351" s="264">
        <f t="shared" si="752"/>
        <v>0</v>
      </c>
      <c r="AF351" s="264">
        <f t="shared" si="751"/>
        <v>0</v>
      </c>
      <c r="AG351" s="264">
        <f t="shared" si="751"/>
        <v>0</v>
      </c>
      <c r="AH351" s="264">
        <f t="shared" si="751"/>
        <v>0</v>
      </c>
      <c r="AI351" s="501">
        <v>0</v>
      </c>
      <c r="AJ351" s="264">
        <f t="shared" si="736"/>
        <v>0</v>
      </c>
      <c r="AK351" s="264">
        <f t="shared" si="737"/>
        <v>0</v>
      </c>
      <c r="AL351" s="264">
        <f t="shared" si="738"/>
        <v>0</v>
      </c>
      <c r="AM351" s="264">
        <f t="shared" si="739"/>
        <v>0</v>
      </c>
      <c r="AN351" s="640">
        <f t="shared" si="747"/>
        <v>0</v>
      </c>
      <c r="AO351" s="264">
        <f t="shared" si="740"/>
        <v>0</v>
      </c>
      <c r="AP351" s="640">
        <f t="shared" si="741"/>
        <v>0</v>
      </c>
      <c r="AQ351" s="501"/>
      <c r="AR351" s="264" t="str">
        <f>VLOOKUP($I351,TableInputsData[],ReadMe!$M$3,FALSE)&amp;"  |  "&amp;VLOOKUP($K351,TableInputsData[],ReadMe!$M$3,FALSE)</f>
        <v>PRODUIT 09  |  VOLUME</v>
      </c>
      <c r="AS351" s="264" t="b">
        <f t="shared" si="742"/>
        <v>1</v>
      </c>
      <c r="AT351" s="294"/>
    </row>
    <row r="352" spans="1:46" ht="13" x14ac:dyDescent="0.2">
      <c r="A352" s="294"/>
      <c r="B352" s="924"/>
      <c r="C352" s="271">
        <v>345</v>
      </c>
      <c r="D352" s="250">
        <f t="shared" si="748"/>
        <v>0</v>
      </c>
      <c r="E352" s="250">
        <v>1</v>
      </c>
      <c r="F352" s="248" t="s">
        <v>400</v>
      </c>
      <c r="G352" s="250">
        <f>VLOOKUP(F352,TableInputsData[],$G$6,FALSE)</f>
        <v>2030</v>
      </c>
      <c r="H352" s="250" t="str">
        <f t="shared" si="749"/>
        <v>PRODUCT</v>
      </c>
      <c r="I352" s="248" t="str">
        <f t="shared" si="749"/>
        <v>PRODUCT 09</v>
      </c>
      <c r="J352" s="248" t="str">
        <f>VLOOKUP(I352,TableInputsData[],$J$6,FALSE)</f>
        <v>-</v>
      </c>
      <c r="K352" s="248" t="str">
        <f t="shared" si="750"/>
        <v>VOLUME</v>
      </c>
      <c r="L352" s="499">
        <v>1000</v>
      </c>
      <c r="M352" s="499">
        <v>0</v>
      </c>
      <c r="N352" s="499">
        <v>0</v>
      </c>
      <c r="O352" s="264">
        <f t="shared" si="731"/>
        <v>1000</v>
      </c>
      <c r="P352" s="500">
        <v>1</v>
      </c>
      <c r="Q352" s="500">
        <v>0</v>
      </c>
      <c r="R352" s="259">
        <f t="shared" si="743"/>
        <v>0</v>
      </c>
      <c r="S352" s="626">
        <v>500</v>
      </c>
      <c r="T352" s="626">
        <v>0</v>
      </c>
      <c r="U352" s="626">
        <v>0</v>
      </c>
      <c r="V352" s="628">
        <f t="shared" si="744"/>
        <v>500</v>
      </c>
      <c r="W352" s="500">
        <v>1</v>
      </c>
      <c r="X352" s="500">
        <v>1</v>
      </c>
      <c r="Y352" s="500">
        <v>1</v>
      </c>
      <c r="Z352" s="259">
        <f t="shared" si="732"/>
        <v>0</v>
      </c>
      <c r="AA352" s="259">
        <f t="shared" si="733"/>
        <v>0</v>
      </c>
      <c r="AB352" s="259">
        <f t="shared" si="734"/>
        <v>0</v>
      </c>
      <c r="AC352" s="628">
        <f t="shared" si="745"/>
        <v>0</v>
      </c>
      <c r="AD352" s="628">
        <f t="shared" si="746"/>
        <v>0</v>
      </c>
      <c r="AE352" s="264">
        <f t="shared" si="752"/>
        <v>0</v>
      </c>
      <c r="AF352" s="264">
        <f t="shared" si="751"/>
        <v>0</v>
      </c>
      <c r="AG352" s="264">
        <f t="shared" si="751"/>
        <v>0</v>
      </c>
      <c r="AH352" s="264">
        <f t="shared" si="751"/>
        <v>0</v>
      </c>
      <c r="AI352" s="501">
        <v>0</v>
      </c>
      <c r="AJ352" s="264">
        <f t="shared" si="736"/>
        <v>0</v>
      </c>
      <c r="AK352" s="264">
        <f t="shared" si="737"/>
        <v>0</v>
      </c>
      <c r="AL352" s="264">
        <f t="shared" si="738"/>
        <v>0</v>
      </c>
      <c r="AM352" s="264">
        <f t="shared" si="739"/>
        <v>0</v>
      </c>
      <c r="AN352" s="640">
        <f t="shared" si="747"/>
        <v>0</v>
      </c>
      <c r="AO352" s="264">
        <f t="shared" si="740"/>
        <v>0</v>
      </c>
      <c r="AP352" s="640">
        <f t="shared" si="741"/>
        <v>0</v>
      </c>
      <c r="AQ352" s="501"/>
      <c r="AR352" s="264" t="str">
        <f>VLOOKUP($I352,TableInputsData[],ReadMe!$M$3,FALSE)&amp;"  |  "&amp;VLOOKUP($K352,TableInputsData[],ReadMe!$M$3,FALSE)</f>
        <v>PRODUIT 09  |  VOLUME</v>
      </c>
      <c r="AS352" s="264" t="b">
        <f t="shared" si="742"/>
        <v>1</v>
      </c>
      <c r="AT352" s="294"/>
    </row>
    <row r="353" spans="1:46" ht="13" hidden="1" x14ac:dyDescent="0.2">
      <c r="A353" s="294"/>
      <c r="B353" s="924"/>
      <c r="C353" s="272">
        <v>346</v>
      </c>
      <c r="D353" s="250">
        <f t="shared" si="748"/>
        <v>0</v>
      </c>
      <c r="E353" s="251"/>
      <c r="F353" s="248" t="str">
        <f t="shared" ref="F353:F360" si="753">F361</f>
        <v>YEAR-2</v>
      </c>
      <c r="G353" s="250">
        <f>VLOOKUP(F353,TableInputsData[],$G$6,FALSE)</f>
        <v>2023</v>
      </c>
      <c r="H353" s="250" t="str">
        <f t="shared" si="749"/>
        <v>PRODUCT</v>
      </c>
      <c r="I353" s="248" t="str">
        <f t="shared" si="749"/>
        <v>PRODUCT 09</v>
      </c>
      <c r="J353" s="248" t="str">
        <f>VLOOKUP(I353,TableInputsData[],$J$6,FALSE)</f>
        <v>-</v>
      </c>
      <c r="K353" s="248" t="s">
        <v>457</v>
      </c>
      <c r="L353" s="256"/>
      <c r="M353" s="256"/>
      <c r="N353" s="256"/>
      <c r="O353" s="266"/>
      <c r="P353" s="261"/>
      <c r="Q353" s="261"/>
      <c r="R353" s="261"/>
      <c r="S353" s="629"/>
      <c r="T353" s="629"/>
      <c r="U353" s="629"/>
      <c r="V353" s="629"/>
      <c r="W353" s="261"/>
      <c r="X353" s="261"/>
      <c r="Y353" s="261"/>
      <c r="Z353" s="261"/>
      <c r="AA353" s="261"/>
      <c r="AB353" s="261"/>
      <c r="AC353" s="266"/>
      <c r="AD353" s="633"/>
      <c r="AE353" s="264">
        <f>AE345*($L345*$P345+$M345*$Q345+$N345*$R345)</f>
        <v>0</v>
      </c>
      <c r="AF353" s="264">
        <f t="shared" ref="AF353:AH353" si="754">AF345*($L345*$P345+$M345*$Q345+$N345*$R345)</f>
        <v>0</v>
      </c>
      <c r="AG353" s="264">
        <f t="shared" si="754"/>
        <v>0</v>
      </c>
      <c r="AH353" s="264">
        <f t="shared" si="754"/>
        <v>0</v>
      </c>
      <c r="AI353" s="264">
        <f>$AE353+$AF353+$AG353+$AH353</f>
        <v>0</v>
      </c>
      <c r="AJ353" s="264">
        <f t="shared" ref="AJ353:AJ360" si="755">$AJ345*$L345</f>
        <v>0</v>
      </c>
      <c r="AK353" s="264">
        <f t="shared" ref="AK353:AK360" si="756">$AK345*$M345</f>
        <v>0</v>
      </c>
      <c r="AL353" s="264">
        <f t="shared" ref="AL353:AL360" si="757">$AL345*$N345</f>
        <v>0</v>
      </c>
      <c r="AM353" s="264">
        <f t="shared" ref="AM353:AM360" si="758">$AJ353*$W345+$AK353*$X345+$AL353*$Y345</f>
        <v>0</v>
      </c>
      <c r="AN353" s="640">
        <f t="shared" si="747"/>
        <v>0</v>
      </c>
      <c r="AO353" s="264">
        <f t="shared" ref="AO353:AO360" si="759">$AJ353*$Z345+$AK353*$AA345+$AL353*$AB345</f>
        <v>0</v>
      </c>
      <c r="AP353" s="640">
        <f t="shared" si="741"/>
        <v>0</v>
      </c>
      <c r="AQ353" s="264"/>
      <c r="AR353" s="264" t="str">
        <f>VLOOKUP($I353,TableInputsData[],ReadMe!$M$3,FALSE)&amp;"  |  "&amp;VLOOKUP($K353,TableInputsData[],ReadMe!$M$3,FALSE)</f>
        <v>PRODUIT 09  |  CHIFFRE D'AFFAIRES</v>
      </c>
      <c r="AS353" s="264" t="b">
        <f t="shared" ref="AS353:AS360" si="760">AND(EXACT(ROUND(AI353,2),ROUND(AJ353+AK353+AL353,2)),EXACT(ROUND(AI353,2),ROUND(AM353+AO353,2)))</f>
        <v>1</v>
      </c>
      <c r="AT353" s="294"/>
    </row>
    <row r="354" spans="1:46" ht="13" hidden="1" x14ac:dyDescent="0.2">
      <c r="A354" s="294"/>
      <c r="B354" s="924"/>
      <c r="C354" s="271">
        <v>347</v>
      </c>
      <c r="D354" s="250">
        <f t="shared" si="748"/>
        <v>0</v>
      </c>
      <c r="E354" s="250"/>
      <c r="F354" s="248" t="str">
        <f t="shared" si="753"/>
        <v>YEAR-1</v>
      </c>
      <c r="G354" s="250">
        <f>VLOOKUP(F354,TableInputsData[],$G$6,FALSE)</f>
        <v>2024</v>
      </c>
      <c r="H354" s="250" t="str">
        <f t="shared" si="749"/>
        <v>PRODUCT</v>
      </c>
      <c r="I354" s="248" t="str">
        <f t="shared" si="749"/>
        <v>PRODUCT 09</v>
      </c>
      <c r="J354" s="248" t="str">
        <f>VLOOKUP(I354,TableInputsData[],$J$6,FALSE)</f>
        <v>-</v>
      </c>
      <c r="K354" s="248" t="str">
        <f>K353</f>
        <v>REVENUE</v>
      </c>
      <c r="L354" s="255"/>
      <c r="M354" s="255"/>
      <c r="N354" s="255"/>
      <c r="O354" s="265"/>
      <c r="P354" s="260"/>
      <c r="Q354" s="260"/>
      <c r="R354" s="260"/>
      <c r="S354" s="630"/>
      <c r="T354" s="630"/>
      <c r="U354" s="630"/>
      <c r="V354" s="630"/>
      <c r="W354" s="260"/>
      <c r="X354" s="260"/>
      <c r="Y354" s="260"/>
      <c r="Z354" s="260"/>
      <c r="AA354" s="260"/>
      <c r="AB354" s="260"/>
      <c r="AC354" s="265"/>
      <c r="AD354" s="634"/>
      <c r="AE354" s="264">
        <f t="shared" ref="AE354:AH354" si="761">AE346*($L346*$P346+$M346*$Q346+$N346*$R346)</f>
        <v>0</v>
      </c>
      <c r="AF354" s="264">
        <f t="shared" si="761"/>
        <v>0</v>
      </c>
      <c r="AG354" s="264">
        <f t="shared" si="761"/>
        <v>0</v>
      </c>
      <c r="AH354" s="264">
        <f t="shared" si="761"/>
        <v>0</v>
      </c>
      <c r="AI354" s="264">
        <f t="shared" ref="AI354:AI359" si="762">$AE354+$AF354+$AG354+$AH354</f>
        <v>0</v>
      </c>
      <c r="AJ354" s="264">
        <f t="shared" si="755"/>
        <v>0</v>
      </c>
      <c r="AK354" s="264">
        <f t="shared" si="756"/>
        <v>0</v>
      </c>
      <c r="AL354" s="264">
        <f t="shared" si="757"/>
        <v>0</v>
      </c>
      <c r="AM354" s="264">
        <f t="shared" si="758"/>
        <v>0</v>
      </c>
      <c r="AN354" s="640">
        <f t="shared" si="747"/>
        <v>0</v>
      </c>
      <c r="AO354" s="264">
        <f t="shared" si="759"/>
        <v>0</v>
      </c>
      <c r="AP354" s="640">
        <f t="shared" si="741"/>
        <v>0</v>
      </c>
      <c r="AQ354" s="264"/>
      <c r="AR354" s="264" t="str">
        <f>VLOOKUP($I354,TableInputsData[],ReadMe!$M$3,FALSE)&amp;"  |  "&amp;VLOOKUP($K354,TableInputsData[],ReadMe!$M$3,FALSE)</f>
        <v>PRODUIT 09  |  CHIFFRE D'AFFAIRES</v>
      </c>
      <c r="AS354" s="264" t="b">
        <f t="shared" si="760"/>
        <v>1</v>
      </c>
      <c r="AT354" s="294"/>
    </row>
    <row r="355" spans="1:46" ht="13" hidden="1" x14ac:dyDescent="0.2">
      <c r="A355" s="294"/>
      <c r="B355" s="924"/>
      <c r="C355" s="271">
        <v>348</v>
      </c>
      <c r="D355" s="250">
        <f t="shared" si="748"/>
        <v>0</v>
      </c>
      <c r="E355" s="250"/>
      <c r="F355" s="248" t="str">
        <f t="shared" si="753"/>
        <v>CURRENT YEAR</v>
      </c>
      <c r="G355" s="250">
        <f>VLOOKUP(F355,TableInputsData[],$G$6,FALSE)</f>
        <v>2025</v>
      </c>
      <c r="H355" s="250" t="str">
        <f t="shared" si="749"/>
        <v>PRODUCT</v>
      </c>
      <c r="I355" s="248" t="str">
        <f t="shared" si="749"/>
        <v>PRODUCT 09</v>
      </c>
      <c r="J355" s="248" t="str">
        <f>VLOOKUP(I355,TableInputsData[],$J$6,FALSE)</f>
        <v>-</v>
      </c>
      <c r="K355" s="248" t="str">
        <f t="shared" ref="K355:K360" si="763">K354</f>
        <v>REVENUE</v>
      </c>
      <c r="L355" s="255"/>
      <c r="M355" s="255"/>
      <c r="N355" s="255"/>
      <c r="O355" s="265"/>
      <c r="P355" s="260"/>
      <c r="Q355" s="260"/>
      <c r="R355" s="260"/>
      <c r="S355" s="630"/>
      <c r="T355" s="630"/>
      <c r="U355" s="630"/>
      <c r="V355" s="630"/>
      <c r="W355" s="260"/>
      <c r="X355" s="260"/>
      <c r="Y355" s="260"/>
      <c r="Z355" s="260"/>
      <c r="AA355" s="260"/>
      <c r="AB355" s="260"/>
      <c r="AC355" s="265"/>
      <c r="AD355" s="634"/>
      <c r="AE355" s="264">
        <f t="shared" ref="AE355:AH355" si="764">AE347*($L347*$P347+$M347*$Q347+$N347*$R347)</f>
        <v>0</v>
      </c>
      <c r="AF355" s="264">
        <f t="shared" si="764"/>
        <v>0</v>
      </c>
      <c r="AG355" s="264">
        <f t="shared" si="764"/>
        <v>0</v>
      </c>
      <c r="AH355" s="264">
        <f t="shared" si="764"/>
        <v>0</v>
      </c>
      <c r="AI355" s="264">
        <f t="shared" si="762"/>
        <v>0</v>
      </c>
      <c r="AJ355" s="264">
        <f t="shared" si="755"/>
        <v>0</v>
      </c>
      <c r="AK355" s="264">
        <f t="shared" si="756"/>
        <v>0</v>
      </c>
      <c r="AL355" s="264">
        <f t="shared" si="757"/>
        <v>0</v>
      </c>
      <c r="AM355" s="264">
        <f t="shared" si="758"/>
        <v>0</v>
      </c>
      <c r="AN355" s="640">
        <f t="shared" si="747"/>
        <v>0</v>
      </c>
      <c r="AO355" s="264">
        <f t="shared" si="759"/>
        <v>0</v>
      </c>
      <c r="AP355" s="640">
        <f t="shared" si="741"/>
        <v>0</v>
      </c>
      <c r="AQ355" s="264"/>
      <c r="AR355" s="264" t="str">
        <f>VLOOKUP($I355,TableInputsData[],ReadMe!$M$3,FALSE)&amp;"  |  "&amp;VLOOKUP($K355,TableInputsData[],ReadMe!$M$3,FALSE)</f>
        <v>PRODUIT 09  |  CHIFFRE D'AFFAIRES</v>
      </c>
      <c r="AS355" s="264" t="b">
        <f t="shared" si="760"/>
        <v>1</v>
      </c>
      <c r="AT355" s="294"/>
    </row>
    <row r="356" spans="1:46" ht="13" hidden="1" x14ac:dyDescent="0.2">
      <c r="A356" s="294"/>
      <c r="B356" s="924"/>
      <c r="C356" s="271">
        <v>349</v>
      </c>
      <c r="D356" s="250">
        <f t="shared" si="748"/>
        <v>0</v>
      </c>
      <c r="E356" s="250"/>
      <c r="F356" s="248" t="str">
        <f t="shared" si="753"/>
        <v>YEAR2</v>
      </c>
      <c r="G356" s="250">
        <f>VLOOKUP(F356,TableInputsData[],$G$6,FALSE)</f>
        <v>2026</v>
      </c>
      <c r="H356" s="250" t="str">
        <f t="shared" si="749"/>
        <v>PRODUCT</v>
      </c>
      <c r="I356" s="248" t="str">
        <f t="shared" si="749"/>
        <v>PRODUCT 09</v>
      </c>
      <c r="J356" s="248" t="str">
        <f>VLOOKUP(I356,TableInputsData[],$J$6,FALSE)</f>
        <v>-</v>
      </c>
      <c r="K356" s="248" t="str">
        <f t="shared" si="763"/>
        <v>REVENUE</v>
      </c>
      <c r="L356" s="255"/>
      <c r="M356" s="255"/>
      <c r="N356" s="255"/>
      <c r="O356" s="265"/>
      <c r="P356" s="260"/>
      <c r="Q356" s="260"/>
      <c r="R356" s="260"/>
      <c r="S356" s="630"/>
      <c r="T356" s="630"/>
      <c r="U356" s="630"/>
      <c r="V356" s="630"/>
      <c r="W356" s="260"/>
      <c r="X356" s="260"/>
      <c r="Y356" s="260"/>
      <c r="Z356" s="260"/>
      <c r="AA356" s="260"/>
      <c r="AB356" s="260"/>
      <c r="AC356" s="265"/>
      <c r="AD356" s="634"/>
      <c r="AE356" s="264">
        <f t="shared" ref="AE356:AH356" si="765">AE348*($L348*$P348+$M348*$Q348+$N348*$R348)</f>
        <v>0</v>
      </c>
      <c r="AF356" s="264">
        <f t="shared" si="765"/>
        <v>0</v>
      </c>
      <c r="AG356" s="264">
        <f t="shared" si="765"/>
        <v>0</v>
      </c>
      <c r="AH356" s="264">
        <f t="shared" si="765"/>
        <v>0</v>
      </c>
      <c r="AI356" s="264">
        <f t="shared" si="762"/>
        <v>0</v>
      </c>
      <c r="AJ356" s="264">
        <f t="shared" si="755"/>
        <v>0</v>
      </c>
      <c r="AK356" s="264">
        <f t="shared" si="756"/>
        <v>0</v>
      </c>
      <c r="AL356" s="264">
        <f t="shared" si="757"/>
        <v>0</v>
      </c>
      <c r="AM356" s="264">
        <f t="shared" si="758"/>
        <v>0</v>
      </c>
      <c r="AN356" s="640">
        <f t="shared" si="747"/>
        <v>0</v>
      </c>
      <c r="AO356" s="264">
        <f t="shared" si="759"/>
        <v>0</v>
      </c>
      <c r="AP356" s="640">
        <f t="shared" si="741"/>
        <v>0</v>
      </c>
      <c r="AQ356" s="264"/>
      <c r="AR356" s="264" t="str">
        <f>VLOOKUP($I356,TableInputsData[],ReadMe!$M$3,FALSE)&amp;"  |  "&amp;VLOOKUP($K356,TableInputsData[],ReadMe!$M$3,FALSE)</f>
        <v>PRODUIT 09  |  CHIFFRE D'AFFAIRES</v>
      </c>
      <c r="AS356" s="264" t="b">
        <f t="shared" si="760"/>
        <v>1</v>
      </c>
      <c r="AT356" s="294"/>
    </row>
    <row r="357" spans="1:46" ht="13" hidden="1" x14ac:dyDescent="0.2">
      <c r="A357" s="294"/>
      <c r="B357" s="924"/>
      <c r="C357" s="271">
        <v>350</v>
      </c>
      <c r="D357" s="250">
        <f t="shared" si="748"/>
        <v>0</v>
      </c>
      <c r="E357" s="250"/>
      <c r="F357" s="248" t="str">
        <f t="shared" si="753"/>
        <v>YEAR3</v>
      </c>
      <c r="G357" s="250">
        <f>VLOOKUP(F357,TableInputsData[],$G$6,FALSE)</f>
        <v>2027</v>
      </c>
      <c r="H357" s="250" t="str">
        <f t="shared" si="749"/>
        <v>PRODUCT</v>
      </c>
      <c r="I357" s="248" t="str">
        <f t="shared" si="749"/>
        <v>PRODUCT 09</v>
      </c>
      <c r="J357" s="248" t="str">
        <f>VLOOKUP(I357,TableInputsData[],$J$6,FALSE)</f>
        <v>-</v>
      </c>
      <c r="K357" s="248" t="str">
        <f t="shared" si="763"/>
        <v>REVENUE</v>
      </c>
      <c r="L357" s="255"/>
      <c r="M357" s="255"/>
      <c r="N357" s="255"/>
      <c r="O357" s="265"/>
      <c r="P357" s="260"/>
      <c r="Q357" s="260"/>
      <c r="R357" s="260"/>
      <c r="S357" s="630"/>
      <c r="T357" s="630"/>
      <c r="U357" s="630"/>
      <c r="V357" s="630"/>
      <c r="W357" s="260"/>
      <c r="X357" s="260"/>
      <c r="Y357" s="260"/>
      <c r="Z357" s="260"/>
      <c r="AA357" s="260"/>
      <c r="AB357" s="260"/>
      <c r="AC357" s="265"/>
      <c r="AD357" s="634"/>
      <c r="AE357" s="264">
        <f t="shared" ref="AE357:AH357" si="766">AE349*($L349*$P349+$M349*$Q349+$N349*$R349)</f>
        <v>0</v>
      </c>
      <c r="AF357" s="264">
        <f t="shared" si="766"/>
        <v>0</v>
      </c>
      <c r="AG357" s="264">
        <f t="shared" si="766"/>
        <v>0</v>
      </c>
      <c r="AH357" s="264">
        <f t="shared" si="766"/>
        <v>0</v>
      </c>
      <c r="AI357" s="264">
        <f t="shared" si="762"/>
        <v>0</v>
      </c>
      <c r="AJ357" s="264">
        <f t="shared" si="755"/>
        <v>0</v>
      </c>
      <c r="AK357" s="264">
        <f t="shared" si="756"/>
        <v>0</v>
      </c>
      <c r="AL357" s="264">
        <f t="shared" si="757"/>
        <v>0</v>
      </c>
      <c r="AM357" s="264">
        <f t="shared" si="758"/>
        <v>0</v>
      </c>
      <c r="AN357" s="640">
        <f t="shared" si="747"/>
        <v>0</v>
      </c>
      <c r="AO357" s="264">
        <f t="shared" si="759"/>
        <v>0</v>
      </c>
      <c r="AP357" s="640">
        <f t="shared" si="741"/>
        <v>0</v>
      </c>
      <c r="AQ357" s="264"/>
      <c r="AR357" s="264" t="str">
        <f>VLOOKUP($I357,TableInputsData[],ReadMe!$M$3,FALSE)&amp;"  |  "&amp;VLOOKUP($K357,TableInputsData[],ReadMe!$M$3,FALSE)</f>
        <v>PRODUIT 09  |  CHIFFRE D'AFFAIRES</v>
      </c>
      <c r="AS357" s="264" t="b">
        <f t="shared" si="760"/>
        <v>1</v>
      </c>
      <c r="AT357" s="294"/>
    </row>
    <row r="358" spans="1:46" ht="13" hidden="1" x14ac:dyDescent="0.2">
      <c r="A358" s="294"/>
      <c r="B358" s="924"/>
      <c r="C358" s="271">
        <v>351</v>
      </c>
      <c r="D358" s="250">
        <f t="shared" si="748"/>
        <v>0</v>
      </c>
      <c r="E358" s="250"/>
      <c r="F358" s="248" t="str">
        <f t="shared" si="753"/>
        <v>YEAR4</v>
      </c>
      <c r="G358" s="250">
        <f>VLOOKUP(F358,TableInputsData[],$G$6,FALSE)</f>
        <v>2028</v>
      </c>
      <c r="H358" s="250" t="str">
        <f t="shared" si="749"/>
        <v>PRODUCT</v>
      </c>
      <c r="I358" s="248" t="str">
        <f t="shared" si="749"/>
        <v>PRODUCT 09</v>
      </c>
      <c r="J358" s="248" t="str">
        <f>VLOOKUP(I358,TableInputsData[],$J$6,FALSE)</f>
        <v>-</v>
      </c>
      <c r="K358" s="248" t="str">
        <f t="shared" si="763"/>
        <v>REVENUE</v>
      </c>
      <c r="L358" s="255"/>
      <c r="M358" s="255"/>
      <c r="N358" s="255"/>
      <c r="O358" s="265"/>
      <c r="P358" s="260"/>
      <c r="Q358" s="260"/>
      <c r="R358" s="260"/>
      <c r="S358" s="630"/>
      <c r="T358" s="630"/>
      <c r="U358" s="630"/>
      <c r="V358" s="630"/>
      <c r="W358" s="260"/>
      <c r="X358" s="260"/>
      <c r="Y358" s="260"/>
      <c r="Z358" s="260"/>
      <c r="AA358" s="260"/>
      <c r="AB358" s="260"/>
      <c r="AC358" s="265"/>
      <c r="AD358" s="634"/>
      <c r="AE358" s="264">
        <f t="shared" ref="AE358:AH358" si="767">AE350*($L350*$P350+$M350*$Q350+$N350*$R350)</f>
        <v>0</v>
      </c>
      <c r="AF358" s="264">
        <f t="shared" si="767"/>
        <v>0</v>
      </c>
      <c r="AG358" s="264">
        <f t="shared" si="767"/>
        <v>0</v>
      </c>
      <c r="AH358" s="264">
        <f t="shared" si="767"/>
        <v>0</v>
      </c>
      <c r="AI358" s="264">
        <f t="shared" si="762"/>
        <v>0</v>
      </c>
      <c r="AJ358" s="264">
        <f t="shared" si="755"/>
        <v>0</v>
      </c>
      <c r="AK358" s="264">
        <f t="shared" si="756"/>
        <v>0</v>
      </c>
      <c r="AL358" s="264">
        <f t="shared" si="757"/>
        <v>0</v>
      </c>
      <c r="AM358" s="264">
        <f t="shared" si="758"/>
        <v>0</v>
      </c>
      <c r="AN358" s="640">
        <f t="shared" si="747"/>
        <v>0</v>
      </c>
      <c r="AO358" s="264">
        <f t="shared" si="759"/>
        <v>0</v>
      </c>
      <c r="AP358" s="640">
        <f t="shared" si="741"/>
        <v>0</v>
      </c>
      <c r="AQ358" s="264"/>
      <c r="AR358" s="264" t="str">
        <f>VLOOKUP($I358,TableInputsData[],ReadMe!$M$3,FALSE)&amp;"  |  "&amp;VLOOKUP($K358,TableInputsData[],ReadMe!$M$3,FALSE)</f>
        <v>PRODUIT 09  |  CHIFFRE D'AFFAIRES</v>
      </c>
      <c r="AS358" s="264" t="b">
        <f t="shared" si="760"/>
        <v>1</v>
      </c>
      <c r="AT358" s="294"/>
    </row>
    <row r="359" spans="1:46" ht="13" hidden="1" x14ac:dyDescent="0.2">
      <c r="A359" s="294"/>
      <c r="B359" s="924"/>
      <c r="C359" s="271">
        <v>352</v>
      </c>
      <c r="D359" s="250">
        <f t="shared" si="748"/>
        <v>0</v>
      </c>
      <c r="E359" s="250"/>
      <c r="F359" s="248" t="str">
        <f t="shared" si="753"/>
        <v>YEAR5</v>
      </c>
      <c r="G359" s="250">
        <f>VLOOKUP(F359,TableInputsData[],$G$6,FALSE)</f>
        <v>2029</v>
      </c>
      <c r="H359" s="250" t="str">
        <f t="shared" si="749"/>
        <v>PRODUCT</v>
      </c>
      <c r="I359" s="248" t="str">
        <f t="shared" si="749"/>
        <v>PRODUCT 09</v>
      </c>
      <c r="J359" s="248" t="str">
        <f>VLOOKUP(I359,TableInputsData[],$J$6,FALSE)</f>
        <v>-</v>
      </c>
      <c r="K359" s="248" t="str">
        <f t="shared" si="763"/>
        <v>REVENUE</v>
      </c>
      <c r="L359" s="255"/>
      <c r="M359" s="255"/>
      <c r="N359" s="255"/>
      <c r="O359" s="265"/>
      <c r="P359" s="260"/>
      <c r="Q359" s="260"/>
      <c r="R359" s="260"/>
      <c r="S359" s="630"/>
      <c r="T359" s="630"/>
      <c r="U359" s="630"/>
      <c r="V359" s="630"/>
      <c r="W359" s="260"/>
      <c r="X359" s="260"/>
      <c r="Y359" s="260"/>
      <c r="Z359" s="260"/>
      <c r="AA359" s="260"/>
      <c r="AB359" s="260"/>
      <c r="AC359" s="265"/>
      <c r="AD359" s="634"/>
      <c r="AE359" s="264">
        <f t="shared" ref="AE359:AH359" si="768">AE351*($L351*$P351+$M351*$Q351+$N351*$R351)</f>
        <v>0</v>
      </c>
      <c r="AF359" s="264">
        <f t="shared" si="768"/>
        <v>0</v>
      </c>
      <c r="AG359" s="264">
        <f t="shared" si="768"/>
        <v>0</v>
      </c>
      <c r="AH359" s="264">
        <f t="shared" si="768"/>
        <v>0</v>
      </c>
      <c r="AI359" s="264">
        <f t="shared" si="762"/>
        <v>0</v>
      </c>
      <c r="AJ359" s="264">
        <f t="shared" si="755"/>
        <v>0</v>
      </c>
      <c r="AK359" s="264">
        <f t="shared" si="756"/>
        <v>0</v>
      </c>
      <c r="AL359" s="264">
        <f t="shared" si="757"/>
        <v>0</v>
      </c>
      <c r="AM359" s="264">
        <f t="shared" si="758"/>
        <v>0</v>
      </c>
      <c r="AN359" s="640">
        <f t="shared" si="747"/>
        <v>0</v>
      </c>
      <c r="AO359" s="264">
        <f t="shared" si="759"/>
        <v>0</v>
      </c>
      <c r="AP359" s="640">
        <f t="shared" si="741"/>
        <v>0</v>
      </c>
      <c r="AQ359" s="264"/>
      <c r="AR359" s="264" t="str">
        <f>VLOOKUP($I359,TableInputsData[],ReadMe!$M$3,FALSE)&amp;"  |  "&amp;VLOOKUP($K359,TableInputsData[],ReadMe!$M$3,FALSE)</f>
        <v>PRODUIT 09  |  CHIFFRE D'AFFAIRES</v>
      </c>
      <c r="AS359" s="264" t="b">
        <f t="shared" si="760"/>
        <v>1</v>
      </c>
      <c r="AT359" s="294"/>
    </row>
    <row r="360" spans="1:46" ht="13" hidden="1" x14ac:dyDescent="0.2">
      <c r="A360" s="294"/>
      <c r="B360" s="924"/>
      <c r="C360" s="271">
        <v>353</v>
      </c>
      <c r="D360" s="250">
        <f t="shared" si="748"/>
        <v>0</v>
      </c>
      <c r="E360" s="250"/>
      <c r="F360" s="248" t="str">
        <f t="shared" si="753"/>
        <v>YEAR6</v>
      </c>
      <c r="G360" s="250">
        <f>VLOOKUP(F360,TableInputsData[],$G$6,FALSE)</f>
        <v>2030</v>
      </c>
      <c r="H360" s="250" t="str">
        <f t="shared" si="749"/>
        <v>PRODUCT</v>
      </c>
      <c r="I360" s="248" t="str">
        <f t="shared" si="749"/>
        <v>PRODUCT 09</v>
      </c>
      <c r="J360" s="248" t="str">
        <f>VLOOKUP(I360,TableInputsData[],$J$6,FALSE)</f>
        <v>-</v>
      </c>
      <c r="K360" s="248" t="str">
        <f t="shared" si="763"/>
        <v>REVENUE</v>
      </c>
      <c r="L360" s="255"/>
      <c r="M360" s="255"/>
      <c r="N360" s="255"/>
      <c r="O360" s="265"/>
      <c r="P360" s="260"/>
      <c r="Q360" s="260"/>
      <c r="R360" s="260"/>
      <c r="S360" s="630"/>
      <c r="T360" s="630"/>
      <c r="U360" s="630"/>
      <c r="V360" s="630"/>
      <c r="W360" s="260"/>
      <c r="X360" s="260"/>
      <c r="Y360" s="260"/>
      <c r="Z360" s="260"/>
      <c r="AA360" s="260"/>
      <c r="AB360" s="260"/>
      <c r="AC360" s="265"/>
      <c r="AD360" s="634"/>
      <c r="AE360" s="264">
        <f t="shared" ref="AE360:AH360" si="769">AE352*($L352*$P352+$M352*$Q352+$N352*$R352)</f>
        <v>0</v>
      </c>
      <c r="AF360" s="264">
        <f t="shared" si="769"/>
        <v>0</v>
      </c>
      <c r="AG360" s="264">
        <f t="shared" si="769"/>
        <v>0</v>
      </c>
      <c r="AH360" s="264">
        <f t="shared" si="769"/>
        <v>0</v>
      </c>
      <c r="AI360" s="264">
        <f>$AE360+$AF360+$AG360+$AH360</f>
        <v>0</v>
      </c>
      <c r="AJ360" s="264">
        <f t="shared" si="755"/>
        <v>0</v>
      </c>
      <c r="AK360" s="264">
        <f t="shared" si="756"/>
        <v>0</v>
      </c>
      <c r="AL360" s="264">
        <f t="shared" si="757"/>
        <v>0</v>
      </c>
      <c r="AM360" s="264">
        <f t="shared" si="758"/>
        <v>0</v>
      </c>
      <c r="AN360" s="640">
        <f t="shared" si="747"/>
        <v>0</v>
      </c>
      <c r="AO360" s="264">
        <f t="shared" si="759"/>
        <v>0</v>
      </c>
      <c r="AP360" s="640">
        <f t="shared" si="741"/>
        <v>0</v>
      </c>
      <c r="AQ360" s="264"/>
      <c r="AR360" s="264" t="str">
        <f>VLOOKUP($I360,TableInputsData[],ReadMe!$M$3,FALSE)&amp;"  |  "&amp;VLOOKUP($K360,TableInputsData[],ReadMe!$M$3,FALSE)</f>
        <v>PRODUIT 09  |  CHIFFRE D'AFFAIRES</v>
      </c>
      <c r="AS360" s="264" t="b">
        <f t="shared" si="760"/>
        <v>1</v>
      </c>
      <c r="AT360" s="294"/>
    </row>
    <row r="361" spans="1:46" ht="13" hidden="1" x14ac:dyDescent="0.2">
      <c r="A361" s="294"/>
      <c r="B361" s="924"/>
      <c r="C361" s="271">
        <v>354</v>
      </c>
      <c r="D361" s="250">
        <f t="shared" si="748"/>
        <v>0</v>
      </c>
      <c r="E361" s="250"/>
      <c r="F361" s="248" t="str">
        <f t="shared" ref="F361:F368" si="770">F345</f>
        <v>YEAR-2</v>
      </c>
      <c r="G361" s="250">
        <f>VLOOKUP(F361,TableInputsData[],$G$6,FALSE)</f>
        <v>2023</v>
      </c>
      <c r="H361" s="250" t="str">
        <f t="shared" si="749"/>
        <v>PRODUCT</v>
      </c>
      <c r="I361" s="248" t="str">
        <f t="shared" si="749"/>
        <v>PRODUCT 09</v>
      </c>
      <c r="J361" s="248" t="str">
        <f>VLOOKUP(I361,TableInputsData[],$J$6,FALSE)</f>
        <v>-</v>
      </c>
      <c r="K361" s="248" t="s">
        <v>456</v>
      </c>
      <c r="L361" s="255"/>
      <c r="M361" s="255"/>
      <c r="N361" s="255"/>
      <c r="O361" s="265"/>
      <c r="P361" s="260"/>
      <c r="Q361" s="260"/>
      <c r="R361" s="260"/>
      <c r="S361" s="630"/>
      <c r="T361" s="630"/>
      <c r="U361" s="630"/>
      <c r="V361" s="630"/>
      <c r="W361" s="260"/>
      <c r="X361" s="260"/>
      <c r="Y361" s="260"/>
      <c r="Z361" s="260"/>
      <c r="AA361" s="260"/>
      <c r="AB361" s="260"/>
      <c r="AC361" s="265"/>
      <c r="AD361" s="634"/>
      <c r="AE361" s="264">
        <f>IF(AE345=0,0,AE353/AE345)</f>
        <v>0</v>
      </c>
      <c r="AF361" s="264">
        <f t="shared" ref="AF361:AI361" si="771">IF(AF345=0,0,AF353/AF345)</f>
        <v>0</v>
      </c>
      <c r="AG361" s="264">
        <f t="shared" si="771"/>
        <v>0</v>
      </c>
      <c r="AH361" s="264">
        <f t="shared" si="771"/>
        <v>0</v>
      </c>
      <c r="AI361" s="264">
        <f t="shared" si="771"/>
        <v>0</v>
      </c>
      <c r="AJ361" s="264">
        <f>IF(AJ345=0,0,AJ353/AJ345)</f>
        <v>0</v>
      </c>
      <c r="AK361" s="264">
        <f t="shared" ref="AK361:AL361" si="772">IF(AK345=0,0,AK353/AK345)</f>
        <v>0</v>
      </c>
      <c r="AL361" s="264">
        <f t="shared" si="772"/>
        <v>0</v>
      </c>
      <c r="AM361" s="264">
        <f>IF(AM345=0,0,AM353/AM345)</f>
        <v>0</v>
      </c>
      <c r="AN361" s="260"/>
      <c r="AO361" s="264">
        <f t="shared" ref="AO361" si="773">IF(AO345=0,0,AO353/AO345)</f>
        <v>0</v>
      </c>
      <c r="AP361" s="260"/>
      <c r="AQ361" s="264"/>
      <c r="AR361" s="264" t="str">
        <f>VLOOKUP($I361,TableInputsData[],ReadMe!$M$3,FALSE)&amp;"  |  "&amp;VLOOKUP($K361,TableInputsData[],ReadMe!$M$3,FALSE)</f>
        <v>PRODUIT 09  |  PRIX MOYEN DE VENTE PAR PRODUIT/SERVICE</v>
      </c>
      <c r="AS361" s="264"/>
      <c r="AT361" s="294"/>
    </row>
    <row r="362" spans="1:46" ht="13" hidden="1" x14ac:dyDescent="0.2">
      <c r="A362" s="294"/>
      <c r="B362" s="924"/>
      <c r="C362" s="271">
        <v>355</v>
      </c>
      <c r="D362" s="250">
        <f t="shared" si="748"/>
        <v>0</v>
      </c>
      <c r="E362" s="250"/>
      <c r="F362" s="248" t="str">
        <f t="shared" si="770"/>
        <v>YEAR-1</v>
      </c>
      <c r="G362" s="250">
        <f>VLOOKUP(F362,TableInputsData[],$G$6,FALSE)</f>
        <v>2024</v>
      </c>
      <c r="H362" s="250" t="str">
        <f t="shared" si="749"/>
        <v>PRODUCT</v>
      </c>
      <c r="I362" s="248" t="str">
        <f t="shared" si="749"/>
        <v>PRODUCT 09</v>
      </c>
      <c r="J362" s="248" t="str">
        <f>VLOOKUP(I362,TableInputsData[],$J$6,FALSE)</f>
        <v>-</v>
      </c>
      <c r="K362" s="248" t="str">
        <f>K361</f>
        <v>AVERAGE SELLING PRICE PER UNIT</v>
      </c>
      <c r="L362" s="255"/>
      <c r="M362" s="255"/>
      <c r="N362" s="255"/>
      <c r="O362" s="265"/>
      <c r="P362" s="260"/>
      <c r="Q362" s="260"/>
      <c r="R362" s="260"/>
      <c r="S362" s="630"/>
      <c r="T362" s="630"/>
      <c r="U362" s="630"/>
      <c r="V362" s="630"/>
      <c r="W362" s="260"/>
      <c r="X362" s="260"/>
      <c r="Y362" s="260"/>
      <c r="Z362" s="260"/>
      <c r="AA362" s="260"/>
      <c r="AB362" s="260"/>
      <c r="AC362" s="265"/>
      <c r="AD362" s="634"/>
      <c r="AE362" s="264">
        <f>IF(AE346=0,0,AE354/AE346)</f>
        <v>0</v>
      </c>
      <c r="AF362" s="264">
        <f t="shared" ref="AF362:AM362" si="774">IF(AF346=0,0,AF354/AF346)</f>
        <v>0</v>
      </c>
      <c r="AG362" s="264">
        <f t="shared" si="774"/>
        <v>0</v>
      </c>
      <c r="AH362" s="264">
        <f t="shared" si="774"/>
        <v>0</v>
      </c>
      <c r="AI362" s="264">
        <f t="shared" si="774"/>
        <v>0</v>
      </c>
      <c r="AJ362" s="264">
        <f t="shared" si="774"/>
        <v>0</v>
      </c>
      <c r="AK362" s="264">
        <f t="shared" si="774"/>
        <v>0</v>
      </c>
      <c r="AL362" s="264">
        <f t="shared" si="774"/>
        <v>0</v>
      </c>
      <c r="AM362" s="264">
        <f t="shared" si="774"/>
        <v>0</v>
      </c>
      <c r="AN362" s="260"/>
      <c r="AO362" s="264">
        <f t="shared" ref="AO362" si="775">IF(AO346=0,0,AO354/AO346)</f>
        <v>0</v>
      </c>
      <c r="AP362" s="260"/>
      <c r="AQ362" s="264"/>
      <c r="AR362" s="264" t="str">
        <f>VLOOKUP($I362,TableInputsData[],ReadMe!$M$3,FALSE)&amp;"  |  "&amp;VLOOKUP($K362,TableInputsData[],ReadMe!$M$3,FALSE)</f>
        <v>PRODUIT 09  |  PRIX MOYEN DE VENTE PAR PRODUIT/SERVICE</v>
      </c>
      <c r="AS362" s="264"/>
      <c r="AT362" s="294"/>
    </row>
    <row r="363" spans="1:46" ht="13" hidden="1" x14ac:dyDescent="0.2">
      <c r="A363" s="294"/>
      <c r="B363" s="924"/>
      <c r="C363" s="271">
        <v>356</v>
      </c>
      <c r="D363" s="250">
        <f t="shared" si="748"/>
        <v>0</v>
      </c>
      <c r="E363" s="250"/>
      <c r="F363" s="248" t="str">
        <f t="shared" si="770"/>
        <v>CURRENT YEAR</v>
      </c>
      <c r="G363" s="250">
        <f>VLOOKUP(F363,TableInputsData[],$G$6,FALSE)</f>
        <v>2025</v>
      </c>
      <c r="H363" s="250" t="str">
        <f t="shared" si="749"/>
        <v>PRODUCT</v>
      </c>
      <c r="I363" s="248" t="str">
        <f t="shared" si="749"/>
        <v>PRODUCT 09</v>
      </c>
      <c r="J363" s="248" t="str">
        <f>VLOOKUP(I363,TableInputsData[],$J$6,FALSE)</f>
        <v>-</v>
      </c>
      <c r="K363" s="248" t="str">
        <f t="shared" ref="K363:K368" si="776">K362</f>
        <v>AVERAGE SELLING PRICE PER UNIT</v>
      </c>
      <c r="L363" s="255"/>
      <c r="M363" s="255"/>
      <c r="N363" s="255"/>
      <c r="O363" s="265"/>
      <c r="P363" s="260"/>
      <c r="Q363" s="260"/>
      <c r="R363" s="260"/>
      <c r="S363" s="630"/>
      <c r="T363" s="630"/>
      <c r="U363" s="630"/>
      <c r="V363" s="630"/>
      <c r="W363" s="260"/>
      <c r="X363" s="260"/>
      <c r="Y363" s="260"/>
      <c r="Z363" s="260"/>
      <c r="AA363" s="260"/>
      <c r="AB363" s="260"/>
      <c r="AC363" s="265"/>
      <c r="AD363" s="634"/>
      <c r="AE363" s="264">
        <f>IF(AE347=0,0,AE355/AE347)</f>
        <v>0</v>
      </c>
      <c r="AF363" s="264">
        <f t="shared" ref="AF363:AM363" si="777">IF(AF347=0,0,AF355/AF347)</f>
        <v>0</v>
      </c>
      <c r="AG363" s="264">
        <f t="shared" si="777"/>
        <v>0</v>
      </c>
      <c r="AH363" s="264">
        <f t="shared" si="777"/>
        <v>0</v>
      </c>
      <c r="AI363" s="264">
        <f t="shared" si="777"/>
        <v>0</v>
      </c>
      <c r="AJ363" s="264">
        <f t="shared" si="777"/>
        <v>0</v>
      </c>
      <c r="AK363" s="264">
        <f t="shared" si="777"/>
        <v>0</v>
      </c>
      <c r="AL363" s="264">
        <f t="shared" si="777"/>
        <v>0</v>
      </c>
      <c r="AM363" s="264">
        <f t="shared" si="777"/>
        <v>0</v>
      </c>
      <c r="AN363" s="260"/>
      <c r="AO363" s="264">
        <f t="shared" ref="AO363" si="778">IF(AO347=0,0,AO355/AO347)</f>
        <v>0</v>
      </c>
      <c r="AP363" s="260"/>
      <c r="AQ363" s="264"/>
      <c r="AR363" s="264" t="str">
        <f>VLOOKUP($I363,TableInputsData[],ReadMe!$M$3,FALSE)&amp;"  |  "&amp;VLOOKUP($K363,TableInputsData[],ReadMe!$M$3,FALSE)</f>
        <v>PRODUIT 09  |  PRIX MOYEN DE VENTE PAR PRODUIT/SERVICE</v>
      </c>
      <c r="AS363" s="264"/>
      <c r="AT363" s="294"/>
    </row>
    <row r="364" spans="1:46" ht="13" hidden="1" x14ac:dyDescent="0.2">
      <c r="A364" s="294"/>
      <c r="B364" s="924"/>
      <c r="C364" s="271">
        <v>357</v>
      </c>
      <c r="D364" s="250">
        <f t="shared" si="748"/>
        <v>0</v>
      </c>
      <c r="E364" s="250"/>
      <c r="F364" s="248" t="str">
        <f t="shared" si="770"/>
        <v>YEAR2</v>
      </c>
      <c r="G364" s="250">
        <f>VLOOKUP(F364,TableInputsData[],$G$6,FALSE)</f>
        <v>2026</v>
      </c>
      <c r="H364" s="250" t="str">
        <f t="shared" si="749"/>
        <v>PRODUCT</v>
      </c>
      <c r="I364" s="248" t="str">
        <f t="shared" si="749"/>
        <v>PRODUCT 09</v>
      </c>
      <c r="J364" s="248" t="str">
        <f>VLOOKUP(I364,TableInputsData[],$J$6,FALSE)</f>
        <v>-</v>
      </c>
      <c r="K364" s="248" t="str">
        <f t="shared" si="776"/>
        <v>AVERAGE SELLING PRICE PER UNIT</v>
      </c>
      <c r="L364" s="255"/>
      <c r="M364" s="255"/>
      <c r="N364" s="255"/>
      <c r="O364" s="265"/>
      <c r="P364" s="260"/>
      <c r="Q364" s="260"/>
      <c r="R364" s="260"/>
      <c r="S364" s="630"/>
      <c r="T364" s="630"/>
      <c r="U364" s="630"/>
      <c r="V364" s="630"/>
      <c r="W364" s="260"/>
      <c r="X364" s="260"/>
      <c r="Y364" s="260"/>
      <c r="Z364" s="260"/>
      <c r="AA364" s="260"/>
      <c r="AB364" s="260"/>
      <c r="AC364" s="265"/>
      <c r="AD364" s="634"/>
      <c r="AE364" s="264">
        <f>IF(AE348=0,0,AE356/AE348)</f>
        <v>0</v>
      </c>
      <c r="AF364" s="264">
        <f t="shared" ref="AF364:AM364" si="779">IF(AF348=0,0,AF356/AF348)</f>
        <v>0</v>
      </c>
      <c r="AG364" s="264">
        <f t="shared" si="779"/>
        <v>0</v>
      </c>
      <c r="AH364" s="264">
        <f t="shared" si="779"/>
        <v>0</v>
      </c>
      <c r="AI364" s="264">
        <f t="shared" si="779"/>
        <v>0</v>
      </c>
      <c r="AJ364" s="264">
        <f t="shared" si="779"/>
        <v>0</v>
      </c>
      <c r="AK364" s="264">
        <f t="shared" si="779"/>
        <v>0</v>
      </c>
      <c r="AL364" s="264">
        <f t="shared" si="779"/>
        <v>0</v>
      </c>
      <c r="AM364" s="264">
        <f t="shared" si="779"/>
        <v>0</v>
      </c>
      <c r="AN364" s="260"/>
      <c r="AO364" s="264">
        <f t="shared" ref="AO364" si="780">IF(AO348=0,0,AO356/AO348)</f>
        <v>0</v>
      </c>
      <c r="AP364" s="260"/>
      <c r="AQ364" s="264"/>
      <c r="AR364" s="264" t="str">
        <f>VLOOKUP($I364,TableInputsData[],ReadMe!$M$3,FALSE)&amp;"  |  "&amp;VLOOKUP($K364,TableInputsData[],ReadMe!$M$3,FALSE)</f>
        <v>PRODUIT 09  |  PRIX MOYEN DE VENTE PAR PRODUIT/SERVICE</v>
      </c>
      <c r="AS364" s="264"/>
      <c r="AT364" s="294"/>
    </row>
    <row r="365" spans="1:46" ht="13" hidden="1" x14ac:dyDescent="0.2">
      <c r="A365" s="294"/>
      <c r="B365" s="924"/>
      <c r="C365" s="271">
        <v>358</v>
      </c>
      <c r="D365" s="250">
        <f t="shared" si="748"/>
        <v>0</v>
      </c>
      <c r="E365" s="250"/>
      <c r="F365" s="248" t="str">
        <f t="shared" si="770"/>
        <v>YEAR3</v>
      </c>
      <c r="G365" s="250">
        <f>VLOOKUP(F365,TableInputsData[],$G$6,FALSE)</f>
        <v>2027</v>
      </c>
      <c r="H365" s="250" t="str">
        <f t="shared" si="749"/>
        <v>PRODUCT</v>
      </c>
      <c r="I365" s="248" t="str">
        <f t="shared" si="749"/>
        <v>PRODUCT 09</v>
      </c>
      <c r="J365" s="248" t="str">
        <f>VLOOKUP(I365,TableInputsData[],$J$6,FALSE)</f>
        <v>-</v>
      </c>
      <c r="K365" s="248" t="str">
        <f t="shared" si="776"/>
        <v>AVERAGE SELLING PRICE PER UNIT</v>
      </c>
      <c r="L365" s="255"/>
      <c r="M365" s="255"/>
      <c r="N365" s="255"/>
      <c r="O365" s="265"/>
      <c r="P365" s="260"/>
      <c r="Q365" s="260"/>
      <c r="R365" s="260"/>
      <c r="S365" s="630"/>
      <c r="T365" s="630"/>
      <c r="U365" s="630"/>
      <c r="V365" s="630"/>
      <c r="W365" s="260"/>
      <c r="X365" s="260"/>
      <c r="Y365" s="260"/>
      <c r="Z365" s="260"/>
      <c r="AA365" s="260"/>
      <c r="AB365" s="260"/>
      <c r="AC365" s="265"/>
      <c r="AD365" s="634"/>
      <c r="AE365" s="264">
        <f t="shared" ref="AE365:AM365" si="781">IF(AE349=0,0,AE357/AE349)</f>
        <v>0</v>
      </c>
      <c r="AF365" s="264">
        <f t="shared" si="781"/>
        <v>0</v>
      </c>
      <c r="AG365" s="264">
        <f t="shared" si="781"/>
        <v>0</v>
      </c>
      <c r="AH365" s="264">
        <f t="shared" si="781"/>
        <v>0</v>
      </c>
      <c r="AI365" s="264">
        <f t="shared" si="781"/>
        <v>0</v>
      </c>
      <c r="AJ365" s="264">
        <f t="shared" si="781"/>
        <v>0</v>
      </c>
      <c r="AK365" s="264">
        <f t="shared" si="781"/>
        <v>0</v>
      </c>
      <c r="AL365" s="264">
        <f t="shared" si="781"/>
        <v>0</v>
      </c>
      <c r="AM365" s="264">
        <f t="shared" si="781"/>
        <v>0</v>
      </c>
      <c r="AN365" s="260"/>
      <c r="AO365" s="264">
        <f t="shared" ref="AO365" si="782">IF(AO349=0,0,AO357/AO349)</f>
        <v>0</v>
      </c>
      <c r="AP365" s="260"/>
      <c r="AQ365" s="264"/>
      <c r="AR365" s="264" t="str">
        <f>VLOOKUP($I365,TableInputsData[],ReadMe!$M$3,FALSE)&amp;"  |  "&amp;VLOOKUP($K365,TableInputsData[],ReadMe!$M$3,FALSE)</f>
        <v>PRODUIT 09  |  PRIX MOYEN DE VENTE PAR PRODUIT/SERVICE</v>
      </c>
      <c r="AS365" s="264"/>
      <c r="AT365" s="294"/>
    </row>
    <row r="366" spans="1:46" ht="13" hidden="1" x14ac:dyDescent="0.2">
      <c r="A366" s="294"/>
      <c r="B366" s="924"/>
      <c r="C366" s="272">
        <v>359</v>
      </c>
      <c r="D366" s="250">
        <f t="shared" si="748"/>
        <v>0</v>
      </c>
      <c r="E366" s="251"/>
      <c r="F366" s="248" t="str">
        <f t="shared" si="770"/>
        <v>YEAR4</v>
      </c>
      <c r="G366" s="250">
        <f>VLOOKUP(F366,TableInputsData[],$G$6,FALSE)</f>
        <v>2028</v>
      </c>
      <c r="H366" s="250" t="str">
        <f t="shared" si="749"/>
        <v>PRODUCT</v>
      </c>
      <c r="I366" s="248" t="str">
        <f t="shared" si="749"/>
        <v>PRODUCT 09</v>
      </c>
      <c r="J366" s="248" t="str">
        <f>VLOOKUP(I366,TableInputsData[],$J$6,FALSE)</f>
        <v>-</v>
      </c>
      <c r="K366" s="248" t="str">
        <f t="shared" si="776"/>
        <v>AVERAGE SELLING PRICE PER UNIT</v>
      </c>
      <c r="L366" s="256"/>
      <c r="M366" s="256"/>
      <c r="N366" s="256"/>
      <c r="O366" s="266"/>
      <c r="P366" s="261"/>
      <c r="Q366" s="261"/>
      <c r="R366" s="261"/>
      <c r="S366" s="629"/>
      <c r="T366" s="629"/>
      <c r="U366" s="629"/>
      <c r="V366" s="629"/>
      <c r="W366" s="261"/>
      <c r="X366" s="261"/>
      <c r="Y366" s="261"/>
      <c r="Z366" s="261"/>
      <c r="AA366" s="261"/>
      <c r="AB366" s="261"/>
      <c r="AC366" s="266"/>
      <c r="AD366" s="633"/>
      <c r="AE366" s="264">
        <f t="shared" ref="AE366:AM366" si="783">IF(AE350=0,0,AE358/AE350)</f>
        <v>0</v>
      </c>
      <c r="AF366" s="264">
        <f t="shared" si="783"/>
        <v>0</v>
      </c>
      <c r="AG366" s="264">
        <f t="shared" si="783"/>
        <v>0</v>
      </c>
      <c r="AH366" s="264">
        <f t="shared" si="783"/>
        <v>0</v>
      </c>
      <c r="AI366" s="264">
        <f t="shared" si="783"/>
        <v>0</v>
      </c>
      <c r="AJ366" s="264">
        <f t="shared" si="783"/>
        <v>0</v>
      </c>
      <c r="AK366" s="264">
        <f t="shared" si="783"/>
        <v>0</v>
      </c>
      <c r="AL366" s="264">
        <f t="shared" si="783"/>
        <v>0</v>
      </c>
      <c r="AM366" s="264">
        <f t="shared" si="783"/>
        <v>0</v>
      </c>
      <c r="AN366" s="260"/>
      <c r="AO366" s="264">
        <f t="shared" ref="AO366" si="784">IF(AO350=0,0,AO358/AO350)</f>
        <v>0</v>
      </c>
      <c r="AP366" s="260"/>
      <c r="AQ366" s="264"/>
      <c r="AR366" s="264" t="str">
        <f>VLOOKUP($I366,TableInputsData[],ReadMe!$M$3,FALSE)&amp;"  |  "&amp;VLOOKUP($K366,TableInputsData[],ReadMe!$M$3,FALSE)</f>
        <v>PRODUIT 09  |  PRIX MOYEN DE VENTE PAR PRODUIT/SERVICE</v>
      </c>
      <c r="AS366" s="264"/>
      <c r="AT366" s="294"/>
    </row>
    <row r="367" spans="1:46" ht="13" hidden="1" x14ac:dyDescent="0.2">
      <c r="A367" s="294"/>
      <c r="B367" s="924"/>
      <c r="C367" s="271">
        <v>360</v>
      </c>
      <c r="D367" s="250">
        <f t="shared" si="748"/>
        <v>0</v>
      </c>
      <c r="E367" s="250"/>
      <c r="F367" s="248" t="str">
        <f t="shared" si="770"/>
        <v>YEAR5</v>
      </c>
      <c r="G367" s="250">
        <f>VLOOKUP(F367,TableInputsData[],$G$6,FALSE)</f>
        <v>2029</v>
      </c>
      <c r="H367" s="250" t="str">
        <f t="shared" si="749"/>
        <v>PRODUCT</v>
      </c>
      <c r="I367" s="248" t="str">
        <f t="shared" si="749"/>
        <v>PRODUCT 09</v>
      </c>
      <c r="J367" s="248" t="str">
        <f>VLOOKUP(I367,TableInputsData[],$J$6,FALSE)</f>
        <v>-</v>
      </c>
      <c r="K367" s="248" t="str">
        <f t="shared" si="776"/>
        <v>AVERAGE SELLING PRICE PER UNIT</v>
      </c>
      <c r="L367" s="255"/>
      <c r="M367" s="255"/>
      <c r="N367" s="255"/>
      <c r="O367" s="265"/>
      <c r="P367" s="260"/>
      <c r="Q367" s="260"/>
      <c r="R367" s="260"/>
      <c r="S367" s="630"/>
      <c r="T367" s="630"/>
      <c r="U367" s="630"/>
      <c r="V367" s="630"/>
      <c r="W367" s="260"/>
      <c r="X367" s="260"/>
      <c r="Y367" s="260"/>
      <c r="Z367" s="260"/>
      <c r="AA367" s="260"/>
      <c r="AB367" s="260"/>
      <c r="AC367" s="265"/>
      <c r="AD367" s="634"/>
      <c r="AE367" s="264">
        <f t="shared" ref="AE367:AM367" si="785">IF(AE351=0,0,AE359/AE351)</f>
        <v>0</v>
      </c>
      <c r="AF367" s="264">
        <f t="shared" si="785"/>
        <v>0</v>
      </c>
      <c r="AG367" s="264">
        <f t="shared" si="785"/>
        <v>0</v>
      </c>
      <c r="AH367" s="264">
        <f t="shared" si="785"/>
        <v>0</v>
      </c>
      <c r="AI367" s="264">
        <f t="shared" si="785"/>
        <v>0</v>
      </c>
      <c r="AJ367" s="264">
        <f t="shared" si="785"/>
        <v>0</v>
      </c>
      <c r="AK367" s="264">
        <f t="shared" si="785"/>
        <v>0</v>
      </c>
      <c r="AL367" s="264">
        <f t="shared" si="785"/>
        <v>0</v>
      </c>
      <c r="AM367" s="264">
        <f t="shared" si="785"/>
        <v>0</v>
      </c>
      <c r="AN367" s="260"/>
      <c r="AO367" s="264">
        <f t="shared" ref="AO367" si="786">IF(AO351=0,0,AO359/AO351)</f>
        <v>0</v>
      </c>
      <c r="AP367" s="260"/>
      <c r="AQ367" s="264"/>
      <c r="AR367" s="264" t="str">
        <f>VLOOKUP($I367,TableInputsData[],ReadMe!$M$3,FALSE)&amp;"  |  "&amp;VLOOKUP($K367,TableInputsData[],ReadMe!$M$3,FALSE)</f>
        <v>PRODUIT 09  |  PRIX MOYEN DE VENTE PAR PRODUIT/SERVICE</v>
      </c>
      <c r="AS367" s="264"/>
      <c r="AT367" s="294"/>
    </row>
    <row r="368" spans="1:46" ht="13" hidden="1" x14ac:dyDescent="0.2">
      <c r="A368" s="294"/>
      <c r="B368" s="924"/>
      <c r="C368" s="271">
        <v>361</v>
      </c>
      <c r="D368" s="250">
        <f t="shared" si="748"/>
        <v>0</v>
      </c>
      <c r="E368" s="250"/>
      <c r="F368" s="248" t="str">
        <f t="shared" si="770"/>
        <v>YEAR6</v>
      </c>
      <c r="G368" s="250">
        <f>VLOOKUP(F368,TableInputsData[],$G$6,FALSE)</f>
        <v>2030</v>
      </c>
      <c r="H368" s="250" t="str">
        <f t="shared" si="749"/>
        <v>PRODUCT</v>
      </c>
      <c r="I368" s="248" t="str">
        <f t="shared" si="749"/>
        <v>PRODUCT 09</v>
      </c>
      <c r="J368" s="248" t="str">
        <f>VLOOKUP(I368,TableInputsData[],$J$6,FALSE)</f>
        <v>-</v>
      </c>
      <c r="K368" s="248" t="str">
        <f t="shared" si="776"/>
        <v>AVERAGE SELLING PRICE PER UNIT</v>
      </c>
      <c r="L368" s="255"/>
      <c r="M368" s="255"/>
      <c r="N368" s="255"/>
      <c r="O368" s="265"/>
      <c r="P368" s="260"/>
      <c r="Q368" s="260"/>
      <c r="R368" s="260"/>
      <c r="S368" s="630"/>
      <c r="T368" s="630"/>
      <c r="U368" s="630"/>
      <c r="V368" s="630"/>
      <c r="W368" s="260"/>
      <c r="X368" s="260"/>
      <c r="Y368" s="260"/>
      <c r="Z368" s="260"/>
      <c r="AA368" s="260"/>
      <c r="AB368" s="260"/>
      <c r="AC368" s="265"/>
      <c r="AD368" s="634"/>
      <c r="AE368" s="264">
        <f t="shared" ref="AE368:AM368" si="787">IF(AE352=0,0,AE360/AE352)</f>
        <v>0</v>
      </c>
      <c r="AF368" s="264">
        <f t="shared" si="787"/>
        <v>0</v>
      </c>
      <c r="AG368" s="264">
        <f t="shared" si="787"/>
        <v>0</v>
      </c>
      <c r="AH368" s="264">
        <f t="shared" si="787"/>
        <v>0</v>
      </c>
      <c r="AI368" s="264">
        <f t="shared" si="787"/>
        <v>0</v>
      </c>
      <c r="AJ368" s="264">
        <f t="shared" si="787"/>
        <v>0</v>
      </c>
      <c r="AK368" s="264">
        <f t="shared" si="787"/>
        <v>0</v>
      </c>
      <c r="AL368" s="264">
        <f t="shared" si="787"/>
        <v>0</v>
      </c>
      <c r="AM368" s="264">
        <f t="shared" si="787"/>
        <v>0</v>
      </c>
      <c r="AN368" s="260"/>
      <c r="AO368" s="264">
        <f t="shared" ref="AO368" si="788">IF(AO352=0,0,AO360/AO352)</f>
        <v>0</v>
      </c>
      <c r="AP368" s="260"/>
      <c r="AQ368" s="264"/>
      <c r="AR368" s="264" t="str">
        <f>VLOOKUP($I368,TableInputsData[],ReadMe!$M$3,FALSE)&amp;"  |  "&amp;VLOOKUP($K368,TableInputsData[],ReadMe!$M$3,FALSE)</f>
        <v>PRODUIT 09  |  PRIX MOYEN DE VENTE PAR PRODUIT/SERVICE</v>
      </c>
      <c r="AS368" s="264"/>
      <c r="AT368" s="294"/>
    </row>
    <row r="369" spans="1:46" ht="13" hidden="1" x14ac:dyDescent="0.2">
      <c r="A369" s="294"/>
      <c r="B369" s="924"/>
      <c r="C369" s="272">
        <v>362</v>
      </c>
      <c r="D369" s="250">
        <f t="shared" si="748"/>
        <v>0</v>
      </c>
      <c r="E369" s="251"/>
      <c r="F369" s="248" t="str">
        <f t="shared" ref="F369:F376" si="789">F377</f>
        <v>YEAR-2</v>
      </c>
      <c r="G369" s="250">
        <f>VLOOKUP(F369,TableInputsData[],$G$6,FALSE)</f>
        <v>2023</v>
      </c>
      <c r="H369" s="250" t="str">
        <f t="shared" si="749"/>
        <v>PRODUCT</v>
      </c>
      <c r="I369" s="248" t="str">
        <f t="shared" si="749"/>
        <v>PRODUCT 09</v>
      </c>
      <c r="J369" s="248" t="str">
        <f>VLOOKUP(I369,TableInputsData[],$J$6,FALSE)</f>
        <v>-</v>
      </c>
      <c r="K369" s="248" t="s">
        <v>531</v>
      </c>
      <c r="L369" s="256"/>
      <c r="M369" s="256"/>
      <c r="N369" s="256"/>
      <c r="O369" s="266"/>
      <c r="P369" s="261"/>
      <c r="Q369" s="261"/>
      <c r="R369" s="261"/>
      <c r="S369" s="629"/>
      <c r="T369" s="629"/>
      <c r="U369" s="629"/>
      <c r="V369" s="629"/>
      <c r="W369" s="261"/>
      <c r="X369" s="261"/>
      <c r="Y369" s="261"/>
      <c r="Z369" s="261"/>
      <c r="AA369" s="261"/>
      <c r="AB369" s="261"/>
      <c r="AC369" s="266"/>
      <c r="AD369" s="633"/>
      <c r="AE369" s="264">
        <f>AE345*($S345*$P345+$T345*$Q345+$U345*$R345)</f>
        <v>0</v>
      </c>
      <c r="AF369" s="264">
        <f t="shared" ref="AF369:AH369" si="790">AF345*($S345*$P345+$T345*$Q345+$U345*$R345)</f>
        <v>0</v>
      </c>
      <c r="AG369" s="264">
        <f t="shared" si="790"/>
        <v>0</v>
      </c>
      <c r="AH369" s="264">
        <f t="shared" si="790"/>
        <v>0</v>
      </c>
      <c r="AI369" s="264">
        <f t="shared" ref="AI369:AI376" si="791">$AE369+$AF369+$AG369+$AH369</f>
        <v>0</v>
      </c>
      <c r="AJ369" s="264">
        <f t="shared" ref="AJ369:AJ376" si="792">$AJ345*$S345</f>
        <v>0</v>
      </c>
      <c r="AK369" s="264">
        <f t="shared" ref="AK369:AK376" si="793">$AK345*$T345</f>
        <v>0</v>
      </c>
      <c r="AL369" s="264">
        <f t="shared" ref="AL369:AL376" si="794">$AL345*$U345</f>
        <v>0</v>
      </c>
      <c r="AM369" s="264">
        <f t="shared" ref="AM369:AM376" si="795">$AJ369*$W345+$AK369*$X345+$AL369*$Y345</f>
        <v>0</v>
      </c>
      <c r="AN369" s="640">
        <f t="shared" ref="AN369:AN376" si="796">IF(AI369=0,0,AM369/AI369)</f>
        <v>0</v>
      </c>
      <c r="AO369" s="264">
        <f t="shared" ref="AO369:AO376" si="797">$AJ369*$Z345+$AK369*$AA345+$AL369*$AB345</f>
        <v>0</v>
      </c>
      <c r="AP369" s="640">
        <f t="shared" ref="AP369:AP376" si="798">IF(AI369=0,0,AO369/AI369)</f>
        <v>0</v>
      </c>
      <c r="AQ369" s="264"/>
      <c r="AR369" s="264" t="str">
        <f>VLOOKUP($I369,TableInputsData[],ReadMe!$M$3,FALSE)&amp;"  |  "&amp;VLOOKUP($K369,TableInputsData[],ReadMe!$M$3,FALSE)</f>
        <v>PRODUIT 09  |  DEPENSES SUR ACHATS</v>
      </c>
      <c r="AS369" s="264" t="b">
        <f t="shared" ref="AS369:AS376" si="799">AND(EXACT(ROUND(AI369,2),ROUND(AJ369+AK369+AL369,2)),EXACT(ROUND(AI369,2),ROUND(AM369+AO369,2)))</f>
        <v>1</v>
      </c>
      <c r="AT369" s="294"/>
    </row>
    <row r="370" spans="1:46" ht="13" hidden="1" x14ac:dyDescent="0.2">
      <c r="A370" s="294"/>
      <c r="B370" s="924"/>
      <c r="C370" s="271">
        <v>363</v>
      </c>
      <c r="D370" s="250">
        <f t="shared" si="748"/>
        <v>0</v>
      </c>
      <c r="E370" s="250"/>
      <c r="F370" s="248" t="str">
        <f t="shared" si="789"/>
        <v>YEAR-1</v>
      </c>
      <c r="G370" s="250">
        <f>VLOOKUP(F370,TableInputsData[],$G$6,FALSE)</f>
        <v>2024</v>
      </c>
      <c r="H370" s="250" t="str">
        <f t="shared" si="749"/>
        <v>PRODUCT</v>
      </c>
      <c r="I370" s="248" t="str">
        <f t="shared" si="749"/>
        <v>PRODUCT 09</v>
      </c>
      <c r="J370" s="248" t="str">
        <f>VLOOKUP(I370,TableInputsData[],$J$6,FALSE)</f>
        <v>-</v>
      </c>
      <c r="K370" s="248" t="str">
        <f>K369</f>
        <v>COST OF GOODS SOLD</v>
      </c>
      <c r="L370" s="255"/>
      <c r="M370" s="255"/>
      <c r="N370" s="255"/>
      <c r="O370" s="265"/>
      <c r="P370" s="260"/>
      <c r="Q370" s="260"/>
      <c r="R370" s="260"/>
      <c r="S370" s="630"/>
      <c r="T370" s="630"/>
      <c r="U370" s="630"/>
      <c r="V370" s="630"/>
      <c r="W370" s="260"/>
      <c r="X370" s="260"/>
      <c r="Y370" s="260"/>
      <c r="Z370" s="260"/>
      <c r="AA370" s="260"/>
      <c r="AB370" s="260"/>
      <c r="AC370" s="265"/>
      <c r="AD370" s="634"/>
      <c r="AE370" s="264">
        <f t="shared" ref="AE370:AH370" si="800">AE346*($S346*$P346+$T346*$Q346+$U346*$R346)</f>
        <v>0</v>
      </c>
      <c r="AF370" s="264">
        <f t="shared" si="800"/>
        <v>0</v>
      </c>
      <c r="AG370" s="264">
        <f t="shared" si="800"/>
        <v>0</v>
      </c>
      <c r="AH370" s="264">
        <f t="shared" si="800"/>
        <v>0</v>
      </c>
      <c r="AI370" s="264">
        <f t="shared" si="791"/>
        <v>0</v>
      </c>
      <c r="AJ370" s="264">
        <f t="shared" si="792"/>
        <v>0</v>
      </c>
      <c r="AK370" s="264">
        <f t="shared" si="793"/>
        <v>0</v>
      </c>
      <c r="AL370" s="264">
        <f t="shared" si="794"/>
        <v>0</v>
      </c>
      <c r="AM370" s="264">
        <f t="shared" si="795"/>
        <v>0</v>
      </c>
      <c r="AN370" s="640">
        <f t="shared" si="796"/>
        <v>0</v>
      </c>
      <c r="AO370" s="264">
        <f t="shared" si="797"/>
        <v>0</v>
      </c>
      <c r="AP370" s="640">
        <f t="shared" si="798"/>
        <v>0</v>
      </c>
      <c r="AQ370" s="264"/>
      <c r="AR370" s="264" t="str">
        <f>VLOOKUP($I370,TableInputsData[],ReadMe!$M$3,FALSE)&amp;"  |  "&amp;VLOOKUP($K370,TableInputsData[],ReadMe!$M$3,FALSE)</f>
        <v>PRODUIT 09  |  DEPENSES SUR ACHATS</v>
      </c>
      <c r="AS370" s="264" t="b">
        <f t="shared" si="799"/>
        <v>1</v>
      </c>
      <c r="AT370" s="294"/>
    </row>
    <row r="371" spans="1:46" ht="13" hidden="1" x14ac:dyDescent="0.2">
      <c r="A371" s="294"/>
      <c r="B371" s="924"/>
      <c r="C371" s="271">
        <v>364</v>
      </c>
      <c r="D371" s="250">
        <f t="shared" si="748"/>
        <v>0</v>
      </c>
      <c r="E371" s="250"/>
      <c r="F371" s="248" t="str">
        <f t="shared" si="789"/>
        <v>CURRENT YEAR</v>
      </c>
      <c r="G371" s="250">
        <f>VLOOKUP(F371,TableInputsData[],$G$6,FALSE)</f>
        <v>2025</v>
      </c>
      <c r="H371" s="250" t="str">
        <f t="shared" si="749"/>
        <v>PRODUCT</v>
      </c>
      <c r="I371" s="248" t="str">
        <f t="shared" si="749"/>
        <v>PRODUCT 09</v>
      </c>
      <c r="J371" s="248" t="str">
        <f>VLOOKUP(I371,TableInputsData[],$J$6,FALSE)</f>
        <v>-</v>
      </c>
      <c r="K371" s="248" t="str">
        <f t="shared" ref="K371:K376" si="801">K370</f>
        <v>COST OF GOODS SOLD</v>
      </c>
      <c r="L371" s="255"/>
      <c r="M371" s="255"/>
      <c r="N371" s="255"/>
      <c r="O371" s="265"/>
      <c r="P371" s="260"/>
      <c r="Q371" s="260"/>
      <c r="R371" s="260"/>
      <c r="S371" s="630"/>
      <c r="T371" s="630"/>
      <c r="U371" s="630"/>
      <c r="V371" s="630"/>
      <c r="W371" s="260"/>
      <c r="X371" s="260"/>
      <c r="Y371" s="260"/>
      <c r="Z371" s="260"/>
      <c r="AA371" s="260"/>
      <c r="AB371" s="260"/>
      <c r="AC371" s="265"/>
      <c r="AD371" s="634"/>
      <c r="AE371" s="264">
        <f t="shared" ref="AE371:AH371" si="802">AE347*($S347*$P347+$T347*$Q347+$U347*$R347)</f>
        <v>0</v>
      </c>
      <c r="AF371" s="264">
        <f t="shared" si="802"/>
        <v>0</v>
      </c>
      <c r="AG371" s="264">
        <f t="shared" si="802"/>
        <v>0</v>
      </c>
      <c r="AH371" s="264">
        <f t="shared" si="802"/>
        <v>0</v>
      </c>
      <c r="AI371" s="264">
        <f t="shared" si="791"/>
        <v>0</v>
      </c>
      <c r="AJ371" s="264">
        <f t="shared" si="792"/>
        <v>0</v>
      </c>
      <c r="AK371" s="264">
        <f t="shared" si="793"/>
        <v>0</v>
      </c>
      <c r="AL371" s="264">
        <f t="shared" si="794"/>
        <v>0</v>
      </c>
      <c r="AM371" s="264">
        <f t="shared" si="795"/>
        <v>0</v>
      </c>
      <c r="AN371" s="640">
        <f t="shared" si="796"/>
        <v>0</v>
      </c>
      <c r="AO371" s="264">
        <f t="shared" si="797"/>
        <v>0</v>
      </c>
      <c r="AP371" s="640">
        <f t="shared" si="798"/>
        <v>0</v>
      </c>
      <c r="AQ371" s="264"/>
      <c r="AR371" s="264" t="str">
        <f>VLOOKUP($I371,TableInputsData[],ReadMe!$M$3,FALSE)&amp;"  |  "&amp;VLOOKUP($K371,TableInputsData[],ReadMe!$M$3,FALSE)</f>
        <v>PRODUIT 09  |  DEPENSES SUR ACHATS</v>
      </c>
      <c r="AS371" s="264" t="b">
        <f t="shared" si="799"/>
        <v>1</v>
      </c>
      <c r="AT371" s="294"/>
    </row>
    <row r="372" spans="1:46" ht="13" hidden="1" x14ac:dyDescent="0.2">
      <c r="A372" s="294"/>
      <c r="B372" s="924"/>
      <c r="C372" s="271">
        <v>365</v>
      </c>
      <c r="D372" s="250">
        <f t="shared" si="748"/>
        <v>0</v>
      </c>
      <c r="E372" s="250"/>
      <c r="F372" s="248" t="str">
        <f t="shared" si="789"/>
        <v>YEAR2</v>
      </c>
      <c r="G372" s="250">
        <f>VLOOKUP(F372,TableInputsData[],$G$6,FALSE)</f>
        <v>2026</v>
      </c>
      <c r="H372" s="250" t="str">
        <f t="shared" si="749"/>
        <v>PRODUCT</v>
      </c>
      <c r="I372" s="248" t="str">
        <f t="shared" si="749"/>
        <v>PRODUCT 09</v>
      </c>
      <c r="J372" s="248" t="str">
        <f>VLOOKUP(I372,TableInputsData[],$J$6,FALSE)</f>
        <v>-</v>
      </c>
      <c r="K372" s="248" t="str">
        <f t="shared" si="801"/>
        <v>COST OF GOODS SOLD</v>
      </c>
      <c r="L372" s="255"/>
      <c r="M372" s="255"/>
      <c r="N372" s="255"/>
      <c r="O372" s="265"/>
      <c r="P372" s="260"/>
      <c r="Q372" s="260"/>
      <c r="R372" s="260"/>
      <c r="S372" s="630"/>
      <c r="T372" s="630"/>
      <c r="U372" s="630"/>
      <c r="V372" s="630"/>
      <c r="W372" s="260"/>
      <c r="X372" s="260"/>
      <c r="Y372" s="260"/>
      <c r="Z372" s="260"/>
      <c r="AA372" s="260"/>
      <c r="AB372" s="260"/>
      <c r="AC372" s="265"/>
      <c r="AD372" s="634"/>
      <c r="AE372" s="264">
        <f t="shared" ref="AE372:AH372" si="803">AE348*($S348*$P348+$T348*$Q348+$U348*$R348)</f>
        <v>0</v>
      </c>
      <c r="AF372" s="264">
        <f t="shared" si="803"/>
        <v>0</v>
      </c>
      <c r="AG372" s="264">
        <f t="shared" si="803"/>
        <v>0</v>
      </c>
      <c r="AH372" s="264">
        <f t="shared" si="803"/>
        <v>0</v>
      </c>
      <c r="AI372" s="264">
        <f t="shared" si="791"/>
        <v>0</v>
      </c>
      <c r="AJ372" s="264">
        <f t="shared" si="792"/>
        <v>0</v>
      </c>
      <c r="AK372" s="264">
        <f t="shared" si="793"/>
        <v>0</v>
      </c>
      <c r="AL372" s="264">
        <f t="shared" si="794"/>
        <v>0</v>
      </c>
      <c r="AM372" s="264">
        <f t="shared" si="795"/>
        <v>0</v>
      </c>
      <c r="AN372" s="640">
        <f t="shared" si="796"/>
        <v>0</v>
      </c>
      <c r="AO372" s="264">
        <f t="shared" si="797"/>
        <v>0</v>
      </c>
      <c r="AP372" s="640">
        <f t="shared" si="798"/>
        <v>0</v>
      </c>
      <c r="AQ372" s="264"/>
      <c r="AR372" s="264" t="str">
        <f>VLOOKUP($I372,TableInputsData[],ReadMe!$M$3,FALSE)&amp;"  |  "&amp;VLOOKUP($K372,TableInputsData[],ReadMe!$M$3,FALSE)</f>
        <v>PRODUIT 09  |  DEPENSES SUR ACHATS</v>
      </c>
      <c r="AS372" s="264" t="b">
        <f t="shared" si="799"/>
        <v>1</v>
      </c>
      <c r="AT372" s="294"/>
    </row>
    <row r="373" spans="1:46" ht="13" hidden="1" x14ac:dyDescent="0.2">
      <c r="A373" s="294"/>
      <c r="B373" s="924"/>
      <c r="C373" s="271">
        <v>366</v>
      </c>
      <c r="D373" s="250">
        <f t="shared" si="748"/>
        <v>0</v>
      </c>
      <c r="E373" s="250"/>
      <c r="F373" s="248" t="str">
        <f t="shared" si="789"/>
        <v>YEAR3</v>
      </c>
      <c r="G373" s="250">
        <f>VLOOKUP(F373,TableInputsData[],$G$6,FALSE)</f>
        <v>2027</v>
      </c>
      <c r="H373" s="250" t="str">
        <f t="shared" si="749"/>
        <v>PRODUCT</v>
      </c>
      <c r="I373" s="248" t="str">
        <f t="shared" si="749"/>
        <v>PRODUCT 09</v>
      </c>
      <c r="J373" s="248" t="str">
        <f>VLOOKUP(I373,TableInputsData[],$J$6,FALSE)</f>
        <v>-</v>
      </c>
      <c r="K373" s="248" t="str">
        <f t="shared" si="801"/>
        <v>COST OF GOODS SOLD</v>
      </c>
      <c r="L373" s="255"/>
      <c r="M373" s="255"/>
      <c r="N373" s="255"/>
      <c r="O373" s="265"/>
      <c r="P373" s="260"/>
      <c r="Q373" s="260"/>
      <c r="R373" s="260"/>
      <c r="S373" s="630"/>
      <c r="T373" s="630"/>
      <c r="U373" s="630"/>
      <c r="V373" s="630"/>
      <c r="W373" s="260"/>
      <c r="X373" s="260"/>
      <c r="Y373" s="260"/>
      <c r="Z373" s="260"/>
      <c r="AA373" s="260"/>
      <c r="AB373" s="260"/>
      <c r="AC373" s="265"/>
      <c r="AD373" s="634"/>
      <c r="AE373" s="264">
        <f t="shared" ref="AE373:AH373" si="804">AE349*($S349*$P349+$T349*$Q349+$U349*$R349)</f>
        <v>0</v>
      </c>
      <c r="AF373" s="264">
        <f t="shared" si="804"/>
        <v>0</v>
      </c>
      <c r="AG373" s="264">
        <f t="shared" si="804"/>
        <v>0</v>
      </c>
      <c r="AH373" s="264">
        <f t="shared" si="804"/>
        <v>0</v>
      </c>
      <c r="AI373" s="264">
        <f t="shared" si="791"/>
        <v>0</v>
      </c>
      <c r="AJ373" s="264">
        <f t="shared" si="792"/>
        <v>0</v>
      </c>
      <c r="AK373" s="264">
        <f t="shared" si="793"/>
        <v>0</v>
      </c>
      <c r="AL373" s="264">
        <f t="shared" si="794"/>
        <v>0</v>
      </c>
      <c r="AM373" s="264">
        <f t="shared" si="795"/>
        <v>0</v>
      </c>
      <c r="AN373" s="640">
        <f t="shared" si="796"/>
        <v>0</v>
      </c>
      <c r="AO373" s="264">
        <f t="shared" si="797"/>
        <v>0</v>
      </c>
      <c r="AP373" s="640">
        <f t="shared" si="798"/>
        <v>0</v>
      </c>
      <c r="AQ373" s="264"/>
      <c r="AR373" s="264" t="str">
        <f>VLOOKUP($I373,TableInputsData[],ReadMe!$M$3,FALSE)&amp;"  |  "&amp;VLOOKUP($K373,TableInputsData[],ReadMe!$M$3,FALSE)</f>
        <v>PRODUIT 09  |  DEPENSES SUR ACHATS</v>
      </c>
      <c r="AS373" s="264" t="b">
        <f t="shared" si="799"/>
        <v>1</v>
      </c>
      <c r="AT373" s="294"/>
    </row>
    <row r="374" spans="1:46" ht="13" hidden="1" x14ac:dyDescent="0.2">
      <c r="A374" s="294"/>
      <c r="B374" s="924"/>
      <c r="C374" s="271">
        <v>367</v>
      </c>
      <c r="D374" s="250">
        <f t="shared" si="748"/>
        <v>0</v>
      </c>
      <c r="E374" s="250"/>
      <c r="F374" s="248" t="str">
        <f t="shared" si="789"/>
        <v>YEAR4</v>
      </c>
      <c r="G374" s="250">
        <f>VLOOKUP(F374,TableInputsData[],$G$6,FALSE)</f>
        <v>2028</v>
      </c>
      <c r="H374" s="250" t="str">
        <f t="shared" si="749"/>
        <v>PRODUCT</v>
      </c>
      <c r="I374" s="248" t="str">
        <f t="shared" si="749"/>
        <v>PRODUCT 09</v>
      </c>
      <c r="J374" s="248" t="str">
        <f>VLOOKUP(I374,TableInputsData[],$J$6,FALSE)</f>
        <v>-</v>
      </c>
      <c r="K374" s="248" t="str">
        <f t="shared" si="801"/>
        <v>COST OF GOODS SOLD</v>
      </c>
      <c r="L374" s="255"/>
      <c r="M374" s="255"/>
      <c r="N374" s="255"/>
      <c r="O374" s="265"/>
      <c r="P374" s="260"/>
      <c r="Q374" s="260"/>
      <c r="R374" s="260"/>
      <c r="S374" s="630"/>
      <c r="T374" s="630"/>
      <c r="U374" s="630"/>
      <c r="V374" s="630"/>
      <c r="W374" s="260"/>
      <c r="X374" s="260"/>
      <c r="Y374" s="260"/>
      <c r="Z374" s="260"/>
      <c r="AA374" s="260"/>
      <c r="AB374" s="260"/>
      <c r="AC374" s="265"/>
      <c r="AD374" s="634"/>
      <c r="AE374" s="264">
        <f t="shared" ref="AE374:AH374" si="805">AE350*($S350*$P350+$T350*$Q350+$U350*$R350)</f>
        <v>0</v>
      </c>
      <c r="AF374" s="264">
        <f t="shared" si="805"/>
        <v>0</v>
      </c>
      <c r="AG374" s="264">
        <f t="shared" si="805"/>
        <v>0</v>
      </c>
      <c r="AH374" s="264">
        <f t="shared" si="805"/>
        <v>0</v>
      </c>
      <c r="AI374" s="264">
        <f t="shared" si="791"/>
        <v>0</v>
      </c>
      <c r="AJ374" s="264">
        <f t="shared" si="792"/>
        <v>0</v>
      </c>
      <c r="AK374" s="264">
        <f t="shared" si="793"/>
        <v>0</v>
      </c>
      <c r="AL374" s="264">
        <f t="shared" si="794"/>
        <v>0</v>
      </c>
      <c r="AM374" s="264">
        <f t="shared" si="795"/>
        <v>0</v>
      </c>
      <c r="AN374" s="640">
        <f t="shared" si="796"/>
        <v>0</v>
      </c>
      <c r="AO374" s="264">
        <f t="shared" si="797"/>
        <v>0</v>
      </c>
      <c r="AP374" s="640">
        <f t="shared" si="798"/>
        <v>0</v>
      </c>
      <c r="AQ374" s="264"/>
      <c r="AR374" s="264" t="str">
        <f>VLOOKUP($I374,TableInputsData[],ReadMe!$M$3,FALSE)&amp;"  |  "&amp;VLOOKUP($K374,TableInputsData[],ReadMe!$M$3,FALSE)</f>
        <v>PRODUIT 09  |  DEPENSES SUR ACHATS</v>
      </c>
      <c r="AS374" s="264" t="b">
        <f t="shared" si="799"/>
        <v>1</v>
      </c>
      <c r="AT374" s="294"/>
    </row>
    <row r="375" spans="1:46" ht="13" hidden="1" x14ac:dyDescent="0.2">
      <c r="A375" s="294"/>
      <c r="B375" s="924"/>
      <c r="C375" s="271">
        <v>368</v>
      </c>
      <c r="D375" s="250">
        <f t="shared" si="748"/>
        <v>0</v>
      </c>
      <c r="E375" s="250"/>
      <c r="F375" s="248" t="str">
        <f t="shared" si="789"/>
        <v>YEAR5</v>
      </c>
      <c r="G375" s="250">
        <f>VLOOKUP(F375,TableInputsData[],$G$6,FALSE)</f>
        <v>2029</v>
      </c>
      <c r="H375" s="250" t="str">
        <f t="shared" si="749"/>
        <v>PRODUCT</v>
      </c>
      <c r="I375" s="248" t="str">
        <f t="shared" si="749"/>
        <v>PRODUCT 09</v>
      </c>
      <c r="J375" s="248" t="str">
        <f>VLOOKUP(I375,TableInputsData[],$J$6,FALSE)</f>
        <v>-</v>
      </c>
      <c r="K375" s="248" t="str">
        <f t="shared" si="801"/>
        <v>COST OF GOODS SOLD</v>
      </c>
      <c r="L375" s="255"/>
      <c r="M375" s="255"/>
      <c r="N375" s="255"/>
      <c r="O375" s="265"/>
      <c r="P375" s="260"/>
      <c r="Q375" s="260"/>
      <c r="R375" s="260"/>
      <c r="S375" s="630"/>
      <c r="T375" s="630"/>
      <c r="U375" s="630"/>
      <c r="V375" s="630"/>
      <c r="W375" s="260"/>
      <c r="X375" s="260"/>
      <c r="Y375" s="260"/>
      <c r="Z375" s="260"/>
      <c r="AA375" s="260"/>
      <c r="AB375" s="260"/>
      <c r="AC375" s="265"/>
      <c r="AD375" s="634"/>
      <c r="AE375" s="264">
        <f t="shared" ref="AE375:AH375" si="806">AE351*($S351*$P351+$T351*$Q351+$U351*$R351)</f>
        <v>0</v>
      </c>
      <c r="AF375" s="264">
        <f t="shared" si="806"/>
        <v>0</v>
      </c>
      <c r="AG375" s="264">
        <f t="shared" si="806"/>
        <v>0</v>
      </c>
      <c r="AH375" s="264">
        <f t="shared" si="806"/>
        <v>0</v>
      </c>
      <c r="AI375" s="264">
        <f t="shared" si="791"/>
        <v>0</v>
      </c>
      <c r="AJ375" s="264">
        <f t="shared" si="792"/>
        <v>0</v>
      </c>
      <c r="AK375" s="264">
        <f t="shared" si="793"/>
        <v>0</v>
      </c>
      <c r="AL375" s="264">
        <f t="shared" si="794"/>
        <v>0</v>
      </c>
      <c r="AM375" s="264">
        <f t="shared" si="795"/>
        <v>0</v>
      </c>
      <c r="AN375" s="640">
        <f t="shared" si="796"/>
        <v>0</v>
      </c>
      <c r="AO375" s="264">
        <f t="shared" si="797"/>
        <v>0</v>
      </c>
      <c r="AP375" s="640">
        <f t="shared" si="798"/>
        <v>0</v>
      </c>
      <c r="AQ375" s="264"/>
      <c r="AR375" s="264" t="str">
        <f>VLOOKUP($I375,TableInputsData[],ReadMe!$M$3,FALSE)&amp;"  |  "&amp;VLOOKUP($K375,TableInputsData[],ReadMe!$M$3,FALSE)</f>
        <v>PRODUIT 09  |  DEPENSES SUR ACHATS</v>
      </c>
      <c r="AS375" s="264" t="b">
        <f t="shared" si="799"/>
        <v>1</v>
      </c>
      <c r="AT375" s="294"/>
    </row>
    <row r="376" spans="1:46" ht="13" hidden="1" x14ac:dyDescent="0.2">
      <c r="A376" s="294"/>
      <c r="B376" s="924"/>
      <c r="C376" s="271">
        <v>369</v>
      </c>
      <c r="D376" s="250">
        <f t="shared" si="748"/>
        <v>0</v>
      </c>
      <c r="E376" s="250"/>
      <c r="F376" s="248" t="str">
        <f t="shared" si="789"/>
        <v>YEAR6</v>
      </c>
      <c r="G376" s="250">
        <f>VLOOKUP(F376,TableInputsData[],$G$6,FALSE)</f>
        <v>2030</v>
      </c>
      <c r="H376" s="250" t="str">
        <f t="shared" si="749"/>
        <v>PRODUCT</v>
      </c>
      <c r="I376" s="248" t="str">
        <f t="shared" si="749"/>
        <v>PRODUCT 09</v>
      </c>
      <c r="J376" s="248" t="str">
        <f>VLOOKUP(I376,TableInputsData[],$J$6,FALSE)</f>
        <v>-</v>
      </c>
      <c r="K376" s="248" t="str">
        <f t="shared" si="801"/>
        <v>COST OF GOODS SOLD</v>
      </c>
      <c r="L376" s="255"/>
      <c r="M376" s="255"/>
      <c r="N376" s="255"/>
      <c r="O376" s="265"/>
      <c r="P376" s="260"/>
      <c r="Q376" s="260"/>
      <c r="R376" s="260"/>
      <c r="S376" s="630"/>
      <c r="T376" s="630"/>
      <c r="U376" s="630"/>
      <c r="V376" s="630"/>
      <c r="W376" s="260"/>
      <c r="X376" s="260"/>
      <c r="Y376" s="260"/>
      <c r="Z376" s="260"/>
      <c r="AA376" s="260"/>
      <c r="AB376" s="260"/>
      <c r="AC376" s="265"/>
      <c r="AD376" s="634"/>
      <c r="AE376" s="264">
        <f t="shared" ref="AE376:AH376" si="807">AE352*($S352*$P352+$T352*$Q352+$U352*$R352)</f>
        <v>0</v>
      </c>
      <c r="AF376" s="264">
        <f t="shared" si="807"/>
        <v>0</v>
      </c>
      <c r="AG376" s="264">
        <f t="shared" si="807"/>
        <v>0</v>
      </c>
      <c r="AH376" s="264">
        <f t="shared" si="807"/>
        <v>0</v>
      </c>
      <c r="AI376" s="264">
        <f t="shared" si="791"/>
        <v>0</v>
      </c>
      <c r="AJ376" s="264">
        <f t="shared" si="792"/>
        <v>0</v>
      </c>
      <c r="AK376" s="264">
        <f t="shared" si="793"/>
        <v>0</v>
      </c>
      <c r="AL376" s="264">
        <f t="shared" si="794"/>
        <v>0</v>
      </c>
      <c r="AM376" s="264">
        <f t="shared" si="795"/>
        <v>0</v>
      </c>
      <c r="AN376" s="640">
        <f t="shared" si="796"/>
        <v>0</v>
      </c>
      <c r="AO376" s="264">
        <f t="shared" si="797"/>
        <v>0</v>
      </c>
      <c r="AP376" s="640">
        <f t="shared" si="798"/>
        <v>0</v>
      </c>
      <c r="AQ376" s="264"/>
      <c r="AR376" s="264" t="str">
        <f>VLOOKUP($I376,TableInputsData[],ReadMe!$M$3,FALSE)&amp;"  |  "&amp;VLOOKUP($K376,TableInputsData[],ReadMe!$M$3,FALSE)</f>
        <v>PRODUIT 09  |  DEPENSES SUR ACHATS</v>
      </c>
      <c r="AS376" s="264" t="b">
        <f t="shared" si="799"/>
        <v>1</v>
      </c>
      <c r="AT376" s="294"/>
    </row>
    <row r="377" spans="1:46" ht="13" hidden="1" x14ac:dyDescent="0.2">
      <c r="A377" s="294"/>
      <c r="B377" s="924"/>
      <c r="C377" s="272">
        <v>370</v>
      </c>
      <c r="D377" s="250">
        <f t="shared" si="748"/>
        <v>0</v>
      </c>
      <c r="E377" s="251"/>
      <c r="F377" s="248" t="str">
        <f t="shared" ref="F377:F384" si="808">F353</f>
        <v>YEAR-2</v>
      </c>
      <c r="G377" s="250">
        <f>VLOOKUP(F377,TableInputsData[],$G$6,FALSE)</f>
        <v>2023</v>
      </c>
      <c r="H377" s="250" t="str">
        <f t="shared" si="749"/>
        <v>PRODUCT</v>
      </c>
      <c r="I377" s="248" t="str">
        <f t="shared" si="749"/>
        <v>PRODUCT 09</v>
      </c>
      <c r="J377" s="248" t="str">
        <f>VLOOKUP(I377,TableInputsData[],$J$6,FALSE)</f>
        <v>-</v>
      </c>
      <c r="K377" s="248" t="s">
        <v>532</v>
      </c>
      <c r="L377" s="256"/>
      <c r="M377" s="256"/>
      <c r="N377" s="256"/>
      <c r="O377" s="266"/>
      <c r="P377" s="261"/>
      <c r="Q377" s="261"/>
      <c r="R377" s="261"/>
      <c r="S377" s="629"/>
      <c r="T377" s="629"/>
      <c r="U377" s="629"/>
      <c r="V377" s="629"/>
      <c r="W377" s="261"/>
      <c r="X377" s="261"/>
      <c r="Y377" s="261"/>
      <c r="Z377" s="261"/>
      <c r="AA377" s="261"/>
      <c r="AB377" s="261"/>
      <c r="AC377" s="266"/>
      <c r="AD377" s="633"/>
      <c r="AE377" s="264">
        <f>IF(AE345=0,0,AE369/AE345)</f>
        <v>0</v>
      </c>
      <c r="AF377" s="264">
        <f t="shared" ref="AF377:AI377" si="809">IF(AF345=0,0,AF369/AF345)</f>
        <v>0</v>
      </c>
      <c r="AG377" s="264">
        <f t="shared" si="809"/>
        <v>0</v>
      </c>
      <c r="AH377" s="264">
        <f t="shared" si="809"/>
        <v>0</v>
      </c>
      <c r="AI377" s="264">
        <f t="shared" si="809"/>
        <v>0</v>
      </c>
      <c r="AJ377" s="264">
        <f>IF(AJ345=0,0,AJ369/AJ345)</f>
        <v>0</v>
      </c>
      <c r="AK377" s="264">
        <f t="shared" ref="AK377:AL377" si="810">IF(AK345=0,0,AK369/AK345)</f>
        <v>0</v>
      </c>
      <c r="AL377" s="264">
        <f t="shared" si="810"/>
        <v>0</v>
      </c>
      <c r="AM377" s="264">
        <f>IF(AM345=0,0,AM369/AM345)</f>
        <v>0</v>
      </c>
      <c r="AN377" s="260"/>
      <c r="AO377" s="264">
        <f t="shared" ref="AO377" si="811">IF(AO345=0,0,AO369/AO345)</f>
        <v>0</v>
      </c>
      <c r="AP377" s="260"/>
      <c r="AQ377" s="264"/>
      <c r="AR377" s="264" t="str">
        <f>VLOOKUP($I377,TableInputsData[],ReadMe!$M$3,FALSE)&amp;"  |  "&amp;VLOOKUP($K377,TableInputsData[],ReadMe!$M$3,FALSE)</f>
        <v>PRODUIT 09  |  PRIX MOYEN D'ACHAT PAR PRODUIT/SERVICE</v>
      </c>
      <c r="AS377" s="264"/>
      <c r="AT377" s="294"/>
    </row>
    <row r="378" spans="1:46" ht="13" hidden="1" x14ac:dyDescent="0.2">
      <c r="A378" s="294"/>
      <c r="B378" s="924"/>
      <c r="C378" s="272">
        <v>371</v>
      </c>
      <c r="D378" s="250">
        <f t="shared" si="748"/>
        <v>0</v>
      </c>
      <c r="E378" s="251"/>
      <c r="F378" s="248" t="str">
        <f t="shared" si="808"/>
        <v>YEAR-1</v>
      </c>
      <c r="G378" s="250">
        <f>VLOOKUP(F378,TableInputsData[],$G$6,FALSE)</f>
        <v>2024</v>
      </c>
      <c r="H378" s="250" t="str">
        <f t="shared" si="749"/>
        <v>PRODUCT</v>
      </c>
      <c r="I378" s="248" t="str">
        <f t="shared" si="749"/>
        <v>PRODUCT 09</v>
      </c>
      <c r="J378" s="248" t="str">
        <f>VLOOKUP(I378,TableInputsData[],$J$6,FALSE)</f>
        <v>-</v>
      </c>
      <c r="K378" s="248" t="str">
        <f>K377</f>
        <v>AVERAGE COST OF GOODS SOLD PER UNIT</v>
      </c>
      <c r="L378" s="256"/>
      <c r="M378" s="256"/>
      <c r="N378" s="256"/>
      <c r="O378" s="266"/>
      <c r="P378" s="261"/>
      <c r="Q378" s="261"/>
      <c r="R378" s="261"/>
      <c r="S378" s="629"/>
      <c r="T378" s="629"/>
      <c r="U378" s="629"/>
      <c r="V378" s="629"/>
      <c r="W378" s="261"/>
      <c r="X378" s="261"/>
      <c r="Y378" s="261"/>
      <c r="Z378" s="261"/>
      <c r="AA378" s="261"/>
      <c r="AB378" s="261"/>
      <c r="AC378" s="266"/>
      <c r="AD378" s="633"/>
      <c r="AE378" s="264">
        <f t="shared" ref="AE378:AL378" si="812">IF(AE346=0,0,AE370/AE346)</f>
        <v>0</v>
      </c>
      <c r="AF378" s="264">
        <f t="shared" si="812"/>
        <v>0</v>
      </c>
      <c r="AG378" s="264">
        <f t="shared" si="812"/>
        <v>0</v>
      </c>
      <c r="AH378" s="264">
        <f t="shared" si="812"/>
        <v>0</v>
      </c>
      <c r="AI378" s="264">
        <f t="shared" si="812"/>
        <v>0</v>
      </c>
      <c r="AJ378" s="264">
        <f t="shared" si="812"/>
        <v>0</v>
      </c>
      <c r="AK378" s="264">
        <f t="shared" si="812"/>
        <v>0</v>
      </c>
      <c r="AL378" s="264">
        <f t="shared" si="812"/>
        <v>0</v>
      </c>
      <c r="AM378" s="264">
        <f>IF(AM346=0,0,AM370/AM346)</f>
        <v>0</v>
      </c>
      <c r="AN378" s="260"/>
      <c r="AO378" s="264">
        <f>IF(AO346=0,0,AO370/AO346)</f>
        <v>0</v>
      </c>
      <c r="AP378" s="260"/>
      <c r="AQ378" s="264"/>
      <c r="AR378" s="264" t="str">
        <f>VLOOKUP($I378,TableInputsData[],ReadMe!$M$3,FALSE)&amp;"  |  "&amp;VLOOKUP($K378,TableInputsData[],ReadMe!$M$3,FALSE)</f>
        <v>PRODUIT 09  |  PRIX MOYEN D'ACHAT PAR PRODUIT/SERVICE</v>
      </c>
      <c r="AS378" s="264"/>
      <c r="AT378" s="294"/>
    </row>
    <row r="379" spans="1:46" ht="13" hidden="1" x14ac:dyDescent="0.2">
      <c r="A379" s="294"/>
      <c r="B379" s="924"/>
      <c r="C379" s="272">
        <v>372</v>
      </c>
      <c r="D379" s="250">
        <f t="shared" si="748"/>
        <v>0</v>
      </c>
      <c r="E379" s="251"/>
      <c r="F379" s="248" t="str">
        <f t="shared" si="808"/>
        <v>CURRENT YEAR</v>
      </c>
      <c r="G379" s="250">
        <f>VLOOKUP(F379,TableInputsData[],$G$6,FALSE)</f>
        <v>2025</v>
      </c>
      <c r="H379" s="250" t="str">
        <f t="shared" si="749"/>
        <v>PRODUCT</v>
      </c>
      <c r="I379" s="248" t="str">
        <f t="shared" si="749"/>
        <v>PRODUCT 09</v>
      </c>
      <c r="J379" s="248" t="str">
        <f>VLOOKUP(I379,TableInputsData[],$J$6,FALSE)</f>
        <v>-</v>
      </c>
      <c r="K379" s="248" t="str">
        <f t="shared" ref="K379:K384" si="813">K378</f>
        <v>AVERAGE COST OF GOODS SOLD PER UNIT</v>
      </c>
      <c r="L379" s="256"/>
      <c r="M379" s="256"/>
      <c r="N379" s="256"/>
      <c r="O379" s="266"/>
      <c r="P379" s="261"/>
      <c r="Q379" s="261"/>
      <c r="R379" s="261"/>
      <c r="S379" s="629"/>
      <c r="T379" s="629"/>
      <c r="U379" s="629"/>
      <c r="V379" s="629"/>
      <c r="W379" s="261"/>
      <c r="X379" s="261"/>
      <c r="Y379" s="261"/>
      <c r="Z379" s="261"/>
      <c r="AA379" s="261"/>
      <c r="AB379" s="261"/>
      <c r="AC379" s="266"/>
      <c r="AD379" s="633"/>
      <c r="AE379" s="264">
        <f t="shared" ref="AE379:AL379" si="814">IF(AE347=0,0,AE371/AE347)</f>
        <v>0</v>
      </c>
      <c r="AF379" s="264">
        <f t="shared" si="814"/>
        <v>0</v>
      </c>
      <c r="AG379" s="264">
        <f t="shared" si="814"/>
        <v>0</v>
      </c>
      <c r="AH379" s="264">
        <f t="shared" si="814"/>
        <v>0</v>
      </c>
      <c r="AI379" s="264">
        <f t="shared" si="814"/>
        <v>0</v>
      </c>
      <c r="AJ379" s="264">
        <f t="shared" si="814"/>
        <v>0</v>
      </c>
      <c r="AK379" s="264">
        <f t="shared" si="814"/>
        <v>0</v>
      </c>
      <c r="AL379" s="264">
        <f t="shared" si="814"/>
        <v>0</v>
      </c>
      <c r="AM379" s="264">
        <f>IF(AM347=0,0,AM371/AM347)</f>
        <v>0</v>
      </c>
      <c r="AN379" s="260"/>
      <c r="AO379" s="264">
        <f>IF(AO347=0,0,AO371/AO347)</f>
        <v>0</v>
      </c>
      <c r="AP379" s="260"/>
      <c r="AQ379" s="264"/>
      <c r="AR379" s="264" t="str">
        <f>VLOOKUP($I379,TableInputsData[],ReadMe!$M$3,FALSE)&amp;"  |  "&amp;VLOOKUP($K379,TableInputsData[],ReadMe!$M$3,FALSE)</f>
        <v>PRODUIT 09  |  PRIX MOYEN D'ACHAT PAR PRODUIT/SERVICE</v>
      </c>
      <c r="AS379" s="264"/>
      <c r="AT379" s="294"/>
    </row>
    <row r="380" spans="1:46" ht="13" hidden="1" x14ac:dyDescent="0.2">
      <c r="A380" s="294"/>
      <c r="B380" s="924"/>
      <c r="C380" s="272">
        <v>373</v>
      </c>
      <c r="D380" s="250">
        <f t="shared" si="748"/>
        <v>0</v>
      </c>
      <c r="E380" s="251"/>
      <c r="F380" s="248" t="str">
        <f t="shared" si="808"/>
        <v>YEAR2</v>
      </c>
      <c r="G380" s="250">
        <f>VLOOKUP(F380,TableInputsData[],$G$6,FALSE)</f>
        <v>2026</v>
      </c>
      <c r="H380" s="250" t="str">
        <f t="shared" si="749"/>
        <v>PRODUCT</v>
      </c>
      <c r="I380" s="248" t="str">
        <f t="shared" si="749"/>
        <v>PRODUCT 09</v>
      </c>
      <c r="J380" s="248" t="str">
        <f>VLOOKUP(I380,TableInputsData[],$J$6,FALSE)</f>
        <v>-</v>
      </c>
      <c r="K380" s="248" t="str">
        <f t="shared" si="813"/>
        <v>AVERAGE COST OF GOODS SOLD PER UNIT</v>
      </c>
      <c r="L380" s="256"/>
      <c r="M380" s="256"/>
      <c r="N380" s="256"/>
      <c r="O380" s="266"/>
      <c r="P380" s="261"/>
      <c r="Q380" s="261"/>
      <c r="R380" s="261"/>
      <c r="S380" s="629"/>
      <c r="T380" s="629"/>
      <c r="U380" s="629"/>
      <c r="V380" s="629"/>
      <c r="W380" s="261"/>
      <c r="X380" s="261"/>
      <c r="Y380" s="261"/>
      <c r="Z380" s="261"/>
      <c r="AA380" s="261"/>
      <c r="AB380" s="261"/>
      <c r="AC380" s="266"/>
      <c r="AD380" s="633"/>
      <c r="AE380" s="264">
        <f t="shared" ref="AE380:AM380" si="815">IF(AE348=0,0,AE372/AE348)</f>
        <v>0</v>
      </c>
      <c r="AF380" s="264">
        <f t="shared" si="815"/>
        <v>0</v>
      </c>
      <c r="AG380" s="264">
        <f t="shared" si="815"/>
        <v>0</v>
      </c>
      <c r="AH380" s="264">
        <f t="shared" si="815"/>
        <v>0</v>
      </c>
      <c r="AI380" s="264">
        <f t="shared" si="815"/>
        <v>0</v>
      </c>
      <c r="AJ380" s="264">
        <f t="shared" si="815"/>
        <v>0</v>
      </c>
      <c r="AK380" s="264">
        <f t="shared" si="815"/>
        <v>0</v>
      </c>
      <c r="AL380" s="264">
        <f t="shared" si="815"/>
        <v>0</v>
      </c>
      <c r="AM380" s="264">
        <f t="shared" si="815"/>
        <v>0</v>
      </c>
      <c r="AN380" s="260"/>
      <c r="AO380" s="264">
        <f t="shared" ref="AO380" si="816">IF(AO348=0,0,AO372/AO348)</f>
        <v>0</v>
      </c>
      <c r="AP380" s="260"/>
      <c r="AQ380" s="264"/>
      <c r="AR380" s="264" t="str">
        <f>VLOOKUP($I380,TableInputsData[],ReadMe!$M$3,FALSE)&amp;"  |  "&amp;VLOOKUP($K380,TableInputsData[],ReadMe!$M$3,FALSE)</f>
        <v>PRODUIT 09  |  PRIX MOYEN D'ACHAT PAR PRODUIT/SERVICE</v>
      </c>
      <c r="AS380" s="264"/>
      <c r="AT380" s="294"/>
    </row>
    <row r="381" spans="1:46" ht="13" hidden="1" x14ac:dyDescent="0.2">
      <c r="A381" s="294"/>
      <c r="B381" s="924"/>
      <c r="C381" s="272">
        <v>374</v>
      </c>
      <c r="D381" s="250">
        <f t="shared" si="748"/>
        <v>0</v>
      </c>
      <c r="E381" s="251"/>
      <c r="F381" s="248" t="str">
        <f t="shared" si="808"/>
        <v>YEAR3</v>
      </c>
      <c r="G381" s="250">
        <f>VLOOKUP(F381,TableInputsData[],$G$6,FALSE)</f>
        <v>2027</v>
      </c>
      <c r="H381" s="250" t="str">
        <f t="shared" si="749"/>
        <v>PRODUCT</v>
      </c>
      <c r="I381" s="248" t="str">
        <f t="shared" si="749"/>
        <v>PRODUCT 09</v>
      </c>
      <c r="J381" s="248" t="str">
        <f>VLOOKUP(I381,TableInputsData[],$J$6,FALSE)</f>
        <v>-</v>
      </c>
      <c r="K381" s="248" t="str">
        <f t="shared" si="813"/>
        <v>AVERAGE COST OF GOODS SOLD PER UNIT</v>
      </c>
      <c r="L381" s="256"/>
      <c r="M381" s="256"/>
      <c r="N381" s="256"/>
      <c r="O381" s="266"/>
      <c r="P381" s="261"/>
      <c r="Q381" s="261"/>
      <c r="R381" s="261"/>
      <c r="S381" s="629"/>
      <c r="T381" s="629"/>
      <c r="U381" s="629"/>
      <c r="V381" s="629"/>
      <c r="W381" s="261"/>
      <c r="X381" s="261"/>
      <c r="Y381" s="261"/>
      <c r="Z381" s="261"/>
      <c r="AA381" s="261"/>
      <c r="AB381" s="261"/>
      <c r="AC381" s="266"/>
      <c r="AD381" s="633"/>
      <c r="AE381" s="264">
        <f t="shared" ref="AE381:AM381" si="817">IF(AE349=0,0,AE373/AE349)</f>
        <v>0</v>
      </c>
      <c r="AF381" s="264">
        <f t="shared" si="817"/>
        <v>0</v>
      </c>
      <c r="AG381" s="264">
        <f t="shared" si="817"/>
        <v>0</v>
      </c>
      <c r="AH381" s="264">
        <f t="shared" si="817"/>
        <v>0</v>
      </c>
      <c r="AI381" s="264">
        <f t="shared" si="817"/>
        <v>0</v>
      </c>
      <c r="AJ381" s="264">
        <f t="shared" si="817"/>
        <v>0</v>
      </c>
      <c r="AK381" s="264">
        <f t="shared" si="817"/>
        <v>0</v>
      </c>
      <c r="AL381" s="264">
        <f t="shared" si="817"/>
        <v>0</v>
      </c>
      <c r="AM381" s="264">
        <f t="shared" si="817"/>
        <v>0</v>
      </c>
      <c r="AN381" s="260"/>
      <c r="AO381" s="264">
        <f t="shared" ref="AO381" si="818">IF(AO349=0,0,AO373/AO349)</f>
        <v>0</v>
      </c>
      <c r="AP381" s="260"/>
      <c r="AQ381" s="264"/>
      <c r="AR381" s="264" t="str">
        <f>VLOOKUP($I381,TableInputsData[],ReadMe!$M$3,FALSE)&amp;"  |  "&amp;VLOOKUP($K381,TableInputsData[],ReadMe!$M$3,FALSE)</f>
        <v>PRODUIT 09  |  PRIX MOYEN D'ACHAT PAR PRODUIT/SERVICE</v>
      </c>
      <c r="AS381" s="264"/>
      <c r="AT381" s="294"/>
    </row>
    <row r="382" spans="1:46" ht="13" hidden="1" x14ac:dyDescent="0.2">
      <c r="A382" s="294"/>
      <c r="B382" s="924"/>
      <c r="C382" s="272">
        <v>375</v>
      </c>
      <c r="D382" s="250">
        <f t="shared" si="748"/>
        <v>0</v>
      </c>
      <c r="E382" s="251"/>
      <c r="F382" s="248" t="str">
        <f t="shared" si="808"/>
        <v>YEAR4</v>
      </c>
      <c r="G382" s="250">
        <f>VLOOKUP(F382,TableInputsData[],$G$6,FALSE)</f>
        <v>2028</v>
      </c>
      <c r="H382" s="250" t="str">
        <f t="shared" si="749"/>
        <v>PRODUCT</v>
      </c>
      <c r="I382" s="248" t="str">
        <f t="shared" si="749"/>
        <v>PRODUCT 09</v>
      </c>
      <c r="J382" s="248" t="str">
        <f>VLOOKUP(I382,TableInputsData[],$J$6,FALSE)</f>
        <v>-</v>
      </c>
      <c r="K382" s="248" t="str">
        <f t="shared" si="813"/>
        <v>AVERAGE COST OF GOODS SOLD PER UNIT</v>
      </c>
      <c r="L382" s="256"/>
      <c r="M382" s="256"/>
      <c r="N382" s="256"/>
      <c r="O382" s="266"/>
      <c r="P382" s="261"/>
      <c r="Q382" s="261"/>
      <c r="R382" s="261"/>
      <c r="S382" s="629"/>
      <c r="T382" s="629"/>
      <c r="U382" s="629"/>
      <c r="V382" s="629"/>
      <c r="W382" s="261"/>
      <c r="X382" s="261"/>
      <c r="Y382" s="261"/>
      <c r="Z382" s="261"/>
      <c r="AA382" s="261"/>
      <c r="AB382" s="261"/>
      <c r="AC382" s="266"/>
      <c r="AD382" s="633"/>
      <c r="AE382" s="264">
        <f t="shared" ref="AE382:AM382" si="819">IF(AE350=0,0,AE374/AE350)</f>
        <v>0</v>
      </c>
      <c r="AF382" s="264">
        <f t="shared" si="819"/>
        <v>0</v>
      </c>
      <c r="AG382" s="264">
        <f t="shared" si="819"/>
        <v>0</v>
      </c>
      <c r="AH382" s="264">
        <f t="shared" si="819"/>
        <v>0</v>
      </c>
      <c r="AI382" s="264">
        <f t="shared" si="819"/>
        <v>0</v>
      </c>
      <c r="AJ382" s="264">
        <f t="shared" si="819"/>
        <v>0</v>
      </c>
      <c r="AK382" s="264">
        <f t="shared" si="819"/>
        <v>0</v>
      </c>
      <c r="AL382" s="264">
        <f t="shared" si="819"/>
        <v>0</v>
      </c>
      <c r="AM382" s="264">
        <f t="shared" si="819"/>
        <v>0</v>
      </c>
      <c r="AN382" s="260"/>
      <c r="AO382" s="264">
        <f t="shared" ref="AO382" si="820">IF(AO350=0,0,AO374/AO350)</f>
        <v>0</v>
      </c>
      <c r="AP382" s="260"/>
      <c r="AQ382" s="264"/>
      <c r="AR382" s="264" t="str">
        <f>VLOOKUP($I382,TableInputsData[],ReadMe!$M$3,FALSE)&amp;"  |  "&amp;VLOOKUP($K382,TableInputsData[],ReadMe!$M$3,FALSE)</f>
        <v>PRODUIT 09  |  PRIX MOYEN D'ACHAT PAR PRODUIT/SERVICE</v>
      </c>
      <c r="AS382" s="264"/>
      <c r="AT382" s="294"/>
    </row>
    <row r="383" spans="1:46" ht="13" hidden="1" x14ac:dyDescent="0.2">
      <c r="A383" s="294"/>
      <c r="B383" s="924"/>
      <c r="C383" s="272">
        <v>376</v>
      </c>
      <c r="D383" s="250">
        <f t="shared" si="748"/>
        <v>0</v>
      </c>
      <c r="E383" s="251"/>
      <c r="F383" s="248" t="str">
        <f t="shared" si="808"/>
        <v>YEAR5</v>
      </c>
      <c r="G383" s="250">
        <f>VLOOKUP(F383,TableInputsData[],$G$6,FALSE)</f>
        <v>2029</v>
      </c>
      <c r="H383" s="250" t="str">
        <f t="shared" si="749"/>
        <v>PRODUCT</v>
      </c>
      <c r="I383" s="248" t="str">
        <f t="shared" si="749"/>
        <v>PRODUCT 09</v>
      </c>
      <c r="J383" s="248" t="str">
        <f>VLOOKUP(I383,TableInputsData[],$J$6,FALSE)</f>
        <v>-</v>
      </c>
      <c r="K383" s="248" t="str">
        <f t="shared" si="813"/>
        <v>AVERAGE COST OF GOODS SOLD PER UNIT</v>
      </c>
      <c r="L383" s="256"/>
      <c r="M383" s="256"/>
      <c r="N383" s="256"/>
      <c r="O383" s="266"/>
      <c r="P383" s="261"/>
      <c r="Q383" s="261"/>
      <c r="R383" s="261"/>
      <c r="S383" s="629"/>
      <c r="T383" s="629"/>
      <c r="U383" s="629"/>
      <c r="V383" s="629"/>
      <c r="W383" s="261"/>
      <c r="X383" s="261"/>
      <c r="Y383" s="261"/>
      <c r="Z383" s="261"/>
      <c r="AA383" s="261"/>
      <c r="AB383" s="261"/>
      <c r="AC383" s="266"/>
      <c r="AD383" s="633"/>
      <c r="AE383" s="264">
        <f t="shared" ref="AE383:AM383" si="821">IF(AE351=0,0,AE375/AE351)</f>
        <v>0</v>
      </c>
      <c r="AF383" s="264">
        <f t="shared" si="821"/>
        <v>0</v>
      </c>
      <c r="AG383" s="264">
        <f t="shared" si="821"/>
        <v>0</v>
      </c>
      <c r="AH383" s="264">
        <f t="shared" si="821"/>
        <v>0</v>
      </c>
      <c r="AI383" s="264">
        <f t="shared" si="821"/>
        <v>0</v>
      </c>
      <c r="AJ383" s="264">
        <f t="shared" si="821"/>
        <v>0</v>
      </c>
      <c r="AK383" s="264">
        <f t="shared" si="821"/>
        <v>0</v>
      </c>
      <c r="AL383" s="264">
        <f t="shared" si="821"/>
        <v>0</v>
      </c>
      <c r="AM383" s="264">
        <f t="shared" si="821"/>
        <v>0</v>
      </c>
      <c r="AN383" s="260"/>
      <c r="AO383" s="264">
        <f t="shared" ref="AO383" si="822">IF(AO351=0,0,AO375/AO351)</f>
        <v>0</v>
      </c>
      <c r="AP383" s="260"/>
      <c r="AQ383" s="264"/>
      <c r="AR383" s="264" t="str">
        <f>VLOOKUP($I383,TableInputsData[],ReadMe!$M$3,FALSE)&amp;"  |  "&amp;VLOOKUP($K383,TableInputsData[],ReadMe!$M$3,FALSE)</f>
        <v>PRODUIT 09  |  PRIX MOYEN D'ACHAT PAR PRODUIT/SERVICE</v>
      </c>
      <c r="AS383" s="264"/>
      <c r="AT383" s="294"/>
    </row>
    <row r="384" spans="1:46" ht="13" hidden="1" x14ac:dyDescent="0.2">
      <c r="A384" s="294"/>
      <c r="B384" s="924"/>
      <c r="C384" s="272">
        <v>377</v>
      </c>
      <c r="D384" s="250">
        <f t="shared" si="748"/>
        <v>0</v>
      </c>
      <c r="E384" s="251"/>
      <c r="F384" s="248" t="str">
        <f t="shared" si="808"/>
        <v>YEAR6</v>
      </c>
      <c r="G384" s="250">
        <f>VLOOKUP(F384,TableInputsData[],$G$6,FALSE)</f>
        <v>2030</v>
      </c>
      <c r="H384" s="250" t="str">
        <f t="shared" si="749"/>
        <v>PRODUCT</v>
      </c>
      <c r="I384" s="248" t="str">
        <f t="shared" si="749"/>
        <v>PRODUCT 09</v>
      </c>
      <c r="J384" s="248" t="str">
        <f>VLOOKUP(I384,TableInputsData[],$J$6,FALSE)</f>
        <v>-</v>
      </c>
      <c r="K384" s="248" t="str">
        <f t="shared" si="813"/>
        <v>AVERAGE COST OF GOODS SOLD PER UNIT</v>
      </c>
      <c r="L384" s="256"/>
      <c r="M384" s="256"/>
      <c r="N384" s="256"/>
      <c r="O384" s="266"/>
      <c r="P384" s="261"/>
      <c r="Q384" s="261"/>
      <c r="R384" s="261"/>
      <c r="S384" s="629"/>
      <c r="T384" s="629"/>
      <c r="U384" s="629"/>
      <c r="V384" s="629"/>
      <c r="W384" s="261"/>
      <c r="X384" s="261"/>
      <c r="Y384" s="261"/>
      <c r="Z384" s="261"/>
      <c r="AA384" s="261"/>
      <c r="AB384" s="261"/>
      <c r="AC384" s="266"/>
      <c r="AD384" s="633"/>
      <c r="AE384" s="264">
        <f t="shared" ref="AE384:AM384" si="823">IF(AE352=0,0,AE376/AE352)</f>
        <v>0</v>
      </c>
      <c r="AF384" s="264">
        <f t="shared" si="823"/>
        <v>0</v>
      </c>
      <c r="AG384" s="264">
        <f t="shared" si="823"/>
        <v>0</v>
      </c>
      <c r="AH384" s="264">
        <f t="shared" si="823"/>
        <v>0</v>
      </c>
      <c r="AI384" s="264">
        <f t="shared" si="823"/>
        <v>0</v>
      </c>
      <c r="AJ384" s="264">
        <f t="shared" si="823"/>
        <v>0</v>
      </c>
      <c r="AK384" s="264">
        <f t="shared" si="823"/>
        <v>0</v>
      </c>
      <c r="AL384" s="264">
        <f t="shared" si="823"/>
        <v>0</v>
      </c>
      <c r="AM384" s="264">
        <f t="shared" si="823"/>
        <v>0</v>
      </c>
      <c r="AN384" s="260"/>
      <c r="AO384" s="264">
        <f t="shared" ref="AO384" si="824">IF(AO352=0,0,AO376/AO352)</f>
        <v>0</v>
      </c>
      <c r="AP384" s="260"/>
      <c r="AQ384" s="264"/>
      <c r="AR384" s="264" t="str">
        <f>VLOOKUP($I384,TableInputsData[],ReadMe!$M$3,FALSE)&amp;"  |  "&amp;VLOOKUP($K384,TableInputsData[],ReadMe!$M$3,FALSE)</f>
        <v>PRODUIT 09  |  PRIX MOYEN D'ACHAT PAR PRODUIT/SERVICE</v>
      </c>
      <c r="AS384" s="264"/>
      <c r="AT384" s="294"/>
    </row>
    <row r="385" spans="1:46" ht="13" x14ac:dyDescent="0.2">
      <c r="A385" s="294"/>
      <c r="B385" s="924"/>
      <c r="C385" s="273">
        <v>378</v>
      </c>
      <c r="D385" s="253">
        <v>0</v>
      </c>
      <c r="E385" s="253">
        <v>1</v>
      </c>
      <c r="F385" s="252"/>
      <c r="G385" s="253"/>
      <c r="H385" s="253"/>
      <c r="I385" s="252"/>
      <c r="J385" s="252"/>
      <c r="K385" s="252"/>
      <c r="L385" s="257"/>
      <c r="M385" s="257"/>
      <c r="N385" s="257"/>
      <c r="O385" s="267"/>
      <c r="P385" s="262"/>
      <c r="Q385" s="262"/>
      <c r="R385" s="262"/>
      <c r="S385" s="631"/>
      <c r="T385" s="631"/>
      <c r="U385" s="631"/>
      <c r="V385" s="631"/>
      <c r="W385" s="262"/>
      <c r="X385" s="262"/>
      <c r="Y385" s="262"/>
      <c r="Z385" s="262"/>
      <c r="AA385" s="262"/>
      <c r="AB385" s="262"/>
      <c r="AC385" s="267"/>
      <c r="AD385" s="635"/>
      <c r="AE385" s="270"/>
      <c r="AF385" s="270"/>
      <c r="AG385" s="270"/>
      <c r="AH385" s="270"/>
      <c r="AI385" s="270"/>
      <c r="AJ385" s="270"/>
      <c r="AK385" s="270"/>
      <c r="AL385" s="270"/>
      <c r="AM385" s="270"/>
      <c r="AN385" s="643"/>
      <c r="AO385" s="270"/>
      <c r="AP385" s="270"/>
      <c r="AQ385" s="270"/>
      <c r="AR385" s="270"/>
      <c r="AS385" s="270"/>
      <c r="AT385" s="294"/>
    </row>
    <row r="386" spans="1:46" ht="13" hidden="1" x14ac:dyDescent="0.2">
      <c r="A386" s="294"/>
      <c r="B386" s="925" t="str">
        <f>I387&amp;"___"</f>
        <v>PRODUCT 10___</v>
      </c>
      <c r="C386" s="271">
        <v>379</v>
      </c>
      <c r="D386" s="250">
        <v>0</v>
      </c>
      <c r="E386" s="250"/>
      <c r="F386" s="248"/>
      <c r="G386" s="250"/>
      <c r="H386" s="250"/>
      <c r="I386" s="248"/>
      <c r="J386" s="248"/>
      <c r="K386" s="248"/>
      <c r="L386" s="254"/>
      <c r="M386" s="254"/>
      <c r="N386" s="254"/>
      <c r="O386" s="264"/>
      <c r="P386" s="259"/>
      <c r="Q386" s="259"/>
      <c r="R386" s="259"/>
      <c r="S386" s="628"/>
      <c r="T386" s="628"/>
      <c r="U386" s="628"/>
      <c r="V386" s="628"/>
      <c r="W386" s="259"/>
      <c r="X386" s="259"/>
      <c r="Y386" s="259"/>
      <c r="Z386" s="259"/>
      <c r="AA386" s="259"/>
      <c r="AB386" s="259"/>
      <c r="AC386" s="264"/>
      <c r="AD386" s="609"/>
      <c r="AE386" s="269"/>
      <c r="AF386" s="269"/>
      <c r="AG386" s="269"/>
      <c r="AH386" s="269"/>
      <c r="AI386" s="269"/>
      <c r="AJ386" s="269"/>
      <c r="AK386" s="269"/>
      <c r="AL386" s="269"/>
      <c r="AM386" s="269"/>
      <c r="AN386" s="642"/>
      <c r="AO386" s="269"/>
      <c r="AP386" s="269"/>
      <c r="AQ386" s="269"/>
      <c r="AR386" s="269"/>
      <c r="AS386" s="269"/>
      <c r="AT386" s="294"/>
    </row>
    <row r="387" spans="1:46" ht="13" x14ac:dyDescent="0.2">
      <c r="A387" s="294"/>
      <c r="B387" s="925"/>
      <c r="C387" s="271">
        <v>380</v>
      </c>
      <c r="D387" s="250">
        <f>VLOOKUP($I387,TableInputsData[],$D$6,FALSE)</f>
        <v>0</v>
      </c>
      <c r="E387" s="250">
        <v>1</v>
      </c>
      <c r="F387" s="248" t="s">
        <v>392</v>
      </c>
      <c r="G387" s="250">
        <f>VLOOKUP(F387,TableInputsData[],$G$6,FALSE)</f>
        <v>2023</v>
      </c>
      <c r="H387" s="250" t="s">
        <v>588</v>
      </c>
      <c r="I387" s="248" t="s">
        <v>401</v>
      </c>
      <c r="J387" s="248" t="str">
        <f>VLOOKUP(I387,TableInputsData[],$J$6,FALSE)</f>
        <v>-</v>
      </c>
      <c r="K387" s="248" t="s">
        <v>261</v>
      </c>
      <c r="L387" s="499">
        <v>1000</v>
      </c>
      <c r="M387" s="499">
        <v>0</v>
      </c>
      <c r="N387" s="499">
        <v>0</v>
      </c>
      <c r="O387" s="264">
        <f t="shared" ref="O387:O394" si="825">$L387*$P387+$M387*$Q387+$N387*$R387</f>
        <v>1000</v>
      </c>
      <c r="P387" s="500">
        <v>1</v>
      </c>
      <c r="Q387" s="500">
        <v>0</v>
      </c>
      <c r="R387" s="259">
        <f>1-$P387-$Q387</f>
        <v>0</v>
      </c>
      <c r="S387" s="626">
        <v>500</v>
      </c>
      <c r="T387" s="626">
        <v>0</v>
      </c>
      <c r="U387" s="626">
        <v>0</v>
      </c>
      <c r="V387" s="628">
        <f>($L387*$P387*$S387+$M387*$Q387*$T387+$N387*$R387*$U387)/$O387</f>
        <v>500</v>
      </c>
      <c r="W387" s="500">
        <v>1</v>
      </c>
      <c r="X387" s="500">
        <v>1</v>
      </c>
      <c r="Y387" s="500">
        <v>1</v>
      </c>
      <c r="Z387" s="259">
        <f t="shared" ref="Z387:Z394" si="826">1-$W387</f>
        <v>0</v>
      </c>
      <c r="AA387" s="259">
        <f t="shared" ref="AA387:AA394" si="827">1-$X387</f>
        <v>0</v>
      </c>
      <c r="AB387" s="259">
        <f t="shared" ref="AB387:AB394" si="828">1-$Y387</f>
        <v>0</v>
      </c>
      <c r="AC387" s="628">
        <f>AM419</f>
        <v>0</v>
      </c>
      <c r="AD387" s="628">
        <f>AO419</f>
        <v>0</v>
      </c>
      <c r="AE387" s="501">
        <v>0</v>
      </c>
      <c r="AF387" s="501">
        <v>0</v>
      </c>
      <c r="AG387" s="501">
        <v>0</v>
      </c>
      <c r="AH387" s="501">
        <v>0</v>
      </c>
      <c r="AI387" s="264">
        <f t="shared" ref="AI387:AI390" si="829">$AE387+$AF387+$AG387+$AH387</f>
        <v>0</v>
      </c>
      <c r="AJ387" s="264">
        <f t="shared" ref="AJ387:AJ394" si="830">$AI387*$P387</f>
        <v>0</v>
      </c>
      <c r="AK387" s="264">
        <f t="shared" ref="AK387:AK394" si="831">$AI387*$Q387</f>
        <v>0</v>
      </c>
      <c r="AL387" s="264">
        <f t="shared" ref="AL387:AL394" si="832">$AI387*$R387</f>
        <v>0</v>
      </c>
      <c r="AM387" s="264">
        <f t="shared" ref="AM387:AM394" si="833">$AJ387*$W387+$AK387*$X387+$AL387*$Y387</f>
        <v>0</v>
      </c>
      <c r="AN387" s="640">
        <f>IF(AI387=0,0,AM387/AI387)</f>
        <v>0</v>
      </c>
      <c r="AO387" s="264">
        <f t="shared" ref="AO387:AO394" si="834">$AJ387*$Z387+$AK387*$AA387+$AL387*$AB387</f>
        <v>0</v>
      </c>
      <c r="AP387" s="640">
        <f t="shared" ref="AP387:AP402" si="835">IF(AI387=0,0,AO387/AI387)</f>
        <v>0</v>
      </c>
      <c r="AQ387" s="264" t="str">
        <f>VLOOKUP(I387,TableInputsData[],$AQ$6,FALSE)</f>
        <v>GAMME # : 1 + CANAL DE DISTRIBUTION # : 1</v>
      </c>
      <c r="AR387" s="264" t="str">
        <f>VLOOKUP($I387,TableInputsData[],ReadMe!$M$3,FALSE)&amp;"  |  "&amp;VLOOKUP($K387,TableInputsData[],ReadMe!$M$3,FALSE)</f>
        <v>PRODUIT 10  |  VOLUME</v>
      </c>
      <c r="AS387" s="264" t="b">
        <f t="shared" ref="AS387:AS394" si="836">AND(EXACT(ROUND(AI387,2),ROUND(AJ387+AK387+AL387,2)),EXACT(ROUND(AI387,2),ROUND(AM387+AO387,2)),EXACT(SUM(P387:R387),1),IF(R387&lt;0,FALSE,TRUE),EXACT(SUM(W387:AB387),3),MIN(W387:Y387)&gt;=0, MAX(W387:Y387)&lt;=1)</f>
        <v>1</v>
      </c>
      <c r="AT387" s="294"/>
    </row>
    <row r="388" spans="1:46" ht="13" x14ac:dyDescent="0.2">
      <c r="A388" s="294"/>
      <c r="B388" s="925"/>
      <c r="C388" s="271">
        <v>381</v>
      </c>
      <c r="D388" s="250">
        <f>D387</f>
        <v>0</v>
      </c>
      <c r="E388" s="250">
        <v>1</v>
      </c>
      <c r="F388" s="248" t="s">
        <v>391</v>
      </c>
      <c r="G388" s="250">
        <f>VLOOKUP(F388,TableInputsData[],$G$6,FALSE)</f>
        <v>2024</v>
      </c>
      <c r="H388" s="250" t="str">
        <f>H387</f>
        <v>PRODUCT</v>
      </c>
      <c r="I388" s="248" t="str">
        <f>I387</f>
        <v>PRODUCT 10</v>
      </c>
      <c r="J388" s="248" t="str">
        <f>VLOOKUP(I388,TableInputsData[],$J$6,FALSE)</f>
        <v>-</v>
      </c>
      <c r="K388" s="248" t="str">
        <f>K387</f>
        <v>VOLUME</v>
      </c>
      <c r="L388" s="499">
        <v>1000</v>
      </c>
      <c r="M388" s="499">
        <v>0</v>
      </c>
      <c r="N388" s="499">
        <v>0</v>
      </c>
      <c r="O388" s="264">
        <f t="shared" si="825"/>
        <v>1000</v>
      </c>
      <c r="P388" s="500">
        <v>1</v>
      </c>
      <c r="Q388" s="500">
        <v>0</v>
      </c>
      <c r="R388" s="259">
        <f t="shared" ref="R388:R394" si="837">1-$P388-$Q388</f>
        <v>0</v>
      </c>
      <c r="S388" s="626">
        <v>500</v>
      </c>
      <c r="T388" s="626">
        <v>0</v>
      </c>
      <c r="U388" s="626">
        <v>0</v>
      </c>
      <c r="V388" s="628">
        <f t="shared" ref="V388:V394" si="838">($L388*$P388*$S388+$M388*$Q388*$T388+$N388*$R388*$U388)/$O388</f>
        <v>500</v>
      </c>
      <c r="W388" s="500">
        <v>1</v>
      </c>
      <c r="X388" s="500">
        <v>1</v>
      </c>
      <c r="Y388" s="500">
        <v>1</v>
      </c>
      <c r="Z388" s="259">
        <f t="shared" si="826"/>
        <v>0</v>
      </c>
      <c r="AA388" s="259">
        <f t="shared" si="827"/>
        <v>0</v>
      </c>
      <c r="AB388" s="259">
        <f t="shared" si="828"/>
        <v>0</v>
      </c>
      <c r="AC388" s="628">
        <f t="shared" ref="AC388:AC394" si="839">AM420</f>
        <v>0</v>
      </c>
      <c r="AD388" s="628">
        <f t="shared" ref="AD388:AD394" si="840">AO420</f>
        <v>0</v>
      </c>
      <c r="AE388" s="501">
        <v>0</v>
      </c>
      <c r="AF388" s="501">
        <v>0</v>
      </c>
      <c r="AG388" s="501">
        <v>0</v>
      </c>
      <c r="AH388" s="501">
        <v>0</v>
      </c>
      <c r="AI388" s="264">
        <f t="shared" si="829"/>
        <v>0</v>
      </c>
      <c r="AJ388" s="264">
        <f t="shared" si="830"/>
        <v>0</v>
      </c>
      <c r="AK388" s="264">
        <f t="shared" si="831"/>
        <v>0</v>
      </c>
      <c r="AL388" s="264">
        <f t="shared" si="832"/>
        <v>0</v>
      </c>
      <c r="AM388" s="264">
        <f t="shared" si="833"/>
        <v>0</v>
      </c>
      <c r="AN388" s="640">
        <f t="shared" ref="AN388:AN402" si="841">IF(AI388=0,0,AM388/AI388)</f>
        <v>0</v>
      </c>
      <c r="AO388" s="264">
        <f t="shared" si="834"/>
        <v>0</v>
      </c>
      <c r="AP388" s="640">
        <f t="shared" si="835"/>
        <v>0</v>
      </c>
      <c r="AQ388" s="501"/>
      <c r="AR388" s="264" t="str">
        <f>VLOOKUP($I388,TableInputsData[],ReadMe!$M$3,FALSE)&amp;"  |  "&amp;VLOOKUP($K388,TableInputsData[],ReadMe!$M$3,FALSE)</f>
        <v>PRODUIT 10  |  VOLUME</v>
      </c>
      <c r="AS388" s="264" t="b">
        <f t="shared" si="836"/>
        <v>1</v>
      </c>
      <c r="AT388" s="294"/>
    </row>
    <row r="389" spans="1:46" ht="13" x14ac:dyDescent="0.2">
      <c r="A389" s="294"/>
      <c r="B389" s="925"/>
      <c r="C389" s="271">
        <v>382</v>
      </c>
      <c r="D389" s="250">
        <f t="shared" ref="D389:D426" si="842">D388</f>
        <v>0</v>
      </c>
      <c r="E389" s="250">
        <v>1</v>
      </c>
      <c r="F389" s="248" t="s">
        <v>393</v>
      </c>
      <c r="G389" s="250">
        <f>VLOOKUP(F389,TableInputsData[],$G$6,FALSE)</f>
        <v>2025</v>
      </c>
      <c r="H389" s="250" t="str">
        <f t="shared" ref="H389:I426" si="843">H388</f>
        <v>PRODUCT</v>
      </c>
      <c r="I389" s="248" t="str">
        <f t="shared" si="843"/>
        <v>PRODUCT 10</v>
      </c>
      <c r="J389" s="248" t="str">
        <f>VLOOKUP(I389,TableInputsData[],$J$6,FALSE)</f>
        <v>-</v>
      </c>
      <c r="K389" s="248" t="str">
        <f t="shared" ref="K389:K394" si="844">K388</f>
        <v>VOLUME</v>
      </c>
      <c r="L389" s="499">
        <v>1000</v>
      </c>
      <c r="M389" s="499">
        <v>0</v>
      </c>
      <c r="N389" s="499">
        <v>0</v>
      </c>
      <c r="O389" s="264">
        <f t="shared" si="825"/>
        <v>1000</v>
      </c>
      <c r="P389" s="500">
        <v>1</v>
      </c>
      <c r="Q389" s="500">
        <v>0</v>
      </c>
      <c r="R389" s="259">
        <f t="shared" si="837"/>
        <v>0</v>
      </c>
      <c r="S389" s="626">
        <v>500</v>
      </c>
      <c r="T389" s="626">
        <v>0</v>
      </c>
      <c r="U389" s="626">
        <v>0</v>
      </c>
      <c r="V389" s="628">
        <f t="shared" si="838"/>
        <v>500</v>
      </c>
      <c r="W389" s="500">
        <v>1</v>
      </c>
      <c r="X389" s="500">
        <v>1</v>
      </c>
      <c r="Y389" s="500">
        <v>1</v>
      </c>
      <c r="Z389" s="259">
        <f t="shared" si="826"/>
        <v>0</v>
      </c>
      <c r="AA389" s="259">
        <f t="shared" si="827"/>
        <v>0</v>
      </c>
      <c r="AB389" s="259">
        <f t="shared" si="828"/>
        <v>0</v>
      </c>
      <c r="AC389" s="628">
        <f t="shared" si="839"/>
        <v>0</v>
      </c>
      <c r="AD389" s="628">
        <f t="shared" si="840"/>
        <v>0</v>
      </c>
      <c r="AE389" s="501">
        <v>0</v>
      </c>
      <c r="AF389" s="501">
        <v>0</v>
      </c>
      <c r="AG389" s="501">
        <v>0</v>
      </c>
      <c r="AH389" s="501">
        <v>0</v>
      </c>
      <c r="AI389" s="264">
        <f t="shared" si="829"/>
        <v>0</v>
      </c>
      <c r="AJ389" s="264">
        <f t="shared" si="830"/>
        <v>0</v>
      </c>
      <c r="AK389" s="264">
        <f t="shared" si="831"/>
        <v>0</v>
      </c>
      <c r="AL389" s="264">
        <f t="shared" si="832"/>
        <v>0</v>
      </c>
      <c r="AM389" s="264">
        <f t="shared" si="833"/>
        <v>0</v>
      </c>
      <c r="AN389" s="640">
        <f t="shared" si="841"/>
        <v>0</v>
      </c>
      <c r="AO389" s="264">
        <f t="shared" si="834"/>
        <v>0</v>
      </c>
      <c r="AP389" s="640">
        <f t="shared" si="835"/>
        <v>0</v>
      </c>
      <c r="AQ389" s="501"/>
      <c r="AR389" s="264" t="str">
        <f>VLOOKUP($I389,TableInputsData[],ReadMe!$M$3,FALSE)&amp;"  |  "&amp;VLOOKUP($K389,TableInputsData[],ReadMe!$M$3,FALSE)</f>
        <v>PRODUIT 10  |  VOLUME</v>
      </c>
      <c r="AS389" s="264" t="b">
        <f t="shared" si="836"/>
        <v>1</v>
      </c>
      <c r="AT389" s="294"/>
    </row>
    <row r="390" spans="1:46" ht="13" x14ac:dyDescent="0.2">
      <c r="A390" s="294"/>
      <c r="B390" s="925"/>
      <c r="C390" s="271">
        <v>383</v>
      </c>
      <c r="D390" s="250">
        <f t="shared" si="842"/>
        <v>0</v>
      </c>
      <c r="E390" s="250">
        <v>1</v>
      </c>
      <c r="F390" s="248" t="s">
        <v>396</v>
      </c>
      <c r="G390" s="250">
        <f>VLOOKUP(F390,TableInputsData[],$G$6,FALSE)</f>
        <v>2026</v>
      </c>
      <c r="H390" s="250" t="str">
        <f t="shared" si="843"/>
        <v>PRODUCT</v>
      </c>
      <c r="I390" s="248" t="str">
        <f t="shared" si="843"/>
        <v>PRODUCT 10</v>
      </c>
      <c r="J390" s="248" t="str">
        <f>VLOOKUP(I390,TableInputsData[],$J$6,FALSE)</f>
        <v>-</v>
      </c>
      <c r="K390" s="248" t="str">
        <f t="shared" si="844"/>
        <v>VOLUME</v>
      </c>
      <c r="L390" s="499">
        <v>1000</v>
      </c>
      <c r="M390" s="499">
        <v>0</v>
      </c>
      <c r="N390" s="499">
        <v>0</v>
      </c>
      <c r="O390" s="264">
        <f t="shared" si="825"/>
        <v>1000</v>
      </c>
      <c r="P390" s="500">
        <v>1</v>
      </c>
      <c r="Q390" s="500">
        <v>0</v>
      </c>
      <c r="R390" s="259">
        <f t="shared" si="837"/>
        <v>0</v>
      </c>
      <c r="S390" s="626">
        <v>500</v>
      </c>
      <c r="T390" s="626">
        <v>0</v>
      </c>
      <c r="U390" s="626">
        <v>0</v>
      </c>
      <c r="V390" s="628">
        <f t="shared" si="838"/>
        <v>500</v>
      </c>
      <c r="W390" s="500">
        <v>1</v>
      </c>
      <c r="X390" s="500">
        <v>1</v>
      </c>
      <c r="Y390" s="500">
        <v>1</v>
      </c>
      <c r="Z390" s="259">
        <f t="shared" si="826"/>
        <v>0</v>
      </c>
      <c r="AA390" s="259">
        <f t="shared" si="827"/>
        <v>0</v>
      </c>
      <c r="AB390" s="259">
        <f t="shared" si="828"/>
        <v>0</v>
      </c>
      <c r="AC390" s="628">
        <f t="shared" si="839"/>
        <v>0</v>
      </c>
      <c r="AD390" s="628">
        <f t="shared" si="840"/>
        <v>0</v>
      </c>
      <c r="AE390" s="501">
        <v>0</v>
      </c>
      <c r="AF390" s="501">
        <v>0</v>
      </c>
      <c r="AG390" s="501">
        <v>0</v>
      </c>
      <c r="AH390" s="501">
        <v>0</v>
      </c>
      <c r="AI390" s="264">
        <f t="shared" si="829"/>
        <v>0</v>
      </c>
      <c r="AJ390" s="264">
        <f t="shared" si="830"/>
        <v>0</v>
      </c>
      <c r="AK390" s="264">
        <f t="shared" si="831"/>
        <v>0</v>
      </c>
      <c r="AL390" s="264">
        <f t="shared" si="832"/>
        <v>0</v>
      </c>
      <c r="AM390" s="264">
        <f t="shared" si="833"/>
        <v>0</v>
      </c>
      <c r="AN390" s="640">
        <f t="shared" si="841"/>
        <v>0</v>
      </c>
      <c r="AO390" s="264">
        <f t="shared" si="834"/>
        <v>0</v>
      </c>
      <c r="AP390" s="640">
        <f t="shared" si="835"/>
        <v>0</v>
      </c>
      <c r="AQ390" s="501"/>
      <c r="AR390" s="264" t="str">
        <f>VLOOKUP($I390,TableInputsData[],ReadMe!$M$3,FALSE)&amp;"  |  "&amp;VLOOKUP($K390,TableInputsData[],ReadMe!$M$3,FALSE)</f>
        <v>PRODUIT 10  |  VOLUME</v>
      </c>
      <c r="AS390" s="264" t="b">
        <f t="shared" si="836"/>
        <v>1</v>
      </c>
      <c r="AT390" s="294"/>
    </row>
    <row r="391" spans="1:46" ht="13" x14ac:dyDescent="0.2">
      <c r="A391" s="294"/>
      <c r="B391" s="925"/>
      <c r="C391" s="271">
        <v>384</v>
      </c>
      <c r="D391" s="250">
        <f t="shared" si="842"/>
        <v>0</v>
      </c>
      <c r="E391" s="250">
        <v>1</v>
      </c>
      <c r="F391" s="248" t="s">
        <v>397</v>
      </c>
      <c r="G391" s="250">
        <f>VLOOKUP(F391,TableInputsData[],$G$6,FALSE)</f>
        <v>2027</v>
      </c>
      <c r="H391" s="250" t="str">
        <f t="shared" si="843"/>
        <v>PRODUCT</v>
      </c>
      <c r="I391" s="248" t="str">
        <f t="shared" si="843"/>
        <v>PRODUCT 10</v>
      </c>
      <c r="J391" s="248" t="str">
        <f>VLOOKUP(I391,TableInputsData[],$J$6,FALSE)</f>
        <v>-</v>
      </c>
      <c r="K391" s="248" t="str">
        <f t="shared" si="844"/>
        <v>VOLUME</v>
      </c>
      <c r="L391" s="499">
        <v>1000</v>
      </c>
      <c r="M391" s="499">
        <v>0</v>
      </c>
      <c r="N391" s="499">
        <v>0</v>
      </c>
      <c r="O391" s="264">
        <f t="shared" si="825"/>
        <v>1000</v>
      </c>
      <c r="P391" s="500">
        <v>1</v>
      </c>
      <c r="Q391" s="500">
        <v>0</v>
      </c>
      <c r="R391" s="259">
        <f t="shared" si="837"/>
        <v>0</v>
      </c>
      <c r="S391" s="626">
        <v>500</v>
      </c>
      <c r="T391" s="626">
        <v>0</v>
      </c>
      <c r="U391" s="626">
        <v>0</v>
      </c>
      <c r="V391" s="628">
        <f t="shared" si="838"/>
        <v>500</v>
      </c>
      <c r="W391" s="500">
        <v>1</v>
      </c>
      <c r="X391" s="500">
        <v>1</v>
      </c>
      <c r="Y391" s="500">
        <v>1</v>
      </c>
      <c r="Z391" s="259">
        <f t="shared" si="826"/>
        <v>0</v>
      </c>
      <c r="AA391" s="259">
        <f t="shared" si="827"/>
        <v>0</v>
      </c>
      <c r="AB391" s="259">
        <f t="shared" si="828"/>
        <v>0</v>
      </c>
      <c r="AC391" s="628">
        <f t="shared" si="839"/>
        <v>0</v>
      </c>
      <c r="AD391" s="628">
        <f t="shared" si="840"/>
        <v>0</v>
      </c>
      <c r="AE391" s="264">
        <f>$AI391/4</f>
        <v>0</v>
      </c>
      <c r="AF391" s="264">
        <f t="shared" ref="AF391:AH394" si="845">$AI391/4</f>
        <v>0</v>
      </c>
      <c r="AG391" s="264">
        <f t="shared" si="845"/>
        <v>0</v>
      </c>
      <c r="AH391" s="264">
        <f t="shared" si="845"/>
        <v>0</v>
      </c>
      <c r="AI391" s="501">
        <v>0</v>
      </c>
      <c r="AJ391" s="264">
        <f t="shared" si="830"/>
        <v>0</v>
      </c>
      <c r="AK391" s="264">
        <f t="shared" si="831"/>
        <v>0</v>
      </c>
      <c r="AL391" s="264">
        <f t="shared" si="832"/>
        <v>0</v>
      </c>
      <c r="AM391" s="264">
        <f t="shared" si="833"/>
        <v>0</v>
      </c>
      <c r="AN391" s="640">
        <f t="shared" si="841"/>
        <v>0</v>
      </c>
      <c r="AO391" s="264">
        <f t="shared" si="834"/>
        <v>0</v>
      </c>
      <c r="AP391" s="640">
        <f t="shared" si="835"/>
        <v>0</v>
      </c>
      <c r="AQ391" s="501"/>
      <c r="AR391" s="264" t="str">
        <f>VLOOKUP($I391,TableInputsData[],ReadMe!$M$3,FALSE)&amp;"  |  "&amp;VLOOKUP($K391,TableInputsData[],ReadMe!$M$3,FALSE)</f>
        <v>PRODUIT 10  |  VOLUME</v>
      </c>
      <c r="AS391" s="264" t="b">
        <f t="shared" si="836"/>
        <v>1</v>
      </c>
      <c r="AT391" s="294"/>
    </row>
    <row r="392" spans="1:46" ht="13" x14ac:dyDescent="0.2">
      <c r="A392" s="294"/>
      <c r="B392" s="925"/>
      <c r="C392" s="271">
        <v>385</v>
      </c>
      <c r="D392" s="250">
        <f t="shared" si="842"/>
        <v>0</v>
      </c>
      <c r="E392" s="250">
        <v>1</v>
      </c>
      <c r="F392" s="248" t="s">
        <v>398</v>
      </c>
      <c r="G392" s="250">
        <f>VLOOKUP(F392,TableInputsData[],$G$6,FALSE)</f>
        <v>2028</v>
      </c>
      <c r="H392" s="250" t="str">
        <f t="shared" si="843"/>
        <v>PRODUCT</v>
      </c>
      <c r="I392" s="248" t="str">
        <f t="shared" si="843"/>
        <v>PRODUCT 10</v>
      </c>
      <c r="J392" s="248" t="str">
        <f>VLOOKUP(I392,TableInputsData[],$J$6,FALSE)</f>
        <v>-</v>
      </c>
      <c r="K392" s="248" t="str">
        <f t="shared" si="844"/>
        <v>VOLUME</v>
      </c>
      <c r="L392" s="499">
        <v>1000</v>
      </c>
      <c r="M392" s="499">
        <v>0</v>
      </c>
      <c r="N392" s="499">
        <v>0</v>
      </c>
      <c r="O392" s="264">
        <f t="shared" si="825"/>
        <v>1000</v>
      </c>
      <c r="P392" s="500">
        <v>1</v>
      </c>
      <c r="Q392" s="500">
        <v>0</v>
      </c>
      <c r="R392" s="259">
        <f t="shared" si="837"/>
        <v>0</v>
      </c>
      <c r="S392" s="626">
        <v>500</v>
      </c>
      <c r="T392" s="626">
        <v>0</v>
      </c>
      <c r="U392" s="626">
        <v>0</v>
      </c>
      <c r="V392" s="628">
        <f t="shared" si="838"/>
        <v>500</v>
      </c>
      <c r="W392" s="500">
        <v>1</v>
      </c>
      <c r="X392" s="500">
        <v>1</v>
      </c>
      <c r="Y392" s="500">
        <v>1</v>
      </c>
      <c r="Z392" s="259">
        <f t="shared" si="826"/>
        <v>0</v>
      </c>
      <c r="AA392" s="259">
        <f t="shared" si="827"/>
        <v>0</v>
      </c>
      <c r="AB392" s="259">
        <f t="shared" si="828"/>
        <v>0</v>
      </c>
      <c r="AC392" s="628">
        <f t="shared" si="839"/>
        <v>0</v>
      </c>
      <c r="AD392" s="628">
        <f t="shared" si="840"/>
        <v>0</v>
      </c>
      <c r="AE392" s="264">
        <f t="shared" ref="AE392:AE394" si="846">$AI392/4</f>
        <v>0</v>
      </c>
      <c r="AF392" s="264">
        <f t="shared" si="845"/>
        <v>0</v>
      </c>
      <c r="AG392" s="264">
        <f t="shared" si="845"/>
        <v>0</v>
      </c>
      <c r="AH392" s="264">
        <f t="shared" si="845"/>
        <v>0</v>
      </c>
      <c r="AI392" s="501">
        <v>0</v>
      </c>
      <c r="AJ392" s="264">
        <f t="shared" si="830"/>
        <v>0</v>
      </c>
      <c r="AK392" s="264">
        <f t="shared" si="831"/>
        <v>0</v>
      </c>
      <c r="AL392" s="264">
        <f t="shared" si="832"/>
        <v>0</v>
      </c>
      <c r="AM392" s="264">
        <f t="shared" si="833"/>
        <v>0</v>
      </c>
      <c r="AN392" s="640">
        <f t="shared" si="841"/>
        <v>0</v>
      </c>
      <c r="AO392" s="264">
        <f t="shared" si="834"/>
        <v>0</v>
      </c>
      <c r="AP392" s="640">
        <f t="shared" si="835"/>
        <v>0</v>
      </c>
      <c r="AQ392" s="501"/>
      <c r="AR392" s="264" t="str">
        <f>VLOOKUP($I392,TableInputsData[],ReadMe!$M$3,FALSE)&amp;"  |  "&amp;VLOOKUP($K392,TableInputsData[],ReadMe!$M$3,FALSE)</f>
        <v>PRODUIT 10  |  VOLUME</v>
      </c>
      <c r="AS392" s="264" t="b">
        <f t="shared" si="836"/>
        <v>1</v>
      </c>
      <c r="AT392" s="294"/>
    </row>
    <row r="393" spans="1:46" ht="13" x14ac:dyDescent="0.2">
      <c r="A393" s="294"/>
      <c r="B393" s="925"/>
      <c r="C393" s="271">
        <v>386</v>
      </c>
      <c r="D393" s="250">
        <f t="shared" si="842"/>
        <v>0</v>
      </c>
      <c r="E393" s="250">
        <v>1</v>
      </c>
      <c r="F393" s="248" t="s">
        <v>399</v>
      </c>
      <c r="G393" s="250">
        <f>VLOOKUP(F393,TableInputsData[],$G$6,FALSE)</f>
        <v>2029</v>
      </c>
      <c r="H393" s="250" t="str">
        <f t="shared" si="843"/>
        <v>PRODUCT</v>
      </c>
      <c r="I393" s="248" t="str">
        <f t="shared" si="843"/>
        <v>PRODUCT 10</v>
      </c>
      <c r="J393" s="248" t="str">
        <f>VLOOKUP(I393,TableInputsData[],$J$6,FALSE)</f>
        <v>-</v>
      </c>
      <c r="K393" s="248" t="str">
        <f t="shared" si="844"/>
        <v>VOLUME</v>
      </c>
      <c r="L393" s="499">
        <v>1000</v>
      </c>
      <c r="M393" s="499">
        <v>0</v>
      </c>
      <c r="N393" s="499">
        <v>0</v>
      </c>
      <c r="O393" s="264">
        <f t="shared" si="825"/>
        <v>1000</v>
      </c>
      <c r="P393" s="500">
        <v>1</v>
      </c>
      <c r="Q393" s="500">
        <v>0</v>
      </c>
      <c r="R393" s="259">
        <f t="shared" si="837"/>
        <v>0</v>
      </c>
      <c r="S393" s="626">
        <v>500</v>
      </c>
      <c r="T393" s="626">
        <v>0</v>
      </c>
      <c r="U393" s="626">
        <v>0</v>
      </c>
      <c r="V393" s="628">
        <f t="shared" si="838"/>
        <v>500</v>
      </c>
      <c r="W393" s="500">
        <v>1</v>
      </c>
      <c r="X393" s="500">
        <v>1</v>
      </c>
      <c r="Y393" s="500">
        <v>1</v>
      </c>
      <c r="Z393" s="259">
        <f t="shared" si="826"/>
        <v>0</v>
      </c>
      <c r="AA393" s="259">
        <f t="shared" si="827"/>
        <v>0</v>
      </c>
      <c r="AB393" s="259">
        <f t="shared" si="828"/>
        <v>0</v>
      </c>
      <c r="AC393" s="628">
        <f t="shared" si="839"/>
        <v>0</v>
      </c>
      <c r="AD393" s="628">
        <f t="shared" si="840"/>
        <v>0</v>
      </c>
      <c r="AE393" s="264">
        <f t="shared" si="846"/>
        <v>0</v>
      </c>
      <c r="AF393" s="264">
        <f t="shared" si="845"/>
        <v>0</v>
      </c>
      <c r="AG393" s="264">
        <f t="shared" si="845"/>
        <v>0</v>
      </c>
      <c r="AH393" s="264">
        <f t="shared" si="845"/>
        <v>0</v>
      </c>
      <c r="AI393" s="501">
        <v>0</v>
      </c>
      <c r="AJ393" s="264">
        <f t="shared" si="830"/>
        <v>0</v>
      </c>
      <c r="AK393" s="264">
        <f t="shared" si="831"/>
        <v>0</v>
      </c>
      <c r="AL393" s="264">
        <f t="shared" si="832"/>
        <v>0</v>
      </c>
      <c r="AM393" s="264">
        <f t="shared" si="833"/>
        <v>0</v>
      </c>
      <c r="AN393" s="640">
        <f t="shared" si="841"/>
        <v>0</v>
      </c>
      <c r="AO393" s="264">
        <f t="shared" si="834"/>
        <v>0</v>
      </c>
      <c r="AP393" s="640">
        <f t="shared" si="835"/>
        <v>0</v>
      </c>
      <c r="AQ393" s="501"/>
      <c r="AR393" s="264" t="str">
        <f>VLOOKUP($I393,TableInputsData[],ReadMe!$M$3,FALSE)&amp;"  |  "&amp;VLOOKUP($K393,TableInputsData[],ReadMe!$M$3,FALSE)</f>
        <v>PRODUIT 10  |  VOLUME</v>
      </c>
      <c r="AS393" s="264" t="b">
        <f t="shared" si="836"/>
        <v>1</v>
      </c>
      <c r="AT393" s="294"/>
    </row>
    <row r="394" spans="1:46" ht="13" x14ac:dyDescent="0.2">
      <c r="A394" s="294"/>
      <c r="B394" s="925"/>
      <c r="C394" s="271">
        <v>387</v>
      </c>
      <c r="D394" s="250">
        <f t="shared" si="842"/>
        <v>0</v>
      </c>
      <c r="E394" s="250">
        <v>1</v>
      </c>
      <c r="F394" s="248" t="s">
        <v>400</v>
      </c>
      <c r="G394" s="250">
        <f>VLOOKUP(F394,TableInputsData[],$G$6,FALSE)</f>
        <v>2030</v>
      </c>
      <c r="H394" s="250" t="str">
        <f t="shared" si="843"/>
        <v>PRODUCT</v>
      </c>
      <c r="I394" s="248" t="str">
        <f t="shared" si="843"/>
        <v>PRODUCT 10</v>
      </c>
      <c r="J394" s="248" t="str">
        <f>VLOOKUP(I394,TableInputsData[],$J$6,FALSE)</f>
        <v>-</v>
      </c>
      <c r="K394" s="248" t="str">
        <f t="shared" si="844"/>
        <v>VOLUME</v>
      </c>
      <c r="L394" s="499">
        <v>1000</v>
      </c>
      <c r="M394" s="499">
        <v>0</v>
      </c>
      <c r="N394" s="499">
        <v>0</v>
      </c>
      <c r="O394" s="264">
        <f t="shared" si="825"/>
        <v>1000</v>
      </c>
      <c r="P394" s="500">
        <v>1</v>
      </c>
      <c r="Q394" s="500">
        <v>0</v>
      </c>
      <c r="R394" s="259">
        <f t="shared" si="837"/>
        <v>0</v>
      </c>
      <c r="S394" s="626">
        <v>500</v>
      </c>
      <c r="T394" s="626">
        <v>0</v>
      </c>
      <c r="U394" s="626">
        <v>0</v>
      </c>
      <c r="V394" s="628">
        <f t="shared" si="838"/>
        <v>500</v>
      </c>
      <c r="W394" s="500">
        <v>1</v>
      </c>
      <c r="X394" s="500">
        <v>1</v>
      </c>
      <c r="Y394" s="500">
        <v>1</v>
      </c>
      <c r="Z394" s="259">
        <f t="shared" si="826"/>
        <v>0</v>
      </c>
      <c r="AA394" s="259">
        <f t="shared" si="827"/>
        <v>0</v>
      </c>
      <c r="AB394" s="259">
        <f t="shared" si="828"/>
        <v>0</v>
      </c>
      <c r="AC394" s="628">
        <f t="shared" si="839"/>
        <v>0</v>
      </c>
      <c r="AD394" s="628">
        <f t="shared" si="840"/>
        <v>0</v>
      </c>
      <c r="AE394" s="264">
        <f t="shared" si="846"/>
        <v>0</v>
      </c>
      <c r="AF394" s="264">
        <f t="shared" si="845"/>
        <v>0</v>
      </c>
      <c r="AG394" s="264">
        <f t="shared" si="845"/>
        <v>0</v>
      </c>
      <c r="AH394" s="264">
        <f t="shared" si="845"/>
        <v>0</v>
      </c>
      <c r="AI394" s="501">
        <v>0</v>
      </c>
      <c r="AJ394" s="264">
        <f t="shared" si="830"/>
        <v>0</v>
      </c>
      <c r="AK394" s="264">
        <f t="shared" si="831"/>
        <v>0</v>
      </c>
      <c r="AL394" s="264">
        <f t="shared" si="832"/>
        <v>0</v>
      </c>
      <c r="AM394" s="264">
        <f t="shared" si="833"/>
        <v>0</v>
      </c>
      <c r="AN394" s="640">
        <f t="shared" si="841"/>
        <v>0</v>
      </c>
      <c r="AO394" s="264">
        <f t="shared" si="834"/>
        <v>0</v>
      </c>
      <c r="AP394" s="640">
        <f t="shared" si="835"/>
        <v>0</v>
      </c>
      <c r="AQ394" s="501"/>
      <c r="AR394" s="264" t="str">
        <f>VLOOKUP($I394,TableInputsData[],ReadMe!$M$3,FALSE)&amp;"  |  "&amp;VLOOKUP($K394,TableInputsData[],ReadMe!$M$3,FALSE)</f>
        <v>PRODUIT 10  |  VOLUME</v>
      </c>
      <c r="AS394" s="264" t="b">
        <f t="shared" si="836"/>
        <v>1</v>
      </c>
      <c r="AT394" s="294"/>
    </row>
    <row r="395" spans="1:46" ht="13" hidden="1" x14ac:dyDescent="0.2">
      <c r="A395" s="294"/>
      <c r="B395" s="925"/>
      <c r="C395" s="272">
        <v>388</v>
      </c>
      <c r="D395" s="250">
        <f t="shared" si="842"/>
        <v>0</v>
      </c>
      <c r="E395" s="251"/>
      <c r="F395" s="248" t="str">
        <f t="shared" ref="F395:F402" si="847">F403</f>
        <v>YEAR-2</v>
      </c>
      <c r="G395" s="250">
        <f>VLOOKUP(F395,TableInputsData[],$G$6,FALSE)</f>
        <v>2023</v>
      </c>
      <c r="H395" s="250" t="str">
        <f t="shared" si="843"/>
        <v>PRODUCT</v>
      </c>
      <c r="I395" s="248" t="str">
        <f t="shared" si="843"/>
        <v>PRODUCT 10</v>
      </c>
      <c r="J395" s="248" t="str">
        <f>VLOOKUP(I395,TableInputsData[],$J$6,FALSE)</f>
        <v>-</v>
      </c>
      <c r="K395" s="248" t="s">
        <v>457</v>
      </c>
      <c r="L395" s="256"/>
      <c r="M395" s="256"/>
      <c r="N395" s="256"/>
      <c r="O395" s="266"/>
      <c r="P395" s="261"/>
      <c r="Q395" s="261"/>
      <c r="R395" s="261"/>
      <c r="S395" s="629"/>
      <c r="T395" s="629"/>
      <c r="U395" s="629"/>
      <c r="V395" s="629"/>
      <c r="W395" s="261"/>
      <c r="X395" s="261"/>
      <c r="Y395" s="261"/>
      <c r="Z395" s="261"/>
      <c r="AA395" s="261"/>
      <c r="AB395" s="261"/>
      <c r="AC395" s="266"/>
      <c r="AD395" s="633"/>
      <c r="AE395" s="264">
        <f>AE387*($L387*$P387+$M387*$Q387+$N387*$R387)</f>
        <v>0</v>
      </c>
      <c r="AF395" s="264">
        <f t="shared" ref="AF395:AH395" si="848">AF387*($L387*$P387+$M387*$Q387+$N387*$R387)</f>
        <v>0</v>
      </c>
      <c r="AG395" s="264">
        <f t="shared" si="848"/>
        <v>0</v>
      </c>
      <c r="AH395" s="264">
        <f t="shared" si="848"/>
        <v>0</v>
      </c>
      <c r="AI395" s="264">
        <f>$AE395+$AF395+$AG395+$AH395</f>
        <v>0</v>
      </c>
      <c r="AJ395" s="264">
        <f t="shared" ref="AJ395:AJ402" si="849">$AJ387*$L387</f>
        <v>0</v>
      </c>
      <c r="AK395" s="264">
        <f t="shared" ref="AK395:AK402" si="850">$AK387*$M387</f>
        <v>0</v>
      </c>
      <c r="AL395" s="264">
        <f t="shared" ref="AL395:AL402" si="851">$AL387*$N387</f>
        <v>0</v>
      </c>
      <c r="AM395" s="264">
        <f t="shared" ref="AM395:AM402" si="852">$AJ395*$W387+$AK395*$X387+$AL395*$Y387</f>
        <v>0</v>
      </c>
      <c r="AN395" s="640">
        <f t="shared" si="841"/>
        <v>0</v>
      </c>
      <c r="AO395" s="264">
        <f t="shared" ref="AO395:AO402" si="853">$AJ395*$Z387+$AK395*$AA387+$AL395*$AB387</f>
        <v>0</v>
      </c>
      <c r="AP395" s="640">
        <f t="shared" si="835"/>
        <v>0</v>
      </c>
      <c r="AQ395" s="264"/>
      <c r="AR395" s="264" t="str">
        <f>VLOOKUP($I395,TableInputsData[],ReadMe!$M$3,FALSE)&amp;"  |  "&amp;VLOOKUP($K395,TableInputsData[],ReadMe!$M$3,FALSE)</f>
        <v>PRODUIT 10  |  CHIFFRE D'AFFAIRES</v>
      </c>
      <c r="AS395" s="264" t="b">
        <f t="shared" ref="AS395:AS402" si="854">AND(EXACT(ROUND(AI395,2),ROUND(AJ395+AK395+AL395,2)),EXACT(ROUND(AI395,2),ROUND(AM395+AO395,2)))</f>
        <v>1</v>
      </c>
      <c r="AT395" s="294"/>
    </row>
    <row r="396" spans="1:46" ht="13" hidden="1" x14ac:dyDescent="0.2">
      <c r="A396" s="294"/>
      <c r="B396" s="925"/>
      <c r="C396" s="271">
        <v>389</v>
      </c>
      <c r="D396" s="250">
        <f t="shared" si="842"/>
        <v>0</v>
      </c>
      <c r="E396" s="250"/>
      <c r="F396" s="248" t="str">
        <f t="shared" si="847"/>
        <v>YEAR-1</v>
      </c>
      <c r="G396" s="250">
        <f>VLOOKUP(F396,TableInputsData[],$G$6,FALSE)</f>
        <v>2024</v>
      </c>
      <c r="H396" s="250" t="str">
        <f t="shared" si="843"/>
        <v>PRODUCT</v>
      </c>
      <c r="I396" s="248" t="str">
        <f t="shared" si="843"/>
        <v>PRODUCT 10</v>
      </c>
      <c r="J396" s="248" t="str">
        <f>VLOOKUP(I396,TableInputsData[],$J$6,FALSE)</f>
        <v>-</v>
      </c>
      <c r="K396" s="248" t="str">
        <f>K395</f>
        <v>REVENUE</v>
      </c>
      <c r="L396" s="255"/>
      <c r="M396" s="255"/>
      <c r="N396" s="255"/>
      <c r="O396" s="265"/>
      <c r="P396" s="260"/>
      <c r="Q396" s="260"/>
      <c r="R396" s="260"/>
      <c r="S396" s="630"/>
      <c r="T396" s="630"/>
      <c r="U396" s="630"/>
      <c r="V396" s="630"/>
      <c r="W396" s="260"/>
      <c r="X396" s="260"/>
      <c r="Y396" s="260"/>
      <c r="Z396" s="260"/>
      <c r="AA396" s="260"/>
      <c r="AB396" s="260"/>
      <c r="AC396" s="265"/>
      <c r="AD396" s="634"/>
      <c r="AE396" s="264">
        <f t="shared" ref="AE396:AH396" si="855">AE388*($L388*$P388+$M388*$Q388+$N388*$R388)</f>
        <v>0</v>
      </c>
      <c r="AF396" s="264">
        <f t="shared" si="855"/>
        <v>0</v>
      </c>
      <c r="AG396" s="264">
        <f t="shared" si="855"/>
        <v>0</v>
      </c>
      <c r="AH396" s="264">
        <f t="shared" si="855"/>
        <v>0</v>
      </c>
      <c r="AI396" s="264">
        <f t="shared" ref="AI396:AI401" si="856">$AE396+$AF396+$AG396+$AH396</f>
        <v>0</v>
      </c>
      <c r="AJ396" s="264">
        <f t="shared" si="849"/>
        <v>0</v>
      </c>
      <c r="AK396" s="264">
        <f t="shared" si="850"/>
        <v>0</v>
      </c>
      <c r="AL396" s="264">
        <f t="shared" si="851"/>
        <v>0</v>
      </c>
      <c r="AM396" s="264">
        <f t="shared" si="852"/>
        <v>0</v>
      </c>
      <c r="AN396" s="640">
        <f t="shared" si="841"/>
        <v>0</v>
      </c>
      <c r="AO396" s="264">
        <f t="shared" si="853"/>
        <v>0</v>
      </c>
      <c r="AP396" s="640">
        <f t="shared" si="835"/>
        <v>0</v>
      </c>
      <c r="AQ396" s="264"/>
      <c r="AR396" s="264" t="str">
        <f>VLOOKUP($I396,TableInputsData[],ReadMe!$M$3,FALSE)&amp;"  |  "&amp;VLOOKUP($K396,TableInputsData[],ReadMe!$M$3,FALSE)</f>
        <v>PRODUIT 10  |  CHIFFRE D'AFFAIRES</v>
      </c>
      <c r="AS396" s="264" t="b">
        <f t="shared" si="854"/>
        <v>1</v>
      </c>
      <c r="AT396" s="294"/>
    </row>
    <row r="397" spans="1:46" ht="13" hidden="1" x14ac:dyDescent="0.2">
      <c r="A397" s="294"/>
      <c r="B397" s="925"/>
      <c r="C397" s="271">
        <v>390</v>
      </c>
      <c r="D397" s="250">
        <f t="shared" si="842"/>
        <v>0</v>
      </c>
      <c r="E397" s="250"/>
      <c r="F397" s="248" t="str">
        <f t="shared" si="847"/>
        <v>CURRENT YEAR</v>
      </c>
      <c r="G397" s="250">
        <f>VLOOKUP(F397,TableInputsData[],$G$6,FALSE)</f>
        <v>2025</v>
      </c>
      <c r="H397" s="250" t="str">
        <f t="shared" si="843"/>
        <v>PRODUCT</v>
      </c>
      <c r="I397" s="248" t="str">
        <f t="shared" si="843"/>
        <v>PRODUCT 10</v>
      </c>
      <c r="J397" s="248" t="str">
        <f>VLOOKUP(I397,TableInputsData[],$J$6,FALSE)</f>
        <v>-</v>
      </c>
      <c r="K397" s="248" t="str">
        <f t="shared" ref="K397:K402" si="857">K396</f>
        <v>REVENUE</v>
      </c>
      <c r="L397" s="255"/>
      <c r="M397" s="255"/>
      <c r="N397" s="255"/>
      <c r="O397" s="265"/>
      <c r="P397" s="260"/>
      <c r="Q397" s="260"/>
      <c r="R397" s="260"/>
      <c r="S397" s="630"/>
      <c r="T397" s="630"/>
      <c r="U397" s="630"/>
      <c r="V397" s="630"/>
      <c r="W397" s="260"/>
      <c r="X397" s="260"/>
      <c r="Y397" s="260"/>
      <c r="Z397" s="260"/>
      <c r="AA397" s="260"/>
      <c r="AB397" s="260"/>
      <c r="AC397" s="265"/>
      <c r="AD397" s="634"/>
      <c r="AE397" s="264">
        <f t="shared" ref="AE397:AH397" si="858">AE389*($L389*$P389+$M389*$Q389+$N389*$R389)</f>
        <v>0</v>
      </c>
      <c r="AF397" s="264">
        <f t="shared" si="858"/>
        <v>0</v>
      </c>
      <c r="AG397" s="264">
        <f t="shared" si="858"/>
        <v>0</v>
      </c>
      <c r="AH397" s="264">
        <f t="shared" si="858"/>
        <v>0</v>
      </c>
      <c r="AI397" s="264">
        <f t="shared" si="856"/>
        <v>0</v>
      </c>
      <c r="AJ397" s="264">
        <f t="shared" si="849"/>
        <v>0</v>
      </c>
      <c r="AK397" s="264">
        <f t="shared" si="850"/>
        <v>0</v>
      </c>
      <c r="AL397" s="264">
        <f t="shared" si="851"/>
        <v>0</v>
      </c>
      <c r="AM397" s="264">
        <f t="shared" si="852"/>
        <v>0</v>
      </c>
      <c r="AN397" s="640">
        <f t="shared" si="841"/>
        <v>0</v>
      </c>
      <c r="AO397" s="264">
        <f t="shared" si="853"/>
        <v>0</v>
      </c>
      <c r="AP397" s="640">
        <f t="shared" si="835"/>
        <v>0</v>
      </c>
      <c r="AQ397" s="264"/>
      <c r="AR397" s="264" t="str">
        <f>VLOOKUP($I397,TableInputsData[],ReadMe!$M$3,FALSE)&amp;"  |  "&amp;VLOOKUP($K397,TableInputsData[],ReadMe!$M$3,FALSE)</f>
        <v>PRODUIT 10  |  CHIFFRE D'AFFAIRES</v>
      </c>
      <c r="AS397" s="264" t="b">
        <f t="shared" si="854"/>
        <v>1</v>
      </c>
      <c r="AT397" s="294"/>
    </row>
    <row r="398" spans="1:46" ht="13" hidden="1" x14ac:dyDescent="0.2">
      <c r="A398" s="294"/>
      <c r="B398" s="925"/>
      <c r="C398" s="271">
        <v>391</v>
      </c>
      <c r="D398" s="250">
        <f t="shared" si="842"/>
        <v>0</v>
      </c>
      <c r="E398" s="250"/>
      <c r="F398" s="248" t="str">
        <f t="shared" si="847"/>
        <v>YEAR2</v>
      </c>
      <c r="G398" s="250">
        <f>VLOOKUP(F398,TableInputsData[],$G$6,FALSE)</f>
        <v>2026</v>
      </c>
      <c r="H398" s="250" t="str">
        <f t="shared" si="843"/>
        <v>PRODUCT</v>
      </c>
      <c r="I398" s="248" t="str">
        <f t="shared" si="843"/>
        <v>PRODUCT 10</v>
      </c>
      <c r="J398" s="248" t="str">
        <f>VLOOKUP(I398,TableInputsData[],$J$6,FALSE)</f>
        <v>-</v>
      </c>
      <c r="K398" s="248" t="str">
        <f t="shared" si="857"/>
        <v>REVENUE</v>
      </c>
      <c r="L398" s="255"/>
      <c r="M398" s="255"/>
      <c r="N398" s="255"/>
      <c r="O398" s="265"/>
      <c r="P398" s="260"/>
      <c r="Q398" s="260"/>
      <c r="R398" s="260"/>
      <c r="S398" s="630"/>
      <c r="T398" s="630"/>
      <c r="U398" s="630"/>
      <c r="V398" s="630"/>
      <c r="W398" s="260"/>
      <c r="X398" s="260"/>
      <c r="Y398" s="260"/>
      <c r="Z398" s="260"/>
      <c r="AA398" s="260"/>
      <c r="AB398" s="260"/>
      <c r="AC398" s="265"/>
      <c r="AD398" s="634"/>
      <c r="AE398" s="264">
        <f t="shared" ref="AE398:AH398" si="859">AE390*($L390*$P390+$M390*$Q390+$N390*$R390)</f>
        <v>0</v>
      </c>
      <c r="AF398" s="264">
        <f t="shared" si="859"/>
        <v>0</v>
      </c>
      <c r="AG398" s="264">
        <f t="shared" si="859"/>
        <v>0</v>
      </c>
      <c r="AH398" s="264">
        <f t="shared" si="859"/>
        <v>0</v>
      </c>
      <c r="AI398" s="264">
        <f t="shared" si="856"/>
        <v>0</v>
      </c>
      <c r="AJ398" s="264">
        <f t="shared" si="849"/>
        <v>0</v>
      </c>
      <c r="AK398" s="264">
        <f t="shared" si="850"/>
        <v>0</v>
      </c>
      <c r="AL398" s="264">
        <f t="shared" si="851"/>
        <v>0</v>
      </c>
      <c r="AM398" s="264">
        <f t="shared" si="852"/>
        <v>0</v>
      </c>
      <c r="AN398" s="640">
        <f t="shared" si="841"/>
        <v>0</v>
      </c>
      <c r="AO398" s="264">
        <f t="shared" si="853"/>
        <v>0</v>
      </c>
      <c r="AP398" s="640">
        <f t="shared" si="835"/>
        <v>0</v>
      </c>
      <c r="AQ398" s="264"/>
      <c r="AR398" s="264" t="str">
        <f>VLOOKUP($I398,TableInputsData[],ReadMe!$M$3,FALSE)&amp;"  |  "&amp;VLOOKUP($K398,TableInputsData[],ReadMe!$M$3,FALSE)</f>
        <v>PRODUIT 10  |  CHIFFRE D'AFFAIRES</v>
      </c>
      <c r="AS398" s="264" t="b">
        <f t="shared" si="854"/>
        <v>1</v>
      </c>
      <c r="AT398" s="294"/>
    </row>
    <row r="399" spans="1:46" ht="13" hidden="1" x14ac:dyDescent="0.2">
      <c r="A399" s="294"/>
      <c r="B399" s="925"/>
      <c r="C399" s="271">
        <v>392</v>
      </c>
      <c r="D399" s="250">
        <f t="shared" si="842"/>
        <v>0</v>
      </c>
      <c r="E399" s="250"/>
      <c r="F399" s="248" t="str">
        <f t="shared" si="847"/>
        <v>YEAR3</v>
      </c>
      <c r="G399" s="250">
        <f>VLOOKUP(F399,TableInputsData[],$G$6,FALSE)</f>
        <v>2027</v>
      </c>
      <c r="H399" s="250" t="str">
        <f t="shared" si="843"/>
        <v>PRODUCT</v>
      </c>
      <c r="I399" s="248" t="str">
        <f t="shared" si="843"/>
        <v>PRODUCT 10</v>
      </c>
      <c r="J399" s="248" t="str">
        <f>VLOOKUP(I399,TableInputsData[],$J$6,FALSE)</f>
        <v>-</v>
      </c>
      <c r="K399" s="248" t="str">
        <f t="shared" si="857"/>
        <v>REVENUE</v>
      </c>
      <c r="L399" s="255"/>
      <c r="M399" s="255"/>
      <c r="N399" s="255"/>
      <c r="O399" s="265"/>
      <c r="P399" s="260"/>
      <c r="Q399" s="260"/>
      <c r="R399" s="260"/>
      <c r="S399" s="630"/>
      <c r="T399" s="630"/>
      <c r="U399" s="630"/>
      <c r="V399" s="630"/>
      <c r="W399" s="260"/>
      <c r="X399" s="260"/>
      <c r="Y399" s="260"/>
      <c r="Z399" s="260"/>
      <c r="AA399" s="260"/>
      <c r="AB399" s="260"/>
      <c r="AC399" s="265"/>
      <c r="AD399" s="634"/>
      <c r="AE399" s="264">
        <f t="shared" ref="AE399:AH399" si="860">AE391*($L391*$P391+$M391*$Q391+$N391*$R391)</f>
        <v>0</v>
      </c>
      <c r="AF399" s="264">
        <f t="shared" si="860"/>
        <v>0</v>
      </c>
      <c r="AG399" s="264">
        <f t="shared" si="860"/>
        <v>0</v>
      </c>
      <c r="AH399" s="264">
        <f t="shared" si="860"/>
        <v>0</v>
      </c>
      <c r="AI399" s="264">
        <f t="shared" si="856"/>
        <v>0</v>
      </c>
      <c r="AJ399" s="264">
        <f t="shared" si="849"/>
        <v>0</v>
      </c>
      <c r="AK399" s="264">
        <f t="shared" si="850"/>
        <v>0</v>
      </c>
      <c r="AL399" s="264">
        <f t="shared" si="851"/>
        <v>0</v>
      </c>
      <c r="AM399" s="264">
        <f t="shared" si="852"/>
        <v>0</v>
      </c>
      <c r="AN399" s="640">
        <f t="shared" si="841"/>
        <v>0</v>
      </c>
      <c r="AO399" s="264">
        <f t="shared" si="853"/>
        <v>0</v>
      </c>
      <c r="AP399" s="640">
        <f t="shared" si="835"/>
        <v>0</v>
      </c>
      <c r="AQ399" s="264"/>
      <c r="AR399" s="264" t="str">
        <f>VLOOKUP($I399,TableInputsData[],ReadMe!$M$3,FALSE)&amp;"  |  "&amp;VLOOKUP($K399,TableInputsData[],ReadMe!$M$3,FALSE)</f>
        <v>PRODUIT 10  |  CHIFFRE D'AFFAIRES</v>
      </c>
      <c r="AS399" s="264" t="b">
        <f t="shared" si="854"/>
        <v>1</v>
      </c>
      <c r="AT399" s="294"/>
    </row>
    <row r="400" spans="1:46" ht="13" hidden="1" x14ac:dyDescent="0.2">
      <c r="A400" s="294"/>
      <c r="B400" s="925"/>
      <c r="C400" s="271">
        <v>393</v>
      </c>
      <c r="D400" s="250">
        <f t="shared" si="842"/>
        <v>0</v>
      </c>
      <c r="E400" s="250"/>
      <c r="F400" s="248" t="str">
        <f t="shared" si="847"/>
        <v>YEAR4</v>
      </c>
      <c r="G400" s="250">
        <f>VLOOKUP(F400,TableInputsData[],$G$6,FALSE)</f>
        <v>2028</v>
      </c>
      <c r="H400" s="250" t="str">
        <f t="shared" si="843"/>
        <v>PRODUCT</v>
      </c>
      <c r="I400" s="248" t="str">
        <f t="shared" si="843"/>
        <v>PRODUCT 10</v>
      </c>
      <c r="J400" s="248" t="str">
        <f>VLOOKUP(I400,TableInputsData[],$J$6,FALSE)</f>
        <v>-</v>
      </c>
      <c r="K400" s="248" t="str">
        <f t="shared" si="857"/>
        <v>REVENUE</v>
      </c>
      <c r="L400" s="255"/>
      <c r="M400" s="255"/>
      <c r="N400" s="255"/>
      <c r="O400" s="265"/>
      <c r="P400" s="260"/>
      <c r="Q400" s="260"/>
      <c r="R400" s="260"/>
      <c r="S400" s="630"/>
      <c r="T400" s="630"/>
      <c r="U400" s="630"/>
      <c r="V400" s="630"/>
      <c r="W400" s="260"/>
      <c r="X400" s="260"/>
      <c r="Y400" s="260"/>
      <c r="Z400" s="260"/>
      <c r="AA400" s="260"/>
      <c r="AB400" s="260"/>
      <c r="AC400" s="265"/>
      <c r="AD400" s="634"/>
      <c r="AE400" s="264">
        <f t="shared" ref="AE400:AH400" si="861">AE392*($L392*$P392+$M392*$Q392+$N392*$R392)</f>
        <v>0</v>
      </c>
      <c r="AF400" s="264">
        <f t="shared" si="861"/>
        <v>0</v>
      </c>
      <c r="AG400" s="264">
        <f t="shared" si="861"/>
        <v>0</v>
      </c>
      <c r="AH400" s="264">
        <f t="shared" si="861"/>
        <v>0</v>
      </c>
      <c r="AI400" s="264">
        <f t="shared" si="856"/>
        <v>0</v>
      </c>
      <c r="AJ400" s="264">
        <f t="shared" si="849"/>
        <v>0</v>
      </c>
      <c r="AK400" s="264">
        <f t="shared" si="850"/>
        <v>0</v>
      </c>
      <c r="AL400" s="264">
        <f t="shared" si="851"/>
        <v>0</v>
      </c>
      <c r="AM400" s="264">
        <f t="shared" si="852"/>
        <v>0</v>
      </c>
      <c r="AN400" s="640">
        <f t="shared" si="841"/>
        <v>0</v>
      </c>
      <c r="AO400" s="264">
        <f t="shared" si="853"/>
        <v>0</v>
      </c>
      <c r="AP400" s="640">
        <f t="shared" si="835"/>
        <v>0</v>
      </c>
      <c r="AQ400" s="264"/>
      <c r="AR400" s="264" t="str">
        <f>VLOOKUP($I400,TableInputsData[],ReadMe!$M$3,FALSE)&amp;"  |  "&amp;VLOOKUP($K400,TableInputsData[],ReadMe!$M$3,FALSE)</f>
        <v>PRODUIT 10  |  CHIFFRE D'AFFAIRES</v>
      </c>
      <c r="AS400" s="264" t="b">
        <f t="shared" si="854"/>
        <v>1</v>
      </c>
      <c r="AT400" s="294"/>
    </row>
    <row r="401" spans="1:46" ht="13" hidden="1" x14ac:dyDescent="0.2">
      <c r="A401" s="294"/>
      <c r="B401" s="925"/>
      <c r="C401" s="271">
        <v>394</v>
      </c>
      <c r="D401" s="250">
        <f t="shared" si="842"/>
        <v>0</v>
      </c>
      <c r="E401" s="250"/>
      <c r="F401" s="248" t="str">
        <f t="shared" si="847"/>
        <v>YEAR5</v>
      </c>
      <c r="G401" s="250">
        <f>VLOOKUP(F401,TableInputsData[],$G$6,FALSE)</f>
        <v>2029</v>
      </c>
      <c r="H401" s="250" t="str">
        <f t="shared" si="843"/>
        <v>PRODUCT</v>
      </c>
      <c r="I401" s="248" t="str">
        <f t="shared" si="843"/>
        <v>PRODUCT 10</v>
      </c>
      <c r="J401" s="248" t="str">
        <f>VLOOKUP(I401,TableInputsData[],$J$6,FALSE)</f>
        <v>-</v>
      </c>
      <c r="K401" s="248" t="str">
        <f t="shared" si="857"/>
        <v>REVENUE</v>
      </c>
      <c r="L401" s="255"/>
      <c r="M401" s="255"/>
      <c r="N401" s="255"/>
      <c r="O401" s="265"/>
      <c r="P401" s="260"/>
      <c r="Q401" s="260"/>
      <c r="R401" s="260"/>
      <c r="S401" s="630"/>
      <c r="T401" s="630"/>
      <c r="U401" s="630"/>
      <c r="V401" s="630"/>
      <c r="W401" s="260"/>
      <c r="X401" s="260"/>
      <c r="Y401" s="260"/>
      <c r="Z401" s="260"/>
      <c r="AA401" s="260"/>
      <c r="AB401" s="260"/>
      <c r="AC401" s="265"/>
      <c r="AD401" s="634"/>
      <c r="AE401" s="264">
        <f t="shared" ref="AE401:AH401" si="862">AE393*($L393*$P393+$M393*$Q393+$N393*$R393)</f>
        <v>0</v>
      </c>
      <c r="AF401" s="264">
        <f t="shared" si="862"/>
        <v>0</v>
      </c>
      <c r="AG401" s="264">
        <f t="shared" si="862"/>
        <v>0</v>
      </c>
      <c r="AH401" s="264">
        <f t="shared" si="862"/>
        <v>0</v>
      </c>
      <c r="AI401" s="264">
        <f t="shared" si="856"/>
        <v>0</v>
      </c>
      <c r="AJ401" s="264">
        <f t="shared" si="849"/>
        <v>0</v>
      </c>
      <c r="AK401" s="264">
        <f t="shared" si="850"/>
        <v>0</v>
      </c>
      <c r="AL401" s="264">
        <f t="shared" si="851"/>
        <v>0</v>
      </c>
      <c r="AM401" s="264">
        <f t="shared" si="852"/>
        <v>0</v>
      </c>
      <c r="AN401" s="640">
        <f t="shared" si="841"/>
        <v>0</v>
      </c>
      <c r="AO401" s="264">
        <f t="shared" si="853"/>
        <v>0</v>
      </c>
      <c r="AP401" s="640">
        <f t="shared" si="835"/>
        <v>0</v>
      </c>
      <c r="AQ401" s="264"/>
      <c r="AR401" s="264" t="str">
        <f>VLOOKUP($I401,TableInputsData[],ReadMe!$M$3,FALSE)&amp;"  |  "&amp;VLOOKUP($K401,TableInputsData[],ReadMe!$M$3,FALSE)</f>
        <v>PRODUIT 10  |  CHIFFRE D'AFFAIRES</v>
      </c>
      <c r="AS401" s="264" t="b">
        <f t="shared" si="854"/>
        <v>1</v>
      </c>
      <c r="AT401" s="294"/>
    </row>
    <row r="402" spans="1:46" ht="13" hidden="1" x14ac:dyDescent="0.2">
      <c r="A402" s="294"/>
      <c r="B402" s="925"/>
      <c r="C402" s="271">
        <v>395</v>
      </c>
      <c r="D402" s="250">
        <f t="shared" si="842"/>
        <v>0</v>
      </c>
      <c r="E402" s="250"/>
      <c r="F402" s="248" t="str">
        <f t="shared" si="847"/>
        <v>YEAR6</v>
      </c>
      <c r="G402" s="250">
        <f>VLOOKUP(F402,TableInputsData[],$G$6,FALSE)</f>
        <v>2030</v>
      </c>
      <c r="H402" s="250" t="str">
        <f t="shared" si="843"/>
        <v>PRODUCT</v>
      </c>
      <c r="I402" s="248" t="str">
        <f t="shared" si="843"/>
        <v>PRODUCT 10</v>
      </c>
      <c r="J402" s="248" t="str">
        <f>VLOOKUP(I402,TableInputsData[],$J$6,FALSE)</f>
        <v>-</v>
      </c>
      <c r="K402" s="248" t="str">
        <f t="shared" si="857"/>
        <v>REVENUE</v>
      </c>
      <c r="L402" s="255"/>
      <c r="M402" s="255"/>
      <c r="N402" s="255"/>
      <c r="O402" s="265"/>
      <c r="P402" s="260"/>
      <c r="Q402" s="260"/>
      <c r="R402" s="260"/>
      <c r="S402" s="630"/>
      <c r="T402" s="630"/>
      <c r="U402" s="630"/>
      <c r="V402" s="630"/>
      <c r="W402" s="260"/>
      <c r="X402" s="260"/>
      <c r="Y402" s="260"/>
      <c r="Z402" s="260"/>
      <c r="AA402" s="260"/>
      <c r="AB402" s="260"/>
      <c r="AC402" s="265"/>
      <c r="AD402" s="634"/>
      <c r="AE402" s="264">
        <f t="shared" ref="AE402:AH402" si="863">AE394*($L394*$P394+$M394*$Q394+$N394*$R394)</f>
        <v>0</v>
      </c>
      <c r="AF402" s="264">
        <f t="shared" si="863"/>
        <v>0</v>
      </c>
      <c r="AG402" s="264">
        <f t="shared" si="863"/>
        <v>0</v>
      </c>
      <c r="AH402" s="264">
        <f t="shared" si="863"/>
        <v>0</v>
      </c>
      <c r="AI402" s="264">
        <f>$AE402+$AF402+$AG402+$AH402</f>
        <v>0</v>
      </c>
      <c r="AJ402" s="264">
        <f t="shared" si="849"/>
        <v>0</v>
      </c>
      <c r="AK402" s="264">
        <f t="shared" si="850"/>
        <v>0</v>
      </c>
      <c r="AL402" s="264">
        <f t="shared" si="851"/>
        <v>0</v>
      </c>
      <c r="AM402" s="264">
        <f t="shared" si="852"/>
        <v>0</v>
      </c>
      <c r="AN402" s="640">
        <f t="shared" si="841"/>
        <v>0</v>
      </c>
      <c r="AO402" s="264">
        <f t="shared" si="853"/>
        <v>0</v>
      </c>
      <c r="AP402" s="640">
        <f t="shared" si="835"/>
        <v>0</v>
      </c>
      <c r="AQ402" s="264"/>
      <c r="AR402" s="264" t="str">
        <f>VLOOKUP($I402,TableInputsData[],ReadMe!$M$3,FALSE)&amp;"  |  "&amp;VLOOKUP($K402,TableInputsData[],ReadMe!$M$3,FALSE)</f>
        <v>PRODUIT 10  |  CHIFFRE D'AFFAIRES</v>
      </c>
      <c r="AS402" s="264" t="b">
        <f t="shared" si="854"/>
        <v>1</v>
      </c>
      <c r="AT402" s="294"/>
    </row>
    <row r="403" spans="1:46" ht="13" hidden="1" x14ac:dyDescent="0.2">
      <c r="A403" s="294"/>
      <c r="B403" s="925"/>
      <c r="C403" s="271">
        <v>396</v>
      </c>
      <c r="D403" s="250">
        <f t="shared" si="842"/>
        <v>0</v>
      </c>
      <c r="E403" s="250"/>
      <c r="F403" s="248" t="str">
        <f t="shared" ref="F403:F410" si="864">F387</f>
        <v>YEAR-2</v>
      </c>
      <c r="G403" s="250">
        <f>VLOOKUP(F403,TableInputsData[],$G$6,FALSE)</f>
        <v>2023</v>
      </c>
      <c r="H403" s="250" t="str">
        <f t="shared" si="843"/>
        <v>PRODUCT</v>
      </c>
      <c r="I403" s="248" t="str">
        <f t="shared" si="843"/>
        <v>PRODUCT 10</v>
      </c>
      <c r="J403" s="248" t="str">
        <f>VLOOKUP(I403,TableInputsData[],$J$6,FALSE)</f>
        <v>-</v>
      </c>
      <c r="K403" s="248" t="s">
        <v>456</v>
      </c>
      <c r="L403" s="255"/>
      <c r="M403" s="255"/>
      <c r="N403" s="255"/>
      <c r="O403" s="265"/>
      <c r="P403" s="260"/>
      <c r="Q403" s="260"/>
      <c r="R403" s="260"/>
      <c r="S403" s="630"/>
      <c r="T403" s="630"/>
      <c r="U403" s="630"/>
      <c r="V403" s="630"/>
      <c r="W403" s="260"/>
      <c r="X403" s="260"/>
      <c r="Y403" s="260"/>
      <c r="Z403" s="260"/>
      <c r="AA403" s="260"/>
      <c r="AB403" s="260"/>
      <c r="AC403" s="265"/>
      <c r="AD403" s="634"/>
      <c r="AE403" s="264">
        <f>IF(AE387=0,0,AE395/AE387)</f>
        <v>0</v>
      </c>
      <c r="AF403" s="264">
        <f t="shared" ref="AF403:AI403" si="865">IF(AF387=0,0,AF395/AF387)</f>
        <v>0</v>
      </c>
      <c r="AG403" s="264">
        <f t="shared" si="865"/>
        <v>0</v>
      </c>
      <c r="AH403" s="264">
        <f t="shared" si="865"/>
        <v>0</v>
      </c>
      <c r="AI403" s="264">
        <f t="shared" si="865"/>
        <v>0</v>
      </c>
      <c r="AJ403" s="264">
        <f>IF(AJ387=0,0,AJ395/AJ387)</f>
        <v>0</v>
      </c>
      <c r="AK403" s="264">
        <f t="shared" ref="AK403:AL403" si="866">IF(AK387=0,0,AK395/AK387)</f>
        <v>0</v>
      </c>
      <c r="AL403" s="264">
        <f t="shared" si="866"/>
        <v>0</v>
      </c>
      <c r="AM403" s="264">
        <f>IF(AM387=0,0,AM395/AM387)</f>
        <v>0</v>
      </c>
      <c r="AN403" s="260"/>
      <c r="AO403" s="264">
        <f t="shared" ref="AO403" si="867">IF(AO387=0,0,AO395/AO387)</f>
        <v>0</v>
      </c>
      <c r="AP403" s="260"/>
      <c r="AQ403" s="264"/>
      <c r="AR403" s="264" t="str">
        <f>VLOOKUP($I403,TableInputsData[],ReadMe!$M$3,FALSE)&amp;"  |  "&amp;VLOOKUP($K403,TableInputsData[],ReadMe!$M$3,FALSE)</f>
        <v>PRODUIT 10  |  PRIX MOYEN DE VENTE PAR PRODUIT/SERVICE</v>
      </c>
      <c r="AS403" s="264"/>
      <c r="AT403" s="294"/>
    </row>
    <row r="404" spans="1:46" ht="13" hidden="1" x14ac:dyDescent="0.2">
      <c r="A404" s="294"/>
      <c r="B404" s="925"/>
      <c r="C404" s="271">
        <v>397</v>
      </c>
      <c r="D404" s="250">
        <f t="shared" si="842"/>
        <v>0</v>
      </c>
      <c r="E404" s="250"/>
      <c r="F404" s="248" t="str">
        <f t="shared" si="864"/>
        <v>YEAR-1</v>
      </c>
      <c r="G404" s="250">
        <f>VLOOKUP(F404,TableInputsData[],$G$6,FALSE)</f>
        <v>2024</v>
      </c>
      <c r="H404" s="250" t="str">
        <f t="shared" si="843"/>
        <v>PRODUCT</v>
      </c>
      <c r="I404" s="248" t="str">
        <f t="shared" si="843"/>
        <v>PRODUCT 10</v>
      </c>
      <c r="J404" s="248" t="str">
        <f>VLOOKUP(I404,TableInputsData[],$J$6,FALSE)</f>
        <v>-</v>
      </c>
      <c r="K404" s="248" t="str">
        <f>K403</f>
        <v>AVERAGE SELLING PRICE PER UNIT</v>
      </c>
      <c r="L404" s="255"/>
      <c r="M404" s="255"/>
      <c r="N404" s="255"/>
      <c r="O404" s="265"/>
      <c r="P404" s="260"/>
      <c r="Q404" s="260"/>
      <c r="R404" s="260"/>
      <c r="S404" s="630"/>
      <c r="T404" s="630"/>
      <c r="U404" s="630"/>
      <c r="V404" s="630"/>
      <c r="W404" s="260"/>
      <c r="X404" s="260"/>
      <c r="Y404" s="260"/>
      <c r="Z404" s="260"/>
      <c r="AA404" s="260"/>
      <c r="AB404" s="260"/>
      <c r="AC404" s="265"/>
      <c r="AD404" s="634"/>
      <c r="AE404" s="264">
        <f>IF(AE388=0,0,AE396/AE388)</f>
        <v>0</v>
      </c>
      <c r="AF404" s="264">
        <f t="shared" ref="AF404:AM404" si="868">IF(AF388=0,0,AF396/AF388)</f>
        <v>0</v>
      </c>
      <c r="AG404" s="264">
        <f t="shared" si="868"/>
        <v>0</v>
      </c>
      <c r="AH404" s="264">
        <f t="shared" si="868"/>
        <v>0</v>
      </c>
      <c r="AI404" s="264">
        <f t="shared" si="868"/>
        <v>0</v>
      </c>
      <c r="AJ404" s="264">
        <f t="shared" si="868"/>
        <v>0</v>
      </c>
      <c r="AK404" s="264">
        <f t="shared" si="868"/>
        <v>0</v>
      </c>
      <c r="AL404" s="264">
        <f t="shared" si="868"/>
        <v>0</v>
      </c>
      <c r="AM404" s="264">
        <f t="shared" si="868"/>
        <v>0</v>
      </c>
      <c r="AN404" s="260"/>
      <c r="AO404" s="264">
        <f t="shared" ref="AO404" si="869">IF(AO388=0,0,AO396/AO388)</f>
        <v>0</v>
      </c>
      <c r="AP404" s="260"/>
      <c r="AQ404" s="264"/>
      <c r="AR404" s="264" t="str">
        <f>VLOOKUP($I404,TableInputsData[],ReadMe!$M$3,FALSE)&amp;"  |  "&amp;VLOOKUP($K404,TableInputsData[],ReadMe!$M$3,FALSE)</f>
        <v>PRODUIT 10  |  PRIX MOYEN DE VENTE PAR PRODUIT/SERVICE</v>
      </c>
      <c r="AS404" s="264"/>
      <c r="AT404" s="294"/>
    </row>
    <row r="405" spans="1:46" ht="13" hidden="1" x14ac:dyDescent="0.2">
      <c r="A405" s="294"/>
      <c r="B405" s="925"/>
      <c r="C405" s="271">
        <v>398</v>
      </c>
      <c r="D405" s="250">
        <f t="shared" si="842"/>
        <v>0</v>
      </c>
      <c r="E405" s="250"/>
      <c r="F405" s="248" t="str">
        <f t="shared" si="864"/>
        <v>CURRENT YEAR</v>
      </c>
      <c r="G405" s="250">
        <f>VLOOKUP(F405,TableInputsData[],$G$6,FALSE)</f>
        <v>2025</v>
      </c>
      <c r="H405" s="250" t="str">
        <f t="shared" si="843"/>
        <v>PRODUCT</v>
      </c>
      <c r="I405" s="248" t="str">
        <f t="shared" si="843"/>
        <v>PRODUCT 10</v>
      </c>
      <c r="J405" s="248" t="str">
        <f>VLOOKUP(I405,TableInputsData[],$J$6,FALSE)</f>
        <v>-</v>
      </c>
      <c r="K405" s="248" t="str">
        <f t="shared" ref="K405:K410" si="870">K404</f>
        <v>AVERAGE SELLING PRICE PER UNIT</v>
      </c>
      <c r="L405" s="255"/>
      <c r="M405" s="255"/>
      <c r="N405" s="255"/>
      <c r="O405" s="265"/>
      <c r="P405" s="260"/>
      <c r="Q405" s="260"/>
      <c r="R405" s="260"/>
      <c r="S405" s="630"/>
      <c r="T405" s="630"/>
      <c r="U405" s="630"/>
      <c r="V405" s="630"/>
      <c r="W405" s="260"/>
      <c r="X405" s="260"/>
      <c r="Y405" s="260"/>
      <c r="Z405" s="260"/>
      <c r="AA405" s="260"/>
      <c r="AB405" s="260"/>
      <c r="AC405" s="265"/>
      <c r="AD405" s="634"/>
      <c r="AE405" s="264">
        <f>IF(AE389=0,0,AE397/AE389)</f>
        <v>0</v>
      </c>
      <c r="AF405" s="264">
        <f t="shared" ref="AF405:AM405" si="871">IF(AF389=0,0,AF397/AF389)</f>
        <v>0</v>
      </c>
      <c r="AG405" s="264">
        <f t="shared" si="871"/>
        <v>0</v>
      </c>
      <c r="AH405" s="264">
        <f t="shared" si="871"/>
        <v>0</v>
      </c>
      <c r="AI405" s="264">
        <f t="shared" si="871"/>
        <v>0</v>
      </c>
      <c r="AJ405" s="264">
        <f t="shared" si="871"/>
        <v>0</v>
      </c>
      <c r="AK405" s="264">
        <f t="shared" si="871"/>
        <v>0</v>
      </c>
      <c r="AL405" s="264">
        <f t="shared" si="871"/>
        <v>0</v>
      </c>
      <c r="AM405" s="264">
        <f t="shared" si="871"/>
        <v>0</v>
      </c>
      <c r="AN405" s="260"/>
      <c r="AO405" s="264">
        <f t="shared" ref="AO405" si="872">IF(AO389=0,0,AO397/AO389)</f>
        <v>0</v>
      </c>
      <c r="AP405" s="260"/>
      <c r="AQ405" s="264"/>
      <c r="AR405" s="264" t="str">
        <f>VLOOKUP($I405,TableInputsData[],ReadMe!$M$3,FALSE)&amp;"  |  "&amp;VLOOKUP($K405,TableInputsData[],ReadMe!$M$3,FALSE)</f>
        <v>PRODUIT 10  |  PRIX MOYEN DE VENTE PAR PRODUIT/SERVICE</v>
      </c>
      <c r="AS405" s="264"/>
      <c r="AT405" s="294"/>
    </row>
    <row r="406" spans="1:46" ht="13" hidden="1" x14ac:dyDescent="0.2">
      <c r="A406" s="294"/>
      <c r="B406" s="925"/>
      <c r="C406" s="271">
        <v>399</v>
      </c>
      <c r="D406" s="250">
        <f t="shared" si="842"/>
        <v>0</v>
      </c>
      <c r="E406" s="250"/>
      <c r="F406" s="248" t="str">
        <f t="shared" si="864"/>
        <v>YEAR2</v>
      </c>
      <c r="G406" s="250">
        <f>VLOOKUP(F406,TableInputsData[],$G$6,FALSE)</f>
        <v>2026</v>
      </c>
      <c r="H406" s="250" t="str">
        <f t="shared" si="843"/>
        <v>PRODUCT</v>
      </c>
      <c r="I406" s="248" t="str">
        <f t="shared" si="843"/>
        <v>PRODUCT 10</v>
      </c>
      <c r="J406" s="248" t="str">
        <f>VLOOKUP(I406,TableInputsData[],$J$6,FALSE)</f>
        <v>-</v>
      </c>
      <c r="K406" s="248" t="str">
        <f t="shared" si="870"/>
        <v>AVERAGE SELLING PRICE PER UNIT</v>
      </c>
      <c r="L406" s="255"/>
      <c r="M406" s="255"/>
      <c r="N406" s="255"/>
      <c r="O406" s="265"/>
      <c r="P406" s="260"/>
      <c r="Q406" s="260"/>
      <c r="R406" s="260"/>
      <c r="S406" s="630"/>
      <c r="T406" s="630"/>
      <c r="U406" s="630"/>
      <c r="V406" s="630"/>
      <c r="W406" s="260"/>
      <c r="X406" s="260"/>
      <c r="Y406" s="260"/>
      <c r="Z406" s="260"/>
      <c r="AA406" s="260"/>
      <c r="AB406" s="260"/>
      <c r="AC406" s="265"/>
      <c r="AD406" s="634"/>
      <c r="AE406" s="264">
        <f>IF(AE390=0,0,AE398/AE390)</f>
        <v>0</v>
      </c>
      <c r="AF406" s="264">
        <f t="shared" ref="AF406:AM406" si="873">IF(AF390=0,0,AF398/AF390)</f>
        <v>0</v>
      </c>
      <c r="AG406" s="264">
        <f t="shared" si="873"/>
        <v>0</v>
      </c>
      <c r="AH406" s="264">
        <f t="shared" si="873"/>
        <v>0</v>
      </c>
      <c r="AI406" s="264">
        <f t="shared" si="873"/>
        <v>0</v>
      </c>
      <c r="AJ406" s="264">
        <f t="shared" si="873"/>
        <v>0</v>
      </c>
      <c r="AK406" s="264">
        <f t="shared" si="873"/>
        <v>0</v>
      </c>
      <c r="AL406" s="264">
        <f t="shared" si="873"/>
        <v>0</v>
      </c>
      <c r="AM406" s="264">
        <f t="shared" si="873"/>
        <v>0</v>
      </c>
      <c r="AN406" s="260"/>
      <c r="AO406" s="264">
        <f t="shared" ref="AO406" si="874">IF(AO390=0,0,AO398/AO390)</f>
        <v>0</v>
      </c>
      <c r="AP406" s="260"/>
      <c r="AQ406" s="264"/>
      <c r="AR406" s="264" t="str">
        <f>VLOOKUP($I406,TableInputsData[],ReadMe!$M$3,FALSE)&amp;"  |  "&amp;VLOOKUP($K406,TableInputsData[],ReadMe!$M$3,FALSE)</f>
        <v>PRODUIT 10  |  PRIX MOYEN DE VENTE PAR PRODUIT/SERVICE</v>
      </c>
      <c r="AS406" s="264"/>
      <c r="AT406" s="294"/>
    </row>
    <row r="407" spans="1:46" ht="13" hidden="1" x14ac:dyDescent="0.2">
      <c r="A407" s="294"/>
      <c r="B407" s="925"/>
      <c r="C407" s="271">
        <v>400</v>
      </c>
      <c r="D407" s="250">
        <f t="shared" si="842"/>
        <v>0</v>
      </c>
      <c r="E407" s="250"/>
      <c r="F407" s="248" t="str">
        <f t="shared" si="864"/>
        <v>YEAR3</v>
      </c>
      <c r="G407" s="250">
        <f>VLOOKUP(F407,TableInputsData[],$G$6,FALSE)</f>
        <v>2027</v>
      </c>
      <c r="H407" s="250" t="str">
        <f t="shared" si="843"/>
        <v>PRODUCT</v>
      </c>
      <c r="I407" s="248" t="str">
        <f t="shared" si="843"/>
        <v>PRODUCT 10</v>
      </c>
      <c r="J407" s="248" t="str">
        <f>VLOOKUP(I407,TableInputsData[],$J$6,FALSE)</f>
        <v>-</v>
      </c>
      <c r="K407" s="248" t="str">
        <f t="shared" si="870"/>
        <v>AVERAGE SELLING PRICE PER UNIT</v>
      </c>
      <c r="L407" s="255"/>
      <c r="M407" s="255"/>
      <c r="N407" s="255"/>
      <c r="O407" s="265"/>
      <c r="P407" s="260"/>
      <c r="Q407" s="260"/>
      <c r="R407" s="260"/>
      <c r="S407" s="630"/>
      <c r="T407" s="630"/>
      <c r="U407" s="630"/>
      <c r="V407" s="630"/>
      <c r="W407" s="260"/>
      <c r="X407" s="260"/>
      <c r="Y407" s="260"/>
      <c r="Z407" s="260"/>
      <c r="AA407" s="260"/>
      <c r="AB407" s="260"/>
      <c r="AC407" s="265"/>
      <c r="AD407" s="634"/>
      <c r="AE407" s="264">
        <f t="shared" ref="AE407:AM407" si="875">IF(AE391=0,0,AE399/AE391)</f>
        <v>0</v>
      </c>
      <c r="AF407" s="264">
        <f t="shared" si="875"/>
        <v>0</v>
      </c>
      <c r="AG407" s="264">
        <f t="shared" si="875"/>
        <v>0</v>
      </c>
      <c r="AH407" s="264">
        <f t="shared" si="875"/>
        <v>0</v>
      </c>
      <c r="AI407" s="264">
        <f t="shared" si="875"/>
        <v>0</v>
      </c>
      <c r="AJ407" s="264">
        <f t="shared" si="875"/>
        <v>0</v>
      </c>
      <c r="AK407" s="264">
        <f t="shared" si="875"/>
        <v>0</v>
      </c>
      <c r="AL407" s="264">
        <f t="shared" si="875"/>
        <v>0</v>
      </c>
      <c r="AM407" s="264">
        <f t="shared" si="875"/>
        <v>0</v>
      </c>
      <c r="AN407" s="260"/>
      <c r="AO407" s="264">
        <f t="shared" ref="AO407" si="876">IF(AO391=0,0,AO399/AO391)</f>
        <v>0</v>
      </c>
      <c r="AP407" s="260"/>
      <c r="AQ407" s="264"/>
      <c r="AR407" s="264" t="str">
        <f>VLOOKUP($I407,TableInputsData[],ReadMe!$M$3,FALSE)&amp;"  |  "&amp;VLOOKUP($K407,TableInputsData[],ReadMe!$M$3,FALSE)</f>
        <v>PRODUIT 10  |  PRIX MOYEN DE VENTE PAR PRODUIT/SERVICE</v>
      </c>
      <c r="AS407" s="264"/>
      <c r="AT407" s="294"/>
    </row>
    <row r="408" spans="1:46" ht="13" hidden="1" x14ac:dyDescent="0.2">
      <c r="A408" s="294"/>
      <c r="B408" s="925"/>
      <c r="C408" s="272">
        <v>401</v>
      </c>
      <c r="D408" s="250">
        <f t="shared" si="842"/>
        <v>0</v>
      </c>
      <c r="E408" s="251"/>
      <c r="F408" s="248" t="str">
        <f t="shared" si="864"/>
        <v>YEAR4</v>
      </c>
      <c r="G408" s="250">
        <f>VLOOKUP(F408,TableInputsData[],$G$6,FALSE)</f>
        <v>2028</v>
      </c>
      <c r="H408" s="250" t="str">
        <f t="shared" si="843"/>
        <v>PRODUCT</v>
      </c>
      <c r="I408" s="248" t="str">
        <f t="shared" si="843"/>
        <v>PRODUCT 10</v>
      </c>
      <c r="J408" s="248" t="str">
        <f>VLOOKUP(I408,TableInputsData[],$J$6,FALSE)</f>
        <v>-</v>
      </c>
      <c r="K408" s="248" t="str">
        <f t="shared" si="870"/>
        <v>AVERAGE SELLING PRICE PER UNIT</v>
      </c>
      <c r="L408" s="256"/>
      <c r="M408" s="256"/>
      <c r="N408" s="256"/>
      <c r="O408" s="266"/>
      <c r="P408" s="261"/>
      <c r="Q408" s="261"/>
      <c r="R408" s="261"/>
      <c r="S408" s="629"/>
      <c r="T408" s="629"/>
      <c r="U408" s="629"/>
      <c r="V408" s="629"/>
      <c r="W408" s="261"/>
      <c r="X408" s="261"/>
      <c r="Y408" s="261"/>
      <c r="Z408" s="261"/>
      <c r="AA408" s="261"/>
      <c r="AB408" s="261"/>
      <c r="AC408" s="266"/>
      <c r="AD408" s="633"/>
      <c r="AE408" s="264">
        <f t="shared" ref="AE408:AM408" si="877">IF(AE392=0,0,AE400/AE392)</f>
        <v>0</v>
      </c>
      <c r="AF408" s="264">
        <f t="shared" si="877"/>
        <v>0</v>
      </c>
      <c r="AG408" s="264">
        <f t="shared" si="877"/>
        <v>0</v>
      </c>
      <c r="AH408" s="264">
        <f t="shared" si="877"/>
        <v>0</v>
      </c>
      <c r="AI408" s="264">
        <f t="shared" si="877"/>
        <v>0</v>
      </c>
      <c r="AJ408" s="264">
        <f t="shared" si="877"/>
        <v>0</v>
      </c>
      <c r="AK408" s="264">
        <f t="shared" si="877"/>
        <v>0</v>
      </c>
      <c r="AL408" s="264">
        <f t="shared" si="877"/>
        <v>0</v>
      </c>
      <c r="AM408" s="264">
        <f t="shared" si="877"/>
        <v>0</v>
      </c>
      <c r="AN408" s="260"/>
      <c r="AO408" s="264">
        <f t="shared" ref="AO408" si="878">IF(AO392=0,0,AO400/AO392)</f>
        <v>0</v>
      </c>
      <c r="AP408" s="260"/>
      <c r="AQ408" s="264"/>
      <c r="AR408" s="264" t="str">
        <f>VLOOKUP($I408,TableInputsData[],ReadMe!$M$3,FALSE)&amp;"  |  "&amp;VLOOKUP($K408,TableInputsData[],ReadMe!$M$3,FALSE)</f>
        <v>PRODUIT 10  |  PRIX MOYEN DE VENTE PAR PRODUIT/SERVICE</v>
      </c>
      <c r="AS408" s="264"/>
      <c r="AT408" s="294"/>
    </row>
    <row r="409" spans="1:46" ht="13" hidden="1" x14ac:dyDescent="0.2">
      <c r="A409" s="294"/>
      <c r="B409" s="925"/>
      <c r="C409" s="271">
        <v>402</v>
      </c>
      <c r="D409" s="250">
        <f t="shared" si="842"/>
        <v>0</v>
      </c>
      <c r="E409" s="250"/>
      <c r="F409" s="248" t="str">
        <f t="shared" si="864"/>
        <v>YEAR5</v>
      </c>
      <c r="G409" s="250">
        <f>VLOOKUP(F409,TableInputsData[],$G$6,FALSE)</f>
        <v>2029</v>
      </c>
      <c r="H409" s="250" t="str">
        <f t="shared" si="843"/>
        <v>PRODUCT</v>
      </c>
      <c r="I409" s="248" t="str">
        <f t="shared" si="843"/>
        <v>PRODUCT 10</v>
      </c>
      <c r="J409" s="248" t="str">
        <f>VLOOKUP(I409,TableInputsData[],$J$6,FALSE)</f>
        <v>-</v>
      </c>
      <c r="K409" s="248" t="str">
        <f t="shared" si="870"/>
        <v>AVERAGE SELLING PRICE PER UNIT</v>
      </c>
      <c r="L409" s="255"/>
      <c r="M409" s="255"/>
      <c r="N409" s="255"/>
      <c r="O409" s="265"/>
      <c r="P409" s="260"/>
      <c r="Q409" s="260"/>
      <c r="R409" s="260"/>
      <c r="S409" s="630"/>
      <c r="T409" s="630"/>
      <c r="U409" s="630"/>
      <c r="V409" s="630"/>
      <c r="W409" s="260"/>
      <c r="X409" s="260"/>
      <c r="Y409" s="260"/>
      <c r="Z409" s="260"/>
      <c r="AA409" s="260"/>
      <c r="AB409" s="260"/>
      <c r="AC409" s="265"/>
      <c r="AD409" s="634"/>
      <c r="AE409" s="264">
        <f t="shared" ref="AE409:AM409" si="879">IF(AE393=0,0,AE401/AE393)</f>
        <v>0</v>
      </c>
      <c r="AF409" s="264">
        <f t="shared" si="879"/>
        <v>0</v>
      </c>
      <c r="AG409" s="264">
        <f t="shared" si="879"/>
        <v>0</v>
      </c>
      <c r="AH409" s="264">
        <f t="shared" si="879"/>
        <v>0</v>
      </c>
      <c r="AI409" s="264">
        <f t="shared" si="879"/>
        <v>0</v>
      </c>
      <c r="AJ409" s="264">
        <f t="shared" si="879"/>
        <v>0</v>
      </c>
      <c r="AK409" s="264">
        <f t="shared" si="879"/>
        <v>0</v>
      </c>
      <c r="AL409" s="264">
        <f t="shared" si="879"/>
        <v>0</v>
      </c>
      <c r="AM409" s="264">
        <f t="shared" si="879"/>
        <v>0</v>
      </c>
      <c r="AN409" s="260"/>
      <c r="AO409" s="264">
        <f t="shared" ref="AO409" si="880">IF(AO393=0,0,AO401/AO393)</f>
        <v>0</v>
      </c>
      <c r="AP409" s="260"/>
      <c r="AQ409" s="264"/>
      <c r="AR409" s="264" t="str">
        <f>VLOOKUP($I409,TableInputsData[],ReadMe!$M$3,FALSE)&amp;"  |  "&amp;VLOOKUP($K409,TableInputsData[],ReadMe!$M$3,FALSE)</f>
        <v>PRODUIT 10  |  PRIX MOYEN DE VENTE PAR PRODUIT/SERVICE</v>
      </c>
      <c r="AS409" s="264"/>
      <c r="AT409" s="294"/>
    </row>
    <row r="410" spans="1:46" ht="13" hidden="1" x14ac:dyDescent="0.2">
      <c r="A410" s="294"/>
      <c r="B410" s="925"/>
      <c r="C410" s="271">
        <v>403</v>
      </c>
      <c r="D410" s="250">
        <f t="shared" si="842"/>
        <v>0</v>
      </c>
      <c r="E410" s="250"/>
      <c r="F410" s="248" t="str">
        <f t="shared" si="864"/>
        <v>YEAR6</v>
      </c>
      <c r="G410" s="250">
        <f>VLOOKUP(F410,TableInputsData[],$G$6,FALSE)</f>
        <v>2030</v>
      </c>
      <c r="H410" s="250" t="str">
        <f t="shared" si="843"/>
        <v>PRODUCT</v>
      </c>
      <c r="I410" s="248" t="str">
        <f t="shared" si="843"/>
        <v>PRODUCT 10</v>
      </c>
      <c r="J410" s="248" t="str">
        <f>VLOOKUP(I410,TableInputsData[],$J$6,FALSE)</f>
        <v>-</v>
      </c>
      <c r="K410" s="248" t="str">
        <f t="shared" si="870"/>
        <v>AVERAGE SELLING PRICE PER UNIT</v>
      </c>
      <c r="L410" s="255"/>
      <c r="M410" s="255"/>
      <c r="N410" s="255"/>
      <c r="O410" s="265"/>
      <c r="P410" s="260"/>
      <c r="Q410" s="260"/>
      <c r="R410" s="260"/>
      <c r="S410" s="630"/>
      <c r="T410" s="630"/>
      <c r="U410" s="630"/>
      <c r="V410" s="630"/>
      <c r="W410" s="260"/>
      <c r="X410" s="260"/>
      <c r="Y410" s="260"/>
      <c r="Z410" s="260"/>
      <c r="AA410" s="260"/>
      <c r="AB410" s="260"/>
      <c r="AC410" s="265"/>
      <c r="AD410" s="634"/>
      <c r="AE410" s="264">
        <f t="shared" ref="AE410:AM410" si="881">IF(AE394=0,0,AE402/AE394)</f>
        <v>0</v>
      </c>
      <c r="AF410" s="264">
        <f t="shared" si="881"/>
        <v>0</v>
      </c>
      <c r="AG410" s="264">
        <f t="shared" si="881"/>
        <v>0</v>
      </c>
      <c r="AH410" s="264">
        <f t="shared" si="881"/>
        <v>0</v>
      </c>
      <c r="AI410" s="264">
        <f t="shared" si="881"/>
        <v>0</v>
      </c>
      <c r="AJ410" s="264">
        <f t="shared" si="881"/>
        <v>0</v>
      </c>
      <c r="AK410" s="264">
        <f t="shared" si="881"/>
        <v>0</v>
      </c>
      <c r="AL410" s="264">
        <f t="shared" si="881"/>
        <v>0</v>
      </c>
      <c r="AM410" s="264">
        <f t="shared" si="881"/>
        <v>0</v>
      </c>
      <c r="AN410" s="260"/>
      <c r="AO410" s="264">
        <f t="shared" ref="AO410" si="882">IF(AO394=0,0,AO402/AO394)</f>
        <v>0</v>
      </c>
      <c r="AP410" s="260"/>
      <c r="AQ410" s="264"/>
      <c r="AR410" s="264" t="str">
        <f>VLOOKUP($I410,TableInputsData[],ReadMe!$M$3,FALSE)&amp;"  |  "&amp;VLOOKUP($K410,TableInputsData[],ReadMe!$M$3,FALSE)</f>
        <v>PRODUIT 10  |  PRIX MOYEN DE VENTE PAR PRODUIT/SERVICE</v>
      </c>
      <c r="AS410" s="264"/>
      <c r="AT410" s="294"/>
    </row>
    <row r="411" spans="1:46" ht="13" hidden="1" x14ac:dyDescent="0.2">
      <c r="A411" s="294"/>
      <c r="B411" s="925"/>
      <c r="C411" s="272">
        <v>404</v>
      </c>
      <c r="D411" s="250">
        <f t="shared" si="842"/>
        <v>0</v>
      </c>
      <c r="E411" s="251"/>
      <c r="F411" s="248" t="str">
        <f t="shared" ref="F411:F418" si="883">F419</f>
        <v>YEAR-2</v>
      </c>
      <c r="G411" s="250">
        <f>VLOOKUP(F411,TableInputsData[],$G$6,FALSE)</f>
        <v>2023</v>
      </c>
      <c r="H411" s="250" t="str">
        <f t="shared" si="843"/>
        <v>PRODUCT</v>
      </c>
      <c r="I411" s="248" t="str">
        <f t="shared" si="843"/>
        <v>PRODUCT 10</v>
      </c>
      <c r="J411" s="248" t="str">
        <f>VLOOKUP(I411,TableInputsData[],$J$6,FALSE)</f>
        <v>-</v>
      </c>
      <c r="K411" s="248" t="s">
        <v>531</v>
      </c>
      <c r="L411" s="256"/>
      <c r="M411" s="256"/>
      <c r="N411" s="256"/>
      <c r="O411" s="266"/>
      <c r="P411" s="261"/>
      <c r="Q411" s="261"/>
      <c r="R411" s="261"/>
      <c r="S411" s="629"/>
      <c r="T411" s="629"/>
      <c r="U411" s="629"/>
      <c r="V411" s="629"/>
      <c r="W411" s="261"/>
      <c r="X411" s="261"/>
      <c r="Y411" s="261"/>
      <c r="Z411" s="261"/>
      <c r="AA411" s="261"/>
      <c r="AB411" s="261"/>
      <c r="AC411" s="266"/>
      <c r="AD411" s="633"/>
      <c r="AE411" s="264">
        <f>AE387*($S387*$P387+$T387*$Q387+$U387*$R387)</f>
        <v>0</v>
      </c>
      <c r="AF411" s="264">
        <f t="shared" ref="AF411:AH411" si="884">AF387*($S387*$P387+$T387*$Q387+$U387*$R387)</f>
        <v>0</v>
      </c>
      <c r="AG411" s="264">
        <f t="shared" si="884"/>
        <v>0</v>
      </c>
      <c r="AH411" s="264">
        <f t="shared" si="884"/>
        <v>0</v>
      </c>
      <c r="AI411" s="264">
        <f t="shared" ref="AI411:AI418" si="885">$AE411+$AF411+$AG411+$AH411</f>
        <v>0</v>
      </c>
      <c r="AJ411" s="264">
        <f t="shared" ref="AJ411:AJ418" si="886">$AJ387*$S387</f>
        <v>0</v>
      </c>
      <c r="AK411" s="264">
        <f t="shared" ref="AK411:AK418" si="887">$AK387*$T387</f>
        <v>0</v>
      </c>
      <c r="AL411" s="264">
        <f t="shared" ref="AL411:AL418" si="888">$AL387*$U387</f>
        <v>0</v>
      </c>
      <c r="AM411" s="264">
        <f t="shared" ref="AM411:AM418" si="889">$AJ411*$W387+$AK411*$X387+$AL411*$Y387</f>
        <v>0</v>
      </c>
      <c r="AN411" s="640">
        <f t="shared" ref="AN411:AN418" si="890">IF(AI411=0,0,AM411/AI411)</f>
        <v>0</v>
      </c>
      <c r="AO411" s="264">
        <f t="shared" ref="AO411:AO418" si="891">$AJ411*$Z387+$AK411*$AA387+$AL411*$AB387</f>
        <v>0</v>
      </c>
      <c r="AP411" s="640">
        <f t="shared" ref="AP411:AP418" si="892">IF(AI411=0,0,AO411/AI411)</f>
        <v>0</v>
      </c>
      <c r="AQ411" s="264"/>
      <c r="AR411" s="264" t="str">
        <f>VLOOKUP($I411,TableInputsData[],ReadMe!$M$3,FALSE)&amp;"  |  "&amp;VLOOKUP($K411,TableInputsData[],ReadMe!$M$3,FALSE)</f>
        <v>PRODUIT 10  |  DEPENSES SUR ACHATS</v>
      </c>
      <c r="AS411" s="264" t="b">
        <f t="shared" ref="AS411:AS418" si="893">AND(EXACT(ROUND(AI411,2),ROUND(AJ411+AK411+AL411,2)),EXACT(ROUND(AI411,2),ROUND(AM411+AO411,2)))</f>
        <v>1</v>
      </c>
      <c r="AT411" s="294"/>
    </row>
    <row r="412" spans="1:46" ht="13" hidden="1" x14ac:dyDescent="0.2">
      <c r="A412" s="294"/>
      <c r="B412" s="925"/>
      <c r="C412" s="271">
        <v>405</v>
      </c>
      <c r="D412" s="250">
        <f t="shared" si="842"/>
        <v>0</v>
      </c>
      <c r="E412" s="250"/>
      <c r="F412" s="248" t="str">
        <f t="shared" si="883"/>
        <v>YEAR-1</v>
      </c>
      <c r="G412" s="250">
        <f>VLOOKUP(F412,TableInputsData[],$G$6,FALSE)</f>
        <v>2024</v>
      </c>
      <c r="H412" s="250" t="str">
        <f t="shared" si="843"/>
        <v>PRODUCT</v>
      </c>
      <c r="I412" s="248" t="str">
        <f t="shared" si="843"/>
        <v>PRODUCT 10</v>
      </c>
      <c r="J412" s="248" t="str">
        <f>VLOOKUP(I412,TableInputsData[],$J$6,FALSE)</f>
        <v>-</v>
      </c>
      <c r="K412" s="248" t="str">
        <f>K411</f>
        <v>COST OF GOODS SOLD</v>
      </c>
      <c r="L412" s="255"/>
      <c r="M412" s="255"/>
      <c r="N412" s="255"/>
      <c r="O412" s="265"/>
      <c r="P412" s="260"/>
      <c r="Q412" s="260"/>
      <c r="R412" s="260"/>
      <c r="S412" s="630"/>
      <c r="T412" s="630"/>
      <c r="U412" s="630"/>
      <c r="V412" s="630"/>
      <c r="W412" s="260"/>
      <c r="X412" s="260"/>
      <c r="Y412" s="260"/>
      <c r="Z412" s="260"/>
      <c r="AA412" s="260"/>
      <c r="AB412" s="260"/>
      <c r="AC412" s="265"/>
      <c r="AD412" s="634"/>
      <c r="AE412" s="264">
        <f t="shared" ref="AE412:AH412" si="894">AE388*($S388*$P388+$T388*$Q388+$U388*$R388)</f>
        <v>0</v>
      </c>
      <c r="AF412" s="264">
        <f t="shared" si="894"/>
        <v>0</v>
      </c>
      <c r="AG412" s="264">
        <f t="shared" si="894"/>
        <v>0</v>
      </c>
      <c r="AH412" s="264">
        <f t="shared" si="894"/>
        <v>0</v>
      </c>
      <c r="AI412" s="264">
        <f t="shared" si="885"/>
        <v>0</v>
      </c>
      <c r="AJ412" s="264">
        <f t="shared" si="886"/>
        <v>0</v>
      </c>
      <c r="AK412" s="264">
        <f t="shared" si="887"/>
        <v>0</v>
      </c>
      <c r="AL412" s="264">
        <f t="shared" si="888"/>
        <v>0</v>
      </c>
      <c r="AM412" s="264">
        <f t="shared" si="889"/>
        <v>0</v>
      </c>
      <c r="AN412" s="640">
        <f t="shared" si="890"/>
        <v>0</v>
      </c>
      <c r="AO412" s="264">
        <f t="shared" si="891"/>
        <v>0</v>
      </c>
      <c r="AP412" s="640">
        <f t="shared" si="892"/>
        <v>0</v>
      </c>
      <c r="AQ412" s="264"/>
      <c r="AR412" s="264" t="str">
        <f>VLOOKUP($I412,TableInputsData[],ReadMe!$M$3,FALSE)&amp;"  |  "&amp;VLOOKUP($K412,TableInputsData[],ReadMe!$M$3,FALSE)</f>
        <v>PRODUIT 10  |  DEPENSES SUR ACHATS</v>
      </c>
      <c r="AS412" s="264" t="b">
        <f t="shared" si="893"/>
        <v>1</v>
      </c>
      <c r="AT412" s="294"/>
    </row>
    <row r="413" spans="1:46" ht="13" hidden="1" x14ac:dyDescent="0.2">
      <c r="A413" s="294"/>
      <c r="B413" s="925"/>
      <c r="C413" s="271">
        <v>406</v>
      </c>
      <c r="D413" s="250">
        <f t="shared" si="842"/>
        <v>0</v>
      </c>
      <c r="E413" s="250"/>
      <c r="F413" s="248" t="str">
        <f t="shared" si="883"/>
        <v>CURRENT YEAR</v>
      </c>
      <c r="G413" s="250">
        <f>VLOOKUP(F413,TableInputsData[],$G$6,FALSE)</f>
        <v>2025</v>
      </c>
      <c r="H413" s="250" t="str">
        <f t="shared" si="843"/>
        <v>PRODUCT</v>
      </c>
      <c r="I413" s="248" t="str">
        <f t="shared" si="843"/>
        <v>PRODUCT 10</v>
      </c>
      <c r="J413" s="248" t="str">
        <f>VLOOKUP(I413,TableInputsData[],$J$6,FALSE)</f>
        <v>-</v>
      </c>
      <c r="K413" s="248" t="str">
        <f t="shared" ref="K413:K418" si="895">K412</f>
        <v>COST OF GOODS SOLD</v>
      </c>
      <c r="L413" s="255"/>
      <c r="M413" s="255"/>
      <c r="N413" s="255"/>
      <c r="O413" s="265"/>
      <c r="P413" s="260"/>
      <c r="Q413" s="260"/>
      <c r="R413" s="260"/>
      <c r="S413" s="630"/>
      <c r="T413" s="630"/>
      <c r="U413" s="630"/>
      <c r="V413" s="630"/>
      <c r="W413" s="260"/>
      <c r="X413" s="260"/>
      <c r="Y413" s="260"/>
      <c r="Z413" s="260"/>
      <c r="AA413" s="260"/>
      <c r="AB413" s="260"/>
      <c r="AC413" s="265"/>
      <c r="AD413" s="634"/>
      <c r="AE413" s="264">
        <f t="shared" ref="AE413:AH413" si="896">AE389*($S389*$P389+$T389*$Q389+$U389*$R389)</f>
        <v>0</v>
      </c>
      <c r="AF413" s="264">
        <f t="shared" si="896"/>
        <v>0</v>
      </c>
      <c r="AG413" s="264">
        <f t="shared" si="896"/>
        <v>0</v>
      </c>
      <c r="AH413" s="264">
        <f t="shared" si="896"/>
        <v>0</v>
      </c>
      <c r="AI413" s="264">
        <f t="shared" si="885"/>
        <v>0</v>
      </c>
      <c r="AJ413" s="264">
        <f t="shared" si="886"/>
        <v>0</v>
      </c>
      <c r="AK413" s="264">
        <f t="shared" si="887"/>
        <v>0</v>
      </c>
      <c r="AL413" s="264">
        <f t="shared" si="888"/>
        <v>0</v>
      </c>
      <c r="AM413" s="264">
        <f t="shared" si="889"/>
        <v>0</v>
      </c>
      <c r="AN413" s="640">
        <f t="shared" si="890"/>
        <v>0</v>
      </c>
      <c r="AO413" s="264">
        <f t="shared" si="891"/>
        <v>0</v>
      </c>
      <c r="AP413" s="640">
        <f t="shared" si="892"/>
        <v>0</v>
      </c>
      <c r="AQ413" s="264"/>
      <c r="AR413" s="264" t="str">
        <f>VLOOKUP($I413,TableInputsData[],ReadMe!$M$3,FALSE)&amp;"  |  "&amp;VLOOKUP($K413,TableInputsData[],ReadMe!$M$3,FALSE)</f>
        <v>PRODUIT 10  |  DEPENSES SUR ACHATS</v>
      </c>
      <c r="AS413" s="264" t="b">
        <f t="shared" si="893"/>
        <v>1</v>
      </c>
      <c r="AT413" s="294"/>
    </row>
    <row r="414" spans="1:46" ht="13" hidden="1" x14ac:dyDescent="0.2">
      <c r="A414" s="294"/>
      <c r="B414" s="925"/>
      <c r="C414" s="271">
        <v>407</v>
      </c>
      <c r="D414" s="250">
        <f t="shared" si="842"/>
        <v>0</v>
      </c>
      <c r="E414" s="250"/>
      <c r="F414" s="248" t="str">
        <f t="shared" si="883"/>
        <v>YEAR2</v>
      </c>
      <c r="G414" s="250">
        <f>VLOOKUP(F414,TableInputsData[],$G$6,FALSE)</f>
        <v>2026</v>
      </c>
      <c r="H414" s="250" t="str">
        <f t="shared" si="843"/>
        <v>PRODUCT</v>
      </c>
      <c r="I414" s="248" t="str">
        <f t="shared" si="843"/>
        <v>PRODUCT 10</v>
      </c>
      <c r="J414" s="248" t="str">
        <f>VLOOKUP(I414,TableInputsData[],$J$6,FALSE)</f>
        <v>-</v>
      </c>
      <c r="K414" s="248" t="str">
        <f t="shared" si="895"/>
        <v>COST OF GOODS SOLD</v>
      </c>
      <c r="L414" s="255"/>
      <c r="M414" s="255"/>
      <c r="N414" s="255"/>
      <c r="O414" s="265"/>
      <c r="P414" s="260"/>
      <c r="Q414" s="260"/>
      <c r="R414" s="260"/>
      <c r="S414" s="630"/>
      <c r="T414" s="630"/>
      <c r="U414" s="630"/>
      <c r="V414" s="630"/>
      <c r="W414" s="260"/>
      <c r="X414" s="260"/>
      <c r="Y414" s="260"/>
      <c r="Z414" s="260"/>
      <c r="AA414" s="260"/>
      <c r="AB414" s="260"/>
      <c r="AC414" s="265"/>
      <c r="AD414" s="634"/>
      <c r="AE414" s="264">
        <f t="shared" ref="AE414:AH414" si="897">AE390*($S390*$P390+$T390*$Q390+$U390*$R390)</f>
        <v>0</v>
      </c>
      <c r="AF414" s="264">
        <f t="shared" si="897"/>
        <v>0</v>
      </c>
      <c r="AG414" s="264">
        <f t="shared" si="897"/>
        <v>0</v>
      </c>
      <c r="AH414" s="264">
        <f t="shared" si="897"/>
        <v>0</v>
      </c>
      <c r="AI414" s="264">
        <f t="shared" si="885"/>
        <v>0</v>
      </c>
      <c r="AJ414" s="264">
        <f t="shared" si="886"/>
        <v>0</v>
      </c>
      <c r="AK414" s="264">
        <f t="shared" si="887"/>
        <v>0</v>
      </c>
      <c r="AL414" s="264">
        <f t="shared" si="888"/>
        <v>0</v>
      </c>
      <c r="AM414" s="264">
        <f t="shared" si="889"/>
        <v>0</v>
      </c>
      <c r="AN414" s="640">
        <f t="shared" si="890"/>
        <v>0</v>
      </c>
      <c r="AO414" s="264">
        <f t="shared" si="891"/>
        <v>0</v>
      </c>
      <c r="AP414" s="640">
        <f t="shared" si="892"/>
        <v>0</v>
      </c>
      <c r="AQ414" s="264"/>
      <c r="AR414" s="264" t="str">
        <f>VLOOKUP($I414,TableInputsData[],ReadMe!$M$3,FALSE)&amp;"  |  "&amp;VLOOKUP($K414,TableInputsData[],ReadMe!$M$3,FALSE)</f>
        <v>PRODUIT 10  |  DEPENSES SUR ACHATS</v>
      </c>
      <c r="AS414" s="264" t="b">
        <f t="shared" si="893"/>
        <v>1</v>
      </c>
      <c r="AT414" s="294"/>
    </row>
    <row r="415" spans="1:46" ht="13" hidden="1" x14ac:dyDescent="0.2">
      <c r="A415" s="294"/>
      <c r="B415" s="925"/>
      <c r="C415" s="271">
        <v>408</v>
      </c>
      <c r="D415" s="250">
        <f t="shared" si="842"/>
        <v>0</v>
      </c>
      <c r="E415" s="250"/>
      <c r="F415" s="248" t="str">
        <f t="shared" si="883"/>
        <v>YEAR3</v>
      </c>
      <c r="G415" s="250">
        <f>VLOOKUP(F415,TableInputsData[],$G$6,FALSE)</f>
        <v>2027</v>
      </c>
      <c r="H415" s="250" t="str">
        <f t="shared" si="843"/>
        <v>PRODUCT</v>
      </c>
      <c r="I415" s="248" t="str">
        <f t="shared" si="843"/>
        <v>PRODUCT 10</v>
      </c>
      <c r="J415" s="248" t="str">
        <f>VLOOKUP(I415,TableInputsData[],$J$6,FALSE)</f>
        <v>-</v>
      </c>
      <c r="K415" s="248" t="str">
        <f t="shared" si="895"/>
        <v>COST OF GOODS SOLD</v>
      </c>
      <c r="L415" s="255"/>
      <c r="M415" s="255"/>
      <c r="N415" s="255"/>
      <c r="O415" s="265"/>
      <c r="P415" s="260"/>
      <c r="Q415" s="260"/>
      <c r="R415" s="260"/>
      <c r="S415" s="630"/>
      <c r="T415" s="630"/>
      <c r="U415" s="630"/>
      <c r="V415" s="630"/>
      <c r="W415" s="260"/>
      <c r="X415" s="260"/>
      <c r="Y415" s="260"/>
      <c r="Z415" s="260"/>
      <c r="AA415" s="260"/>
      <c r="AB415" s="260"/>
      <c r="AC415" s="265"/>
      <c r="AD415" s="634"/>
      <c r="AE415" s="264">
        <f t="shared" ref="AE415:AH415" si="898">AE391*($S391*$P391+$T391*$Q391+$U391*$R391)</f>
        <v>0</v>
      </c>
      <c r="AF415" s="264">
        <f t="shared" si="898"/>
        <v>0</v>
      </c>
      <c r="AG415" s="264">
        <f t="shared" si="898"/>
        <v>0</v>
      </c>
      <c r="AH415" s="264">
        <f t="shared" si="898"/>
        <v>0</v>
      </c>
      <c r="AI415" s="264">
        <f t="shared" si="885"/>
        <v>0</v>
      </c>
      <c r="AJ415" s="264">
        <f t="shared" si="886"/>
        <v>0</v>
      </c>
      <c r="AK415" s="264">
        <f t="shared" si="887"/>
        <v>0</v>
      </c>
      <c r="AL415" s="264">
        <f t="shared" si="888"/>
        <v>0</v>
      </c>
      <c r="AM415" s="264">
        <f t="shared" si="889"/>
        <v>0</v>
      </c>
      <c r="AN415" s="640">
        <f t="shared" si="890"/>
        <v>0</v>
      </c>
      <c r="AO415" s="264">
        <f t="shared" si="891"/>
        <v>0</v>
      </c>
      <c r="AP415" s="640">
        <f t="shared" si="892"/>
        <v>0</v>
      </c>
      <c r="AQ415" s="264"/>
      <c r="AR415" s="264" t="str">
        <f>VLOOKUP($I415,TableInputsData[],ReadMe!$M$3,FALSE)&amp;"  |  "&amp;VLOOKUP($K415,TableInputsData[],ReadMe!$M$3,FALSE)</f>
        <v>PRODUIT 10  |  DEPENSES SUR ACHATS</v>
      </c>
      <c r="AS415" s="264" t="b">
        <f t="shared" si="893"/>
        <v>1</v>
      </c>
      <c r="AT415" s="294"/>
    </row>
    <row r="416" spans="1:46" ht="13" hidden="1" x14ac:dyDescent="0.2">
      <c r="A416" s="294"/>
      <c r="B416" s="925"/>
      <c r="C416" s="271">
        <v>409</v>
      </c>
      <c r="D416" s="250">
        <f t="shared" si="842"/>
        <v>0</v>
      </c>
      <c r="E416" s="250"/>
      <c r="F416" s="248" t="str">
        <f t="shared" si="883"/>
        <v>YEAR4</v>
      </c>
      <c r="G416" s="250">
        <f>VLOOKUP(F416,TableInputsData[],$G$6,FALSE)</f>
        <v>2028</v>
      </c>
      <c r="H416" s="250" t="str">
        <f t="shared" si="843"/>
        <v>PRODUCT</v>
      </c>
      <c r="I416" s="248" t="str">
        <f t="shared" si="843"/>
        <v>PRODUCT 10</v>
      </c>
      <c r="J416" s="248" t="str">
        <f>VLOOKUP(I416,TableInputsData[],$J$6,FALSE)</f>
        <v>-</v>
      </c>
      <c r="K416" s="248" t="str">
        <f t="shared" si="895"/>
        <v>COST OF GOODS SOLD</v>
      </c>
      <c r="L416" s="255"/>
      <c r="M416" s="255"/>
      <c r="N416" s="255"/>
      <c r="O416" s="265"/>
      <c r="P416" s="260"/>
      <c r="Q416" s="260"/>
      <c r="R416" s="260"/>
      <c r="S416" s="630"/>
      <c r="T416" s="630"/>
      <c r="U416" s="630"/>
      <c r="V416" s="630"/>
      <c r="W416" s="260"/>
      <c r="X416" s="260"/>
      <c r="Y416" s="260"/>
      <c r="Z416" s="260"/>
      <c r="AA416" s="260"/>
      <c r="AB416" s="260"/>
      <c r="AC416" s="265"/>
      <c r="AD416" s="634"/>
      <c r="AE416" s="264">
        <f t="shared" ref="AE416:AH416" si="899">AE392*($S392*$P392+$T392*$Q392+$U392*$R392)</f>
        <v>0</v>
      </c>
      <c r="AF416" s="264">
        <f t="shared" si="899"/>
        <v>0</v>
      </c>
      <c r="AG416" s="264">
        <f t="shared" si="899"/>
        <v>0</v>
      </c>
      <c r="AH416" s="264">
        <f t="shared" si="899"/>
        <v>0</v>
      </c>
      <c r="AI416" s="264">
        <f t="shared" si="885"/>
        <v>0</v>
      </c>
      <c r="AJ416" s="264">
        <f t="shared" si="886"/>
        <v>0</v>
      </c>
      <c r="AK416" s="264">
        <f t="shared" si="887"/>
        <v>0</v>
      </c>
      <c r="AL416" s="264">
        <f t="shared" si="888"/>
        <v>0</v>
      </c>
      <c r="AM416" s="264">
        <f t="shared" si="889"/>
        <v>0</v>
      </c>
      <c r="AN416" s="640">
        <f t="shared" si="890"/>
        <v>0</v>
      </c>
      <c r="AO416" s="264">
        <f t="shared" si="891"/>
        <v>0</v>
      </c>
      <c r="AP416" s="640">
        <f t="shared" si="892"/>
        <v>0</v>
      </c>
      <c r="AQ416" s="264"/>
      <c r="AR416" s="264" t="str">
        <f>VLOOKUP($I416,TableInputsData[],ReadMe!$M$3,FALSE)&amp;"  |  "&amp;VLOOKUP($K416,TableInputsData[],ReadMe!$M$3,FALSE)</f>
        <v>PRODUIT 10  |  DEPENSES SUR ACHATS</v>
      </c>
      <c r="AS416" s="264" t="b">
        <f t="shared" si="893"/>
        <v>1</v>
      </c>
      <c r="AT416" s="294"/>
    </row>
    <row r="417" spans="1:46" ht="13" hidden="1" x14ac:dyDescent="0.2">
      <c r="A417" s="294"/>
      <c r="B417" s="925"/>
      <c r="C417" s="271">
        <v>410</v>
      </c>
      <c r="D417" s="250">
        <f t="shared" si="842"/>
        <v>0</v>
      </c>
      <c r="E417" s="250"/>
      <c r="F417" s="248" t="str">
        <f t="shared" si="883"/>
        <v>YEAR5</v>
      </c>
      <c r="G417" s="250">
        <f>VLOOKUP(F417,TableInputsData[],$G$6,FALSE)</f>
        <v>2029</v>
      </c>
      <c r="H417" s="250" t="str">
        <f t="shared" si="843"/>
        <v>PRODUCT</v>
      </c>
      <c r="I417" s="248" t="str">
        <f t="shared" si="843"/>
        <v>PRODUCT 10</v>
      </c>
      <c r="J417" s="248" t="str">
        <f>VLOOKUP(I417,TableInputsData[],$J$6,FALSE)</f>
        <v>-</v>
      </c>
      <c r="K417" s="248" t="str">
        <f t="shared" si="895"/>
        <v>COST OF GOODS SOLD</v>
      </c>
      <c r="L417" s="255"/>
      <c r="M417" s="255"/>
      <c r="N417" s="255"/>
      <c r="O417" s="265"/>
      <c r="P417" s="260"/>
      <c r="Q417" s="260"/>
      <c r="R417" s="260"/>
      <c r="S417" s="630"/>
      <c r="T417" s="630"/>
      <c r="U417" s="630"/>
      <c r="V417" s="630"/>
      <c r="W417" s="260"/>
      <c r="X417" s="260"/>
      <c r="Y417" s="260"/>
      <c r="Z417" s="260"/>
      <c r="AA417" s="260"/>
      <c r="AB417" s="260"/>
      <c r="AC417" s="265"/>
      <c r="AD417" s="634"/>
      <c r="AE417" s="264">
        <f t="shared" ref="AE417:AH417" si="900">AE393*($S393*$P393+$T393*$Q393+$U393*$R393)</f>
        <v>0</v>
      </c>
      <c r="AF417" s="264">
        <f t="shared" si="900"/>
        <v>0</v>
      </c>
      <c r="AG417" s="264">
        <f t="shared" si="900"/>
        <v>0</v>
      </c>
      <c r="AH417" s="264">
        <f t="shared" si="900"/>
        <v>0</v>
      </c>
      <c r="AI417" s="264">
        <f t="shared" si="885"/>
        <v>0</v>
      </c>
      <c r="AJ417" s="264">
        <f t="shared" si="886"/>
        <v>0</v>
      </c>
      <c r="AK417" s="264">
        <f t="shared" si="887"/>
        <v>0</v>
      </c>
      <c r="AL417" s="264">
        <f t="shared" si="888"/>
        <v>0</v>
      </c>
      <c r="AM417" s="264">
        <f t="shared" si="889"/>
        <v>0</v>
      </c>
      <c r="AN417" s="640">
        <f t="shared" si="890"/>
        <v>0</v>
      </c>
      <c r="AO417" s="264">
        <f t="shared" si="891"/>
        <v>0</v>
      </c>
      <c r="AP417" s="640">
        <f t="shared" si="892"/>
        <v>0</v>
      </c>
      <c r="AQ417" s="264"/>
      <c r="AR417" s="264" t="str">
        <f>VLOOKUP($I417,TableInputsData[],ReadMe!$M$3,FALSE)&amp;"  |  "&amp;VLOOKUP($K417,TableInputsData[],ReadMe!$M$3,FALSE)</f>
        <v>PRODUIT 10  |  DEPENSES SUR ACHATS</v>
      </c>
      <c r="AS417" s="264" t="b">
        <f t="shared" si="893"/>
        <v>1</v>
      </c>
      <c r="AT417" s="294"/>
    </row>
    <row r="418" spans="1:46" ht="13" hidden="1" x14ac:dyDescent="0.2">
      <c r="A418" s="294"/>
      <c r="B418" s="925"/>
      <c r="C418" s="271">
        <v>411</v>
      </c>
      <c r="D418" s="250">
        <f t="shared" si="842"/>
        <v>0</v>
      </c>
      <c r="E418" s="250"/>
      <c r="F418" s="248" t="str">
        <f t="shared" si="883"/>
        <v>YEAR6</v>
      </c>
      <c r="G418" s="250">
        <f>VLOOKUP(F418,TableInputsData[],$G$6,FALSE)</f>
        <v>2030</v>
      </c>
      <c r="H418" s="250" t="str">
        <f t="shared" si="843"/>
        <v>PRODUCT</v>
      </c>
      <c r="I418" s="248" t="str">
        <f t="shared" si="843"/>
        <v>PRODUCT 10</v>
      </c>
      <c r="J418" s="248" t="str">
        <f>VLOOKUP(I418,TableInputsData[],$J$6,FALSE)</f>
        <v>-</v>
      </c>
      <c r="K418" s="248" t="str">
        <f t="shared" si="895"/>
        <v>COST OF GOODS SOLD</v>
      </c>
      <c r="L418" s="255"/>
      <c r="M418" s="255"/>
      <c r="N418" s="255"/>
      <c r="O418" s="265"/>
      <c r="P418" s="260"/>
      <c r="Q418" s="260"/>
      <c r="R418" s="260"/>
      <c r="S418" s="630"/>
      <c r="T418" s="630"/>
      <c r="U418" s="630"/>
      <c r="V418" s="630"/>
      <c r="W418" s="260"/>
      <c r="X418" s="260"/>
      <c r="Y418" s="260"/>
      <c r="Z418" s="260"/>
      <c r="AA418" s="260"/>
      <c r="AB418" s="260"/>
      <c r="AC418" s="265"/>
      <c r="AD418" s="634"/>
      <c r="AE418" s="264">
        <f t="shared" ref="AE418:AH418" si="901">AE394*($S394*$P394+$T394*$Q394+$U394*$R394)</f>
        <v>0</v>
      </c>
      <c r="AF418" s="264">
        <f t="shared" si="901"/>
        <v>0</v>
      </c>
      <c r="AG418" s="264">
        <f t="shared" si="901"/>
        <v>0</v>
      </c>
      <c r="AH418" s="264">
        <f t="shared" si="901"/>
        <v>0</v>
      </c>
      <c r="AI418" s="264">
        <f t="shared" si="885"/>
        <v>0</v>
      </c>
      <c r="AJ418" s="264">
        <f t="shared" si="886"/>
        <v>0</v>
      </c>
      <c r="AK418" s="264">
        <f t="shared" si="887"/>
        <v>0</v>
      </c>
      <c r="AL418" s="264">
        <f t="shared" si="888"/>
        <v>0</v>
      </c>
      <c r="AM418" s="264">
        <f t="shared" si="889"/>
        <v>0</v>
      </c>
      <c r="AN418" s="640">
        <f t="shared" si="890"/>
        <v>0</v>
      </c>
      <c r="AO418" s="264">
        <f t="shared" si="891"/>
        <v>0</v>
      </c>
      <c r="AP418" s="640">
        <f t="shared" si="892"/>
        <v>0</v>
      </c>
      <c r="AQ418" s="264"/>
      <c r="AR418" s="264" t="str">
        <f>VLOOKUP($I418,TableInputsData[],ReadMe!$M$3,FALSE)&amp;"  |  "&amp;VLOOKUP($K418,TableInputsData[],ReadMe!$M$3,FALSE)</f>
        <v>PRODUIT 10  |  DEPENSES SUR ACHATS</v>
      </c>
      <c r="AS418" s="264" t="b">
        <f t="shared" si="893"/>
        <v>1</v>
      </c>
      <c r="AT418" s="294"/>
    </row>
    <row r="419" spans="1:46" ht="13" hidden="1" x14ac:dyDescent="0.2">
      <c r="A419" s="294"/>
      <c r="B419" s="925"/>
      <c r="C419" s="272">
        <v>412</v>
      </c>
      <c r="D419" s="250">
        <f t="shared" si="842"/>
        <v>0</v>
      </c>
      <c r="E419" s="251"/>
      <c r="F419" s="248" t="str">
        <f t="shared" ref="F419:F426" si="902">F395</f>
        <v>YEAR-2</v>
      </c>
      <c r="G419" s="250">
        <f>VLOOKUP(F419,TableInputsData[],$G$6,FALSE)</f>
        <v>2023</v>
      </c>
      <c r="H419" s="250" t="str">
        <f t="shared" si="843"/>
        <v>PRODUCT</v>
      </c>
      <c r="I419" s="248" t="str">
        <f t="shared" si="843"/>
        <v>PRODUCT 10</v>
      </c>
      <c r="J419" s="248" t="str">
        <f>VLOOKUP(I419,TableInputsData[],$J$6,FALSE)</f>
        <v>-</v>
      </c>
      <c r="K419" s="248" t="s">
        <v>532</v>
      </c>
      <c r="L419" s="256"/>
      <c r="M419" s="256"/>
      <c r="N419" s="256"/>
      <c r="O419" s="266"/>
      <c r="P419" s="261"/>
      <c r="Q419" s="261"/>
      <c r="R419" s="261"/>
      <c r="S419" s="629"/>
      <c r="T419" s="629"/>
      <c r="U419" s="629"/>
      <c r="V419" s="629"/>
      <c r="W419" s="261"/>
      <c r="X419" s="261"/>
      <c r="Y419" s="261"/>
      <c r="Z419" s="261"/>
      <c r="AA419" s="261"/>
      <c r="AB419" s="261"/>
      <c r="AC419" s="266"/>
      <c r="AD419" s="633"/>
      <c r="AE419" s="264">
        <f>IF(AE387=0,0,AE411/AE387)</f>
        <v>0</v>
      </c>
      <c r="AF419" s="264">
        <f t="shared" ref="AF419:AI419" si="903">IF(AF387=0,0,AF411/AF387)</f>
        <v>0</v>
      </c>
      <c r="AG419" s="264">
        <f t="shared" si="903"/>
        <v>0</v>
      </c>
      <c r="AH419" s="264">
        <f t="shared" si="903"/>
        <v>0</v>
      </c>
      <c r="AI419" s="264">
        <f t="shared" si="903"/>
        <v>0</v>
      </c>
      <c r="AJ419" s="264">
        <f>IF(AJ387=0,0,AJ411/AJ387)</f>
        <v>0</v>
      </c>
      <c r="AK419" s="264">
        <f t="shared" ref="AK419:AL419" si="904">IF(AK387=0,0,AK411/AK387)</f>
        <v>0</v>
      </c>
      <c r="AL419" s="264">
        <f t="shared" si="904"/>
        <v>0</v>
      </c>
      <c r="AM419" s="264">
        <f>IF(AM387=0,0,AM411/AM387)</f>
        <v>0</v>
      </c>
      <c r="AN419" s="260"/>
      <c r="AO419" s="264">
        <f t="shared" ref="AO419" si="905">IF(AO387=0,0,AO411/AO387)</f>
        <v>0</v>
      </c>
      <c r="AP419" s="260"/>
      <c r="AQ419" s="264"/>
      <c r="AR419" s="264" t="str">
        <f>VLOOKUP($I419,TableInputsData[],ReadMe!$M$3,FALSE)&amp;"  |  "&amp;VLOOKUP($K419,TableInputsData[],ReadMe!$M$3,FALSE)</f>
        <v>PRODUIT 10  |  PRIX MOYEN D'ACHAT PAR PRODUIT/SERVICE</v>
      </c>
      <c r="AS419" s="264"/>
      <c r="AT419" s="294"/>
    </row>
    <row r="420" spans="1:46" ht="13" hidden="1" x14ac:dyDescent="0.2">
      <c r="A420" s="294"/>
      <c r="B420" s="925"/>
      <c r="C420" s="272">
        <v>413</v>
      </c>
      <c r="D420" s="250">
        <f t="shared" si="842"/>
        <v>0</v>
      </c>
      <c r="E420" s="251"/>
      <c r="F420" s="248" t="str">
        <f t="shared" si="902"/>
        <v>YEAR-1</v>
      </c>
      <c r="G420" s="250">
        <f>VLOOKUP(F420,TableInputsData[],$G$6,FALSE)</f>
        <v>2024</v>
      </c>
      <c r="H420" s="250" t="str">
        <f t="shared" si="843"/>
        <v>PRODUCT</v>
      </c>
      <c r="I420" s="248" t="str">
        <f t="shared" si="843"/>
        <v>PRODUCT 10</v>
      </c>
      <c r="J420" s="248" t="str">
        <f>VLOOKUP(I420,TableInputsData[],$J$6,FALSE)</f>
        <v>-</v>
      </c>
      <c r="K420" s="248" t="str">
        <f>K419</f>
        <v>AVERAGE COST OF GOODS SOLD PER UNIT</v>
      </c>
      <c r="L420" s="256"/>
      <c r="M420" s="256"/>
      <c r="N420" s="256"/>
      <c r="O420" s="266"/>
      <c r="P420" s="261"/>
      <c r="Q420" s="261"/>
      <c r="R420" s="261"/>
      <c r="S420" s="629"/>
      <c r="T420" s="629"/>
      <c r="U420" s="629"/>
      <c r="V420" s="629"/>
      <c r="W420" s="261"/>
      <c r="X420" s="261"/>
      <c r="Y420" s="261"/>
      <c r="Z420" s="261"/>
      <c r="AA420" s="261"/>
      <c r="AB420" s="261"/>
      <c r="AC420" s="266"/>
      <c r="AD420" s="633"/>
      <c r="AE420" s="264">
        <f t="shared" ref="AE420:AL420" si="906">IF(AE388=0,0,AE412/AE388)</f>
        <v>0</v>
      </c>
      <c r="AF420" s="264">
        <f t="shared" si="906"/>
        <v>0</v>
      </c>
      <c r="AG420" s="264">
        <f t="shared" si="906"/>
        <v>0</v>
      </c>
      <c r="AH420" s="264">
        <f t="shared" si="906"/>
        <v>0</v>
      </c>
      <c r="AI420" s="264">
        <f t="shared" si="906"/>
        <v>0</v>
      </c>
      <c r="AJ420" s="264">
        <f t="shared" si="906"/>
        <v>0</v>
      </c>
      <c r="AK420" s="264">
        <f t="shared" si="906"/>
        <v>0</v>
      </c>
      <c r="AL420" s="264">
        <f t="shared" si="906"/>
        <v>0</v>
      </c>
      <c r="AM420" s="264">
        <f>IF(AM388=0,0,AM412/AM388)</f>
        <v>0</v>
      </c>
      <c r="AN420" s="260"/>
      <c r="AO420" s="264">
        <f>IF(AO388=0,0,AO412/AO388)</f>
        <v>0</v>
      </c>
      <c r="AP420" s="260"/>
      <c r="AQ420" s="264"/>
      <c r="AR420" s="264" t="str">
        <f>VLOOKUP($I420,TableInputsData[],ReadMe!$M$3,FALSE)&amp;"  |  "&amp;VLOOKUP($K420,TableInputsData[],ReadMe!$M$3,FALSE)</f>
        <v>PRODUIT 10  |  PRIX MOYEN D'ACHAT PAR PRODUIT/SERVICE</v>
      </c>
      <c r="AS420" s="264"/>
      <c r="AT420" s="294"/>
    </row>
    <row r="421" spans="1:46" ht="13" hidden="1" x14ac:dyDescent="0.2">
      <c r="A421" s="294"/>
      <c r="B421" s="925"/>
      <c r="C421" s="272">
        <v>414</v>
      </c>
      <c r="D421" s="250">
        <f t="shared" si="842"/>
        <v>0</v>
      </c>
      <c r="E421" s="251"/>
      <c r="F421" s="248" t="str">
        <f t="shared" si="902"/>
        <v>CURRENT YEAR</v>
      </c>
      <c r="G421" s="250">
        <f>VLOOKUP(F421,TableInputsData[],$G$6,FALSE)</f>
        <v>2025</v>
      </c>
      <c r="H421" s="250" t="str">
        <f t="shared" si="843"/>
        <v>PRODUCT</v>
      </c>
      <c r="I421" s="248" t="str">
        <f t="shared" si="843"/>
        <v>PRODUCT 10</v>
      </c>
      <c r="J421" s="248" t="str">
        <f>VLOOKUP(I421,TableInputsData[],$J$6,FALSE)</f>
        <v>-</v>
      </c>
      <c r="K421" s="248" t="str">
        <f t="shared" ref="K421:K426" si="907">K420</f>
        <v>AVERAGE COST OF GOODS SOLD PER UNIT</v>
      </c>
      <c r="L421" s="256"/>
      <c r="M421" s="256"/>
      <c r="N421" s="256"/>
      <c r="O421" s="266"/>
      <c r="P421" s="261"/>
      <c r="Q421" s="261"/>
      <c r="R421" s="261"/>
      <c r="S421" s="629"/>
      <c r="T421" s="629"/>
      <c r="U421" s="629"/>
      <c r="V421" s="629"/>
      <c r="W421" s="261"/>
      <c r="X421" s="261"/>
      <c r="Y421" s="261"/>
      <c r="Z421" s="261"/>
      <c r="AA421" s="261"/>
      <c r="AB421" s="261"/>
      <c r="AC421" s="266"/>
      <c r="AD421" s="633"/>
      <c r="AE421" s="264">
        <f t="shared" ref="AE421:AL421" si="908">IF(AE389=0,0,AE413/AE389)</f>
        <v>0</v>
      </c>
      <c r="AF421" s="264">
        <f t="shared" si="908"/>
        <v>0</v>
      </c>
      <c r="AG421" s="264">
        <f t="shared" si="908"/>
        <v>0</v>
      </c>
      <c r="AH421" s="264">
        <f t="shared" si="908"/>
        <v>0</v>
      </c>
      <c r="AI421" s="264">
        <f t="shared" si="908"/>
        <v>0</v>
      </c>
      <c r="AJ421" s="264">
        <f t="shared" si="908"/>
        <v>0</v>
      </c>
      <c r="AK421" s="264">
        <f t="shared" si="908"/>
        <v>0</v>
      </c>
      <c r="AL421" s="264">
        <f t="shared" si="908"/>
        <v>0</v>
      </c>
      <c r="AM421" s="264">
        <f>IF(AM389=0,0,AM413/AM389)</f>
        <v>0</v>
      </c>
      <c r="AN421" s="260"/>
      <c r="AO421" s="264">
        <f>IF(AO389=0,0,AO413/AO389)</f>
        <v>0</v>
      </c>
      <c r="AP421" s="260"/>
      <c r="AQ421" s="264"/>
      <c r="AR421" s="264" t="str">
        <f>VLOOKUP($I421,TableInputsData[],ReadMe!$M$3,FALSE)&amp;"  |  "&amp;VLOOKUP($K421,TableInputsData[],ReadMe!$M$3,FALSE)</f>
        <v>PRODUIT 10  |  PRIX MOYEN D'ACHAT PAR PRODUIT/SERVICE</v>
      </c>
      <c r="AS421" s="264"/>
      <c r="AT421" s="294"/>
    </row>
    <row r="422" spans="1:46" ht="13" hidden="1" x14ac:dyDescent="0.2">
      <c r="A422" s="294"/>
      <c r="B422" s="925"/>
      <c r="C422" s="272">
        <v>415</v>
      </c>
      <c r="D422" s="250">
        <f t="shared" si="842"/>
        <v>0</v>
      </c>
      <c r="E422" s="251"/>
      <c r="F422" s="248" t="str">
        <f t="shared" si="902"/>
        <v>YEAR2</v>
      </c>
      <c r="G422" s="250">
        <f>VLOOKUP(F422,TableInputsData[],$G$6,FALSE)</f>
        <v>2026</v>
      </c>
      <c r="H422" s="250" t="str">
        <f t="shared" si="843"/>
        <v>PRODUCT</v>
      </c>
      <c r="I422" s="248" t="str">
        <f t="shared" si="843"/>
        <v>PRODUCT 10</v>
      </c>
      <c r="J422" s="248" t="str">
        <f>VLOOKUP(I422,TableInputsData[],$J$6,FALSE)</f>
        <v>-</v>
      </c>
      <c r="K422" s="248" t="str">
        <f t="shared" si="907"/>
        <v>AVERAGE COST OF GOODS SOLD PER UNIT</v>
      </c>
      <c r="L422" s="256"/>
      <c r="M422" s="256"/>
      <c r="N422" s="256"/>
      <c r="O422" s="266"/>
      <c r="P422" s="261"/>
      <c r="Q422" s="261"/>
      <c r="R422" s="261"/>
      <c r="S422" s="629"/>
      <c r="T422" s="629"/>
      <c r="U422" s="629"/>
      <c r="V422" s="629"/>
      <c r="W422" s="261"/>
      <c r="X422" s="261"/>
      <c r="Y422" s="261"/>
      <c r="Z422" s="261"/>
      <c r="AA422" s="261"/>
      <c r="AB422" s="261"/>
      <c r="AC422" s="266"/>
      <c r="AD422" s="633"/>
      <c r="AE422" s="264">
        <f t="shared" ref="AE422:AM422" si="909">IF(AE390=0,0,AE414/AE390)</f>
        <v>0</v>
      </c>
      <c r="AF422" s="264">
        <f t="shared" si="909"/>
        <v>0</v>
      </c>
      <c r="AG422" s="264">
        <f t="shared" si="909"/>
        <v>0</v>
      </c>
      <c r="AH422" s="264">
        <f t="shared" si="909"/>
        <v>0</v>
      </c>
      <c r="AI422" s="264">
        <f t="shared" si="909"/>
        <v>0</v>
      </c>
      <c r="AJ422" s="264">
        <f t="shared" si="909"/>
        <v>0</v>
      </c>
      <c r="AK422" s="264">
        <f t="shared" si="909"/>
        <v>0</v>
      </c>
      <c r="AL422" s="264">
        <f t="shared" si="909"/>
        <v>0</v>
      </c>
      <c r="AM422" s="264">
        <f t="shared" si="909"/>
        <v>0</v>
      </c>
      <c r="AN422" s="260"/>
      <c r="AO422" s="264">
        <f t="shared" ref="AO422" si="910">IF(AO390=0,0,AO414/AO390)</f>
        <v>0</v>
      </c>
      <c r="AP422" s="260"/>
      <c r="AQ422" s="264"/>
      <c r="AR422" s="264" t="str">
        <f>VLOOKUP($I422,TableInputsData[],ReadMe!$M$3,FALSE)&amp;"  |  "&amp;VLOOKUP($K422,TableInputsData[],ReadMe!$M$3,FALSE)</f>
        <v>PRODUIT 10  |  PRIX MOYEN D'ACHAT PAR PRODUIT/SERVICE</v>
      </c>
      <c r="AS422" s="264"/>
      <c r="AT422" s="294"/>
    </row>
    <row r="423" spans="1:46" ht="13" hidden="1" x14ac:dyDescent="0.2">
      <c r="A423" s="294"/>
      <c r="B423" s="925"/>
      <c r="C423" s="272">
        <v>416</v>
      </c>
      <c r="D423" s="250">
        <f t="shared" si="842"/>
        <v>0</v>
      </c>
      <c r="E423" s="251"/>
      <c r="F423" s="248" t="str">
        <f t="shared" si="902"/>
        <v>YEAR3</v>
      </c>
      <c r="G423" s="250">
        <f>VLOOKUP(F423,TableInputsData[],$G$6,FALSE)</f>
        <v>2027</v>
      </c>
      <c r="H423" s="250" t="str">
        <f t="shared" si="843"/>
        <v>PRODUCT</v>
      </c>
      <c r="I423" s="248" t="str">
        <f t="shared" si="843"/>
        <v>PRODUCT 10</v>
      </c>
      <c r="J423" s="248" t="str">
        <f>VLOOKUP(I423,TableInputsData[],$J$6,FALSE)</f>
        <v>-</v>
      </c>
      <c r="K423" s="248" t="str">
        <f t="shared" si="907"/>
        <v>AVERAGE COST OF GOODS SOLD PER UNIT</v>
      </c>
      <c r="L423" s="256"/>
      <c r="M423" s="256"/>
      <c r="N423" s="256"/>
      <c r="O423" s="266"/>
      <c r="P423" s="261"/>
      <c r="Q423" s="261"/>
      <c r="R423" s="261"/>
      <c r="S423" s="629"/>
      <c r="T423" s="629"/>
      <c r="U423" s="629"/>
      <c r="V423" s="629"/>
      <c r="W423" s="261"/>
      <c r="X423" s="261"/>
      <c r="Y423" s="261"/>
      <c r="Z423" s="261"/>
      <c r="AA423" s="261"/>
      <c r="AB423" s="261"/>
      <c r="AC423" s="266"/>
      <c r="AD423" s="633"/>
      <c r="AE423" s="264">
        <f t="shared" ref="AE423:AM423" si="911">IF(AE391=0,0,AE415/AE391)</f>
        <v>0</v>
      </c>
      <c r="AF423" s="264">
        <f t="shared" si="911"/>
        <v>0</v>
      </c>
      <c r="AG423" s="264">
        <f t="shared" si="911"/>
        <v>0</v>
      </c>
      <c r="AH423" s="264">
        <f t="shared" si="911"/>
        <v>0</v>
      </c>
      <c r="AI423" s="264">
        <f t="shared" si="911"/>
        <v>0</v>
      </c>
      <c r="AJ423" s="264">
        <f t="shared" si="911"/>
        <v>0</v>
      </c>
      <c r="AK423" s="264">
        <f t="shared" si="911"/>
        <v>0</v>
      </c>
      <c r="AL423" s="264">
        <f t="shared" si="911"/>
        <v>0</v>
      </c>
      <c r="AM423" s="264">
        <f t="shared" si="911"/>
        <v>0</v>
      </c>
      <c r="AN423" s="260"/>
      <c r="AO423" s="264">
        <f t="shared" ref="AO423" si="912">IF(AO391=0,0,AO415/AO391)</f>
        <v>0</v>
      </c>
      <c r="AP423" s="260"/>
      <c r="AQ423" s="264"/>
      <c r="AR423" s="264" t="str">
        <f>VLOOKUP($I423,TableInputsData[],ReadMe!$M$3,FALSE)&amp;"  |  "&amp;VLOOKUP($K423,TableInputsData[],ReadMe!$M$3,FALSE)</f>
        <v>PRODUIT 10  |  PRIX MOYEN D'ACHAT PAR PRODUIT/SERVICE</v>
      </c>
      <c r="AS423" s="264"/>
      <c r="AT423" s="294"/>
    </row>
    <row r="424" spans="1:46" ht="13" hidden="1" x14ac:dyDescent="0.2">
      <c r="A424" s="294"/>
      <c r="B424" s="925"/>
      <c r="C424" s="272">
        <v>417</v>
      </c>
      <c r="D424" s="250">
        <f t="shared" si="842"/>
        <v>0</v>
      </c>
      <c r="E424" s="251"/>
      <c r="F424" s="248" t="str">
        <f t="shared" si="902"/>
        <v>YEAR4</v>
      </c>
      <c r="G424" s="250">
        <f>VLOOKUP(F424,TableInputsData[],$G$6,FALSE)</f>
        <v>2028</v>
      </c>
      <c r="H424" s="250" t="str">
        <f t="shared" si="843"/>
        <v>PRODUCT</v>
      </c>
      <c r="I424" s="248" t="str">
        <f t="shared" si="843"/>
        <v>PRODUCT 10</v>
      </c>
      <c r="J424" s="248" t="str">
        <f>VLOOKUP(I424,TableInputsData[],$J$6,FALSE)</f>
        <v>-</v>
      </c>
      <c r="K424" s="248" t="str">
        <f t="shared" si="907"/>
        <v>AVERAGE COST OF GOODS SOLD PER UNIT</v>
      </c>
      <c r="L424" s="256"/>
      <c r="M424" s="256"/>
      <c r="N424" s="256"/>
      <c r="O424" s="266"/>
      <c r="P424" s="261"/>
      <c r="Q424" s="261"/>
      <c r="R424" s="261"/>
      <c r="S424" s="629"/>
      <c r="T424" s="629"/>
      <c r="U424" s="629"/>
      <c r="V424" s="629"/>
      <c r="W424" s="261"/>
      <c r="X424" s="261"/>
      <c r="Y424" s="261"/>
      <c r="Z424" s="261"/>
      <c r="AA424" s="261"/>
      <c r="AB424" s="261"/>
      <c r="AC424" s="266"/>
      <c r="AD424" s="633"/>
      <c r="AE424" s="264">
        <f t="shared" ref="AE424:AM424" si="913">IF(AE392=0,0,AE416/AE392)</f>
        <v>0</v>
      </c>
      <c r="AF424" s="264">
        <f t="shared" si="913"/>
        <v>0</v>
      </c>
      <c r="AG424" s="264">
        <f t="shared" si="913"/>
        <v>0</v>
      </c>
      <c r="AH424" s="264">
        <f t="shared" si="913"/>
        <v>0</v>
      </c>
      <c r="AI424" s="264">
        <f t="shared" si="913"/>
        <v>0</v>
      </c>
      <c r="AJ424" s="264">
        <f t="shared" si="913"/>
        <v>0</v>
      </c>
      <c r="AK424" s="264">
        <f t="shared" si="913"/>
        <v>0</v>
      </c>
      <c r="AL424" s="264">
        <f t="shared" si="913"/>
        <v>0</v>
      </c>
      <c r="AM424" s="264">
        <f t="shared" si="913"/>
        <v>0</v>
      </c>
      <c r="AN424" s="260"/>
      <c r="AO424" s="264">
        <f t="shared" ref="AO424" si="914">IF(AO392=0,0,AO416/AO392)</f>
        <v>0</v>
      </c>
      <c r="AP424" s="260"/>
      <c r="AQ424" s="264"/>
      <c r="AR424" s="264" t="str">
        <f>VLOOKUP($I424,TableInputsData[],ReadMe!$M$3,FALSE)&amp;"  |  "&amp;VLOOKUP($K424,TableInputsData[],ReadMe!$M$3,FALSE)</f>
        <v>PRODUIT 10  |  PRIX MOYEN D'ACHAT PAR PRODUIT/SERVICE</v>
      </c>
      <c r="AS424" s="264"/>
      <c r="AT424" s="294"/>
    </row>
    <row r="425" spans="1:46" ht="13" hidden="1" x14ac:dyDescent="0.2">
      <c r="A425" s="294"/>
      <c r="B425" s="925"/>
      <c r="C425" s="272">
        <v>418</v>
      </c>
      <c r="D425" s="250">
        <f t="shared" si="842"/>
        <v>0</v>
      </c>
      <c r="E425" s="251"/>
      <c r="F425" s="248" t="str">
        <f t="shared" si="902"/>
        <v>YEAR5</v>
      </c>
      <c r="G425" s="250">
        <f>VLOOKUP(F425,TableInputsData[],$G$6,FALSE)</f>
        <v>2029</v>
      </c>
      <c r="H425" s="250" t="str">
        <f t="shared" si="843"/>
        <v>PRODUCT</v>
      </c>
      <c r="I425" s="248" t="str">
        <f t="shared" si="843"/>
        <v>PRODUCT 10</v>
      </c>
      <c r="J425" s="248" t="str">
        <f>VLOOKUP(I425,TableInputsData[],$J$6,FALSE)</f>
        <v>-</v>
      </c>
      <c r="K425" s="248" t="str">
        <f t="shared" si="907"/>
        <v>AVERAGE COST OF GOODS SOLD PER UNIT</v>
      </c>
      <c r="L425" s="256"/>
      <c r="M425" s="256"/>
      <c r="N425" s="256"/>
      <c r="O425" s="266"/>
      <c r="P425" s="261"/>
      <c r="Q425" s="261"/>
      <c r="R425" s="261"/>
      <c r="S425" s="629"/>
      <c r="T425" s="629"/>
      <c r="U425" s="629"/>
      <c r="V425" s="629"/>
      <c r="W425" s="261"/>
      <c r="X425" s="261"/>
      <c r="Y425" s="261"/>
      <c r="Z425" s="261"/>
      <c r="AA425" s="261"/>
      <c r="AB425" s="261"/>
      <c r="AC425" s="266"/>
      <c r="AD425" s="633"/>
      <c r="AE425" s="264">
        <f t="shared" ref="AE425:AM425" si="915">IF(AE393=0,0,AE417/AE393)</f>
        <v>0</v>
      </c>
      <c r="AF425" s="264">
        <f t="shared" si="915"/>
        <v>0</v>
      </c>
      <c r="AG425" s="264">
        <f t="shared" si="915"/>
        <v>0</v>
      </c>
      <c r="AH425" s="264">
        <f t="shared" si="915"/>
        <v>0</v>
      </c>
      <c r="AI425" s="264">
        <f t="shared" si="915"/>
        <v>0</v>
      </c>
      <c r="AJ425" s="264">
        <f t="shared" si="915"/>
        <v>0</v>
      </c>
      <c r="AK425" s="264">
        <f t="shared" si="915"/>
        <v>0</v>
      </c>
      <c r="AL425" s="264">
        <f t="shared" si="915"/>
        <v>0</v>
      </c>
      <c r="AM425" s="264">
        <f t="shared" si="915"/>
        <v>0</v>
      </c>
      <c r="AN425" s="260"/>
      <c r="AO425" s="264">
        <f t="shared" ref="AO425" si="916">IF(AO393=0,0,AO417/AO393)</f>
        <v>0</v>
      </c>
      <c r="AP425" s="260"/>
      <c r="AQ425" s="264"/>
      <c r="AR425" s="264" t="str">
        <f>VLOOKUP($I425,TableInputsData[],ReadMe!$M$3,FALSE)&amp;"  |  "&amp;VLOOKUP($K425,TableInputsData[],ReadMe!$M$3,FALSE)</f>
        <v>PRODUIT 10  |  PRIX MOYEN D'ACHAT PAR PRODUIT/SERVICE</v>
      </c>
      <c r="AS425" s="264"/>
      <c r="AT425" s="294"/>
    </row>
    <row r="426" spans="1:46" ht="13" hidden="1" x14ac:dyDescent="0.2">
      <c r="A426" s="294"/>
      <c r="B426" s="925"/>
      <c r="C426" s="272">
        <v>419</v>
      </c>
      <c r="D426" s="250">
        <f t="shared" si="842"/>
        <v>0</v>
      </c>
      <c r="E426" s="251"/>
      <c r="F426" s="248" t="str">
        <f t="shared" si="902"/>
        <v>YEAR6</v>
      </c>
      <c r="G426" s="250">
        <f>VLOOKUP(F426,TableInputsData[],$G$6,FALSE)</f>
        <v>2030</v>
      </c>
      <c r="H426" s="250" t="str">
        <f t="shared" si="843"/>
        <v>PRODUCT</v>
      </c>
      <c r="I426" s="248" t="str">
        <f t="shared" si="843"/>
        <v>PRODUCT 10</v>
      </c>
      <c r="J426" s="248" t="str">
        <f>VLOOKUP(I426,TableInputsData[],$J$6,FALSE)</f>
        <v>-</v>
      </c>
      <c r="K426" s="248" t="str">
        <f t="shared" si="907"/>
        <v>AVERAGE COST OF GOODS SOLD PER UNIT</v>
      </c>
      <c r="L426" s="256"/>
      <c r="M426" s="256"/>
      <c r="N426" s="256"/>
      <c r="O426" s="266"/>
      <c r="P426" s="261"/>
      <c r="Q426" s="261"/>
      <c r="R426" s="261"/>
      <c r="S426" s="629"/>
      <c r="T426" s="629"/>
      <c r="U426" s="629"/>
      <c r="V426" s="629"/>
      <c r="W426" s="261"/>
      <c r="X426" s="261"/>
      <c r="Y426" s="261"/>
      <c r="Z426" s="261"/>
      <c r="AA426" s="261"/>
      <c r="AB426" s="261"/>
      <c r="AC426" s="266"/>
      <c r="AD426" s="633"/>
      <c r="AE426" s="264">
        <f t="shared" ref="AE426:AM426" si="917">IF(AE394=0,0,AE418/AE394)</f>
        <v>0</v>
      </c>
      <c r="AF426" s="264">
        <f t="shared" si="917"/>
        <v>0</v>
      </c>
      <c r="AG426" s="264">
        <f t="shared" si="917"/>
        <v>0</v>
      </c>
      <c r="AH426" s="264">
        <f t="shared" si="917"/>
        <v>0</v>
      </c>
      <c r="AI426" s="264">
        <f t="shared" si="917"/>
        <v>0</v>
      </c>
      <c r="AJ426" s="264">
        <f t="shared" si="917"/>
        <v>0</v>
      </c>
      <c r="AK426" s="264">
        <f t="shared" si="917"/>
        <v>0</v>
      </c>
      <c r="AL426" s="264">
        <f t="shared" si="917"/>
        <v>0</v>
      </c>
      <c r="AM426" s="264">
        <f t="shared" si="917"/>
        <v>0</v>
      </c>
      <c r="AN426" s="260"/>
      <c r="AO426" s="264">
        <f t="shared" ref="AO426" si="918">IF(AO394=0,0,AO418/AO394)</f>
        <v>0</v>
      </c>
      <c r="AP426" s="260"/>
      <c r="AQ426" s="264"/>
      <c r="AR426" s="264" t="str">
        <f>VLOOKUP($I426,TableInputsData[],ReadMe!$M$3,FALSE)&amp;"  |  "&amp;VLOOKUP($K426,TableInputsData[],ReadMe!$M$3,FALSE)</f>
        <v>PRODUIT 10  |  PRIX MOYEN D'ACHAT PAR PRODUIT/SERVICE</v>
      </c>
      <c r="AS426" s="264"/>
      <c r="AT426" s="294"/>
    </row>
    <row r="427" spans="1:46" ht="13" x14ac:dyDescent="0.2">
      <c r="A427" s="294"/>
      <c r="B427" s="925"/>
      <c r="C427" s="273">
        <v>420</v>
      </c>
      <c r="D427" s="253">
        <v>0</v>
      </c>
      <c r="E427" s="253">
        <v>1</v>
      </c>
      <c r="F427" s="252"/>
      <c r="G427" s="253"/>
      <c r="H427" s="253"/>
      <c r="I427" s="252"/>
      <c r="J427" s="252"/>
      <c r="K427" s="252"/>
      <c r="L427" s="257"/>
      <c r="M427" s="257"/>
      <c r="N427" s="257"/>
      <c r="O427" s="267"/>
      <c r="P427" s="262"/>
      <c r="Q427" s="262"/>
      <c r="R427" s="262"/>
      <c r="S427" s="631"/>
      <c r="T427" s="631"/>
      <c r="U427" s="631"/>
      <c r="V427" s="631"/>
      <c r="W427" s="262"/>
      <c r="X427" s="262"/>
      <c r="Y427" s="262"/>
      <c r="Z427" s="262"/>
      <c r="AA427" s="262"/>
      <c r="AB427" s="262"/>
      <c r="AC427" s="267"/>
      <c r="AD427" s="635"/>
      <c r="AE427" s="270"/>
      <c r="AF427" s="270"/>
      <c r="AG427" s="270"/>
      <c r="AH427" s="270"/>
      <c r="AI427" s="270"/>
      <c r="AJ427" s="270"/>
      <c r="AK427" s="270"/>
      <c r="AL427" s="270"/>
      <c r="AM427" s="270"/>
      <c r="AN427" s="643"/>
      <c r="AO427" s="270"/>
      <c r="AP427" s="270"/>
      <c r="AQ427" s="270"/>
      <c r="AR427" s="270"/>
      <c r="AS427" s="270"/>
      <c r="AT427" s="294"/>
    </row>
    <row r="428" spans="1:46" ht="13" hidden="1" x14ac:dyDescent="0.2">
      <c r="A428" s="294"/>
      <c r="B428" s="924" t="str">
        <f>I429&amp;"___"</f>
        <v>PRODUCT 11___</v>
      </c>
      <c r="C428" s="271">
        <v>421</v>
      </c>
      <c r="D428" s="250">
        <v>0</v>
      </c>
      <c r="E428" s="250"/>
      <c r="F428" s="248"/>
      <c r="G428" s="250"/>
      <c r="H428" s="250"/>
      <c r="I428" s="248"/>
      <c r="J428" s="248"/>
      <c r="K428" s="248"/>
      <c r="L428" s="254"/>
      <c r="M428" s="254"/>
      <c r="N428" s="254"/>
      <c r="O428" s="264"/>
      <c r="P428" s="259"/>
      <c r="Q428" s="259"/>
      <c r="R428" s="259"/>
      <c r="S428" s="628"/>
      <c r="T428" s="628"/>
      <c r="U428" s="628"/>
      <c r="V428" s="628"/>
      <c r="W428" s="259"/>
      <c r="X428" s="259"/>
      <c r="Y428" s="259"/>
      <c r="Z428" s="259"/>
      <c r="AA428" s="259"/>
      <c r="AB428" s="259"/>
      <c r="AC428" s="264"/>
      <c r="AD428" s="609"/>
      <c r="AE428" s="269"/>
      <c r="AF428" s="269"/>
      <c r="AG428" s="269"/>
      <c r="AH428" s="269"/>
      <c r="AI428" s="269"/>
      <c r="AJ428" s="269"/>
      <c r="AK428" s="269"/>
      <c r="AL428" s="269"/>
      <c r="AM428" s="269"/>
      <c r="AN428" s="642"/>
      <c r="AO428" s="269"/>
      <c r="AP428" s="269"/>
      <c r="AQ428" s="269"/>
      <c r="AR428" s="269"/>
      <c r="AS428" s="269"/>
      <c r="AT428" s="294"/>
    </row>
    <row r="429" spans="1:46" ht="13" x14ac:dyDescent="0.2">
      <c r="A429" s="294"/>
      <c r="B429" s="924"/>
      <c r="C429" s="271">
        <v>422</v>
      </c>
      <c r="D429" s="250">
        <f>VLOOKUP($I429,TableInputsData[],$D$6,FALSE)</f>
        <v>0</v>
      </c>
      <c r="E429" s="250">
        <v>1</v>
      </c>
      <c r="F429" s="248" t="s">
        <v>392</v>
      </c>
      <c r="G429" s="250">
        <f>VLOOKUP(F429,TableInputsData[],$G$6,FALSE)</f>
        <v>2023</v>
      </c>
      <c r="H429" s="250" t="s">
        <v>588</v>
      </c>
      <c r="I429" s="248" t="s">
        <v>1710</v>
      </c>
      <c r="J429" s="248" t="str">
        <f>VLOOKUP(I429,TableInputsData[],$J$6,FALSE)</f>
        <v>-</v>
      </c>
      <c r="K429" s="248" t="s">
        <v>261</v>
      </c>
      <c r="L429" s="499">
        <v>1000</v>
      </c>
      <c r="M429" s="499">
        <v>0</v>
      </c>
      <c r="N429" s="499">
        <v>0</v>
      </c>
      <c r="O429" s="264">
        <f t="shared" ref="O429:O436" si="919">$L429*$P429+$M429*$Q429+$N429*$R429</f>
        <v>1000</v>
      </c>
      <c r="P429" s="500">
        <v>1</v>
      </c>
      <c r="Q429" s="500">
        <v>0</v>
      </c>
      <c r="R429" s="259">
        <f>1-$P429-$Q429</f>
        <v>0</v>
      </c>
      <c r="S429" s="626">
        <v>500</v>
      </c>
      <c r="T429" s="626">
        <v>0</v>
      </c>
      <c r="U429" s="626">
        <v>0</v>
      </c>
      <c r="V429" s="628">
        <f>($L429*$P429*$S429+$M429*$Q429*$T429+$N429*$R429*$U429)/$O429</f>
        <v>500</v>
      </c>
      <c r="W429" s="500">
        <v>1</v>
      </c>
      <c r="X429" s="500">
        <v>1</v>
      </c>
      <c r="Y429" s="500">
        <v>1</v>
      </c>
      <c r="Z429" s="259">
        <f t="shared" ref="Z429:Z436" si="920">1-$W429</f>
        <v>0</v>
      </c>
      <c r="AA429" s="259">
        <f t="shared" ref="AA429:AA436" si="921">1-$X429</f>
        <v>0</v>
      </c>
      <c r="AB429" s="259">
        <f t="shared" ref="AB429:AB436" si="922">1-$Y429</f>
        <v>0</v>
      </c>
      <c r="AC429" s="628">
        <f>AM461</f>
        <v>0</v>
      </c>
      <c r="AD429" s="628">
        <f>AO461</f>
        <v>0</v>
      </c>
      <c r="AE429" s="501">
        <v>0</v>
      </c>
      <c r="AF429" s="501">
        <v>0</v>
      </c>
      <c r="AG429" s="501">
        <v>0</v>
      </c>
      <c r="AH429" s="501">
        <v>0</v>
      </c>
      <c r="AI429" s="264">
        <f t="shared" ref="AI429:AI432" si="923">$AE429+$AF429+$AG429+$AH429</f>
        <v>0</v>
      </c>
      <c r="AJ429" s="264">
        <f t="shared" ref="AJ429:AJ436" si="924">$AI429*$P429</f>
        <v>0</v>
      </c>
      <c r="AK429" s="264">
        <f t="shared" ref="AK429:AK436" si="925">$AI429*$Q429</f>
        <v>0</v>
      </c>
      <c r="AL429" s="264">
        <f t="shared" ref="AL429:AL436" si="926">$AI429*$R429</f>
        <v>0</v>
      </c>
      <c r="AM429" s="264">
        <f t="shared" ref="AM429:AM436" si="927">$AJ429*$W429+$AK429*$X429+$AL429*$Y429</f>
        <v>0</v>
      </c>
      <c r="AN429" s="640">
        <f>IF(AI429=0,0,AM429/AI429)</f>
        <v>0</v>
      </c>
      <c r="AO429" s="264">
        <f t="shared" ref="AO429:AO436" si="928">$AJ429*$Z429+$AK429*$AA429+$AL429*$AB429</f>
        <v>0</v>
      </c>
      <c r="AP429" s="640">
        <f t="shared" ref="AP429:AP444" si="929">IF(AI429=0,0,AO429/AI429)</f>
        <v>0</v>
      </c>
      <c r="AQ429" s="264" t="str">
        <f>VLOOKUP(I429,TableInputsData[],$AQ$6,FALSE)</f>
        <v>GAMME # : 1 + CANAL DE DISTRIBUTION # : 1</v>
      </c>
      <c r="AR429" s="264" t="str">
        <f>VLOOKUP($I429,TableInputsData[],ReadMe!$M$3,FALSE)&amp;"  |  "&amp;VLOOKUP($K429,TableInputsData[],ReadMe!$M$3,FALSE)</f>
        <v>PRODUIT 11  |  VOLUME</v>
      </c>
      <c r="AS429" s="264" t="b">
        <f t="shared" ref="AS429:AS436" si="930">AND(EXACT(ROUND(AI429,2),ROUND(AJ429+AK429+AL429,2)),EXACT(ROUND(AI429,2),ROUND(AM429+AO429,2)),EXACT(SUM(P429:R429),1),IF(R429&lt;0,FALSE,TRUE),EXACT(SUM(W429:AB429),3),MIN(W429:Y429)&gt;=0, MAX(W429:Y429)&lt;=1)</f>
        <v>1</v>
      </c>
      <c r="AT429" s="294"/>
    </row>
    <row r="430" spans="1:46" ht="13" x14ac:dyDescent="0.2">
      <c r="A430" s="294"/>
      <c r="B430" s="924"/>
      <c r="C430" s="271">
        <v>423</v>
      </c>
      <c r="D430" s="250">
        <f>D429</f>
        <v>0</v>
      </c>
      <c r="E430" s="250">
        <v>1</v>
      </c>
      <c r="F430" s="248" t="s">
        <v>391</v>
      </c>
      <c r="G430" s="250">
        <f>VLOOKUP(F430,TableInputsData[],$G$6,FALSE)</f>
        <v>2024</v>
      </c>
      <c r="H430" s="250" t="str">
        <f>H429</f>
        <v>PRODUCT</v>
      </c>
      <c r="I430" s="248" t="str">
        <f>I429</f>
        <v>PRODUCT 11</v>
      </c>
      <c r="J430" s="248" t="str">
        <f>VLOOKUP(I430,TableInputsData[],$J$6,FALSE)</f>
        <v>-</v>
      </c>
      <c r="K430" s="248" t="str">
        <f>K429</f>
        <v>VOLUME</v>
      </c>
      <c r="L430" s="499">
        <v>1000</v>
      </c>
      <c r="M430" s="499">
        <v>0</v>
      </c>
      <c r="N430" s="499">
        <v>0</v>
      </c>
      <c r="O430" s="264">
        <f t="shared" si="919"/>
        <v>1000</v>
      </c>
      <c r="P430" s="500">
        <v>1</v>
      </c>
      <c r="Q430" s="500">
        <v>0</v>
      </c>
      <c r="R430" s="259">
        <f t="shared" ref="R430:R436" si="931">1-$P430-$Q430</f>
        <v>0</v>
      </c>
      <c r="S430" s="626">
        <v>500</v>
      </c>
      <c r="T430" s="626">
        <v>0</v>
      </c>
      <c r="U430" s="626">
        <v>0</v>
      </c>
      <c r="V430" s="628">
        <f t="shared" ref="V430:V436" si="932">($L430*$P430*$S430+$M430*$Q430*$T430+$N430*$R430*$U430)/$O430</f>
        <v>500</v>
      </c>
      <c r="W430" s="500">
        <v>1</v>
      </c>
      <c r="X430" s="500">
        <v>1</v>
      </c>
      <c r="Y430" s="500">
        <v>1</v>
      </c>
      <c r="Z430" s="259">
        <f t="shared" si="920"/>
        <v>0</v>
      </c>
      <c r="AA430" s="259">
        <f t="shared" si="921"/>
        <v>0</v>
      </c>
      <c r="AB430" s="259">
        <f t="shared" si="922"/>
        <v>0</v>
      </c>
      <c r="AC430" s="628">
        <f t="shared" ref="AC430:AC436" si="933">AM462</f>
        <v>0</v>
      </c>
      <c r="AD430" s="628">
        <f t="shared" ref="AD430:AD436" si="934">AO462</f>
        <v>0</v>
      </c>
      <c r="AE430" s="501">
        <v>0</v>
      </c>
      <c r="AF430" s="501">
        <v>0</v>
      </c>
      <c r="AG430" s="501">
        <v>0</v>
      </c>
      <c r="AH430" s="501">
        <v>0</v>
      </c>
      <c r="AI430" s="264">
        <f t="shared" si="923"/>
        <v>0</v>
      </c>
      <c r="AJ430" s="264">
        <f t="shared" si="924"/>
        <v>0</v>
      </c>
      <c r="AK430" s="264">
        <f t="shared" si="925"/>
        <v>0</v>
      </c>
      <c r="AL430" s="264">
        <f t="shared" si="926"/>
        <v>0</v>
      </c>
      <c r="AM430" s="264">
        <f t="shared" si="927"/>
        <v>0</v>
      </c>
      <c r="AN430" s="640">
        <f t="shared" ref="AN430:AN444" si="935">IF(AI430=0,0,AM430/AI430)</f>
        <v>0</v>
      </c>
      <c r="AO430" s="264">
        <f t="shared" si="928"/>
        <v>0</v>
      </c>
      <c r="AP430" s="640">
        <f t="shared" si="929"/>
        <v>0</v>
      </c>
      <c r="AQ430" s="501"/>
      <c r="AR430" s="264" t="str">
        <f>VLOOKUP($I430,TableInputsData[],ReadMe!$M$3,FALSE)&amp;"  |  "&amp;VLOOKUP($K430,TableInputsData[],ReadMe!$M$3,FALSE)</f>
        <v>PRODUIT 11  |  VOLUME</v>
      </c>
      <c r="AS430" s="264" t="b">
        <f t="shared" si="930"/>
        <v>1</v>
      </c>
      <c r="AT430" s="294"/>
    </row>
    <row r="431" spans="1:46" ht="13" x14ac:dyDescent="0.2">
      <c r="A431" s="294"/>
      <c r="B431" s="924"/>
      <c r="C431" s="271">
        <v>424</v>
      </c>
      <c r="D431" s="250">
        <f t="shared" ref="D431:D468" si="936">D430</f>
        <v>0</v>
      </c>
      <c r="E431" s="250">
        <v>1</v>
      </c>
      <c r="F431" s="248" t="s">
        <v>393</v>
      </c>
      <c r="G431" s="250">
        <f>VLOOKUP(F431,TableInputsData[],$G$6,FALSE)</f>
        <v>2025</v>
      </c>
      <c r="H431" s="250" t="str">
        <f t="shared" ref="H431:I431" si="937">H430</f>
        <v>PRODUCT</v>
      </c>
      <c r="I431" s="248" t="str">
        <f t="shared" si="937"/>
        <v>PRODUCT 11</v>
      </c>
      <c r="J431" s="248" t="str">
        <f>VLOOKUP(I431,TableInputsData[],$J$6,FALSE)</f>
        <v>-</v>
      </c>
      <c r="K431" s="248" t="str">
        <f t="shared" ref="K431:K436" si="938">K430</f>
        <v>VOLUME</v>
      </c>
      <c r="L431" s="499">
        <v>1000</v>
      </c>
      <c r="M431" s="499">
        <v>0</v>
      </c>
      <c r="N431" s="499">
        <v>0</v>
      </c>
      <c r="O431" s="264">
        <f t="shared" si="919"/>
        <v>1000</v>
      </c>
      <c r="P431" s="500">
        <v>1</v>
      </c>
      <c r="Q431" s="500">
        <v>0</v>
      </c>
      <c r="R431" s="259">
        <f t="shared" si="931"/>
        <v>0</v>
      </c>
      <c r="S431" s="626">
        <v>500</v>
      </c>
      <c r="T431" s="626">
        <v>0</v>
      </c>
      <c r="U431" s="626">
        <v>0</v>
      </c>
      <c r="V431" s="628">
        <f t="shared" si="932"/>
        <v>500</v>
      </c>
      <c r="W431" s="500">
        <v>1</v>
      </c>
      <c r="X431" s="500">
        <v>1</v>
      </c>
      <c r="Y431" s="500">
        <v>1</v>
      </c>
      <c r="Z431" s="259">
        <f t="shared" si="920"/>
        <v>0</v>
      </c>
      <c r="AA431" s="259">
        <f t="shared" si="921"/>
        <v>0</v>
      </c>
      <c r="AB431" s="259">
        <f t="shared" si="922"/>
        <v>0</v>
      </c>
      <c r="AC431" s="628">
        <f t="shared" si="933"/>
        <v>0</v>
      </c>
      <c r="AD431" s="628">
        <f t="shared" si="934"/>
        <v>0</v>
      </c>
      <c r="AE431" s="501">
        <v>0</v>
      </c>
      <c r="AF431" s="501">
        <v>0</v>
      </c>
      <c r="AG431" s="501">
        <v>0</v>
      </c>
      <c r="AH431" s="501">
        <v>0</v>
      </c>
      <c r="AI431" s="264">
        <f t="shared" si="923"/>
        <v>0</v>
      </c>
      <c r="AJ431" s="264">
        <f t="shared" si="924"/>
        <v>0</v>
      </c>
      <c r="AK431" s="264">
        <f t="shared" si="925"/>
        <v>0</v>
      </c>
      <c r="AL431" s="264">
        <f t="shared" si="926"/>
        <v>0</v>
      </c>
      <c r="AM431" s="264">
        <f t="shared" si="927"/>
        <v>0</v>
      </c>
      <c r="AN431" s="640">
        <f t="shared" si="935"/>
        <v>0</v>
      </c>
      <c r="AO431" s="264">
        <f t="shared" si="928"/>
        <v>0</v>
      </c>
      <c r="AP431" s="640">
        <f t="shared" si="929"/>
        <v>0</v>
      </c>
      <c r="AQ431" s="501"/>
      <c r="AR431" s="264" t="str">
        <f>VLOOKUP($I431,TableInputsData[],ReadMe!$M$3,FALSE)&amp;"  |  "&amp;VLOOKUP($K431,TableInputsData[],ReadMe!$M$3,FALSE)</f>
        <v>PRODUIT 11  |  VOLUME</v>
      </c>
      <c r="AS431" s="264" t="b">
        <f t="shared" si="930"/>
        <v>1</v>
      </c>
      <c r="AT431" s="294"/>
    </row>
    <row r="432" spans="1:46" ht="13" x14ac:dyDescent="0.2">
      <c r="A432" s="294"/>
      <c r="B432" s="924"/>
      <c r="C432" s="271">
        <v>425</v>
      </c>
      <c r="D432" s="250">
        <f t="shared" si="936"/>
        <v>0</v>
      </c>
      <c r="E432" s="250">
        <v>1</v>
      </c>
      <c r="F432" s="248" t="s">
        <v>396</v>
      </c>
      <c r="G432" s="250">
        <f>VLOOKUP(F432,TableInputsData[],$G$6,FALSE)</f>
        <v>2026</v>
      </c>
      <c r="H432" s="250" t="str">
        <f t="shared" ref="H432:I432" si="939">H431</f>
        <v>PRODUCT</v>
      </c>
      <c r="I432" s="248" t="str">
        <f t="shared" si="939"/>
        <v>PRODUCT 11</v>
      </c>
      <c r="J432" s="248" t="str">
        <f>VLOOKUP(I432,TableInputsData[],$J$6,FALSE)</f>
        <v>-</v>
      </c>
      <c r="K432" s="248" t="str">
        <f t="shared" si="938"/>
        <v>VOLUME</v>
      </c>
      <c r="L432" s="499">
        <v>1000</v>
      </c>
      <c r="M432" s="499">
        <v>0</v>
      </c>
      <c r="N432" s="499">
        <v>0</v>
      </c>
      <c r="O432" s="264">
        <f t="shared" si="919"/>
        <v>1000</v>
      </c>
      <c r="P432" s="500">
        <v>1</v>
      </c>
      <c r="Q432" s="500">
        <v>0</v>
      </c>
      <c r="R432" s="259">
        <f t="shared" si="931"/>
        <v>0</v>
      </c>
      <c r="S432" s="626">
        <v>500</v>
      </c>
      <c r="T432" s="626">
        <v>0</v>
      </c>
      <c r="U432" s="626">
        <v>0</v>
      </c>
      <c r="V432" s="628">
        <f t="shared" si="932"/>
        <v>500</v>
      </c>
      <c r="W432" s="500">
        <v>1</v>
      </c>
      <c r="X432" s="500">
        <v>1</v>
      </c>
      <c r="Y432" s="500">
        <v>1</v>
      </c>
      <c r="Z432" s="259">
        <f t="shared" si="920"/>
        <v>0</v>
      </c>
      <c r="AA432" s="259">
        <f t="shared" si="921"/>
        <v>0</v>
      </c>
      <c r="AB432" s="259">
        <f t="shared" si="922"/>
        <v>0</v>
      </c>
      <c r="AC432" s="628">
        <f t="shared" si="933"/>
        <v>0</v>
      </c>
      <c r="AD432" s="628">
        <f t="shared" si="934"/>
        <v>0</v>
      </c>
      <c r="AE432" s="501">
        <v>0</v>
      </c>
      <c r="AF432" s="501">
        <v>0</v>
      </c>
      <c r="AG432" s="501">
        <v>0</v>
      </c>
      <c r="AH432" s="501">
        <v>0</v>
      </c>
      <c r="AI432" s="264">
        <f t="shared" si="923"/>
        <v>0</v>
      </c>
      <c r="AJ432" s="264">
        <f t="shared" si="924"/>
        <v>0</v>
      </c>
      <c r="AK432" s="264">
        <f t="shared" si="925"/>
        <v>0</v>
      </c>
      <c r="AL432" s="264">
        <f t="shared" si="926"/>
        <v>0</v>
      </c>
      <c r="AM432" s="264">
        <f t="shared" si="927"/>
        <v>0</v>
      </c>
      <c r="AN432" s="640">
        <f t="shared" si="935"/>
        <v>0</v>
      </c>
      <c r="AO432" s="264">
        <f t="shared" si="928"/>
        <v>0</v>
      </c>
      <c r="AP432" s="640">
        <f t="shared" si="929"/>
        <v>0</v>
      </c>
      <c r="AQ432" s="501"/>
      <c r="AR432" s="264" t="str">
        <f>VLOOKUP($I432,TableInputsData[],ReadMe!$M$3,FALSE)&amp;"  |  "&amp;VLOOKUP($K432,TableInputsData[],ReadMe!$M$3,FALSE)</f>
        <v>PRODUIT 11  |  VOLUME</v>
      </c>
      <c r="AS432" s="264" t="b">
        <f t="shared" si="930"/>
        <v>1</v>
      </c>
      <c r="AT432" s="294"/>
    </row>
    <row r="433" spans="1:46" ht="13" x14ac:dyDescent="0.2">
      <c r="A433" s="294"/>
      <c r="B433" s="924"/>
      <c r="C433" s="271">
        <v>426</v>
      </c>
      <c r="D433" s="250">
        <f t="shared" si="936"/>
        <v>0</v>
      </c>
      <c r="E433" s="250">
        <v>1</v>
      </c>
      <c r="F433" s="248" t="s">
        <v>397</v>
      </c>
      <c r="G433" s="250">
        <f>VLOOKUP(F433,TableInputsData[],$G$6,FALSE)</f>
        <v>2027</v>
      </c>
      <c r="H433" s="250" t="str">
        <f t="shared" ref="H433:I433" si="940">H432</f>
        <v>PRODUCT</v>
      </c>
      <c r="I433" s="248" t="str">
        <f t="shared" si="940"/>
        <v>PRODUCT 11</v>
      </c>
      <c r="J433" s="248" t="str">
        <f>VLOOKUP(I433,TableInputsData[],$J$6,FALSE)</f>
        <v>-</v>
      </c>
      <c r="K433" s="248" t="str">
        <f t="shared" si="938"/>
        <v>VOLUME</v>
      </c>
      <c r="L433" s="499">
        <v>1000</v>
      </c>
      <c r="M433" s="499">
        <v>0</v>
      </c>
      <c r="N433" s="499">
        <v>0</v>
      </c>
      <c r="O433" s="264">
        <f t="shared" si="919"/>
        <v>1000</v>
      </c>
      <c r="P433" s="500">
        <v>1</v>
      </c>
      <c r="Q433" s="500">
        <v>0</v>
      </c>
      <c r="R433" s="259">
        <f t="shared" si="931"/>
        <v>0</v>
      </c>
      <c r="S433" s="626">
        <v>500</v>
      </c>
      <c r="T433" s="626">
        <v>0</v>
      </c>
      <c r="U433" s="626">
        <v>0</v>
      </c>
      <c r="V433" s="628">
        <f t="shared" si="932"/>
        <v>500</v>
      </c>
      <c r="W433" s="500">
        <v>1</v>
      </c>
      <c r="X433" s="500">
        <v>1</v>
      </c>
      <c r="Y433" s="500">
        <v>1</v>
      </c>
      <c r="Z433" s="259">
        <f t="shared" si="920"/>
        <v>0</v>
      </c>
      <c r="AA433" s="259">
        <f t="shared" si="921"/>
        <v>0</v>
      </c>
      <c r="AB433" s="259">
        <f t="shared" si="922"/>
        <v>0</v>
      </c>
      <c r="AC433" s="628">
        <f t="shared" si="933"/>
        <v>0</v>
      </c>
      <c r="AD433" s="628">
        <f t="shared" si="934"/>
        <v>0</v>
      </c>
      <c r="AE433" s="264">
        <f>$AI433/4</f>
        <v>0</v>
      </c>
      <c r="AF433" s="264">
        <f t="shared" ref="AF433:AH436" si="941">$AI433/4</f>
        <v>0</v>
      </c>
      <c r="AG433" s="264">
        <f t="shared" si="941"/>
        <v>0</v>
      </c>
      <c r="AH433" s="264">
        <f t="shared" si="941"/>
        <v>0</v>
      </c>
      <c r="AI433" s="501">
        <v>0</v>
      </c>
      <c r="AJ433" s="264">
        <f t="shared" si="924"/>
        <v>0</v>
      </c>
      <c r="AK433" s="264">
        <f t="shared" si="925"/>
        <v>0</v>
      </c>
      <c r="AL433" s="264">
        <f t="shared" si="926"/>
        <v>0</v>
      </c>
      <c r="AM433" s="264">
        <f t="shared" si="927"/>
        <v>0</v>
      </c>
      <c r="AN433" s="640">
        <f t="shared" si="935"/>
        <v>0</v>
      </c>
      <c r="AO433" s="264">
        <f t="shared" si="928"/>
        <v>0</v>
      </c>
      <c r="AP433" s="640">
        <f t="shared" si="929"/>
        <v>0</v>
      </c>
      <c r="AQ433" s="501"/>
      <c r="AR433" s="264" t="str">
        <f>VLOOKUP($I433,TableInputsData[],ReadMe!$M$3,FALSE)&amp;"  |  "&amp;VLOOKUP($K433,TableInputsData[],ReadMe!$M$3,FALSE)</f>
        <v>PRODUIT 11  |  VOLUME</v>
      </c>
      <c r="AS433" s="264" t="b">
        <f t="shared" si="930"/>
        <v>1</v>
      </c>
      <c r="AT433" s="294"/>
    </row>
    <row r="434" spans="1:46" ht="13" x14ac:dyDescent="0.2">
      <c r="A434" s="294"/>
      <c r="B434" s="924"/>
      <c r="C434" s="271">
        <v>427</v>
      </c>
      <c r="D434" s="250">
        <f t="shared" si="936"/>
        <v>0</v>
      </c>
      <c r="E434" s="250">
        <v>1</v>
      </c>
      <c r="F434" s="248" t="s">
        <v>398</v>
      </c>
      <c r="G434" s="250">
        <f>VLOOKUP(F434,TableInputsData[],$G$6,FALSE)</f>
        <v>2028</v>
      </c>
      <c r="H434" s="250" t="str">
        <f t="shared" ref="H434:I434" si="942">H433</f>
        <v>PRODUCT</v>
      </c>
      <c r="I434" s="248" t="str">
        <f t="shared" si="942"/>
        <v>PRODUCT 11</v>
      </c>
      <c r="J434" s="248" t="str">
        <f>VLOOKUP(I434,TableInputsData[],$J$6,FALSE)</f>
        <v>-</v>
      </c>
      <c r="K434" s="248" t="str">
        <f t="shared" si="938"/>
        <v>VOLUME</v>
      </c>
      <c r="L434" s="499">
        <v>1000</v>
      </c>
      <c r="M434" s="499">
        <v>0</v>
      </c>
      <c r="N434" s="499">
        <v>0</v>
      </c>
      <c r="O434" s="264">
        <f t="shared" si="919"/>
        <v>1000</v>
      </c>
      <c r="P434" s="500">
        <v>1</v>
      </c>
      <c r="Q434" s="500">
        <v>0</v>
      </c>
      <c r="R434" s="259">
        <f t="shared" si="931"/>
        <v>0</v>
      </c>
      <c r="S434" s="626">
        <v>500</v>
      </c>
      <c r="T434" s="626">
        <v>0</v>
      </c>
      <c r="U434" s="626">
        <v>0</v>
      </c>
      <c r="V434" s="628">
        <f t="shared" si="932"/>
        <v>500</v>
      </c>
      <c r="W434" s="500">
        <v>1</v>
      </c>
      <c r="X434" s="500">
        <v>1</v>
      </c>
      <c r="Y434" s="500">
        <v>1</v>
      </c>
      <c r="Z434" s="259">
        <f t="shared" si="920"/>
        <v>0</v>
      </c>
      <c r="AA434" s="259">
        <f t="shared" si="921"/>
        <v>0</v>
      </c>
      <c r="AB434" s="259">
        <f t="shared" si="922"/>
        <v>0</v>
      </c>
      <c r="AC434" s="628">
        <f t="shared" si="933"/>
        <v>0</v>
      </c>
      <c r="AD434" s="628">
        <f t="shared" si="934"/>
        <v>0</v>
      </c>
      <c r="AE434" s="264">
        <f t="shared" ref="AE434:AE436" si="943">$AI434/4</f>
        <v>0</v>
      </c>
      <c r="AF434" s="264">
        <f t="shared" si="941"/>
        <v>0</v>
      </c>
      <c r="AG434" s="264">
        <f t="shared" si="941"/>
        <v>0</v>
      </c>
      <c r="AH434" s="264">
        <f t="shared" si="941"/>
        <v>0</v>
      </c>
      <c r="AI434" s="501">
        <v>0</v>
      </c>
      <c r="AJ434" s="264">
        <f t="shared" si="924"/>
        <v>0</v>
      </c>
      <c r="AK434" s="264">
        <f t="shared" si="925"/>
        <v>0</v>
      </c>
      <c r="AL434" s="264">
        <f t="shared" si="926"/>
        <v>0</v>
      </c>
      <c r="AM434" s="264">
        <f t="shared" si="927"/>
        <v>0</v>
      </c>
      <c r="AN434" s="640">
        <f t="shared" si="935"/>
        <v>0</v>
      </c>
      <c r="AO434" s="264">
        <f t="shared" si="928"/>
        <v>0</v>
      </c>
      <c r="AP434" s="640">
        <f t="shared" si="929"/>
        <v>0</v>
      </c>
      <c r="AQ434" s="501"/>
      <c r="AR434" s="264" t="str">
        <f>VLOOKUP($I434,TableInputsData[],ReadMe!$M$3,FALSE)&amp;"  |  "&amp;VLOOKUP($K434,TableInputsData[],ReadMe!$M$3,FALSE)</f>
        <v>PRODUIT 11  |  VOLUME</v>
      </c>
      <c r="AS434" s="264" t="b">
        <f t="shared" si="930"/>
        <v>1</v>
      </c>
      <c r="AT434" s="294"/>
    </row>
    <row r="435" spans="1:46" ht="13" x14ac:dyDescent="0.2">
      <c r="A435" s="294"/>
      <c r="B435" s="924"/>
      <c r="C435" s="271">
        <v>428</v>
      </c>
      <c r="D435" s="250">
        <f t="shared" si="936"/>
        <v>0</v>
      </c>
      <c r="E435" s="250">
        <v>1</v>
      </c>
      <c r="F435" s="248" t="s">
        <v>399</v>
      </c>
      <c r="G435" s="250">
        <f>VLOOKUP(F435,TableInputsData[],$G$6,FALSE)</f>
        <v>2029</v>
      </c>
      <c r="H435" s="250" t="str">
        <f t="shared" ref="H435:I435" si="944">H434</f>
        <v>PRODUCT</v>
      </c>
      <c r="I435" s="248" t="str">
        <f t="shared" si="944"/>
        <v>PRODUCT 11</v>
      </c>
      <c r="J435" s="248" t="str">
        <f>VLOOKUP(I435,TableInputsData[],$J$6,FALSE)</f>
        <v>-</v>
      </c>
      <c r="K435" s="248" t="str">
        <f t="shared" si="938"/>
        <v>VOLUME</v>
      </c>
      <c r="L435" s="499">
        <v>1000</v>
      </c>
      <c r="M435" s="499">
        <v>0</v>
      </c>
      <c r="N435" s="499">
        <v>0</v>
      </c>
      <c r="O435" s="264">
        <f t="shared" si="919"/>
        <v>1000</v>
      </c>
      <c r="P435" s="500">
        <v>1</v>
      </c>
      <c r="Q435" s="500">
        <v>0</v>
      </c>
      <c r="R435" s="259">
        <f t="shared" si="931"/>
        <v>0</v>
      </c>
      <c r="S435" s="626">
        <v>500</v>
      </c>
      <c r="T435" s="626">
        <v>0</v>
      </c>
      <c r="U435" s="626">
        <v>0</v>
      </c>
      <c r="V435" s="628">
        <f t="shared" si="932"/>
        <v>500</v>
      </c>
      <c r="W435" s="500">
        <v>1</v>
      </c>
      <c r="X435" s="500">
        <v>1</v>
      </c>
      <c r="Y435" s="500">
        <v>1</v>
      </c>
      <c r="Z435" s="259">
        <f t="shared" si="920"/>
        <v>0</v>
      </c>
      <c r="AA435" s="259">
        <f t="shared" si="921"/>
        <v>0</v>
      </c>
      <c r="AB435" s="259">
        <f t="shared" si="922"/>
        <v>0</v>
      </c>
      <c r="AC435" s="628">
        <f t="shared" si="933"/>
        <v>0</v>
      </c>
      <c r="AD435" s="628">
        <f t="shared" si="934"/>
        <v>0</v>
      </c>
      <c r="AE435" s="264">
        <f t="shared" si="943"/>
        <v>0</v>
      </c>
      <c r="AF435" s="264">
        <f t="shared" si="941"/>
        <v>0</v>
      </c>
      <c r="AG435" s="264">
        <f t="shared" si="941"/>
        <v>0</v>
      </c>
      <c r="AH435" s="264">
        <f t="shared" si="941"/>
        <v>0</v>
      </c>
      <c r="AI435" s="501">
        <v>0</v>
      </c>
      <c r="AJ435" s="264">
        <f t="shared" si="924"/>
        <v>0</v>
      </c>
      <c r="AK435" s="264">
        <f t="shared" si="925"/>
        <v>0</v>
      </c>
      <c r="AL435" s="264">
        <f t="shared" si="926"/>
        <v>0</v>
      </c>
      <c r="AM435" s="264">
        <f t="shared" si="927"/>
        <v>0</v>
      </c>
      <c r="AN435" s="640">
        <f t="shared" si="935"/>
        <v>0</v>
      </c>
      <c r="AO435" s="264">
        <f t="shared" si="928"/>
        <v>0</v>
      </c>
      <c r="AP435" s="640">
        <f t="shared" si="929"/>
        <v>0</v>
      </c>
      <c r="AQ435" s="501"/>
      <c r="AR435" s="264" t="str">
        <f>VLOOKUP($I435,TableInputsData[],ReadMe!$M$3,FALSE)&amp;"  |  "&amp;VLOOKUP($K435,TableInputsData[],ReadMe!$M$3,FALSE)</f>
        <v>PRODUIT 11  |  VOLUME</v>
      </c>
      <c r="AS435" s="264" t="b">
        <f t="shared" si="930"/>
        <v>1</v>
      </c>
      <c r="AT435" s="294"/>
    </row>
    <row r="436" spans="1:46" ht="13" x14ac:dyDescent="0.2">
      <c r="A436" s="294"/>
      <c r="B436" s="924"/>
      <c r="C436" s="271">
        <v>429</v>
      </c>
      <c r="D436" s="250">
        <f t="shared" si="936"/>
        <v>0</v>
      </c>
      <c r="E436" s="250">
        <v>1</v>
      </c>
      <c r="F436" s="248" t="s">
        <v>400</v>
      </c>
      <c r="G436" s="250">
        <f>VLOOKUP(F436,TableInputsData[],$G$6,FALSE)</f>
        <v>2030</v>
      </c>
      <c r="H436" s="250" t="str">
        <f t="shared" ref="H436:I436" si="945">H435</f>
        <v>PRODUCT</v>
      </c>
      <c r="I436" s="248" t="str">
        <f t="shared" si="945"/>
        <v>PRODUCT 11</v>
      </c>
      <c r="J436" s="248" t="str">
        <f>VLOOKUP(I436,TableInputsData[],$J$6,FALSE)</f>
        <v>-</v>
      </c>
      <c r="K436" s="248" t="str">
        <f t="shared" si="938"/>
        <v>VOLUME</v>
      </c>
      <c r="L436" s="499">
        <v>1000</v>
      </c>
      <c r="M436" s="499">
        <v>0</v>
      </c>
      <c r="N436" s="499">
        <v>0</v>
      </c>
      <c r="O436" s="264">
        <f t="shared" si="919"/>
        <v>1000</v>
      </c>
      <c r="P436" s="500">
        <v>1</v>
      </c>
      <c r="Q436" s="500">
        <v>0</v>
      </c>
      <c r="R436" s="259">
        <f t="shared" si="931"/>
        <v>0</v>
      </c>
      <c r="S436" s="626">
        <v>500</v>
      </c>
      <c r="T436" s="626">
        <v>0</v>
      </c>
      <c r="U436" s="626">
        <v>0</v>
      </c>
      <c r="V436" s="628">
        <f t="shared" si="932"/>
        <v>500</v>
      </c>
      <c r="W436" s="500">
        <v>1</v>
      </c>
      <c r="X436" s="500">
        <v>1</v>
      </c>
      <c r="Y436" s="500">
        <v>1</v>
      </c>
      <c r="Z436" s="259">
        <f t="shared" si="920"/>
        <v>0</v>
      </c>
      <c r="AA436" s="259">
        <f t="shared" si="921"/>
        <v>0</v>
      </c>
      <c r="AB436" s="259">
        <f t="shared" si="922"/>
        <v>0</v>
      </c>
      <c r="AC436" s="628">
        <f t="shared" si="933"/>
        <v>0</v>
      </c>
      <c r="AD436" s="628">
        <f t="shared" si="934"/>
        <v>0</v>
      </c>
      <c r="AE436" s="264">
        <f t="shared" si="943"/>
        <v>0</v>
      </c>
      <c r="AF436" s="264">
        <f t="shared" si="941"/>
        <v>0</v>
      </c>
      <c r="AG436" s="264">
        <f t="shared" si="941"/>
        <v>0</v>
      </c>
      <c r="AH436" s="264">
        <f t="shared" si="941"/>
        <v>0</v>
      </c>
      <c r="AI436" s="501">
        <v>0</v>
      </c>
      <c r="AJ436" s="264">
        <f t="shared" si="924"/>
        <v>0</v>
      </c>
      <c r="AK436" s="264">
        <f t="shared" si="925"/>
        <v>0</v>
      </c>
      <c r="AL436" s="264">
        <f t="shared" si="926"/>
        <v>0</v>
      </c>
      <c r="AM436" s="264">
        <f t="shared" si="927"/>
        <v>0</v>
      </c>
      <c r="AN436" s="640">
        <f t="shared" si="935"/>
        <v>0</v>
      </c>
      <c r="AO436" s="264">
        <f t="shared" si="928"/>
        <v>0</v>
      </c>
      <c r="AP436" s="640">
        <f t="shared" si="929"/>
        <v>0</v>
      </c>
      <c r="AQ436" s="501"/>
      <c r="AR436" s="264" t="str">
        <f>VLOOKUP($I436,TableInputsData[],ReadMe!$M$3,FALSE)&amp;"  |  "&amp;VLOOKUP($K436,TableInputsData[],ReadMe!$M$3,FALSE)</f>
        <v>PRODUIT 11  |  VOLUME</v>
      </c>
      <c r="AS436" s="264" t="b">
        <f t="shared" si="930"/>
        <v>1</v>
      </c>
      <c r="AT436" s="294"/>
    </row>
    <row r="437" spans="1:46" ht="13" hidden="1" x14ac:dyDescent="0.2">
      <c r="A437" s="294"/>
      <c r="B437" s="924"/>
      <c r="C437" s="272">
        <v>430</v>
      </c>
      <c r="D437" s="250">
        <f t="shared" si="936"/>
        <v>0</v>
      </c>
      <c r="E437" s="251"/>
      <c r="F437" s="248" t="str">
        <f t="shared" ref="F437:F444" si="946">F445</f>
        <v>YEAR-2</v>
      </c>
      <c r="G437" s="250">
        <f>VLOOKUP(F437,TableInputsData[],$G$6,FALSE)</f>
        <v>2023</v>
      </c>
      <c r="H437" s="250" t="str">
        <f t="shared" ref="H437:I437" si="947">H436</f>
        <v>PRODUCT</v>
      </c>
      <c r="I437" s="248" t="str">
        <f t="shared" si="947"/>
        <v>PRODUCT 11</v>
      </c>
      <c r="J437" s="248" t="str">
        <f>VLOOKUP(I437,TableInputsData[],$J$6,FALSE)</f>
        <v>-</v>
      </c>
      <c r="K437" s="248" t="s">
        <v>457</v>
      </c>
      <c r="L437" s="256"/>
      <c r="M437" s="256"/>
      <c r="N437" s="256"/>
      <c r="O437" s="266"/>
      <c r="P437" s="261"/>
      <c r="Q437" s="261"/>
      <c r="R437" s="261"/>
      <c r="S437" s="629"/>
      <c r="T437" s="629"/>
      <c r="U437" s="629"/>
      <c r="V437" s="629"/>
      <c r="W437" s="261"/>
      <c r="X437" s="261"/>
      <c r="Y437" s="261"/>
      <c r="Z437" s="261"/>
      <c r="AA437" s="261"/>
      <c r="AB437" s="261"/>
      <c r="AC437" s="266"/>
      <c r="AD437" s="633"/>
      <c r="AE437" s="264">
        <f>AE429*($L429*$P429+$M429*$Q429+$N429*$R429)</f>
        <v>0</v>
      </c>
      <c r="AF437" s="264">
        <f t="shared" ref="AF437:AH437" si="948">AF429*($L429*$P429+$M429*$Q429+$N429*$R429)</f>
        <v>0</v>
      </c>
      <c r="AG437" s="264">
        <f t="shared" si="948"/>
        <v>0</v>
      </c>
      <c r="AH437" s="264">
        <f t="shared" si="948"/>
        <v>0</v>
      </c>
      <c r="AI437" s="264">
        <f>$AE437+$AF437+$AG437+$AH437</f>
        <v>0</v>
      </c>
      <c r="AJ437" s="264">
        <f t="shared" ref="AJ437:AJ444" si="949">$AJ429*$L429</f>
        <v>0</v>
      </c>
      <c r="AK437" s="264">
        <f t="shared" ref="AK437:AK444" si="950">$AK429*$M429</f>
        <v>0</v>
      </c>
      <c r="AL437" s="264">
        <f t="shared" ref="AL437:AL444" si="951">$AL429*$N429</f>
        <v>0</v>
      </c>
      <c r="AM437" s="264">
        <f t="shared" ref="AM437:AM444" si="952">$AJ437*$W429+$AK437*$X429+$AL437*$Y429</f>
        <v>0</v>
      </c>
      <c r="AN437" s="640">
        <f t="shared" si="935"/>
        <v>0</v>
      </c>
      <c r="AO437" s="264">
        <f t="shared" ref="AO437:AO444" si="953">$AJ437*$Z429+$AK437*$AA429+$AL437*$AB429</f>
        <v>0</v>
      </c>
      <c r="AP437" s="640">
        <f t="shared" si="929"/>
        <v>0</v>
      </c>
      <c r="AQ437" s="264"/>
      <c r="AR437" s="264" t="str">
        <f>VLOOKUP($I437,TableInputsData[],ReadMe!$M$3,FALSE)&amp;"  |  "&amp;VLOOKUP($K437,TableInputsData[],ReadMe!$M$3,FALSE)</f>
        <v>PRODUIT 11  |  CHIFFRE D'AFFAIRES</v>
      </c>
      <c r="AS437" s="264" t="b">
        <f t="shared" ref="AS437:AS444" si="954">AND(EXACT(ROUND(AI437,2),ROUND(AJ437+AK437+AL437,2)),EXACT(ROUND(AI437,2),ROUND(AM437+AO437,2)))</f>
        <v>1</v>
      </c>
      <c r="AT437" s="294"/>
    </row>
    <row r="438" spans="1:46" ht="13" hidden="1" x14ac:dyDescent="0.2">
      <c r="A438" s="294"/>
      <c r="B438" s="924"/>
      <c r="C438" s="271">
        <v>431</v>
      </c>
      <c r="D438" s="250">
        <f t="shared" si="936"/>
        <v>0</v>
      </c>
      <c r="E438" s="250"/>
      <c r="F438" s="248" t="str">
        <f t="shared" si="946"/>
        <v>YEAR-1</v>
      </c>
      <c r="G438" s="250">
        <f>VLOOKUP(F438,TableInputsData[],$G$6,FALSE)</f>
        <v>2024</v>
      </c>
      <c r="H438" s="250" t="str">
        <f t="shared" ref="H438:I438" si="955">H437</f>
        <v>PRODUCT</v>
      </c>
      <c r="I438" s="248" t="str">
        <f t="shared" si="955"/>
        <v>PRODUCT 11</v>
      </c>
      <c r="J438" s="248" t="str">
        <f>VLOOKUP(I438,TableInputsData[],$J$6,FALSE)</f>
        <v>-</v>
      </c>
      <c r="K438" s="248" t="str">
        <f>K437</f>
        <v>REVENUE</v>
      </c>
      <c r="L438" s="255"/>
      <c r="M438" s="255"/>
      <c r="N438" s="255"/>
      <c r="O438" s="265"/>
      <c r="P438" s="260"/>
      <c r="Q438" s="260"/>
      <c r="R438" s="260"/>
      <c r="S438" s="630"/>
      <c r="T438" s="630"/>
      <c r="U438" s="630"/>
      <c r="V438" s="630"/>
      <c r="W438" s="260"/>
      <c r="X438" s="260"/>
      <c r="Y438" s="260"/>
      <c r="Z438" s="260"/>
      <c r="AA438" s="260"/>
      <c r="AB438" s="260"/>
      <c r="AC438" s="265"/>
      <c r="AD438" s="634"/>
      <c r="AE438" s="264">
        <f t="shared" ref="AE438:AH438" si="956">AE430*($L430*$P430+$M430*$Q430+$N430*$R430)</f>
        <v>0</v>
      </c>
      <c r="AF438" s="264">
        <f t="shared" si="956"/>
        <v>0</v>
      </c>
      <c r="AG438" s="264">
        <f t="shared" si="956"/>
        <v>0</v>
      </c>
      <c r="AH438" s="264">
        <f t="shared" si="956"/>
        <v>0</v>
      </c>
      <c r="AI438" s="264">
        <f t="shared" ref="AI438:AI443" si="957">$AE438+$AF438+$AG438+$AH438</f>
        <v>0</v>
      </c>
      <c r="AJ438" s="264">
        <f t="shared" si="949"/>
        <v>0</v>
      </c>
      <c r="AK438" s="264">
        <f t="shared" si="950"/>
        <v>0</v>
      </c>
      <c r="AL438" s="264">
        <f t="shared" si="951"/>
        <v>0</v>
      </c>
      <c r="AM438" s="264">
        <f t="shared" si="952"/>
        <v>0</v>
      </c>
      <c r="AN438" s="640">
        <f t="shared" si="935"/>
        <v>0</v>
      </c>
      <c r="AO438" s="264">
        <f t="shared" si="953"/>
        <v>0</v>
      </c>
      <c r="AP438" s="640">
        <f t="shared" si="929"/>
        <v>0</v>
      </c>
      <c r="AQ438" s="264"/>
      <c r="AR438" s="264" t="str">
        <f>VLOOKUP($I438,TableInputsData[],ReadMe!$M$3,FALSE)&amp;"  |  "&amp;VLOOKUP($K438,TableInputsData[],ReadMe!$M$3,FALSE)</f>
        <v>PRODUIT 11  |  CHIFFRE D'AFFAIRES</v>
      </c>
      <c r="AS438" s="264" t="b">
        <f t="shared" si="954"/>
        <v>1</v>
      </c>
      <c r="AT438" s="294"/>
    </row>
    <row r="439" spans="1:46" ht="13" hidden="1" x14ac:dyDescent="0.2">
      <c r="A439" s="294"/>
      <c r="B439" s="924"/>
      <c r="C439" s="271">
        <v>432</v>
      </c>
      <c r="D439" s="250">
        <f t="shared" si="936"/>
        <v>0</v>
      </c>
      <c r="E439" s="250"/>
      <c r="F439" s="248" t="str">
        <f t="shared" si="946"/>
        <v>CURRENT YEAR</v>
      </c>
      <c r="G439" s="250">
        <f>VLOOKUP(F439,TableInputsData[],$G$6,FALSE)</f>
        <v>2025</v>
      </c>
      <c r="H439" s="250" t="str">
        <f t="shared" ref="H439:I439" si="958">H438</f>
        <v>PRODUCT</v>
      </c>
      <c r="I439" s="248" t="str">
        <f t="shared" si="958"/>
        <v>PRODUCT 11</v>
      </c>
      <c r="J439" s="248" t="str">
        <f>VLOOKUP(I439,TableInputsData[],$J$6,FALSE)</f>
        <v>-</v>
      </c>
      <c r="K439" s="248" t="str">
        <f t="shared" ref="K439:K444" si="959">K438</f>
        <v>REVENUE</v>
      </c>
      <c r="L439" s="255"/>
      <c r="M439" s="255"/>
      <c r="N439" s="255"/>
      <c r="O439" s="265"/>
      <c r="P439" s="260"/>
      <c r="Q439" s="260"/>
      <c r="R439" s="260"/>
      <c r="S439" s="630"/>
      <c r="T439" s="630"/>
      <c r="U439" s="630"/>
      <c r="V439" s="630"/>
      <c r="W439" s="260"/>
      <c r="X439" s="260"/>
      <c r="Y439" s="260"/>
      <c r="Z439" s="260"/>
      <c r="AA439" s="260"/>
      <c r="AB439" s="260"/>
      <c r="AC439" s="265"/>
      <c r="AD439" s="634"/>
      <c r="AE439" s="264">
        <f t="shared" ref="AE439:AH439" si="960">AE431*($L431*$P431+$M431*$Q431+$N431*$R431)</f>
        <v>0</v>
      </c>
      <c r="AF439" s="264">
        <f t="shared" si="960"/>
        <v>0</v>
      </c>
      <c r="AG439" s="264">
        <f t="shared" si="960"/>
        <v>0</v>
      </c>
      <c r="AH439" s="264">
        <f t="shared" si="960"/>
        <v>0</v>
      </c>
      <c r="AI439" s="264">
        <f t="shared" si="957"/>
        <v>0</v>
      </c>
      <c r="AJ439" s="264">
        <f t="shared" si="949"/>
        <v>0</v>
      </c>
      <c r="AK439" s="264">
        <f t="shared" si="950"/>
        <v>0</v>
      </c>
      <c r="AL439" s="264">
        <f t="shared" si="951"/>
        <v>0</v>
      </c>
      <c r="AM439" s="264">
        <f t="shared" si="952"/>
        <v>0</v>
      </c>
      <c r="AN439" s="640">
        <f t="shared" si="935"/>
        <v>0</v>
      </c>
      <c r="AO439" s="264">
        <f t="shared" si="953"/>
        <v>0</v>
      </c>
      <c r="AP439" s="640">
        <f t="shared" si="929"/>
        <v>0</v>
      </c>
      <c r="AQ439" s="264"/>
      <c r="AR439" s="264" t="str">
        <f>VLOOKUP($I439,TableInputsData[],ReadMe!$M$3,FALSE)&amp;"  |  "&amp;VLOOKUP($K439,TableInputsData[],ReadMe!$M$3,FALSE)</f>
        <v>PRODUIT 11  |  CHIFFRE D'AFFAIRES</v>
      </c>
      <c r="AS439" s="264" t="b">
        <f t="shared" si="954"/>
        <v>1</v>
      </c>
      <c r="AT439" s="294"/>
    </row>
    <row r="440" spans="1:46" ht="13" hidden="1" x14ac:dyDescent="0.2">
      <c r="A440" s="294"/>
      <c r="B440" s="924"/>
      <c r="C440" s="271">
        <v>433</v>
      </c>
      <c r="D440" s="250">
        <f t="shared" si="936"/>
        <v>0</v>
      </c>
      <c r="E440" s="250"/>
      <c r="F440" s="248" t="str">
        <f t="shared" si="946"/>
        <v>YEAR2</v>
      </c>
      <c r="G440" s="250">
        <f>VLOOKUP(F440,TableInputsData[],$G$6,FALSE)</f>
        <v>2026</v>
      </c>
      <c r="H440" s="250" t="str">
        <f t="shared" ref="H440:I440" si="961">H439</f>
        <v>PRODUCT</v>
      </c>
      <c r="I440" s="248" t="str">
        <f t="shared" si="961"/>
        <v>PRODUCT 11</v>
      </c>
      <c r="J440" s="248" t="str">
        <f>VLOOKUP(I440,TableInputsData[],$J$6,FALSE)</f>
        <v>-</v>
      </c>
      <c r="K440" s="248" t="str">
        <f t="shared" si="959"/>
        <v>REVENUE</v>
      </c>
      <c r="L440" s="255"/>
      <c r="M440" s="255"/>
      <c r="N440" s="255"/>
      <c r="O440" s="265"/>
      <c r="P440" s="260"/>
      <c r="Q440" s="260"/>
      <c r="R440" s="260"/>
      <c r="S440" s="630"/>
      <c r="T440" s="630"/>
      <c r="U440" s="630"/>
      <c r="V440" s="630"/>
      <c r="W440" s="260"/>
      <c r="X440" s="260"/>
      <c r="Y440" s="260"/>
      <c r="Z440" s="260"/>
      <c r="AA440" s="260"/>
      <c r="AB440" s="260"/>
      <c r="AC440" s="265"/>
      <c r="AD440" s="634"/>
      <c r="AE440" s="264">
        <f t="shared" ref="AE440:AH440" si="962">AE432*($L432*$P432+$M432*$Q432+$N432*$R432)</f>
        <v>0</v>
      </c>
      <c r="AF440" s="264">
        <f t="shared" si="962"/>
        <v>0</v>
      </c>
      <c r="AG440" s="264">
        <f t="shared" si="962"/>
        <v>0</v>
      </c>
      <c r="AH440" s="264">
        <f t="shared" si="962"/>
        <v>0</v>
      </c>
      <c r="AI440" s="264">
        <f t="shared" si="957"/>
        <v>0</v>
      </c>
      <c r="AJ440" s="264">
        <f t="shared" si="949"/>
        <v>0</v>
      </c>
      <c r="AK440" s="264">
        <f t="shared" si="950"/>
        <v>0</v>
      </c>
      <c r="AL440" s="264">
        <f t="shared" si="951"/>
        <v>0</v>
      </c>
      <c r="AM440" s="264">
        <f t="shared" si="952"/>
        <v>0</v>
      </c>
      <c r="AN440" s="640">
        <f t="shared" si="935"/>
        <v>0</v>
      </c>
      <c r="AO440" s="264">
        <f t="shared" si="953"/>
        <v>0</v>
      </c>
      <c r="AP440" s="640">
        <f t="shared" si="929"/>
        <v>0</v>
      </c>
      <c r="AQ440" s="264"/>
      <c r="AR440" s="264" t="str">
        <f>VLOOKUP($I440,TableInputsData[],ReadMe!$M$3,FALSE)&amp;"  |  "&amp;VLOOKUP($K440,TableInputsData[],ReadMe!$M$3,FALSE)</f>
        <v>PRODUIT 11  |  CHIFFRE D'AFFAIRES</v>
      </c>
      <c r="AS440" s="264" t="b">
        <f t="shared" si="954"/>
        <v>1</v>
      </c>
      <c r="AT440" s="294"/>
    </row>
    <row r="441" spans="1:46" ht="13" hidden="1" x14ac:dyDescent="0.2">
      <c r="A441" s="294"/>
      <c r="B441" s="924"/>
      <c r="C441" s="271">
        <v>434</v>
      </c>
      <c r="D441" s="250">
        <f t="shared" si="936"/>
        <v>0</v>
      </c>
      <c r="E441" s="250"/>
      <c r="F441" s="248" t="str">
        <f t="shared" si="946"/>
        <v>YEAR3</v>
      </c>
      <c r="G441" s="250">
        <f>VLOOKUP(F441,TableInputsData[],$G$6,FALSE)</f>
        <v>2027</v>
      </c>
      <c r="H441" s="250" t="str">
        <f t="shared" ref="H441:I441" si="963">H440</f>
        <v>PRODUCT</v>
      </c>
      <c r="I441" s="248" t="str">
        <f t="shared" si="963"/>
        <v>PRODUCT 11</v>
      </c>
      <c r="J441" s="248" t="str">
        <f>VLOOKUP(I441,TableInputsData[],$J$6,FALSE)</f>
        <v>-</v>
      </c>
      <c r="K441" s="248" t="str">
        <f t="shared" si="959"/>
        <v>REVENUE</v>
      </c>
      <c r="L441" s="255"/>
      <c r="M441" s="255"/>
      <c r="N441" s="255"/>
      <c r="O441" s="265"/>
      <c r="P441" s="260"/>
      <c r="Q441" s="260"/>
      <c r="R441" s="260"/>
      <c r="S441" s="630"/>
      <c r="T441" s="630"/>
      <c r="U441" s="630"/>
      <c r="V441" s="630"/>
      <c r="W441" s="260"/>
      <c r="X441" s="260"/>
      <c r="Y441" s="260"/>
      <c r="Z441" s="260"/>
      <c r="AA441" s="260"/>
      <c r="AB441" s="260"/>
      <c r="AC441" s="265"/>
      <c r="AD441" s="634"/>
      <c r="AE441" s="264">
        <f t="shared" ref="AE441:AH441" si="964">AE433*($L433*$P433+$M433*$Q433+$N433*$R433)</f>
        <v>0</v>
      </c>
      <c r="AF441" s="264">
        <f t="shared" si="964"/>
        <v>0</v>
      </c>
      <c r="AG441" s="264">
        <f t="shared" si="964"/>
        <v>0</v>
      </c>
      <c r="AH441" s="264">
        <f t="shared" si="964"/>
        <v>0</v>
      </c>
      <c r="AI441" s="264">
        <f t="shared" si="957"/>
        <v>0</v>
      </c>
      <c r="AJ441" s="264">
        <f t="shared" si="949"/>
        <v>0</v>
      </c>
      <c r="AK441" s="264">
        <f t="shared" si="950"/>
        <v>0</v>
      </c>
      <c r="AL441" s="264">
        <f t="shared" si="951"/>
        <v>0</v>
      </c>
      <c r="AM441" s="264">
        <f t="shared" si="952"/>
        <v>0</v>
      </c>
      <c r="AN441" s="640">
        <f t="shared" si="935"/>
        <v>0</v>
      </c>
      <c r="AO441" s="264">
        <f t="shared" si="953"/>
        <v>0</v>
      </c>
      <c r="AP441" s="640">
        <f t="shared" si="929"/>
        <v>0</v>
      </c>
      <c r="AQ441" s="264"/>
      <c r="AR441" s="264" t="str">
        <f>VLOOKUP($I441,TableInputsData[],ReadMe!$M$3,FALSE)&amp;"  |  "&amp;VLOOKUP($K441,TableInputsData[],ReadMe!$M$3,FALSE)</f>
        <v>PRODUIT 11  |  CHIFFRE D'AFFAIRES</v>
      </c>
      <c r="AS441" s="264" t="b">
        <f t="shared" si="954"/>
        <v>1</v>
      </c>
      <c r="AT441" s="294"/>
    </row>
    <row r="442" spans="1:46" ht="13" hidden="1" x14ac:dyDescent="0.2">
      <c r="A442" s="294"/>
      <c r="B442" s="924"/>
      <c r="C442" s="271">
        <v>435</v>
      </c>
      <c r="D442" s="250">
        <f t="shared" si="936"/>
        <v>0</v>
      </c>
      <c r="E442" s="250"/>
      <c r="F442" s="248" t="str">
        <f t="shared" si="946"/>
        <v>YEAR4</v>
      </c>
      <c r="G442" s="250">
        <f>VLOOKUP(F442,TableInputsData[],$G$6,FALSE)</f>
        <v>2028</v>
      </c>
      <c r="H442" s="250" t="str">
        <f t="shared" ref="H442:I442" si="965">H441</f>
        <v>PRODUCT</v>
      </c>
      <c r="I442" s="248" t="str">
        <f t="shared" si="965"/>
        <v>PRODUCT 11</v>
      </c>
      <c r="J442" s="248" t="str">
        <f>VLOOKUP(I442,TableInputsData[],$J$6,FALSE)</f>
        <v>-</v>
      </c>
      <c r="K442" s="248" t="str">
        <f t="shared" si="959"/>
        <v>REVENUE</v>
      </c>
      <c r="L442" s="255"/>
      <c r="M442" s="255"/>
      <c r="N442" s="255"/>
      <c r="O442" s="265"/>
      <c r="P442" s="260"/>
      <c r="Q442" s="260"/>
      <c r="R442" s="260"/>
      <c r="S442" s="630"/>
      <c r="T442" s="630"/>
      <c r="U442" s="630"/>
      <c r="V442" s="630"/>
      <c r="W442" s="260"/>
      <c r="X442" s="260"/>
      <c r="Y442" s="260"/>
      <c r="Z442" s="260"/>
      <c r="AA442" s="260"/>
      <c r="AB442" s="260"/>
      <c r="AC442" s="265"/>
      <c r="AD442" s="634"/>
      <c r="AE442" s="264">
        <f t="shared" ref="AE442:AH442" si="966">AE434*($L434*$P434+$M434*$Q434+$N434*$R434)</f>
        <v>0</v>
      </c>
      <c r="AF442" s="264">
        <f t="shared" si="966"/>
        <v>0</v>
      </c>
      <c r="AG442" s="264">
        <f t="shared" si="966"/>
        <v>0</v>
      </c>
      <c r="AH442" s="264">
        <f t="shared" si="966"/>
        <v>0</v>
      </c>
      <c r="AI442" s="264">
        <f t="shared" si="957"/>
        <v>0</v>
      </c>
      <c r="AJ442" s="264">
        <f t="shared" si="949"/>
        <v>0</v>
      </c>
      <c r="AK442" s="264">
        <f t="shared" si="950"/>
        <v>0</v>
      </c>
      <c r="AL442" s="264">
        <f t="shared" si="951"/>
        <v>0</v>
      </c>
      <c r="AM442" s="264">
        <f t="shared" si="952"/>
        <v>0</v>
      </c>
      <c r="AN442" s="640">
        <f t="shared" si="935"/>
        <v>0</v>
      </c>
      <c r="AO442" s="264">
        <f t="shared" si="953"/>
        <v>0</v>
      </c>
      <c r="AP442" s="640">
        <f t="shared" si="929"/>
        <v>0</v>
      </c>
      <c r="AQ442" s="264"/>
      <c r="AR442" s="264" t="str">
        <f>VLOOKUP($I442,TableInputsData[],ReadMe!$M$3,FALSE)&amp;"  |  "&amp;VLOOKUP($K442,TableInputsData[],ReadMe!$M$3,FALSE)</f>
        <v>PRODUIT 11  |  CHIFFRE D'AFFAIRES</v>
      </c>
      <c r="AS442" s="264" t="b">
        <f t="shared" si="954"/>
        <v>1</v>
      </c>
      <c r="AT442" s="294"/>
    </row>
    <row r="443" spans="1:46" ht="13" hidden="1" x14ac:dyDescent="0.2">
      <c r="A443" s="294"/>
      <c r="B443" s="924"/>
      <c r="C443" s="271">
        <v>436</v>
      </c>
      <c r="D443" s="250">
        <f t="shared" si="936"/>
        <v>0</v>
      </c>
      <c r="E443" s="250"/>
      <c r="F443" s="248" t="str">
        <f t="shared" si="946"/>
        <v>YEAR5</v>
      </c>
      <c r="G443" s="250">
        <f>VLOOKUP(F443,TableInputsData[],$G$6,FALSE)</f>
        <v>2029</v>
      </c>
      <c r="H443" s="250" t="str">
        <f t="shared" ref="H443:I443" si="967">H442</f>
        <v>PRODUCT</v>
      </c>
      <c r="I443" s="248" t="str">
        <f t="shared" si="967"/>
        <v>PRODUCT 11</v>
      </c>
      <c r="J443" s="248" t="str">
        <f>VLOOKUP(I443,TableInputsData[],$J$6,FALSE)</f>
        <v>-</v>
      </c>
      <c r="K443" s="248" t="str">
        <f t="shared" si="959"/>
        <v>REVENUE</v>
      </c>
      <c r="L443" s="255"/>
      <c r="M443" s="255"/>
      <c r="N443" s="255"/>
      <c r="O443" s="265"/>
      <c r="P443" s="260"/>
      <c r="Q443" s="260"/>
      <c r="R443" s="260"/>
      <c r="S443" s="630"/>
      <c r="T443" s="630"/>
      <c r="U443" s="630"/>
      <c r="V443" s="630"/>
      <c r="W443" s="260"/>
      <c r="X443" s="260"/>
      <c r="Y443" s="260"/>
      <c r="Z443" s="260"/>
      <c r="AA443" s="260"/>
      <c r="AB443" s="260"/>
      <c r="AC443" s="265"/>
      <c r="AD443" s="634"/>
      <c r="AE443" s="264">
        <f t="shared" ref="AE443:AH443" si="968">AE435*($L435*$P435+$M435*$Q435+$N435*$R435)</f>
        <v>0</v>
      </c>
      <c r="AF443" s="264">
        <f t="shared" si="968"/>
        <v>0</v>
      </c>
      <c r="AG443" s="264">
        <f t="shared" si="968"/>
        <v>0</v>
      </c>
      <c r="AH443" s="264">
        <f t="shared" si="968"/>
        <v>0</v>
      </c>
      <c r="AI443" s="264">
        <f t="shared" si="957"/>
        <v>0</v>
      </c>
      <c r="AJ443" s="264">
        <f t="shared" si="949"/>
        <v>0</v>
      </c>
      <c r="AK443" s="264">
        <f t="shared" si="950"/>
        <v>0</v>
      </c>
      <c r="AL443" s="264">
        <f t="shared" si="951"/>
        <v>0</v>
      </c>
      <c r="AM443" s="264">
        <f t="shared" si="952"/>
        <v>0</v>
      </c>
      <c r="AN443" s="640">
        <f t="shared" si="935"/>
        <v>0</v>
      </c>
      <c r="AO443" s="264">
        <f t="shared" si="953"/>
        <v>0</v>
      </c>
      <c r="AP443" s="640">
        <f t="shared" si="929"/>
        <v>0</v>
      </c>
      <c r="AQ443" s="264"/>
      <c r="AR443" s="264" t="str">
        <f>VLOOKUP($I443,TableInputsData[],ReadMe!$M$3,FALSE)&amp;"  |  "&amp;VLOOKUP($K443,TableInputsData[],ReadMe!$M$3,FALSE)</f>
        <v>PRODUIT 11  |  CHIFFRE D'AFFAIRES</v>
      </c>
      <c r="AS443" s="264" t="b">
        <f t="shared" si="954"/>
        <v>1</v>
      </c>
      <c r="AT443" s="294"/>
    </row>
    <row r="444" spans="1:46" ht="13" hidden="1" x14ac:dyDescent="0.2">
      <c r="A444" s="294"/>
      <c r="B444" s="924"/>
      <c r="C444" s="271">
        <v>437</v>
      </c>
      <c r="D444" s="250">
        <f t="shared" si="936"/>
        <v>0</v>
      </c>
      <c r="E444" s="250"/>
      <c r="F444" s="248" t="str">
        <f t="shared" si="946"/>
        <v>YEAR6</v>
      </c>
      <c r="G444" s="250">
        <f>VLOOKUP(F444,TableInputsData[],$G$6,FALSE)</f>
        <v>2030</v>
      </c>
      <c r="H444" s="250" t="str">
        <f t="shared" ref="H444:I444" si="969">H443</f>
        <v>PRODUCT</v>
      </c>
      <c r="I444" s="248" t="str">
        <f t="shared" si="969"/>
        <v>PRODUCT 11</v>
      </c>
      <c r="J444" s="248" t="str">
        <f>VLOOKUP(I444,TableInputsData[],$J$6,FALSE)</f>
        <v>-</v>
      </c>
      <c r="K444" s="248" t="str">
        <f t="shared" si="959"/>
        <v>REVENUE</v>
      </c>
      <c r="L444" s="255"/>
      <c r="M444" s="255"/>
      <c r="N444" s="255"/>
      <c r="O444" s="265"/>
      <c r="P444" s="260"/>
      <c r="Q444" s="260"/>
      <c r="R444" s="260"/>
      <c r="S444" s="630"/>
      <c r="T444" s="630"/>
      <c r="U444" s="630"/>
      <c r="V444" s="630"/>
      <c r="W444" s="260"/>
      <c r="X444" s="260"/>
      <c r="Y444" s="260"/>
      <c r="Z444" s="260"/>
      <c r="AA444" s="260"/>
      <c r="AB444" s="260"/>
      <c r="AC444" s="265"/>
      <c r="AD444" s="634"/>
      <c r="AE444" s="264">
        <f t="shared" ref="AE444:AH444" si="970">AE436*($L436*$P436+$M436*$Q436+$N436*$R436)</f>
        <v>0</v>
      </c>
      <c r="AF444" s="264">
        <f t="shared" si="970"/>
        <v>0</v>
      </c>
      <c r="AG444" s="264">
        <f t="shared" si="970"/>
        <v>0</v>
      </c>
      <c r="AH444" s="264">
        <f t="shared" si="970"/>
        <v>0</v>
      </c>
      <c r="AI444" s="264">
        <f>$AE444+$AF444+$AG444+$AH444</f>
        <v>0</v>
      </c>
      <c r="AJ444" s="264">
        <f t="shared" si="949"/>
        <v>0</v>
      </c>
      <c r="AK444" s="264">
        <f t="shared" si="950"/>
        <v>0</v>
      </c>
      <c r="AL444" s="264">
        <f t="shared" si="951"/>
        <v>0</v>
      </c>
      <c r="AM444" s="264">
        <f t="shared" si="952"/>
        <v>0</v>
      </c>
      <c r="AN444" s="640">
        <f t="shared" si="935"/>
        <v>0</v>
      </c>
      <c r="AO444" s="264">
        <f t="shared" si="953"/>
        <v>0</v>
      </c>
      <c r="AP444" s="640">
        <f t="shared" si="929"/>
        <v>0</v>
      </c>
      <c r="AQ444" s="264"/>
      <c r="AR444" s="264" t="str">
        <f>VLOOKUP($I444,TableInputsData[],ReadMe!$M$3,FALSE)&amp;"  |  "&amp;VLOOKUP($K444,TableInputsData[],ReadMe!$M$3,FALSE)</f>
        <v>PRODUIT 11  |  CHIFFRE D'AFFAIRES</v>
      </c>
      <c r="AS444" s="264" t="b">
        <f t="shared" si="954"/>
        <v>1</v>
      </c>
      <c r="AT444" s="294"/>
    </row>
    <row r="445" spans="1:46" ht="13" hidden="1" x14ac:dyDescent="0.2">
      <c r="A445" s="294"/>
      <c r="B445" s="924"/>
      <c r="C445" s="271">
        <v>438</v>
      </c>
      <c r="D445" s="250">
        <f t="shared" si="936"/>
        <v>0</v>
      </c>
      <c r="E445" s="250"/>
      <c r="F445" s="248" t="str">
        <f t="shared" ref="F445:F452" si="971">F429</f>
        <v>YEAR-2</v>
      </c>
      <c r="G445" s="250">
        <f>VLOOKUP(F445,TableInputsData[],$G$6,FALSE)</f>
        <v>2023</v>
      </c>
      <c r="H445" s="250" t="str">
        <f t="shared" ref="H445:I445" si="972">H444</f>
        <v>PRODUCT</v>
      </c>
      <c r="I445" s="248" t="str">
        <f t="shared" si="972"/>
        <v>PRODUCT 11</v>
      </c>
      <c r="J445" s="248" t="str">
        <f>VLOOKUP(I445,TableInputsData[],$J$6,FALSE)</f>
        <v>-</v>
      </c>
      <c r="K445" s="248" t="s">
        <v>456</v>
      </c>
      <c r="L445" s="255"/>
      <c r="M445" s="255"/>
      <c r="N445" s="255"/>
      <c r="O445" s="265"/>
      <c r="P445" s="260"/>
      <c r="Q445" s="260"/>
      <c r="R445" s="260"/>
      <c r="S445" s="630"/>
      <c r="T445" s="630"/>
      <c r="U445" s="630"/>
      <c r="V445" s="630"/>
      <c r="W445" s="260"/>
      <c r="X445" s="260"/>
      <c r="Y445" s="260"/>
      <c r="Z445" s="260"/>
      <c r="AA445" s="260"/>
      <c r="AB445" s="260"/>
      <c r="AC445" s="265"/>
      <c r="AD445" s="634"/>
      <c r="AE445" s="264">
        <f>IF(AE429=0,0,AE437/AE429)</f>
        <v>0</v>
      </c>
      <c r="AF445" s="264">
        <f t="shared" ref="AF445:AI445" si="973">IF(AF429=0,0,AF437/AF429)</f>
        <v>0</v>
      </c>
      <c r="AG445" s="264">
        <f t="shared" si="973"/>
        <v>0</v>
      </c>
      <c r="AH445" s="264">
        <f t="shared" si="973"/>
        <v>0</v>
      </c>
      <c r="AI445" s="264">
        <f t="shared" si="973"/>
        <v>0</v>
      </c>
      <c r="AJ445" s="264">
        <f>IF(AJ429=0,0,AJ437/AJ429)</f>
        <v>0</v>
      </c>
      <c r="AK445" s="264">
        <f t="shared" ref="AK445:AL445" si="974">IF(AK429=0,0,AK437/AK429)</f>
        <v>0</v>
      </c>
      <c r="AL445" s="264">
        <f t="shared" si="974"/>
        <v>0</v>
      </c>
      <c r="AM445" s="264">
        <f>IF(AM429=0,0,AM437/AM429)</f>
        <v>0</v>
      </c>
      <c r="AN445" s="260"/>
      <c r="AO445" s="264">
        <f t="shared" ref="AO445:AO452" si="975">IF(AO429=0,0,AO437/AO429)</f>
        <v>0</v>
      </c>
      <c r="AP445" s="260"/>
      <c r="AQ445" s="264"/>
      <c r="AR445" s="264" t="str">
        <f>VLOOKUP($I445,TableInputsData[],ReadMe!$M$3,FALSE)&amp;"  |  "&amp;VLOOKUP($K445,TableInputsData[],ReadMe!$M$3,FALSE)</f>
        <v>PRODUIT 11  |  PRIX MOYEN DE VENTE PAR PRODUIT/SERVICE</v>
      </c>
      <c r="AS445" s="264"/>
      <c r="AT445" s="294"/>
    </row>
    <row r="446" spans="1:46" ht="13" hidden="1" x14ac:dyDescent="0.2">
      <c r="A446" s="294"/>
      <c r="B446" s="924"/>
      <c r="C446" s="271">
        <v>439</v>
      </c>
      <c r="D446" s="250">
        <f t="shared" si="936"/>
        <v>0</v>
      </c>
      <c r="E446" s="250"/>
      <c r="F446" s="248" t="str">
        <f t="shared" si="971"/>
        <v>YEAR-1</v>
      </c>
      <c r="G446" s="250">
        <f>VLOOKUP(F446,TableInputsData[],$G$6,FALSE)</f>
        <v>2024</v>
      </c>
      <c r="H446" s="250" t="str">
        <f t="shared" ref="H446:I446" si="976">H445</f>
        <v>PRODUCT</v>
      </c>
      <c r="I446" s="248" t="str">
        <f t="shared" si="976"/>
        <v>PRODUCT 11</v>
      </c>
      <c r="J446" s="248" t="str">
        <f>VLOOKUP(I446,TableInputsData[],$J$6,FALSE)</f>
        <v>-</v>
      </c>
      <c r="K446" s="248" t="str">
        <f>K445</f>
        <v>AVERAGE SELLING PRICE PER UNIT</v>
      </c>
      <c r="L446" s="255"/>
      <c r="M446" s="255"/>
      <c r="N446" s="255"/>
      <c r="O446" s="265"/>
      <c r="P446" s="260"/>
      <c r="Q446" s="260"/>
      <c r="R446" s="260"/>
      <c r="S446" s="630"/>
      <c r="T446" s="630"/>
      <c r="U446" s="630"/>
      <c r="V446" s="630"/>
      <c r="W446" s="260"/>
      <c r="X446" s="260"/>
      <c r="Y446" s="260"/>
      <c r="Z446" s="260"/>
      <c r="AA446" s="260"/>
      <c r="AB446" s="260"/>
      <c r="AC446" s="265"/>
      <c r="AD446" s="634"/>
      <c r="AE446" s="264">
        <f>IF(AE430=0,0,AE438/AE430)</f>
        <v>0</v>
      </c>
      <c r="AF446" s="264">
        <f t="shared" ref="AF446:AM446" si="977">IF(AF430=0,0,AF438/AF430)</f>
        <v>0</v>
      </c>
      <c r="AG446" s="264">
        <f t="shared" si="977"/>
        <v>0</v>
      </c>
      <c r="AH446" s="264">
        <f t="shared" si="977"/>
        <v>0</v>
      </c>
      <c r="AI446" s="264">
        <f t="shared" si="977"/>
        <v>0</v>
      </c>
      <c r="AJ446" s="264">
        <f t="shared" si="977"/>
        <v>0</v>
      </c>
      <c r="AK446" s="264">
        <f t="shared" si="977"/>
        <v>0</v>
      </c>
      <c r="AL446" s="264">
        <f t="shared" si="977"/>
        <v>0</v>
      </c>
      <c r="AM446" s="264">
        <f t="shared" si="977"/>
        <v>0</v>
      </c>
      <c r="AN446" s="260"/>
      <c r="AO446" s="264">
        <f t="shared" si="975"/>
        <v>0</v>
      </c>
      <c r="AP446" s="260"/>
      <c r="AQ446" s="264"/>
      <c r="AR446" s="264" t="str">
        <f>VLOOKUP($I446,TableInputsData[],ReadMe!$M$3,FALSE)&amp;"  |  "&amp;VLOOKUP($K446,TableInputsData[],ReadMe!$M$3,FALSE)</f>
        <v>PRODUIT 11  |  PRIX MOYEN DE VENTE PAR PRODUIT/SERVICE</v>
      </c>
      <c r="AS446" s="264"/>
      <c r="AT446" s="294"/>
    </row>
    <row r="447" spans="1:46" ht="13" hidden="1" x14ac:dyDescent="0.2">
      <c r="A447" s="294"/>
      <c r="B447" s="924"/>
      <c r="C447" s="271">
        <v>440</v>
      </c>
      <c r="D447" s="250">
        <f t="shared" si="936"/>
        <v>0</v>
      </c>
      <c r="E447" s="250"/>
      <c r="F447" s="248" t="str">
        <f t="shared" si="971"/>
        <v>CURRENT YEAR</v>
      </c>
      <c r="G447" s="250">
        <f>VLOOKUP(F447,TableInputsData[],$G$6,FALSE)</f>
        <v>2025</v>
      </c>
      <c r="H447" s="250" t="str">
        <f t="shared" ref="H447:I447" si="978">H446</f>
        <v>PRODUCT</v>
      </c>
      <c r="I447" s="248" t="str">
        <f t="shared" si="978"/>
        <v>PRODUCT 11</v>
      </c>
      <c r="J447" s="248" t="str">
        <f>VLOOKUP(I447,TableInputsData[],$J$6,FALSE)</f>
        <v>-</v>
      </c>
      <c r="K447" s="248" t="str">
        <f t="shared" ref="K447:K452" si="979">K446</f>
        <v>AVERAGE SELLING PRICE PER UNIT</v>
      </c>
      <c r="L447" s="255"/>
      <c r="M447" s="255"/>
      <c r="N447" s="255"/>
      <c r="O447" s="265"/>
      <c r="P447" s="260"/>
      <c r="Q447" s="260"/>
      <c r="R447" s="260"/>
      <c r="S447" s="630"/>
      <c r="T447" s="630"/>
      <c r="U447" s="630"/>
      <c r="V447" s="630"/>
      <c r="W447" s="260"/>
      <c r="X447" s="260"/>
      <c r="Y447" s="260"/>
      <c r="Z447" s="260"/>
      <c r="AA447" s="260"/>
      <c r="AB447" s="260"/>
      <c r="AC447" s="265"/>
      <c r="AD447" s="634"/>
      <c r="AE447" s="264">
        <f>IF(AE431=0,0,AE439/AE431)</f>
        <v>0</v>
      </c>
      <c r="AF447" s="264">
        <f t="shared" ref="AF447:AM447" si="980">IF(AF431=0,0,AF439/AF431)</f>
        <v>0</v>
      </c>
      <c r="AG447" s="264">
        <f t="shared" si="980"/>
        <v>0</v>
      </c>
      <c r="AH447" s="264">
        <f t="shared" si="980"/>
        <v>0</v>
      </c>
      <c r="AI447" s="264">
        <f t="shared" si="980"/>
        <v>0</v>
      </c>
      <c r="AJ447" s="264">
        <f t="shared" si="980"/>
        <v>0</v>
      </c>
      <c r="AK447" s="264">
        <f t="shared" si="980"/>
        <v>0</v>
      </c>
      <c r="AL447" s="264">
        <f t="shared" si="980"/>
        <v>0</v>
      </c>
      <c r="AM447" s="264">
        <f t="shared" si="980"/>
        <v>0</v>
      </c>
      <c r="AN447" s="260"/>
      <c r="AO447" s="264">
        <f t="shared" si="975"/>
        <v>0</v>
      </c>
      <c r="AP447" s="260"/>
      <c r="AQ447" s="264"/>
      <c r="AR447" s="264" t="str">
        <f>VLOOKUP($I447,TableInputsData[],ReadMe!$M$3,FALSE)&amp;"  |  "&amp;VLOOKUP($K447,TableInputsData[],ReadMe!$M$3,FALSE)</f>
        <v>PRODUIT 11  |  PRIX MOYEN DE VENTE PAR PRODUIT/SERVICE</v>
      </c>
      <c r="AS447" s="264"/>
      <c r="AT447" s="294"/>
    </row>
    <row r="448" spans="1:46" ht="13" hidden="1" x14ac:dyDescent="0.2">
      <c r="A448" s="294"/>
      <c r="B448" s="924"/>
      <c r="C448" s="271">
        <v>441</v>
      </c>
      <c r="D448" s="250">
        <f t="shared" si="936"/>
        <v>0</v>
      </c>
      <c r="E448" s="250"/>
      <c r="F448" s="248" t="str">
        <f t="shared" si="971"/>
        <v>YEAR2</v>
      </c>
      <c r="G448" s="250">
        <f>VLOOKUP(F448,TableInputsData[],$G$6,FALSE)</f>
        <v>2026</v>
      </c>
      <c r="H448" s="250" t="str">
        <f t="shared" ref="H448:I448" si="981">H447</f>
        <v>PRODUCT</v>
      </c>
      <c r="I448" s="248" t="str">
        <f t="shared" si="981"/>
        <v>PRODUCT 11</v>
      </c>
      <c r="J448" s="248" t="str">
        <f>VLOOKUP(I448,TableInputsData[],$J$6,FALSE)</f>
        <v>-</v>
      </c>
      <c r="K448" s="248" t="str">
        <f t="shared" si="979"/>
        <v>AVERAGE SELLING PRICE PER UNIT</v>
      </c>
      <c r="L448" s="255"/>
      <c r="M448" s="255"/>
      <c r="N448" s="255"/>
      <c r="O448" s="265"/>
      <c r="P448" s="260"/>
      <c r="Q448" s="260"/>
      <c r="R448" s="260"/>
      <c r="S448" s="630"/>
      <c r="T448" s="630"/>
      <c r="U448" s="630"/>
      <c r="V448" s="630"/>
      <c r="W448" s="260"/>
      <c r="X448" s="260"/>
      <c r="Y448" s="260"/>
      <c r="Z448" s="260"/>
      <c r="AA448" s="260"/>
      <c r="AB448" s="260"/>
      <c r="AC448" s="265"/>
      <c r="AD448" s="634"/>
      <c r="AE448" s="264">
        <f>IF(AE432=0,0,AE440/AE432)</f>
        <v>0</v>
      </c>
      <c r="AF448" s="264">
        <f t="shared" ref="AF448:AM448" si="982">IF(AF432=0,0,AF440/AF432)</f>
        <v>0</v>
      </c>
      <c r="AG448" s="264">
        <f t="shared" si="982"/>
        <v>0</v>
      </c>
      <c r="AH448" s="264">
        <f t="shared" si="982"/>
        <v>0</v>
      </c>
      <c r="AI448" s="264">
        <f t="shared" si="982"/>
        <v>0</v>
      </c>
      <c r="AJ448" s="264">
        <f t="shared" si="982"/>
        <v>0</v>
      </c>
      <c r="AK448" s="264">
        <f t="shared" si="982"/>
        <v>0</v>
      </c>
      <c r="AL448" s="264">
        <f t="shared" si="982"/>
        <v>0</v>
      </c>
      <c r="AM448" s="264">
        <f t="shared" si="982"/>
        <v>0</v>
      </c>
      <c r="AN448" s="260"/>
      <c r="AO448" s="264">
        <f t="shared" si="975"/>
        <v>0</v>
      </c>
      <c r="AP448" s="260"/>
      <c r="AQ448" s="264"/>
      <c r="AR448" s="264" t="str">
        <f>VLOOKUP($I448,TableInputsData[],ReadMe!$M$3,FALSE)&amp;"  |  "&amp;VLOOKUP($K448,TableInputsData[],ReadMe!$M$3,FALSE)</f>
        <v>PRODUIT 11  |  PRIX MOYEN DE VENTE PAR PRODUIT/SERVICE</v>
      </c>
      <c r="AS448" s="264"/>
      <c r="AT448" s="294"/>
    </row>
    <row r="449" spans="1:46" ht="13" hidden="1" x14ac:dyDescent="0.2">
      <c r="A449" s="294"/>
      <c r="B449" s="924"/>
      <c r="C449" s="271">
        <v>442</v>
      </c>
      <c r="D449" s="250">
        <f t="shared" si="936"/>
        <v>0</v>
      </c>
      <c r="E449" s="250"/>
      <c r="F449" s="248" t="str">
        <f t="shared" si="971"/>
        <v>YEAR3</v>
      </c>
      <c r="G449" s="250">
        <f>VLOOKUP(F449,TableInputsData[],$G$6,FALSE)</f>
        <v>2027</v>
      </c>
      <c r="H449" s="250" t="str">
        <f t="shared" ref="H449:I449" si="983">H448</f>
        <v>PRODUCT</v>
      </c>
      <c r="I449" s="248" t="str">
        <f t="shared" si="983"/>
        <v>PRODUCT 11</v>
      </c>
      <c r="J449" s="248" t="str">
        <f>VLOOKUP(I449,TableInputsData[],$J$6,FALSE)</f>
        <v>-</v>
      </c>
      <c r="K449" s="248" t="str">
        <f t="shared" si="979"/>
        <v>AVERAGE SELLING PRICE PER UNIT</v>
      </c>
      <c r="L449" s="255"/>
      <c r="M449" s="255"/>
      <c r="N449" s="255"/>
      <c r="O449" s="265"/>
      <c r="P449" s="260"/>
      <c r="Q449" s="260"/>
      <c r="R449" s="260"/>
      <c r="S449" s="630"/>
      <c r="T449" s="630"/>
      <c r="U449" s="630"/>
      <c r="V449" s="630"/>
      <c r="W449" s="260"/>
      <c r="X449" s="260"/>
      <c r="Y449" s="260"/>
      <c r="Z449" s="260"/>
      <c r="AA449" s="260"/>
      <c r="AB449" s="260"/>
      <c r="AC449" s="265"/>
      <c r="AD449" s="634"/>
      <c r="AE449" s="264">
        <f t="shared" ref="AE449:AM449" si="984">IF(AE433=0,0,AE441/AE433)</f>
        <v>0</v>
      </c>
      <c r="AF449" s="264">
        <f t="shared" si="984"/>
        <v>0</v>
      </c>
      <c r="AG449" s="264">
        <f t="shared" si="984"/>
        <v>0</v>
      </c>
      <c r="AH449" s="264">
        <f t="shared" si="984"/>
        <v>0</v>
      </c>
      <c r="AI449" s="264">
        <f t="shared" si="984"/>
        <v>0</v>
      </c>
      <c r="AJ449" s="264">
        <f t="shared" si="984"/>
        <v>0</v>
      </c>
      <c r="AK449" s="264">
        <f t="shared" si="984"/>
        <v>0</v>
      </c>
      <c r="AL449" s="264">
        <f t="shared" si="984"/>
        <v>0</v>
      </c>
      <c r="AM449" s="264">
        <f t="shared" si="984"/>
        <v>0</v>
      </c>
      <c r="AN449" s="260"/>
      <c r="AO449" s="264">
        <f t="shared" si="975"/>
        <v>0</v>
      </c>
      <c r="AP449" s="260"/>
      <c r="AQ449" s="264"/>
      <c r="AR449" s="264" t="str">
        <f>VLOOKUP($I449,TableInputsData[],ReadMe!$M$3,FALSE)&amp;"  |  "&amp;VLOOKUP($K449,TableInputsData[],ReadMe!$M$3,FALSE)</f>
        <v>PRODUIT 11  |  PRIX MOYEN DE VENTE PAR PRODUIT/SERVICE</v>
      </c>
      <c r="AS449" s="264"/>
      <c r="AT449" s="294"/>
    </row>
    <row r="450" spans="1:46" ht="13" hidden="1" x14ac:dyDescent="0.2">
      <c r="A450" s="294"/>
      <c r="B450" s="924"/>
      <c r="C450" s="272">
        <v>443</v>
      </c>
      <c r="D450" s="250">
        <f t="shared" si="936"/>
        <v>0</v>
      </c>
      <c r="E450" s="251"/>
      <c r="F450" s="248" t="str">
        <f t="shared" si="971"/>
        <v>YEAR4</v>
      </c>
      <c r="G450" s="250">
        <f>VLOOKUP(F450,TableInputsData[],$G$6,FALSE)</f>
        <v>2028</v>
      </c>
      <c r="H450" s="250" t="str">
        <f t="shared" ref="H450:I450" si="985">H449</f>
        <v>PRODUCT</v>
      </c>
      <c r="I450" s="248" t="str">
        <f t="shared" si="985"/>
        <v>PRODUCT 11</v>
      </c>
      <c r="J450" s="248" t="str">
        <f>VLOOKUP(I450,TableInputsData[],$J$6,FALSE)</f>
        <v>-</v>
      </c>
      <c r="K450" s="248" t="str">
        <f t="shared" si="979"/>
        <v>AVERAGE SELLING PRICE PER UNIT</v>
      </c>
      <c r="L450" s="256"/>
      <c r="M450" s="256"/>
      <c r="N450" s="256"/>
      <c r="O450" s="266"/>
      <c r="P450" s="261"/>
      <c r="Q450" s="261"/>
      <c r="R450" s="261"/>
      <c r="S450" s="629"/>
      <c r="T450" s="629"/>
      <c r="U450" s="629"/>
      <c r="V450" s="629"/>
      <c r="W450" s="261"/>
      <c r="X450" s="261"/>
      <c r="Y450" s="261"/>
      <c r="Z450" s="261"/>
      <c r="AA450" s="261"/>
      <c r="AB450" s="261"/>
      <c r="AC450" s="266"/>
      <c r="AD450" s="633"/>
      <c r="AE450" s="264">
        <f t="shared" ref="AE450:AM450" si="986">IF(AE434=0,0,AE442/AE434)</f>
        <v>0</v>
      </c>
      <c r="AF450" s="264">
        <f t="shared" si="986"/>
        <v>0</v>
      </c>
      <c r="AG450" s="264">
        <f t="shared" si="986"/>
        <v>0</v>
      </c>
      <c r="AH450" s="264">
        <f t="shared" si="986"/>
        <v>0</v>
      </c>
      <c r="AI450" s="264">
        <f t="shared" si="986"/>
        <v>0</v>
      </c>
      <c r="AJ450" s="264">
        <f t="shared" si="986"/>
        <v>0</v>
      </c>
      <c r="AK450" s="264">
        <f t="shared" si="986"/>
        <v>0</v>
      </c>
      <c r="AL450" s="264">
        <f t="shared" si="986"/>
        <v>0</v>
      </c>
      <c r="AM450" s="264">
        <f t="shared" si="986"/>
        <v>0</v>
      </c>
      <c r="AN450" s="260"/>
      <c r="AO450" s="264">
        <f t="shared" si="975"/>
        <v>0</v>
      </c>
      <c r="AP450" s="260"/>
      <c r="AQ450" s="264"/>
      <c r="AR450" s="264" t="str">
        <f>VLOOKUP($I450,TableInputsData[],ReadMe!$M$3,FALSE)&amp;"  |  "&amp;VLOOKUP($K450,TableInputsData[],ReadMe!$M$3,FALSE)</f>
        <v>PRODUIT 11  |  PRIX MOYEN DE VENTE PAR PRODUIT/SERVICE</v>
      </c>
      <c r="AS450" s="264"/>
      <c r="AT450" s="294"/>
    </row>
    <row r="451" spans="1:46" ht="13" hidden="1" x14ac:dyDescent="0.2">
      <c r="A451" s="294"/>
      <c r="B451" s="924"/>
      <c r="C451" s="271">
        <v>444</v>
      </c>
      <c r="D451" s="250">
        <f t="shared" si="936"/>
        <v>0</v>
      </c>
      <c r="E451" s="250"/>
      <c r="F451" s="248" t="str">
        <f t="shared" si="971"/>
        <v>YEAR5</v>
      </c>
      <c r="G451" s="250">
        <f>VLOOKUP(F451,TableInputsData[],$G$6,FALSE)</f>
        <v>2029</v>
      </c>
      <c r="H451" s="250" t="str">
        <f t="shared" ref="H451:I451" si="987">H450</f>
        <v>PRODUCT</v>
      </c>
      <c r="I451" s="248" t="str">
        <f t="shared" si="987"/>
        <v>PRODUCT 11</v>
      </c>
      <c r="J451" s="248" t="str">
        <f>VLOOKUP(I451,TableInputsData[],$J$6,FALSE)</f>
        <v>-</v>
      </c>
      <c r="K451" s="248" t="str">
        <f t="shared" si="979"/>
        <v>AVERAGE SELLING PRICE PER UNIT</v>
      </c>
      <c r="L451" s="255"/>
      <c r="M451" s="255"/>
      <c r="N451" s="255"/>
      <c r="O451" s="265"/>
      <c r="P451" s="260"/>
      <c r="Q451" s="260"/>
      <c r="R451" s="260"/>
      <c r="S451" s="630"/>
      <c r="T451" s="630"/>
      <c r="U451" s="630"/>
      <c r="V451" s="630"/>
      <c r="W451" s="260"/>
      <c r="X451" s="260"/>
      <c r="Y451" s="260"/>
      <c r="Z451" s="260"/>
      <c r="AA451" s="260"/>
      <c r="AB451" s="260"/>
      <c r="AC451" s="265"/>
      <c r="AD451" s="634"/>
      <c r="AE451" s="264">
        <f t="shared" ref="AE451:AM451" si="988">IF(AE435=0,0,AE443/AE435)</f>
        <v>0</v>
      </c>
      <c r="AF451" s="264">
        <f t="shared" si="988"/>
        <v>0</v>
      </c>
      <c r="AG451" s="264">
        <f t="shared" si="988"/>
        <v>0</v>
      </c>
      <c r="AH451" s="264">
        <f t="shared" si="988"/>
        <v>0</v>
      </c>
      <c r="AI451" s="264">
        <f t="shared" si="988"/>
        <v>0</v>
      </c>
      <c r="AJ451" s="264">
        <f t="shared" si="988"/>
        <v>0</v>
      </c>
      <c r="AK451" s="264">
        <f t="shared" si="988"/>
        <v>0</v>
      </c>
      <c r="AL451" s="264">
        <f t="shared" si="988"/>
        <v>0</v>
      </c>
      <c r="AM451" s="264">
        <f t="shared" si="988"/>
        <v>0</v>
      </c>
      <c r="AN451" s="260"/>
      <c r="AO451" s="264">
        <f t="shared" si="975"/>
        <v>0</v>
      </c>
      <c r="AP451" s="260"/>
      <c r="AQ451" s="264"/>
      <c r="AR451" s="264" t="str">
        <f>VLOOKUP($I451,TableInputsData[],ReadMe!$M$3,FALSE)&amp;"  |  "&amp;VLOOKUP($K451,TableInputsData[],ReadMe!$M$3,FALSE)</f>
        <v>PRODUIT 11  |  PRIX MOYEN DE VENTE PAR PRODUIT/SERVICE</v>
      </c>
      <c r="AS451" s="264"/>
      <c r="AT451" s="294"/>
    </row>
    <row r="452" spans="1:46" ht="13" hidden="1" x14ac:dyDescent="0.2">
      <c r="A452" s="294"/>
      <c r="B452" s="924"/>
      <c r="C452" s="271">
        <v>445</v>
      </c>
      <c r="D452" s="250">
        <f t="shared" si="936"/>
        <v>0</v>
      </c>
      <c r="E452" s="250"/>
      <c r="F452" s="248" t="str">
        <f t="shared" si="971"/>
        <v>YEAR6</v>
      </c>
      <c r="G452" s="250">
        <f>VLOOKUP(F452,TableInputsData[],$G$6,FALSE)</f>
        <v>2030</v>
      </c>
      <c r="H452" s="250" t="str">
        <f t="shared" ref="H452:I452" si="989">H451</f>
        <v>PRODUCT</v>
      </c>
      <c r="I452" s="248" t="str">
        <f t="shared" si="989"/>
        <v>PRODUCT 11</v>
      </c>
      <c r="J452" s="248" t="str">
        <f>VLOOKUP(I452,TableInputsData[],$J$6,FALSE)</f>
        <v>-</v>
      </c>
      <c r="K452" s="248" t="str">
        <f t="shared" si="979"/>
        <v>AVERAGE SELLING PRICE PER UNIT</v>
      </c>
      <c r="L452" s="255"/>
      <c r="M452" s="255"/>
      <c r="N452" s="255"/>
      <c r="O452" s="265"/>
      <c r="P452" s="260"/>
      <c r="Q452" s="260"/>
      <c r="R452" s="260"/>
      <c r="S452" s="630"/>
      <c r="T452" s="630"/>
      <c r="U452" s="630"/>
      <c r="V452" s="630"/>
      <c r="W452" s="260"/>
      <c r="X452" s="260"/>
      <c r="Y452" s="260"/>
      <c r="Z452" s="260"/>
      <c r="AA452" s="260"/>
      <c r="AB452" s="260"/>
      <c r="AC452" s="265"/>
      <c r="AD452" s="634"/>
      <c r="AE452" s="264">
        <f t="shared" ref="AE452:AM452" si="990">IF(AE436=0,0,AE444/AE436)</f>
        <v>0</v>
      </c>
      <c r="AF452" s="264">
        <f t="shared" si="990"/>
        <v>0</v>
      </c>
      <c r="AG452" s="264">
        <f t="shared" si="990"/>
        <v>0</v>
      </c>
      <c r="AH452" s="264">
        <f t="shared" si="990"/>
        <v>0</v>
      </c>
      <c r="AI452" s="264">
        <f t="shared" si="990"/>
        <v>0</v>
      </c>
      <c r="AJ452" s="264">
        <f t="shared" si="990"/>
        <v>0</v>
      </c>
      <c r="AK452" s="264">
        <f t="shared" si="990"/>
        <v>0</v>
      </c>
      <c r="AL452" s="264">
        <f t="shared" si="990"/>
        <v>0</v>
      </c>
      <c r="AM452" s="264">
        <f t="shared" si="990"/>
        <v>0</v>
      </c>
      <c r="AN452" s="260"/>
      <c r="AO452" s="264">
        <f t="shared" si="975"/>
        <v>0</v>
      </c>
      <c r="AP452" s="260"/>
      <c r="AQ452" s="264"/>
      <c r="AR452" s="264" t="str">
        <f>VLOOKUP($I452,TableInputsData[],ReadMe!$M$3,FALSE)&amp;"  |  "&amp;VLOOKUP($K452,TableInputsData[],ReadMe!$M$3,FALSE)</f>
        <v>PRODUIT 11  |  PRIX MOYEN DE VENTE PAR PRODUIT/SERVICE</v>
      </c>
      <c r="AS452" s="264"/>
      <c r="AT452" s="294"/>
    </row>
    <row r="453" spans="1:46" ht="13" hidden="1" x14ac:dyDescent="0.2">
      <c r="A453" s="294"/>
      <c r="B453" s="924"/>
      <c r="C453" s="272">
        <v>446</v>
      </c>
      <c r="D453" s="250">
        <f t="shared" si="936"/>
        <v>0</v>
      </c>
      <c r="E453" s="251"/>
      <c r="F453" s="248" t="str">
        <f t="shared" ref="F453:F460" si="991">F461</f>
        <v>YEAR-2</v>
      </c>
      <c r="G453" s="250">
        <f>VLOOKUP(F453,TableInputsData[],$G$6,FALSE)</f>
        <v>2023</v>
      </c>
      <c r="H453" s="250" t="str">
        <f t="shared" ref="H453:I453" si="992">H452</f>
        <v>PRODUCT</v>
      </c>
      <c r="I453" s="248" t="str">
        <f t="shared" si="992"/>
        <v>PRODUCT 11</v>
      </c>
      <c r="J453" s="248" t="str">
        <f>VLOOKUP(I453,TableInputsData[],$J$6,FALSE)</f>
        <v>-</v>
      </c>
      <c r="K453" s="248" t="s">
        <v>531</v>
      </c>
      <c r="L453" s="256"/>
      <c r="M453" s="256"/>
      <c r="N453" s="256"/>
      <c r="O453" s="266"/>
      <c r="P453" s="261"/>
      <c r="Q453" s="261"/>
      <c r="R453" s="261"/>
      <c r="S453" s="629"/>
      <c r="T453" s="629"/>
      <c r="U453" s="629"/>
      <c r="V453" s="629"/>
      <c r="W453" s="261"/>
      <c r="X453" s="261"/>
      <c r="Y453" s="261"/>
      <c r="Z453" s="261"/>
      <c r="AA453" s="261"/>
      <c r="AB453" s="261"/>
      <c r="AC453" s="266"/>
      <c r="AD453" s="633"/>
      <c r="AE453" s="264">
        <f>AE429*($S429*$P429+$T429*$Q429+$U429*$R429)</f>
        <v>0</v>
      </c>
      <c r="AF453" s="264">
        <f t="shared" ref="AF453:AH453" si="993">AF429*($S429*$P429+$T429*$Q429+$U429*$R429)</f>
        <v>0</v>
      </c>
      <c r="AG453" s="264">
        <f t="shared" si="993"/>
        <v>0</v>
      </c>
      <c r="AH453" s="264">
        <f t="shared" si="993"/>
        <v>0</v>
      </c>
      <c r="AI453" s="264">
        <f t="shared" ref="AI453:AI460" si="994">$AE453+$AF453+$AG453+$AH453</f>
        <v>0</v>
      </c>
      <c r="AJ453" s="264">
        <f t="shared" ref="AJ453:AJ460" si="995">$AJ429*$S429</f>
        <v>0</v>
      </c>
      <c r="AK453" s="264">
        <f t="shared" ref="AK453:AK460" si="996">$AK429*$T429</f>
        <v>0</v>
      </c>
      <c r="AL453" s="264">
        <f t="shared" ref="AL453:AL460" si="997">$AL429*$U429</f>
        <v>0</v>
      </c>
      <c r="AM453" s="264">
        <f t="shared" ref="AM453:AM460" si="998">$AJ453*$W429+$AK453*$X429+$AL453*$Y429</f>
        <v>0</v>
      </c>
      <c r="AN453" s="640">
        <f t="shared" ref="AN453:AN460" si="999">IF(AI453=0,0,AM453/AI453)</f>
        <v>0</v>
      </c>
      <c r="AO453" s="264">
        <f t="shared" ref="AO453:AO460" si="1000">$AJ453*$Z429+$AK453*$AA429+$AL453*$AB429</f>
        <v>0</v>
      </c>
      <c r="AP453" s="640">
        <f t="shared" ref="AP453:AP460" si="1001">IF(AI453=0,0,AO453/AI453)</f>
        <v>0</v>
      </c>
      <c r="AQ453" s="264"/>
      <c r="AR453" s="264" t="str">
        <f>VLOOKUP($I453,TableInputsData[],ReadMe!$M$3,FALSE)&amp;"  |  "&amp;VLOOKUP($K453,TableInputsData[],ReadMe!$M$3,FALSE)</f>
        <v>PRODUIT 11  |  DEPENSES SUR ACHATS</v>
      </c>
      <c r="AS453" s="264" t="b">
        <f t="shared" ref="AS453:AS460" si="1002">AND(EXACT(ROUND(AI453,2),ROUND(AJ453+AK453+AL453,2)),EXACT(ROUND(AI453,2),ROUND(AM453+AO453,2)))</f>
        <v>1</v>
      </c>
      <c r="AT453" s="294"/>
    </row>
    <row r="454" spans="1:46" ht="13" hidden="1" x14ac:dyDescent="0.2">
      <c r="A454" s="294"/>
      <c r="B454" s="924"/>
      <c r="C454" s="271">
        <v>447</v>
      </c>
      <c r="D454" s="250">
        <f t="shared" si="936"/>
        <v>0</v>
      </c>
      <c r="E454" s="250"/>
      <c r="F454" s="248" t="str">
        <f t="shared" si="991"/>
        <v>YEAR-1</v>
      </c>
      <c r="G454" s="250">
        <f>VLOOKUP(F454,TableInputsData[],$G$6,FALSE)</f>
        <v>2024</v>
      </c>
      <c r="H454" s="250" t="str">
        <f t="shared" ref="H454:I454" si="1003">H453</f>
        <v>PRODUCT</v>
      </c>
      <c r="I454" s="248" t="str">
        <f t="shared" si="1003"/>
        <v>PRODUCT 11</v>
      </c>
      <c r="J454" s="248" t="str">
        <f>VLOOKUP(I454,TableInputsData[],$J$6,FALSE)</f>
        <v>-</v>
      </c>
      <c r="K454" s="248" t="str">
        <f>K453</f>
        <v>COST OF GOODS SOLD</v>
      </c>
      <c r="L454" s="255"/>
      <c r="M454" s="255"/>
      <c r="N454" s="255"/>
      <c r="O454" s="265"/>
      <c r="P454" s="260"/>
      <c r="Q454" s="260"/>
      <c r="R454" s="260"/>
      <c r="S454" s="630"/>
      <c r="T454" s="630"/>
      <c r="U454" s="630"/>
      <c r="V454" s="630"/>
      <c r="W454" s="260"/>
      <c r="X454" s="260"/>
      <c r="Y454" s="260"/>
      <c r="Z454" s="260"/>
      <c r="AA454" s="260"/>
      <c r="AB454" s="260"/>
      <c r="AC454" s="265"/>
      <c r="AD454" s="634"/>
      <c r="AE454" s="264">
        <f t="shared" ref="AE454:AH454" si="1004">AE430*($S430*$P430+$T430*$Q430+$U430*$R430)</f>
        <v>0</v>
      </c>
      <c r="AF454" s="264">
        <f t="shared" si="1004"/>
        <v>0</v>
      </c>
      <c r="AG454" s="264">
        <f t="shared" si="1004"/>
        <v>0</v>
      </c>
      <c r="AH454" s="264">
        <f t="shared" si="1004"/>
        <v>0</v>
      </c>
      <c r="AI454" s="264">
        <f t="shared" si="994"/>
        <v>0</v>
      </c>
      <c r="AJ454" s="264">
        <f t="shared" si="995"/>
        <v>0</v>
      </c>
      <c r="AK454" s="264">
        <f t="shared" si="996"/>
        <v>0</v>
      </c>
      <c r="AL454" s="264">
        <f t="shared" si="997"/>
        <v>0</v>
      </c>
      <c r="AM454" s="264">
        <f t="shared" si="998"/>
        <v>0</v>
      </c>
      <c r="AN454" s="640">
        <f t="shared" si="999"/>
        <v>0</v>
      </c>
      <c r="AO454" s="264">
        <f t="shared" si="1000"/>
        <v>0</v>
      </c>
      <c r="AP454" s="640">
        <f t="shared" si="1001"/>
        <v>0</v>
      </c>
      <c r="AQ454" s="264"/>
      <c r="AR454" s="264" t="str">
        <f>VLOOKUP($I454,TableInputsData[],ReadMe!$M$3,FALSE)&amp;"  |  "&amp;VLOOKUP($K454,TableInputsData[],ReadMe!$M$3,FALSE)</f>
        <v>PRODUIT 11  |  DEPENSES SUR ACHATS</v>
      </c>
      <c r="AS454" s="264" t="b">
        <f t="shared" si="1002"/>
        <v>1</v>
      </c>
      <c r="AT454" s="294"/>
    </row>
    <row r="455" spans="1:46" ht="13" hidden="1" x14ac:dyDescent="0.2">
      <c r="A455" s="294"/>
      <c r="B455" s="924"/>
      <c r="C455" s="271">
        <v>448</v>
      </c>
      <c r="D455" s="250">
        <f t="shared" si="936"/>
        <v>0</v>
      </c>
      <c r="E455" s="250"/>
      <c r="F455" s="248" t="str">
        <f t="shared" si="991"/>
        <v>CURRENT YEAR</v>
      </c>
      <c r="G455" s="250">
        <f>VLOOKUP(F455,TableInputsData[],$G$6,FALSE)</f>
        <v>2025</v>
      </c>
      <c r="H455" s="250" t="str">
        <f t="shared" ref="H455:I455" si="1005">H454</f>
        <v>PRODUCT</v>
      </c>
      <c r="I455" s="248" t="str">
        <f t="shared" si="1005"/>
        <v>PRODUCT 11</v>
      </c>
      <c r="J455" s="248" t="str">
        <f>VLOOKUP(I455,TableInputsData[],$J$6,FALSE)</f>
        <v>-</v>
      </c>
      <c r="K455" s="248" t="str">
        <f t="shared" ref="K455:K460" si="1006">K454</f>
        <v>COST OF GOODS SOLD</v>
      </c>
      <c r="L455" s="255"/>
      <c r="M455" s="255"/>
      <c r="N455" s="255"/>
      <c r="O455" s="265"/>
      <c r="P455" s="260"/>
      <c r="Q455" s="260"/>
      <c r="R455" s="260"/>
      <c r="S455" s="630"/>
      <c r="T455" s="630"/>
      <c r="U455" s="630"/>
      <c r="V455" s="630"/>
      <c r="W455" s="260"/>
      <c r="X455" s="260"/>
      <c r="Y455" s="260"/>
      <c r="Z455" s="260"/>
      <c r="AA455" s="260"/>
      <c r="AB455" s="260"/>
      <c r="AC455" s="265"/>
      <c r="AD455" s="634"/>
      <c r="AE455" s="264">
        <f t="shared" ref="AE455:AH455" si="1007">AE431*($S431*$P431+$T431*$Q431+$U431*$R431)</f>
        <v>0</v>
      </c>
      <c r="AF455" s="264">
        <f t="shared" si="1007"/>
        <v>0</v>
      </c>
      <c r="AG455" s="264">
        <f t="shared" si="1007"/>
        <v>0</v>
      </c>
      <c r="AH455" s="264">
        <f t="shared" si="1007"/>
        <v>0</v>
      </c>
      <c r="AI455" s="264">
        <f t="shared" si="994"/>
        <v>0</v>
      </c>
      <c r="AJ455" s="264">
        <f t="shared" si="995"/>
        <v>0</v>
      </c>
      <c r="AK455" s="264">
        <f t="shared" si="996"/>
        <v>0</v>
      </c>
      <c r="AL455" s="264">
        <f t="shared" si="997"/>
        <v>0</v>
      </c>
      <c r="AM455" s="264">
        <f t="shared" si="998"/>
        <v>0</v>
      </c>
      <c r="AN455" s="640">
        <f t="shared" si="999"/>
        <v>0</v>
      </c>
      <c r="AO455" s="264">
        <f t="shared" si="1000"/>
        <v>0</v>
      </c>
      <c r="AP455" s="640">
        <f t="shared" si="1001"/>
        <v>0</v>
      </c>
      <c r="AQ455" s="264"/>
      <c r="AR455" s="264" t="str">
        <f>VLOOKUP($I455,TableInputsData[],ReadMe!$M$3,FALSE)&amp;"  |  "&amp;VLOOKUP($K455,TableInputsData[],ReadMe!$M$3,FALSE)</f>
        <v>PRODUIT 11  |  DEPENSES SUR ACHATS</v>
      </c>
      <c r="AS455" s="264" t="b">
        <f t="shared" si="1002"/>
        <v>1</v>
      </c>
      <c r="AT455" s="294"/>
    </row>
    <row r="456" spans="1:46" ht="13" hidden="1" x14ac:dyDescent="0.2">
      <c r="A456" s="294"/>
      <c r="B456" s="924"/>
      <c r="C456" s="271">
        <v>449</v>
      </c>
      <c r="D456" s="250">
        <f t="shared" si="936"/>
        <v>0</v>
      </c>
      <c r="E456" s="250"/>
      <c r="F456" s="248" t="str">
        <f t="shared" si="991"/>
        <v>YEAR2</v>
      </c>
      <c r="G456" s="250">
        <f>VLOOKUP(F456,TableInputsData[],$G$6,FALSE)</f>
        <v>2026</v>
      </c>
      <c r="H456" s="250" t="str">
        <f t="shared" ref="H456:I456" si="1008">H455</f>
        <v>PRODUCT</v>
      </c>
      <c r="I456" s="248" t="str">
        <f t="shared" si="1008"/>
        <v>PRODUCT 11</v>
      </c>
      <c r="J456" s="248" t="str">
        <f>VLOOKUP(I456,TableInputsData[],$J$6,FALSE)</f>
        <v>-</v>
      </c>
      <c r="K456" s="248" t="str">
        <f t="shared" si="1006"/>
        <v>COST OF GOODS SOLD</v>
      </c>
      <c r="L456" s="255"/>
      <c r="M456" s="255"/>
      <c r="N456" s="255"/>
      <c r="O456" s="265"/>
      <c r="P456" s="260"/>
      <c r="Q456" s="260"/>
      <c r="R456" s="260"/>
      <c r="S456" s="630"/>
      <c r="T456" s="630"/>
      <c r="U456" s="630"/>
      <c r="V456" s="630"/>
      <c r="W456" s="260"/>
      <c r="X456" s="260"/>
      <c r="Y456" s="260"/>
      <c r="Z456" s="260"/>
      <c r="AA456" s="260"/>
      <c r="AB456" s="260"/>
      <c r="AC456" s="265"/>
      <c r="AD456" s="634"/>
      <c r="AE456" s="264">
        <f t="shared" ref="AE456:AH456" si="1009">AE432*($S432*$P432+$T432*$Q432+$U432*$R432)</f>
        <v>0</v>
      </c>
      <c r="AF456" s="264">
        <f t="shared" si="1009"/>
        <v>0</v>
      </c>
      <c r="AG456" s="264">
        <f t="shared" si="1009"/>
        <v>0</v>
      </c>
      <c r="AH456" s="264">
        <f t="shared" si="1009"/>
        <v>0</v>
      </c>
      <c r="AI456" s="264">
        <f t="shared" si="994"/>
        <v>0</v>
      </c>
      <c r="AJ456" s="264">
        <f t="shared" si="995"/>
        <v>0</v>
      </c>
      <c r="AK456" s="264">
        <f t="shared" si="996"/>
        <v>0</v>
      </c>
      <c r="AL456" s="264">
        <f t="shared" si="997"/>
        <v>0</v>
      </c>
      <c r="AM456" s="264">
        <f t="shared" si="998"/>
        <v>0</v>
      </c>
      <c r="AN456" s="640">
        <f t="shared" si="999"/>
        <v>0</v>
      </c>
      <c r="AO456" s="264">
        <f t="shared" si="1000"/>
        <v>0</v>
      </c>
      <c r="AP456" s="640">
        <f t="shared" si="1001"/>
        <v>0</v>
      </c>
      <c r="AQ456" s="264"/>
      <c r="AR456" s="264" t="str">
        <f>VLOOKUP($I456,TableInputsData[],ReadMe!$M$3,FALSE)&amp;"  |  "&amp;VLOOKUP($K456,TableInputsData[],ReadMe!$M$3,FALSE)</f>
        <v>PRODUIT 11  |  DEPENSES SUR ACHATS</v>
      </c>
      <c r="AS456" s="264" t="b">
        <f t="shared" si="1002"/>
        <v>1</v>
      </c>
      <c r="AT456" s="294"/>
    </row>
    <row r="457" spans="1:46" ht="13" hidden="1" x14ac:dyDescent="0.2">
      <c r="A457" s="294"/>
      <c r="B457" s="924"/>
      <c r="C457" s="271">
        <v>450</v>
      </c>
      <c r="D457" s="250">
        <f t="shared" si="936"/>
        <v>0</v>
      </c>
      <c r="E457" s="250"/>
      <c r="F457" s="248" t="str">
        <f t="shared" si="991"/>
        <v>YEAR3</v>
      </c>
      <c r="G457" s="250">
        <f>VLOOKUP(F457,TableInputsData[],$G$6,FALSE)</f>
        <v>2027</v>
      </c>
      <c r="H457" s="250" t="str">
        <f t="shared" ref="H457:I457" si="1010">H456</f>
        <v>PRODUCT</v>
      </c>
      <c r="I457" s="248" t="str">
        <f t="shared" si="1010"/>
        <v>PRODUCT 11</v>
      </c>
      <c r="J457" s="248" t="str">
        <f>VLOOKUP(I457,TableInputsData[],$J$6,FALSE)</f>
        <v>-</v>
      </c>
      <c r="K457" s="248" t="str">
        <f t="shared" si="1006"/>
        <v>COST OF GOODS SOLD</v>
      </c>
      <c r="L457" s="255"/>
      <c r="M457" s="255"/>
      <c r="N457" s="255"/>
      <c r="O457" s="265"/>
      <c r="P457" s="260"/>
      <c r="Q457" s="260"/>
      <c r="R457" s="260"/>
      <c r="S457" s="630"/>
      <c r="T457" s="630"/>
      <c r="U457" s="630"/>
      <c r="V457" s="630"/>
      <c r="W457" s="260"/>
      <c r="X457" s="260"/>
      <c r="Y457" s="260"/>
      <c r="Z457" s="260"/>
      <c r="AA457" s="260"/>
      <c r="AB457" s="260"/>
      <c r="AC457" s="265"/>
      <c r="AD457" s="634"/>
      <c r="AE457" s="264">
        <f t="shared" ref="AE457:AH457" si="1011">AE433*($S433*$P433+$T433*$Q433+$U433*$R433)</f>
        <v>0</v>
      </c>
      <c r="AF457" s="264">
        <f t="shared" si="1011"/>
        <v>0</v>
      </c>
      <c r="AG457" s="264">
        <f t="shared" si="1011"/>
        <v>0</v>
      </c>
      <c r="AH457" s="264">
        <f t="shared" si="1011"/>
        <v>0</v>
      </c>
      <c r="AI457" s="264">
        <f t="shared" si="994"/>
        <v>0</v>
      </c>
      <c r="AJ457" s="264">
        <f t="shared" si="995"/>
        <v>0</v>
      </c>
      <c r="AK457" s="264">
        <f t="shared" si="996"/>
        <v>0</v>
      </c>
      <c r="AL457" s="264">
        <f t="shared" si="997"/>
        <v>0</v>
      </c>
      <c r="AM457" s="264">
        <f t="shared" si="998"/>
        <v>0</v>
      </c>
      <c r="AN457" s="640">
        <f t="shared" si="999"/>
        <v>0</v>
      </c>
      <c r="AO457" s="264">
        <f t="shared" si="1000"/>
        <v>0</v>
      </c>
      <c r="AP457" s="640">
        <f t="shared" si="1001"/>
        <v>0</v>
      </c>
      <c r="AQ457" s="264"/>
      <c r="AR457" s="264" t="str">
        <f>VLOOKUP($I457,TableInputsData[],ReadMe!$M$3,FALSE)&amp;"  |  "&amp;VLOOKUP($K457,TableInputsData[],ReadMe!$M$3,FALSE)</f>
        <v>PRODUIT 11  |  DEPENSES SUR ACHATS</v>
      </c>
      <c r="AS457" s="264" t="b">
        <f t="shared" si="1002"/>
        <v>1</v>
      </c>
      <c r="AT457" s="294"/>
    </row>
    <row r="458" spans="1:46" ht="13" hidden="1" x14ac:dyDescent="0.2">
      <c r="A458" s="294"/>
      <c r="B458" s="924"/>
      <c r="C458" s="271">
        <v>451</v>
      </c>
      <c r="D458" s="250">
        <f t="shared" si="936"/>
        <v>0</v>
      </c>
      <c r="E458" s="250"/>
      <c r="F458" s="248" t="str">
        <f t="shared" si="991"/>
        <v>YEAR4</v>
      </c>
      <c r="G458" s="250">
        <f>VLOOKUP(F458,TableInputsData[],$G$6,FALSE)</f>
        <v>2028</v>
      </c>
      <c r="H458" s="250" t="str">
        <f t="shared" ref="H458:I458" si="1012">H457</f>
        <v>PRODUCT</v>
      </c>
      <c r="I458" s="248" t="str">
        <f t="shared" si="1012"/>
        <v>PRODUCT 11</v>
      </c>
      <c r="J458" s="248" t="str">
        <f>VLOOKUP(I458,TableInputsData[],$J$6,FALSE)</f>
        <v>-</v>
      </c>
      <c r="K458" s="248" t="str">
        <f t="shared" si="1006"/>
        <v>COST OF GOODS SOLD</v>
      </c>
      <c r="L458" s="255"/>
      <c r="M458" s="255"/>
      <c r="N458" s="255"/>
      <c r="O458" s="265"/>
      <c r="P458" s="260"/>
      <c r="Q458" s="260"/>
      <c r="R458" s="260"/>
      <c r="S458" s="630"/>
      <c r="T458" s="630"/>
      <c r="U458" s="630"/>
      <c r="V458" s="630"/>
      <c r="W458" s="260"/>
      <c r="X458" s="260"/>
      <c r="Y458" s="260"/>
      <c r="Z458" s="260"/>
      <c r="AA458" s="260"/>
      <c r="AB458" s="260"/>
      <c r="AC458" s="265"/>
      <c r="AD458" s="634"/>
      <c r="AE458" s="264">
        <f t="shared" ref="AE458:AH458" si="1013">AE434*($S434*$P434+$T434*$Q434+$U434*$R434)</f>
        <v>0</v>
      </c>
      <c r="AF458" s="264">
        <f t="shared" si="1013"/>
        <v>0</v>
      </c>
      <c r="AG458" s="264">
        <f t="shared" si="1013"/>
        <v>0</v>
      </c>
      <c r="AH458" s="264">
        <f t="shared" si="1013"/>
        <v>0</v>
      </c>
      <c r="AI458" s="264">
        <f t="shared" si="994"/>
        <v>0</v>
      </c>
      <c r="AJ458" s="264">
        <f t="shared" si="995"/>
        <v>0</v>
      </c>
      <c r="AK458" s="264">
        <f t="shared" si="996"/>
        <v>0</v>
      </c>
      <c r="AL458" s="264">
        <f t="shared" si="997"/>
        <v>0</v>
      </c>
      <c r="AM458" s="264">
        <f t="shared" si="998"/>
        <v>0</v>
      </c>
      <c r="AN458" s="640">
        <f t="shared" si="999"/>
        <v>0</v>
      </c>
      <c r="AO458" s="264">
        <f t="shared" si="1000"/>
        <v>0</v>
      </c>
      <c r="AP458" s="640">
        <f t="shared" si="1001"/>
        <v>0</v>
      </c>
      <c r="AQ458" s="264"/>
      <c r="AR458" s="264" t="str">
        <f>VLOOKUP($I458,TableInputsData[],ReadMe!$M$3,FALSE)&amp;"  |  "&amp;VLOOKUP($K458,TableInputsData[],ReadMe!$M$3,FALSE)</f>
        <v>PRODUIT 11  |  DEPENSES SUR ACHATS</v>
      </c>
      <c r="AS458" s="264" t="b">
        <f t="shared" si="1002"/>
        <v>1</v>
      </c>
      <c r="AT458" s="294"/>
    </row>
    <row r="459" spans="1:46" ht="13" hidden="1" x14ac:dyDescent="0.2">
      <c r="A459" s="294"/>
      <c r="B459" s="924"/>
      <c r="C459" s="271">
        <v>452</v>
      </c>
      <c r="D459" s="250">
        <f t="shared" si="936"/>
        <v>0</v>
      </c>
      <c r="E459" s="250"/>
      <c r="F459" s="248" t="str">
        <f t="shared" si="991"/>
        <v>YEAR5</v>
      </c>
      <c r="G459" s="250">
        <f>VLOOKUP(F459,TableInputsData[],$G$6,FALSE)</f>
        <v>2029</v>
      </c>
      <c r="H459" s="250" t="str">
        <f t="shared" ref="H459:I459" si="1014">H458</f>
        <v>PRODUCT</v>
      </c>
      <c r="I459" s="248" t="str">
        <f t="shared" si="1014"/>
        <v>PRODUCT 11</v>
      </c>
      <c r="J459" s="248" t="str">
        <f>VLOOKUP(I459,TableInputsData[],$J$6,FALSE)</f>
        <v>-</v>
      </c>
      <c r="K459" s="248" t="str">
        <f t="shared" si="1006"/>
        <v>COST OF GOODS SOLD</v>
      </c>
      <c r="L459" s="255"/>
      <c r="M459" s="255"/>
      <c r="N459" s="255"/>
      <c r="O459" s="265"/>
      <c r="P459" s="260"/>
      <c r="Q459" s="260"/>
      <c r="R459" s="260"/>
      <c r="S459" s="630"/>
      <c r="T459" s="630"/>
      <c r="U459" s="630"/>
      <c r="V459" s="630"/>
      <c r="W459" s="260"/>
      <c r="X459" s="260"/>
      <c r="Y459" s="260"/>
      <c r="Z459" s="260"/>
      <c r="AA459" s="260"/>
      <c r="AB459" s="260"/>
      <c r="AC459" s="265"/>
      <c r="AD459" s="634"/>
      <c r="AE459" s="264">
        <f t="shared" ref="AE459:AH459" si="1015">AE435*($S435*$P435+$T435*$Q435+$U435*$R435)</f>
        <v>0</v>
      </c>
      <c r="AF459" s="264">
        <f t="shared" si="1015"/>
        <v>0</v>
      </c>
      <c r="AG459" s="264">
        <f t="shared" si="1015"/>
        <v>0</v>
      </c>
      <c r="AH459" s="264">
        <f t="shared" si="1015"/>
        <v>0</v>
      </c>
      <c r="AI459" s="264">
        <f t="shared" si="994"/>
        <v>0</v>
      </c>
      <c r="AJ459" s="264">
        <f t="shared" si="995"/>
        <v>0</v>
      </c>
      <c r="AK459" s="264">
        <f t="shared" si="996"/>
        <v>0</v>
      </c>
      <c r="AL459" s="264">
        <f t="shared" si="997"/>
        <v>0</v>
      </c>
      <c r="AM459" s="264">
        <f t="shared" si="998"/>
        <v>0</v>
      </c>
      <c r="AN459" s="640">
        <f t="shared" si="999"/>
        <v>0</v>
      </c>
      <c r="AO459" s="264">
        <f t="shared" si="1000"/>
        <v>0</v>
      </c>
      <c r="AP459" s="640">
        <f t="shared" si="1001"/>
        <v>0</v>
      </c>
      <c r="AQ459" s="264"/>
      <c r="AR459" s="264" t="str">
        <f>VLOOKUP($I459,TableInputsData[],ReadMe!$M$3,FALSE)&amp;"  |  "&amp;VLOOKUP($K459,TableInputsData[],ReadMe!$M$3,FALSE)</f>
        <v>PRODUIT 11  |  DEPENSES SUR ACHATS</v>
      </c>
      <c r="AS459" s="264" t="b">
        <f t="shared" si="1002"/>
        <v>1</v>
      </c>
      <c r="AT459" s="294"/>
    </row>
    <row r="460" spans="1:46" ht="13" hidden="1" x14ac:dyDescent="0.2">
      <c r="A460" s="294"/>
      <c r="B460" s="924"/>
      <c r="C460" s="271">
        <v>453</v>
      </c>
      <c r="D460" s="250">
        <f t="shared" si="936"/>
        <v>0</v>
      </c>
      <c r="E460" s="250"/>
      <c r="F460" s="248" t="str">
        <f t="shared" si="991"/>
        <v>YEAR6</v>
      </c>
      <c r="G460" s="250">
        <f>VLOOKUP(F460,TableInputsData[],$G$6,FALSE)</f>
        <v>2030</v>
      </c>
      <c r="H460" s="250" t="str">
        <f t="shared" ref="H460:I460" si="1016">H459</f>
        <v>PRODUCT</v>
      </c>
      <c r="I460" s="248" t="str">
        <f t="shared" si="1016"/>
        <v>PRODUCT 11</v>
      </c>
      <c r="J460" s="248" t="str">
        <f>VLOOKUP(I460,TableInputsData[],$J$6,FALSE)</f>
        <v>-</v>
      </c>
      <c r="K460" s="248" t="str">
        <f t="shared" si="1006"/>
        <v>COST OF GOODS SOLD</v>
      </c>
      <c r="L460" s="255"/>
      <c r="M460" s="255"/>
      <c r="N460" s="255"/>
      <c r="O460" s="265"/>
      <c r="P460" s="260"/>
      <c r="Q460" s="260"/>
      <c r="R460" s="260"/>
      <c r="S460" s="630"/>
      <c r="T460" s="630"/>
      <c r="U460" s="630"/>
      <c r="V460" s="630"/>
      <c r="W460" s="260"/>
      <c r="X460" s="260"/>
      <c r="Y460" s="260"/>
      <c r="Z460" s="260"/>
      <c r="AA460" s="260"/>
      <c r="AB460" s="260"/>
      <c r="AC460" s="265"/>
      <c r="AD460" s="634"/>
      <c r="AE460" s="264">
        <f t="shared" ref="AE460:AH460" si="1017">AE436*($S436*$P436+$T436*$Q436+$U436*$R436)</f>
        <v>0</v>
      </c>
      <c r="AF460" s="264">
        <f t="shared" si="1017"/>
        <v>0</v>
      </c>
      <c r="AG460" s="264">
        <f t="shared" si="1017"/>
        <v>0</v>
      </c>
      <c r="AH460" s="264">
        <f t="shared" si="1017"/>
        <v>0</v>
      </c>
      <c r="AI460" s="264">
        <f t="shared" si="994"/>
        <v>0</v>
      </c>
      <c r="AJ460" s="264">
        <f t="shared" si="995"/>
        <v>0</v>
      </c>
      <c r="AK460" s="264">
        <f t="shared" si="996"/>
        <v>0</v>
      </c>
      <c r="AL460" s="264">
        <f t="shared" si="997"/>
        <v>0</v>
      </c>
      <c r="AM460" s="264">
        <f t="shared" si="998"/>
        <v>0</v>
      </c>
      <c r="AN460" s="640">
        <f t="shared" si="999"/>
        <v>0</v>
      </c>
      <c r="AO460" s="264">
        <f t="shared" si="1000"/>
        <v>0</v>
      </c>
      <c r="AP460" s="640">
        <f t="shared" si="1001"/>
        <v>0</v>
      </c>
      <c r="AQ460" s="264"/>
      <c r="AR460" s="264" t="str">
        <f>VLOOKUP($I460,TableInputsData[],ReadMe!$M$3,FALSE)&amp;"  |  "&amp;VLOOKUP($K460,TableInputsData[],ReadMe!$M$3,FALSE)</f>
        <v>PRODUIT 11  |  DEPENSES SUR ACHATS</v>
      </c>
      <c r="AS460" s="264" t="b">
        <f t="shared" si="1002"/>
        <v>1</v>
      </c>
      <c r="AT460" s="294"/>
    </row>
    <row r="461" spans="1:46" ht="13" hidden="1" x14ac:dyDescent="0.2">
      <c r="A461" s="294"/>
      <c r="B461" s="924"/>
      <c r="C461" s="272">
        <v>454</v>
      </c>
      <c r="D461" s="250">
        <f t="shared" si="936"/>
        <v>0</v>
      </c>
      <c r="E461" s="251"/>
      <c r="F461" s="248" t="str">
        <f t="shared" ref="F461:F468" si="1018">F437</f>
        <v>YEAR-2</v>
      </c>
      <c r="G461" s="250">
        <f>VLOOKUP(F461,TableInputsData[],$G$6,FALSE)</f>
        <v>2023</v>
      </c>
      <c r="H461" s="250" t="str">
        <f t="shared" ref="H461:I461" si="1019">H460</f>
        <v>PRODUCT</v>
      </c>
      <c r="I461" s="248" t="str">
        <f t="shared" si="1019"/>
        <v>PRODUCT 11</v>
      </c>
      <c r="J461" s="248" t="str">
        <f>VLOOKUP(I461,TableInputsData[],$J$6,FALSE)</f>
        <v>-</v>
      </c>
      <c r="K461" s="248" t="s">
        <v>532</v>
      </c>
      <c r="L461" s="256"/>
      <c r="M461" s="256"/>
      <c r="N461" s="256"/>
      <c r="O461" s="266"/>
      <c r="P461" s="261"/>
      <c r="Q461" s="261"/>
      <c r="R461" s="261"/>
      <c r="S461" s="629"/>
      <c r="T461" s="629"/>
      <c r="U461" s="629"/>
      <c r="V461" s="629"/>
      <c r="W461" s="261"/>
      <c r="X461" s="261"/>
      <c r="Y461" s="261"/>
      <c r="Z461" s="261"/>
      <c r="AA461" s="261"/>
      <c r="AB461" s="261"/>
      <c r="AC461" s="266"/>
      <c r="AD461" s="633"/>
      <c r="AE461" s="264">
        <f>IF(AE429=0,0,AE453/AE429)</f>
        <v>0</v>
      </c>
      <c r="AF461" s="264">
        <f t="shared" ref="AF461:AI461" si="1020">IF(AF429=0,0,AF453/AF429)</f>
        <v>0</v>
      </c>
      <c r="AG461" s="264">
        <f t="shared" si="1020"/>
        <v>0</v>
      </c>
      <c r="AH461" s="264">
        <f t="shared" si="1020"/>
        <v>0</v>
      </c>
      <c r="AI461" s="264">
        <f t="shared" si="1020"/>
        <v>0</v>
      </c>
      <c r="AJ461" s="264">
        <f>IF(AJ429=0,0,AJ453/AJ429)</f>
        <v>0</v>
      </c>
      <c r="AK461" s="264">
        <f t="shared" ref="AK461:AL461" si="1021">IF(AK429=0,0,AK453/AK429)</f>
        <v>0</v>
      </c>
      <c r="AL461" s="264">
        <f t="shared" si="1021"/>
        <v>0</v>
      </c>
      <c r="AM461" s="264">
        <f>IF(AM429=0,0,AM453/AM429)</f>
        <v>0</v>
      </c>
      <c r="AN461" s="260"/>
      <c r="AO461" s="264">
        <f t="shared" ref="AO461" si="1022">IF(AO429=0,0,AO453/AO429)</f>
        <v>0</v>
      </c>
      <c r="AP461" s="260"/>
      <c r="AQ461" s="264"/>
      <c r="AR461" s="264" t="str">
        <f>VLOOKUP($I461,TableInputsData[],ReadMe!$M$3,FALSE)&amp;"  |  "&amp;VLOOKUP($K461,TableInputsData[],ReadMe!$M$3,FALSE)</f>
        <v>PRODUIT 11  |  PRIX MOYEN D'ACHAT PAR PRODUIT/SERVICE</v>
      </c>
      <c r="AS461" s="264"/>
      <c r="AT461" s="294"/>
    </row>
    <row r="462" spans="1:46" ht="13" hidden="1" x14ac:dyDescent="0.2">
      <c r="A462" s="294"/>
      <c r="B462" s="924"/>
      <c r="C462" s="272">
        <v>455</v>
      </c>
      <c r="D462" s="250">
        <f t="shared" si="936"/>
        <v>0</v>
      </c>
      <c r="E462" s="251"/>
      <c r="F462" s="248" t="str">
        <f t="shared" si="1018"/>
        <v>YEAR-1</v>
      </c>
      <c r="G462" s="250">
        <f>VLOOKUP(F462,TableInputsData[],$G$6,FALSE)</f>
        <v>2024</v>
      </c>
      <c r="H462" s="250" t="str">
        <f t="shared" ref="H462:I462" si="1023">H461</f>
        <v>PRODUCT</v>
      </c>
      <c r="I462" s="248" t="str">
        <f t="shared" si="1023"/>
        <v>PRODUCT 11</v>
      </c>
      <c r="J462" s="248" t="str">
        <f>VLOOKUP(I462,TableInputsData[],$J$6,FALSE)</f>
        <v>-</v>
      </c>
      <c r="K462" s="248" t="str">
        <f>K461</f>
        <v>AVERAGE COST OF GOODS SOLD PER UNIT</v>
      </c>
      <c r="L462" s="256"/>
      <c r="M462" s="256"/>
      <c r="N462" s="256"/>
      <c r="O462" s="266"/>
      <c r="P462" s="261"/>
      <c r="Q462" s="261"/>
      <c r="R462" s="261"/>
      <c r="S462" s="629"/>
      <c r="T462" s="629"/>
      <c r="U462" s="629"/>
      <c r="V462" s="629"/>
      <c r="W462" s="261"/>
      <c r="X462" s="261"/>
      <c r="Y462" s="261"/>
      <c r="Z462" s="261"/>
      <c r="AA462" s="261"/>
      <c r="AB462" s="261"/>
      <c r="AC462" s="266"/>
      <c r="AD462" s="633"/>
      <c r="AE462" s="264">
        <f t="shared" ref="AE462:AL462" si="1024">IF(AE430=0,0,AE454/AE430)</f>
        <v>0</v>
      </c>
      <c r="AF462" s="264">
        <f t="shared" si="1024"/>
        <v>0</v>
      </c>
      <c r="AG462" s="264">
        <f t="shared" si="1024"/>
        <v>0</v>
      </c>
      <c r="AH462" s="264">
        <f t="shared" si="1024"/>
        <v>0</v>
      </c>
      <c r="AI462" s="264">
        <f t="shared" si="1024"/>
        <v>0</v>
      </c>
      <c r="AJ462" s="264">
        <f t="shared" si="1024"/>
        <v>0</v>
      </c>
      <c r="AK462" s="264">
        <f t="shared" si="1024"/>
        <v>0</v>
      </c>
      <c r="AL462" s="264">
        <f t="shared" si="1024"/>
        <v>0</v>
      </c>
      <c r="AM462" s="264">
        <f>IF(AM430=0,0,AM454/AM430)</f>
        <v>0</v>
      </c>
      <c r="AN462" s="260"/>
      <c r="AO462" s="264">
        <f>IF(AO430=0,0,AO454/AO430)</f>
        <v>0</v>
      </c>
      <c r="AP462" s="260"/>
      <c r="AQ462" s="264"/>
      <c r="AR462" s="264" t="str">
        <f>VLOOKUP($I462,TableInputsData[],ReadMe!$M$3,FALSE)&amp;"  |  "&amp;VLOOKUP($K462,TableInputsData[],ReadMe!$M$3,FALSE)</f>
        <v>PRODUIT 11  |  PRIX MOYEN D'ACHAT PAR PRODUIT/SERVICE</v>
      </c>
      <c r="AS462" s="264"/>
      <c r="AT462" s="294"/>
    </row>
    <row r="463" spans="1:46" ht="13" hidden="1" x14ac:dyDescent="0.2">
      <c r="A463" s="294"/>
      <c r="B463" s="924"/>
      <c r="C463" s="272">
        <v>456</v>
      </c>
      <c r="D463" s="250">
        <f t="shared" si="936"/>
        <v>0</v>
      </c>
      <c r="E463" s="251"/>
      <c r="F463" s="248" t="str">
        <f t="shared" si="1018"/>
        <v>CURRENT YEAR</v>
      </c>
      <c r="G463" s="250">
        <f>VLOOKUP(F463,TableInputsData[],$G$6,FALSE)</f>
        <v>2025</v>
      </c>
      <c r="H463" s="250" t="str">
        <f t="shared" ref="H463:I463" si="1025">H462</f>
        <v>PRODUCT</v>
      </c>
      <c r="I463" s="248" t="str">
        <f t="shared" si="1025"/>
        <v>PRODUCT 11</v>
      </c>
      <c r="J463" s="248" t="str">
        <f>VLOOKUP(I463,TableInputsData[],$J$6,FALSE)</f>
        <v>-</v>
      </c>
      <c r="K463" s="248" t="str">
        <f t="shared" ref="K463:K468" si="1026">K462</f>
        <v>AVERAGE COST OF GOODS SOLD PER UNIT</v>
      </c>
      <c r="L463" s="256"/>
      <c r="M463" s="256"/>
      <c r="N463" s="256"/>
      <c r="O463" s="266"/>
      <c r="P463" s="261"/>
      <c r="Q463" s="261"/>
      <c r="R463" s="261"/>
      <c r="S463" s="629"/>
      <c r="T463" s="629"/>
      <c r="U463" s="629"/>
      <c r="V463" s="629"/>
      <c r="W463" s="261"/>
      <c r="X463" s="261"/>
      <c r="Y463" s="261"/>
      <c r="Z463" s="261"/>
      <c r="AA463" s="261"/>
      <c r="AB463" s="261"/>
      <c r="AC463" s="266"/>
      <c r="AD463" s="633"/>
      <c r="AE463" s="264">
        <f t="shared" ref="AE463:AL463" si="1027">IF(AE431=0,0,AE455/AE431)</f>
        <v>0</v>
      </c>
      <c r="AF463" s="264">
        <f t="shared" si="1027"/>
        <v>0</v>
      </c>
      <c r="AG463" s="264">
        <f t="shared" si="1027"/>
        <v>0</v>
      </c>
      <c r="AH463" s="264">
        <f t="shared" si="1027"/>
        <v>0</v>
      </c>
      <c r="AI463" s="264">
        <f t="shared" si="1027"/>
        <v>0</v>
      </c>
      <c r="AJ463" s="264">
        <f t="shared" si="1027"/>
        <v>0</v>
      </c>
      <c r="AK463" s="264">
        <f t="shared" si="1027"/>
        <v>0</v>
      </c>
      <c r="AL463" s="264">
        <f t="shared" si="1027"/>
        <v>0</v>
      </c>
      <c r="AM463" s="264">
        <f>IF(AM431=0,0,AM455/AM431)</f>
        <v>0</v>
      </c>
      <c r="AN463" s="260"/>
      <c r="AO463" s="264">
        <f>IF(AO431=0,0,AO455/AO431)</f>
        <v>0</v>
      </c>
      <c r="AP463" s="260"/>
      <c r="AQ463" s="264"/>
      <c r="AR463" s="264" t="str">
        <f>VLOOKUP($I463,TableInputsData[],ReadMe!$M$3,FALSE)&amp;"  |  "&amp;VLOOKUP($K463,TableInputsData[],ReadMe!$M$3,FALSE)</f>
        <v>PRODUIT 11  |  PRIX MOYEN D'ACHAT PAR PRODUIT/SERVICE</v>
      </c>
      <c r="AS463" s="264"/>
      <c r="AT463" s="294"/>
    </row>
    <row r="464" spans="1:46" ht="13" hidden="1" x14ac:dyDescent="0.2">
      <c r="A464" s="294"/>
      <c r="B464" s="924"/>
      <c r="C464" s="272">
        <v>457</v>
      </c>
      <c r="D464" s="250">
        <f t="shared" si="936"/>
        <v>0</v>
      </c>
      <c r="E464" s="251"/>
      <c r="F464" s="248" t="str">
        <f t="shared" si="1018"/>
        <v>YEAR2</v>
      </c>
      <c r="G464" s="250">
        <f>VLOOKUP(F464,TableInputsData[],$G$6,FALSE)</f>
        <v>2026</v>
      </c>
      <c r="H464" s="250" t="str">
        <f t="shared" ref="H464:I464" si="1028">H463</f>
        <v>PRODUCT</v>
      </c>
      <c r="I464" s="248" t="str">
        <f t="shared" si="1028"/>
        <v>PRODUCT 11</v>
      </c>
      <c r="J464" s="248" t="str">
        <f>VLOOKUP(I464,TableInputsData[],$J$6,FALSE)</f>
        <v>-</v>
      </c>
      <c r="K464" s="248" t="str">
        <f t="shared" si="1026"/>
        <v>AVERAGE COST OF GOODS SOLD PER UNIT</v>
      </c>
      <c r="L464" s="256"/>
      <c r="M464" s="256"/>
      <c r="N464" s="256"/>
      <c r="O464" s="266"/>
      <c r="P464" s="261"/>
      <c r="Q464" s="261"/>
      <c r="R464" s="261"/>
      <c r="S464" s="629"/>
      <c r="T464" s="629"/>
      <c r="U464" s="629"/>
      <c r="V464" s="629"/>
      <c r="W464" s="261"/>
      <c r="X464" s="261"/>
      <c r="Y464" s="261"/>
      <c r="Z464" s="261"/>
      <c r="AA464" s="261"/>
      <c r="AB464" s="261"/>
      <c r="AC464" s="266"/>
      <c r="AD464" s="633"/>
      <c r="AE464" s="264">
        <f t="shared" ref="AE464:AM464" si="1029">IF(AE432=0,0,AE456/AE432)</f>
        <v>0</v>
      </c>
      <c r="AF464" s="264">
        <f t="shared" si="1029"/>
        <v>0</v>
      </c>
      <c r="AG464" s="264">
        <f t="shared" si="1029"/>
        <v>0</v>
      </c>
      <c r="AH464" s="264">
        <f t="shared" si="1029"/>
        <v>0</v>
      </c>
      <c r="AI464" s="264">
        <f t="shared" si="1029"/>
        <v>0</v>
      </c>
      <c r="AJ464" s="264">
        <f t="shared" si="1029"/>
        <v>0</v>
      </c>
      <c r="AK464" s="264">
        <f t="shared" si="1029"/>
        <v>0</v>
      </c>
      <c r="AL464" s="264">
        <f t="shared" si="1029"/>
        <v>0</v>
      </c>
      <c r="AM464" s="264">
        <f t="shared" si="1029"/>
        <v>0</v>
      </c>
      <c r="AN464" s="260"/>
      <c r="AO464" s="264">
        <f t="shared" ref="AO464:AO468" si="1030">IF(AO432=0,0,AO456/AO432)</f>
        <v>0</v>
      </c>
      <c r="AP464" s="260"/>
      <c r="AQ464" s="264"/>
      <c r="AR464" s="264" t="str">
        <f>VLOOKUP($I464,TableInputsData[],ReadMe!$M$3,FALSE)&amp;"  |  "&amp;VLOOKUP($K464,TableInputsData[],ReadMe!$M$3,FALSE)</f>
        <v>PRODUIT 11  |  PRIX MOYEN D'ACHAT PAR PRODUIT/SERVICE</v>
      </c>
      <c r="AS464" s="264"/>
      <c r="AT464" s="294"/>
    </row>
    <row r="465" spans="1:46" ht="13" hidden="1" x14ac:dyDescent="0.2">
      <c r="A465" s="294"/>
      <c r="B465" s="924"/>
      <c r="C465" s="272">
        <v>458</v>
      </c>
      <c r="D465" s="250">
        <f t="shared" si="936"/>
        <v>0</v>
      </c>
      <c r="E465" s="251"/>
      <c r="F465" s="248" t="str">
        <f t="shared" si="1018"/>
        <v>YEAR3</v>
      </c>
      <c r="G465" s="250">
        <f>VLOOKUP(F465,TableInputsData[],$G$6,FALSE)</f>
        <v>2027</v>
      </c>
      <c r="H465" s="250" t="str">
        <f t="shared" ref="H465:I465" si="1031">H464</f>
        <v>PRODUCT</v>
      </c>
      <c r="I465" s="248" t="str">
        <f t="shared" si="1031"/>
        <v>PRODUCT 11</v>
      </c>
      <c r="J465" s="248" t="str">
        <f>VLOOKUP(I465,TableInputsData[],$J$6,FALSE)</f>
        <v>-</v>
      </c>
      <c r="K465" s="248" t="str">
        <f t="shared" si="1026"/>
        <v>AVERAGE COST OF GOODS SOLD PER UNIT</v>
      </c>
      <c r="L465" s="256"/>
      <c r="M465" s="256"/>
      <c r="N465" s="256"/>
      <c r="O465" s="266"/>
      <c r="P465" s="261"/>
      <c r="Q465" s="261"/>
      <c r="R465" s="261"/>
      <c r="S465" s="629"/>
      <c r="T465" s="629"/>
      <c r="U465" s="629"/>
      <c r="V465" s="629"/>
      <c r="W465" s="261"/>
      <c r="X465" s="261"/>
      <c r="Y465" s="261"/>
      <c r="Z465" s="261"/>
      <c r="AA465" s="261"/>
      <c r="AB465" s="261"/>
      <c r="AC465" s="266"/>
      <c r="AD465" s="633"/>
      <c r="AE465" s="264">
        <f t="shared" ref="AE465:AM465" si="1032">IF(AE433=0,0,AE457/AE433)</f>
        <v>0</v>
      </c>
      <c r="AF465" s="264">
        <f t="shared" si="1032"/>
        <v>0</v>
      </c>
      <c r="AG465" s="264">
        <f t="shared" si="1032"/>
        <v>0</v>
      </c>
      <c r="AH465" s="264">
        <f t="shared" si="1032"/>
        <v>0</v>
      </c>
      <c r="AI465" s="264">
        <f t="shared" si="1032"/>
        <v>0</v>
      </c>
      <c r="AJ465" s="264">
        <f t="shared" si="1032"/>
        <v>0</v>
      </c>
      <c r="AK465" s="264">
        <f t="shared" si="1032"/>
        <v>0</v>
      </c>
      <c r="AL465" s="264">
        <f t="shared" si="1032"/>
        <v>0</v>
      </c>
      <c r="AM465" s="264">
        <f t="shared" si="1032"/>
        <v>0</v>
      </c>
      <c r="AN465" s="260"/>
      <c r="AO465" s="264">
        <f t="shared" si="1030"/>
        <v>0</v>
      </c>
      <c r="AP465" s="260"/>
      <c r="AQ465" s="264"/>
      <c r="AR465" s="264" t="str">
        <f>VLOOKUP($I465,TableInputsData[],ReadMe!$M$3,FALSE)&amp;"  |  "&amp;VLOOKUP($K465,TableInputsData[],ReadMe!$M$3,FALSE)</f>
        <v>PRODUIT 11  |  PRIX MOYEN D'ACHAT PAR PRODUIT/SERVICE</v>
      </c>
      <c r="AS465" s="264"/>
      <c r="AT465" s="294"/>
    </row>
    <row r="466" spans="1:46" ht="13" hidden="1" x14ac:dyDescent="0.2">
      <c r="A466" s="294"/>
      <c r="B466" s="924"/>
      <c r="C466" s="272">
        <v>459</v>
      </c>
      <c r="D466" s="250">
        <f t="shared" si="936"/>
        <v>0</v>
      </c>
      <c r="E466" s="251"/>
      <c r="F466" s="248" t="str">
        <f t="shared" si="1018"/>
        <v>YEAR4</v>
      </c>
      <c r="G466" s="250">
        <f>VLOOKUP(F466,TableInputsData[],$G$6,FALSE)</f>
        <v>2028</v>
      </c>
      <c r="H466" s="250" t="str">
        <f t="shared" ref="H466:I466" si="1033">H465</f>
        <v>PRODUCT</v>
      </c>
      <c r="I466" s="248" t="str">
        <f t="shared" si="1033"/>
        <v>PRODUCT 11</v>
      </c>
      <c r="J466" s="248" t="str">
        <f>VLOOKUP(I466,TableInputsData[],$J$6,FALSE)</f>
        <v>-</v>
      </c>
      <c r="K466" s="248" t="str">
        <f t="shared" si="1026"/>
        <v>AVERAGE COST OF GOODS SOLD PER UNIT</v>
      </c>
      <c r="L466" s="256"/>
      <c r="M466" s="256"/>
      <c r="N466" s="256"/>
      <c r="O466" s="266"/>
      <c r="P466" s="261"/>
      <c r="Q466" s="261"/>
      <c r="R466" s="261"/>
      <c r="S466" s="629"/>
      <c r="T466" s="629"/>
      <c r="U466" s="629"/>
      <c r="V466" s="629"/>
      <c r="W466" s="261"/>
      <c r="X466" s="261"/>
      <c r="Y466" s="261"/>
      <c r="Z466" s="261"/>
      <c r="AA466" s="261"/>
      <c r="AB466" s="261"/>
      <c r="AC466" s="266"/>
      <c r="AD466" s="633"/>
      <c r="AE466" s="264">
        <f t="shared" ref="AE466:AM466" si="1034">IF(AE434=0,0,AE458/AE434)</f>
        <v>0</v>
      </c>
      <c r="AF466" s="264">
        <f t="shared" si="1034"/>
        <v>0</v>
      </c>
      <c r="AG466" s="264">
        <f t="shared" si="1034"/>
        <v>0</v>
      </c>
      <c r="AH466" s="264">
        <f t="shared" si="1034"/>
        <v>0</v>
      </c>
      <c r="AI466" s="264">
        <f t="shared" si="1034"/>
        <v>0</v>
      </c>
      <c r="AJ466" s="264">
        <f t="shared" si="1034"/>
        <v>0</v>
      </c>
      <c r="AK466" s="264">
        <f t="shared" si="1034"/>
        <v>0</v>
      </c>
      <c r="AL466" s="264">
        <f t="shared" si="1034"/>
        <v>0</v>
      </c>
      <c r="AM466" s="264">
        <f t="shared" si="1034"/>
        <v>0</v>
      </c>
      <c r="AN466" s="260"/>
      <c r="AO466" s="264">
        <f t="shared" si="1030"/>
        <v>0</v>
      </c>
      <c r="AP466" s="260"/>
      <c r="AQ466" s="264"/>
      <c r="AR466" s="264" t="str">
        <f>VLOOKUP($I466,TableInputsData[],ReadMe!$M$3,FALSE)&amp;"  |  "&amp;VLOOKUP($K466,TableInputsData[],ReadMe!$M$3,FALSE)</f>
        <v>PRODUIT 11  |  PRIX MOYEN D'ACHAT PAR PRODUIT/SERVICE</v>
      </c>
      <c r="AS466" s="264"/>
      <c r="AT466" s="294"/>
    </row>
    <row r="467" spans="1:46" ht="13" hidden="1" x14ac:dyDescent="0.2">
      <c r="A467" s="294"/>
      <c r="B467" s="924"/>
      <c r="C467" s="272">
        <v>460</v>
      </c>
      <c r="D467" s="250">
        <f t="shared" si="936"/>
        <v>0</v>
      </c>
      <c r="E467" s="251"/>
      <c r="F467" s="248" t="str">
        <f t="shared" si="1018"/>
        <v>YEAR5</v>
      </c>
      <c r="G467" s="250">
        <f>VLOOKUP(F467,TableInputsData[],$G$6,FALSE)</f>
        <v>2029</v>
      </c>
      <c r="H467" s="250" t="str">
        <f t="shared" ref="H467:I467" si="1035">H466</f>
        <v>PRODUCT</v>
      </c>
      <c r="I467" s="248" t="str">
        <f t="shared" si="1035"/>
        <v>PRODUCT 11</v>
      </c>
      <c r="J467" s="248" t="str">
        <f>VLOOKUP(I467,TableInputsData[],$J$6,FALSE)</f>
        <v>-</v>
      </c>
      <c r="K467" s="248" t="str">
        <f t="shared" si="1026"/>
        <v>AVERAGE COST OF GOODS SOLD PER UNIT</v>
      </c>
      <c r="L467" s="256"/>
      <c r="M467" s="256"/>
      <c r="N467" s="256"/>
      <c r="O467" s="266"/>
      <c r="P467" s="261"/>
      <c r="Q467" s="261"/>
      <c r="R467" s="261"/>
      <c r="S467" s="629"/>
      <c r="T467" s="629"/>
      <c r="U467" s="629"/>
      <c r="V467" s="629"/>
      <c r="W467" s="261"/>
      <c r="X467" s="261"/>
      <c r="Y467" s="261"/>
      <c r="Z467" s="261"/>
      <c r="AA467" s="261"/>
      <c r="AB467" s="261"/>
      <c r="AC467" s="266"/>
      <c r="AD467" s="633"/>
      <c r="AE467" s="264">
        <f t="shared" ref="AE467:AM467" si="1036">IF(AE435=0,0,AE459/AE435)</f>
        <v>0</v>
      </c>
      <c r="AF467" s="264">
        <f t="shared" si="1036"/>
        <v>0</v>
      </c>
      <c r="AG467" s="264">
        <f t="shared" si="1036"/>
        <v>0</v>
      </c>
      <c r="AH467" s="264">
        <f t="shared" si="1036"/>
        <v>0</v>
      </c>
      <c r="AI467" s="264">
        <f t="shared" si="1036"/>
        <v>0</v>
      </c>
      <c r="AJ467" s="264">
        <f t="shared" si="1036"/>
        <v>0</v>
      </c>
      <c r="AK467" s="264">
        <f t="shared" si="1036"/>
        <v>0</v>
      </c>
      <c r="AL467" s="264">
        <f t="shared" si="1036"/>
        <v>0</v>
      </c>
      <c r="AM467" s="264">
        <f t="shared" si="1036"/>
        <v>0</v>
      </c>
      <c r="AN467" s="260"/>
      <c r="AO467" s="264">
        <f t="shared" si="1030"/>
        <v>0</v>
      </c>
      <c r="AP467" s="260"/>
      <c r="AQ467" s="264"/>
      <c r="AR467" s="264" t="str">
        <f>VLOOKUP($I467,TableInputsData[],ReadMe!$M$3,FALSE)&amp;"  |  "&amp;VLOOKUP($K467,TableInputsData[],ReadMe!$M$3,FALSE)</f>
        <v>PRODUIT 11  |  PRIX MOYEN D'ACHAT PAR PRODUIT/SERVICE</v>
      </c>
      <c r="AS467" s="264"/>
      <c r="AT467" s="294"/>
    </row>
    <row r="468" spans="1:46" ht="13" hidden="1" x14ac:dyDescent="0.2">
      <c r="A468" s="294"/>
      <c r="B468" s="924"/>
      <c r="C468" s="272">
        <v>461</v>
      </c>
      <c r="D468" s="250">
        <f t="shared" si="936"/>
        <v>0</v>
      </c>
      <c r="E468" s="251"/>
      <c r="F468" s="248" t="str">
        <f t="shared" si="1018"/>
        <v>YEAR6</v>
      </c>
      <c r="G468" s="250">
        <f>VLOOKUP(F468,TableInputsData[],$G$6,FALSE)</f>
        <v>2030</v>
      </c>
      <c r="H468" s="250" t="str">
        <f t="shared" ref="H468:I468" si="1037">H467</f>
        <v>PRODUCT</v>
      </c>
      <c r="I468" s="248" t="str">
        <f t="shared" si="1037"/>
        <v>PRODUCT 11</v>
      </c>
      <c r="J468" s="248" t="str">
        <f>VLOOKUP(I468,TableInputsData[],$J$6,FALSE)</f>
        <v>-</v>
      </c>
      <c r="K468" s="248" t="str">
        <f t="shared" si="1026"/>
        <v>AVERAGE COST OF GOODS SOLD PER UNIT</v>
      </c>
      <c r="L468" s="256"/>
      <c r="M468" s="256"/>
      <c r="N468" s="256"/>
      <c r="O468" s="266"/>
      <c r="P468" s="261"/>
      <c r="Q468" s="261"/>
      <c r="R468" s="261"/>
      <c r="S468" s="629"/>
      <c r="T468" s="629"/>
      <c r="U468" s="629"/>
      <c r="V468" s="629"/>
      <c r="W468" s="261"/>
      <c r="X468" s="261"/>
      <c r="Y468" s="261"/>
      <c r="Z468" s="261"/>
      <c r="AA468" s="261"/>
      <c r="AB468" s="261"/>
      <c r="AC468" s="266"/>
      <c r="AD468" s="633"/>
      <c r="AE468" s="264">
        <f t="shared" ref="AE468:AM468" si="1038">IF(AE436=0,0,AE460/AE436)</f>
        <v>0</v>
      </c>
      <c r="AF468" s="264">
        <f t="shared" si="1038"/>
        <v>0</v>
      </c>
      <c r="AG468" s="264">
        <f t="shared" si="1038"/>
        <v>0</v>
      </c>
      <c r="AH468" s="264">
        <f t="shared" si="1038"/>
        <v>0</v>
      </c>
      <c r="AI468" s="264">
        <f t="shared" si="1038"/>
        <v>0</v>
      </c>
      <c r="AJ468" s="264">
        <f t="shared" si="1038"/>
        <v>0</v>
      </c>
      <c r="AK468" s="264">
        <f t="shared" si="1038"/>
        <v>0</v>
      </c>
      <c r="AL468" s="264">
        <f t="shared" si="1038"/>
        <v>0</v>
      </c>
      <c r="AM468" s="264">
        <f t="shared" si="1038"/>
        <v>0</v>
      </c>
      <c r="AN468" s="260"/>
      <c r="AO468" s="264">
        <f t="shared" si="1030"/>
        <v>0</v>
      </c>
      <c r="AP468" s="260"/>
      <c r="AQ468" s="264"/>
      <c r="AR468" s="264" t="str">
        <f>VLOOKUP($I468,TableInputsData[],ReadMe!$M$3,FALSE)&amp;"  |  "&amp;VLOOKUP($K468,TableInputsData[],ReadMe!$M$3,FALSE)</f>
        <v>PRODUIT 11  |  PRIX MOYEN D'ACHAT PAR PRODUIT/SERVICE</v>
      </c>
      <c r="AS468" s="264"/>
      <c r="AT468" s="294"/>
    </row>
    <row r="469" spans="1:46" ht="13" x14ac:dyDescent="0.2">
      <c r="A469" s="294"/>
      <c r="B469" s="924"/>
      <c r="C469" s="273">
        <v>462</v>
      </c>
      <c r="D469" s="253">
        <v>0</v>
      </c>
      <c r="E469" s="253">
        <v>1</v>
      </c>
      <c r="F469" s="252"/>
      <c r="G469" s="253"/>
      <c r="H469" s="253"/>
      <c r="I469" s="252"/>
      <c r="J469" s="252"/>
      <c r="K469" s="252"/>
      <c r="L469" s="257"/>
      <c r="M469" s="257"/>
      <c r="N469" s="257"/>
      <c r="O469" s="267"/>
      <c r="P469" s="262"/>
      <c r="Q469" s="262"/>
      <c r="R469" s="262"/>
      <c r="S469" s="631"/>
      <c r="T469" s="631"/>
      <c r="U469" s="631"/>
      <c r="V469" s="631"/>
      <c r="W469" s="262"/>
      <c r="X469" s="262"/>
      <c r="Y469" s="262"/>
      <c r="Z469" s="262"/>
      <c r="AA469" s="262"/>
      <c r="AB469" s="262"/>
      <c r="AC469" s="267"/>
      <c r="AD469" s="635"/>
      <c r="AE469" s="270"/>
      <c r="AF469" s="270"/>
      <c r="AG469" s="270"/>
      <c r="AH469" s="270"/>
      <c r="AI469" s="270"/>
      <c r="AJ469" s="270"/>
      <c r="AK469" s="270"/>
      <c r="AL469" s="270"/>
      <c r="AM469" s="270"/>
      <c r="AN469" s="643"/>
      <c r="AO469" s="270"/>
      <c r="AP469" s="270"/>
      <c r="AQ469" s="270"/>
      <c r="AR469" s="270"/>
      <c r="AS469" s="270"/>
      <c r="AT469" s="294"/>
    </row>
    <row r="470" spans="1:46" ht="13" hidden="1" x14ac:dyDescent="0.2">
      <c r="A470" s="294"/>
      <c r="B470" s="925" t="str">
        <f>I471&amp;"___"</f>
        <v>PRODUCT 12___</v>
      </c>
      <c r="C470" s="271">
        <v>463</v>
      </c>
      <c r="D470" s="250">
        <v>0</v>
      </c>
      <c r="E470" s="250"/>
      <c r="F470" s="248"/>
      <c r="G470" s="250"/>
      <c r="H470" s="250"/>
      <c r="I470" s="248"/>
      <c r="J470" s="248"/>
      <c r="K470" s="248"/>
      <c r="L470" s="254"/>
      <c r="M470" s="254"/>
      <c r="N470" s="254"/>
      <c r="O470" s="264"/>
      <c r="P470" s="259"/>
      <c r="Q470" s="259"/>
      <c r="R470" s="259"/>
      <c r="S470" s="628"/>
      <c r="T470" s="628"/>
      <c r="U470" s="628"/>
      <c r="V470" s="628"/>
      <c r="W470" s="259"/>
      <c r="X470" s="259"/>
      <c r="Y470" s="259"/>
      <c r="Z470" s="259"/>
      <c r="AA470" s="259"/>
      <c r="AB470" s="259"/>
      <c r="AC470" s="264"/>
      <c r="AD470" s="609"/>
      <c r="AE470" s="269"/>
      <c r="AF470" s="269"/>
      <c r="AG470" s="269"/>
      <c r="AH470" s="269"/>
      <c r="AI470" s="269"/>
      <c r="AJ470" s="269"/>
      <c r="AK470" s="269"/>
      <c r="AL470" s="269"/>
      <c r="AM470" s="269"/>
      <c r="AN470" s="642"/>
      <c r="AO470" s="269"/>
      <c r="AP470" s="269"/>
      <c r="AQ470" s="269"/>
      <c r="AR470" s="269"/>
      <c r="AS470" s="269"/>
      <c r="AT470" s="294"/>
    </row>
    <row r="471" spans="1:46" ht="13" x14ac:dyDescent="0.2">
      <c r="A471" s="294"/>
      <c r="B471" s="925"/>
      <c r="C471" s="271">
        <v>464</v>
      </c>
      <c r="D471" s="250">
        <f>VLOOKUP($I471,TableInputsData[],$D$6,FALSE)</f>
        <v>0</v>
      </c>
      <c r="E471" s="250">
        <v>1</v>
      </c>
      <c r="F471" s="248" t="s">
        <v>392</v>
      </c>
      <c r="G471" s="250">
        <f>VLOOKUP(F471,TableInputsData[],$G$6,FALSE)</f>
        <v>2023</v>
      </c>
      <c r="H471" s="250" t="s">
        <v>588</v>
      </c>
      <c r="I471" s="248" t="s">
        <v>1712</v>
      </c>
      <c r="J471" s="248" t="str">
        <f>VLOOKUP(I471,TableInputsData[],$J$6,FALSE)</f>
        <v>-</v>
      </c>
      <c r="K471" s="248" t="s">
        <v>261</v>
      </c>
      <c r="L471" s="499">
        <v>1000</v>
      </c>
      <c r="M471" s="499">
        <v>0</v>
      </c>
      <c r="N471" s="499">
        <v>0</v>
      </c>
      <c r="O471" s="264">
        <f t="shared" ref="O471:O478" si="1039">$L471*$P471+$M471*$Q471+$N471*$R471</f>
        <v>1000</v>
      </c>
      <c r="P471" s="500">
        <v>1</v>
      </c>
      <c r="Q471" s="500">
        <v>0</v>
      </c>
      <c r="R471" s="259">
        <f>1-$P471-$Q471</f>
        <v>0</v>
      </c>
      <c r="S471" s="626">
        <v>500</v>
      </c>
      <c r="T471" s="626">
        <v>0</v>
      </c>
      <c r="U471" s="626">
        <v>0</v>
      </c>
      <c r="V471" s="628">
        <f>($L471*$P471*$S471+$M471*$Q471*$T471+$N471*$R471*$U471)/$O471</f>
        <v>500</v>
      </c>
      <c r="W471" s="500">
        <v>1</v>
      </c>
      <c r="X471" s="500">
        <v>1</v>
      </c>
      <c r="Y471" s="500">
        <v>1</v>
      </c>
      <c r="Z471" s="259">
        <f t="shared" ref="Z471:Z478" si="1040">1-$W471</f>
        <v>0</v>
      </c>
      <c r="AA471" s="259">
        <f t="shared" ref="AA471:AA478" si="1041">1-$X471</f>
        <v>0</v>
      </c>
      <c r="AB471" s="259">
        <f t="shared" ref="AB471:AB478" si="1042">1-$Y471</f>
        <v>0</v>
      </c>
      <c r="AC471" s="628">
        <f>AM503</f>
        <v>0</v>
      </c>
      <c r="AD471" s="628">
        <f>AO503</f>
        <v>0</v>
      </c>
      <c r="AE471" s="501">
        <v>0</v>
      </c>
      <c r="AF471" s="501">
        <v>0</v>
      </c>
      <c r="AG471" s="501">
        <v>0</v>
      </c>
      <c r="AH471" s="501">
        <v>0</v>
      </c>
      <c r="AI471" s="264">
        <f t="shared" ref="AI471:AI474" si="1043">$AE471+$AF471+$AG471+$AH471</f>
        <v>0</v>
      </c>
      <c r="AJ471" s="264">
        <f t="shared" ref="AJ471:AJ478" si="1044">$AI471*$P471</f>
        <v>0</v>
      </c>
      <c r="AK471" s="264">
        <f t="shared" ref="AK471:AK478" si="1045">$AI471*$Q471</f>
        <v>0</v>
      </c>
      <c r="AL471" s="264">
        <f t="shared" ref="AL471:AL478" si="1046">$AI471*$R471</f>
        <v>0</v>
      </c>
      <c r="AM471" s="264">
        <f t="shared" ref="AM471:AM478" si="1047">$AJ471*$W471+$AK471*$X471+$AL471*$Y471</f>
        <v>0</v>
      </c>
      <c r="AN471" s="640">
        <f>IF(AI471=0,0,AM471/AI471)</f>
        <v>0</v>
      </c>
      <c r="AO471" s="264">
        <f t="shared" ref="AO471:AO478" si="1048">$AJ471*$Z471+$AK471*$AA471+$AL471*$AB471</f>
        <v>0</v>
      </c>
      <c r="AP471" s="640">
        <f t="shared" ref="AP471:AP486" si="1049">IF(AI471=0,0,AO471/AI471)</f>
        <v>0</v>
      </c>
      <c r="AQ471" s="264" t="str">
        <f>VLOOKUP(I471,TableInputsData[],$AQ$6,FALSE)</f>
        <v>GAMME # : 1 + CANAL DE DISTRIBUTION # : 1</v>
      </c>
      <c r="AR471" s="264" t="str">
        <f>VLOOKUP($I471,TableInputsData[],ReadMe!$M$3,FALSE)&amp;"  |  "&amp;VLOOKUP($K471,TableInputsData[],ReadMe!$M$3,FALSE)</f>
        <v>PRODUIT 12  |  VOLUME</v>
      </c>
      <c r="AS471" s="264" t="b">
        <f t="shared" ref="AS471:AS478" si="1050">AND(EXACT(ROUND(AI471,2),ROUND(AJ471+AK471+AL471,2)),EXACT(ROUND(AI471,2),ROUND(AM471+AO471,2)),EXACT(SUM(P471:R471),1),IF(R471&lt;0,FALSE,TRUE),EXACT(SUM(W471:AB471),3),MIN(W471:Y471)&gt;=0, MAX(W471:Y471)&lt;=1)</f>
        <v>1</v>
      </c>
      <c r="AT471" s="294"/>
    </row>
    <row r="472" spans="1:46" ht="13" x14ac:dyDescent="0.2">
      <c r="A472" s="294"/>
      <c r="B472" s="925"/>
      <c r="C472" s="271">
        <v>465</v>
      </c>
      <c r="D472" s="250">
        <f>D471</f>
        <v>0</v>
      </c>
      <c r="E472" s="250">
        <v>1</v>
      </c>
      <c r="F472" s="248" t="s">
        <v>391</v>
      </c>
      <c r="G472" s="250">
        <f>VLOOKUP(F472,TableInputsData[],$G$6,FALSE)</f>
        <v>2024</v>
      </c>
      <c r="H472" s="250" t="str">
        <f>H471</f>
        <v>PRODUCT</v>
      </c>
      <c r="I472" s="248" t="str">
        <f>I471</f>
        <v>PRODUCT 12</v>
      </c>
      <c r="J472" s="248" t="str">
        <f>VLOOKUP(I472,TableInputsData[],$J$6,FALSE)</f>
        <v>-</v>
      </c>
      <c r="K472" s="248" t="str">
        <f>K471</f>
        <v>VOLUME</v>
      </c>
      <c r="L472" s="499">
        <v>1000</v>
      </c>
      <c r="M472" s="499">
        <v>0</v>
      </c>
      <c r="N472" s="499">
        <v>0</v>
      </c>
      <c r="O472" s="264">
        <f t="shared" si="1039"/>
        <v>1000</v>
      </c>
      <c r="P472" s="500">
        <v>1</v>
      </c>
      <c r="Q472" s="500">
        <v>0</v>
      </c>
      <c r="R472" s="259">
        <f t="shared" ref="R472:R478" si="1051">1-$P472-$Q472</f>
        <v>0</v>
      </c>
      <c r="S472" s="626">
        <v>500</v>
      </c>
      <c r="T472" s="626">
        <v>0</v>
      </c>
      <c r="U472" s="626">
        <v>0</v>
      </c>
      <c r="V472" s="628">
        <f t="shared" ref="V472:V478" si="1052">($L472*$P472*$S472+$M472*$Q472*$T472+$N472*$R472*$U472)/$O472</f>
        <v>500</v>
      </c>
      <c r="W472" s="500">
        <v>1</v>
      </c>
      <c r="X472" s="500">
        <v>1</v>
      </c>
      <c r="Y472" s="500">
        <v>1</v>
      </c>
      <c r="Z472" s="259">
        <f t="shared" si="1040"/>
        <v>0</v>
      </c>
      <c r="AA472" s="259">
        <f t="shared" si="1041"/>
        <v>0</v>
      </c>
      <c r="AB472" s="259">
        <f t="shared" si="1042"/>
        <v>0</v>
      </c>
      <c r="AC472" s="628">
        <f t="shared" ref="AC472:AC478" si="1053">AM504</f>
        <v>0</v>
      </c>
      <c r="AD472" s="628">
        <f t="shared" ref="AD472:AD478" si="1054">AO504</f>
        <v>0</v>
      </c>
      <c r="AE472" s="501">
        <v>0</v>
      </c>
      <c r="AF472" s="501">
        <v>0</v>
      </c>
      <c r="AG472" s="501">
        <v>0</v>
      </c>
      <c r="AH472" s="501">
        <v>0</v>
      </c>
      <c r="AI472" s="264">
        <f t="shared" si="1043"/>
        <v>0</v>
      </c>
      <c r="AJ472" s="264">
        <f t="shared" si="1044"/>
        <v>0</v>
      </c>
      <c r="AK472" s="264">
        <f t="shared" si="1045"/>
        <v>0</v>
      </c>
      <c r="AL472" s="264">
        <f t="shared" si="1046"/>
        <v>0</v>
      </c>
      <c r="AM472" s="264">
        <f t="shared" si="1047"/>
        <v>0</v>
      </c>
      <c r="AN472" s="640">
        <f t="shared" ref="AN472:AN486" si="1055">IF(AI472=0,0,AM472/AI472)</f>
        <v>0</v>
      </c>
      <c r="AO472" s="264">
        <f t="shared" si="1048"/>
        <v>0</v>
      </c>
      <c r="AP472" s="640">
        <f t="shared" si="1049"/>
        <v>0</v>
      </c>
      <c r="AQ472" s="501"/>
      <c r="AR472" s="264" t="str">
        <f>VLOOKUP($I472,TableInputsData[],ReadMe!$M$3,FALSE)&amp;"  |  "&amp;VLOOKUP($K472,TableInputsData[],ReadMe!$M$3,FALSE)</f>
        <v>PRODUIT 12  |  VOLUME</v>
      </c>
      <c r="AS472" s="264" t="b">
        <f t="shared" si="1050"/>
        <v>1</v>
      </c>
      <c r="AT472" s="294"/>
    </row>
    <row r="473" spans="1:46" ht="13" x14ac:dyDescent="0.2">
      <c r="A473" s="294"/>
      <c r="B473" s="925"/>
      <c r="C473" s="271">
        <v>466</v>
      </c>
      <c r="D473" s="250">
        <f t="shared" ref="D473:D510" si="1056">D472</f>
        <v>0</v>
      </c>
      <c r="E473" s="250">
        <v>1</v>
      </c>
      <c r="F473" s="248" t="s">
        <v>393</v>
      </c>
      <c r="G473" s="250">
        <f>VLOOKUP(F473,TableInputsData[],$G$6,FALSE)</f>
        <v>2025</v>
      </c>
      <c r="H473" s="250" t="str">
        <f t="shared" ref="H473:I473" si="1057">H472</f>
        <v>PRODUCT</v>
      </c>
      <c r="I473" s="248" t="str">
        <f t="shared" si="1057"/>
        <v>PRODUCT 12</v>
      </c>
      <c r="J473" s="248" t="str">
        <f>VLOOKUP(I473,TableInputsData[],$J$6,FALSE)</f>
        <v>-</v>
      </c>
      <c r="K473" s="248" t="str">
        <f t="shared" ref="K473:K478" si="1058">K472</f>
        <v>VOLUME</v>
      </c>
      <c r="L473" s="499">
        <v>1000</v>
      </c>
      <c r="M473" s="499">
        <v>0</v>
      </c>
      <c r="N473" s="499">
        <v>0</v>
      </c>
      <c r="O473" s="264">
        <f t="shared" si="1039"/>
        <v>1000</v>
      </c>
      <c r="P473" s="500">
        <v>1</v>
      </c>
      <c r="Q473" s="500">
        <v>0</v>
      </c>
      <c r="R473" s="259">
        <f t="shared" si="1051"/>
        <v>0</v>
      </c>
      <c r="S473" s="626">
        <v>500</v>
      </c>
      <c r="T473" s="626">
        <v>0</v>
      </c>
      <c r="U473" s="626">
        <v>0</v>
      </c>
      <c r="V473" s="628">
        <f t="shared" si="1052"/>
        <v>500</v>
      </c>
      <c r="W473" s="500">
        <v>1</v>
      </c>
      <c r="X473" s="500">
        <v>1</v>
      </c>
      <c r="Y473" s="500">
        <v>1</v>
      </c>
      <c r="Z473" s="259">
        <f t="shared" si="1040"/>
        <v>0</v>
      </c>
      <c r="AA473" s="259">
        <f t="shared" si="1041"/>
        <v>0</v>
      </c>
      <c r="AB473" s="259">
        <f t="shared" si="1042"/>
        <v>0</v>
      </c>
      <c r="AC473" s="628">
        <f t="shared" si="1053"/>
        <v>0</v>
      </c>
      <c r="AD473" s="628">
        <f t="shared" si="1054"/>
        <v>0</v>
      </c>
      <c r="AE473" s="501">
        <v>0</v>
      </c>
      <c r="AF473" s="501">
        <v>0</v>
      </c>
      <c r="AG473" s="501">
        <v>0</v>
      </c>
      <c r="AH473" s="501">
        <v>0</v>
      </c>
      <c r="AI473" s="264">
        <f t="shared" si="1043"/>
        <v>0</v>
      </c>
      <c r="AJ473" s="264">
        <f t="shared" si="1044"/>
        <v>0</v>
      </c>
      <c r="AK473" s="264">
        <f t="shared" si="1045"/>
        <v>0</v>
      </c>
      <c r="AL473" s="264">
        <f t="shared" si="1046"/>
        <v>0</v>
      </c>
      <c r="AM473" s="264">
        <f t="shared" si="1047"/>
        <v>0</v>
      </c>
      <c r="AN473" s="640">
        <f t="shared" si="1055"/>
        <v>0</v>
      </c>
      <c r="AO473" s="264">
        <f t="shared" si="1048"/>
        <v>0</v>
      </c>
      <c r="AP473" s="640">
        <f t="shared" si="1049"/>
        <v>0</v>
      </c>
      <c r="AQ473" s="501"/>
      <c r="AR473" s="264" t="str">
        <f>VLOOKUP($I473,TableInputsData[],ReadMe!$M$3,FALSE)&amp;"  |  "&amp;VLOOKUP($K473,TableInputsData[],ReadMe!$M$3,FALSE)</f>
        <v>PRODUIT 12  |  VOLUME</v>
      </c>
      <c r="AS473" s="264" t="b">
        <f t="shared" si="1050"/>
        <v>1</v>
      </c>
      <c r="AT473" s="294"/>
    </row>
    <row r="474" spans="1:46" ht="13" x14ac:dyDescent="0.2">
      <c r="A474" s="294"/>
      <c r="B474" s="925"/>
      <c r="C474" s="271">
        <v>467</v>
      </c>
      <c r="D474" s="250">
        <f t="shared" si="1056"/>
        <v>0</v>
      </c>
      <c r="E474" s="250">
        <v>1</v>
      </c>
      <c r="F474" s="248" t="s">
        <v>396</v>
      </c>
      <c r="G474" s="250">
        <f>VLOOKUP(F474,TableInputsData[],$G$6,FALSE)</f>
        <v>2026</v>
      </c>
      <c r="H474" s="250" t="str">
        <f t="shared" ref="H474:I474" si="1059">H473</f>
        <v>PRODUCT</v>
      </c>
      <c r="I474" s="248" t="str">
        <f t="shared" si="1059"/>
        <v>PRODUCT 12</v>
      </c>
      <c r="J474" s="248" t="str">
        <f>VLOOKUP(I474,TableInputsData[],$J$6,FALSE)</f>
        <v>-</v>
      </c>
      <c r="K474" s="248" t="str">
        <f t="shared" si="1058"/>
        <v>VOLUME</v>
      </c>
      <c r="L474" s="499">
        <v>1000</v>
      </c>
      <c r="M474" s="499">
        <v>0</v>
      </c>
      <c r="N474" s="499">
        <v>0</v>
      </c>
      <c r="O474" s="264">
        <f t="shared" si="1039"/>
        <v>1000</v>
      </c>
      <c r="P474" s="500">
        <v>1</v>
      </c>
      <c r="Q474" s="500">
        <v>0</v>
      </c>
      <c r="R474" s="259">
        <f t="shared" si="1051"/>
        <v>0</v>
      </c>
      <c r="S474" s="626">
        <v>500</v>
      </c>
      <c r="T474" s="626">
        <v>0</v>
      </c>
      <c r="U474" s="626">
        <v>0</v>
      </c>
      <c r="V474" s="628">
        <f t="shared" si="1052"/>
        <v>500</v>
      </c>
      <c r="W474" s="500">
        <v>1</v>
      </c>
      <c r="X474" s="500">
        <v>1</v>
      </c>
      <c r="Y474" s="500">
        <v>1</v>
      </c>
      <c r="Z474" s="259">
        <f t="shared" si="1040"/>
        <v>0</v>
      </c>
      <c r="AA474" s="259">
        <f t="shared" si="1041"/>
        <v>0</v>
      </c>
      <c r="AB474" s="259">
        <f t="shared" si="1042"/>
        <v>0</v>
      </c>
      <c r="AC474" s="628">
        <f t="shared" si="1053"/>
        <v>0</v>
      </c>
      <c r="AD474" s="628">
        <f t="shared" si="1054"/>
        <v>0</v>
      </c>
      <c r="AE474" s="501">
        <v>0</v>
      </c>
      <c r="AF474" s="501">
        <v>0</v>
      </c>
      <c r="AG474" s="501">
        <v>0</v>
      </c>
      <c r="AH474" s="501">
        <v>0</v>
      </c>
      <c r="AI474" s="264">
        <f t="shared" si="1043"/>
        <v>0</v>
      </c>
      <c r="AJ474" s="264">
        <f t="shared" si="1044"/>
        <v>0</v>
      </c>
      <c r="AK474" s="264">
        <f t="shared" si="1045"/>
        <v>0</v>
      </c>
      <c r="AL474" s="264">
        <f t="shared" si="1046"/>
        <v>0</v>
      </c>
      <c r="AM474" s="264">
        <f t="shared" si="1047"/>
        <v>0</v>
      </c>
      <c r="AN474" s="640">
        <f t="shared" si="1055"/>
        <v>0</v>
      </c>
      <c r="AO474" s="264">
        <f t="shared" si="1048"/>
        <v>0</v>
      </c>
      <c r="AP474" s="640">
        <f t="shared" si="1049"/>
        <v>0</v>
      </c>
      <c r="AQ474" s="501"/>
      <c r="AR474" s="264" t="str">
        <f>VLOOKUP($I474,TableInputsData[],ReadMe!$M$3,FALSE)&amp;"  |  "&amp;VLOOKUP($K474,TableInputsData[],ReadMe!$M$3,FALSE)</f>
        <v>PRODUIT 12  |  VOLUME</v>
      </c>
      <c r="AS474" s="264" t="b">
        <f t="shared" si="1050"/>
        <v>1</v>
      </c>
      <c r="AT474" s="294"/>
    </row>
    <row r="475" spans="1:46" ht="13" x14ac:dyDescent="0.2">
      <c r="A475" s="294"/>
      <c r="B475" s="925"/>
      <c r="C475" s="271">
        <v>468</v>
      </c>
      <c r="D475" s="250">
        <f t="shared" si="1056"/>
        <v>0</v>
      </c>
      <c r="E475" s="250">
        <v>1</v>
      </c>
      <c r="F475" s="248" t="s">
        <v>397</v>
      </c>
      <c r="G475" s="250">
        <f>VLOOKUP(F475,TableInputsData[],$G$6,FALSE)</f>
        <v>2027</v>
      </c>
      <c r="H475" s="250" t="str">
        <f t="shared" ref="H475:I475" si="1060">H474</f>
        <v>PRODUCT</v>
      </c>
      <c r="I475" s="248" t="str">
        <f t="shared" si="1060"/>
        <v>PRODUCT 12</v>
      </c>
      <c r="J475" s="248" t="str">
        <f>VLOOKUP(I475,TableInputsData[],$J$6,FALSE)</f>
        <v>-</v>
      </c>
      <c r="K475" s="248" t="str">
        <f t="shared" si="1058"/>
        <v>VOLUME</v>
      </c>
      <c r="L475" s="499">
        <v>1000</v>
      </c>
      <c r="M475" s="499">
        <v>0</v>
      </c>
      <c r="N475" s="499">
        <v>0</v>
      </c>
      <c r="O475" s="264">
        <f t="shared" si="1039"/>
        <v>1000</v>
      </c>
      <c r="P475" s="500">
        <v>1</v>
      </c>
      <c r="Q475" s="500">
        <v>0</v>
      </c>
      <c r="R475" s="259">
        <f t="shared" si="1051"/>
        <v>0</v>
      </c>
      <c r="S475" s="626">
        <v>500</v>
      </c>
      <c r="T475" s="626">
        <v>0</v>
      </c>
      <c r="U475" s="626">
        <v>0</v>
      </c>
      <c r="V475" s="628">
        <f t="shared" si="1052"/>
        <v>500</v>
      </c>
      <c r="W475" s="500">
        <v>1</v>
      </c>
      <c r="X475" s="500">
        <v>1</v>
      </c>
      <c r="Y475" s="500">
        <v>1</v>
      </c>
      <c r="Z475" s="259">
        <f t="shared" si="1040"/>
        <v>0</v>
      </c>
      <c r="AA475" s="259">
        <f t="shared" si="1041"/>
        <v>0</v>
      </c>
      <c r="AB475" s="259">
        <f t="shared" si="1042"/>
        <v>0</v>
      </c>
      <c r="AC475" s="628">
        <f t="shared" si="1053"/>
        <v>0</v>
      </c>
      <c r="AD475" s="628">
        <f t="shared" si="1054"/>
        <v>0</v>
      </c>
      <c r="AE475" s="264">
        <f>$AI475/4</f>
        <v>0</v>
      </c>
      <c r="AF475" s="264">
        <f t="shared" ref="AF475:AH478" si="1061">$AI475/4</f>
        <v>0</v>
      </c>
      <c r="AG475" s="264">
        <f t="shared" si="1061"/>
        <v>0</v>
      </c>
      <c r="AH475" s="264">
        <f t="shared" si="1061"/>
        <v>0</v>
      </c>
      <c r="AI475" s="501">
        <v>0</v>
      </c>
      <c r="AJ475" s="264">
        <f t="shared" si="1044"/>
        <v>0</v>
      </c>
      <c r="AK475" s="264">
        <f t="shared" si="1045"/>
        <v>0</v>
      </c>
      <c r="AL475" s="264">
        <f t="shared" si="1046"/>
        <v>0</v>
      </c>
      <c r="AM475" s="264">
        <f t="shared" si="1047"/>
        <v>0</v>
      </c>
      <c r="AN475" s="640">
        <f t="shared" si="1055"/>
        <v>0</v>
      </c>
      <c r="AO475" s="264">
        <f t="shared" si="1048"/>
        <v>0</v>
      </c>
      <c r="AP475" s="640">
        <f t="shared" si="1049"/>
        <v>0</v>
      </c>
      <c r="AQ475" s="501"/>
      <c r="AR475" s="264" t="str">
        <f>VLOOKUP($I475,TableInputsData[],ReadMe!$M$3,FALSE)&amp;"  |  "&amp;VLOOKUP($K475,TableInputsData[],ReadMe!$M$3,FALSE)</f>
        <v>PRODUIT 12  |  VOLUME</v>
      </c>
      <c r="AS475" s="264" t="b">
        <f t="shared" si="1050"/>
        <v>1</v>
      </c>
      <c r="AT475" s="294"/>
    </row>
    <row r="476" spans="1:46" ht="13" x14ac:dyDescent="0.2">
      <c r="A476" s="294"/>
      <c r="B476" s="925"/>
      <c r="C476" s="271">
        <v>469</v>
      </c>
      <c r="D476" s="250">
        <f t="shared" si="1056"/>
        <v>0</v>
      </c>
      <c r="E476" s="250">
        <v>1</v>
      </c>
      <c r="F476" s="248" t="s">
        <v>398</v>
      </c>
      <c r="G476" s="250">
        <f>VLOOKUP(F476,TableInputsData[],$G$6,FALSE)</f>
        <v>2028</v>
      </c>
      <c r="H476" s="250" t="str">
        <f t="shared" ref="H476:I476" si="1062">H475</f>
        <v>PRODUCT</v>
      </c>
      <c r="I476" s="248" t="str">
        <f t="shared" si="1062"/>
        <v>PRODUCT 12</v>
      </c>
      <c r="J476" s="248" t="str">
        <f>VLOOKUP(I476,TableInputsData[],$J$6,FALSE)</f>
        <v>-</v>
      </c>
      <c r="K476" s="248" t="str">
        <f t="shared" si="1058"/>
        <v>VOLUME</v>
      </c>
      <c r="L476" s="499">
        <v>1000</v>
      </c>
      <c r="M476" s="499">
        <v>0</v>
      </c>
      <c r="N476" s="499">
        <v>0</v>
      </c>
      <c r="O476" s="264">
        <f t="shared" si="1039"/>
        <v>1000</v>
      </c>
      <c r="P476" s="500">
        <v>1</v>
      </c>
      <c r="Q476" s="500">
        <v>0</v>
      </c>
      <c r="R476" s="259">
        <f t="shared" si="1051"/>
        <v>0</v>
      </c>
      <c r="S476" s="626">
        <v>500</v>
      </c>
      <c r="T476" s="626">
        <v>0</v>
      </c>
      <c r="U476" s="626">
        <v>0</v>
      </c>
      <c r="V476" s="628">
        <f t="shared" si="1052"/>
        <v>500</v>
      </c>
      <c r="W476" s="500">
        <v>1</v>
      </c>
      <c r="X476" s="500">
        <v>1</v>
      </c>
      <c r="Y476" s="500">
        <v>1</v>
      </c>
      <c r="Z476" s="259">
        <f t="shared" si="1040"/>
        <v>0</v>
      </c>
      <c r="AA476" s="259">
        <f t="shared" si="1041"/>
        <v>0</v>
      </c>
      <c r="AB476" s="259">
        <f t="shared" si="1042"/>
        <v>0</v>
      </c>
      <c r="AC476" s="628">
        <f t="shared" si="1053"/>
        <v>0</v>
      </c>
      <c r="AD476" s="628">
        <f t="shared" si="1054"/>
        <v>0</v>
      </c>
      <c r="AE476" s="264">
        <f t="shared" ref="AE476:AE478" si="1063">$AI476/4</f>
        <v>0</v>
      </c>
      <c r="AF476" s="264">
        <f t="shared" si="1061"/>
        <v>0</v>
      </c>
      <c r="AG476" s="264">
        <f t="shared" si="1061"/>
        <v>0</v>
      </c>
      <c r="AH476" s="264">
        <f t="shared" si="1061"/>
        <v>0</v>
      </c>
      <c r="AI476" s="501">
        <v>0</v>
      </c>
      <c r="AJ476" s="264">
        <f t="shared" si="1044"/>
        <v>0</v>
      </c>
      <c r="AK476" s="264">
        <f t="shared" si="1045"/>
        <v>0</v>
      </c>
      <c r="AL476" s="264">
        <f t="shared" si="1046"/>
        <v>0</v>
      </c>
      <c r="AM476" s="264">
        <f t="shared" si="1047"/>
        <v>0</v>
      </c>
      <c r="AN476" s="640">
        <f t="shared" si="1055"/>
        <v>0</v>
      </c>
      <c r="AO476" s="264">
        <f t="shared" si="1048"/>
        <v>0</v>
      </c>
      <c r="AP476" s="640">
        <f t="shared" si="1049"/>
        <v>0</v>
      </c>
      <c r="AQ476" s="501"/>
      <c r="AR476" s="264" t="str">
        <f>VLOOKUP($I476,TableInputsData[],ReadMe!$M$3,FALSE)&amp;"  |  "&amp;VLOOKUP($K476,TableInputsData[],ReadMe!$M$3,FALSE)</f>
        <v>PRODUIT 12  |  VOLUME</v>
      </c>
      <c r="AS476" s="264" t="b">
        <f t="shared" si="1050"/>
        <v>1</v>
      </c>
      <c r="AT476" s="294"/>
    </row>
    <row r="477" spans="1:46" ht="13" x14ac:dyDescent="0.2">
      <c r="A477" s="294"/>
      <c r="B477" s="925"/>
      <c r="C477" s="271">
        <v>470</v>
      </c>
      <c r="D477" s="250">
        <f t="shared" si="1056"/>
        <v>0</v>
      </c>
      <c r="E477" s="250">
        <v>1</v>
      </c>
      <c r="F477" s="248" t="s">
        <v>399</v>
      </c>
      <c r="G477" s="250">
        <f>VLOOKUP(F477,TableInputsData[],$G$6,FALSE)</f>
        <v>2029</v>
      </c>
      <c r="H477" s="250" t="str">
        <f t="shared" ref="H477:I477" si="1064">H476</f>
        <v>PRODUCT</v>
      </c>
      <c r="I477" s="248" t="str">
        <f t="shared" si="1064"/>
        <v>PRODUCT 12</v>
      </c>
      <c r="J477" s="248" t="str">
        <f>VLOOKUP(I477,TableInputsData[],$J$6,FALSE)</f>
        <v>-</v>
      </c>
      <c r="K477" s="248" t="str">
        <f t="shared" si="1058"/>
        <v>VOLUME</v>
      </c>
      <c r="L477" s="499">
        <v>1000</v>
      </c>
      <c r="M477" s="499">
        <v>0</v>
      </c>
      <c r="N477" s="499">
        <v>0</v>
      </c>
      <c r="O477" s="264">
        <f t="shared" si="1039"/>
        <v>1000</v>
      </c>
      <c r="P477" s="500">
        <v>1</v>
      </c>
      <c r="Q477" s="500">
        <v>0</v>
      </c>
      <c r="R477" s="259">
        <f t="shared" si="1051"/>
        <v>0</v>
      </c>
      <c r="S477" s="626">
        <v>500</v>
      </c>
      <c r="T477" s="626">
        <v>0</v>
      </c>
      <c r="U477" s="626">
        <v>0</v>
      </c>
      <c r="V477" s="628">
        <f t="shared" si="1052"/>
        <v>500</v>
      </c>
      <c r="W477" s="500">
        <v>1</v>
      </c>
      <c r="X477" s="500">
        <v>1</v>
      </c>
      <c r="Y477" s="500">
        <v>1</v>
      </c>
      <c r="Z477" s="259">
        <f t="shared" si="1040"/>
        <v>0</v>
      </c>
      <c r="AA477" s="259">
        <f t="shared" si="1041"/>
        <v>0</v>
      </c>
      <c r="AB477" s="259">
        <f t="shared" si="1042"/>
        <v>0</v>
      </c>
      <c r="AC477" s="628">
        <f t="shared" si="1053"/>
        <v>0</v>
      </c>
      <c r="AD477" s="628">
        <f t="shared" si="1054"/>
        <v>0</v>
      </c>
      <c r="AE477" s="264">
        <f t="shared" si="1063"/>
        <v>0</v>
      </c>
      <c r="AF477" s="264">
        <f t="shared" si="1061"/>
        <v>0</v>
      </c>
      <c r="AG477" s="264">
        <f t="shared" si="1061"/>
        <v>0</v>
      </c>
      <c r="AH477" s="264">
        <f t="shared" si="1061"/>
        <v>0</v>
      </c>
      <c r="AI477" s="501">
        <v>0</v>
      </c>
      <c r="AJ477" s="264">
        <f t="shared" si="1044"/>
        <v>0</v>
      </c>
      <c r="AK477" s="264">
        <f t="shared" si="1045"/>
        <v>0</v>
      </c>
      <c r="AL477" s="264">
        <f t="shared" si="1046"/>
        <v>0</v>
      </c>
      <c r="AM477" s="264">
        <f t="shared" si="1047"/>
        <v>0</v>
      </c>
      <c r="AN477" s="640">
        <f t="shared" si="1055"/>
        <v>0</v>
      </c>
      <c r="AO477" s="264">
        <f t="shared" si="1048"/>
        <v>0</v>
      </c>
      <c r="AP477" s="640">
        <f t="shared" si="1049"/>
        <v>0</v>
      </c>
      <c r="AQ477" s="501"/>
      <c r="AR477" s="264" t="str">
        <f>VLOOKUP($I477,TableInputsData[],ReadMe!$M$3,FALSE)&amp;"  |  "&amp;VLOOKUP($K477,TableInputsData[],ReadMe!$M$3,FALSE)</f>
        <v>PRODUIT 12  |  VOLUME</v>
      </c>
      <c r="AS477" s="264" t="b">
        <f t="shared" si="1050"/>
        <v>1</v>
      </c>
      <c r="AT477" s="294"/>
    </row>
    <row r="478" spans="1:46" ht="13" x14ac:dyDescent="0.2">
      <c r="A478" s="294"/>
      <c r="B478" s="925"/>
      <c r="C478" s="271">
        <v>471</v>
      </c>
      <c r="D478" s="250">
        <f t="shared" si="1056"/>
        <v>0</v>
      </c>
      <c r="E478" s="250">
        <v>1</v>
      </c>
      <c r="F478" s="248" t="s">
        <v>400</v>
      </c>
      <c r="G478" s="250">
        <f>VLOOKUP(F478,TableInputsData[],$G$6,FALSE)</f>
        <v>2030</v>
      </c>
      <c r="H478" s="250" t="str">
        <f t="shared" ref="H478:I478" si="1065">H477</f>
        <v>PRODUCT</v>
      </c>
      <c r="I478" s="248" t="str">
        <f t="shared" si="1065"/>
        <v>PRODUCT 12</v>
      </c>
      <c r="J478" s="248" t="str">
        <f>VLOOKUP(I478,TableInputsData[],$J$6,FALSE)</f>
        <v>-</v>
      </c>
      <c r="K478" s="248" t="str">
        <f t="shared" si="1058"/>
        <v>VOLUME</v>
      </c>
      <c r="L478" s="499">
        <v>1000</v>
      </c>
      <c r="M478" s="499">
        <v>0</v>
      </c>
      <c r="N478" s="499">
        <v>0</v>
      </c>
      <c r="O478" s="264">
        <f t="shared" si="1039"/>
        <v>1000</v>
      </c>
      <c r="P478" s="500">
        <v>1</v>
      </c>
      <c r="Q478" s="500">
        <v>0</v>
      </c>
      <c r="R478" s="259">
        <f t="shared" si="1051"/>
        <v>0</v>
      </c>
      <c r="S478" s="626">
        <v>500</v>
      </c>
      <c r="T478" s="626">
        <v>0</v>
      </c>
      <c r="U478" s="626">
        <v>0</v>
      </c>
      <c r="V478" s="628">
        <f t="shared" si="1052"/>
        <v>500</v>
      </c>
      <c r="W478" s="500">
        <v>1</v>
      </c>
      <c r="X478" s="500">
        <v>1</v>
      </c>
      <c r="Y478" s="500">
        <v>1</v>
      </c>
      <c r="Z478" s="259">
        <f t="shared" si="1040"/>
        <v>0</v>
      </c>
      <c r="AA478" s="259">
        <f t="shared" si="1041"/>
        <v>0</v>
      </c>
      <c r="AB478" s="259">
        <f t="shared" si="1042"/>
        <v>0</v>
      </c>
      <c r="AC478" s="628">
        <f t="shared" si="1053"/>
        <v>0</v>
      </c>
      <c r="AD478" s="628">
        <f t="shared" si="1054"/>
        <v>0</v>
      </c>
      <c r="AE478" s="264">
        <f t="shared" si="1063"/>
        <v>0</v>
      </c>
      <c r="AF478" s="264">
        <f t="shared" si="1061"/>
        <v>0</v>
      </c>
      <c r="AG478" s="264">
        <f t="shared" si="1061"/>
        <v>0</v>
      </c>
      <c r="AH478" s="264">
        <f t="shared" si="1061"/>
        <v>0</v>
      </c>
      <c r="AI478" s="501">
        <v>0</v>
      </c>
      <c r="AJ478" s="264">
        <f t="shared" si="1044"/>
        <v>0</v>
      </c>
      <c r="AK478" s="264">
        <f t="shared" si="1045"/>
        <v>0</v>
      </c>
      <c r="AL478" s="264">
        <f t="shared" si="1046"/>
        <v>0</v>
      </c>
      <c r="AM478" s="264">
        <f t="shared" si="1047"/>
        <v>0</v>
      </c>
      <c r="AN478" s="640">
        <f t="shared" si="1055"/>
        <v>0</v>
      </c>
      <c r="AO478" s="264">
        <f t="shared" si="1048"/>
        <v>0</v>
      </c>
      <c r="AP478" s="640">
        <f t="shared" si="1049"/>
        <v>0</v>
      </c>
      <c r="AQ478" s="501"/>
      <c r="AR478" s="264" t="str">
        <f>VLOOKUP($I478,TableInputsData[],ReadMe!$M$3,FALSE)&amp;"  |  "&amp;VLOOKUP($K478,TableInputsData[],ReadMe!$M$3,FALSE)</f>
        <v>PRODUIT 12  |  VOLUME</v>
      </c>
      <c r="AS478" s="264" t="b">
        <f t="shared" si="1050"/>
        <v>1</v>
      </c>
      <c r="AT478" s="294"/>
    </row>
    <row r="479" spans="1:46" ht="13" hidden="1" x14ac:dyDescent="0.2">
      <c r="A479" s="294"/>
      <c r="B479" s="925"/>
      <c r="C479" s="272">
        <v>472</v>
      </c>
      <c r="D479" s="250">
        <f t="shared" si="1056"/>
        <v>0</v>
      </c>
      <c r="E479" s="251"/>
      <c r="F479" s="248" t="str">
        <f t="shared" ref="F479:F486" si="1066">F487</f>
        <v>YEAR-2</v>
      </c>
      <c r="G479" s="250">
        <f>VLOOKUP(F479,TableInputsData[],$G$6,FALSE)</f>
        <v>2023</v>
      </c>
      <c r="H479" s="250" t="str">
        <f t="shared" ref="H479:I479" si="1067">H478</f>
        <v>PRODUCT</v>
      </c>
      <c r="I479" s="248" t="str">
        <f t="shared" si="1067"/>
        <v>PRODUCT 12</v>
      </c>
      <c r="J479" s="248" t="str">
        <f>VLOOKUP(I479,TableInputsData[],$J$6,FALSE)</f>
        <v>-</v>
      </c>
      <c r="K479" s="248" t="s">
        <v>457</v>
      </c>
      <c r="L479" s="256"/>
      <c r="M479" s="256"/>
      <c r="N479" s="256"/>
      <c r="O479" s="266"/>
      <c r="P479" s="261"/>
      <c r="Q479" s="261"/>
      <c r="R479" s="261"/>
      <c r="S479" s="629"/>
      <c r="T479" s="629"/>
      <c r="U479" s="629"/>
      <c r="V479" s="629"/>
      <c r="W479" s="261"/>
      <c r="X479" s="261"/>
      <c r="Y479" s="261"/>
      <c r="Z479" s="261"/>
      <c r="AA479" s="261"/>
      <c r="AB479" s="261"/>
      <c r="AC479" s="266"/>
      <c r="AD479" s="633"/>
      <c r="AE479" s="264">
        <f>AE471*($L471*$P471+$M471*$Q471+$N471*$R471)</f>
        <v>0</v>
      </c>
      <c r="AF479" s="264">
        <f t="shared" ref="AF479:AH479" si="1068">AF471*($L471*$P471+$M471*$Q471+$N471*$R471)</f>
        <v>0</v>
      </c>
      <c r="AG479" s="264">
        <f t="shared" si="1068"/>
        <v>0</v>
      </c>
      <c r="AH479" s="264">
        <f t="shared" si="1068"/>
        <v>0</v>
      </c>
      <c r="AI479" s="264">
        <f>$AE479+$AF479+$AG479+$AH479</f>
        <v>0</v>
      </c>
      <c r="AJ479" s="264">
        <f t="shared" ref="AJ479:AJ486" si="1069">$AJ471*$L471</f>
        <v>0</v>
      </c>
      <c r="AK479" s="264">
        <f t="shared" ref="AK479:AK486" si="1070">$AK471*$M471</f>
        <v>0</v>
      </c>
      <c r="AL479" s="264">
        <f t="shared" ref="AL479:AL486" si="1071">$AL471*$N471</f>
        <v>0</v>
      </c>
      <c r="AM479" s="264">
        <f t="shared" ref="AM479:AM486" si="1072">$AJ479*$W471+$AK479*$X471+$AL479*$Y471</f>
        <v>0</v>
      </c>
      <c r="AN479" s="640">
        <f t="shared" si="1055"/>
        <v>0</v>
      </c>
      <c r="AO479" s="264">
        <f t="shared" ref="AO479:AO486" si="1073">$AJ479*$Z471+$AK479*$AA471+$AL479*$AB471</f>
        <v>0</v>
      </c>
      <c r="AP479" s="640">
        <f t="shared" si="1049"/>
        <v>0</v>
      </c>
      <c r="AQ479" s="264"/>
      <c r="AR479" s="264" t="str">
        <f>VLOOKUP($I479,TableInputsData[],ReadMe!$M$3,FALSE)&amp;"  |  "&amp;VLOOKUP($K479,TableInputsData[],ReadMe!$M$3,FALSE)</f>
        <v>PRODUIT 12  |  CHIFFRE D'AFFAIRES</v>
      </c>
      <c r="AS479" s="264" t="b">
        <f t="shared" ref="AS479:AS486" si="1074">AND(EXACT(ROUND(AI479,2),ROUND(AJ479+AK479+AL479,2)),EXACT(ROUND(AI479,2),ROUND(AM479+AO479,2)))</f>
        <v>1</v>
      </c>
      <c r="AT479" s="294"/>
    </row>
    <row r="480" spans="1:46" ht="13" hidden="1" x14ac:dyDescent="0.2">
      <c r="A480" s="294"/>
      <c r="B480" s="925"/>
      <c r="C480" s="271">
        <v>473</v>
      </c>
      <c r="D480" s="250">
        <f t="shared" si="1056"/>
        <v>0</v>
      </c>
      <c r="E480" s="250"/>
      <c r="F480" s="248" t="str">
        <f t="shared" si="1066"/>
        <v>YEAR-1</v>
      </c>
      <c r="G480" s="250">
        <f>VLOOKUP(F480,TableInputsData[],$G$6,FALSE)</f>
        <v>2024</v>
      </c>
      <c r="H480" s="250" t="str">
        <f t="shared" ref="H480:I480" si="1075">H479</f>
        <v>PRODUCT</v>
      </c>
      <c r="I480" s="248" t="str">
        <f t="shared" si="1075"/>
        <v>PRODUCT 12</v>
      </c>
      <c r="J480" s="248" t="str">
        <f>VLOOKUP(I480,TableInputsData[],$J$6,FALSE)</f>
        <v>-</v>
      </c>
      <c r="K480" s="248" t="str">
        <f>K479</f>
        <v>REVENUE</v>
      </c>
      <c r="L480" s="255"/>
      <c r="M480" s="255"/>
      <c r="N480" s="255"/>
      <c r="O480" s="265"/>
      <c r="P480" s="260"/>
      <c r="Q480" s="260"/>
      <c r="R480" s="260"/>
      <c r="S480" s="630"/>
      <c r="T480" s="630"/>
      <c r="U480" s="630"/>
      <c r="V480" s="630"/>
      <c r="W480" s="260"/>
      <c r="X480" s="260"/>
      <c r="Y480" s="260"/>
      <c r="Z480" s="260"/>
      <c r="AA480" s="260"/>
      <c r="AB480" s="260"/>
      <c r="AC480" s="265"/>
      <c r="AD480" s="634"/>
      <c r="AE480" s="264">
        <f t="shared" ref="AE480:AH480" si="1076">AE472*($L472*$P472+$M472*$Q472+$N472*$R472)</f>
        <v>0</v>
      </c>
      <c r="AF480" s="264">
        <f t="shared" si="1076"/>
        <v>0</v>
      </c>
      <c r="AG480" s="264">
        <f t="shared" si="1076"/>
        <v>0</v>
      </c>
      <c r="AH480" s="264">
        <f t="shared" si="1076"/>
        <v>0</v>
      </c>
      <c r="AI480" s="264">
        <f t="shared" ref="AI480:AI485" si="1077">$AE480+$AF480+$AG480+$AH480</f>
        <v>0</v>
      </c>
      <c r="AJ480" s="264">
        <f t="shared" si="1069"/>
        <v>0</v>
      </c>
      <c r="AK480" s="264">
        <f t="shared" si="1070"/>
        <v>0</v>
      </c>
      <c r="AL480" s="264">
        <f t="shared" si="1071"/>
        <v>0</v>
      </c>
      <c r="AM480" s="264">
        <f t="shared" si="1072"/>
        <v>0</v>
      </c>
      <c r="AN480" s="640">
        <f t="shared" si="1055"/>
        <v>0</v>
      </c>
      <c r="AO480" s="264">
        <f t="shared" si="1073"/>
        <v>0</v>
      </c>
      <c r="AP480" s="640">
        <f t="shared" si="1049"/>
        <v>0</v>
      </c>
      <c r="AQ480" s="264"/>
      <c r="AR480" s="264" t="str">
        <f>VLOOKUP($I480,TableInputsData[],ReadMe!$M$3,FALSE)&amp;"  |  "&amp;VLOOKUP($K480,TableInputsData[],ReadMe!$M$3,FALSE)</f>
        <v>PRODUIT 12  |  CHIFFRE D'AFFAIRES</v>
      </c>
      <c r="AS480" s="264" t="b">
        <f t="shared" si="1074"/>
        <v>1</v>
      </c>
      <c r="AT480" s="294"/>
    </row>
    <row r="481" spans="1:46" ht="13" hidden="1" x14ac:dyDescent="0.2">
      <c r="A481" s="294"/>
      <c r="B481" s="925"/>
      <c r="C481" s="271">
        <v>474</v>
      </c>
      <c r="D481" s="250">
        <f t="shared" si="1056"/>
        <v>0</v>
      </c>
      <c r="E481" s="250"/>
      <c r="F481" s="248" t="str">
        <f t="shared" si="1066"/>
        <v>CURRENT YEAR</v>
      </c>
      <c r="G481" s="250">
        <f>VLOOKUP(F481,TableInputsData[],$G$6,FALSE)</f>
        <v>2025</v>
      </c>
      <c r="H481" s="250" t="str">
        <f t="shared" ref="H481:I481" si="1078">H480</f>
        <v>PRODUCT</v>
      </c>
      <c r="I481" s="248" t="str">
        <f t="shared" si="1078"/>
        <v>PRODUCT 12</v>
      </c>
      <c r="J481" s="248" t="str">
        <f>VLOOKUP(I481,TableInputsData[],$J$6,FALSE)</f>
        <v>-</v>
      </c>
      <c r="K481" s="248" t="str">
        <f t="shared" ref="K481:K486" si="1079">K480</f>
        <v>REVENUE</v>
      </c>
      <c r="L481" s="255"/>
      <c r="M481" s="255"/>
      <c r="N481" s="255"/>
      <c r="O481" s="265"/>
      <c r="P481" s="260"/>
      <c r="Q481" s="260"/>
      <c r="R481" s="260"/>
      <c r="S481" s="630"/>
      <c r="T481" s="630"/>
      <c r="U481" s="630"/>
      <c r="V481" s="630"/>
      <c r="W481" s="260"/>
      <c r="X481" s="260"/>
      <c r="Y481" s="260"/>
      <c r="Z481" s="260"/>
      <c r="AA481" s="260"/>
      <c r="AB481" s="260"/>
      <c r="AC481" s="265"/>
      <c r="AD481" s="634"/>
      <c r="AE481" s="264">
        <f t="shared" ref="AE481:AH481" si="1080">AE473*($L473*$P473+$M473*$Q473+$N473*$R473)</f>
        <v>0</v>
      </c>
      <c r="AF481" s="264">
        <f t="shared" si="1080"/>
        <v>0</v>
      </c>
      <c r="AG481" s="264">
        <f t="shared" si="1080"/>
        <v>0</v>
      </c>
      <c r="AH481" s="264">
        <f t="shared" si="1080"/>
        <v>0</v>
      </c>
      <c r="AI481" s="264">
        <f t="shared" si="1077"/>
        <v>0</v>
      </c>
      <c r="AJ481" s="264">
        <f t="shared" si="1069"/>
        <v>0</v>
      </c>
      <c r="AK481" s="264">
        <f t="shared" si="1070"/>
        <v>0</v>
      </c>
      <c r="AL481" s="264">
        <f t="shared" si="1071"/>
        <v>0</v>
      </c>
      <c r="AM481" s="264">
        <f t="shared" si="1072"/>
        <v>0</v>
      </c>
      <c r="AN481" s="640">
        <f t="shared" si="1055"/>
        <v>0</v>
      </c>
      <c r="AO481" s="264">
        <f t="shared" si="1073"/>
        <v>0</v>
      </c>
      <c r="AP481" s="640">
        <f t="shared" si="1049"/>
        <v>0</v>
      </c>
      <c r="AQ481" s="264"/>
      <c r="AR481" s="264" t="str">
        <f>VLOOKUP($I481,TableInputsData[],ReadMe!$M$3,FALSE)&amp;"  |  "&amp;VLOOKUP($K481,TableInputsData[],ReadMe!$M$3,FALSE)</f>
        <v>PRODUIT 12  |  CHIFFRE D'AFFAIRES</v>
      </c>
      <c r="AS481" s="264" t="b">
        <f t="shared" si="1074"/>
        <v>1</v>
      </c>
      <c r="AT481" s="294"/>
    </row>
    <row r="482" spans="1:46" ht="13" hidden="1" x14ac:dyDescent="0.2">
      <c r="A482" s="294"/>
      <c r="B482" s="925"/>
      <c r="C482" s="271">
        <v>475</v>
      </c>
      <c r="D482" s="250">
        <f t="shared" si="1056"/>
        <v>0</v>
      </c>
      <c r="E482" s="250"/>
      <c r="F482" s="248" t="str">
        <f t="shared" si="1066"/>
        <v>YEAR2</v>
      </c>
      <c r="G482" s="250">
        <f>VLOOKUP(F482,TableInputsData[],$G$6,FALSE)</f>
        <v>2026</v>
      </c>
      <c r="H482" s="250" t="str">
        <f t="shared" ref="H482:I482" si="1081">H481</f>
        <v>PRODUCT</v>
      </c>
      <c r="I482" s="248" t="str">
        <f t="shared" si="1081"/>
        <v>PRODUCT 12</v>
      </c>
      <c r="J482" s="248" t="str">
        <f>VLOOKUP(I482,TableInputsData[],$J$6,FALSE)</f>
        <v>-</v>
      </c>
      <c r="K482" s="248" t="str">
        <f t="shared" si="1079"/>
        <v>REVENUE</v>
      </c>
      <c r="L482" s="255"/>
      <c r="M482" s="255"/>
      <c r="N482" s="255"/>
      <c r="O482" s="265"/>
      <c r="P482" s="260"/>
      <c r="Q482" s="260"/>
      <c r="R482" s="260"/>
      <c r="S482" s="630"/>
      <c r="T482" s="630"/>
      <c r="U482" s="630"/>
      <c r="V482" s="630"/>
      <c r="W482" s="260"/>
      <c r="X482" s="260"/>
      <c r="Y482" s="260"/>
      <c r="Z482" s="260"/>
      <c r="AA482" s="260"/>
      <c r="AB482" s="260"/>
      <c r="AC482" s="265"/>
      <c r="AD482" s="634"/>
      <c r="AE482" s="264">
        <f t="shared" ref="AE482:AH482" si="1082">AE474*($L474*$P474+$M474*$Q474+$N474*$R474)</f>
        <v>0</v>
      </c>
      <c r="AF482" s="264">
        <f t="shared" si="1082"/>
        <v>0</v>
      </c>
      <c r="AG482" s="264">
        <f t="shared" si="1082"/>
        <v>0</v>
      </c>
      <c r="AH482" s="264">
        <f t="shared" si="1082"/>
        <v>0</v>
      </c>
      <c r="AI482" s="264">
        <f t="shared" si="1077"/>
        <v>0</v>
      </c>
      <c r="AJ482" s="264">
        <f t="shared" si="1069"/>
        <v>0</v>
      </c>
      <c r="AK482" s="264">
        <f t="shared" si="1070"/>
        <v>0</v>
      </c>
      <c r="AL482" s="264">
        <f t="shared" si="1071"/>
        <v>0</v>
      </c>
      <c r="AM482" s="264">
        <f t="shared" si="1072"/>
        <v>0</v>
      </c>
      <c r="AN482" s="640">
        <f t="shared" si="1055"/>
        <v>0</v>
      </c>
      <c r="AO482" s="264">
        <f t="shared" si="1073"/>
        <v>0</v>
      </c>
      <c r="AP482" s="640">
        <f t="shared" si="1049"/>
        <v>0</v>
      </c>
      <c r="AQ482" s="264"/>
      <c r="AR482" s="264" t="str">
        <f>VLOOKUP($I482,TableInputsData[],ReadMe!$M$3,FALSE)&amp;"  |  "&amp;VLOOKUP($K482,TableInputsData[],ReadMe!$M$3,FALSE)</f>
        <v>PRODUIT 12  |  CHIFFRE D'AFFAIRES</v>
      </c>
      <c r="AS482" s="264" t="b">
        <f t="shared" si="1074"/>
        <v>1</v>
      </c>
      <c r="AT482" s="294"/>
    </row>
    <row r="483" spans="1:46" ht="13" hidden="1" x14ac:dyDescent="0.2">
      <c r="A483" s="294"/>
      <c r="B483" s="925"/>
      <c r="C483" s="271">
        <v>476</v>
      </c>
      <c r="D483" s="250">
        <f t="shared" si="1056"/>
        <v>0</v>
      </c>
      <c r="E483" s="250"/>
      <c r="F483" s="248" t="str">
        <f t="shared" si="1066"/>
        <v>YEAR3</v>
      </c>
      <c r="G483" s="250">
        <f>VLOOKUP(F483,TableInputsData[],$G$6,FALSE)</f>
        <v>2027</v>
      </c>
      <c r="H483" s="250" t="str">
        <f t="shared" ref="H483:I483" si="1083">H482</f>
        <v>PRODUCT</v>
      </c>
      <c r="I483" s="248" t="str">
        <f t="shared" si="1083"/>
        <v>PRODUCT 12</v>
      </c>
      <c r="J483" s="248" t="str">
        <f>VLOOKUP(I483,TableInputsData[],$J$6,FALSE)</f>
        <v>-</v>
      </c>
      <c r="K483" s="248" t="str">
        <f t="shared" si="1079"/>
        <v>REVENUE</v>
      </c>
      <c r="L483" s="255"/>
      <c r="M483" s="255"/>
      <c r="N483" s="255"/>
      <c r="O483" s="265"/>
      <c r="P483" s="260"/>
      <c r="Q483" s="260"/>
      <c r="R483" s="260"/>
      <c r="S483" s="630"/>
      <c r="T483" s="630"/>
      <c r="U483" s="630"/>
      <c r="V483" s="630"/>
      <c r="W483" s="260"/>
      <c r="X483" s="260"/>
      <c r="Y483" s="260"/>
      <c r="Z483" s="260"/>
      <c r="AA483" s="260"/>
      <c r="AB483" s="260"/>
      <c r="AC483" s="265"/>
      <c r="AD483" s="634"/>
      <c r="AE483" s="264">
        <f t="shared" ref="AE483:AH483" si="1084">AE475*($L475*$P475+$M475*$Q475+$N475*$R475)</f>
        <v>0</v>
      </c>
      <c r="AF483" s="264">
        <f t="shared" si="1084"/>
        <v>0</v>
      </c>
      <c r="AG483" s="264">
        <f t="shared" si="1084"/>
        <v>0</v>
      </c>
      <c r="AH483" s="264">
        <f t="shared" si="1084"/>
        <v>0</v>
      </c>
      <c r="AI483" s="264">
        <f t="shared" si="1077"/>
        <v>0</v>
      </c>
      <c r="AJ483" s="264">
        <f t="shared" si="1069"/>
        <v>0</v>
      </c>
      <c r="AK483" s="264">
        <f t="shared" si="1070"/>
        <v>0</v>
      </c>
      <c r="AL483" s="264">
        <f t="shared" si="1071"/>
        <v>0</v>
      </c>
      <c r="AM483" s="264">
        <f t="shared" si="1072"/>
        <v>0</v>
      </c>
      <c r="AN483" s="640">
        <f t="shared" si="1055"/>
        <v>0</v>
      </c>
      <c r="AO483" s="264">
        <f t="shared" si="1073"/>
        <v>0</v>
      </c>
      <c r="AP483" s="640">
        <f t="shared" si="1049"/>
        <v>0</v>
      </c>
      <c r="AQ483" s="264"/>
      <c r="AR483" s="264" t="str">
        <f>VLOOKUP($I483,TableInputsData[],ReadMe!$M$3,FALSE)&amp;"  |  "&amp;VLOOKUP($K483,TableInputsData[],ReadMe!$M$3,FALSE)</f>
        <v>PRODUIT 12  |  CHIFFRE D'AFFAIRES</v>
      </c>
      <c r="AS483" s="264" t="b">
        <f t="shared" si="1074"/>
        <v>1</v>
      </c>
      <c r="AT483" s="294"/>
    </row>
    <row r="484" spans="1:46" ht="13" hidden="1" x14ac:dyDescent="0.2">
      <c r="A484" s="294"/>
      <c r="B484" s="925"/>
      <c r="C484" s="271">
        <v>477</v>
      </c>
      <c r="D484" s="250">
        <f t="shared" si="1056"/>
        <v>0</v>
      </c>
      <c r="E484" s="250"/>
      <c r="F484" s="248" t="str">
        <f t="shared" si="1066"/>
        <v>YEAR4</v>
      </c>
      <c r="G484" s="250">
        <f>VLOOKUP(F484,TableInputsData[],$G$6,FALSE)</f>
        <v>2028</v>
      </c>
      <c r="H484" s="250" t="str">
        <f t="shared" ref="H484:I484" si="1085">H483</f>
        <v>PRODUCT</v>
      </c>
      <c r="I484" s="248" t="str">
        <f t="shared" si="1085"/>
        <v>PRODUCT 12</v>
      </c>
      <c r="J484" s="248" t="str">
        <f>VLOOKUP(I484,TableInputsData[],$J$6,FALSE)</f>
        <v>-</v>
      </c>
      <c r="K484" s="248" t="str">
        <f t="shared" si="1079"/>
        <v>REVENUE</v>
      </c>
      <c r="L484" s="255"/>
      <c r="M484" s="255"/>
      <c r="N484" s="255"/>
      <c r="O484" s="265"/>
      <c r="P484" s="260"/>
      <c r="Q484" s="260"/>
      <c r="R484" s="260"/>
      <c r="S484" s="630"/>
      <c r="T484" s="630"/>
      <c r="U484" s="630"/>
      <c r="V484" s="630"/>
      <c r="W484" s="260"/>
      <c r="X484" s="260"/>
      <c r="Y484" s="260"/>
      <c r="Z484" s="260"/>
      <c r="AA484" s="260"/>
      <c r="AB484" s="260"/>
      <c r="AC484" s="265"/>
      <c r="AD484" s="634"/>
      <c r="AE484" s="264">
        <f t="shared" ref="AE484:AH484" si="1086">AE476*($L476*$P476+$M476*$Q476+$N476*$R476)</f>
        <v>0</v>
      </c>
      <c r="AF484" s="264">
        <f t="shared" si="1086"/>
        <v>0</v>
      </c>
      <c r="AG484" s="264">
        <f t="shared" si="1086"/>
        <v>0</v>
      </c>
      <c r="AH484" s="264">
        <f t="shared" si="1086"/>
        <v>0</v>
      </c>
      <c r="AI484" s="264">
        <f t="shared" si="1077"/>
        <v>0</v>
      </c>
      <c r="AJ484" s="264">
        <f t="shared" si="1069"/>
        <v>0</v>
      </c>
      <c r="AK484" s="264">
        <f t="shared" si="1070"/>
        <v>0</v>
      </c>
      <c r="AL484" s="264">
        <f t="shared" si="1071"/>
        <v>0</v>
      </c>
      <c r="AM484" s="264">
        <f t="shared" si="1072"/>
        <v>0</v>
      </c>
      <c r="AN484" s="640">
        <f t="shared" si="1055"/>
        <v>0</v>
      </c>
      <c r="AO484" s="264">
        <f t="shared" si="1073"/>
        <v>0</v>
      </c>
      <c r="AP484" s="640">
        <f t="shared" si="1049"/>
        <v>0</v>
      </c>
      <c r="AQ484" s="264"/>
      <c r="AR484" s="264" t="str">
        <f>VLOOKUP($I484,TableInputsData[],ReadMe!$M$3,FALSE)&amp;"  |  "&amp;VLOOKUP($K484,TableInputsData[],ReadMe!$M$3,FALSE)</f>
        <v>PRODUIT 12  |  CHIFFRE D'AFFAIRES</v>
      </c>
      <c r="AS484" s="264" t="b">
        <f t="shared" si="1074"/>
        <v>1</v>
      </c>
      <c r="AT484" s="294"/>
    </row>
    <row r="485" spans="1:46" ht="13" hidden="1" x14ac:dyDescent="0.2">
      <c r="A485" s="294"/>
      <c r="B485" s="925"/>
      <c r="C485" s="271">
        <v>478</v>
      </c>
      <c r="D485" s="250">
        <f t="shared" si="1056"/>
        <v>0</v>
      </c>
      <c r="E485" s="250"/>
      <c r="F485" s="248" t="str">
        <f t="shared" si="1066"/>
        <v>YEAR5</v>
      </c>
      <c r="G485" s="250">
        <f>VLOOKUP(F485,TableInputsData[],$G$6,FALSE)</f>
        <v>2029</v>
      </c>
      <c r="H485" s="250" t="str">
        <f t="shared" ref="H485:I485" si="1087">H484</f>
        <v>PRODUCT</v>
      </c>
      <c r="I485" s="248" t="str">
        <f t="shared" si="1087"/>
        <v>PRODUCT 12</v>
      </c>
      <c r="J485" s="248" t="str">
        <f>VLOOKUP(I485,TableInputsData[],$J$6,FALSE)</f>
        <v>-</v>
      </c>
      <c r="K485" s="248" t="str">
        <f t="shared" si="1079"/>
        <v>REVENUE</v>
      </c>
      <c r="L485" s="255"/>
      <c r="M485" s="255"/>
      <c r="N485" s="255"/>
      <c r="O485" s="265"/>
      <c r="P485" s="260"/>
      <c r="Q485" s="260"/>
      <c r="R485" s="260"/>
      <c r="S485" s="630"/>
      <c r="T485" s="630"/>
      <c r="U485" s="630"/>
      <c r="V485" s="630"/>
      <c r="W485" s="260"/>
      <c r="X485" s="260"/>
      <c r="Y485" s="260"/>
      <c r="Z485" s="260"/>
      <c r="AA485" s="260"/>
      <c r="AB485" s="260"/>
      <c r="AC485" s="265"/>
      <c r="AD485" s="634"/>
      <c r="AE485" s="264">
        <f t="shared" ref="AE485:AH485" si="1088">AE477*($L477*$P477+$M477*$Q477+$N477*$R477)</f>
        <v>0</v>
      </c>
      <c r="AF485" s="264">
        <f t="shared" si="1088"/>
        <v>0</v>
      </c>
      <c r="AG485" s="264">
        <f t="shared" si="1088"/>
        <v>0</v>
      </c>
      <c r="AH485" s="264">
        <f t="shared" si="1088"/>
        <v>0</v>
      </c>
      <c r="AI485" s="264">
        <f t="shared" si="1077"/>
        <v>0</v>
      </c>
      <c r="AJ485" s="264">
        <f t="shared" si="1069"/>
        <v>0</v>
      </c>
      <c r="AK485" s="264">
        <f t="shared" si="1070"/>
        <v>0</v>
      </c>
      <c r="AL485" s="264">
        <f t="shared" si="1071"/>
        <v>0</v>
      </c>
      <c r="AM485" s="264">
        <f t="shared" si="1072"/>
        <v>0</v>
      </c>
      <c r="AN485" s="640">
        <f t="shared" si="1055"/>
        <v>0</v>
      </c>
      <c r="AO485" s="264">
        <f t="shared" si="1073"/>
        <v>0</v>
      </c>
      <c r="AP485" s="640">
        <f t="shared" si="1049"/>
        <v>0</v>
      </c>
      <c r="AQ485" s="264"/>
      <c r="AR485" s="264" t="str">
        <f>VLOOKUP($I485,TableInputsData[],ReadMe!$M$3,FALSE)&amp;"  |  "&amp;VLOOKUP($K485,TableInputsData[],ReadMe!$M$3,FALSE)</f>
        <v>PRODUIT 12  |  CHIFFRE D'AFFAIRES</v>
      </c>
      <c r="AS485" s="264" t="b">
        <f t="shared" si="1074"/>
        <v>1</v>
      </c>
      <c r="AT485" s="294"/>
    </row>
    <row r="486" spans="1:46" ht="13" hidden="1" x14ac:dyDescent="0.2">
      <c r="A486" s="294"/>
      <c r="B486" s="925"/>
      <c r="C486" s="271">
        <v>479</v>
      </c>
      <c r="D486" s="250">
        <f t="shared" si="1056"/>
        <v>0</v>
      </c>
      <c r="E486" s="250"/>
      <c r="F486" s="248" t="str">
        <f t="shared" si="1066"/>
        <v>YEAR6</v>
      </c>
      <c r="G486" s="250">
        <f>VLOOKUP(F486,TableInputsData[],$G$6,FALSE)</f>
        <v>2030</v>
      </c>
      <c r="H486" s="250" t="str">
        <f t="shared" ref="H486:I486" si="1089">H485</f>
        <v>PRODUCT</v>
      </c>
      <c r="I486" s="248" t="str">
        <f t="shared" si="1089"/>
        <v>PRODUCT 12</v>
      </c>
      <c r="J486" s="248" t="str">
        <f>VLOOKUP(I486,TableInputsData[],$J$6,FALSE)</f>
        <v>-</v>
      </c>
      <c r="K486" s="248" t="str">
        <f t="shared" si="1079"/>
        <v>REVENUE</v>
      </c>
      <c r="L486" s="255"/>
      <c r="M486" s="255"/>
      <c r="N486" s="255"/>
      <c r="O486" s="265"/>
      <c r="P486" s="260"/>
      <c r="Q486" s="260"/>
      <c r="R486" s="260"/>
      <c r="S486" s="630"/>
      <c r="T486" s="630"/>
      <c r="U486" s="630"/>
      <c r="V486" s="630"/>
      <c r="W486" s="260"/>
      <c r="X486" s="260"/>
      <c r="Y486" s="260"/>
      <c r="Z486" s="260"/>
      <c r="AA486" s="260"/>
      <c r="AB486" s="260"/>
      <c r="AC486" s="265"/>
      <c r="AD486" s="634"/>
      <c r="AE486" s="264">
        <f t="shared" ref="AE486:AH486" si="1090">AE478*($L478*$P478+$M478*$Q478+$N478*$R478)</f>
        <v>0</v>
      </c>
      <c r="AF486" s="264">
        <f t="shared" si="1090"/>
        <v>0</v>
      </c>
      <c r="AG486" s="264">
        <f t="shared" si="1090"/>
        <v>0</v>
      </c>
      <c r="AH486" s="264">
        <f t="shared" si="1090"/>
        <v>0</v>
      </c>
      <c r="AI486" s="264">
        <f>$AE486+$AF486+$AG486+$AH486</f>
        <v>0</v>
      </c>
      <c r="AJ486" s="264">
        <f t="shared" si="1069"/>
        <v>0</v>
      </c>
      <c r="AK486" s="264">
        <f t="shared" si="1070"/>
        <v>0</v>
      </c>
      <c r="AL486" s="264">
        <f t="shared" si="1071"/>
        <v>0</v>
      </c>
      <c r="AM486" s="264">
        <f t="shared" si="1072"/>
        <v>0</v>
      </c>
      <c r="AN486" s="640">
        <f t="shared" si="1055"/>
        <v>0</v>
      </c>
      <c r="AO486" s="264">
        <f t="shared" si="1073"/>
        <v>0</v>
      </c>
      <c r="AP486" s="640">
        <f t="shared" si="1049"/>
        <v>0</v>
      </c>
      <c r="AQ486" s="264"/>
      <c r="AR486" s="264" t="str">
        <f>VLOOKUP($I486,TableInputsData[],ReadMe!$M$3,FALSE)&amp;"  |  "&amp;VLOOKUP($K486,TableInputsData[],ReadMe!$M$3,FALSE)</f>
        <v>PRODUIT 12  |  CHIFFRE D'AFFAIRES</v>
      </c>
      <c r="AS486" s="264" t="b">
        <f t="shared" si="1074"/>
        <v>1</v>
      </c>
      <c r="AT486" s="294"/>
    </row>
    <row r="487" spans="1:46" ht="13" hidden="1" x14ac:dyDescent="0.2">
      <c r="A487" s="294"/>
      <c r="B487" s="925"/>
      <c r="C487" s="271">
        <v>480</v>
      </c>
      <c r="D487" s="250">
        <f t="shared" si="1056"/>
        <v>0</v>
      </c>
      <c r="E487" s="250"/>
      <c r="F487" s="248" t="str">
        <f t="shared" ref="F487:F494" si="1091">F471</f>
        <v>YEAR-2</v>
      </c>
      <c r="G487" s="250">
        <f>VLOOKUP(F487,TableInputsData[],$G$6,FALSE)</f>
        <v>2023</v>
      </c>
      <c r="H487" s="250" t="str">
        <f t="shared" ref="H487:I487" si="1092">H486</f>
        <v>PRODUCT</v>
      </c>
      <c r="I487" s="248" t="str">
        <f t="shared" si="1092"/>
        <v>PRODUCT 12</v>
      </c>
      <c r="J487" s="248" t="str">
        <f>VLOOKUP(I487,TableInputsData[],$J$6,FALSE)</f>
        <v>-</v>
      </c>
      <c r="K487" s="248" t="s">
        <v>456</v>
      </c>
      <c r="L487" s="255"/>
      <c r="M487" s="255"/>
      <c r="N487" s="255"/>
      <c r="O487" s="265"/>
      <c r="P487" s="260"/>
      <c r="Q487" s="260"/>
      <c r="R487" s="260"/>
      <c r="S487" s="630"/>
      <c r="T487" s="630"/>
      <c r="U487" s="630"/>
      <c r="V487" s="630"/>
      <c r="W487" s="260"/>
      <c r="X487" s="260"/>
      <c r="Y487" s="260"/>
      <c r="Z487" s="260"/>
      <c r="AA487" s="260"/>
      <c r="AB487" s="260"/>
      <c r="AC487" s="265"/>
      <c r="AD487" s="634"/>
      <c r="AE487" s="264">
        <f>IF(AE471=0,0,AE479/AE471)</f>
        <v>0</v>
      </c>
      <c r="AF487" s="264">
        <f t="shared" ref="AF487:AI487" si="1093">IF(AF471=0,0,AF479/AF471)</f>
        <v>0</v>
      </c>
      <c r="AG487" s="264">
        <f t="shared" si="1093"/>
        <v>0</v>
      </c>
      <c r="AH487" s="264">
        <f t="shared" si="1093"/>
        <v>0</v>
      </c>
      <c r="AI487" s="264">
        <f t="shared" si="1093"/>
        <v>0</v>
      </c>
      <c r="AJ487" s="264">
        <f>IF(AJ471=0,0,AJ479/AJ471)</f>
        <v>0</v>
      </c>
      <c r="AK487" s="264">
        <f t="shared" ref="AK487:AL487" si="1094">IF(AK471=0,0,AK479/AK471)</f>
        <v>0</v>
      </c>
      <c r="AL487" s="264">
        <f t="shared" si="1094"/>
        <v>0</v>
      </c>
      <c r="AM487" s="264">
        <f>IF(AM471=0,0,AM479/AM471)</f>
        <v>0</v>
      </c>
      <c r="AN487" s="260"/>
      <c r="AO487" s="264">
        <f t="shared" ref="AO487:AO494" si="1095">IF(AO471=0,0,AO479/AO471)</f>
        <v>0</v>
      </c>
      <c r="AP487" s="260"/>
      <c r="AQ487" s="264"/>
      <c r="AR487" s="264" t="str">
        <f>VLOOKUP($I487,TableInputsData[],ReadMe!$M$3,FALSE)&amp;"  |  "&amp;VLOOKUP($K487,TableInputsData[],ReadMe!$M$3,FALSE)</f>
        <v>PRODUIT 12  |  PRIX MOYEN DE VENTE PAR PRODUIT/SERVICE</v>
      </c>
      <c r="AS487" s="264"/>
      <c r="AT487" s="294"/>
    </row>
    <row r="488" spans="1:46" ht="13" hidden="1" x14ac:dyDescent="0.2">
      <c r="A488" s="294"/>
      <c r="B488" s="925"/>
      <c r="C488" s="271">
        <v>481</v>
      </c>
      <c r="D488" s="250">
        <f t="shared" si="1056"/>
        <v>0</v>
      </c>
      <c r="E488" s="250"/>
      <c r="F488" s="248" t="str">
        <f t="shared" si="1091"/>
        <v>YEAR-1</v>
      </c>
      <c r="G488" s="250">
        <f>VLOOKUP(F488,TableInputsData[],$G$6,FALSE)</f>
        <v>2024</v>
      </c>
      <c r="H488" s="250" t="str">
        <f t="shared" ref="H488:I488" si="1096">H487</f>
        <v>PRODUCT</v>
      </c>
      <c r="I488" s="248" t="str">
        <f t="shared" si="1096"/>
        <v>PRODUCT 12</v>
      </c>
      <c r="J488" s="248" t="str">
        <f>VLOOKUP(I488,TableInputsData[],$J$6,FALSE)</f>
        <v>-</v>
      </c>
      <c r="K488" s="248" t="str">
        <f>K487</f>
        <v>AVERAGE SELLING PRICE PER UNIT</v>
      </c>
      <c r="L488" s="255"/>
      <c r="M488" s="255"/>
      <c r="N488" s="255"/>
      <c r="O488" s="265"/>
      <c r="P488" s="260"/>
      <c r="Q488" s="260"/>
      <c r="R488" s="260"/>
      <c r="S488" s="630"/>
      <c r="T488" s="630"/>
      <c r="U488" s="630"/>
      <c r="V488" s="630"/>
      <c r="W488" s="260"/>
      <c r="X488" s="260"/>
      <c r="Y488" s="260"/>
      <c r="Z488" s="260"/>
      <c r="AA488" s="260"/>
      <c r="AB488" s="260"/>
      <c r="AC488" s="265"/>
      <c r="AD488" s="634"/>
      <c r="AE488" s="264">
        <f>IF(AE472=0,0,AE480/AE472)</f>
        <v>0</v>
      </c>
      <c r="AF488" s="264">
        <f t="shared" ref="AF488:AM488" si="1097">IF(AF472=0,0,AF480/AF472)</f>
        <v>0</v>
      </c>
      <c r="AG488" s="264">
        <f t="shared" si="1097"/>
        <v>0</v>
      </c>
      <c r="AH488" s="264">
        <f t="shared" si="1097"/>
        <v>0</v>
      </c>
      <c r="AI488" s="264">
        <f t="shared" si="1097"/>
        <v>0</v>
      </c>
      <c r="AJ488" s="264">
        <f t="shared" si="1097"/>
        <v>0</v>
      </c>
      <c r="AK488" s="264">
        <f t="shared" si="1097"/>
        <v>0</v>
      </c>
      <c r="AL488" s="264">
        <f t="shared" si="1097"/>
        <v>0</v>
      </c>
      <c r="AM488" s="264">
        <f t="shared" si="1097"/>
        <v>0</v>
      </c>
      <c r="AN488" s="260"/>
      <c r="AO488" s="264">
        <f t="shared" si="1095"/>
        <v>0</v>
      </c>
      <c r="AP488" s="260"/>
      <c r="AQ488" s="264"/>
      <c r="AR488" s="264" t="str">
        <f>VLOOKUP($I488,TableInputsData[],ReadMe!$M$3,FALSE)&amp;"  |  "&amp;VLOOKUP($K488,TableInputsData[],ReadMe!$M$3,FALSE)</f>
        <v>PRODUIT 12  |  PRIX MOYEN DE VENTE PAR PRODUIT/SERVICE</v>
      </c>
      <c r="AS488" s="264"/>
      <c r="AT488" s="294"/>
    </row>
    <row r="489" spans="1:46" ht="13" hidden="1" x14ac:dyDescent="0.2">
      <c r="A489" s="294"/>
      <c r="B489" s="925"/>
      <c r="C489" s="271">
        <v>482</v>
      </c>
      <c r="D489" s="250">
        <f t="shared" si="1056"/>
        <v>0</v>
      </c>
      <c r="E489" s="250"/>
      <c r="F489" s="248" t="str">
        <f t="shared" si="1091"/>
        <v>CURRENT YEAR</v>
      </c>
      <c r="G489" s="250">
        <f>VLOOKUP(F489,TableInputsData[],$G$6,FALSE)</f>
        <v>2025</v>
      </c>
      <c r="H489" s="250" t="str">
        <f t="shared" ref="H489:I489" si="1098">H488</f>
        <v>PRODUCT</v>
      </c>
      <c r="I489" s="248" t="str">
        <f t="shared" si="1098"/>
        <v>PRODUCT 12</v>
      </c>
      <c r="J489" s="248" t="str">
        <f>VLOOKUP(I489,TableInputsData[],$J$6,FALSE)</f>
        <v>-</v>
      </c>
      <c r="K489" s="248" t="str">
        <f t="shared" ref="K489:K494" si="1099">K488</f>
        <v>AVERAGE SELLING PRICE PER UNIT</v>
      </c>
      <c r="L489" s="255"/>
      <c r="M489" s="255"/>
      <c r="N489" s="255"/>
      <c r="O489" s="265"/>
      <c r="P489" s="260"/>
      <c r="Q489" s="260"/>
      <c r="R489" s="260"/>
      <c r="S489" s="630"/>
      <c r="T489" s="630"/>
      <c r="U489" s="630"/>
      <c r="V489" s="630"/>
      <c r="W489" s="260"/>
      <c r="X489" s="260"/>
      <c r="Y489" s="260"/>
      <c r="Z489" s="260"/>
      <c r="AA489" s="260"/>
      <c r="AB489" s="260"/>
      <c r="AC489" s="265"/>
      <c r="AD489" s="634"/>
      <c r="AE489" s="264">
        <f>IF(AE473=0,0,AE481/AE473)</f>
        <v>0</v>
      </c>
      <c r="AF489" s="264">
        <f t="shared" ref="AF489:AM489" si="1100">IF(AF473=0,0,AF481/AF473)</f>
        <v>0</v>
      </c>
      <c r="AG489" s="264">
        <f t="shared" si="1100"/>
        <v>0</v>
      </c>
      <c r="AH489" s="264">
        <f t="shared" si="1100"/>
        <v>0</v>
      </c>
      <c r="AI489" s="264">
        <f t="shared" si="1100"/>
        <v>0</v>
      </c>
      <c r="AJ489" s="264">
        <f t="shared" si="1100"/>
        <v>0</v>
      </c>
      <c r="AK489" s="264">
        <f t="shared" si="1100"/>
        <v>0</v>
      </c>
      <c r="AL489" s="264">
        <f t="shared" si="1100"/>
        <v>0</v>
      </c>
      <c r="AM489" s="264">
        <f t="shared" si="1100"/>
        <v>0</v>
      </c>
      <c r="AN489" s="260"/>
      <c r="AO489" s="264">
        <f t="shared" si="1095"/>
        <v>0</v>
      </c>
      <c r="AP489" s="260"/>
      <c r="AQ489" s="264"/>
      <c r="AR489" s="264" t="str">
        <f>VLOOKUP($I489,TableInputsData[],ReadMe!$M$3,FALSE)&amp;"  |  "&amp;VLOOKUP($K489,TableInputsData[],ReadMe!$M$3,FALSE)</f>
        <v>PRODUIT 12  |  PRIX MOYEN DE VENTE PAR PRODUIT/SERVICE</v>
      </c>
      <c r="AS489" s="264"/>
      <c r="AT489" s="294"/>
    </row>
    <row r="490" spans="1:46" ht="13" hidden="1" x14ac:dyDescent="0.2">
      <c r="A490" s="294"/>
      <c r="B490" s="925"/>
      <c r="C490" s="271">
        <v>483</v>
      </c>
      <c r="D490" s="250">
        <f t="shared" si="1056"/>
        <v>0</v>
      </c>
      <c r="E490" s="250"/>
      <c r="F490" s="248" t="str">
        <f t="shared" si="1091"/>
        <v>YEAR2</v>
      </c>
      <c r="G490" s="250">
        <f>VLOOKUP(F490,TableInputsData[],$G$6,FALSE)</f>
        <v>2026</v>
      </c>
      <c r="H490" s="250" t="str">
        <f t="shared" ref="H490:I490" si="1101">H489</f>
        <v>PRODUCT</v>
      </c>
      <c r="I490" s="248" t="str">
        <f t="shared" si="1101"/>
        <v>PRODUCT 12</v>
      </c>
      <c r="J490" s="248" t="str">
        <f>VLOOKUP(I490,TableInputsData[],$J$6,FALSE)</f>
        <v>-</v>
      </c>
      <c r="K490" s="248" t="str">
        <f t="shared" si="1099"/>
        <v>AVERAGE SELLING PRICE PER UNIT</v>
      </c>
      <c r="L490" s="255"/>
      <c r="M490" s="255"/>
      <c r="N490" s="255"/>
      <c r="O490" s="265"/>
      <c r="P490" s="260"/>
      <c r="Q490" s="260"/>
      <c r="R490" s="260"/>
      <c r="S490" s="630"/>
      <c r="T490" s="630"/>
      <c r="U490" s="630"/>
      <c r="V490" s="630"/>
      <c r="W490" s="260"/>
      <c r="X490" s="260"/>
      <c r="Y490" s="260"/>
      <c r="Z490" s="260"/>
      <c r="AA490" s="260"/>
      <c r="AB490" s="260"/>
      <c r="AC490" s="265"/>
      <c r="AD490" s="634"/>
      <c r="AE490" s="264">
        <f>IF(AE474=0,0,AE482/AE474)</f>
        <v>0</v>
      </c>
      <c r="AF490" s="264">
        <f t="shared" ref="AF490:AM490" si="1102">IF(AF474=0,0,AF482/AF474)</f>
        <v>0</v>
      </c>
      <c r="AG490" s="264">
        <f t="shared" si="1102"/>
        <v>0</v>
      </c>
      <c r="AH490" s="264">
        <f t="shared" si="1102"/>
        <v>0</v>
      </c>
      <c r="AI490" s="264">
        <f t="shared" si="1102"/>
        <v>0</v>
      </c>
      <c r="AJ490" s="264">
        <f t="shared" si="1102"/>
        <v>0</v>
      </c>
      <c r="AK490" s="264">
        <f t="shared" si="1102"/>
        <v>0</v>
      </c>
      <c r="AL490" s="264">
        <f t="shared" si="1102"/>
        <v>0</v>
      </c>
      <c r="AM490" s="264">
        <f t="shared" si="1102"/>
        <v>0</v>
      </c>
      <c r="AN490" s="260"/>
      <c r="AO490" s="264">
        <f t="shared" si="1095"/>
        <v>0</v>
      </c>
      <c r="AP490" s="260"/>
      <c r="AQ490" s="264"/>
      <c r="AR490" s="264" t="str">
        <f>VLOOKUP($I490,TableInputsData[],ReadMe!$M$3,FALSE)&amp;"  |  "&amp;VLOOKUP($K490,TableInputsData[],ReadMe!$M$3,FALSE)</f>
        <v>PRODUIT 12  |  PRIX MOYEN DE VENTE PAR PRODUIT/SERVICE</v>
      </c>
      <c r="AS490" s="264"/>
      <c r="AT490" s="294"/>
    </row>
    <row r="491" spans="1:46" ht="13" hidden="1" x14ac:dyDescent="0.2">
      <c r="A491" s="294"/>
      <c r="B491" s="925"/>
      <c r="C491" s="271">
        <v>484</v>
      </c>
      <c r="D491" s="250">
        <f t="shared" si="1056"/>
        <v>0</v>
      </c>
      <c r="E491" s="250"/>
      <c r="F491" s="248" t="str">
        <f t="shared" si="1091"/>
        <v>YEAR3</v>
      </c>
      <c r="G491" s="250">
        <f>VLOOKUP(F491,TableInputsData[],$G$6,FALSE)</f>
        <v>2027</v>
      </c>
      <c r="H491" s="250" t="str">
        <f t="shared" ref="H491:I491" si="1103">H490</f>
        <v>PRODUCT</v>
      </c>
      <c r="I491" s="248" t="str">
        <f t="shared" si="1103"/>
        <v>PRODUCT 12</v>
      </c>
      <c r="J491" s="248" t="str">
        <f>VLOOKUP(I491,TableInputsData[],$J$6,FALSE)</f>
        <v>-</v>
      </c>
      <c r="K491" s="248" t="str">
        <f t="shared" si="1099"/>
        <v>AVERAGE SELLING PRICE PER UNIT</v>
      </c>
      <c r="L491" s="255"/>
      <c r="M491" s="255"/>
      <c r="N491" s="255"/>
      <c r="O491" s="265"/>
      <c r="P491" s="260"/>
      <c r="Q491" s="260"/>
      <c r="R491" s="260"/>
      <c r="S491" s="630"/>
      <c r="T491" s="630"/>
      <c r="U491" s="630"/>
      <c r="V491" s="630"/>
      <c r="W491" s="260"/>
      <c r="X491" s="260"/>
      <c r="Y491" s="260"/>
      <c r="Z491" s="260"/>
      <c r="AA491" s="260"/>
      <c r="AB491" s="260"/>
      <c r="AC491" s="265"/>
      <c r="AD491" s="634"/>
      <c r="AE491" s="264">
        <f t="shared" ref="AE491:AM491" si="1104">IF(AE475=0,0,AE483/AE475)</f>
        <v>0</v>
      </c>
      <c r="AF491" s="264">
        <f t="shared" si="1104"/>
        <v>0</v>
      </c>
      <c r="AG491" s="264">
        <f t="shared" si="1104"/>
        <v>0</v>
      </c>
      <c r="AH491" s="264">
        <f t="shared" si="1104"/>
        <v>0</v>
      </c>
      <c r="AI491" s="264">
        <f t="shared" si="1104"/>
        <v>0</v>
      </c>
      <c r="AJ491" s="264">
        <f t="shared" si="1104"/>
        <v>0</v>
      </c>
      <c r="AK491" s="264">
        <f t="shared" si="1104"/>
        <v>0</v>
      </c>
      <c r="AL491" s="264">
        <f t="shared" si="1104"/>
        <v>0</v>
      </c>
      <c r="AM491" s="264">
        <f t="shared" si="1104"/>
        <v>0</v>
      </c>
      <c r="AN491" s="260"/>
      <c r="AO491" s="264">
        <f t="shared" si="1095"/>
        <v>0</v>
      </c>
      <c r="AP491" s="260"/>
      <c r="AQ491" s="264"/>
      <c r="AR491" s="264" t="str">
        <f>VLOOKUP($I491,TableInputsData[],ReadMe!$M$3,FALSE)&amp;"  |  "&amp;VLOOKUP($K491,TableInputsData[],ReadMe!$M$3,FALSE)</f>
        <v>PRODUIT 12  |  PRIX MOYEN DE VENTE PAR PRODUIT/SERVICE</v>
      </c>
      <c r="AS491" s="264"/>
      <c r="AT491" s="294"/>
    </row>
    <row r="492" spans="1:46" ht="13" hidden="1" x14ac:dyDescent="0.2">
      <c r="A492" s="294"/>
      <c r="B492" s="925"/>
      <c r="C492" s="272">
        <v>485</v>
      </c>
      <c r="D492" s="250">
        <f t="shared" si="1056"/>
        <v>0</v>
      </c>
      <c r="E492" s="251"/>
      <c r="F492" s="248" t="str">
        <f t="shared" si="1091"/>
        <v>YEAR4</v>
      </c>
      <c r="G492" s="250">
        <f>VLOOKUP(F492,TableInputsData[],$G$6,FALSE)</f>
        <v>2028</v>
      </c>
      <c r="H492" s="250" t="str">
        <f t="shared" ref="H492:I492" si="1105">H491</f>
        <v>PRODUCT</v>
      </c>
      <c r="I492" s="248" t="str">
        <f t="shared" si="1105"/>
        <v>PRODUCT 12</v>
      </c>
      <c r="J492" s="248" t="str">
        <f>VLOOKUP(I492,TableInputsData[],$J$6,FALSE)</f>
        <v>-</v>
      </c>
      <c r="K492" s="248" t="str">
        <f t="shared" si="1099"/>
        <v>AVERAGE SELLING PRICE PER UNIT</v>
      </c>
      <c r="L492" s="256"/>
      <c r="M492" s="256"/>
      <c r="N492" s="256"/>
      <c r="O492" s="266"/>
      <c r="P492" s="261"/>
      <c r="Q492" s="261"/>
      <c r="R492" s="261"/>
      <c r="S492" s="629"/>
      <c r="T492" s="629"/>
      <c r="U492" s="629"/>
      <c r="V492" s="629"/>
      <c r="W492" s="261"/>
      <c r="X492" s="261"/>
      <c r="Y492" s="261"/>
      <c r="Z492" s="261"/>
      <c r="AA492" s="261"/>
      <c r="AB492" s="261"/>
      <c r="AC492" s="266"/>
      <c r="AD492" s="633"/>
      <c r="AE492" s="264">
        <f t="shared" ref="AE492:AM492" si="1106">IF(AE476=0,0,AE484/AE476)</f>
        <v>0</v>
      </c>
      <c r="AF492" s="264">
        <f t="shared" si="1106"/>
        <v>0</v>
      </c>
      <c r="AG492" s="264">
        <f t="shared" si="1106"/>
        <v>0</v>
      </c>
      <c r="AH492" s="264">
        <f t="shared" si="1106"/>
        <v>0</v>
      </c>
      <c r="AI492" s="264">
        <f t="shared" si="1106"/>
        <v>0</v>
      </c>
      <c r="AJ492" s="264">
        <f t="shared" si="1106"/>
        <v>0</v>
      </c>
      <c r="AK492" s="264">
        <f t="shared" si="1106"/>
        <v>0</v>
      </c>
      <c r="AL492" s="264">
        <f t="shared" si="1106"/>
        <v>0</v>
      </c>
      <c r="AM492" s="264">
        <f t="shared" si="1106"/>
        <v>0</v>
      </c>
      <c r="AN492" s="260"/>
      <c r="AO492" s="264">
        <f t="shared" si="1095"/>
        <v>0</v>
      </c>
      <c r="AP492" s="260"/>
      <c r="AQ492" s="264"/>
      <c r="AR492" s="264" t="str">
        <f>VLOOKUP($I492,TableInputsData[],ReadMe!$M$3,FALSE)&amp;"  |  "&amp;VLOOKUP($K492,TableInputsData[],ReadMe!$M$3,FALSE)</f>
        <v>PRODUIT 12  |  PRIX MOYEN DE VENTE PAR PRODUIT/SERVICE</v>
      </c>
      <c r="AS492" s="264"/>
      <c r="AT492" s="294"/>
    </row>
    <row r="493" spans="1:46" ht="13" hidden="1" x14ac:dyDescent="0.2">
      <c r="A493" s="294"/>
      <c r="B493" s="925"/>
      <c r="C493" s="271">
        <v>486</v>
      </c>
      <c r="D493" s="250">
        <f t="shared" si="1056"/>
        <v>0</v>
      </c>
      <c r="E493" s="250"/>
      <c r="F493" s="248" t="str">
        <f t="shared" si="1091"/>
        <v>YEAR5</v>
      </c>
      <c r="G493" s="250">
        <f>VLOOKUP(F493,TableInputsData[],$G$6,FALSE)</f>
        <v>2029</v>
      </c>
      <c r="H493" s="250" t="str">
        <f t="shared" ref="H493:I493" si="1107">H492</f>
        <v>PRODUCT</v>
      </c>
      <c r="I493" s="248" t="str">
        <f t="shared" si="1107"/>
        <v>PRODUCT 12</v>
      </c>
      <c r="J493" s="248" t="str">
        <f>VLOOKUP(I493,TableInputsData[],$J$6,FALSE)</f>
        <v>-</v>
      </c>
      <c r="K493" s="248" t="str">
        <f t="shared" si="1099"/>
        <v>AVERAGE SELLING PRICE PER UNIT</v>
      </c>
      <c r="L493" s="255"/>
      <c r="M493" s="255"/>
      <c r="N493" s="255"/>
      <c r="O493" s="265"/>
      <c r="P493" s="260"/>
      <c r="Q493" s="260"/>
      <c r="R493" s="260"/>
      <c r="S493" s="630"/>
      <c r="T493" s="630"/>
      <c r="U493" s="630"/>
      <c r="V493" s="630"/>
      <c r="W493" s="260"/>
      <c r="X493" s="260"/>
      <c r="Y493" s="260"/>
      <c r="Z493" s="260"/>
      <c r="AA493" s="260"/>
      <c r="AB493" s="260"/>
      <c r="AC493" s="265"/>
      <c r="AD493" s="634"/>
      <c r="AE493" s="264">
        <f t="shared" ref="AE493:AM493" si="1108">IF(AE477=0,0,AE485/AE477)</f>
        <v>0</v>
      </c>
      <c r="AF493" s="264">
        <f t="shared" si="1108"/>
        <v>0</v>
      </c>
      <c r="AG493" s="264">
        <f t="shared" si="1108"/>
        <v>0</v>
      </c>
      <c r="AH493" s="264">
        <f t="shared" si="1108"/>
        <v>0</v>
      </c>
      <c r="AI493" s="264">
        <f t="shared" si="1108"/>
        <v>0</v>
      </c>
      <c r="AJ493" s="264">
        <f t="shared" si="1108"/>
        <v>0</v>
      </c>
      <c r="AK493" s="264">
        <f t="shared" si="1108"/>
        <v>0</v>
      </c>
      <c r="AL493" s="264">
        <f t="shared" si="1108"/>
        <v>0</v>
      </c>
      <c r="AM493" s="264">
        <f t="shared" si="1108"/>
        <v>0</v>
      </c>
      <c r="AN493" s="260"/>
      <c r="AO493" s="264">
        <f t="shared" si="1095"/>
        <v>0</v>
      </c>
      <c r="AP493" s="260"/>
      <c r="AQ493" s="264"/>
      <c r="AR493" s="264" t="str">
        <f>VLOOKUP($I493,TableInputsData[],ReadMe!$M$3,FALSE)&amp;"  |  "&amp;VLOOKUP($K493,TableInputsData[],ReadMe!$M$3,FALSE)</f>
        <v>PRODUIT 12  |  PRIX MOYEN DE VENTE PAR PRODUIT/SERVICE</v>
      </c>
      <c r="AS493" s="264"/>
      <c r="AT493" s="294"/>
    </row>
    <row r="494" spans="1:46" ht="13" hidden="1" x14ac:dyDescent="0.2">
      <c r="A494" s="294"/>
      <c r="B494" s="925"/>
      <c r="C494" s="271">
        <v>487</v>
      </c>
      <c r="D494" s="250">
        <f t="shared" si="1056"/>
        <v>0</v>
      </c>
      <c r="E494" s="250"/>
      <c r="F494" s="248" t="str">
        <f t="shared" si="1091"/>
        <v>YEAR6</v>
      </c>
      <c r="G494" s="250">
        <f>VLOOKUP(F494,TableInputsData[],$G$6,FALSE)</f>
        <v>2030</v>
      </c>
      <c r="H494" s="250" t="str">
        <f t="shared" ref="H494:I494" si="1109">H493</f>
        <v>PRODUCT</v>
      </c>
      <c r="I494" s="248" t="str">
        <f t="shared" si="1109"/>
        <v>PRODUCT 12</v>
      </c>
      <c r="J494" s="248" t="str">
        <f>VLOOKUP(I494,TableInputsData[],$J$6,FALSE)</f>
        <v>-</v>
      </c>
      <c r="K494" s="248" t="str">
        <f t="shared" si="1099"/>
        <v>AVERAGE SELLING PRICE PER UNIT</v>
      </c>
      <c r="L494" s="255"/>
      <c r="M494" s="255"/>
      <c r="N494" s="255"/>
      <c r="O494" s="265"/>
      <c r="P494" s="260"/>
      <c r="Q494" s="260"/>
      <c r="R494" s="260"/>
      <c r="S494" s="630"/>
      <c r="T494" s="630"/>
      <c r="U494" s="630"/>
      <c r="V494" s="630"/>
      <c r="W494" s="260"/>
      <c r="X494" s="260"/>
      <c r="Y494" s="260"/>
      <c r="Z494" s="260"/>
      <c r="AA494" s="260"/>
      <c r="AB494" s="260"/>
      <c r="AC494" s="265"/>
      <c r="AD494" s="634"/>
      <c r="AE494" s="264">
        <f t="shared" ref="AE494:AM494" si="1110">IF(AE478=0,0,AE486/AE478)</f>
        <v>0</v>
      </c>
      <c r="AF494" s="264">
        <f t="shared" si="1110"/>
        <v>0</v>
      </c>
      <c r="AG494" s="264">
        <f t="shared" si="1110"/>
        <v>0</v>
      </c>
      <c r="AH494" s="264">
        <f t="shared" si="1110"/>
        <v>0</v>
      </c>
      <c r="AI494" s="264">
        <f t="shared" si="1110"/>
        <v>0</v>
      </c>
      <c r="AJ494" s="264">
        <f t="shared" si="1110"/>
        <v>0</v>
      </c>
      <c r="AK494" s="264">
        <f t="shared" si="1110"/>
        <v>0</v>
      </c>
      <c r="AL494" s="264">
        <f t="shared" si="1110"/>
        <v>0</v>
      </c>
      <c r="AM494" s="264">
        <f t="shared" si="1110"/>
        <v>0</v>
      </c>
      <c r="AN494" s="260"/>
      <c r="AO494" s="264">
        <f t="shared" si="1095"/>
        <v>0</v>
      </c>
      <c r="AP494" s="260"/>
      <c r="AQ494" s="264"/>
      <c r="AR494" s="264" t="str">
        <f>VLOOKUP($I494,TableInputsData[],ReadMe!$M$3,FALSE)&amp;"  |  "&amp;VLOOKUP($K494,TableInputsData[],ReadMe!$M$3,FALSE)</f>
        <v>PRODUIT 12  |  PRIX MOYEN DE VENTE PAR PRODUIT/SERVICE</v>
      </c>
      <c r="AS494" s="264"/>
      <c r="AT494" s="294"/>
    </row>
    <row r="495" spans="1:46" ht="13" hidden="1" x14ac:dyDescent="0.2">
      <c r="A495" s="294"/>
      <c r="B495" s="925"/>
      <c r="C495" s="272">
        <v>488</v>
      </c>
      <c r="D495" s="250">
        <f t="shared" si="1056"/>
        <v>0</v>
      </c>
      <c r="E495" s="251"/>
      <c r="F495" s="248" t="str">
        <f t="shared" ref="F495:F502" si="1111">F503</f>
        <v>YEAR-2</v>
      </c>
      <c r="G495" s="250">
        <f>VLOOKUP(F495,TableInputsData[],$G$6,FALSE)</f>
        <v>2023</v>
      </c>
      <c r="H495" s="250" t="str">
        <f t="shared" ref="H495:I495" si="1112">H494</f>
        <v>PRODUCT</v>
      </c>
      <c r="I495" s="248" t="str">
        <f t="shared" si="1112"/>
        <v>PRODUCT 12</v>
      </c>
      <c r="J495" s="248" t="str">
        <f>VLOOKUP(I495,TableInputsData[],$J$6,FALSE)</f>
        <v>-</v>
      </c>
      <c r="K495" s="248" t="s">
        <v>531</v>
      </c>
      <c r="L495" s="256"/>
      <c r="M495" s="256"/>
      <c r="N495" s="256"/>
      <c r="O495" s="266"/>
      <c r="P495" s="261"/>
      <c r="Q495" s="261"/>
      <c r="R495" s="261"/>
      <c r="S495" s="629"/>
      <c r="T495" s="629"/>
      <c r="U495" s="629"/>
      <c r="V495" s="629"/>
      <c r="W495" s="261"/>
      <c r="X495" s="261"/>
      <c r="Y495" s="261"/>
      <c r="Z495" s="261"/>
      <c r="AA495" s="261"/>
      <c r="AB495" s="261"/>
      <c r="AC495" s="266"/>
      <c r="AD495" s="633"/>
      <c r="AE495" s="264">
        <f>AE471*($S471*$P471+$T471*$Q471+$U471*$R471)</f>
        <v>0</v>
      </c>
      <c r="AF495" s="264">
        <f t="shared" ref="AF495:AH495" si="1113">AF471*($S471*$P471+$T471*$Q471+$U471*$R471)</f>
        <v>0</v>
      </c>
      <c r="AG495" s="264">
        <f t="shared" si="1113"/>
        <v>0</v>
      </c>
      <c r="AH495" s="264">
        <f t="shared" si="1113"/>
        <v>0</v>
      </c>
      <c r="AI495" s="264">
        <f t="shared" ref="AI495:AI502" si="1114">$AE495+$AF495+$AG495+$AH495</f>
        <v>0</v>
      </c>
      <c r="AJ495" s="264">
        <f t="shared" ref="AJ495:AJ502" si="1115">$AJ471*$S471</f>
        <v>0</v>
      </c>
      <c r="AK495" s="264">
        <f t="shared" ref="AK495:AK502" si="1116">$AK471*$T471</f>
        <v>0</v>
      </c>
      <c r="AL495" s="264">
        <f t="shared" ref="AL495:AL502" si="1117">$AL471*$U471</f>
        <v>0</v>
      </c>
      <c r="AM495" s="264">
        <f t="shared" ref="AM495:AM502" si="1118">$AJ495*$W471+$AK495*$X471+$AL495*$Y471</f>
        <v>0</v>
      </c>
      <c r="AN495" s="640">
        <f t="shared" ref="AN495:AN502" si="1119">IF(AI495=0,0,AM495/AI495)</f>
        <v>0</v>
      </c>
      <c r="AO495" s="264">
        <f t="shared" ref="AO495:AO502" si="1120">$AJ495*$Z471+$AK495*$AA471+$AL495*$AB471</f>
        <v>0</v>
      </c>
      <c r="AP495" s="640">
        <f t="shared" ref="AP495:AP502" si="1121">IF(AI495=0,0,AO495/AI495)</f>
        <v>0</v>
      </c>
      <c r="AQ495" s="264"/>
      <c r="AR495" s="264" t="str">
        <f>VLOOKUP($I495,TableInputsData[],ReadMe!$M$3,FALSE)&amp;"  |  "&amp;VLOOKUP($K495,TableInputsData[],ReadMe!$M$3,FALSE)</f>
        <v>PRODUIT 12  |  DEPENSES SUR ACHATS</v>
      </c>
      <c r="AS495" s="264" t="b">
        <f t="shared" ref="AS495:AS502" si="1122">AND(EXACT(ROUND(AI495,2),ROUND(AJ495+AK495+AL495,2)),EXACT(ROUND(AI495,2),ROUND(AM495+AO495,2)))</f>
        <v>1</v>
      </c>
      <c r="AT495" s="294"/>
    </row>
    <row r="496" spans="1:46" ht="13" hidden="1" x14ac:dyDescent="0.2">
      <c r="A496" s="294"/>
      <c r="B496" s="925"/>
      <c r="C496" s="271">
        <v>489</v>
      </c>
      <c r="D496" s="250">
        <f t="shared" si="1056"/>
        <v>0</v>
      </c>
      <c r="E496" s="250"/>
      <c r="F496" s="248" t="str">
        <f t="shared" si="1111"/>
        <v>YEAR-1</v>
      </c>
      <c r="G496" s="250">
        <f>VLOOKUP(F496,TableInputsData[],$G$6,FALSE)</f>
        <v>2024</v>
      </c>
      <c r="H496" s="250" t="str">
        <f t="shared" ref="H496:I496" si="1123">H495</f>
        <v>PRODUCT</v>
      </c>
      <c r="I496" s="248" t="str">
        <f t="shared" si="1123"/>
        <v>PRODUCT 12</v>
      </c>
      <c r="J496" s="248" t="str">
        <f>VLOOKUP(I496,TableInputsData[],$J$6,FALSE)</f>
        <v>-</v>
      </c>
      <c r="K496" s="248" t="str">
        <f>K495</f>
        <v>COST OF GOODS SOLD</v>
      </c>
      <c r="L496" s="255"/>
      <c r="M496" s="255"/>
      <c r="N496" s="255"/>
      <c r="O496" s="265"/>
      <c r="P496" s="260"/>
      <c r="Q496" s="260"/>
      <c r="R496" s="260"/>
      <c r="S496" s="630"/>
      <c r="T496" s="630"/>
      <c r="U496" s="630"/>
      <c r="V496" s="630"/>
      <c r="W496" s="260"/>
      <c r="X496" s="260"/>
      <c r="Y496" s="260"/>
      <c r="Z496" s="260"/>
      <c r="AA496" s="260"/>
      <c r="AB496" s="260"/>
      <c r="AC496" s="265"/>
      <c r="AD496" s="634"/>
      <c r="AE496" s="264">
        <f t="shared" ref="AE496:AH496" si="1124">AE472*($S472*$P472+$T472*$Q472+$U472*$R472)</f>
        <v>0</v>
      </c>
      <c r="AF496" s="264">
        <f t="shared" si="1124"/>
        <v>0</v>
      </c>
      <c r="AG496" s="264">
        <f t="shared" si="1124"/>
        <v>0</v>
      </c>
      <c r="AH496" s="264">
        <f t="shared" si="1124"/>
        <v>0</v>
      </c>
      <c r="AI496" s="264">
        <f t="shared" si="1114"/>
        <v>0</v>
      </c>
      <c r="AJ496" s="264">
        <f t="shared" si="1115"/>
        <v>0</v>
      </c>
      <c r="AK496" s="264">
        <f t="shared" si="1116"/>
        <v>0</v>
      </c>
      <c r="AL496" s="264">
        <f t="shared" si="1117"/>
        <v>0</v>
      </c>
      <c r="AM496" s="264">
        <f t="shared" si="1118"/>
        <v>0</v>
      </c>
      <c r="AN496" s="640">
        <f t="shared" si="1119"/>
        <v>0</v>
      </c>
      <c r="AO496" s="264">
        <f t="shared" si="1120"/>
        <v>0</v>
      </c>
      <c r="AP496" s="640">
        <f t="shared" si="1121"/>
        <v>0</v>
      </c>
      <c r="AQ496" s="264"/>
      <c r="AR496" s="264" t="str">
        <f>VLOOKUP($I496,TableInputsData[],ReadMe!$M$3,FALSE)&amp;"  |  "&amp;VLOOKUP($K496,TableInputsData[],ReadMe!$M$3,FALSE)</f>
        <v>PRODUIT 12  |  DEPENSES SUR ACHATS</v>
      </c>
      <c r="AS496" s="264" t="b">
        <f t="shared" si="1122"/>
        <v>1</v>
      </c>
      <c r="AT496" s="294"/>
    </row>
    <row r="497" spans="1:46" ht="13" hidden="1" x14ac:dyDescent="0.2">
      <c r="A497" s="294"/>
      <c r="B497" s="925"/>
      <c r="C497" s="271">
        <v>490</v>
      </c>
      <c r="D497" s="250">
        <f t="shared" si="1056"/>
        <v>0</v>
      </c>
      <c r="E497" s="250"/>
      <c r="F497" s="248" t="str">
        <f t="shared" si="1111"/>
        <v>CURRENT YEAR</v>
      </c>
      <c r="G497" s="250">
        <f>VLOOKUP(F497,TableInputsData[],$G$6,FALSE)</f>
        <v>2025</v>
      </c>
      <c r="H497" s="250" t="str">
        <f t="shared" ref="H497:I497" si="1125">H496</f>
        <v>PRODUCT</v>
      </c>
      <c r="I497" s="248" t="str">
        <f t="shared" si="1125"/>
        <v>PRODUCT 12</v>
      </c>
      <c r="J497" s="248" t="str">
        <f>VLOOKUP(I497,TableInputsData[],$J$6,FALSE)</f>
        <v>-</v>
      </c>
      <c r="K497" s="248" t="str">
        <f t="shared" ref="K497:K502" si="1126">K496</f>
        <v>COST OF GOODS SOLD</v>
      </c>
      <c r="L497" s="255"/>
      <c r="M497" s="255"/>
      <c r="N497" s="255"/>
      <c r="O497" s="265"/>
      <c r="P497" s="260"/>
      <c r="Q497" s="260"/>
      <c r="R497" s="260"/>
      <c r="S497" s="630"/>
      <c r="T497" s="630"/>
      <c r="U497" s="630"/>
      <c r="V497" s="630"/>
      <c r="W497" s="260"/>
      <c r="X497" s="260"/>
      <c r="Y497" s="260"/>
      <c r="Z497" s="260"/>
      <c r="AA497" s="260"/>
      <c r="AB497" s="260"/>
      <c r="AC497" s="265"/>
      <c r="AD497" s="634"/>
      <c r="AE497" s="264">
        <f t="shared" ref="AE497:AH497" si="1127">AE473*($S473*$P473+$T473*$Q473+$U473*$R473)</f>
        <v>0</v>
      </c>
      <c r="AF497" s="264">
        <f t="shared" si="1127"/>
        <v>0</v>
      </c>
      <c r="AG497" s="264">
        <f t="shared" si="1127"/>
        <v>0</v>
      </c>
      <c r="AH497" s="264">
        <f t="shared" si="1127"/>
        <v>0</v>
      </c>
      <c r="AI497" s="264">
        <f t="shared" si="1114"/>
        <v>0</v>
      </c>
      <c r="AJ497" s="264">
        <f t="shared" si="1115"/>
        <v>0</v>
      </c>
      <c r="AK497" s="264">
        <f t="shared" si="1116"/>
        <v>0</v>
      </c>
      <c r="AL497" s="264">
        <f t="shared" si="1117"/>
        <v>0</v>
      </c>
      <c r="AM497" s="264">
        <f t="shared" si="1118"/>
        <v>0</v>
      </c>
      <c r="AN497" s="640">
        <f t="shared" si="1119"/>
        <v>0</v>
      </c>
      <c r="AO497" s="264">
        <f t="shared" si="1120"/>
        <v>0</v>
      </c>
      <c r="AP497" s="640">
        <f t="shared" si="1121"/>
        <v>0</v>
      </c>
      <c r="AQ497" s="264"/>
      <c r="AR497" s="264" t="str">
        <f>VLOOKUP($I497,TableInputsData[],ReadMe!$M$3,FALSE)&amp;"  |  "&amp;VLOOKUP($K497,TableInputsData[],ReadMe!$M$3,FALSE)</f>
        <v>PRODUIT 12  |  DEPENSES SUR ACHATS</v>
      </c>
      <c r="AS497" s="264" t="b">
        <f t="shared" si="1122"/>
        <v>1</v>
      </c>
      <c r="AT497" s="294"/>
    </row>
    <row r="498" spans="1:46" ht="13" hidden="1" x14ac:dyDescent="0.2">
      <c r="A498" s="294"/>
      <c r="B498" s="925"/>
      <c r="C498" s="271">
        <v>491</v>
      </c>
      <c r="D498" s="250">
        <f t="shared" si="1056"/>
        <v>0</v>
      </c>
      <c r="E498" s="250"/>
      <c r="F498" s="248" t="str">
        <f t="shared" si="1111"/>
        <v>YEAR2</v>
      </c>
      <c r="G498" s="250">
        <f>VLOOKUP(F498,TableInputsData[],$G$6,FALSE)</f>
        <v>2026</v>
      </c>
      <c r="H498" s="250" t="str">
        <f t="shared" ref="H498:I498" si="1128">H497</f>
        <v>PRODUCT</v>
      </c>
      <c r="I498" s="248" t="str">
        <f t="shared" si="1128"/>
        <v>PRODUCT 12</v>
      </c>
      <c r="J498" s="248" t="str">
        <f>VLOOKUP(I498,TableInputsData[],$J$6,FALSE)</f>
        <v>-</v>
      </c>
      <c r="K498" s="248" t="str">
        <f t="shared" si="1126"/>
        <v>COST OF GOODS SOLD</v>
      </c>
      <c r="L498" s="255"/>
      <c r="M498" s="255"/>
      <c r="N498" s="255"/>
      <c r="O498" s="265"/>
      <c r="P498" s="260"/>
      <c r="Q498" s="260"/>
      <c r="R498" s="260"/>
      <c r="S498" s="630"/>
      <c r="T498" s="630"/>
      <c r="U498" s="630"/>
      <c r="V498" s="630"/>
      <c r="W498" s="260"/>
      <c r="X498" s="260"/>
      <c r="Y498" s="260"/>
      <c r="Z498" s="260"/>
      <c r="AA498" s="260"/>
      <c r="AB498" s="260"/>
      <c r="AC498" s="265"/>
      <c r="AD498" s="634"/>
      <c r="AE498" s="264">
        <f t="shared" ref="AE498:AH498" si="1129">AE474*($S474*$P474+$T474*$Q474+$U474*$R474)</f>
        <v>0</v>
      </c>
      <c r="AF498" s="264">
        <f t="shared" si="1129"/>
        <v>0</v>
      </c>
      <c r="AG498" s="264">
        <f t="shared" si="1129"/>
        <v>0</v>
      </c>
      <c r="AH498" s="264">
        <f t="shared" si="1129"/>
        <v>0</v>
      </c>
      <c r="AI498" s="264">
        <f t="shared" si="1114"/>
        <v>0</v>
      </c>
      <c r="AJ498" s="264">
        <f t="shared" si="1115"/>
        <v>0</v>
      </c>
      <c r="AK498" s="264">
        <f t="shared" si="1116"/>
        <v>0</v>
      </c>
      <c r="AL498" s="264">
        <f t="shared" si="1117"/>
        <v>0</v>
      </c>
      <c r="AM498" s="264">
        <f t="shared" si="1118"/>
        <v>0</v>
      </c>
      <c r="AN498" s="640">
        <f t="shared" si="1119"/>
        <v>0</v>
      </c>
      <c r="AO498" s="264">
        <f t="shared" si="1120"/>
        <v>0</v>
      </c>
      <c r="AP498" s="640">
        <f t="shared" si="1121"/>
        <v>0</v>
      </c>
      <c r="AQ498" s="264"/>
      <c r="AR498" s="264" t="str">
        <f>VLOOKUP($I498,TableInputsData[],ReadMe!$M$3,FALSE)&amp;"  |  "&amp;VLOOKUP($K498,TableInputsData[],ReadMe!$M$3,FALSE)</f>
        <v>PRODUIT 12  |  DEPENSES SUR ACHATS</v>
      </c>
      <c r="AS498" s="264" t="b">
        <f t="shared" si="1122"/>
        <v>1</v>
      </c>
      <c r="AT498" s="294"/>
    </row>
    <row r="499" spans="1:46" ht="13" hidden="1" x14ac:dyDescent="0.2">
      <c r="A499" s="294"/>
      <c r="B499" s="925"/>
      <c r="C499" s="271">
        <v>492</v>
      </c>
      <c r="D499" s="250">
        <f t="shared" si="1056"/>
        <v>0</v>
      </c>
      <c r="E499" s="250"/>
      <c r="F499" s="248" t="str">
        <f t="shared" si="1111"/>
        <v>YEAR3</v>
      </c>
      <c r="G499" s="250">
        <f>VLOOKUP(F499,TableInputsData[],$G$6,FALSE)</f>
        <v>2027</v>
      </c>
      <c r="H499" s="250" t="str">
        <f t="shared" ref="H499:I499" si="1130">H498</f>
        <v>PRODUCT</v>
      </c>
      <c r="I499" s="248" t="str">
        <f t="shared" si="1130"/>
        <v>PRODUCT 12</v>
      </c>
      <c r="J499" s="248" t="str">
        <f>VLOOKUP(I499,TableInputsData[],$J$6,FALSE)</f>
        <v>-</v>
      </c>
      <c r="K499" s="248" t="str">
        <f t="shared" si="1126"/>
        <v>COST OF GOODS SOLD</v>
      </c>
      <c r="L499" s="255"/>
      <c r="M499" s="255"/>
      <c r="N499" s="255"/>
      <c r="O499" s="265"/>
      <c r="P499" s="260"/>
      <c r="Q499" s="260"/>
      <c r="R499" s="260"/>
      <c r="S499" s="630"/>
      <c r="T499" s="630"/>
      <c r="U499" s="630"/>
      <c r="V499" s="630"/>
      <c r="W499" s="260"/>
      <c r="X499" s="260"/>
      <c r="Y499" s="260"/>
      <c r="Z499" s="260"/>
      <c r="AA499" s="260"/>
      <c r="AB499" s="260"/>
      <c r="AC499" s="265"/>
      <c r="AD499" s="634"/>
      <c r="AE499" s="264">
        <f t="shared" ref="AE499:AH499" si="1131">AE475*($S475*$P475+$T475*$Q475+$U475*$R475)</f>
        <v>0</v>
      </c>
      <c r="AF499" s="264">
        <f t="shared" si="1131"/>
        <v>0</v>
      </c>
      <c r="AG499" s="264">
        <f t="shared" si="1131"/>
        <v>0</v>
      </c>
      <c r="AH499" s="264">
        <f t="shared" si="1131"/>
        <v>0</v>
      </c>
      <c r="AI499" s="264">
        <f t="shared" si="1114"/>
        <v>0</v>
      </c>
      <c r="AJ499" s="264">
        <f t="shared" si="1115"/>
        <v>0</v>
      </c>
      <c r="AK499" s="264">
        <f t="shared" si="1116"/>
        <v>0</v>
      </c>
      <c r="AL499" s="264">
        <f t="shared" si="1117"/>
        <v>0</v>
      </c>
      <c r="AM499" s="264">
        <f t="shared" si="1118"/>
        <v>0</v>
      </c>
      <c r="AN499" s="640">
        <f t="shared" si="1119"/>
        <v>0</v>
      </c>
      <c r="AO499" s="264">
        <f t="shared" si="1120"/>
        <v>0</v>
      </c>
      <c r="AP499" s="640">
        <f t="shared" si="1121"/>
        <v>0</v>
      </c>
      <c r="AQ499" s="264"/>
      <c r="AR499" s="264" t="str">
        <f>VLOOKUP($I499,TableInputsData[],ReadMe!$M$3,FALSE)&amp;"  |  "&amp;VLOOKUP($K499,TableInputsData[],ReadMe!$M$3,FALSE)</f>
        <v>PRODUIT 12  |  DEPENSES SUR ACHATS</v>
      </c>
      <c r="AS499" s="264" t="b">
        <f t="shared" si="1122"/>
        <v>1</v>
      </c>
      <c r="AT499" s="294"/>
    </row>
    <row r="500" spans="1:46" ht="13" hidden="1" x14ac:dyDescent="0.2">
      <c r="A500" s="294"/>
      <c r="B500" s="925"/>
      <c r="C500" s="271">
        <v>493</v>
      </c>
      <c r="D500" s="250">
        <f t="shared" si="1056"/>
        <v>0</v>
      </c>
      <c r="E500" s="250"/>
      <c r="F500" s="248" t="str">
        <f t="shared" si="1111"/>
        <v>YEAR4</v>
      </c>
      <c r="G500" s="250">
        <f>VLOOKUP(F500,TableInputsData[],$G$6,FALSE)</f>
        <v>2028</v>
      </c>
      <c r="H500" s="250" t="str">
        <f t="shared" ref="H500:I500" si="1132">H499</f>
        <v>PRODUCT</v>
      </c>
      <c r="I500" s="248" t="str">
        <f t="shared" si="1132"/>
        <v>PRODUCT 12</v>
      </c>
      <c r="J500" s="248" t="str">
        <f>VLOOKUP(I500,TableInputsData[],$J$6,FALSE)</f>
        <v>-</v>
      </c>
      <c r="K500" s="248" t="str">
        <f t="shared" si="1126"/>
        <v>COST OF GOODS SOLD</v>
      </c>
      <c r="L500" s="255"/>
      <c r="M500" s="255"/>
      <c r="N500" s="255"/>
      <c r="O500" s="265"/>
      <c r="P500" s="260"/>
      <c r="Q500" s="260"/>
      <c r="R500" s="260"/>
      <c r="S500" s="630"/>
      <c r="T500" s="630"/>
      <c r="U500" s="630"/>
      <c r="V500" s="630"/>
      <c r="W500" s="260"/>
      <c r="X500" s="260"/>
      <c r="Y500" s="260"/>
      <c r="Z500" s="260"/>
      <c r="AA500" s="260"/>
      <c r="AB500" s="260"/>
      <c r="AC500" s="265"/>
      <c r="AD500" s="634"/>
      <c r="AE500" s="264">
        <f t="shared" ref="AE500:AH500" si="1133">AE476*($S476*$P476+$T476*$Q476+$U476*$R476)</f>
        <v>0</v>
      </c>
      <c r="AF500" s="264">
        <f t="shared" si="1133"/>
        <v>0</v>
      </c>
      <c r="AG500" s="264">
        <f t="shared" si="1133"/>
        <v>0</v>
      </c>
      <c r="AH500" s="264">
        <f t="shared" si="1133"/>
        <v>0</v>
      </c>
      <c r="AI500" s="264">
        <f t="shared" si="1114"/>
        <v>0</v>
      </c>
      <c r="AJ500" s="264">
        <f t="shared" si="1115"/>
        <v>0</v>
      </c>
      <c r="AK500" s="264">
        <f t="shared" si="1116"/>
        <v>0</v>
      </c>
      <c r="AL500" s="264">
        <f t="shared" si="1117"/>
        <v>0</v>
      </c>
      <c r="AM500" s="264">
        <f t="shared" si="1118"/>
        <v>0</v>
      </c>
      <c r="AN500" s="640">
        <f t="shared" si="1119"/>
        <v>0</v>
      </c>
      <c r="AO500" s="264">
        <f t="shared" si="1120"/>
        <v>0</v>
      </c>
      <c r="AP500" s="640">
        <f t="shared" si="1121"/>
        <v>0</v>
      </c>
      <c r="AQ500" s="264"/>
      <c r="AR500" s="264" t="str">
        <f>VLOOKUP($I500,TableInputsData[],ReadMe!$M$3,FALSE)&amp;"  |  "&amp;VLOOKUP($K500,TableInputsData[],ReadMe!$M$3,FALSE)</f>
        <v>PRODUIT 12  |  DEPENSES SUR ACHATS</v>
      </c>
      <c r="AS500" s="264" t="b">
        <f t="shared" si="1122"/>
        <v>1</v>
      </c>
      <c r="AT500" s="294"/>
    </row>
    <row r="501" spans="1:46" ht="13" hidden="1" x14ac:dyDescent="0.2">
      <c r="A501" s="294"/>
      <c r="B501" s="925"/>
      <c r="C501" s="271">
        <v>494</v>
      </c>
      <c r="D501" s="250">
        <f t="shared" si="1056"/>
        <v>0</v>
      </c>
      <c r="E501" s="250"/>
      <c r="F501" s="248" t="str">
        <f t="shared" si="1111"/>
        <v>YEAR5</v>
      </c>
      <c r="G501" s="250">
        <f>VLOOKUP(F501,TableInputsData[],$G$6,FALSE)</f>
        <v>2029</v>
      </c>
      <c r="H501" s="250" t="str">
        <f t="shared" ref="H501:I501" si="1134">H500</f>
        <v>PRODUCT</v>
      </c>
      <c r="I501" s="248" t="str">
        <f t="shared" si="1134"/>
        <v>PRODUCT 12</v>
      </c>
      <c r="J501" s="248" t="str">
        <f>VLOOKUP(I501,TableInputsData[],$J$6,FALSE)</f>
        <v>-</v>
      </c>
      <c r="K501" s="248" t="str">
        <f t="shared" si="1126"/>
        <v>COST OF GOODS SOLD</v>
      </c>
      <c r="L501" s="255"/>
      <c r="M501" s="255"/>
      <c r="N501" s="255"/>
      <c r="O501" s="265"/>
      <c r="P501" s="260"/>
      <c r="Q501" s="260"/>
      <c r="R501" s="260"/>
      <c r="S501" s="630"/>
      <c r="T501" s="630"/>
      <c r="U501" s="630"/>
      <c r="V501" s="630"/>
      <c r="W501" s="260"/>
      <c r="X501" s="260"/>
      <c r="Y501" s="260"/>
      <c r="Z501" s="260"/>
      <c r="AA501" s="260"/>
      <c r="AB501" s="260"/>
      <c r="AC501" s="265"/>
      <c r="AD501" s="634"/>
      <c r="AE501" s="264">
        <f t="shared" ref="AE501:AH501" si="1135">AE477*($S477*$P477+$T477*$Q477+$U477*$R477)</f>
        <v>0</v>
      </c>
      <c r="AF501" s="264">
        <f t="shared" si="1135"/>
        <v>0</v>
      </c>
      <c r="AG501" s="264">
        <f t="shared" si="1135"/>
        <v>0</v>
      </c>
      <c r="AH501" s="264">
        <f t="shared" si="1135"/>
        <v>0</v>
      </c>
      <c r="AI501" s="264">
        <f t="shared" si="1114"/>
        <v>0</v>
      </c>
      <c r="AJ501" s="264">
        <f t="shared" si="1115"/>
        <v>0</v>
      </c>
      <c r="AK501" s="264">
        <f t="shared" si="1116"/>
        <v>0</v>
      </c>
      <c r="AL501" s="264">
        <f t="shared" si="1117"/>
        <v>0</v>
      </c>
      <c r="AM501" s="264">
        <f t="shared" si="1118"/>
        <v>0</v>
      </c>
      <c r="AN501" s="640">
        <f t="shared" si="1119"/>
        <v>0</v>
      </c>
      <c r="AO501" s="264">
        <f t="shared" si="1120"/>
        <v>0</v>
      </c>
      <c r="AP501" s="640">
        <f t="shared" si="1121"/>
        <v>0</v>
      </c>
      <c r="AQ501" s="264"/>
      <c r="AR501" s="264" t="str">
        <f>VLOOKUP($I501,TableInputsData[],ReadMe!$M$3,FALSE)&amp;"  |  "&amp;VLOOKUP($K501,TableInputsData[],ReadMe!$M$3,FALSE)</f>
        <v>PRODUIT 12  |  DEPENSES SUR ACHATS</v>
      </c>
      <c r="AS501" s="264" t="b">
        <f t="shared" si="1122"/>
        <v>1</v>
      </c>
      <c r="AT501" s="294"/>
    </row>
    <row r="502" spans="1:46" ht="13" hidden="1" x14ac:dyDescent="0.2">
      <c r="A502" s="294"/>
      <c r="B502" s="925"/>
      <c r="C502" s="271">
        <v>495</v>
      </c>
      <c r="D502" s="250">
        <f t="shared" si="1056"/>
        <v>0</v>
      </c>
      <c r="E502" s="250"/>
      <c r="F502" s="248" t="str">
        <f t="shared" si="1111"/>
        <v>YEAR6</v>
      </c>
      <c r="G502" s="250">
        <f>VLOOKUP(F502,TableInputsData[],$G$6,FALSE)</f>
        <v>2030</v>
      </c>
      <c r="H502" s="250" t="str">
        <f t="shared" ref="H502:I502" si="1136">H501</f>
        <v>PRODUCT</v>
      </c>
      <c r="I502" s="248" t="str">
        <f t="shared" si="1136"/>
        <v>PRODUCT 12</v>
      </c>
      <c r="J502" s="248" t="str">
        <f>VLOOKUP(I502,TableInputsData[],$J$6,FALSE)</f>
        <v>-</v>
      </c>
      <c r="K502" s="248" t="str">
        <f t="shared" si="1126"/>
        <v>COST OF GOODS SOLD</v>
      </c>
      <c r="L502" s="255"/>
      <c r="M502" s="255"/>
      <c r="N502" s="255"/>
      <c r="O502" s="265"/>
      <c r="P502" s="260"/>
      <c r="Q502" s="260"/>
      <c r="R502" s="260"/>
      <c r="S502" s="630"/>
      <c r="T502" s="630"/>
      <c r="U502" s="630"/>
      <c r="V502" s="630"/>
      <c r="W502" s="260"/>
      <c r="X502" s="260"/>
      <c r="Y502" s="260"/>
      <c r="Z502" s="260"/>
      <c r="AA502" s="260"/>
      <c r="AB502" s="260"/>
      <c r="AC502" s="265"/>
      <c r="AD502" s="634"/>
      <c r="AE502" s="264">
        <f t="shared" ref="AE502:AH502" si="1137">AE478*($S478*$P478+$T478*$Q478+$U478*$R478)</f>
        <v>0</v>
      </c>
      <c r="AF502" s="264">
        <f t="shared" si="1137"/>
        <v>0</v>
      </c>
      <c r="AG502" s="264">
        <f t="shared" si="1137"/>
        <v>0</v>
      </c>
      <c r="AH502" s="264">
        <f t="shared" si="1137"/>
        <v>0</v>
      </c>
      <c r="AI502" s="264">
        <f t="shared" si="1114"/>
        <v>0</v>
      </c>
      <c r="AJ502" s="264">
        <f t="shared" si="1115"/>
        <v>0</v>
      </c>
      <c r="AK502" s="264">
        <f t="shared" si="1116"/>
        <v>0</v>
      </c>
      <c r="AL502" s="264">
        <f t="shared" si="1117"/>
        <v>0</v>
      </c>
      <c r="AM502" s="264">
        <f t="shared" si="1118"/>
        <v>0</v>
      </c>
      <c r="AN502" s="640">
        <f t="shared" si="1119"/>
        <v>0</v>
      </c>
      <c r="AO502" s="264">
        <f t="shared" si="1120"/>
        <v>0</v>
      </c>
      <c r="AP502" s="640">
        <f t="shared" si="1121"/>
        <v>0</v>
      </c>
      <c r="AQ502" s="264"/>
      <c r="AR502" s="264" t="str">
        <f>VLOOKUP($I502,TableInputsData[],ReadMe!$M$3,FALSE)&amp;"  |  "&amp;VLOOKUP($K502,TableInputsData[],ReadMe!$M$3,FALSE)</f>
        <v>PRODUIT 12  |  DEPENSES SUR ACHATS</v>
      </c>
      <c r="AS502" s="264" t="b">
        <f t="shared" si="1122"/>
        <v>1</v>
      </c>
      <c r="AT502" s="294"/>
    </row>
    <row r="503" spans="1:46" ht="13" hidden="1" x14ac:dyDescent="0.2">
      <c r="A503" s="294"/>
      <c r="B503" s="925"/>
      <c r="C503" s="272">
        <v>496</v>
      </c>
      <c r="D503" s="250">
        <f t="shared" si="1056"/>
        <v>0</v>
      </c>
      <c r="E503" s="251"/>
      <c r="F503" s="248" t="str">
        <f t="shared" ref="F503:F510" si="1138">F479</f>
        <v>YEAR-2</v>
      </c>
      <c r="G503" s="250">
        <f>VLOOKUP(F503,TableInputsData[],$G$6,FALSE)</f>
        <v>2023</v>
      </c>
      <c r="H503" s="250" t="str">
        <f t="shared" ref="H503:I503" si="1139">H502</f>
        <v>PRODUCT</v>
      </c>
      <c r="I503" s="248" t="str">
        <f t="shared" si="1139"/>
        <v>PRODUCT 12</v>
      </c>
      <c r="J503" s="248" t="str">
        <f>VLOOKUP(I503,TableInputsData[],$J$6,FALSE)</f>
        <v>-</v>
      </c>
      <c r="K503" s="248" t="s">
        <v>532</v>
      </c>
      <c r="L503" s="256"/>
      <c r="M503" s="256"/>
      <c r="N503" s="256"/>
      <c r="O503" s="266"/>
      <c r="P503" s="261"/>
      <c r="Q503" s="261"/>
      <c r="R503" s="261"/>
      <c r="S503" s="629"/>
      <c r="T503" s="629"/>
      <c r="U503" s="629"/>
      <c r="V503" s="629"/>
      <c r="W503" s="261"/>
      <c r="X503" s="261"/>
      <c r="Y503" s="261"/>
      <c r="Z503" s="261"/>
      <c r="AA503" s="261"/>
      <c r="AB503" s="261"/>
      <c r="AC503" s="266"/>
      <c r="AD503" s="633"/>
      <c r="AE503" s="264">
        <f>IF(AE471=0,0,AE495/AE471)</f>
        <v>0</v>
      </c>
      <c r="AF503" s="264">
        <f t="shared" ref="AF503:AI503" si="1140">IF(AF471=0,0,AF495/AF471)</f>
        <v>0</v>
      </c>
      <c r="AG503" s="264">
        <f t="shared" si="1140"/>
        <v>0</v>
      </c>
      <c r="AH503" s="264">
        <f t="shared" si="1140"/>
        <v>0</v>
      </c>
      <c r="AI503" s="264">
        <f t="shared" si="1140"/>
        <v>0</v>
      </c>
      <c r="AJ503" s="264">
        <f>IF(AJ471=0,0,AJ495/AJ471)</f>
        <v>0</v>
      </c>
      <c r="AK503" s="264">
        <f t="shared" ref="AK503:AL503" si="1141">IF(AK471=0,0,AK495/AK471)</f>
        <v>0</v>
      </c>
      <c r="AL503" s="264">
        <f t="shared" si="1141"/>
        <v>0</v>
      </c>
      <c r="AM503" s="264">
        <f>IF(AM471=0,0,AM495/AM471)</f>
        <v>0</v>
      </c>
      <c r="AN503" s="260"/>
      <c r="AO503" s="264">
        <f t="shared" ref="AO503" si="1142">IF(AO471=0,0,AO495/AO471)</f>
        <v>0</v>
      </c>
      <c r="AP503" s="260"/>
      <c r="AQ503" s="264"/>
      <c r="AR503" s="264" t="str">
        <f>VLOOKUP($I503,TableInputsData[],ReadMe!$M$3,FALSE)&amp;"  |  "&amp;VLOOKUP($K503,TableInputsData[],ReadMe!$M$3,FALSE)</f>
        <v>PRODUIT 12  |  PRIX MOYEN D'ACHAT PAR PRODUIT/SERVICE</v>
      </c>
      <c r="AS503" s="264"/>
      <c r="AT503" s="294"/>
    </row>
    <row r="504" spans="1:46" ht="13" hidden="1" x14ac:dyDescent="0.2">
      <c r="A504" s="294"/>
      <c r="B504" s="925"/>
      <c r="C504" s="272">
        <v>497</v>
      </c>
      <c r="D504" s="250">
        <f t="shared" si="1056"/>
        <v>0</v>
      </c>
      <c r="E504" s="251"/>
      <c r="F504" s="248" t="str">
        <f t="shared" si="1138"/>
        <v>YEAR-1</v>
      </c>
      <c r="G504" s="250">
        <f>VLOOKUP(F504,TableInputsData[],$G$6,FALSE)</f>
        <v>2024</v>
      </c>
      <c r="H504" s="250" t="str">
        <f t="shared" ref="H504:I504" si="1143">H503</f>
        <v>PRODUCT</v>
      </c>
      <c r="I504" s="248" t="str">
        <f t="shared" si="1143"/>
        <v>PRODUCT 12</v>
      </c>
      <c r="J504" s="248" t="str">
        <f>VLOOKUP(I504,TableInputsData[],$J$6,FALSE)</f>
        <v>-</v>
      </c>
      <c r="K504" s="248" t="str">
        <f>K503</f>
        <v>AVERAGE COST OF GOODS SOLD PER UNIT</v>
      </c>
      <c r="L504" s="256"/>
      <c r="M504" s="256"/>
      <c r="N504" s="256"/>
      <c r="O504" s="266"/>
      <c r="P504" s="261"/>
      <c r="Q504" s="261"/>
      <c r="R504" s="261"/>
      <c r="S504" s="629"/>
      <c r="T504" s="629"/>
      <c r="U504" s="629"/>
      <c r="V504" s="629"/>
      <c r="W504" s="261"/>
      <c r="X504" s="261"/>
      <c r="Y504" s="261"/>
      <c r="Z504" s="261"/>
      <c r="AA504" s="261"/>
      <c r="AB504" s="261"/>
      <c r="AC504" s="266"/>
      <c r="AD504" s="633"/>
      <c r="AE504" s="264">
        <f t="shared" ref="AE504:AL504" si="1144">IF(AE472=0,0,AE496/AE472)</f>
        <v>0</v>
      </c>
      <c r="AF504" s="264">
        <f t="shared" si="1144"/>
        <v>0</v>
      </c>
      <c r="AG504" s="264">
        <f t="shared" si="1144"/>
        <v>0</v>
      </c>
      <c r="AH504" s="264">
        <f t="shared" si="1144"/>
        <v>0</v>
      </c>
      <c r="AI504" s="264">
        <f t="shared" si="1144"/>
        <v>0</v>
      </c>
      <c r="AJ504" s="264">
        <f t="shared" si="1144"/>
        <v>0</v>
      </c>
      <c r="AK504" s="264">
        <f t="shared" si="1144"/>
        <v>0</v>
      </c>
      <c r="AL504" s="264">
        <f t="shared" si="1144"/>
        <v>0</v>
      </c>
      <c r="AM504" s="264">
        <f>IF(AM472=0,0,AM496/AM472)</f>
        <v>0</v>
      </c>
      <c r="AN504" s="260"/>
      <c r="AO504" s="264">
        <f>IF(AO472=0,0,AO496/AO472)</f>
        <v>0</v>
      </c>
      <c r="AP504" s="260"/>
      <c r="AQ504" s="264"/>
      <c r="AR504" s="264" t="str">
        <f>VLOOKUP($I504,TableInputsData[],ReadMe!$M$3,FALSE)&amp;"  |  "&amp;VLOOKUP($K504,TableInputsData[],ReadMe!$M$3,FALSE)</f>
        <v>PRODUIT 12  |  PRIX MOYEN D'ACHAT PAR PRODUIT/SERVICE</v>
      </c>
      <c r="AS504" s="264"/>
      <c r="AT504" s="294"/>
    </row>
    <row r="505" spans="1:46" ht="13" hidden="1" x14ac:dyDescent="0.2">
      <c r="A505" s="294"/>
      <c r="B505" s="925"/>
      <c r="C505" s="272">
        <v>498</v>
      </c>
      <c r="D505" s="250">
        <f t="shared" si="1056"/>
        <v>0</v>
      </c>
      <c r="E505" s="251"/>
      <c r="F505" s="248" t="str">
        <f t="shared" si="1138"/>
        <v>CURRENT YEAR</v>
      </c>
      <c r="G505" s="250">
        <f>VLOOKUP(F505,TableInputsData[],$G$6,FALSE)</f>
        <v>2025</v>
      </c>
      <c r="H505" s="250" t="str">
        <f t="shared" ref="H505:I505" si="1145">H504</f>
        <v>PRODUCT</v>
      </c>
      <c r="I505" s="248" t="str">
        <f t="shared" si="1145"/>
        <v>PRODUCT 12</v>
      </c>
      <c r="J505" s="248" t="str">
        <f>VLOOKUP(I505,TableInputsData[],$J$6,FALSE)</f>
        <v>-</v>
      </c>
      <c r="K505" s="248" t="str">
        <f t="shared" ref="K505:K510" si="1146">K504</f>
        <v>AVERAGE COST OF GOODS SOLD PER UNIT</v>
      </c>
      <c r="L505" s="256"/>
      <c r="M505" s="256"/>
      <c r="N505" s="256"/>
      <c r="O505" s="266"/>
      <c r="P505" s="261"/>
      <c r="Q505" s="261"/>
      <c r="R505" s="261"/>
      <c r="S505" s="629"/>
      <c r="T505" s="629"/>
      <c r="U505" s="629"/>
      <c r="V505" s="629"/>
      <c r="W505" s="261"/>
      <c r="X505" s="261"/>
      <c r="Y505" s="261"/>
      <c r="Z505" s="261"/>
      <c r="AA505" s="261"/>
      <c r="AB505" s="261"/>
      <c r="AC505" s="266"/>
      <c r="AD505" s="633"/>
      <c r="AE505" s="264">
        <f t="shared" ref="AE505:AL505" si="1147">IF(AE473=0,0,AE497/AE473)</f>
        <v>0</v>
      </c>
      <c r="AF505" s="264">
        <f t="shared" si="1147"/>
        <v>0</v>
      </c>
      <c r="AG505" s="264">
        <f t="shared" si="1147"/>
        <v>0</v>
      </c>
      <c r="AH505" s="264">
        <f t="shared" si="1147"/>
        <v>0</v>
      </c>
      <c r="AI505" s="264">
        <f t="shared" si="1147"/>
        <v>0</v>
      </c>
      <c r="AJ505" s="264">
        <f t="shared" si="1147"/>
        <v>0</v>
      </c>
      <c r="AK505" s="264">
        <f t="shared" si="1147"/>
        <v>0</v>
      </c>
      <c r="AL505" s="264">
        <f t="shared" si="1147"/>
        <v>0</v>
      </c>
      <c r="AM505" s="264">
        <f>IF(AM473=0,0,AM497/AM473)</f>
        <v>0</v>
      </c>
      <c r="AN505" s="260"/>
      <c r="AO505" s="264">
        <f>IF(AO473=0,0,AO497/AO473)</f>
        <v>0</v>
      </c>
      <c r="AP505" s="260"/>
      <c r="AQ505" s="264"/>
      <c r="AR505" s="264" t="str">
        <f>VLOOKUP($I505,TableInputsData[],ReadMe!$M$3,FALSE)&amp;"  |  "&amp;VLOOKUP($K505,TableInputsData[],ReadMe!$M$3,FALSE)</f>
        <v>PRODUIT 12  |  PRIX MOYEN D'ACHAT PAR PRODUIT/SERVICE</v>
      </c>
      <c r="AS505" s="264"/>
      <c r="AT505" s="294"/>
    </row>
    <row r="506" spans="1:46" ht="13" hidden="1" x14ac:dyDescent="0.2">
      <c r="A506" s="294"/>
      <c r="B506" s="925"/>
      <c r="C506" s="272">
        <v>499</v>
      </c>
      <c r="D506" s="250">
        <f t="shared" si="1056"/>
        <v>0</v>
      </c>
      <c r="E506" s="251"/>
      <c r="F506" s="248" t="str">
        <f t="shared" si="1138"/>
        <v>YEAR2</v>
      </c>
      <c r="G506" s="250">
        <f>VLOOKUP(F506,TableInputsData[],$G$6,FALSE)</f>
        <v>2026</v>
      </c>
      <c r="H506" s="250" t="str">
        <f t="shared" ref="H506:I506" si="1148">H505</f>
        <v>PRODUCT</v>
      </c>
      <c r="I506" s="248" t="str">
        <f t="shared" si="1148"/>
        <v>PRODUCT 12</v>
      </c>
      <c r="J506" s="248" t="str">
        <f>VLOOKUP(I506,TableInputsData[],$J$6,FALSE)</f>
        <v>-</v>
      </c>
      <c r="K506" s="248" t="str">
        <f t="shared" si="1146"/>
        <v>AVERAGE COST OF GOODS SOLD PER UNIT</v>
      </c>
      <c r="L506" s="256"/>
      <c r="M506" s="256"/>
      <c r="N506" s="256"/>
      <c r="O506" s="266"/>
      <c r="P506" s="261"/>
      <c r="Q506" s="261"/>
      <c r="R506" s="261"/>
      <c r="S506" s="629"/>
      <c r="T506" s="629"/>
      <c r="U506" s="629"/>
      <c r="V506" s="629"/>
      <c r="W506" s="261"/>
      <c r="X506" s="261"/>
      <c r="Y506" s="261"/>
      <c r="Z506" s="261"/>
      <c r="AA506" s="261"/>
      <c r="AB506" s="261"/>
      <c r="AC506" s="266"/>
      <c r="AD506" s="633"/>
      <c r="AE506" s="264">
        <f t="shared" ref="AE506:AM506" si="1149">IF(AE474=0,0,AE498/AE474)</f>
        <v>0</v>
      </c>
      <c r="AF506" s="264">
        <f t="shared" si="1149"/>
        <v>0</v>
      </c>
      <c r="AG506" s="264">
        <f t="shared" si="1149"/>
        <v>0</v>
      </c>
      <c r="AH506" s="264">
        <f t="shared" si="1149"/>
        <v>0</v>
      </c>
      <c r="AI506" s="264">
        <f t="shared" si="1149"/>
        <v>0</v>
      </c>
      <c r="AJ506" s="264">
        <f t="shared" si="1149"/>
        <v>0</v>
      </c>
      <c r="AK506" s="264">
        <f t="shared" si="1149"/>
        <v>0</v>
      </c>
      <c r="AL506" s="264">
        <f t="shared" si="1149"/>
        <v>0</v>
      </c>
      <c r="AM506" s="264">
        <f t="shared" si="1149"/>
        <v>0</v>
      </c>
      <c r="AN506" s="260"/>
      <c r="AO506" s="264">
        <f t="shared" ref="AO506:AO510" si="1150">IF(AO474=0,0,AO498/AO474)</f>
        <v>0</v>
      </c>
      <c r="AP506" s="260"/>
      <c r="AQ506" s="264"/>
      <c r="AR506" s="264" t="str">
        <f>VLOOKUP($I506,TableInputsData[],ReadMe!$M$3,FALSE)&amp;"  |  "&amp;VLOOKUP($K506,TableInputsData[],ReadMe!$M$3,FALSE)</f>
        <v>PRODUIT 12  |  PRIX MOYEN D'ACHAT PAR PRODUIT/SERVICE</v>
      </c>
      <c r="AS506" s="264"/>
      <c r="AT506" s="294"/>
    </row>
    <row r="507" spans="1:46" ht="13" hidden="1" x14ac:dyDescent="0.2">
      <c r="A507" s="294"/>
      <c r="B507" s="925"/>
      <c r="C507" s="272">
        <v>500</v>
      </c>
      <c r="D507" s="250">
        <f t="shared" si="1056"/>
        <v>0</v>
      </c>
      <c r="E507" s="251"/>
      <c r="F507" s="248" t="str">
        <f t="shared" si="1138"/>
        <v>YEAR3</v>
      </c>
      <c r="G507" s="250">
        <f>VLOOKUP(F507,TableInputsData[],$G$6,FALSE)</f>
        <v>2027</v>
      </c>
      <c r="H507" s="250" t="str">
        <f t="shared" ref="H507:I507" si="1151">H506</f>
        <v>PRODUCT</v>
      </c>
      <c r="I507" s="248" t="str">
        <f t="shared" si="1151"/>
        <v>PRODUCT 12</v>
      </c>
      <c r="J507" s="248" t="str">
        <f>VLOOKUP(I507,TableInputsData[],$J$6,FALSE)</f>
        <v>-</v>
      </c>
      <c r="K507" s="248" t="str">
        <f t="shared" si="1146"/>
        <v>AVERAGE COST OF GOODS SOLD PER UNIT</v>
      </c>
      <c r="L507" s="256"/>
      <c r="M507" s="256"/>
      <c r="N507" s="256"/>
      <c r="O507" s="266"/>
      <c r="P507" s="261"/>
      <c r="Q507" s="261"/>
      <c r="R507" s="261"/>
      <c r="S507" s="629"/>
      <c r="T507" s="629"/>
      <c r="U507" s="629"/>
      <c r="V507" s="629"/>
      <c r="W507" s="261"/>
      <c r="X507" s="261"/>
      <c r="Y507" s="261"/>
      <c r="Z507" s="261"/>
      <c r="AA507" s="261"/>
      <c r="AB507" s="261"/>
      <c r="AC507" s="266"/>
      <c r="AD507" s="633"/>
      <c r="AE507" s="264">
        <f t="shared" ref="AE507:AM507" si="1152">IF(AE475=0,0,AE499/AE475)</f>
        <v>0</v>
      </c>
      <c r="AF507" s="264">
        <f t="shared" si="1152"/>
        <v>0</v>
      </c>
      <c r="AG507" s="264">
        <f t="shared" si="1152"/>
        <v>0</v>
      </c>
      <c r="AH507" s="264">
        <f t="shared" si="1152"/>
        <v>0</v>
      </c>
      <c r="AI507" s="264">
        <f t="shared" si="1152"/>
        <v>0</v>
      </c>
      <c r="AJ507" s="264">
        <f t="shared" si="1152"/>
        <v>0</v>
      </c>
      <c r="AK507" s="264">
        <f t="shared" si="1152"/>
        <v>0</v>
      </c>
      <c r="AL507" s="264">
        <f t="shared" si="1152"/>
        <v>0</v>
      </c>
      <c r="AM507" s="264">
        <f t="shared" si="1152"/>
        <v>0</v>
      </c>
      <c r="AN507" s="260"/>
      <c r="AO507" s="264">
        <f t="shared" si="1150"/>
        <v>0</v>
      </c>
      <c r="AP507" s="260"/>
      <c r="AQ507" s="264"/>
      <c r="AR507" s="264" t="str">
        <f>VLOOKUP($I507,TableInputsData[],ReadMe!$M$3,FALSE)&amp;"  |  "&amp;VLOOKUP($K507,TableInputsData[],ReadMe!$M$3,FALSE)</f>
        <v>PRODUIT 12  |  PRIX MOYEN D'ACHAT PAR PRODUIT/SERVICE</v>
      </c>
      <c r="AS507" s="264"/>
      <c r="AT507" s="294"/>
    </row>
    <row r="508" spans="1:46" ht="13" hidden="1" x14ac:dyDescent="0.2">
      <c r="A508" s="294"/>
      <c r="B508" s="925"/>
      <c r="C508" s="272">
        <v>501</v>
      </c>
      <c r="D508" s="250">
        <f t="shared" si="1056"/>
        <v>0</v>
      </c>
      <c r="E508" s="251"/>
      <c r="F508" s="248" t="str">
        <f t="shared" si="1138"/>
        <v>YEAR4</v>
      </c>
      <c r="G508" s="250">
        <f>VLOOKUP(F508,TableInputsData[],$G$6,FALSE)</f>
        <v>2028</v>
      </c>
      <c r="H508" s="250" t="str">
        <f t="shared" ref="H508:I508" si="1153">H507</f>
        <v>PRODUCT</v>
      </c>
      <c r="I508" s="248" t="str">
        <f t="shared" si="1153"/>
        <v>PRODUCT 12</v>
      </c>
      <c r="J508" s="248" t="str">
        <f>VLOOKUP(I508,TableInputsData[],$J$6,FALSE)</f>
        <v>-</v>
      </c>
      <c r="K508" s="248" t="str">
        <f t="shared" si="1146"/>
        <v>AVERAGE COST OF GOODS SOLD PER UNIT</v>
      </c>
      <c r="L508" s="256"/>
      <c r="M508" s="256"/>
      <c r="N508" s="256"/>
      <c r="O508" s="266"/>
      <c r="P508" s="261"/>
      <c r="Q508" s="261"/>
      <c r="R508" s="261"/>
      <c r="S508" s="629"/>
      <c r="T508" s="629"/>
      <c r="U508" s="629"/>
      <c r="V508" s="629"/>
      <c r="W508" s="261"/>
      <c r="X508" s="261"/>
      <c r="Y508" s="261"/>
      <c r="Z508" s="261"/>
      <c r="AA508" s="261"/>
      <c r="AB508" s="261"/>
      <c r="AC508" s="266"/>
      <c r="AD508" s="633"/>
      <c r="AE508" s="264">
        <f t="shared" ref="AE508:AM508" si="1154">IF(AE476=0,0,AE500/AE476)</f>
        <v>0</v>
      </c>
      <c r="AF508" s="264">
        <f t="shared" si="1154"/>
        <v>0</v>
      </c>
      <c r="AG508" s="264">
        <f t="shared" si="1154"/>
        <v>0</v>
      </c>
      <c r="AH508" s="264">
        <f t="shared" si="1154"/>
        <v>0</v>
      </c>
      <c r="AI508" s="264">
        <f t="shared" si="1154"/>
        <v>0</v>
      </c>
      <c r="AJ508" s="264">
        <f t="shared" si="1154"/>
        <v>0</v>
      </c>
      <c r="AK508" s="264">
        <f t="shared" si="1154"/>
        <v>0</v>
      </c>
      <c r="AL508" s="264">
        <f t="shared" si="1154"/>
        <v>0</v>
      </c>
      <c r="AM508" s="264">
        <f t="shared" si="1154"/>
        <v>0</v>
      </c>
      <c r="AN508" s="260"/>
      <c r="AO508" s="264">
        <f t="shared" si="1150"/>
        <v>0</v>
      </c>
      <c r="AP508" s="260"/>
      <c r="AQ508" s="264"/>
      <c r="AR508" s="264" t="str">
        <f>VLOOKUP($I508,TableInputsData[],ReadMe!$M$3,FALSE)&amp;"  |  "&amp;VLOOKUP($K508,TableInputsData[],ReadMe!$M$3,FALSE)</f>
        <v>PRODUIT 12  |  PRIX MOYEN D'ACHAT PAR PRODUIT/SERVICE</v>
      </c>
      <c r="AS508" s="264"/>
      <c r="AT508" s="294"/>
    </row>
    <row r="509" spans="1:46" ht="13" hidden="1" x14ac:dyDescent="0.2">
      <c r="A509" s="294"/>
      <c r="B509" s="925"/>
      <c r="C509" s="272">
        <v>502</v>
      </c>
      <c r="D509" s="250">
        <f t="shared" si="1056"/>
        <v>0</v>
      </c>
      <c r="E509" s="251"/>
      <c r="F509" s="248" t="str">
        <f t="shared" si="1138"/>
        <v>YEAR5</v>
      </c>
      <c r="G509" s="250">
        <f>VLOOKUP(F509,TableInputsData[],$G$6,FALSE)</f>
        <v>2029</v>
      </c>
      <c r="H509" s="250" t="str">
        <f t="shared" ref="H509:I509" si="1155">H508</f>
        <v>PRODUCT</v>
      </c>
      <c r="I509" s="248" t="str">
        <f t="shared" si="1155"/>
        <v>PRODUCT 12</v>
      </c>
      <c r="J509" s="248" t="str">
        <f>VLOOKUP(I509,TableInputsData[],$J$6,FALSE)</f>
        <v>-</v>
      </c>
      <c r="K509" s="248" t="str">
        <f t="shared" si="1146"/>
        <v>AVERAGE COST OF GOODS SOLD PER UNIT</v>
      </c>
      <c r="L509" s="256"/>
      <c r="M509" s="256"/>
      <c r="N509" s="256"/>
      <c r="O509" s="266"/>
      <c r="P509" s="261"/>
      <c r="Q509" s="261"/>
      <c r="R509" s="261"/>
      <c r="S509" s="629"/>
      <c r="T509" s="629"/>
      <c r="U509" s="629"/>
      <c r="V509" s="629"/>
      <c r="W509" s="261"/>
      <c r="X509" s="261"/>
      <c r="Y509" s="261"/>
      <c r="Z509" s="261"/>
      <c r="AA509" s="261"/>
      <c r="AB509" s="261"/>
      <c r="AC509" s="266"/>
      <c r="AD509" s="633"/>
      <c r="AE509" s="264">
        <f t="shared" ref="AE509:AM509" si="1156">IF(AE477=0,0,AE501/AE477)</f>
        <v>0</v>
      </c>
      <c r="AF509" s="264">
        <f t="shared" si="1156"/>
        <v>0</v>
      </c>
      <c r="AG509" s="264">
        <f t="shared" si="1156"/>
        <v>0</v>
      </c>
      <c r="AH509" s="264">
        <f t="shared" si="1156"/>
        <v>0</v>
      </c>
      <c r="AI509" s="264">
        <f t="shared" si="1156"/>
        <v>0</v>
      </c>
      <c r="AJ509" s="264">
        <f t="shared" si="1156"/>
        <v>0</v>
      </c>
      <c r="AK509" s="264">
        <f t="shared" si="1156"/>
        <v>0</v>
      </c>
      <c r="AL509" s="264">
        <f t="shared" si="1156"/>
        <v>0</v>
      </c>
      <c r="AM509" s="264">
        <f t="shared" si="1156"/>
        <v>0</v>
      </c>
      <c r="AN509" s="260"/>
      <c r="AO509" s="264">
        <f t="shared" si="1150"/>
        <v>0</v>
      </c>
      <c r="AP509" s="260"/>
      <c r="AQ509" s="264"/>
      <c r="AR509" s="264" t="str">
        <f>VLOOKUP($I509,TableInputsData[],ReadMe!$M$3,FALSE)&amp;"  |  "&amp;VLOOKUP($K509,TableInputsData[],ReadMe!$M$3,FALSE)</f>
        <v>PRODUIT 12  |  PRIX MOYEN D'ACHAT PAR PRODUIT/SERVICE</v>
      </c>
      <c r="AS509" s="264"/>
      <c r="AT509" s="294"/>
    </row>
    <row r="510" spans="1:46" ht="13" hidden="1" x14ac:dyDescent="0.2">
      <c r="A510" s="294"/>
      <c r="B510" s="925"/>
      <c r="C510" s="272">
        <v>503</v>
      </c>
      <c r="D510" s="250">
        <f t="shared" si="1056"/>
        <v>0</v>
      </c>
      <c r="E510" s="251"/>
      <c r="F510" s="248" t="str">
        <f t="shared" si="1138"/>
        <v>YEAR6</v>
      </c>
      <c r="G510" s="250">
        <f>VLOOKUP(F510,TableInputsData[],$G$6,FALSE)</f>
        <v>2030</v>
      </c>
      <c r="H510" s="250" t="str">
        <f t="shared" ref="H510:I510" si="1157">H509</f>
        <v>PRODUCT</v>
      </c>
      <c r="I510" s="248" t="str">
        <f t="shared" si="1157"/>
        <v>PRODUCT 12</v>
      </c>
      <c r="J510" s="248" t="str">
        <f>VLOOKUP(I510,TableInputsData[],$J$6,FALSE)</f>
        <v>-</v>
      </c>
      <c r="K510" s="248" t="str">
        <f t="shared" si="1146"/>
        <v>AVERAGE COST OF GOODS SOLD PER UNIT</v>
      </c>
      <c r="L510" s="256"/>
      <c r="M510" s="256"/>
      <c r="N510" s="256"/>
      <c r="O510" s="266"/>
      <c r="P510" s="261"/>
      <c r="Q510" s="261"/>
      <c r="R510" s="261"/>
      <c r="S510" s="629"/>
      <c r="T510" s="629"/>
      <c r="U510" s="629"/>
      <c r="V510" s="629"/>
      <c r="W510" s="261"/>
      <c r="X510" s="261"/>
      <c r="Y510" s="261"/>
      <c r="Z510" s="261"/>
      <c r="AA510" s="261"/>
      <c r="AB510" s="261"/>
      <c r="AC510" s="266"/>
      <c r="AD510" s="633"/>
      <c r="AE510" s="264">
        <f t="shared" ref="AE510:AM510" si="1158">IF(AE478=0,0,AE502/AE478)</f>
        <v>0</v>
      </c>
      <c r="AF510" s="264">
        <f t="shared" si="1158"/>
        <v>0</v>
      </c>
      <c r="AG510" s="264">
        <f t="shared" si="1158"/>
        <v>0</v>
      </c>
      <c r="AH510" s="264">
        <f t="shared" si="1158"/>
        <v>0</v>
      </c>
      <c r="AI510" s="264">
        <f t="shared" si="1158"/>
        <v>0</v>
      </c>
      <c r="AJ510" s="264">
        <f t="shared" si="1158"/>
        <v>0</v>
      </c>
      <c r="AK510" s="264">
        <f t="shared" si="1158"/>
        <v>0</v>
      </c>
      <c r="AL510" s="264">
        <f t="shared" si="1158"/>
        <v>0</v>
      </c>
      <c r="AM510" s="264">
        <f t="shared" si="1158"/>
        <v>0</v>
      </c>
      <c r="AN510" s="260"/>
      <c r="AO510" s="264">
        <f t="shared" si="1150"/>
        <v>0</v>
      </c>
      <c r="AP510" s="260"/>
      <c r="AQ510" s="264"/>
      <c r="AR510" s="264" t="str">
        <f>VLOOKUP($I510,TableInputsData[],ReadMe!$M$3,FALSE)&amp;"  |  "&amp;VLOOKUP($K510,TableInputsData[],ReadMe!$M$3,FALSE)</f>
        <v>PRODUIT 12  |  PRIX MOYEN D'ACHAT PAR PRODUIT/SERVICE</v>
      </c>
      <c r="AS510" s="264"/>
      <c r="AT510" s="294"/>
    </row>
    <row r="511" spans="1:46" ht="13" x14ac:dyDescent="0.2">
      <c r="A511" s="294"/>
      <c r="B511" s="925"/>
      <c r="C511" s="273">
        <v>504</v>
      </c>
      <c r="D511" s="253">
        <v>0</v>
      </c>
      <c r="E511" s="253">
        <v>1</v>
      </c>
      <c r="F511" s="252"/>
      <c r="G511" s="253"/>
      <c r="H511" s="253"/>
      <c r="I511" s="252"/>
      <c r="J511" s="252"/>
      <c r="K511" s="252"/>
      <c r="L511" s="257"/>
      <c r="M511" s="257"/>
      <c r="N511" s="257"/>
      <c r="O511" s="267"/>
      <c r="P511" s="262"/>
      <c r="Q511" s="262"/>
      <c r="R511" s="262"/>
      <c r="S511" s="631"/>
      <c r="T511" s="631"/>
      <c r="U511" s="631"/>
      <c r="V511" s="631"/>
      <c r="W511" s="262"/>
      <c r="X511" s="262"/>
      <c r="Y511" s="262"/>
      <c r="Z511" s="262"/>
      <c r="AA511" s="262"/>
      <c r="AB511" s="262"/>
      <c r="AC511" s="267"/>
      <c r="AD511" s="635"/>
      <c r="AE511" s="270"/>
      <c r="AF511" s="270"/>
      <c r="AG511" s="270"/>
      <c r="AH511" s="270"/>
      <c r="AI511" s="270"/>
      <c r="AJ511" s="270"/>
      <c r="AK511" s="270"/>
      <c r="AL511" s="270"/>
      <c r="AM511" s="270"/>
      <c r="AN511" s="643"/>
      <c r="AO511" s="270"/>
      <c r="AP511" s="270"/>
      <c r="AQ511" s="270"/>
      <c r="AR511" s="270"/>
      <c r="AS511" s="270"/>
      <c r="AT511" s="294"/>
    </row>
    <row r="512" spans="1:46" ht="13" hidden="1" x14ac:dyDescent="0.2">
      <c r="A512" s="294"/>
      <c r="B512" s="924" t="str">
        <f>I513&amp;"___"</f>
        <v>PRODUCT 13___</v>
      </c>
      <c r="C512" s="271">
        <v>505</v>
      </c>
      <c r="D512" s="250">
        <v>0</v>
      </c>
      <c r="E512" s="250"/>
      <c r="F512" s="248"/>
      <c r="G512" s="250"/>
      <c r="H512" s="250"/>
      <c r="I512" s="248"/>
      <c r="J512" s="248"/>
      <c r="K512" s="248"/>
      <c r="L512" s="254"/>
      <c r="M512" s="254"/>
      <c r="N512" s="254"/>
      <c r="O512" s="264"/>
      <c r="P512" s="259"/>
      <c r="Q512" s="259"/>
      <c r="R512" s="259"/>
      <c r="S512" s="628"/>
      <c r="T512" s="628"/>
      <c r="U512" s="628"/>
      <c r="V512" s="628"/>
      <c r="W512" s="259"/>
      <c r="X512" s="259"/>
      <c r="Y512" s="259"/>
      <c r="Z512" s="259"/>
      <c r="AA512" s="259"/>
      <c r="AB512" s="259"/>
      <c r="AC512" s="264"/>
      <c r="AD512" s="609"/>
      <c r="AE512" s="269"/>
      <c r="AF512" s="269"/>
      <c r="AG512" s="269"/>
      <c r="AH512" s="269"/>
      <c r="AI512" s="269"/>
      <c r="AJ512" s="269"/>
      <c r="AK512" s="269"/>
      <c r="AL512" s="269"/>
      <c r="AM512" s="269"/>
      <c r="AN512" s="642"/>
      <c r="AO512" s="269"/>
      <c r="AP512" s="269"/>
      <c r="AQ512" s="269"/>
      <c r="AR512" s="269"/>
      <c r="AS512" s="269"/>
      <c r="AT512" s="294"/>
    </row>
    <row r="513" spans="1:46" ht="13" x14ac:dyDescent="0.2">
      <c r="A513" s="294"/>
      <c r="B513" s="924"/>
      <c r="C513" s="271">
        <v>506</v>
      </c>
      <c r="D513" s="250">
        <f>VLOOKUP($I513,TableInputsData[],$D$6,FALSE)</f>
        <v>0</v>
      </c>
      <c r="E513" s="250">
        <v>1</v>
      </c>
      <c r="F513" s="248" t="s">
        <v>392</v>
      </c>
      <c r="G513" s="250">
        <f>VLOOKUP(F513,TableInputsData[],$G$6,FALSE)</f>
        <v>2023</v>
      </c>
      <c r="H513" s="250" t="s">
        <v>588</v>
      </c>
      <c r="I513" s="248" t="s">
        <v>1714</v>
      </c>
      <c r="J513" s="248" t="str">
        <f>VLOOKUP(I513,TableInputsData[],$J$6,FALSE)</f>
        <v>-</v>
      </c>
      <c r="K513" s="248" t="s">
        <v>261</v>
      </c>
      <c r="L513" s="499">
        <v>1000</v>
      </c>
      <c r="M513" s="499">
        <v>0</v>
      </c>
      <c r="N513" s="499">
        <v>0</v>
      </c>
      <c r="O513" s="264">
        <f t="shared" ref="O513:O520" si="1159">$L513*$P513+$M513*$Q513+$N513*$R513</f>
        <v>1000</v>
      </c>
      <c r="P513" s="500">
        <v>1</v>
      </c>
      <c r="Q513" s="500">
        <v>0</v>
      </c>
      <c r="R513" s="259">
        <f>1-$P513-$Q513</f>
        <v>0</v>
      </c>
      <c r="S513" s="626">
        <v>500</v>
      </c>
      <c r="T513" s="626">
        <v>0</v>
      </c>
      <c r="U513" s="626">
        <v>0</v>
      </c>
      <c r="V513" s="628">
        <f>($L513*$P513*$S513+$M513*$Q513*$T513+$N513*$R513*$U513)/$O513</f>
        <v>500</v>
      </c>
      <c r="W513" s="500">
        <v>1</v>
      </c>
      <c r="X513" s="500">
        <v>1</v>
      </c>
      <c r="Y513" s="500">
        <v>1</v>
      </c>
      <c r="Z513" s="259">
        <f t="shared" ref="Z513:Z520" si="1160">1-$W513</f>
        <v>0</v>
      </c>
      <c r="AA513" s="259">
        <f t="shared" ref="AA513:AA520" si="1161">1-$X513</f>
        <v>0</v>
      </c>
      <c r="AB513" s="259">
        <f t="shared" ref="AB513:AB520" si="1162">1-$Y513</f>
        <v>0</v>
      </c>
      <c r="AC513" s="628">
        <f>AM545</f>
        <v>0</v>
      </c>
      <c r="AD513" s="628">
        <f>AO545</f>
        <v>0</v>
      </c>
      <c r="AE513" s="501">
        <v>0</v>
      </c>
      <c r="AF513" s="501">
        <v>0</v>
      </c>
      <c r="AG513" s="501">
        <v>0</v>
      </c>
      <c r="AH513" s="501">
        <v>0</v>
      </c>
      <c r="AI513" s="264">
        <f t="shared" ref="AI513:AI516" si="1163">$AE513+$AF513+$AG513+$AH513</f>
        <v>0</v>
      </c>
      <c r="AJ513" s="264">
        <f t="shared" ref="AJ513:AJ520" si="1164">$AI513*$P513</f>
        <v>0</v>
      </c>
      <c r="AK513" s="264">
        <f t="shared" ref="AK513:AK520" si="1165">$AI513*$Q513</f>
        <v>0</v>
      </c>
      <c r="AL513" s="264">
        <f t="shared" ref="AL513:AL520" si="1166">$AI513*$R513</f>
        <v>0</v>
      </c>
      <c r="AM513" s="264">
        <f t="shared" ref="AM513:AM520" si="1167">$AJ513*$W513+$AK513*$X513+$AL513*$Y513</f>
        <v>0</v>
      </c>
      <c r="AN513" s="640">
        <f>IF(AI513=0,0,AM513/AI513)</f>
        <v>0</v>
      </c>
      <c r="AO513" s="264">
        <f t="shared" ref="AO513:AO520" si="1168">$AJ513*$Z513+$AK513*$AA513+$AL513*$AB513</f>
        <v>0</v>
      </c>
      <c r="AP513" s="640">
        <f t="shared" ref="AP513:AP528" si="1169">IF(AI513=0,0,AO513/AI513)</f>
        <v>0</v>
      </c>
      <c r="AQ513" s="264" t="str">
        <f>VLOOKUP(I513,TableInputsData[],$AQ$6,FALSE)</f>
        <v>GAMME # : 1 + CANAL DE DISTRIBUTION # : 1</v>
      </c>
      <c r="AR513" s="264" t="str">
        <f>VLOOKUP($I513,TableInputsData[],ReadMe!$M$3,FALSE)&amp;"  |  "&amp;VLOOKUP($K513,TableInputsData[],ReadMe!$M$3,FALSE)</f>
        <v>PRODUIT 13  |  VOLUME</v>
      </c>
      <c r="AS513" s="264" t="b">
        <f t="shared" ref="AS513:AS520" si="1170">AND(EXACT(ROUND(AI513,2),ROUND(AJ513+AK513+AL513,2)),EXACT(ROUND(AI513,2),ROUND(AM513+AO513,2)),EXACT(SUM(P513:R513),1),IF(R513&lt;0,FALSE,TRUE),EXACT(SUM(W513:AB513),3),MIN(W513:Y513)&gt;=0, MAX(W513:Y513)&lt;=1)</f>
        <v>1</v>
      </c>
      <c r="AT513" s="294"/>
    </row>
    <row r="514" spans="1:46" ht="13" x14ac:dyDescent="0.2">
      <c r="A514" s="294"/>
      <c r="B514" s="924"/>
      <c r="C514" s="271">
        <v>507</v>
      </c>
      <c r="D514" s="250">
        <f>D513</f>
        <v>0</v>
      </c>
      <c r="E514" s="250">
        <v>1</v>
      </c>
      <c r="F514" s="248" t="s">
        <v>391</v>
      </c>
      <c r="G514" s="250">
        <f>VLOOKUP(F514,TableInputsData[],$G$6,FALSE)</f>
        <v>2024</v>
      </c>
      <c r="H514" s="250" t="str">
        <f>H513</f>
        <v>PRODUCT</v>
      </c>
      <c r="I514" s="248" t="str">
        <f>I513</f>
        <v>PRODUCT 13</v>
      </c>
      <c r="J514" s="248" t="str">
        <f>VLOOKUP(I514,TableInputsData[],$J$6,FALSE)</f>
        <v>-</v>
      </c>
      <c r="K514" s="248" t="str">
        <f>K513</f>
        <v>VOLUME</v>
      </c>
      <c r="L514" s="499">
        <v>1000</v>
      </c>
      <c r="M514" s="499">
        <v>0</v>
      </c>
      <c r="N514" s="499">
        <v>0</v>
      </c>
      <c r="O514" s="264">
        <f t="shared" si="1159"/>
        <v>1000</v>
      </c>
      <c r="P514" s="500">
        <v>1</v>
      </c>
      <c r="Q514" s="500">
        <v>0</v>
      </c>
      <c r="R514" s="259">
        <f t="shared" ref="R514:R520" si="1171">1-$P514-$Q514</f>
        <v>0</v>
      </c>
      <c r="S514" s="626">
        <v>500</v>
      </c>
      <c r="T514" s="626">
        <v>0</v>
      </c>
      <c r="U514" s="626">
        <v>0</v>
      </c>
      <c r="V514" s="628">
        <f t="shared" ref="V514:V520" si="1172">($L514*$P514*$S514+$M514*$Q514*$T514+$N514*$R514*$U514)/$O514</f>
        <v>500</v>
      </c>
      <c r="W514" s="500">
        <v>1</v>
      </c>
      <c r="X514" s="500">
        <v>1</v>
      </c>
      <c r="Y514" s="500">
        <v>1</v>
      </c>
      <c r="Z514" s="259">
        <f t="shared" si="1160"/>
        <v>0</v>
      </c>
      <c r="AA514" s="259">
        <f t="shared" si="1161"/>
        <v>0</v>
      </c>
      <c r="AB514" s="259">
        <f t="shared" si="1162"/>
        <v>0</v>
      </c>
      <c r="AC514" s="628">
        <f t="shared" ref="AC514:AC520" si="1173">AM546</f>
        <v>0</v>
      </c>
      <c r="AD514" s="628">
        <f t="shared" ref="AD514:AD520" si="1174">AO546</f>
        <v>0</v>
      </c>
      <c r="AE514" s="501">
        <v>0</v>
      </c>
      <c r="AF514" s="501">
        <v>0</v>
      </c>
      <c r="AG514" s="501">
        <v>0</v>
      </c>
      <c r="AH514" s="501">
        <v>0</v>
      </c>
      <c r="AI514" s="264">
        <f t="shared" si="1163"/>
        <v>0</v>
      </c>
      <c r="AJ514" s="264">
        <f t="shared" si="1164"/>
        <v>0</v>
      </c>
      <c r="AK514" s="264">
        <f t="shared" si="1165"/>
        <v>0</v>
      </c>
      <c r="AL514" s="264">
        <f t="shared" si="1166"/>
        <v>0</v>
      </c>
      <c r="AM514" s="264">
        <f t="shared" si="1167"/>
        <v>0</v>
      </c>
      <c r="AN514" s="640">
        <f t="shared" ref="AN514:AN528" si="1175">IF(AI514=0,0,AM514/AI514)</f>
        <v>0</v>
      </c>
      <c r="AO514" s="264">
        <f t="shared" si="1168"/>
        <v>0</v>
      </c>
      <c r="AP514" s="640">
        <f t="shared" si="1169"/>
        <v>0</v>
      </c>
      <c r="AQ514" s="501"/>
      <c r="AR514" s="264" t="str">
        <f>VLOOKUP($I514,TableInputsData[],ReadMe!$M$3,FALSE)&amp;"  |  "&amp;VLOOKUP($K514,TableInputsData[],ReadMe!$M$3,FALSE)</f>
        <v>PRODUIT 13  |  VOLUME</v>
      </c>
      <c r="AS514" s="264" t="b">
        <f t="shared" si="1170"/>
        <v>1</v>
      </c>
      <c r="AT514" s="294"/>
    </row>
    <row r="515" spans="1:46" ht="13" x14ac:dyDescent="0.2">
      <c r="A515" s="294"/>
      <c r="B515" s="924"/>
      <c r="C515" s="271">
        <v>508</v>
      </c>
      <c r="D515" s="250">
        <f t="shared" ref="D515:D552" si="1176">D514</f>
        <v>0</v>
      </c>
      <c r="E515" s="250">
        <v>1</v>
      </c>
      <c r="F515" s="248" t="s">
        <v>393</v>
      </c>
      <c r="G515" s="250">
        <f>VLOOKUP(F515,TableInputsData[],$G$6,FALSE)</f>
        <v>2025</v>
      </c>
      <c r="H515" s="250" t="str">
        <f t="shared" ref="H515:I515" si="1177">H514</f>
        <v>PRODUCT</v>
      </c>
      <c r="I515" s="248" t="str">
        <f t="shared" si="1177"/>
        <v>PRODUCT 13</v>
      </c>
      <c r="J515" s="248" t="str">
        <f>VLOOKUP(I515,TableInputsData[],$J$6,FALSE)</f>
        <v>-</v>
      </c>
      <c r="K515" s="248" t="str">
        <f t="shared" ref="K515:K520" si="1178">K514</f>
        <v>VOLUME</v>
      </c>
      <c r="L515" s="499">
        <v>1000</v>
      </c>
      <c r="M515" s="499">
        <v>0</v>
      </c>
      <c r="N515" s="499">
        <v>0</v>
      </c>
      <c r="O515" s="264">
        <f t="shared" si="1159"/>
        <v>1000</v>
      </c>
      <c r="P515" s="500">
        <v>1</v>
      </c>
      <c r="Q515" s="500">
        <v>0</v>
      </c>
      <c r="R515" s="259">
        <f t="shared" si="1171"/>
        <v>0</v>
      </c>
      <c r="S515" s="626">
        <v>500</v>
      </c>
      <c r="T515" s="626">
        <v>0</v>
      </c>
      <c r="U515" s="626">
        <v>0</v>
      </c>
      <c r="V515" s="628">
        <f t="shared" si="1172"/>
        <v>500</v>
      </c>
      <c r="W515" s="500">
        <v>1</v>
      </c>
      <c r="X515" s="500">
        <v>1</v>
      </c>
      <c r="Y515" s="500">
        <v>1</v>
      </c>
      <c r="Z515" s="259">
        <f t="shared" si="1160"/>
        <v>0</v>
      </c>
      <c r="AA515" s="259">
        <f t="shared" si="1161"/>
        <v>0</v>
      </c>
      <c r="AB515" s="259">
        <f t="shared" si="1162"/>
        <v>0</v>
      </c>
      <c r="AC515" s="628">
        <f t="shared" si="1173"/>
        <v>0</v>
      </c>
      <c r="AD515" s="628">
        <f t="shared" si="1174"/>
        <v>0</v>
      </c>
      <c r="AE515" s="501">
        <v>0</v>
      </c>
      <c r="AF515" s="501">
        <v>0</v>
      </c>
      <c r="AG515" s="501">
        <v>0</v>
      </c>
      <c r="AH515" s="501">
        <v>0</v>
      </c>
      <c r="AI515" s="264">
        <f t="shared" si="1163"/>
        <v>0</v>
      </c>
      <c r="AJ515" s="264">
        <f t="shared" si="1164"/>
        <v>0</v>
      </c>
      <c r="AK515" s="264">
        <f t="shared" si="1165"/>
        <v>0</v>
      </c>
      <c r="AL515" s="264">
        <f t="shared" si="1166"/>
        <v>0</v>
      </c>
      <c r="AM515" s="264">
        <f t="shared" si="1167"/>
        <v>0</v>
      </c>
      <c r="AN515" s="640">
        <f t="shared" si="1175"/>
        <v>0</v>
      </c>
      <c r="AO515" s="264">
        <f t="shared" si="1168"/>
        <v>0</v>
      </c>
      <c r="AP515" s="640">
        <f t="shared" si="1169"/>
        <v>0</v>
      </c>
      <c r="AQ515" s="501"/>
      <c r="AR515" s="264" t="str">
        <f>VLOOKUP($I515,TableInputsData[],ReadMe!$M$3,FALSE)&amp;"  |  "&amp;VLOOKUP($K515,TableInputsData[],ReadMe!$M$3,FALSE)</f>
        <v>PRODUIT 13  |  VOLUME</v>
      </c>
      <c r="AS515" s="264" t="b">
        <f t="shared" si="1170"/>
        <v>1</v>
      </c>
      <c r="AT515" s="294"/>
    </row>
    <row r="516" spans="1:46" ht="13" x14ac:dyDescent="0.2">
      <c r="A516" s="294"/>
      <c r="B516" s="924"/>
      <c r="C516" s="271">
        <v>509</v>
      </c>
      <c r="D516" s="250">
        <f t="shared" si="1176"/>
        <v>0</v>
      </c>
      <c r="E516" s="250">
        <v>1</v>
      </c>
      <c r="F516" s="248" t="s">
        <v>396</v>
      </c>
      <c r="G516" s="250">
        <f>VLOOKUP(F516,TableInputsData[],$G$6,FALSE)</f>
        <v>2026</v>
      </c>
      <c r="H516" s="250" t="str">
        <f t="shared" ref="H516:I516" si="1179">H515</f>
        <v>PRODUCT</v>
      </c>
      <c r="I516" s="248" t="str">
        <f t="shared" si="1179"/>
        <v>PRODUCT 13</v>
      </c>
      <c r="J516" s="248" t="str">
        <f>VLOOKUP(I516,TableInputsData[],$J$6,FALSE)</f>
        <v>-</v>
      </c>
      <c r="K516" s="248" t="str">
        <f t="shared" si="1178"/>
        <v>VOLUME</v>
      </c>
      <c r="L516" s="499">
        <v>1000</v>
      </c>
      <c r="M516" s="499">
        <v>0</v>
      </c>
      <c r="N516" s="499">
        <v>0</v>
      </c>
      <c r="O516" s="264">
        <f t="shared" si="1159"/>
        <v>1000</v>
      </c>
      <c r="P516" s="500">
        <v>1</v>
      </c>
      <c r="Q516" s="500">
        <v>0</v>
      </c>
      <c r="R516" s="259">
        <f t="shared" si="1171"/>
        <v>0</v>
      </c>
      <c r="S516" s="626">
        <v>500</v>
      </c>
      <c r="T516" s="626">
        <v>0</v>
      </c>
      <c r="U516" s="626">
        <v>0</v>
      </c>
      <c r="V516" s="628">
        <f t="shared" si="1172"/>
        <v>500</v>
      </c>
      <c r="W516" s="500">
        <v>1</v>
      </c>
      <c r="X516" s="500">
        <v>1</v>
      </c>
      <c r="Y516" s="500">
        <v>1</v>
      </c>
      <c r="Z516" s="259">
        <f t="shared" si="1160"/>
        <v>0</v>
      </c>
      <c r="AA516" s="259">
        <f t="shared" si="1161"/>
        <v>0</v>
      </c>
      <c r="AB516" s="259">
        <f t="shared" si="1162"/>
        <v>0</v>
      </c>
      <c r="AC516" s="628">
        <f t="shared" si="1173"/>
        <v>0</v>
      </c>
      <c r="AD516" s="628">
        <f t="shared" si="1174"/>
        <v>0</v>
      </c>
      <c r="AE516" s="501">
        <v>0</v>
      </c>
      <c r="AF516" s="501">
        <v>0</v>
      </c>
      <c r="AG516" s="501">
        <v>0</v>
      </c>
      <c r="AH516" s="501">
        <v>0</v>
      </c>
      <c r="AI516" s="264">
        <f t="shared" si="1163"/>
        <v>0</v>
      </c>
      <c r="AJ516" s="264">
        <f t="shared" si="1164"/>
        <v>0</v>
      </c>
      <c r="AK516" s="264">
        <f t="shared" si="1165"/>
        <v>0</v>
      </c>
      <c r="AL516" s="264">
        <f t="shared" si="1166"/>
        <v>0</v>
      </c>
      <c r="AM516" s="264">
        <f t="shared" si="1167"/>
        <v>0</v>
      </c>
      <c r="AN516" s="640">
        <f t="shared" si="1175"/>
        <v>0</v>
      </c>
      <c r="AO516" s="264">
        <f t="shared" si="1168"/>
        <v>0</v>
      </c>
      <c r="AP516" s="640">
        <f t="shared" si="1169"/>
        <v>0</v>
      </c>
      <c r="AQ516" s="501"/>
      <c r="AR516" s="264" t="str">
        <f>VLOOKUP($I516,TableInputsData[],ReadMe!$M$3,FALSE)&amp;"  |  "&amp;VLOOKUP($K516,TableInputsData[],ReadMe!$M$3,FALSE)</f>
        <v>PRODUIT 13  |  VOLUME</v>
      </c>
      <c r="AS516" s="264" t="b">
        <f t="shared" si="1170"/>
        <v>1</v>
      </c>
      <c r="AT516" s="294"/>
    </row>
    <row r="517" spans="1:46" ht="13" x14ac:dyDescent="0.2">
      <c r="A517" s="294"/>
      <c r="B517" s="924"/>
      <c r="C517" s="271">
        <v>510</v>
      </c>
      <c r="D517" s="250">
        <f t="shared" si="1176"/>
        <v>0</v>
      </c>
      <c r="E517" s="250">
        <v>1</v>
      </c>
      <c r="F517" s="248" t="s">
        <v>397</v>
      </c>
      <c r="G517" s="250">
        <f>VLOOKUP(F517,TableInputsData[],$G$6,FALSE)</f>
        <v>2027</v>
      </c>
      <c r="H517" s="250" t="str">
        <f t="shared" ref="H517:I517" si="1180">H516</f>
        <v>PRODUCT</v>
      </c>
      <c r="I517" s="248" t="str">
        <f t="shared" si="1180"/>
        <v>PRODUCT 13</v>
      </c>
      <c r="J517" s="248" t="str">
        <f>VLOOKUP(I517,TableInputsData[],$J$6,FALSE)</f>
        <v>-</v>
      </c>
      <c r="K517" s="248" t="str">
        <f t="shared" si="1178"/>
        <v>VOLUME</v>
      </c>
      <c r="L517" s="499">
        <v>1000</v>
      </c>
      <c r="M517" s="499">
        <v>0</v>
      </c>
      <c r="N517" s="499">
        <v>0</v>
      </c>
      <c r="O517" s="264">
        <f t="shared" si="1159"/>
        <v>1000</v>
      </c>
      <c r="P517" s="500">
        <v>1</v>
      </c>
      <c r="Q517" s="500">
        <v>0</v>
      </c>
      <c r="R517" s="259">
        <f t="shared" si="1171"/>
        <v>0</v>
      </c>
      <c r="S517" s="626">
        <v>500</v>
      </c>
      <c r="T517" s="626">
        <v>0</v>
      </c>
      <c r="U517" s="626">
        <v>0</v>
      </c>
      <c r="V517" s="628">
        <f t="shared" si="1172"/>
        <v>500</v>
      </c>
      <c r="W517" s="500">
        <v>1</v>
      </c>
      <c r="X517" s="500">
        <v>1</v>
      </c>
      <c r="Y517" s="500">
        <v>1</v>
      </c>
      <c r="Z517" s="259">
        <f t="shared" si="1160"/>
        <v>0</v>
      </c>
      <c r="AA517" s="259">
        <f t="shared" si="1161"/>
        <v>0</v>
      </c>
      <c r="AB517" s="259">
        <f t="shared" si="1162"/>
        <v>0</v>
      </c>
      <c r="AC517" s="628">
        <f t="shared" si="1173"/>
        <v>0</v>
      </c>
      <c r="AD517" s="628">
        <f t="shared" si="1174"/>
        <v>0</v>
      </c>
      <c r="AE517" s="264">
        <f>$AI517/4</f>
        <v>0</v>
      </c>
      <c r="AF517" s="264">
        <f t="shared" ref="AF517:AH520" si="1181">$AI517/4</f>
        <v>0</v>
      </c>
      <c r="AG517" s="264">
        <f t="shared" si="1181"/>
        <v>0</v>
      </c>
      <c r="AH517" s="264">
        <f t="shared" si="1181"/>
        <v>0</v>
      </c>
      <c r="AI517" s="501">
        <v>0</v>
      </c>
      <c r="AJ517" s="264">
        <f t="shared" si="1164"/>
        <v>0</v>
      </c>
      <c r="AK517" s="264">
        <f t="shared" si="1165"/>
        <v>0</v>
      </c>
      <c r="AL517" s="264">
        <f t="shared" si="1166"/>
        <v>0</v>
      </c>
      <c r="AM517" s="264">
        <f t="shared" si="1167"/>
        <v>0</v>
      </c>
      <c r="AN517" s="640">
        <f t="shared" si="1175"/>
        <v>0</v>
      </c>
      <c r="AO517" s="264">
        <f t="shared" si="1168"/>
        <v>0</v>
      </c>
      <c r="AP517" s="640">
        <f t="shared" si="1169"/>
        <v>0</v>
      </c>
      <c r="AQ517" s="501"/>
      <c r="AR517" s="264" t="str">
        <f>VLOOKUP($I517,TableInputsData[],ReadMe!$M$3,FALSE)&amp;"  |  "&amp;VLOOKUP($K517,TableInputsData[],ReadMe!$M$3,FALSE)</f>
        <v>PRODUIT 13  |  VOLUME</v>
      </c>
      <c r="AS517" s="264" t="b">
        <f t="shared" si="1170"/>
        <v>1</v>
      </c>
      <c r="AT517" s="294"/>
    </row>
    <row r="518" spans="1:46" ht="13" x14ac:dyDescent="0.2">
      <c r="A518" s="294"/>
      <c r="B518" s="924"/>
      <c r="C518" s="271">
        <v>511</v>
      </c>
      <c r="D518" s="250">
        <f t="shared" si="1176"/>
        <v>0</v>
      </c>
      <c r="E518" s="250">
        <v>1</v>
      </c>
      <c r="F518" s="248" t="s">
        <v>398</v>
      </c>
      <c r="G518" s="250">
        <f>VLOOKUP(F518,TableInputsData[],$G$6,FALSE)</f>
        <v>2028</v>
      </c>
      <c r="H518" s="250" t="str">
        <f t="shared" ref="H518:I518" si="1182">H517</f>
        <v>PRODUCT</v>
      </c>
      <c r="I518" s="248" t="str">
        <f t="shared" si="1182"/>
        <v>PRODUCT 13</v>
      </c>
      <c r="J518" s="248" t="str">
        <f>VLOOKUP(I518,TableInputsData[],$J$6,FALSE)</f>
        <v>-</v>
      </c>
      <c r="K518" s="248" t="str">
        <f t="shared" si="1178"/>
        <v>VOLUME</v>
      </c>
      <c r="L518" s="499">
        <v>1000</v>
      </c>
      <c r="M518" s="499">
        <v>0</v>
      </c>
      <c r="N518" s="499">
        <v>0</v>
      </c>
      <c r="O518" s="264">
        <f t="shared" si="1159"/>
        <v>1000</v>
      </c>
      <c r="P518" s="500">
        <v>1</v>
      </c>
      <c r="Q518" s="500">
        <v>0</v>
      </c>
      <c r="R518" s="259">
        <f t="shared" si="1171"/>
        <v>0</v>
      </c>
      <c r="S518" s="626">
        <v>500</v>
      </c>
      <c r="T518" s="626">
        <v>0</v>
      </c>
      <c r="U518" s="626">
        <v>0</v>
      </c>
      <c r="V518" s="628">
        <f t="shared" si="1172"/>
        <v>500</v>
      </c>
      <c r="W518" s="500">
        <v>1</v>
      </c>
      <c r="X518" s="500">
        <v>1</v>
      </c>
      <c r="Y518" s="500">
        <v>1</v>
      </c>
      <c r="Z518" s="259">
        <f t="shared" si="1160"/>
        <v>0</v>
      </c>
      <c r="AA518" s="259">
        <f t="shared" si="1161"/>
        <v>0</v>
      </c>
      <c r="AB518" s="259">
        <f t="shared" si="1162"/>
        <v>0</v>
      </c>
      <c r="AC518" s="628">
        <f t="shared" si="1173"/>
        <v>0</v>
      </c>
      <c r="AD518" s="628">
        <f t="shared" si="1174"/>
        <v>0</v>
      </c>
      <c r="AE518" s="264">
        <f t="shared" ref="AE518:AE520" si="1183">$AI518/4</f>
        <v>0</v>
      </c>
      <c r="AF518" s="264">
        <f t="shared" si="1181"/>
        <v>0</v>
      </c>
      <c r="AG518" s="264">
        <f t="shared" si="1181"/>
        <v>0</v>
      </c>
      <c r="AH518" s="264">
        <f t="shared" si="1181"/>
        <v>0</v>
      </c>
      <c r="AI518" s="501">
        <v>0</v>
      </c>
      <c r="AJ518" s="264">
        <f t="shared" si="1164"/>
        <v>0</v>
      </c>
      <c r="AK518" s="264">
        <f t="shared" si="1165"/>
        <v>0</v>
      </c>
      <c r="AL518" s="264">
        <f t="shared" si="1166"/>
        <v>0</v>
      </c>
      <c r="AM518" s="264">
        <f t="shared" si="1167"/>
        <v>0</v>
      </c>
      <c r="AN518" s="640">
        <f t="shared" si="1175"/>
        <v>0</v>
      </c>
      <c r="AO518" s="264">
        <f t="shared" si="1168"/>
        <v>0</v>
      </c>
      <c r="AP518" s="640">
        <f t="shared" si="1169"/>
        <v>0</v>
      </c>
      <c r="AQ518" s="501"/>
      <c r="AR518" s="264" t="str">
        <f>VLOOKUP($I518,TableInputsData[],ReadMe!$M$3,FALSE)&amp;"  |  "&amp;VLOOKUP($K518,TableInputsData[],ReadMe!$M$3,FALSE)</f>
        <v>PRODUIT 13  |  VOLUME</v>
      </c>
      <c r="AS518" s="264" t="b">
        <f t="shared" si="1170"/>
        <v>1</v>
      </c>
      <c r="AT518" s="294"/>
    </row>
    <row r="519" spans="1:46" ht="13" x14ac:dyDescent="0.2">
      <c r="A519" s="294"/>
      <c r="B519" s="924"/>
      <c r="C519" s="271">
        <v>512</v>
      </c>
      <c r="D519" s="250">
        <f t="shared" si="1176"/>
        <v>0</v>
      </c>
      <c r="E519" s="250">
        <v>1</v>
      </c>
      <c r="F519" s="248" t="s">
        <v>399</v>
      </c>
      <c r="G519" s="250">
        <f>VLOOKUP(F519,TableInputsData[],$G$6,FALSE)</f>
        <v>2029</v>
      </c>
      <c r="H519" s="250" t="str">
        <f t="shared" ref="H519:I519" si="1184">H518</f>
        <v>PRODUCT</v>
      </c>
      <c r="I519" s="248" t="str">
        <f t="shared" si="1184"/>
        <v>PRODUCT 13</v>
      </c>
      <c r="J519" s="248" t="str">
        <f>VLOOKUP(I519,TableInputsData[],$J$6,FALSE)</f>
        <v>-</v>
      </c>
      <c r="K519" s="248" t="str">
        <f t="shared" si="1178"/>
        <v>VOLUME</v>
      </c>
      <c r="L519" s="499">
        <v>1000</v>
      </c>
      <c r="M519" s="499">
        <v>0</v>
      </c>
      <c r="N519" s="499">
        <v>0</v>
      </c>
      <c r="O519" s="264">
        <f t="shared" si="1159"/>
        <v>1000</v>
      </c>
      <c r="P519" s="500">
        <v>1</v>
      </c>
      <c r="Q519" s="500">
        <v>0</v>
      </c>
      <c r="R519" s="259">
        <f t="shared" si="1171"/>
        <v>0</v>
      </c>
      <c r="S519" s="626">
        <v>500</v>
      </c>
      <c r="T519" s="626">
        <v>0</v>
      </c>
      <c r="U519" s="626">
        <v>0</v>
      </c>
      <c r="V519" s="628">
        <f t="shared" si="1172"/>
        <v>500</v>
      </c>
      <c r="W519" s="500">
        <v>1</v>
      </c>
      <c r="X519" s="500">
        <v>1</v>
      </c>
      <c r="Y519" s="500">
        <v>1</v>
      </c>
      <c r="Z519" s="259">
        <f t="shared" si="1160"/>
        <v>0</v>
      </c>
      <c r="AA519" s="259">
        <f t="shared" si="1161"/>
        <v>0</v>
      </c>
      <c r="AB519" s="259">
        <f t="shared" si="1162"/>
        <v>0</v>
      </c>
      <c r="AC519" s="628">
        <f t="shared" si="1173"/>
        <v>0</v>
      </c>
      <c r="AD519" s="628">
        <f t="shared" si="1174"/>
        <v>0</v>
      </c>
      <c r="AE519" s="264">
        <f t="shared" si="1183"/>
        <v>0</v>
      </c>
      <c r="AF519" s="264">
        <f t="shared" si="1181"/>
        <v>0</v>
      </c>
      <c r="AG519" s="264">
        <f t="shared" si="1181"/>
        <v>0</v>
      </c>
      <c r="AH519" s="264">
        <f t="shared" si="1181"/>
        <v>0</v>
      </c>
      <c r="AI519" s="501">
        <v>0</v>
      </c>
      <c r="AJ519" s="264">
        <f t="shared" si="1164"/>
        <v>0</v>
      </c>
      <c r="AK519" s="264">
        <f t="shared" si="1165"/>
        <v>0</v>
      </c>
      <c r="AL519" s="264">
        <f t="shared" si="1166"/>
        <v>0</v>
      </c>
      <c r="AM519" s="264">
        <f t="shared" si="1167"/>
        <v>0</v>
      </c>
      <c r="AN519" s="640">
        <f t="shared" si="1175"/>
        <v>0</v>
      </c>
      <c r="AO519" s="264">
        <f t="shared" si="1168"/>
        <v>0</v>
      </c>
      <c r="AP519" s="640">
        <f t="shared" si="1169"/>
        <v>0</v>
      </c>
      <c r="AQ519" s="501"/>
      <c r="AR519" s="264" t="str">
        <f>VLOOKUP($I519,TableInputsData[],ReadMe!$M$3,FALSE)&amp;"  |  "&amp;VLOOKUP($K519,TableInputsData[],ReadMe!$M$3,FALSE)</f>
        <v>PRODUIT 13  |  VOLUME</v>
      </c>
      <c r="AS519" s="264" t="b">
        <f t="shared" si="1170"/>
        <v>1</v>
      </c>
      <c r="AT519" s="294"/>
    </row>
    <row r="520" spans="1:46" ht="13" x14ac:dyDescent="0.2">
      <c r="A520" s="294"/>
      <c r="B520" s="924"/>
      <c r="C520" s="271">
        <v>513</v>
      </c>
      <c r="D520" s="250">
        <f t="shared" si="1176"/>
        <v>0</v>
      </c>
      <c r="E520" s="250">
        <v>1</v>
      </c>
      <c r="F520" s="248" t="s">
        <v>400</v>
      </c>
      <c r="G520" s="250">
        <f>VLOOKUP(F520,TableInputsData[],$G$6,FALSE)</f>
        <v>2030</v>
      </c>
      <c r="H520" s="250" t="str">
        <f t="shared" ref="H520:I520" si="1185">H519</f>
        <v>PRODUCT</v>
      </c>
      <c r="I520" s="248" t="str">
        <f t="shared" si="1185"/>
        <v>PRODUCT 13</v>
      </c>
      <c r="J520" s="248" t="str">
        <f>VLOOKUP(I520,TableInputsData[],$J$6,FALSE)</f>
        <v>-</v>
      </c>
      <c r="K520" s="248" t="str">
        <f t="shared" si="1178"/>
        <v>VOLUME</v>
      </c>
      <c r="L520" s="499">
        <v>1000</v>
      </c>
      <c r="M520" s="499">
        <v>0</v>
      </c>
      <c r="N520" s="499">
        <v>0</v>
      </c>
      <c r="O520" s="264">
        <f t="shared" si="1159"/>
        <v>1000</v>
      </c>
      <c r="P520" s="500">
        <v>1</v>
      </c>
      <c r="Q520" s="500">
        <v>0</v>
      </c>
      <c r="R520" s="259">
        <f t="shared" si="1171"/>
        <v>0</v>
      </c>
      <c r="S520" s="626">
        <v>500</v>
      </c>
      <c r="T520" s="626">
        <v>0</v>
      </c>
      <c r="U520" s="626">
        <v>0</v>
      </c>
      <c r="V520" s="628">
        <f t="shared" si="1172"/>
        <v>500</v>
      </c>
      <c r="W520" s="500">
        <v>1</v>
      </c>
      <c r="X520" s="500">
        <v>1</v>
      </c>
      <c r="Y520" s="500">
        <v>1</v>
      </c>
      <c r="Z520" s="259">
        <f t="shared" si="1160"/>
        <v>0</v>
      </c>
      <c r="AA520" s="259">
        <f t="shared" si="1161"/>
        <v>0</v>
      </c>
      <c r="AB520" s="259">
        <f t="shared" si="1162"/>
        <v>0</v>
      </c>
      <c r="AC520" s="628">
        <f t="shared" si="1173"/>
        <v>0</v>
      </c>
      <c r="AD520" s="628">
        <f t="shared" si="1174"/>
        <v>0</v>
      </c>
      <c r="AE520" s="264">
        <f t="shared" si="1183"/>
        <v>0</v>
      </c>
      <c r="AF520" s="264">
        <f t="shared" si="1181"/>
        <v>0</v>
      </c>
      <c r="AG520" s="264">
        <f t="shared" si="1181"/>
        <v>0</v>
      </c>
      <c r="AH520" s="264">
        <f t="shared" si="1181"/>
        <v>0</v>
      </c>
      <c r="AI520" s="501">
        <v>0</v>
      </c>
      <c r="AJ520" s="264">
        <f t="shared" si="1164"/>
        <v>0</v>
      </c>
      <c r="AK520" s="264">
        <f t="shared" si="1165"/>
        <v>0</v>
      </c>
      <c r="AL520" s="264">
        <f t="shared" si="1166"/>
        <v>0</v>
      </c>
      <c r="AM520" s="264">
        <f t="shared" si="1167"/>
        <v>0</v>
      </c>
      <c r="AN520" s="640">
        <f t="shared" si="1175"/>
        <v>0</v>
      </c>
      <c r="AO520" s="264">
        <f t="shared" si="1168"/>
        <v>0</v>
      </c>
      <c r="AP520" s="640">
        <f t="shared" si="1169"/>
        <v>0</v>
      </c>
      <c r="AQ520" s="501"/>
      <c r="AR520" s="264" t="str">
        <f>VLOOKUP($I520,TableInputsData[],ReadMe!$M$3,FALSE)&amp;"  |  "&amp;VLOOKUP($K520,TableInputsData[],ReadMe!$M$3,FALSE)</f>
        <v>PRODUIT 13  |  VOLUME</v>
      </c>
      <c r="AS520" s="264" t="b">
        <f t="shared" si="1170"/>
        <v>1</v>
      </c>
      <c r="AT520" s="294"/>
    </row>
    <row r="521" spans="1:46" ht="13" hidden="1" x14ac:dyDescent="0.2">
      <c r="A521" s="294"/>
      <c r="B521" s="924"/>
      <c r="C521" s="272">
        <v>514</v>
      </c>
      <c r="D521" s="250">
        <f t="shared" si="1176"/>
        <v>0</v>
      </c>
      <c r="E521" s="251"/>
      <c r="F521" s="248" t="str">
        <f t="shared" ref="F521:F528" si="1186">F529</f>
        <v>YEAR-2</v>
      </c>
      <c r="G521" s="250">
        <f>VLOOKUP(F521,TableInputsData[],$G$6,FALSE)</f>
        <v>2023</v>
      </c>
      <c r="H521" s="250" t="str">
        <f t="shared" ref="H521:I521" si="1187">H520</f>
        <v>PRODUCT</v>
      </c>
      <c r="I521" s="248" t="str">
        <f t="shared" si="1187"/>
        <v>PRODUCT 13</v>
      </c>
      <c r="J521" s="248" t="str">
        <f>VLOOKUP(I521,TableInputsData[],$J$6,FALSE)</f>
        <v>-</v>
      </c>
      <c r="K521" s="248" t="s">
        <v>457</v>
      </c>
      <c r="L521" s="256"/>
      <c r="M521" s="256"/>
      <c r="N521" s="256"/>
      <c r="O521" s="266"/>
      <c r="P521" s="261"/>
      <c r="Q521" s="261"/>
      <c r="R521" s="261"/>
      <c r="S521" s="629"/>
      <c r="T521" s="629"/>
      <c r="U521" s="629"/>
      <c r="V521" s="629"/>
      <c r="W521" s="261"/>
      <c r="X521" s="261"/>
      <c r="Y521" s="261"/>
      <c r="Z521" s="261"/>
      <c r="AA521" s="261"/>
      <c r="AB521" s="261"/>
      <c r="AC521" s="266"/>
      <c r="AD521" s="633"/>
      <c r="AE521" s="264">
        <f>AE513*($L513*$P513+$M513*$Q513+$N513*$R513)</f>
        <v>0</v>
      </c>
      <c r="AF521" s="264">
        <f t="shared" ref="AF521:AH521" si="1188">AF513*($L513*$P513+$M513*$Q513+$N513*$R513)</f>
        <v>0</v>
      </c>
      <c r="AG521" s="264">
        <f t="shared" si="1188"/>
        <v>0</v>
      </c>
      <c r="AH521" s="264">
        <f t="shared" si="1188"/>
        <v>0</v>
      </c>
      <c r="AI521" s="264">
        <f>$AE521+$AF521+$AG521+$AH521</f>
        <v>0</v>
      </c>
      <c r="AJ521" s="264">
        <f t="shared" ref="AJ521:AJ528" si="1189">$AJ513*$L513</f>
        <v>0</v>
      </c>
      <c r="AK521" s="264">
        <f t="shared" ref="AK521:AK528" si="1190">$AK513*$M513</f>
        <v>0</v>
      </c>
      <c r="AL521" s="264">
        <f t="shared" ref="AL521:AL528" si="1191">$AL513*$N513</f>
        <v>0</v>
      </c>
      <c r="AM521" s="264">
        <f t="shared" ref="AM521:AM528" si="1192">$AJ521*$W513+$AK521*$X513+$AL521*$Y513</f>
        <v>0</v>
      </c>
      <c r="AN521" s="640">
        <f t="shared" si="1175"/>
        <v>0</v>
      </c>
      <c r="AO521" s="264">
        <f t="shared" ref="AO521:AO528" si="1193">$AJ521*$Z513+$AK521*$AA513+$AL521*$AB513</f>
        <v>0</v>
      </c>
      <c r="AP521" s="640">
        <f t="shared" si="1169"/>
        <v>0</v>
      </c>
      <c r="AQ521" s="264"/>
      <c r="AR521" s="264" t="str">
        <f>VLOOKUP($I521,TableInputsData[],ReadMe!$M$3,FALSE)&amp;"  |  "&amp;VLOOKUP($K521,TableInputsData[],ReadMe!$M$3,FALSE)</f>
        <v>PRODUIT 13  |  CHIFFRE D'AFFAIRES</v>
      </c>
      <c r="AS521" s="264" t="b">
        <f t="shared" ref="AS521:AS528" si="1194">AND(EXACT(ROUND(AI521,2),ROUND(AJ521+AK521+AL521,2)),EXACT(ROUND(AI521,2),ROUND(AM521+AO521,2)))</f>
        <v>1</v>
      </c>
      <c r="AT521" s="294"/>
    </row>
    <row r="522" spans="1:46" ht="13" hidden="1" x14ac:dyDescent="0.2">
      <c r="A522" s="294"/>
      <c r="B522" s="924"/>
      <c r="C522" s="271">
        <v>515</v>
      </c>
      <c r="D522" s="250">
        <f t="shared" si="1176"/>
        <v>0</v>
      </c>
      <c r="E522" s="250"/>
      <c r="F522" s="248" t="str">
        <f t="shared" si="1186"/>
        <v>YEAR-1</v>
      </c>
      <c r="G522" s="250">
        <f>VLOOKUP(F522,TableInputsData[],$G$6,FALSE)</f>
        <v>2024</v>
      </c>
      <c r="H522" s="250" t="str">
        <f t="shared" ref="H522:I522" si="1195">H521</f>
        <v>PRODUCT</v>
      </c>
      <c r="I522" s="248" t="str">
        <f t="shared" si="1195"/>
        <v>PRODUCT 13</v>
      </c>
      <c r="J522" s="248" t="str">
        <f>VLOOKUP(I522,TableInputsData[],$J$6,FALSE)</f>
        <v>-</v>
      </c>
      <c r="K522" s="248" t="str">
        <f>K521</f>
        <v>REVENUE</v>
      </c>
      <c r="L522" s="255"/>
      <c r="M522" s="255"/>
      <c r="N522" s="255"/>
      <c r="O522" s="265"/>
      <c r="P522" s="260"/>
      <c r="Q522" s="260"/>
      <c r="R522" s="260"/>
      <c r="S522" s="630"/>
      <c r="T522" s="630"/>
      <c r="U522" s="630"/>
      <c r="V522" s="630"/>
      <c r="W522" s="260"/>
      <c r="X522" s="260"/>
      <c r="Y522" s="260"/>
      <c r="Z522" s="260"/>
      <c r="AA522" s="260"/>
      <c r="AB522" s="260"/>
      <c r="AC522" s="265"/>
      <c r="AD522" s="634"/>
      <c r="AE522" s="264">
        <f t="shared" ref="AE522:AH522" si="1196">AE514*($L514*$P514+$M514*$Q514+$N514*$R514)</f>
        <v>0</v>
      </c>
      <c r="AF522" s="264">
        <f t="shared" si="1196"/>
        <v>0</v>
      </c>
      <c r="AG522" s="264">
        <f t="shared" si="1196"/>
        <v>0</v>
      </c>
      <c r="AH522" s="264">
        <f t="shared" si="1196"/>
        <v>0</v>
      </c>
      <c r="AI522" s="264">
        <f t="shared" ref="AI522:AI527" si="1197">$AE522+$AF522+$AG522+$AH522</f>
        <v>0</v>
      </c>
      <c r="AJ522" s="264">
        <f t="shared" si="1189"/>
        <v>0</v>
      </c>
      <c r="AK522" s="264">
        <f t="shared" si="1190"/>
        <v>0</v>
      </c>
      <c r="AL522" s="264">
        <f t="shared" si="1191"/>
        <v>0</v>
      </c>
      <c r="AM522" s="264">
        <f t="shared" si="1192"/>
        <v>0</v>
      </c>
      <c r="AN522" s="640">
        <f t="shared" si="1175"/>
        <v>0</v>
      </c>
      <c r="AO522" s="264">
        <f t="shared" si="1193"/>
        <v>0</v>
      </c>
      <c r="AP522" s="640">
        <f t="shared" si="1169"/>
        <v>0</v>
      </c>
      <c r="AQ522" s="264"/>
      <c r="AR522" s="264" t="str">
        <f>VLOOKUP($I522,TableInputsData[],ReadMe!$M$3,FALSE)&amp;"  |  "&amp;VLOOKUP($K522,TableInputsData[],ReadMe!$M$3,FALSE)</f>
        <v>PRODUIT 13  |  CHIFFRE D'AFFAIRES</v>
      </c>
      <c r="AS522" s="264" t="b">
        <f t="shared" si="1194"/>
        <v>1</v>
      </c>
      <c r="AT522" s="294"/>
    </row>
    <row r="523" spans="1:46" ht="13" hidden="1" x14ac:dyDescent="0.2">
      <c r="A523" s="294"/>
      <c r="B523" s="924"/>
      <c r="C523" s="271">
        <v>516</v>
      </c>
      <c r="D523" s="250">
        <f t="shared" si="1176"/>
        <v>0</v>
      </c>
      <c r="E523" s="250"/>
      <c r="F523" s="248" t="str">
        <f t="shared" si="1186"/>
        <v>CURRENT YEAR</v>
      </c>
      <c r="G523" s="250">
        <f>VLOOKUP(F523,TableInputsData[],$G$6,FALSE)</f>
        <v>2025</v>
      </c>
      <c r="H523" s="250" t="str">
        <f t="shared" ref="H523:I523" si="1198">H522</f>
        <v>PRODUCT</v>
      </c>
      <c r="I523" s="248" t="str">
        <f t="shared" si="1198"/>
        <v>PRODUCT 13</v>
      </c>
      <c r="J523" s="248" t="str">
        <f>VLOOKUP(I523,TableInputsData[],$J$6,FALSE)</f>
        <v>-</v>
      </c>
      <c r="K523" s="248" t="str">
        <f t="shared" ref="K523:K528" si="1199">K522</f>
        <v>REVENUE</v>
      </c>
      <c r="L523" s="255"/>
      <c r="M523" s="255"/>
      <c r="N523" s="255"/>
      <c r="O523" s="265"/>
      <c r="P523" s="260"/>
      <c r="Q523" s="260"/>
      <c r="R523" s="260"/>
      <c r="S523" s="630"/>
      <c r="T523" s="630"/>
      <c r="U523" s="630"/>
      <c r="V523" s="630"/>
      <c r="W523" s="260"/>
      <c r="X523" s="260"/>
      <c r="Y523" s="260"/>
      <c r="Z523" s="260"/>
      <c r="AA523" s="260"/>
      <c r="AB523" s="260"/>
      <c r="AC523" s="265"/>
      <c r="AD523" s="634"/>
      <c r="AE523" s="264">
        <f t="shared" ref="AE523:AH523" si="1200">AE515*($L515*$P515+$M515*$Q515+$N515*$R515)</f>
        <v>0</v>
      </c>
      <c r="AF523" s="264">
        <f t="shared" si="1200"/>
        <v>0</v>
      </c>
      <c r="AG523" s="264">
        <f t="shared" si="1200"/>
        <v>0</v>
      </c>
      <c r="AH523" s="264">
        <f t="shared" si="1200"/>
        <v>0</v>
      </c>
      <c r="AI523" s="264">
        <f t="shared" si="1197"/>
        <v>0</v>
      </c>
      <c r="AJ523" s="264">
        <f t="shared" si="1189"/>
        <v>0</v>
      </c>
      <c r="AK523" s="264">
        <f t="shared" si="1190"/>
        <v>0</v>
      </c>
      <c r="AL523" s="264">
        <f t="shared" si="1191"/>
        <v>0</v>
      </c>
      <c r="AM523" s="264">
        <f t="shared" si="1192"/>
        <v>0</v>
      </c>
      <c r="AN523" s="640">
        <f t="shared" si="1175"/>
        <v>0</v>
      </c>
      <c r="AO523" s="264">
        <f t="shared" si="1193"/>
        <v>0</v>
      </c>
      <c r="AP523" s="640">
        <f t="shared" si="1169"/>
        <v>0</v>
      </c>
      <c r="AQ523" s="264"/>
      <c r="AR523" s="264" t="str">
        <f>VLOOKUP($I523,TableInputsData[],ReadMe!$M$3,FALSE)&amp;"  |  "&amp;VLOOKUP($K523,TableInputsData[],ReadMe!$M$3,FALSE)</f>
        <v>PRODUIT 13  |  CHIFFRE D'AFFAIRES</v>
      </c>
      <c r="AS523" s="264" t="b">
        <f t="shared" si="1194"/>
        <v>1</v>
      </c>
      <c r="AT523" s="294"/>
    </row>
    <row r="524" spans="1:46" ht="13" hidden="1" x14ac:dyDescent="0.2">
      <c r="A524" s="294"/>
      <c r="B524" s="924"/>
      <c r="C524" s="271">
        <v>517</v>
      </c>
      <c r="D524" s="250">
        <f t="shared" si="1176"/>
        <v>0</v>
      </c>
      <c r="E524" s="250"/>
      <c r="F524" s="248" t="str">
        <f t="shared" si="1186"/>
        <v>YEAR2</v>
      </c>
      <c r="G524" s="250">
        <f>VLOOKUP(F524,TableInputsData[],$G$6,FALSE)</f>
        <v>2026</v>
      </c>
      <c r="H524" s="250" t="str">
        <f t="shared" ref="H524:I524" si="1201">H523</f>
        <v>PRODUCT</v>
      </c>
      <c r="I524" s="248" t="str">
        <f t="shared" si="1201"/>
        <v>PRODUCT 13</v>
      </c>
      <c r="J524" s="248" t="str">
        <f>VLOOKUP(I524,TableInputsData[],$J$6,FALSE)</f>
        <v>-</v>
      </c>
      <c r="K524" s="248" t="str">
        <f t="shared" si="1199"/>
        <v>REVENUE</v>
      </c>
      <c r="L524" s="255"/>
      <c r="M524" s="255"/>
      <c r="N524" s="255"/>
      <c r="O524" s="265"/>
      <c r="P524" s="260"/>
      <c r="Q524" s="260"/>
      <c r="R524" s="260"/>
      <c r="S524" s="630"/>
      <c r="T524" s="630"/>
      <c r="U524" s="630"/>
      <c r="V524" s="630"/>
      <c r="W524" s="260"/>
      <c r="X524" s="260"/>
      <c r="Y524" s="260"/>
      <c r="Z524" s="260"/>
      <c r="AA524" s="260"/>
      <c r="AB524" s="260"/>
      <c r="AC524" s="265"/>
      <c r="AD524" s="634"/>
      <c r="AE524" s="264">
        <f t="shared" ref="AE524:AH524" si="1202">AE516*($L516*$P516+$M516*$Q516+$N516*$R516)</f>
        <v>0</v>
      </c>
      <c r="AF524" s="264">
        <f t="shared" si="1202"/>
        <v>0</v>
      </c>
      <c r="AG524" s="264">
        <f t="shared" si="1202"/>
        <v>0</v>
      </c>
      <c r="AH524" s="264">
        <f t="shared" si="1202"/>
        <v>0</v>
      </c>
      <c r="AI524" s="264">
        <f t="shared" si="1197"/>
        <v>0</v>
      </c>
      <c r="AJ524" s="264">
        <f t="shared" si="1189"/>
        <v>0</v>
      </c>
      <c r="AK524" s="264">
        <f t="shared" si="1190"/>
        <v>0</v>
      </c>
      <c r="AL524" s="264">
        <f t="shared" si="1191"/>
        <v>0</v>
      </c>
      <c r="AM524" s="264">
        <f t="shared" si="1192"/>
        <v>0</v>
      </c>
      <c r="AN524" s="640">
        <f t="shared" si="1175"/>
        <v>0</v>
      </c>
      <c r="AO524" s="264">
        <f t="shared" si="1193"/>
        <v>0</v>
      </c>
      <c r="AP524" s="640">
        <f t="shared" si="1169"/>
        <v>0</v>
      </c>
      <c r="AQ524" s="264"/>
      <c r="AR524" s="264" t="str">
        <f>VLOOKUP($I524,TableInputsData[],ReadMe!$M$3,FALSE)&amp;"  |  "&amp;VLOOKUP($K524,TableInputsData[],ReadMe!$M$3,FALSE)</f>
        <v>PRODUIT 13  |  CHIFFRE D'AFFAIRES</v>
      </c>
      <c r="AS524" s="264" t="b">
        <f t="shared" si="1194"/>
        <v>1</v>
      </c>
      <c r="AT524" s="294"/>
    </row>
    <row r="525" spans="1:46" ht="13" hidden="1" x14ac:dyDescent="0.2">
      <c r="A525" s="294"/>
      <c r="B525" s="924"/>
      <c r="C525" s="271">
        <v>518</v>
      </c>
      <c r="D525" s="250">
        <f t="shared" si="1176"/>
        <v>0</v>
      </c>
      <c r="E525" s="250"/>
      <c r="F525" s="248" t="str">
        <f t="shared" si="1186"/>
        <v>YEAR3</v>
      </c>
      <c r="G525" s="250">
        <f>VLOOKUP(F525,TableInputsData[],$G$6,FALSE)</f>
        <v>2027</v>
      </c>
      <c r="H525" s="250" t="str">
        <f t="shared" ref="H525:I525" si="1203">H524</f>
        <v>PRODUCT</v>
      </c>
      <c r="I525" s="248" t="str">
        <f t="shared" si="1203"/>
        <v>PRODUCT 13</v>
      </c>
      <c r="J525" s="248" t="str">
        <f>VLOOKUP(I525,TableInputsData[],$J$6,FALSE)</f>
        <v>-</v>
      </c>
      <c r="K525" s="248" t="str">
        <f t="shared" si="1199"/>
        <v>REVENUE</v>
      </c>
      <c r="L525" s="255"/>
      <c r="M525" s="255"/>
      <c r="N525" s="255"/>
      <c r="O525" s="265"/>
      <c r="P525" s="260"/>
      <c r="Q525" s="260"/>
      <c r="R525" s="260"/>
      <c r="S525" s="630"/>
      <c r="T525" s="630"/>
      <c r="U525" s="630"/>
      <c r="V525" s="630"/>
      <c r="W525" s="260"/>
      <c r="X525" s="260"/>
      <c r="Y525" s="260"/>
      <c r="Z525" s="260"/>
      <c r="AA525" s="260"/>
      <c r="AB525" s="260"/>
      <c r="AC525" s="265"/>
      <c r="AD525" s="634"/>
      <c r="AE525" s="264">
        <f t="shared" ref="AE525:AH525" si="1204">AE517*($L517*$P517+$M517*$Q517+$N517*$R517)</f>
        <v>0</v>
      </c>
      <c r="AF525" s="264">
        <f t="shared" si="1204"/>
        <v>0</v>
      </c>
      <c r="AG525" s="264">
        <f t="shared" si="1204"/>
        <v>0</v>
      </c>
      <c r="AH525" s="264">
        <f t="shared" si="1204"/>
        <v>0</v>
      </c>
      <c r="AI525" s="264">
        <f t="shared" si="1197"/>
        <v>0</v>
      </c>
      <c r="AJ525" s="264">
        <f t="shared" si="1189"/>
        <v>0</v>
      </c>
      <c r="AK525" s="264">
        <f t="shared" si="1190"/>
        <v>0</v>
      </c>
      <c r="AL525" s="264">
        <f t="shared" si="1191"/>
        <v>0</v>
      </c>
      <c r="AM525" s="264">
        <f t="shared" si="1192"/>
        <v>0</v>
      </c>
      <c r="AN525" s="640">
        <f t="shared" si="1175"/>
        <v>0</v>
      </c>
      <c r="AO525" s="264">
        <f t="shared" si="1193"/>
        <v>0</v>
      </c>
      <c r="AP525" s="640">
        <f t="shared" si="1169"/>
        <v>0</v>
      </c>
      <c r="AQ525" s="264"/>
      <c r="AR525" s="264" t="str">
        <f>VLOOKUP($I525,TableInputsData[],ReadMe!$M$3,FALSE)&amp;"  |  "&amp;VLOOKUP($K525,TableInputsData[],ReadMe!$M$3,FALSE)</f>
        <v>PRODUIT 13  |  CHIFFRE D'AFFAIRES</v>
      </c>
      <c r="AS525" s="264" t="b">
        <f t="shared" si="1194"/>
        <v>1</v>
      </c>
      <c r="AT525" s="294"/>
    </row>
    <row r="526" spans="1:46" ht="13" hidden="1" x14ac:dyDescent="0.2">
      <c r="A526" s="294"/>
      <c r="B526" s="924"/>
      <c r="C526" s="271">
        <v>519</v>
      </c>
      <c r="D526" s="250">
        <f t="shared" si="1176"/>
        <v>0</v>
      </c>
      <c r="E526" s="250"/>
      <c r="F526" s="248" t="str">
        <f t="shared" si="1186"/>
        <v>YEAR4</v>
      </c>
      <c r="G526" s="250">
        <f>VLOOKUP(F526,TableInputsData[],$G$6,FALSE)</f>
        <v>2028</v>
      </c>
      <c r="H526" s="250" t="str">
        <f t="shared" ref="H526:I526" si="1205">H525</f>
        <v>PRODUCT</v>
      </c>
      <c r="I526" s="248" t="str">
        <f t="shared" si="1205"/>
        <v>PRODUCT 13</v>
      </c>
      <c r="J526" s="248" t="str">
        <f>VLOOKUP(I526,TableInputsData[],$J$6,FALSE)</f>
        <v>-</v>
      </c>
      <c r="K526" s="248" t="str">
        <f t="shared" si="1199"/>
        <v>REVENUE</v>
      </c>
      <c r="L526" s="255"/>
      <c r="M526" s="255"/>
      <c r="N526" s="255"/>
      <c r="O526" s="265"/>
      <c r="P526" s="260"/>
      <c r="Q526" s="260"/>
      <c r="R526" s="260"/>
      <c r="S526" s="630"/>
      <c r="T526" s="630"/>
      <c r="U526" s="630"/>
      <c r="V526" s="630"/>
      <c r="W526" s="260"/>
      <c r="X526" s="260"/>
      <c r="Y526" s="260"/>
      <c r="Z526" s="260"/>
      <c r="AA526" s="260"/>
      <c r="AB526" s="260"/>
      <c r="AC526" s="265"/>
      <c r="AD526" s="634"/>
      <c r="AE526" s="264">
        <f t="shared" ref="AE526:AH526" si="1206">AE518*($L518*$P518+$M518*$Q518+$N518*$R518)</f>
        <v>0</v>
      </c>
      <c r="AF526" s="264">
        <f t="shared" si="1206"/>
        <v>0</v>
      </c>
      <c r="AG526" s="264">
        <f t="shared" si="1206"/>
        <v>0</v>
      </c>
      <c r="AH526" s="264">
        <f t="shared" si="1206"/>
        <v>0</v>
      </c>
      <c r="AI526" s="264">
        <f t="shared" si="1197"/>
        <v>0</v>
      </c>
      <c r="AJ526" s="264">
        <f t="shared" si="1189"/>
        <v>0</v>
      </c>
      <c r="AK526" s="264">
        <f t="shared" si="1190"/>
        <v>0</v>
      </c>
      <c r="AL526" s="264">
        <f t="shared" si="1191"/>
        <v>0</v>
      </c>
      <c r="AM526" s="264">
        <f t="shared" si="1192"/>
        <v>0</v>
      </c>
      <c r="AN526" s="640">
        <f t="shared" si="1175"/>
        <v>0</v>
      </c>
      <c r="AO526" s="264">
        <f t="shared" si="1193"/>
        <v>0</v>
      </c>
      <c r="AP526" s="640">
        <f t="shared" si="1169"/>
        <v>0</v>
      </c>
      <c r="AQ526" s="264"/>
      <c r="AR526" s="264" t="str">
        <f>VLOOKUP($I526,TableInputsData[],ReadMe!$M$3,FALSE)&amp;"  |  "&amp;VLOOKUP($K526,TableInputsData[],ReadMe!$M$3,FALSE)</f>
        <v>PRODUIT 13  |  CHIFFRE D'AFFAIRES</v>
      </c>
      <c r="AS526" s="264" t="b">
        <f t="shared" si="1194"/>
        <v>1</v>
      </c>
      <c r="AT526" s="294"/>
    </row>
    <row r="527" spans="1:46" ht="13" hidden="1" x14ac:dyDescent="0.2">
      <c r="A527" s="294"/>
      <c r="B527" s="924"/>
      <c r="C527" s="271">
        <v>520</v>
      </c>
      <c r="D527" s="250">
        <f t="shared" si="1176"/>
        <v>0</v>
      </c>
      <c r="E527" s="250"/>
      <c r="F527" s="248" t="str">
        <f t="shared" si="1186"/>
        <v>YEAR5</v>
      </c>
      <c r="G527" s="250">
        <f>VLOOKUP(F527,TableInputsData[],$G$6,FALSE)</f>
        <v>2029</v>
      </c>
      <c r="H527" s="250" t="str">
        <f t="shared" ref="H527:I527" si="1207">H526</f>
        <v>PRODUCT</v>
      </c>
      <c r="I527" s="248" t="str">
        <f t="shared" si="1207"/>
        <v>PRODUCT 13</v>
      </c>
      <c r="J527" s="248" t="str">
        <f>VLOOKUP(I527,TableInputsData[],$J$6,FALSE)</f>
        <v>-</v>
      </c>
      <c r="K527" s="248" t="str">
        <f t="shared" si="1199"/>
        <v>REVENUE</v>
      </c>
      <c r="L527" s="255"/>
      <c r="M527" s="255"/>
      <c r="N527" s="255"/>
      <c r="O527" s="265"/>
      <c r="P527" s="260"/>
      <c r="Q527" s="260"/>
      <c r="R527" s="260"/>
      <c r="S527" s="630"/>
      <c r="T527" s="630"/>
      <c r="U527" s="630"/>
      <c r="V527" s="630"/>
      <c r="W527" s="260"/>
      <c r="X527" s="260"/>
      <c r="Y527" s="260"/>
      <c r="Z527" s="260"/>
      <c r="AA527" s="260"/>
      <c r="AB527" s="260"/>
      <c r="AC527" s="265"/>
      <c r="AD527" s="634"/>
      <c r="AE527" s="264">
        <f t="shared" ref="AE527:AH527" si="1208">AE519*($L519*$P519+$M519*$Q519+$N519*$R519)</f>
        <v>0</v>
      </c>
      <c r="AF527" s="264">
        <f t="shared" si="1208"/>
        <v>0</v>
      </c>
      <c r="AG527" s="264">
        <f t="shared" si="1208"/>
        <v>0</v>
      </c>
      <c r="AH527" s="264">
        <f t="shared" si="1208"/>
        <v>0</v>
      </c>
      <c r="AI527" s="264">
        <f t="shared" si="1197"/>
        <v>0</v>
      </c>
      <c r="AJ527" s="264">
        <f t="shared" si="1189"/>
        <v>0</v>
      </c>
      <c r="AK527" s="264">
        <f t="shared" si="1190"/>
        <v>0</v>
      </c>
      <c r="AL527" s="264">
        <f t="shared" si="1191"/>
        <v>0</v>
      </c>
      <c r="AM527" s="264">
        <f t="shared" si="1192"/>
        <v>0</v>
      </c>
      <c r="AN527" s="640">
        <f t="shared" si="1175"/>
        <v>0</v>
      </c>
      <c r="AO527" s="264">
        <f t="shared" si="1193"/>
        <v>0</v>
      </c>
      <c r="AP527" s="640">
        <f t="shared" si="1169"/>
        <v>0</v>
      </c>
      <c r="AQ527" s="264"/>
      <c r="AR527" s="264" t="str">
        <f>VLOOKUP($I527,TableInputsData[],ReadMe!$M$3,FALSE)&amp;"  |  "&amp;VLOOKUP($K527,TableInputsData[],ReadMe!$M$3,FALSE)</f>
        <v>PRODUIT 13  |  CHIFFRE D'AFFAIRES</v>
      </c>
      <c r="AS527" s="264" t="b">
        <f t="shared" si="1194"/>
        <v>1</v>
      </c>
      <c r="AT527" s="294"/>
    </row>
    <row r="528" spans="1:46" ht="13" hidden="1" x14ac:dyDescent="0.2">
      <c r="A528" s="294"/>
      <c r="B528" s="924"/>
      <c r="C528" s="271">
        <v>521</v>
      </c>
      <c r="D528" s="250">
        <f t="shared" si="1176"/>
        <v>0</v>
      </c>
      <c r="E528" s="250"/>
      <c r="F528" s="248" t="str">
        <f t="shared" si="1186"/>
        <v>YEAR6</v>
      </c>
      <c r="G528" s="250">
        <f>VLOOKUP(F528,TableInputsData[],$G$6,FALSE)</f>
        <v>2030</v>
      </c>
      <c r="H528" s="250" t="str">
        <f t="shared" ref="H528:I528" si="1209">H527</f>
        <v>PRODUCT</v>
      </c>
      <c r="I528" s="248" t="str">
        <f t="shared" si="1209"/>
        <v>PRODUCT 13</v>
      </c>
      <c r="J528" s="248" t="str">
        <f>VLOOKUP(I528,TableInputsData[],$J$6,FALSE)</f>
        <v>-</v>
      </c>
      <c r="K528" s="248" t="str">
        <f t="shared" si="1199"/>
        <v>REVENUE</v>
      </c>
      <c r="L528" s="255"/>
      <c r="M528" s="255"/>
      <c r="N528" s="255"/>
      <c r="O528" s="265"/>
      <c r="P528" s="260"/>
      <c r="Q528" s="260"/>
      <c r="R528" s="260"/>
      <c r="S528" s="630"/>
      <c r="T528" s="630"/>
      <c r="U528" s="630"/>
      <c r="V528" s="630"/>
      <c r="W528" s="260"/>
      <c r="X528" s="260"/>
      <c r="Y528" s="260"/>
      <c r="Z528" s="260"/>
      <c r="AA528" s="260"/>
      <c r="AB528" s="260"/>
      <c r="AC528" s="265"/>
      <c r="AD528" s="634"/>
      <c r="AE528" s="264">
        <f t="shared" ref="AE528:AH528" si="1210">AE520*($L520*$P520+$M520*$Q520+$N520*$R520)</f>
        <v>0</v>
      </c>
      <c r="AF528" s="264">
        <f t="shared" si="1210"/>
        <v>0</v>
      </c>
      <c r="AG528" s="264">
        <f t="shared" si="1210"/>
        <v>0</v>
      </c>
      <c r="AH528" s="264">
        <f t="shared" si="1210"/>
        <v>0</v>
      </c>
      <c r="AI528" s="264">
        <f>$AE528+$AF528+$AG528+$AH528</f>
        <v>0</v>
      </c>
      <c r="AJ528" s="264">
        <f t="shared" si="1189"/>
        <v>0</v>
      </c>
      <c r="AK528" s="264">
        <f t="shared" si="1190"/>
        <v>0</v>
      </c>
      <c r="AL528" s="264">
        <f t="shared" si="1191"/>
        <v>0</v>
      </c>
      <c r="AM528" s="264">
        <f t="shared" si="1192"/>
        <v>0</v>
      </c>
      <c r="AN528" s="640">
        <f t="shared" si="1175"/>
        <v>0</v>
      </c>
      <c r="AO528" s="264">
        <f t="shared" si="1193"/>
        <v>0</v>
      </c>
      <c r="AP528" s="640">
        <f t="shared" si="1169"/>
        <v>0</v>
      </c>
      <c r="AQ528" s="264"/>
      <c r="AR528" s="264" t="str">
        <f>VLOOKUP($I528,TableInputsData[],ReadMe!$M$3,FALSE)&amp;"  |  "&amp;VLOOKUP($K528,TableInputsData[],ReadMe!$M$3,FALSE)</f>
        <v>PRODUIT 13  |  CHIFFRE D'AFFAIRES</v>
      </c>
      <c r="AS528" s="264" t="b">
        <f t="shared" si="1194"/>
        <v>1</v>
      </c>
      <c r="AT528" s="294"/>
    </row>
    <row r="529" spans="1:46" ht="13" hidden="1" x14ac:dyDescent="0.2">
      <c r="A529" s="294"/>
      <c r="B529" s="924"/>
      <c r="C529" s="271">
        <v>522</v>
      </c>
      <c r="D529" s="250">
        <f t="shared" si="1176"/>
        <v>0</v>
      </c>
      <c r="E529" s="250"/>
      <c r="F529" s="248" t="str">
        <f t="shared" ref="F529:F536" si="1211">F513</f>
        <v>YEAR-2</v>
      </c>
      <c r="G529" s="250">
        <f>VLOOKUP(F529,TableInputsData[],$G$6,FALSE)</f>
        <v>2023</v>
      </c>
      <c r="H529" s="250" t="str">
        <f t="shared" ref="H529:I529" si="1212">H528</f>
        <v>PRODUCT</v>
      </c>
      <c r="I529" s="248" t="str">
        <f t="shared" si="1212"/>
        <v>PRODUCT 13</v>
      </c>
      <c r="J529" s="248" t="str">
        <f>VLOOKUP(I529,TableInputsData[],$J$6,FALSE)</f>
        <v>-</v>
      </c>
      <c r="K529" s="248" t="s">
        <v>456</v>
      </c>
      <c r="L529" s="255"/>
      <c r="M529" s="255"/>
      <c r="N529" s="255"/>
      <c r="O529" s="265"/>
      <c r="P529" s="260"/>
      <c r="Q529" s="260"/>
      <c r="R529" s="260"/>
      <c r="S529" s="630"/>
      <c r="T529" s="630"/>
      <c r="U529" s="630"/>
      <c r="V529" s="630"/>
      <c r="W529" s="260"/>
      <c r="X529" s="260"/>
      <c r="Y529" s="260"/>
      <c r="Z529" s="260"/>
      <c r="AA529" s="260"/>
      <c r="AB529" s="260"/>
      <c r="AC529" s="265"/>
      <c r="AD529" s="634"/>
      <c r="AE529" s="264">
        <f>IF(AE513=0,0,AE521/AE513)</f>
        <v>0</v>
      </c>
      <c r="AF529" s="264">
        <f t="shared" ref="AF529:AI529" si="1213">IF(AF513=0,0,AF521/AF513)</f>
        <v>0</v>
      </c>
      <c r="AG529" s="264">
        <f t="shared" si="1213"/>
        <v>0</v>
      </c>
      <c r="AH529" s="264">
        <f t="shared" si="1213"/>
        <v>0</v>
      </c>
      <c r="AI529" s="264">
        <f t="shared" si="1213"/>
        <v>0</v>
      </c>
      <c r="AJ529" s="264">
        <f>IF(AJ513=0,0,AJ521/AJ513)</f>
        <v>0</v>
      </c>
      <c r="AK529" s="264">
        <f t="shared" ref="AK529:AL529" si="1214">IF(AK513=0,0,AK521/AK513)</f>
        <v>0</v>
      </c>
      <c r="AL529" s="264">
        <f t="shared" si="1214"/>
        <v>0</v>
      </c>
      <c r="AM529" s="264">
        <f>IF(AM513=0,0,AM521/AM513)</f>
        <v>0</v>
      </c>
      <c r="AN529" s="260"/>
      <c r="AO529" s="264">
        <f t="shared" ref="AO529:AO536" si="1215">IF(AO513=0,0,AO521/AO513)</f>
        <v>0</v>
      </c>
      <c r="AP529" s="260"/>
      <c r="AQ529" s="264"/>
      <c r="AR529" s="264" t="str">
        <f>VLOOKUP($I529,TableInputsData[],ReadMe!$M$3,FALSE)&amp;"  |  "&amp;VLOOKUP($K529,TableInputsData[],ReadMe!$M$3,FALSE)</f>
        <v>PRODUIT 13  |  PRIX MOYEN DE VENTE PAR PRODUIT/SERVICE</v>
      </c>
      <c r="AS529" s="264"/>
      <c r="AT529" s="294"/>
    </row>
    <row r="530" spans="1:46" ht="13" hidden="1" x14ac:dyDescent="0.2">
      <c r="A530" s="294"/>
      <c r="B530" s="924"/>
      <c r="C530" s="271">
        <v>523</v>
      </c>
      <c r="D530" s="250">
        <f t="shared" si="1176"/>
        <v>0</v>
      </c>
      <c r="E530" s="250"/>
      <c r="F530" s="248" t="str">
        <f t="shared" si="1211"/>
        <v>YEAR-1</v>
      </c>
      <c r="G530" s="250">
        <f>VLOOKUP(F530,TableInputsData[],$G$6,FALSE)</f>
        <v>2024</v>
      </c>
      <c r="H530" s="250" t="str">
        <f t="shared" ref="H530:I530" si="1216">H529</f>
        <v>PRODUCT</v>
      </c>
      <c r="I530" s="248" t="str">
        <f t="shared" si="1216"/>
        <v>PRODUCT 13</v>
      </c>
      <c r="J530" s="248" t="str">
        <f>VLOOKUP(I530,TableInputsData[],$J$6,FALSE)</f>
        <v>-</v>
      </c>
      <c r="K530" s="248" t="str">
        <f>K529</f>
        <v>AVERAGE SELLING PRICE PER UNIT</v>
      </c>
      <c r="L530" s="255"/>
      <c r="M530" s="255"/>
      <c r="N530" s="255"/>
      <c r="O530" s="265"/>
      <c r="P530" s="260"/>
      <c r="Q530" s="260"/>
      <c r="R530" s="260"/>
      <c r="S530" s="630"/>
      <c r="T530" s="630"/>
      <c r="U530" s="630"/>
      <c r="V530" s="630"/>
      <c r="W530" s="260"/>
      <c r="X530" s="260"/>
      <c r="Y530" s="260"/>
      <c r="Z530" s="260"/>
      <c r="AA530" s="260"/>
      <c r="AB530" s="260"/>
      <c r="AC530" s="265"/>
      <c r="AD530" s="634"/>
      <c r="AE530" s="264">
        <f>IF(AE514=0,0,AE522/AE514)</f>
        <v>0</v>
      </c>
      <c r="AF530" s="264">
        <f t="shared" ref="AF530:AM530" si="1217">IF(AF514=0,0,AF522/AF514)</f>
        <v>0</v>
      </c>
      <c r="AG530" s="264">
        <f t="shared" si="1217"/>
        <v>0</v>
      </c>
      <c r="AH530" s="264">
        <f t="shared" si="1217"/>
        <v>0</v>
      </c>
      <c r="AI530" s="264">
        <f t="shared" si="1217"/>
        <v>0</v>
      </c>
      <c r="AJ530" s="264">
        <f t="shared" si="1217"/>
        <v>0</v>
      </c>
      <c r="AK530" s="264">
        <f t="shared" si="1217"/>
        <v>0</v>
      </c>
      <c r="AL530" s="264">
        <f t="shared" si="1217"/>
        <v>0</v>
      </c>
      <c r="AM530" s="264">
        <f t="shared" si="1217"/>
        <v>0</v>
      </c>
      <c r="AN530" s="260"/>
      <c r="AO530" s="264">
        <f t="shared" si="1215"/>
        <v>0</v>
      </c>
      <c r="AP530" s="260"/>
      <c r="AQ530" s="264"/>
      <c r="AR530" s="264" t="str">
        <f>VLOOKUP($I530,TableInputsData[],ReadMe!$M$3,FALSE)&amp;"  |  "&amp;VLOOKUP($K530,TableInputsData[],ReadMe!$M$3,FALSE)</f>
        <v>PRODUIT 13  |  PRIX MOYEN DE VENTE PAR PRODUIT/SERVICE</v>
      </c>
      <c r="AS530" s="264"/>
      <c r="AT530" s="294"/>
    </row>
    <row r="531" spans="1:46" ht="13" hidden="1" x14ac:dyDescent="0.2">
      <c r="A531" s="294"/>
      <c r="B531" s="924"/>
      <c r="C531" s="271">
        <v>524</v>
      </c>
      <c r="D531" s="250">
        <f t="shared" si="1176"/>
        <v>0</v>
      </c>
      <c r="E531" s="250"/>
      <c r="F531" s="248" t="str">
        <f t="shared" si="1211"/>
        <v>CURRENT YEAR</v>
      </c>
      <c r="G531" s="250">
        <f>VLOOKUP(F531,TableInputsData[],$G$6,FALSE)</f>
        <v>2025</v>
      </c>
      <c r="H531" s="250" t="str">
        <f t="shared" ref="H531:I531" si="1218">H530</f>
        <v>PRODUCT</v>
      </c>
      <c r="I531" s="248" t="str">
        <f t="shared" si="1218"/>
        <v>PRODUCT 13</v>
      </c>
      <c r="J531" s="248" t="str">
        <f>VLOOKUP(I531,TableInputsData[],$J$6,FALSE)</f>
        <v>-</v>
      </c>
      <c r="K531" s="248" t="str">
        <f t="shared" ref="K531:K536" si="1219">K530</f>
        <v>AVERAGE SELLING PRICE PER UNIT</v>
      </c>
      <c r="L531" s="255"/>
      <c r="M531" s="255"/>
      <c r="N531" s="255"/>
      <c r="O531" s="265"/>
      <c r="P531" s="260"/>
      <c r="Q531" s="260"/>
      <c r="R531" s="260"/>
      <c r="S531" s="630"/>
      <c r="T531" s="630"/>
      <c r="U531" s="630"/>
      <c r="V531" s="630"/>
      <c r="W531" s="260"/>
      <c r="X531" s="260"/>
      <c r="Y531" s="260"/>
      <c r="Z531" s="260"/>
      <c r="AA531" s="260"/>
      <c r="AB531" s="260"/>
      <c r="AC531" s="265"/>
      <c r="AD531" s="634"/>
      <c r="AE531" s="264">
        <f>IF(AE515=0,0,AE523/AE515)</f>
        <v>0</v>
      </c>
      <c r="AF531" s="264">
        <f t="shared" ref="AF531:AM531" si="1220">IF(AF515=0,0,AF523/AF515)</f>
        <v>0</v>
      </c>
      <c r="AG531" s="264">
        <f t="shared" si="1220"/>
        <v>0</v>
      </c>
      <c r="AH531" s="264">
        <f t="shared" si="1220"/>
        <v>0</v>
      </c>
      <c r="AI531" s="264">
        <f t="shared" si="1220"/>
        <v>0</v>
      </c>
      <c r="AJ531" s="264">
        <f t="shared" si="1220"/>
        <v>0</v>
      </c>
      <c r="AK531" s="264">
        <f t="shared" si="1220"/>
        <v>0</v>
      </c>
      <c r="AL531" s="264">
        <f t="shared" si="1220"/>
        <v>0</v>
      </c>
      <c r="AM531" s="264">
        <f t="shared" si="1220"/>
        <v>0</v>
      </c>
      <c r="AN531" s="260"/>
      <c r="AO531" s="264">
        <f t="shared" si="1215"/>
        <v>0</v>
      </c>
      <c r="AP531" s="260"/>
      <c r="AQ531" s="264"/>
      <c r="AR531" s="264" t="str">
        <f>VLOOKUP($I531,TableInputsData[],ReadMe!$M$3,FALSE)&amp;"  |  "&amp;VLOOKUP($K531,TableInputsData[],ReadMe!$M$3,FALSE)</f>
        <v>PRODUIT 13  |  PRIX MOYEN DE VENTE PAR PRODUIT/SERVICE</v>
      </c>
      <c r="AS531" s="264"/>
      <c r="AT531" s="294"/>
    </row>
    <row r="532" spans="1:46" ht="13" hidden="1" x14ac:dyDescent="0.2">
      <c r="A532" s="294"/>
      <c r="B532" s="924"/>
      <c r="C532" s="271">
        <v>525</v>
      </c>
      <c r="D532" s="250">
        <f t="shared" si="1176"/>
        <v>0</v>
      </c>
      <c r="E532" s="250"/>
      <c r="F532" s="248" t="str">
        <f t="shared" si="1211"/>
        <v>YEAR2</v>
      </c>
      <c r="G532" s="250">
        <f>VLOOKUP(F532,TableInputsData[],$G$6,FALSE)</f>
        <v>2026</v>
      </c>
      <c r="H532" s="250" t="str">
        <f t="shared" ref="H532:I532" si="1221">H531</f>
        <v>PRODUCT</v>
      </c>
      <c r="I532" s="248" t="str">
        <f t="shared" si="1221"/>
        <v>PRODUCT 13</v>
      </c>
      <c r="J532" s="248" t="str">
        <f>VLOOKUP(I532,TableInputsData[],$J$6,FALSE)</f>
        <v>-</v>
      </c>
      <c r="K532" s="248" t="str">
        <f t="shared" si="1219"/>
        <v>AVERAGE SELLING PRICE PER UNIT</v>
      </c>
      <c r="L532" s="255"/>
      <c r="M532" s="255"/>
      <c r="N532" s="255"/>
      <c r="O532" s="265"/>
      <c r="P532" s="260"/>
      <c r="Q532" s="260"/>
      <c r="R532" s="260"/>
      <c r="S532" s="630"/>
      <c r="T532" s="630"/>
      <c r="U532" s="630"/>
      <c r="V532" s="630"/>
      <c r="W532" s="260"/>
      <c r="X532" s="260"/>
      <c r="Y532" s="260"/>
      <c r="Z532" s="260"/>
      <c r="AA532" s="260"/>
      <c r="AB532" s="260"/>
      <c r="AC532" s="265"/>
      <c r="AD532" s="634"/>
      <c r="AE532" s="264">
        <f>IF(AE516=0,0,AE524/AE516)</f>
        <v>0</v>
      </c>
      <c r="AF532" s="264">
        <f t="shared" ref="AF532:AM532" si="1222">IF(AF516=0,0,AF524/AF516)</f>
        <v>0</v>
      </c>
      <c r="AG532" s="264">
        <f t="shared" si="1222"/>
        <v>0</v>
      </c>
      <c r="AH532" s="264">
        <f t="shared" si="1222"/>
        <v>0</v>
      </c>
      <c r="AI532" s="264">
        <f t="shared" si="1222"/>
        <v>0</v>
      </c>
      <c r="AJ532" s="264">
        <f t="shared" si="1222"/>
        <v>0</v>
      </c>
      <c r="AK532" s="264">
        <f t="shared" si="1222"/>
        <v>0</v>
      </c>
      <c r="AL532" s="264">
        <f t="shared" si="1222"/>
        <v>0</v>
      </c>
      <c r="AM532" s="264">
        <f t="shared" si="1222"/>
        <v>0</v>
      </c>
      <c r="AN532" s="260"/>
      <c r="AO532" s="264">
        <f t="shared" si="1215"/>
        <v>0</v>
      </c>
      <c r="AP532" s="260"/>
      <c r="AQ532" s="264"/>
      <c r="AR532" s="264" t="str">
        <f>VLOOKUP($I532,TableInputsData[],ReadMe!$M$3,FALSE)&amp;"  |  "&amp;VLOOKUP($K532,TableInputsData[],ReadMe!$M$3,FALSE)</f>
        <v>PRODUIT 13  |  PRIX MOYEN DE VENTE PAR PRODUIT/SERVICE</v>
      </c>
      <c r="AS532" s="264"/>
      <c r="AT532" s="294"/>
    </row>
    <row r="533" spans="1:46" ht="13" hidden="1" x14ac:dyDescent="0.2">
      <c r="A533" s="294"/>
      <c r="B533" s="924"/>
      <c r="C533" s="271">
        <v>526</v>
      </c>
      <c r="D533" s="250">
        <f t="shared" si="1176"/>
        <v>0</v>
      </c>
      <c r="E533" s="250"/>
      <c r="F533" s="248" t="str">
        <f t="shared" si="1211"/>
        <v>YEAR3</v>
      </c>
      <c r="G533" s="250">
        <f>VLOOKUP(F533,TableInputsData[],$G$6,FALSE)</f>
        <v>2027</v>
      </c>
      <c r="H533" s="250" t="str">
        <f t="shared" ref="H533:I533" si="1223">H532</f>
        <v>PRODUCT</v>
      </c>
      <c r="I533" s="248" t="str">
        <f t="shared" si="1223"/>
        <v>PRODUCT 13</v>
      </c>
      <c r="J533" s="248" t="str">
        <f>VLOOKUP(I533,TableInputsData[],$J$6,FALSE)</f>
        <v>-</v>
      </c>
      <c r="K533" s="248" t="str">
        <f t="shared" si="1219"/>
        <v>AVERAGE SELLING PRICE PER UNIT</v>
      </c>
      <c r="L533" s="255"/>
      <c r="M533" s="255"/>
      <c r="N533" s="255"/>
      <c r="O533" s="265"/>
      <c r="P533" s="260"/>
      <c r="Q533" s="260"/>
      <c r="R533" s="260"/>
      <c r="S533" s="630"/>
      <c r="T533" s="630"/>
      <c r="U533" s="630"/>
      <c r="V533" s="630"/>
      <c r="W533" s="260"/>
      <c r="X533" s="260"/>
      <c r="Y533" s="260"/>
      <c r="Z533" s="260"/>
      <c r="AA533" s="260"/>
      <c r="AB533" s="260"/>
      <c r="AC533" s="265"/>
      <c r="AD533" s="634"/>
      <c r="AE533" s="264">
        <f t="shared" ref="AE533:AM533" si="1224">IF(AE517=0,0,AE525/AE517)</f>
        <v>0</v>
      </c>
      <c r="AF533" s="264">
        <f t="shared" si="1224"/>
        <v>0</v>
      </c>
      <c r="AG533" s="264">
        <f t="shared" si="1224"/>
        <v>0</v>
      </c>
      <c r="AH533" s="264">
        <f t="shared" si="1224"/>
        <v>0</v>
      </c>
      <c r="AI533" s="264">
        <f t="shared" si="1224"/>
        <v>0</v>
      </c>
      <c r="AJ533" s="264">
        <f t="shared" si="1224"/>
        <v>0</v>
      </c>
      <c r="AK533" s="264">
        <f t="shared" si="1224"/>
        <v>0</v>
      </c>
      <c r="AL533" s="264">
        <f t="shared" si="1224"/>
        <v>0</v>
      </c>
      <c r="AM533" s="264">
        <f t="shared" si="1224"/>
        <v>0</v>
      </c>
      <c r="AN533" s="260"/>
      <c r="AO533" s="264">
        <f t="shared" si="1215"/>
        <v>0</v>
      </c>
      <c r="AP533" s="260"/>
      <c r="AQ533" s="264"/>
      <c r="AR533" s="264" t="str">
        <f>VLOOKUP($I533,TableInputsData[],ReadMe!$M$3,FALSE)&amp;"  |  "&amp;VLOOKUP($K533,TableInputsData[],ReadMe!$M$3,FALSE)</f>
        <v>PRODUIT 13  |  PRIX MOYEN DE VENTE PAR PRODUIT/SERVICE</v>
      </c>
      <c r="AS533" s="264"/>
      <c r="AT533" s="294"/>
    </row>
    <row r="534" spans="1:46" ht="13" hidden="1" x14ac:dyDescent="0.2">
      <c r="A534" s="294"/>
      <c r="B534" s="924"/>
      <c r="C534" s="272">
        <v>527</v>
      </c>
      <c r="D534" s="250">
        <f t="shared" si="1176"/>
        <v>0</v>
      </c>
      <c r="E534" s="251"/>
      <c r="F534" s="248" t="str">
        <f t="shared" si="1211"/>
        <v>YEAR4</v>
      </c>
      <c r="G534" s="250">
        <f>VLOOKUP(F534,TableInputsData[],$G$6,FALSE)</f>
        <v>2028</v>
      </c>
      <c r="H534" s="250" t="str">
        <f t="shared" ref="H534:I534" si="1225">H533</f>
        <v>PRODUCT</v>
      </c>
      <c r="I534" s="248" t="str">
        <f t="shared" si="1225"/>
        <v>PRODUCT 13</v>
      </c>
      <c r="J534" s="248" t="str">
        <f>VLOOKUP(I534,TableInputsData[],$J$6,FALSE)</f>
        <v>-</v>
      </c>
      <c r="K534" s="248" t="str">
        <f t="shared" si="1219"/>
        <v>AVERAGE SELLING PRICE PER UNIT</v>
      </c>
      <c r="L534" s="256"/>
      <c r="M534" s="256"/>
      <c r="N534" s="256"/>
      <c r="O534" s="266"/>
      <c r="P534" s="261"/>
      <c r="Q534" s="261"/>
      <c r="R534" s="261"/>
      <c r="S534" s="629"/>
      <c r="T534" s="629"/>
      <c r="U534" s="629"/>
      <c r="V534" s="629"/>
      <c r="W534" s="261"/>
      <c r="X534" s="261"/>
      <c r="Y534" s="261"/>
      <c r="Z534" s="261"/>
      <c r="AA534" s="261"/>
      <c r="AB534" s="261"/>
      <c r="AC534" s="266"/>
      <c r="AD534" s="633"/>
      <c r="AE534" s="264">
        <f t="shared" ref="AE534:AM534" si="1226">IF(AE518=0,0,AE526/AE518)</f>
        <v>0</v>
      </c>
      <c r="AF534" s="264">
        <f t="shared" si="1226"/>
        <v>0</v>
      </c>
      <c r="AG534" s="264">
        <f t="shared" si="1226"/>
        <v>0</v>
      </c>
      <c r="AH534" s="264">
        <f t="shared" si="1226"/>
        <v>0</v>
      </c>
      <c r="AI534" s="264">
        <f t="shared" si="1226"/>
        <v>0</v>
      </c>
      <c r="AJ534" s="264">
        <f t="shared" si="1226"/>
        <v>0</v>
      </c>
      <c r="AK534" s="264">
        <f t="shared" si="1226"/>
        <v>0</v>
      </c>
      <c r="AL534" s="264">
        <f t="shared" si="1226"/>
        <v>0</v>
      </c>
      <c r="AM534" s="264">
        <f t="shared" si="1226"/>
        <v>0</v>
      </c>
      <c r="AN534" s="260"/>
      <c r="AO534" s="264">
        <f t="shared" si="1215"/>
        <v>0</v>
      </c>
      <c r="AP534" s="260"/>
      <c r="AQ534" s="264"/>
      <c r="AR534" s="264" t="str">
        <f>VLOOKUP($I534,TableInputsData[],ReadMe!$M$3,FALSE)&amp;"  |  "&amp;VLOOKUP($K534,TableInputsData[],ReadMe!$M$3,FALSE)</f>
        <v>PRODUIT 13  |  PRIX MOYEN DE VENTE PAR PRODUIT/SERVICE</v>
      </c>
      <c r="AS534" s="264"/>
      <c r="AT534" s="294"/>
    </row>
    <row r="535" spans="1:46" ht="13" hidden="1" x14ac:dyDescent="0.2">
      <c r="A535" s="294"/>
      <c r="B535" s="924"/>
      <c r="C535" s="271">
        <v>528</v>
      </c>
      <c r="D535" s="250">
        <f t="shared" si="1176"/>
        <v>0</v>
      </c>
      <c r="E535" s="250"/>
      <c r="F535" s="248" t="str">
        <f t="shared" si="1211"/>
        <v>YEAR5</v>
      </c>
      <c r="G535" s="250">
        <f>VLOOKUP(F535,TableInputsData[],$G$6,FALSE)</f>
        <v>2029</v>
      </c>
      <c r="H535" s="250" t="str">
        <f t="shared" ref="H535:I535" si="1227">H534</f>
        <v>PRODUCT</v>
      </c>
      <c r="I535" s="248" t="str">
        <f t="shared" si="1227"/>
        <v>PRODUCT 13</v>
      </c>
      <c r="J535" s="248" t="str">
        <f>VLOOKUP(I535,TableInputsData[],$J$6,FALSE)</f>
        <v>-</v>
      </c>
      <c r="K535" s="248" t="str">
        <f t="shared" si="1219"/>
        <v>AVERAGE SELLING PRICE PER UNIT</v>
      </c>
      <c r="L535" s="255"/>
      <c r="M535" s="255"/>
      <c r="N535" s="255"/>
      <c r="O535" s="265"/>
      <c r="P535" s="260"/>
      <c r="Q535" s="260"/>
      <c r="R535" s="260"/>
      <c r="S535" s="630"/>
      <c r="T535" s="630"/>
      <c r="U535" s="630"/>
      <c r="V535" s="630"/>
      <c r="W535" s="260"/>
      <c r="X535" s="260"/>
      <c r="Y535" s="260"/>
      <c r="Z535" s="260"/>
      <c r="AA535" s="260"/>
      <c r="AB535" s="260"/>
      <c r="AC535" s="265"/>
      <c r="AD535" s="634"/>
      <c r="AE535" s="264">
        <f t="shared" ref="AE535:AM535" si="1228">IF(AE519=0,0,AE527/AE519)</f>
        <v>0</v>
      </c>
      <c r="AF535" s="264">
        <f t="shared" si="1228"/>
        <v>0</v>
      </c>
      <c r="AG535" s="264">
        <f t="shared" si="1228"/>
        <v>0</v>
      </c>
      <c r="AH535" s="264">
        <f t="shared" si="1228"/>
        <v>0</v>
      </c>
      <c r="AI535" s="264">
        <f t="shared" si="1228"/>
        <v>0</v>
      </c>
      <c r="AJ535" s="264">
        <f t="shared" si="1228"/>
        <v>0</v>
      </c>
      <c r="AK535" s="264">
        <f t="shared" si="1228"/>
        <v>0</v>
      </c>
      <c r="AL535" s="264">
        <f t="shared" si="1228"/>
        <v>0</v>
      </c>
      <c r="AM535" s="264">
        <f t="shared" si="1228"/>
        <v>0</v>
      </c>
      <c r="AN535" s="260"/>
      <c r="AO535" s="264">
        <f t="shared" si="1215"/>
        <v>0</v>
      </c>
      <c r="AP535" s="260"/>
      <c r="AQ535" s="264"/>
      <c r="AR535" s="264" t="str">
        <f>VLOOKUP($I535,TableInputsData[],ReadMe!$M$3,FALSE)&amp;"  |  "&amp;VLOOKUP($K535,TableInputsData[],ReadMe!$M$3,FALSE)</f>
        <v>PRODUIT 13  |  PRIX MOYEN DE VENTE PAR PRODUIT/SERVICE</v>
      </c>
      <c r="AS535" s="264"/>
      <c r="AT535" s="294"/>
    </row>
    <row r="536" spans="1:46" ht="13" hidden="1" x14ac:dyDescent="0.2">
      <c r="A536" s="294"/>
      <c r="B536" s="924"/>
      <c r="C536" s="271">
        <v>529</v>
      </c>
      <c r="D536" s="250">
        <f t="shared" si="1176"/>
        <v>0</v>
      </c>
      <c r="E536" s="250"/>
      <c r="F536" s="248" t="str">
        <f t="shared" si="1211"/>
        <v>YEAR6</v>
      </c>
      <c r="G536" s="250">
        <f>VLOOKUP(F536,TableInputsData[],$G$6,FALSE)</f>
        <v>2030</v>
      </c>
      <c r="H536" s="250" t="str">
        <f t="shared" ref="H536:I536" si="1229">H535</f>
        <v>PRODUCT</v>
      </c>
      <c r="I536" s="248" t="str">
        <f t="shared" si="1229"/>
        <v>PRODUCT 13</v>
      </c>
      <c r="J536" s="248" t="str">
        <f>VLOOKUP(I536,TableInputsData[],$J$6,FALSE)</f>
        <v>-</v>
      </c>
      <c r="K536" s="248" t="str">
        <f t="shared" si="1219"/>
        <v>AVERAGE SELLING PRICE PER UNIT</v>
      </c>
      <c r="L536" s="255"/>
      <c r="M536" s="255"/>
      <c r="N536" s="255"/>
      <c r="O536" s="265"/>
      <c r="P536" s="260"/>
      <c r="Q536" s="260"/>
      <c r="R536" s="260"/>
      <c r="S536" s="630"/>
      <c r="T536" s="630"/>
      <c r="U536" s="630"/>
      <c r="V536" s="630"/>
      <c r="W536" s="260"/>
      <c r="X536" s="260"/>
      <c r="Y536" s="260"/>
      <c r="Z536" s="260"/>
      <c r="AA536" s="260"/>
      <c r="AB536" s="260"/>
      <c r="AC536" s="265"/>
      <c r="AD536" s="634"/>
      <c r="AE536" s="264">
        <f t="shared" ref="AE536:AM536" si="1230">IF(AE520=0,0,AE528/AE520)</f>
        <v>0</v>
      </c>
      <c r="AF536" s="264">
        <f t="shared" si="1230"/>
        <v>0</v>
      </c>
      <c r="AG536" s="264">
        <f t="shared" si="1230"/>
        <v>0</v>
      </c>
      <c r="AH536" s="264">
        <f t="shared" si="1230"/>
        <v>0</v>
      </c>
      <c r="AI536" s="264">
        <f t="shared" si="1230"/>
        <v>0</v>
      </c>
      <c r="AJ536" s="264">
        <f t="shared" si="1230"/>
        <v>0</v>
      </c>
      <c r="AK536" s="264">
        <f t="shared" si="1230"/>
        <v>0</v>
      </c>
      <c r="AL536" s="264">
        <f t="shared" si="1230"/>
        <v>0</v>
      </c>
      <c r="AM536" s="264">
        <f t="shared" si="1230"/>
        <v>0</v>
      </c>
      <c r="AN536" s="260"/>
      <c r="AO536" s="264">
        <f t="shared" si="1215"/>
        <v>0</v>
      </c>
      <c r="AP536" s="260"/>
      <c r="AQ536" s="264"/>
      <c r="AR536" s="264" t="str">
        <f>VLOOKUP($I536,TableInputsData[],ReadMe!$M$3,FALSE)&amp;"  |  "&amp;VLOOKUP($K536,TableInputsData[],ReadMe!$M$3,FALSE)</f>
        <v>PRODUIT 13  |  PRIX MOYEN DE VENTE PAR PRODUIT/SERVICE</v>
      </c>
      <c r="AS536" s="264"/>
      <c r="AT536" s="294"/>
    </row>
    <row r="537" spans="1:46" ht="13" hidden="1" x14ac:dyDescent="0.2">
      <c r="A537" s="294"/>
      <c r="B537" s="924"/>
      <c r="C537" s="272">
        <v>530</v>
      </c>
      <c r="D537" s="250">
        <f t="shared" si="1176"/>
        <v>0</v>
      </c>
      <c r="E537" s="251"/>
      <c r="F537" s="248" t="str">
        <f t="shared" ref="F537:F544" si="1231">F545</f>
        <v>YEAR-2</v>
      </c>
      <c r="G537" s="250">
        <f>VLOOKUP(F537,TableInputsData[],$G$6,FALSE)</f>
        <v>2023</v>
      </c>
      <c r="H537" s="250" t="str">
        <f t="shared" ref="H537:I537" si="1232">H536</f>
        <v>PRODUCT</v>
      </c>
      <c r="I537" s="248" t="str">
        <f t="shared" si="1232"/>
        <v>PRODUCT 13</v>
      </c>
      <c r="J537" s="248" t="str">
        <f>VLOOKUP(I537,TableInputsData[],$J$6,FALSE)</f>
        <v>-</v>
      </c>
      <c r="K537" s="248" t="s">
        <v>531</v>
      </c>
      <c r="L537" s="256"/>
      <c r="M537" s="256"/>
      <c r="N537" s="256"/>
      <c r="O537" s="266"/>
      <c r="P537" s="261"/>
      <c r="Q537" s="261"/>
      <c r="R537" s="261"/>
      <c r="S537" s="629"/>
      <c r="T537" s="629"/>
      <c r="U537" s="629"/>
      <c r="V537" s="629"/>
      <c r="W537" s="261"/>
      <c r="X537" s="261"/>
      <c r="Y537" s="261"/>
      <c r="Z537" s="261"/>
      <c r="AA537" s="261"/>
      <c r="AB537" s="261"/>
      <c r="AC537" s="266"/>
      <c r="AD537" s="633"/>
      <c r="AE537" s="264">
        <f>AE513*($S513*$P513+$T513*$Q513+$U513*$R513)</f>
        <v>0</v>
      </c>
      <c r="AF537" s="264">
        <f t="shared" ref="AF537:AH537" si="1233">AF513*($S513*$P513+$T513*$Q513+$U513*$R513)</f>
        <v>0</v>
      </c>
      <c r="AG537" s="264">
        <f t="shared" si="1233"/>
        <v>0</v>
      </c>
      <c r="AH537" s="264">
        <f t="shared" si="1233"/>
        <v>0</v>
      </c>
      <c r="AI537" s="264">
        <f t="shared" ref="AI537:AI544" si="1234">$AE537+$AF537+$AG537+$AH537</f>
        <v>0</v>
      </c>
      <c r="AJ537" s="264">
        <f t="shared" ref="AJ537:AJ544" si="1235">$AJ513*$S513</f>
        <v>0</v>
      </c>
      <c r="AK537" s="264">
        <f t="shared" ref="AK537:AK544" si="1236">$AK513*$T513</f>
        <v>0</v>
      </c>
      <c r="AL537" s="264">
        <f t="shared" ref="AL537:AL544" si="1237">$AL513*$U513</f>
        <v>0</v>
      </c>
      <c r="AM537" s="264">
        <f t="shared" ref="AM537:AM544" si="1238">$AJ537*$W513+$AK537*$X513+$AL537*$Y513</f>
        <v>0</v>
      </c>
      <c r="AN537" s="640">
        <f t="shared" ref="AN537:AN544" si="1239">IF(AI537=0,0,AM537/AI537)</f>
        <v>0</v>
      </c>
      <c r="AO537" s="264">
        <f t="shared" ref="AO537:AO544" si="1240">$AJ537*$Z513+$AK537*$AA513+$AL537*$AB513</f>
        <v>0</v>
      </c>
      <c r="AP537" s="640">
        <f t="shared" ref="AP537:AP544" si="1241">IF(AI537=0,0,AO537/AI537)</f>
        <v>0</v>
      </c>
      <c r="AQ537" s="264"/>
      <c r="AR537" s="264" t="str">
        <f>VLOOKUP($I537,TableInputsData[],ReadMe!$M$3,FALSE)&amp;"  |  "&amp;VLOOKUP($K537,TableInputsData[],ReadMe!$M$3,FALSE)</f>
        <v>PRODUIT 13  |  DEPENSES SUR ACHATS</v>
      </c>
      <c r="AS537" s="264" t="b">
        <f t="shared" ref="AS537:AS544" si="1242">AND(EXACT(ROUND(AI537,2),ROUND(AJ537+AK537+AL537,2)),EXACT(ROUND(AI537,2),ROUND(AM537+AO537,2)))</f>
        <v>1</v>
      </c>
      <c r="AT537" s="294"/>
    </row>
    <row r="538" spans="1:46" ht="13" hidden="1" x14ac:dyDescent="0.2">
      <c r="A538" s="294"/>
      <c r="B538" s="924"/>
      <c r="C538" s="271">
        <v>531</v>
      </c>
      <c r="D538" s="250">
        <f t="shared" si="1176"/>
        <v>0</v>
      </c>
      <c r="E538" s="250"/>
      <c r="F538" s="248" t="str">
        <f t="shared" si="1231"/>
        <v>YEAR-1</v>
      </c>
      <c r="G538" s="250">
        <f>VLOOKUP(F538,TableInputsData[],$G$6,FALSE)</f>
        <v>2024</v>
      </c>
      <c r="H538" s="250" t="str">
        <f t="shared" ref="H538:I538" si="1243">H537</f>
        <v>PRODUCT</v>
      </c>
      <c r="I538" s="248" t="str">
        <f t="shared" si="1243"/>
        <v>PRODUCT 13</v>
      </c>
      <c r="J538" s="248" t="str">
        <f>VLOOKUP(I538,TableInputsData[],$J$6,FALSE)</f>
        <v>-</v>
      </c>
      <c r="K538" s="248" t="str">
        <f>K537</f>
        <v>COST OF GOODS SOLD</v>
      </c>
      <c r="L538" s="255"/>
      <c r="M538" s="255"/>
      <c r="N538" s="255"/>
      <c r="O538" s="265"/>
      <c r="P538" s="260"/>
      <c r="Q538" s="260"/>
      <c r="R538" s="260"/>
      <c r="S538" s="630"/>
      <c r="T538" s="630"/>
      <c r="U538" s="630"/>
      <c r="V538" s="630"/>
      <c r="W538" s="260"/>
      <c r="X538" s="260"/>
      <c r="Y538" s="260"/>
      <c r="Z538" s="260"/>
      <c r="AA538" s="260"/>
      <c r="AB538" s="260"/>
      <c r="AC538" s="265"/>
      <c r="AD538" s="634"/>
      <c r="AE538" s="264">
        <f t="shared" ref="AE538:AH538" si="1244">AE514*($S514*$P514+$T514*$Q514+$U514*$R514)</f>
        <v>0</v>
      </c>
      <c r="AF538" s="264">
        <f t="shared" si="1244"/>
        <v>0</v>
      </c>
      <c r="AG538" s="264">
        <f t="shared" si="1244"/>
        <v>0</v>
      </c>
      <c r="AH538" s="264">
        <f t="shared" si="1244"/>
        <v>0</v>
      </c>
      <c r="AI538" s="264">
        <f t="shared" si="1234"/>
        <v>0</v>
      </c>
      <c r="AJ538" s="264">
        <f t="shared" si="1235"/>
        <v>0</v>
      </c>
      <c r="AK538" s="264">
        <f t="shared" si="1236"/>
        <v>0</v>
      </c>
      <c r="AL538" s="264">
        <f t="shared" si="1237"/>
        <v>0</v>
      </c>
      <c r="AM538" s="264">
        <f t="shared" si="1238"/>
        <v>0</v>
      </c>
      <c r="AN538" s="640">
        <f t="shared" si="1239"/>
        <v>0</v>
      </c>
      <c r="AO538" s="264">
        <f t="shared" si="1240"/>
        <v>0</v>
      </c>
      <c r="AP538" s="640">
        <f t="shared" si="1241"/>
        <v>0</v>
      </c>
      <c r="AQ538" s="264"/>
      <c r="AR538" s="264" t="str">
        <f>VLOOKUP($I538,TableInputsData[],ReadMe!$M$3,FALSE)&amp;"  |  "&amp;VLOOKUP($K538,TableInputsData[],ReadMe!$M$3,FALSE)</f>
        <v>PRODUIT 13  |  DEPENSES SUR ACHATS</v>
      </c>
      <c r="AS538" s="264" t="b">
        <f t="shared" si="1242"/>
        <v>1</v>
      </c>
      <c r="AT538" s="294"/>
    </row>
    <row r="539" spans="1:46" ht="13" hidden="1" x14ac:dyDescent="0.2">
      <c r="A539" s="294"/>
      <c r="B539" s="924"/>
      <c r="C539" s="271">
        <v>532</v>
      </c>
      <c r="D539" s="250">
        <f t="shared" si="1176"/>
        <v>0</v>
      </c>
      <c r="E539" s="250"/>
      <c r="F539" s="248" t="str">
        <f t="shared" si="1231"/>
        <v>CURRENT YEAR</v>
      </c>
      <c r="G539" s="250">
        <f>VLOOKUP(F539,TableInputsData[],$G$6,FALSE)</f>
        <v>2025</v>
      </c>
      <c r="H539" s="250" t="str">
        <f t="shared" ref="H539:I539" si="1245">H538</f>
        <v>PRODUCT</v>
      </c>
      <c r="I539" s="248" t="str">
        <f t="shared" si="1245"/>
        <v>PRODUCT 13</v>
      </c>
      <c r="J539" s="248" t="str">
        <f>VLOOKUP(I539,TableInputsData[],$J$6,FALSE)</f>
        <v>-</v>
      </c>
      <c r="K539" s="248" t="str">
        <f t="shared" ref="K539:K544" si="1246">K538</f>
        <v>COST OF GOODS SOLD</v>
      </c>
      <c r="L539" s="255"/>
      <c r="M539" s="255"/>
      <c r="N539" s="255"/>
      <c r="O539" s="265"/>
      <c r="P539" s="260"/>
      <c r="Q539" s="260"/>
      <c r="R539" s="260"/>
      <c r="S539" s="630"/>
      <c r="T539" s="630"/>
      <c r="U539" s="630"/>
      <c r="V539" s="630"/>
      <c r="W539" s="260"/>
      <c r="X539" s="260"/>
      <c r="Y539" s="260"/>
      <c r="Z539" s="260"/>
      <c r="AA539" s="260"/>
      <c r="AB539" s="260"/>
      <c r="AC539" s="265"/>
      <c r="AD539" s="634"/>
      <c r="AE539" s="264">
        <f t="shared" ref="AE539:AH539" si="1247">AE515*($S515*$P515+$T515*$Q515+$U515*$R515)</f>
        <v>0</v>
      </c>
      <c r="AF539" s="264">
        <f t="shared" si="1247"/>
        <v>0</v>
      </c>
      <c r="AG539" s="264">
        <f t="shared" si="1247"/>
        <v>0</v>
      </c>
      <c r="AH539" s="264">
        <f t="shared" si="1247"/>
        <v>0</v>
      </c>
      <c r="AI539" s="264">
        <f t="shared" si="1234"/>
        <v>0</v>
      </c>
      <c r="AJ539" s="264">
        <f t="shared" si="1235"/>
        <v>0</v>
      </c>
      <c r="AK539" s="264">
        <f t="shared" si="1236"/>
        <v>0</v>
      </c>
      <c r="AL539" s="264">
        <f t="shared" si="1237"/>
        <v>0</v>
      </c>
      <c r="AM539" s="264">
        <f t="shared" si="1238"/>
        <v>0</v>
      </c>
      <c r="AN539" s="640">
        <f t="shared" si="1239"/>
        <v>0</v>
      </c>
      <c r="AO539" s="264">
        <f t="shared" si="1240"/>
        <v>0</v>
      </c>
      <c r="AP539" s="640">
        <f t="shared" si="1241"/>
        <v>0</v>
      </c>
      <c r="AQ539" s="264"/>
      <c r="AR539" s="264" t="str">
        <f>VLOOKUP($I539,TableInputsData[],ReadMe!$M$3,FALSE)&amp;"  |  "&amp;VLOOKUP($K539,TableInputsData[],ReadMe!$M$3,FALSE)</f>
        <v>PRODUIT 13  |  DEPENSES SUR ACHATS</v>
      </c>
      <c r="AS539" s="264" t="b">
        <f t="shared" si="1242"/>
        <v>1</v>
      </c>
      <c r="AT539" s="294"/>
    </row>
    <row r="540" spans="1:46" ht="13" hidden="1" x14ac:dyDescent="0.2">
      <c r="A540" s="294"/>
      <c r="B540" s="924"/>
      <c r="C540" s="271">
        <v>533</v>
      </c>
      <c r="D540" s="250">
        <f t="shared" si="1176"/>
        <v>0</v>
      </c>
      <c r="E540" s="250"/>
      <c r="F540" s="248" t="str">
        <f t="shared" si="1231"/>
        <v>YEAR2</v>
      </c>
      <c r="G540" s="250">
        <f>VLOOKUP(F540,TableInputsData[],$G$6,FALSE)</f>
        <v>2026</v>
      </c>
      <c r="H540" s="250" t="str">
        <f t="shared" ref="H540:I540" si="1248">H539</f>
        <v>PRODUCT</v>
      </c>
      <c r="I540" s="248" t="str">
        <f t="shared" si="1248"/>
        <v>PRODUCT 13</v>
      </c>
      <c r="J540" s="248" t="str">
        <f>VLOOKUP(I540,TableInputsData[],$J$6,FALSE)</f>
        <v>-</v>
      </c>
      <c r="K540" s="248" t="str">
        <f t="shared" si="1246"/>
        <v>COST OF GOODS SOLD</v>
      </c>
      <c r="L540" s="255"/>
      <c r="M540" s="255"/>
      <c r="N540" s="255"/>
      <c r="O540" s="265"/>
      <c r="P540" s="260"/>
      <c r="Q540" s="260"/>
      <c r="R540" s="260"/>
      <c r="S540" s="630"/>
      <c r="T540" s="630"/>
      <c r="U540" s="630"/>
      <c r="V540" s="630"/>
      <c r="W540" s="260"/>
      <c r="X540" s="260"/>
      <c r="Y540" s="260"/>
      <c r="Z540" s="260"/>
      <c r="AA540" s="260"/>
      <c r="AB540" s="260"/>
      <c r="AC540" s="265"/>
      <c r="AD540" s="634"/>
      <c r="AE540" s="264">
        <f t="shared" ref="AE540:AH540" si="1249">AE516*($S516*$P516+$T516*$Q516+$U516*$R516)</f>
        <v>0</v>
      </c>
      <c r="AF540" s="264">
        <f t="shared" si="1249"/>
        <v>0</v>
      </c>
      <c r="AG540" s="264">
        <f t="shared" si="1249"/>
        <v>0</v>
      </c>
      <c r="AH540" s="264">
        <f t="shared" si="1249"/>
        <v>0</v>
      </c>
      <c r="AI540" s="264">
        <f t="shared" si="1234"/>
        <v>0</v>
      </c>
      <c r="AJ540" s="264">
        <f t="shared" si="1235"/>
        <v>0</v>
      </c>
      <c r="AK540" s="264">
        <f t="shared" si="1236"/>
        <v>0</v>
      </c>
      <c r="AL540" s="264">
        <f t="shared" si="1237"/>
        <v>0</v>
      </c>
      <c r="AM540" s="264">
        <f t="shared" si="1238"/>
        <v>0</v>
      </c>
      <c r="AN540" s="640">
        <f t="shared" si="1239"/>
        <v>0</v>
      </c>
      <c r="AO540" s="264">
        <f t="shared" si="1240"/>
        <v>0</v>
      </c>
      <c r="AP540" s="640">
        <f t="shared" si="1241"/>
        <v>0</v>
      </c>
      <c r="AQ540" s="264"/>
      <c r="AR540" s="264" t="str">
        <f>VLOOKUP($I540,TableInputsData[],ReadMe!$M$3,FALSE)&amp;"  |  "&amp;VLOOKUP($K540,TableInputsData[],ReadMe!$M$3,FALSE)</f>
        <v>PRODUIT 13  |  DEPENSES SUR ACHATS</v>
      </c>
      <c r="AS540" s="264" t="b">
        <f t="shared" si="1242"/>
        <v>1</v>
      </c>
      <c r="AT540" s="294"/>
    </row>
    <row r="541" spans="1:46" ht="13" hidden="1" x14ac:dyDescent="0.2">
      <c r="A541" s="294"/>
      <c r="B541" s="924"/>
      <c r="C541" s="271">
        <v>534</v>
      </c>
      <c r="D541" s="250">
        <f t="shared" si="1176"/>
        <v>0</v>
      </c>
      <c r="E541" s="250"/>
      <c r="F541" s="248" t="str">
        <f t="shared" si="1231"/>
        <v>YEAR3</v>
      </c>
      <c r="G541" s="250">
        <f>VLOOKUP(F541,TableInputsData[],$G$6,FALSE)</f>
        <v>2027</v>
      </c>
      <c r="H541" s="250" t="str">
        <f t="shared" ref="H541:I541" si="1250">H540</f>
        <v>PRODUCT</v>
      </c>
      <c r="I541" s="248" t="str">
        <f t="shared" si="1250"/>
        <v>PRODUCT 13</v>
      </c>
      <c r="J541" s="248" t="str">
        <f>VLOOKUP(I541,TableInputsData[],$J$6,FALSE)</f>
        <v>-</v>
      </c>
      <c r="K541" s="248" t="str">
        <f t="shared" si="1246"/>
        <v>COST OF GOODS SOLD</v>
      </c>
      <c r="L541" s="255"/>
      <c r="M541" s="255"/>
      <c r="N541" s="255"/>
      <c r="O541" s="265"/>
      <c r="P541" s="260"/>
      <c r="Q541" s="260"/>
      <c r="R541" s="260"/>
      <c r="S541" s="630"/>
      <c r="T541" s="630"/>
      <c r="U541" s="630"/>
      <c r="V541" s="630"/>
      <c r="W541" s="260"/>
      <c r="X541" s="260"/>
      <c r="Y541" s="260"/>
      <c r="Z541" s="260"/>
      <c r="AA541" s="260"/>
      <c r="AB541" s="260"/>
      <c r="AC541" s="265"/>
      <c r="AD541" s="634"/>
      <c r="AE541" s="264">
        <f t="shared" ref="AE541:AH541" si="1251">AE517*($S517*$P517+$T517*$Q517+$U517*$R517)</f>
        <v>0</v>
      </c>
      <c r="AF541" s="264">
        <f t="shared" si="1251"/>
        <v>0</v>
      </c>
      <c r="AG541" s="264">
        <f t="shared" si="1251"/>
        <v>0</v>
      </c>
      <c r="AH541" s="264">
        <f t="shared" si="1251"/>
        <v>0</v>
      </c>
      <c r="AI541" s="264">
        <f t="shared" si="1234"/>
        <v>0</v>
      </c>
      <c r="AJ541" s="264">
        <f t="shared" si="1235"/>
        <v>0</v>
      </c>
      <c r="AK541" s="264">
        <f t="shared" si="1236"/>
        <v>0</v>
      </c>
      <c r="AL541" s="264">
        <f t="shared" si="1237"/>
        <v>0</v>
      </c>
      <c r="AM541" s="264">
        <f t="shared" si="1238"/>
        <v>0</v>
      </c>
      <c r="AN541" s="640">
        <f t="shared" si="1239"/>
        <v>0</v>
      </c>
      <c r="AO541" s="264">
        <f t="shared" si="1240"/>
        <v>0</v>
      </c>
      <c r="AP541" s="640">
        <f t="shared" si="1241"/>
        <v>0</v>
      </c>
      <c r="AQ541" s="264"/>
      <c r="AR541" s="264" t="str">
        <f>VLOOKUP($I541,TableInputsData[],ReadMe!$M$3,FALSE)&amp;"  |  "&amp;VLOOKUP($K541,TableInputsData[],ReadMe!$M$3,FALSE)</f>
        <v>PRODUIT 13  |  DEPENSES SUR ACHATS</v>
      </c>
      <c r="AS541" s="264" t="b">
        <f t="shared" si="1242"/>
        <v>1</v>
      </c>
      <c r="AT541" s="294"/>
    </row>
    <row r="542" spans="1:46" ht="13" hidden="1" x14ac:dyDescent="0.2">
      <c r="A542" s="294"/>
      <c r="B542" s="924"/>
      <c r="C542" s="271">
        <v>535</v>
      </c>
      <c r="D542" s="250">
        <f t="shared" si="1176"/>
        <v>0</v>
      </c>
      <c r="E542" s="250"/>
      <c r="F542" s="248" t="str">
        <f t="shared" si="1231"/>
        <v>YEAR4</v>
      </c>
      <c r="G542" s="250">
        <f>VLOOKUP(F542,TableInputsData[],$G$6,FALSE)</f>
        <v>2028</v>
      </c>
      <c r="H542" s="250" t="str">
        <f t="shared" ref="H542:I542" si="1252">H541</f>
        <v>PRODUCT</v>
      </c>
      <c r="I542" s="248" t="str">
        <f t="shared" si="1252"/>
        <v>PRODUCT 13</v>
      </c>
      <c r="J542" s="248" t="str">
        <f>VLOOKUP(I542,TableInputsData[],$J$6,FALSE)</f>
        <v>-</v>
      </c>
      <c r="K542" s="248" t="str">
        <f t="shared" si="1246"/>
        <v>COST OF GOODS SOLD</v>
      </c>
      <c r="L542" s="255"/>
      <c r="M542" s="255"/>
      <c r="N542" s="255"/>
      <c r="O542" s="265"/>
      <c r="P542" s="260"/>
      <c r="Q542" s="260"/>
      <c r="R542" s="260"/>
      <c r="S542" s="630"/>
      <c r="T542" s="630"/>
      <c r="U542" s="630"/>
      <c r="V542" s="630"/>
      <c r="W542" s="260"/>
      <c r="X542" s="260"/>
      <c r="Y542" s="260"/>
      <c r="Z542" s="260"/>
      <c r="AA542" s="260"/>
      <c r="AB542" s="260"/>
      <c r="AC542" s="265"/>
      <c r="AD542" s="634"/>
      <c r="AE542" s="264">
        <f t="shared" ref="AE542:AH542" si="1253">AE518*($S518*$P518+$T518*$Q518+$U518*$R518)</f>
        <v>0</v>
      </c>
      <c r="AF542" s="264">
        <f t="shared" si="1253"/>
        <v>0</v>
      </c>
      <c r="AG542" s="264">
        <f t="shared" si="1253"/>
        <v>0</v>
      </c>
      <c r="AH542" s="264">
        <f t="shared" si="1253"/>
        <v>0</v>
      </c>
      <c r="AI542" s="264">
        <f t="shared" si="1234"/>
        <v>0</v>
      </c>
      <c r="AJ542" s="264">
        <f t="shared" si="1235"/>
        <v>0</v>
      </c>
      <c r="AK542" s="264">
        <f t="shared" si="1236"/>
        <v>0</v>
      </c>
      <c r="AL542" s="264">
        <f t="shared" si="1237"/>
        <v>0</v>
      </c>
      <c r="AM542" s="264">
        <f t="shared" si="1238"/>
        <v>0</v>
      </c>
      <c r="AN542" s="640">
        <f t="shared" si="1239"/>
        <v>0</v>
      </c>
      <c r="AO542" s="264">
        <f t="shared" si="1240"/>
        <v>0</v>
      </c>
      <c r="AP542" s="640">
        <f t="shared" si="1241"/>
        <v>0</v>
      </c>
      <c r="AQ542" s="264"/>
      <c r="AR542" s="264" t="str">
        <f>VLOOKUP($I542,TableInputsData[],ReadMe!$M$3,FALSE)&amp;"  |  "&amp;VLOOKUP($K542,TableInputsData[],ReadMe!$M$3,FALSE)</f>
        <v>PRODUIT 13  |  DEPENSES SUR ACHATS</v>
      </c>
      <c r="AS542" s="264" t="b">
        <f t="shared" si="1242"/>
        <v>1</v>
      </c>
      <c r="AT542" s="294"/>
    </row>
    <row r="543" spans="1:46" ht="13" hidden="1" x14ac:dyDescent="0.2">
      <c r="A543" s="294"/>
      <c r="B543" s="924"/>
      <c r="C543" s="271">
        <v>536</v>
      </c>
      <c r="D543" s="250">
        <f t="shared" si="1176"/>
        <v>0</v>
      </c>
      <c r="E543" s="250"/>
      <c r="F543" s="248" t="str">
        <f t="shared" si="1231"/>
        <v>YEAR5</v>
      </c>
      <c r="G543" s="250">
        <f>VLOOKUP(F543,TableInputsData[],$G$6,FALSE)</f>
        <v>2029</v>
      </c>
      <c r="H543" s="250" t="str">
        <f t="shared" ref="H543:I543" si="1254">H542</f>
        <v>PRODUCT</v>
      </c>
      <c r="I543" s="248" t="str">
        <f t="shared" si="1254"/>
        <v>PRODUCT 13</v>
      </c>
      <c r="J543" s="248" t="str">
        <f>VLOOKUP(I543,TableInputsData[],$J$6,FALSE)</f>
        <v>-</v>
      </c>
      <c r="K543" s="248" t="str">
        <f t="shared" si="1246"/>
        <v>COST OF GOODS SOLD</v>
      </c>
      <c r="L543" s="255"/>
      <c r="M543" s="255"/>
      <c r="N543" s="255"/>
      <c r="O543" s="265"/>
      <c r="P543" s="260"/>
      <c r="Q543" s="260"/>
      <c r="R543" s="260"/>
      <c r="S543" s="630"/>
      <c r="T543" s="630"/>
      <c r="U543" s="630"/>
      <c r="V543" s="630"/>
      <c r="W543" s="260"/>
      <c r="X543" s="260"/>
      <c r="Y543" s="260"/>
      <c r="Z543" s="260"/>
      <c r="AA543" s="260"/>
      <c r="AB543" s="260"/>
      <c r="AC543" s="265"/>
      <c r="AD543" s="634"/>
      <c r="AE543" s="264">
        <f t="shared" ref="AE543:AH543" si="1255">AE519*($S519*$P519+$T519*$Q519+$U519*$R519)</f>
        <v>0</v>
      </c>
      <c r="AF543" s="264">
        <f t="shared" si="1255"/>
        <v>0</v>
      </c>
      <c r="AG543" s="264">
        <f t="shared" si="1255"/>
        <v>0</v>
      </c>
      <c r="AH543" s="264">
        <f t="shared" si="1255"/>
        <v>0</v>
      </c>
      <c r="AI543" s="264">
        <f t="shared" si="1234"/>
        <v>0</v>
      </c>
      <c r="AJ543" s="264">
        <f t="shared" si="1235"/>
        <v>0</v>
      </c>
      <c r="AK543" s="264">
        <f t="shared" si="1236"/>
        <v>0</v>
      </c>
      <c r="AL543" s="264">
        <f t="shared" si="1237"/>
        <v>0</v>
      </c>
      <c r="AM543" s="264">
        <f t="shared" si="1238"/>
        <v>0</v>
      </c>
      <c r="AN543" s="640">
        <f t="shared" si="1239"/>
        <v>0</v>
      </c>
      <c r="AO543" s="264">
        <f t="shared" si="1240"/>
        <v>0</v>
      </c>
      <c r="AP543" s="640">
        <f t="shared" si="1241"/>
        <v>0</v>
      </c>
      <c r="AQ543" s="264"/>
      <c r="AR543" s="264" t="str">
        <f>VLOOKUP($I543,TableInputsData[],ReadMe!$M$3,FALSE)&amp;"  |  "&amp;VLOOKUP($K543,TableInputsData[],ReadMe!$M$3,FALSE)</f>
        <v>PRODUIT 13  |  DEPENSES SUR ACHATS</v>
      </c>
      <c r="AS543" s="264" t="b">
        <f t="shared" si="1242"/>
        <v>1</v>
      </c>
      <c r="AT543" s="294"/>
    </row>
    <row r="544" spans="1:46" ht="13" hidden="1" x14ac:dyDescent="0.2">
      <c r="A544" s="294"/>
      <c r="B544" s="924"/>
      <c r="C544" s="271">
        <v>537</v>
      </c>
      <c r="D544" s="250">
        <f t="shared" si="1176"/>
        <v>0</v>
      </c>
      <c r="E544" s="250"/>
      <c r="F544" s="248" t="str">
        <f t="shared" si="1231"/>
        <v>YEAR6</v>
      </c>
      <c r="G544" s="250">
        <f>VLOOKUP(F544,TableInputsData[],$G$6,FALSE)</f>
        <v>2030</v>
      </c>
      <c r="H544" s="250" t="str">
        <f t="shared" ref="H544:I544" si="1256">H543</f>
        <v>PRODUCT</v>
      </c>
      <c r="I544" s="248" t="str">
        <f t="shared" si="1256"/>
        <v>PRODUCT 13</v>
      </c>
      <c r="J544" s="248" t="str">
        <f>VLOOKUP(I544,TableInputsData[],$J$6,FALSE)</f>
        <v>-</v>
      </c>
      <c r="K544" s="248" t="str">
        <f t="shared" si="1246"/>
        <v>COST OF GOODS SOLD</v>
      </c>
      <c r="L544" s="255"/>
      <c r="M544" s="255"/>
      <c r="N544" s="255"/>
      <c r="O544" s="265"/>
      <c r="P544" s="260"/>
      <c r="Q544" s="260"/>
      <c r="R544" s="260"/>
      <c r="S544" s="630"/>
      <c r="T544" s="630"/>
      <c r="U544" s="630"/>
      <c r="V544" s="630"/>
      <c r="W544" s="260"/>
      <c r="X544" s="260"/>
      <c r="Y544" s="260"/>
      <c r="Z544" s="260"/>
      <c r="AA544" s="260"/>
      <c r="AB544" s="260"/>
      <c r="AC544" s="265"/>
      <c r="AD544" s="634"/>
      <c r="AE544" s="264">
        <f t="shared" ref="AE544:AH544" si="1257">AE520*($S520*$P520+$T520*$Q520+$U520*$R520)</f>
        <v>0</v>
      </c>
      <c r="AF544" s="264">
        <f t="shared" si="1257"/>
        <v>0</v>
      </c>
      <c r="AG544" s="264">
        <f t="shared" si="1257"/>
        <v>0</v>
      </c>
      <c r="AH544" s="264">
        <f t="shared" si="1257"/>
        <v>0</v>
      </c>
      <c r="AI544" s="264">
        <f t="shared" si="1234"/>
        <v>0</v>
      </c>
      <c r="AJ544" s="264">
        <f t="shared" si="1235"/>
        <v>0</v>
      </c>
      <c r="AK544" s="264">
        <f t="shared" si="1236"/>
        <v>0</v>
      </c>
      <c r="AL544" s="264">
        <f t="shared" si="1237"/>
        <v>0</v>
      </c>
      <c r="AM544" s="264">
        <f t="shared" si="1238"/>
        <v>0</v>
      </c>
      <c r="AN544" s="640">
        <f t="shared" si="1239"/>
        <v>0</v>
      </c>
      <c r="AO544" s="264">
        <f t="shared" si="1240"/>
        <v>0</v>
      </c>
      <c r="AP544" s="640">
        <f t="shared" si="1241"/>
        <v>0</v>
      </c>
      <c r="AQ544" s="264"/>
      <c r="AR544" s="264" t="str">
        <f>VLOOKUP($I544,TableInputsData[],ReadMe!$M$3,FALSE)&amp;"  |  "&amp;VLOOKUP($K544,TableInputsData[],ReadMe!$M$3,FALSE)</f>
        <v>PRODUIT 13  |  DEPENSES SUR ACHATS</v>
      </c>
      <c r="AS544" s="264" t="b">
        <f t="shared" si="1242"/>
        <v>1</v>
      </c>
      <c r="AT544" s="294"/>
    </row>
    <row r="545" spans="1:46" ht="13" hidden="1" x14ac:dyDescent="0.2">
      <c r="A545" s="294"/>
      <c r="B545" s="924"/>
      <c r="C545" s="272">
        <v>538</v>
      </c>
      <c r="D545" s="250">
        <f t="shared" si="1176"/>
        <v>0</v>
      </c>
      <c r="E545" s="251"/>
      <c r="F545" s="248" t="str">
        <f t="shared" ref="F545:F552" si="1258">F521</f>
        <v>YEAR-2</v>
      </c>
      <c r="G545" s="250">
        <f>VLOOKUP(F545,TableInputsData[],$G$6,FALSE)</f>
        <v>2023</v>
      </c>
      <c r="H545" s="250" t="str">
        <f t="shared" ref="H545:I545" si="1259">H544</f>
        <v>PRODUCT</v>
      </c>
      <c r="I545" s="248" t="str">
        <f t="shared" si="1259"/>
        <v>PRODUCT 13</v>
      </c>
      <c r="J545" s="248" t="str">
        <f>VLOOKUP(I545,TableInputsData[],$J$6,FALSE)</f>
        <v>-</v>
      </c>
      <c r="K545" s="248" t="s">
        <v>532</v>
      </c>
      <c r="L545" s="256"/>
      <c r="M545" s="256"/>
      <c r="N545" s="256"/>
      <c r="O545" s="266"/>
      <c r="P545" s="261"/>
      <c r="Q545" s="261"/>
      <c r="R545" s="261"/>
      <c r="S545" s="629"/>
      <c r="T545" s="629"/>
      <c r="U545" s="629"/>
      <c r="V545" s="629"/>
      <c r="W545" s="261"/>
      <c r="X545" s="261"/>
      <c r="Y545" s="261"/>
      <c r="Z545" s="261"/>
      <c r="AA545" s="261"/>
      <c r="AB545" s="261"/>
      <c r="AC545" s="266"/>
      <c r="AD545" s="633"/>
      <c r="AE545" s="264">
        <f>IF(AE513=0,0,AE537/AE513)</f>
        <v>0</v>
      </c>
      <c r="AF545" s="264">
        <f t="shared" ref="AF545:AI545" si="1260">IF(AF513=0,0,AF537/AF513)</f>
        <v>0</v>
      </c>
      <c r="AG545" s="264">
        <f t="shared" si="1260"/>
        <v>0</v>
      </c>
      <c r="AH545" s="264">
        <f t="shared" si="1260"/>
        <v>0</v>
      </c>
      <c r="AI545" s="264">
        <f t="shared" si="1260"/>
        <v>0</v>
      </c>
      <c r="AJ545" s="264">
        <f>IF(AJ513=0,0,AJ537/AJ513)</f>
        <v>0</v>
      </c>
      <c r="AK545" s="264">
        <f t="shared" ref="AK545:AL545" si="1261">IF(AK513=0,0,AK537/AK513)</f>
        <v>0</v>
      </c>
      <c r="AL545" s="264">
        <f t="shared" si="1261"/>
        <v>0</v>
      </c>
      <c r="AM545" s="264">
        <f>IF(AM513=0,0,AM537/AM513)</f>
        <v>0</v>
      </c>
      <c r="AN545" s="260"/>
      <c r="AO545" s="264">
        <f t="shared" ref="AO545" si="1262">IF(AO513=0,0,AO537/AO513)</f>
        <v>0</v>
      </c>
      <c r="AP545" s="260"/>
      <c r="AQ545" s="264"/>
      <c r="AR545" s="264" t="str">
        <f>VLOOKUP($I545,TableInputsData[],ReadMe!$M$3,FALSE)&amp;"  |  "&amp;VLOOKUP($K545,TableInputsData[],ReadMe!$M$3,FALSE)</f>
        <v>PRODUIT 13  |  PRIX MOYEN D'ACHAT PAR PRODUIT/SERVICE</v>
      </c>
      <c r="AS545" s="264"/>
      <c r="AT545" s="294"/>
    </row>
    <row r="546" spans="1:46" ht="13" hidden="1" x14ac:dyDescent="0.2">
      <c r="A546" s="294"/>
      <c r="B546" s="924"/>
      <c r="C546" s="272">
        <v>539</v>
      </c>
      <c r="D546" s="250">
        <f t="shared" si="1176"/>
        <v>0</v>
      </c>
      <c r="E546" s="251"/>
      <c r="F546" s="248" t="str">
        <f t="shared" si="1258"/>
        <v>YEAR-1</v>
      </c>
      <c r="G546" s="250">
        <f>VLOOKUP(F546,TableInputsData[],$G$6,FALSE)</f>
        <v>2024</v>
      </c>
      <c r="H546" s="250" t="str">
        <f t="shared" ref="H546:I546" si="1263">H545</f>
        <v>PRODUCT</v>
      </c>
      <c r="I546" s="248" t="str">
        <f t="shared" si="1263"/>
        <v>PRODUCT 13</v>
      </c>
      <c r="J546" s="248" t="str">
        <f>VLOOKUP(I546,TableInputsData[],$J$6,FALSE)</f>
        <v>-</v>
      </c>
      <c r="K546" s="248" t="str">
        <f>K545</f>
        <v>AVERAGE COST OF GOODS SOLD PER UNIT</v>
      </c>
      <c r="L546" s="256"/>
      <c r="M546" s="256"/>
      <c r="N546" s="256"/>
      <c r="O546" s="266"/>
      <c r="P546" s="261"/>
      <c r="Q546" s="261"/>
      <c r="R546" s="261"/>
      <c r="S546" s="629"/>
      <c r="T546" s="629"/>
      <c r="U546" s="629"/>
      <c r="V546" s="629"/>
      <c r="W546" s="261"/>
      <c r="X546" s="261"/>
      <c r="Y546" s="261"/>
      <c r="Z546" s="261"/>
      <c r="AA546" s="261"/>
      <c r="AB546" s="261"/>
      <c r="AC546" s="266"/>
      <c r="AD546" s="633"/>
      <c r="AE546" s="264">
        <f t="shared" ref="AE546:AL546" si="1264">IF(AE514=0,0,AE538/AE514)</f>
        <v>0</v>
      </c>
      <c r="AF546" s="264">
        <f t="shared" si="1264"/>
        <v>0</v>
      </c>
      <c r="AG546" s="264">
        <f t="shared" si="1264"/>
        <v>0</v>
      </c>
      <c r="AH546" s="264">
        <f t="shared" si="1264"/>
        <v>0</v>
      </c>
      <c r="AI546" s="264">
        <f t="shared" si="1264"/>
        <v>0</v>
      </c>
      <c r="AJ546" s="264">
        <f t="shared" si="1264"/>
        <v>0</v>
      </c>
      <c r="AK546" s="264">
        <f t="shared" si="1264"/>
        <v>0</v>
      </c>
      <c r="AL546" s="264">
        <f t="shared" si="1264"/>
        <v>0</v>
      </c>
      <c r="AM546" s="264">
        <f>IF(AM514=0,0,AM538/AM514)</f>
        <v>0</v>
      </c>
      <c r="AN546" s="260"/>
      <c r="AO546" s="264">
        <f>IF(AO514=0,0,AO538/AO514)</f>
        <v>0</v>
      </c>
      <c r="AP546" s="260"/>
      <c r="AQ546" s="264"/>
      <c r="AR546" s="264" t="str">
        <f>VLOOKUP($I546,TableInputsData[],ReadMe!$M$3,FALSE)&amp;"  |  "&amp;VLOOKUP($K546,TableInputsData[],ReadMe!$M$3,FALSE)</f>
        <v>PRODUIT 13  |  PRIX MOYEN D'ACHAT PAR PRODUIT/SERVICE</v>
      </c>
      <c r="AS546" s="264"/>
      <c r="AT546" s="294"/>
    </row>
    <row r="547" spans="1:46" ht="13" hidden="1" x14ac:dyDescent="0.2">
      <c r="A547" s="294"/>
      <c r="B547" s="924"/>
      <c r="C547" s="272">
        <v>540</v>
      </c>
      <c r="D547" s="250">
        <f t="shared" si="1176"/>
        <v>0</v>
      </c>
      <c r="E547" s="251"/>
      <c r="F547" s="248" t="str">
        <f t="shared" si="1258"/>
        <v>CURRENT YEAR</v>
      </c>
      <c r="G547" s="250">
        <f>VLOOKUP(F547,TableInputsData[],$G$6,FALSE)</f>
        <v>2025</v>
      </c>
      <c r="H547" s="250" t="str">
        <f t="shared" ref="H547:I547" si="1265">H546</f>
        <v>PRODUCT</v>
      </c>
      <c r="I547" s="248" t="str">
        <f t="shared" si="1265"/>
        <v>PRODUCT 13</v>
      </c>
      <c r="J547" s="248" t="str">
        <f>VLOOKUP(I547,TableInputsData[],$J$6,FALSE)</f>
        <v>-</v>
      </c>
      <c r="K547" s="248" t="str">
        <f t="shared" ref="K547:K552" si="1266">K546</f>
        <v>AVERAGE COST OF GOODS SOLD PER UNIT</v>
      </c>
      <c r="L547" s="256"/>
      <c r="M547" s="256"/>
      <c r="N547" s="256"/>
      <c r="O547" s="266"/>
      <c r="P547" s="261"/>
      <c r="Q547" s="261"/>
      <c r="R547" s="261"/>
      <c r="S547" s="629"/>
      <c r="T547" s="629"/>
      <c r="U547" s="629"/>
      <c r="V547" s="629"/>
      <c r="W547" s="261"/>
      <c r="X547" s="261"/>
      <c r="Y547" s="261"/>
      <c r="Z547" s="261"/>
      <c r="AA547" s="261"/>
      <c r="AB547" s="261"/>
      <c r="AC547" s="266"/>
      <c r="AD547" s="633"/>
      <c r="AE547" s="264">
        <f t="shared" ref="AE547:AL547" si="1267">IF(AE515=0,0,AE539/AE515)</f>
        <v>0</v>
      </c>
      <c r="AF547" s="264">
        <f t="shared" si="1267"/>
        <v>0</v>
      </c>
      <c r="AG547" s="264">
        <f t="shared" si="1267"/>
        <v>0</v>
      </c>
      <c r="AH547" s="264">
        <f t="shared" si="1267"/>
        <v>0</v>
      </c>
      <c r="AI547" s="264">
        <f t="shared" si="1267"/>
        <v>0</v>
      </c>
      <c r="AJ547" s="264">
        <f t="shared" si="1267"/>
        <v>0</v>
      </c>
      <c r="AK547" s="264">
        <f t="shared" si="1267"/>
        <v>0</v>
      </c>
      <c r="AL547" s="264">
        <f t="shared" si="1267"/>
        <v>0</v>
      </c>
      <c r="AM547" s="264">
        <f>IF(AM515=0,0,AM539/AM515)</f>
        <v>0</v>
      </c>
      <c r="AN547" s="260"/>
      <c r="AO547" s="264">
        <f>IF(AO515=0,0,AO539/AO515)</f>
        <v>0</v>
      </c>
      <c r="AP547" s="260"/>
      <c r="AQ547" s="264"/>
      <c r="AR547" s="264" t="str">
        <f>VLOOKUP($I547,TableInputsData[],ReadMe!$M$3,FALSE)&amp;"  |  "&amp;VLOOKUP($K547,TableInputsData[],ReadMe!$M$3,FALSE)</f>
        <v>PRODUIT 13  |  PRIX MOYEN D'ACHAT PAR PRODUIT/SERVICE</v>
      </c>
      <c r="AS547" s="264"/>
      <c r="AT547" s="294"/>
    </row>
    <row r="548" spans="1:46" ht="13" hidden="1" x14ac:dyDescent="0.2">
      <c r="A548" s="294"/>
      <c r="B548" s="924"/>
      <c r="C548" s="272">
        <v>541</v>
      </c>
      <c r="D548" s="250">
        <f t="shared" si="1176"/>
        <v>0</v>
      </c>
      <c r="E548" s="251"/>
      <c r="F548" s="248" t="str">
        <f t="shared" si="1258"/>
        <v>YEAR2</v>
      </c>
      <c r="G548" s="250">
        <f>VLOOKUP(F548,TableInputsData[],$G$6,FALSE)</f>
        <v>2026</v>
      </c>
      <c r="H548" s="250" t="str">
        <f t="shared" ref="H548:I548" si="1268">H547</f>
        <v>PRODUCT</v>
      </c>
      <c r="I548" s="248" t="str">
        <f t="shared" si="1268"/>
        <v>PRODUCT 13</v>
      </c>
      <c r="J548" s="248" t="str">
        <f>VLOOKUP(I548,TableInputsData[],$J$6,FALSE)</f>
        <v>-</v>
      </c>
      <c r="K548" s="248" t="str">
        <f t="shared" si="1266"/>
        <v>AVERAGE COST OF GOODS SOLD PER UNIT</v>
      </c>
      <c r="L548" s="256"/>
      <c r="M548" s="256"/>
      <c r="N548" s="256"/>
      <c r="O548" s="266"/>
      <c r="P548" s="261"/>
      <c r="Q548" s="261"/>
      <c r="R548" s="261"/>
      <c r="S548" s="629"/>
      <c r="T548" s="629"/>
      <c r="U548" s="629"/>
      <c r="V548" s="629"/>
      <c r="W548" s="261"/>
      <c r="X548" s="261"/>
      <c r="Y548" s="261"/>
      <c r="Z548" s="261"/>
      <c r="AA548" s="261"/>
      <c r="AB548" s="261"/>
      <c r="AC548" s="266"/>
      <c r="AD548" s="633"/>
      <c r="AE548" s="264">
        <f t="shared" ref="AE548:AM548" si="1269">IF(AE516=0,0,AE540/AE516)</f>
        <v>0</v>
      </c>
      <c r="AF548" s="264">
        <f t="shared" si="1269"/>
        <v>0</v>
      </c>
      <c r="AG548" s="264">
        <f t="shared" si="1269"/>
        <v>0</v>
      </c>
      <c r="AH548" s="264">
        <f t="shared" si="1269"/>
        <v>0</v>
      </c>
      <c r="AI548" s="264">
        <f t="shared" si="1269"/>
        <v>0</v>
      </c>
      <c r="AJ548" s="264">
        <f t="shared" si="1269"/>
        <v>0</v>
      </c>
      <c r="AK548" s="264">
        <f t="shared" si="1269"/>
        <v>0</v>
      </c>
      <c r="AL548" s="264">
        <f t="shared" si="1269"/>
        <v>0</v>
      </c>
      <c r="AM548" s="264">
        <f t="shared" si="1269"/>
        <v>0</v>
      </c>
      <c r="AN548" s="260"/>
      <c r="AO548" s="264">
        <f t="shared" ref="AO548:AO552" si="1270">IF(AO516=0,0,AO540/AO516)</f>
        <v>0</v>
      </c>
      <c r="AP548" s="260"/>
      <c r="AQ548" s="264"/>
      <c r="AR548" s="264" t="str">
        <f>VLOOKUP($I548,TableInputsData[],ReadMe!$M$3,FALSE)&amp;"  |  "&amp;VLOOKUP($K548,TableInputsData[],ReadMe!$M$3,FALSE)</f>
        <v>PRODUIT 13  |  PRIX MOYEN D'ACHAT PAR PRODUIT/SERVICE</v>
      </c>
      <c r="AS548" s="264"/>
      <c r="AT548" s="294"/>
    </row>
    <row r="549" spans="1:46" ht="13" hidden="1" x14ac:dyDescent="0.2">
      <c r="A549" s="294"/>
      <c r="B549" s="924"/>
      <c r="C549" s="272">
        <v>542</v>
      </c>
      <c r="D549" s="250">
        <f t="shared" si="1176"/>
        <v>0</v>
      </c>
      <c r="E549" s="251"/>
      <c r="F549" s="248" t="str">
        <f t="shared" si="1258"/>
        <v>YEAR3</v>
      </c>
      <c r="G549" s="250">
        <f>VLOOKUP(F549,TableInputsData[],$G$6,FALSE)</f>
        <v>2027</v>
      </c>
      <c r="H549" s="250" t="str">
        <f t="shared" ref="H549:I549" si="1271">H548</f>
        <v>PRODUCT</v>
      </c>
      <c r="I549" s="248" t="str">
        <f t="shared" si="1271"/>
        <v>PRODUCT 13</v>
      </c>
      <c r="J549" s="248" t="str">
        <f>VLOOKUP(I549,TableInputsData[],$J$6,FALSE)</f>
        <v>-</v>
      </c>
      <c r="K549" s="248" t="str">
        <f t="shared" si="1266"/>
        <v>AVERAGE COST OF GOODS SOLD PER UNIT</v>
      </c>
      <c r="L549" s="256"/>
      <c r="M549" s="256"/>
      <c r="N549" s="256"/>
      <c r="O549" s="266"/>
      <c r="P549" s="261"/>
      <c r="Q549" s="261"/>
      <c r="R549" s="261"/>
      <c r="S549" s="629"/>
      <c r="T549" s="629"/>
      <c r="U549" s="629"/>
      <c r="V549" s="629"/>
      <c r="W549" s="261"/>
      <c r="X549" s="261"/>
      <c r="Y549" s="261"/>
      <c r="Z549" s="261"/>
      <c r="AA549" s="261"/>
      <c r="AB549" s="261"/>
      <c r="AC549" s="266"/>
      <c r="AD549" s="633"/>
      <c r="AE549" s="264">
        <f t="shared" ref="AE549:AM549" si="1272">IF(AE517=0,0,AE541/AE517)</f>
        <v>0</v>
      </c>
      <c r="AF549" s="264">
        <f t="shared" si="1272"/>
        <v>0</v>
      </c>
      <c r="AG549" s="264">
        <f t="shared" si="1272"/>
        <v>0</v>
      </c>
      <c r="AH549" s="264">
        <f t="shared" si="1272"/>
        <v>0</v>
      </c>
      <c r="AI549" s="264">
        <f t="shared" si="1272"/>
        <v>0</v>
      </c>
      <c r="AJ549" s="264">
        <f t="shared" si="1272"/>
        <v>0</v>
      </c>
      <c r="AK549" s="264">
        <f t="shared" si="1272"/>
        <v>0</v>
      </c>
      <c r="AL549" s="264">
        <f t="shared" si="1272"/>
        <v>0</v>
      </c>
      <c r="AM549" s="264">
        <f t="shared" si="1272"/>
        <v>0</v>
      </c>
      <c r="AN549" s="260"/>
      <c r="AO549" s="264">
        <f t="shared" si="1270"/>
        <v>0</v>
      </c>
      <c r="AP549" s="260"/>
      <c r="AQ549" s="264"/>
      <c r="AR549" s="264" t="str">
        <f>VLOOKUP($I549,TableInputsData[],ReadMe!$M$3,FALSE)&amp;"  |  "&amp;VLOOKUP($K549,TableInputsData[],ReadMe!$M$3,FALSE)</f>
        <v>PRODUIT 13  |  PRIX MOYEN D'ACHAT PAR PRODUIT/SERVICE</v>
      </c>
      <c r="AS549" s="264"/>
      <c r="AT549" s="294"/>
    </row>
    <row r="550" spans="1:46" ht="13" hidden="1" x14ac:dyDescent="0.2">
      <c r="A550" s="294"/>
      <c r="B550" s="924"/>
      <c r="C550" s="272">
        <v>543</v>
      </c>
      <c r="D550" s="250">
        <f t="shared" si="1176"/>
        <v>0</v>
      </c>
      <c r="E550" s="251"/>
      <c r="F550" s="248" t="str">
        <f t="shared" si="1258"/>
        <v>YEAR4</v>
      </c>
      <c r="G550" s="250">
        <f>VLOOKUP(F550,TableInputsData[],$G$6,FALSE)</f>
        <v>2028</v>
      </c>
      <c r="H550" s="250" t="str">
        <f t="shared" ref="H550:I550" si="1273">H549</f>
        <v>PRODUCT</v>
      </c>
      <c r="I550" s="248" t="str">
        <f t="shared" si="1273"/>
        <v>PRODUCT 13</v>
      </c>
      <c r="J550" s="248" t="str">
        <f>VLOOKUP(I550,TableInputsData[],$J$6,FALSE)</f>
        <v>-</v>
      </c>
      <c r="K550" s="248" t="str">
        <f t="shared" si="1266"/>
        <v>AVERAGE COST OF GOODS SOLD PER UNIT</v>
      </c>
      <c r="L550" s="256"/>
      <c r="M550" s="256"/>
      <c r="N550" s="256"/>
      <c r="O550" s="266"/>
      <c r="P550" s="261"/>
      <c r="Q550" s="261"/>
      <c r="R550" s="261"/>
      <c r="S550" s="629"/>
      <c r="T550" s="629"/>
      <c r="U550" s="629"/>
      <c r="V550" s="629"/>
      <c r="W550" s="261"/>
      <c r="X550" s="261"/>
      <c r="Y550" s="261"/>
      <c r="Z550" s="261"/>
      <c r="AA550" s="261"/>
      <c r="AB550" s="261"/>
      <c r="AC550" s="266"/>
      <c r="AD550" s="633"/>
      <c r="AE550" s="264">
        <f t="shared" ref="AE550:AM550" si="1274">IF(AE518=0,0,AE542/AE518)</f>
        <v>0</v>
      </c>
      <c r="AF550" s="264">
        <f t="shared" si="1274"/>
        <v>0</v>
      </c>
      <c r="AG550" s="264">
        <f t="shared" si="1274"/>
        <v>0</v>
      </c>
      <c r="AH550" s="264">
        <f t="shared" si="1274"/>
        <v>0</v>
      </c>
      <c r="AI550" s="264">
        <f t="shared" si="1274"/>
        <v>0</v>
      </c>
      <c r="AJ550" s="264">
        <f t="shared" si="1274"/>
        <v>0</v>
      </c>
      <c r="AK550" s="264">
        <f t="shared" si="1274"/>
        <v>0</v>
      </c>
      <c r="AL550" s="264">
        <f t="shared" si="1274"/>
        <v>0</v>
      </c>
      <c r="AM550" s="264">
        <f t="shared" si="1274"/>
        <v>0</v>
      </c>
      <c r="AN550" s="260"/>
      <c r="AO550" s="264">
        <f t="shared" si="1270"/>
        <v>0</v>
      </c>
      <c r="AP550" s="260"/>
      <c r="AQ550" s="264"/>
      <c r="AR550" s="264" t="str">
        <f>VLOOKUP($I550,TableInputsData[],ReadMe!$M$3,FALSE)&amp;"  |  "&amp;VLOOKUP($K550,TableInputsData[],ReadMe!$M$3,FALSE)</f>
        <v>PRODUIT 13  |  PRIX MOYEN D'ACHAT PAR PRODUIT/SERVICE</v>
      </c>
      <c r="AS550" s="264"/>
      <c r="AT550" s="294"/>
    </row>
    <row r="551" spans="1:46" ht="13" hidden="1" x14ac:dyDescent="0.2">
      <c r="A551" s="294"/>
      <c r="B551" s="924"/>
      <c r="C551" s="272">
        <v>544</v>
      </c>
      <c r="D551" s="250">
        <f t="shared" si="1176"/>
        <v>0</v>
      </c>
      <c r="E551" s="251"/>
      <c r="F551" s="248" t="str">
        <f t="shared" si="1258"/>
        <v>YEAR5</v>
      </c>
      <c r="G551" s="250">
        <f>VLOOKUP(F551,TableInputsData[],$G$6,FALSE)</f>
        <v>2029</v>
      </c>
      <c r="H551" s="250" t="str">
        <f t="shared" ref="H551:I551" si="1275">H550</f>
        <v>PRODUCT</v>
      </c>
      <c r="I551" s="248" t="str">
        <f t="shared" si="1275"/>
        <v>PRODUCT 13</v>
      </c>
      <c r="J551" s="248" t="str">
        <f>VLOOKUP(I551,TableInputsData[],$J$6,FALSE)</f>
        <v>-</v>
      </c>
      <c r="K551" s="248" t="str">
        <f t="shared" si="1266"/>
        <v>AVERAGE COST OF GOODS SOLD PER UNIT</v>
      </c>
      <c r="L551" s="256"/>
      <c r="M551" s="256"/>
      <c r="N551" s="256"/>
      <c r="O551" s="266"/>
      <c r="P551" s="261"/>
      <c r="Q551" s="261"/>
      <c r="R551" s="261"/>
      <c r="S551" s="629"/>
      <c r="T551" s="629"/>
      <c r="U551" s="629"/>
      <c r="V551" s="629"/>
      <c r="W551" s="261"/>
      <c r="X551" s="261"/>
      <c r="Y551" s="261"/>
      <c r="Z551" s="261"/>
      <c r="AA551" s="261"/>
      <c r="AB551" s="261"/>
      <c r="AC551" s="266"/>
      <c r="AD551" s="633"/>
      <c r="AE551" s="264">
        <f t="shared" ref="AE551:AM551" si="1276">IF(AE519=0,0,AE543/AE519)</f>
        <v>0</v>
      </c>
      <c r="AF551" s="264">
        <f t="shared" si="1276"/>
        <v>0</v>
      </c>
      <c r="AG551" s="264">
        <f t="shared" si="1276"/>
        <v>0</v>
      </c>
      <c r="AH551" s="264">
        <f t="shared" si="1276"/>
        <v>0</v>
      </c>
      <c r="AI551" s="264">
        <f t="shared" si="1276"/>
        <v>0</v>
      </c>
      <c r="AJ551" s="264">
        <f t="shared" si="1276"/>
        <v>0</v>
      </c>
      <c r="AK551" s="264">
        <f t="shared" si="1276"/>
        <v>0</v>
      </c>
      <c r="AL551" s="264">
        <f t="shared" si="1276"/>
        <v>0</v>
      </c>
      <c r="AM551" s="264">
        <f t="shared" si="1276"/>
        <v>0</v>
      </c>
      <c r="AN551" s="260"/>
      <c r="AO551" s="264">
        <f t="shared" si="1270"/>
        <v>0</v>
      </c>
      <c r="AP551" s="260"/>
      <c r="AQ551" s="264"/>
      <c r="AR551" s="264" t="str">
        <f>VLOOKUP($I551,TableInputsData[],ReadMe!$M$3,FALSE)&amp;"  |  "&amp;VLOOKUP($K551,TableInputsData[],ReadMe!$M$3,FALSE)</f>
        <v>PRODUIT 13  |  PRIX MOYEN D'ACHAT PAR PRODUIT/SERVICE</v>
      </c>
      <c r="AS551" s="264"/>
      <c r="AT551" s="294"/>
    </row>
    <row r="552" spans="1:46" ht="13" hidden="1" x14ac:dyDescent="0.2">
      <c r="A552" s="294"/>
      <c r="B552" s="924"/>
      <c r="C552" s="272">
        <v>545</v>
      </c>
      <c r="D552" s="250">
        <f t="shared" si="1176"/>
        <v>0</v>
      </c>
      <c r="E552" s="251"/>
      <c r="F552" s="248" t="str">
        <f t="shared" si="1258"/>
        <v>YEAR6</v>
      </c>
      <c r="G552" s="250">
        <f>VLOOKUP(F552,TableInputsData[],$G$6,FALSE)</f>
        <v>2030</v>
      </c>
      <c r="H552" s="250" t="str">
        <f t="shared" ref="H552:I552" si="1277">H551</f>
        <v>PRODUCT</v>
      </c>
      <c r="I552" s="248" t="str">
        <f t="shared" si="1277"/>
        <v>PRODUCT 13</v>
      </c>
      <c r="J552" s="248" t="str">
        <f>VLOOKUP(I552,TableInputsData[],$J$6,FALSE)</f>
        <v>-</v>
      </c>
      <c r="K552" s="248" t="str">
        <f t="shared" si="1266"/>
        <v>AVERAGE COST OF GOODS SOLD PER UNIT</v>
      </c>
      <c r="L552" s="256"/>
      <c r="M552" s="256"/>
      <c r="N552" s="256"/>
      <c r="O552" s="266"/>
      <c r="P552" s="261"/>
      <c r="Q552" s="261"/>
      <c r="R552" s="261"/>
      <c r="S552" s="629"/>
      <c r="T552" s="629"/>
      <c r="U552" s="629"/>
      <c r="V552" s="629"/>
      <c r="W552" s="261"/>
      <c r="X552" s="261"/>
      <c r="Y552" s="261"/>
      <c r="Z552" s="261"/>
      <c r="AA552" s="261"/>
      <c r="AB552" s="261"/>
      <c r="AC552" s="266"/>
      <c r="AD552" s="633"/>
      <c r="AE552" s="264">
        <f t="shared" ref="AE552:AM552" si="1278">IF(AE520=0,0,AE544/AE520)</f>
        <v>0</v>
      </c>
      <c r="AF552" s="264">
        <f t="shared" si="1278"/>
        <v>0</v>
      </c>
      <c r="AG552" s="264">
        <f t="shared" si="1278"/>
        <v>0</v>
      </c>
      <c r="AH552" s="264">
        <f t="shared" si="1278"/>
        <v>0</v>
      </c>
      <c r="AI552" s="264">
        <f t="shared" si="1278"/>
        <v>0</v>
      </c>
      <c r="AJ552" s="264">
        <f t="shared" si="1278"/>
        <v>0</v>
      </c>
      <c r="AK552" s="264">
        <f t="shared" si="1278"/>
        <v>0</v>
      </c>
      <c r="AL552" s="264">
        <f t="shared" si="1278"/>
        <v>0</v>
      </c>
      <c r="AM552" s="264">
        <f t="shared" si="1278"/>
        <v>0</v>
      </c>
      <c r="AN552" s="260"/>
      <c r="AO552" s="264">
        <f t="shared" si="1270"/>
        <v>0</v>
      </c>
      <c r="AP552" s="260"/>
      <c r="AQ552" s="264"/>
      <c r="AR552" s="264" t="str">
        <f>VLOOKUP($I552,TableInputsData[],ReadMe!$M$3,FALSE)&amp;"  |  "&amp;VLOOKUP($K552,TableInputsData[],ReadMe!$M$3,FALSE)</f>
        <v>PRODUIT 13  |  PRIX MOYEN D'ACHAT PAR PRODUIT/SERVICE</v>
      </c>
      <c r="AS552" s="264"/>
      <c r="AT552" s="294"/>
    </row>
    <row r="553" spans="1:46" ht="13" x14ac:dyDescent="0.2">
      <c r="A553" s="294"/>
      <c r="B553" s="924"/>
      <c r="C553" s="273">
        <v>546</v>
      </c>
      <c r="D553" s="253">
        <v>0</v>
      </c>
      <c r="E553" s="253">
        <v>1</v>
      </c>
      <c r="F553" s="252"/>
      <c r="G553" s="253"/>
      <c r="H553" s="253"/>
      <c r="I553" s="252"/>
      <c r="J553" s="252"/>
      <c r="K553" s="252"/>
      <c r="L553" s="257"/>
      <c r="M553" s="257"/>
      <c r="N553" s="257"/>
      <c r="O553" s="267"/>
      <c r="P553" s="262"/>
      <c r="Q553" s="262"/>
      <c r="R553" s="262"/>
      <c r="S553" s="631"/>
      <c r="T553" s="631"/>
      <c r="U553" s="631"/>
      <c r="V553" s="631"/>
      <c r="W553" s="262"/>
      <c r="X553" s="262"/>
      <c r="Y553" s="262"/>
      <c r="Z553" s="262"/>
      <c r="AA553" s="262"/>
      <c r="AB553" s="262"/>
      <c r="AC553" s="267"/>
      <c r="AD553" s="635"/>
      <c r="AE553" s="270"/>
      <c r="AF553" s="270"/>
      <c r="AG553" s="270"/>
      <c r="AH553" s="270"/>
      <c r="AI553" s="270"/>
      <c r="AJ553" s="270"/>
      <c r="AK553" s="270"/>
      <c r="AL553" s="270"/>
      <c r="AM553" s="270"/>
      <c r="AN553" s="643"/>
      <c r="AO553" s="270"/>
      <c r="AP553" s="270"/>
      <c r="AQ553" s="270"/>
      <c r="AR553" s="270"/>
      <c r="AS553" s="270"/>
      <c r="AT553" s="294"/>
    </row>
    <row r="554" spans="1:46" ht="13" hidden="1" x14ac:dyDescent="0.2">
      <c r="A554" s="294"/>
      <c r="B554" s="925" t="str">
        <f>I555&amp;"___"</f>
        <v>PRODUCT 14___</v>
      </c>
      <c r="C554" s="271">
        <v>547</v>
      </c>
      <c r="D554" s="250">
        <v>0</v>
      </c>
      <c r="E554" s="250"/>
      <c r="F554" s="248"/>
      <c r="G554" s="250"/>
      <c r="H554" s="250"/>
      <c r="I554" s="248"/>
      <c r="J554" s="248"/>
      <c r="K554" s="248"/>
      <c r="L554" s="254"/>
      <c r="M554" s="254"/>
      <c r="N554" s="254"/>
      <c r="O554" s="264"/>
      <c r="P554" s="259"/>
      <c r="Q554" s="259"/>
      <c r="R554" s="259"/>
      <c r="S554" s="628"/>
      <c r="T554" s="628"/>
      <c r="U554" s="628"/>
      <c r="V554" s="628"/>
      <c r="W554" s="259"/>
      <c r="X554" s="259"/>
      <c r="Y554" s="259"/>
      <c r="Z554" s="259"/>
      <c r="AA554" s="259"/>
      <c r="AB554" s="259"/>
      <c r="AC554" s="264"/>
      <c r="AD554" s="609"/>
      <c r="AE554" s="269"/>
      <c r="AF554" s="269"/>
      <c r="AG554" s="269"/>
      <c r="AH554" s="269"/>
      <c r="AI554" s="269"/>
      <c r="AJ554" s="269"/>
      <c r="AK554" s="269"/>
      <c r="AL554" s="269"/>
      <c r="AM554" s="269"/>
      <c r="AN554" s="642"/>
      <c r="AO554" s="269"/>
      <c r="AP554" s="269"/>
      <c r="AQ554" s="269"/>
      <c r="AR554" s="269"/>
      <c r="AS554" s="269"/>
      <c r="AT554" s="294"/>
    </row>
    <row r="555" spans="1:46" ht="13" x14ac:dyDescent="0.2">
      <c r="A555" s="294"/>
      <c r="B555" s="925"/>
      <c r="C555" s="271">
        <v>548</v>
      </c>
      <c r="D555" s="250">
        <f>VLOOKUP($I555,TableInputsData[],$D$6,FALSE)</f>
        <v>0</v>
      </c>
      <c r="E555" s="250">
        <v>1</v>
      </c>
      <c r="F555" s="248" t="s">
        <v>392</v>
      </c>
      <c r="G555" s="250">
        <f>VLOOKUP(F555,TableInputsData[],$G$6,FALSE)</f>
        <v>2023</v>
      </c>
      <c r="H555" s="250" t="s">
        <v>588</v>
      </c>
      <c r="I555" s="248" t="s">
        <v>1716</v>
      </c>
      <c r="J555" s="248" t="str">
        <f>VLOOKUP(I555,TableInputsData[],$J$6,FALSE)</f>
        <v>-</v>
      </c>
      <c r="K555" s="248" t="s">
        <v>261</v>
      </c>
      <c r="L555" s="499">
        <v>1000</v>
      </c>
      <c r="M555" s="499">
        <v>0</v>
      </c>
      <c r="N555" s="499">
        <v>0</v>
      </c>
      <c r="O555" s="264">
        <f t="shared" ref="O555:O562" si="1279">$L555*$P555+$M555*$Q555+$N555*$R555</f>
        <v>1000</v>
      </c>
      <c r="P555" s="500">
        <v>1</v>
      </c>
      <c r="Q555" s="500">
        <v>0</v>
      </c>
      <c r="R555" s="259">
        <f>1-$P555-$Q555</f>
        <v>0</v>
      </c>
      <c r="S555" s="626">
        <v>500</v>
      </c>
      <c r="T555" s="626">
        <v>0</v>
      </c>
      <c r="U555" s="626">
        <v>0</v>
      </c>
      <c r="V555" s="628">
        <f>($L555*$P555*$S555+$M555*$Q555*$T555+$N555*$R555*$U555)/$O555</f>
        <v>500</v>
      </c>
      <c r="W555" s="500">
        <v>1</v>
      </c>
      <c r="X555" s="500">
        <v>1</v>
      </c>
      <c r="Y555" s="500">
        <v>1</v>
      </c>
      <c r="Z555" s="259">
        <f t="shared" ref="Z555:Z562" si="1280">1-$W555</f>
        <v>0</v>
      </c>
      <c r="AA555" s="259">
        <f t="shared" ref="AA555:AA562" si="1281">1-$X555</f>
        <v>0</v>
      </c>
      <c r="AB555" s="259">
        <f t="shared" ref="AB555:AB562" si="1282">1-$Y555</f>
        <v>0</v>
      </c>
      <c r="AC555" s="628">
        <f>AM587</f>
        <v>0</v>
      </c>
      <c r="AD555" s="628">
        <f>AO587</f>
        <v>0</v>
      </c>
      <c r="AE555" s="501">
        <v>0</v>
      </c>
      <c r="AF555" s="501">
        <v>0</v>
      </c>
      <c r="AG555" s="501">
        <v>0</v>
      </c>
      <c r="AH555" s="501">
        <v>0</v>
      </c>
      <c r="AI555" s="264">
        <f t="shared" ref="AI555:AI558" si="1283">$AE555+$AF555+$AG555+$AH555</f>
        <v>0</v>
      </c>
      <c r="AJ555" s="264">
        <f t="shared" ref="AJ555:AJ562" si="1284">$AI555*$P555</f>
        <v>0</v>
      </c>
      <c r="AK555" s="264">
        <f t="shared" ref="AK555:AK562" si="1285">$AI555*$Q555</f>
        <v>0</v>
      </c>
      <c r="AL555" s="264">
        <f t="shared" ref="AL555:AL562" si="1286">$AI555*$R555</f>
        <v>0</v>
      </c>
      <c r="AM555" s="264">
        <f t="shared" ref="AM555:AM562" si="1287">$AJ555*$W555+$AK555*$X555+$AL555*$Y555</f>
        <v>0</v>
      </c>
      <c r="AN555" s="640">
        <f>IF(AI555=0,0,AM555/AI555)</f>
        <v>0</v>
      </c>
      <c r="AO555" s="264">
        <f t="shared" ref="AO555:AO562" si="1288">$AJ555*$Z555+$AK555*$AA555+$AL555*$AB555</f>
        <v>0</v>
      </c>
      <c r="AP555" s="640">
        <f t="shared" ref="AP555:AP570" si="1289">IF(AI555=0,0,AO555/AI555)</f>
        <v>0</v>
      </c>
      <c r="AQ555" s="264" t="str">
        <f>VLOOKUP(I555,TableInputsData[],$AQ$6,FALSE)</f>
        <v>GAMME # : 1 + CANAL DE DISTRIBUTION # : 1</v>
      </c>
      <c r="AR555" s="264" t="str">
        <f>VLOOKUP($I555,TableInputsData[],ReadMe!$M$3,FALSE)&amp;"  |  "&amp;VLOOKUP($K555,TableInputsData[],ReadMe!$M$3,FALSE)</f>
        <v>PRODUIT 14  |  VOLUME</v>
      </c>
      <c r="AS555" s="264" t="b">
        <f t="shared" ref="AS555:AS562" si="1290">AND(EXACT(ROUND(AI555,2),ROUND(AJ555+AK555+AL555,2)),EXACT(ROUND(AI555,2),ROUND(AM555+AO555,2)),EXACT(SUM(P555:R555),1),IF(R555&lt;0,FALSE,TRUE),EXACT(SUM(W555:AB555),3),MIN(W555:Y555)&gt;=0, MAX(W555:Y555)&lt;=1)</f>
        <v>1</v>
      </c>
      <c r="AT555" s="294"/>
    </row>
    <row r="556" spans="1:46" ht="13" x14ac:dyDescent="0.2">
      <c r="A556" s="294"/>
      <c r="B556" s="925"/>
      <c r="C556" s="271">
        <v>549</v>
      </c>
      <c r="D556" s="250">
        <f>D555</f>
        <v>0</v>
      </c>
      <c r="E556" s="250">
        <v>1</v>
      </c>
      <c r="F556" s="248" t="s">
        <v>391</v>
      </c>
      <c r="G556" s="250">
        <f>VLOOKUP(F556,TableInputsData[],$G$6,FALSE)</f>
        <v>2024</v>
      </c>
      <c r="H556" s="250" t="str">
        <f>H555</f>
        <v>PRODUCT</v>
      </c>
      <c r="I556" s="248" t="str">
        <f>I555</f>
        <v>PRODUCT 14</v>
      </c>
      <c r="J556" s="248" t="str">
        <f>VLOOKUP(I556,TableInputsData[],$J$6,FALSE)</f>
        <v>-</v>
      </c>
      <c r="K556" s="248" t="str">
        <f>K555</f>
        <v>VOLUME</v>
      </c>
      <c r="L556" s="499">
        <v>1000</v>
      </c>
      <c r="M556" s="499">
        <v>0</v>
      </c>
      <c r="N556" s="499">
        <v>0</v>
      </c>
      <c r="O556" s="264">
        <f t="shared" si="1279"/>
        <v>1000</v>
      </c>
      <c r="P556" s="500">
        <v>1</v>
      </c>
      <c r="Q556" s="500">
        <v>0</v>
      </c>
      <c r="R556" s="259">
        <f t="shared" ref="R556:R562" si="1291">1-$P556-$Q556</f>
        <v>0</v>
      </c>
      <c r="S556" s="626">
        <v>500</v>
      </c>
      <c r="T556" s="626">
        <v>0</v>
      </c>
      <c r="U556" s="626">
        <v>0</v>
      </c>
      <c r="V556" s="628">
        <f t="shared" ref="V556:V562" si="1292">($L556*$P556*$S556+$M556*$Q556*$T556+$N556*$R556*$U556)/$O556</f>
        <v>500</v>
      </c>
      <c r="W556" s="500">
        <v>1</v>
      </c>
      <c r="X556" s="500">
        <v>1</v>
      </c>
      <c r="Y556" s="500">
        <v>1</v>
      </c>
      <c r="Z556" s="259">
        <f t="shared" si="1280"/>
        <v>0</v>
      </c>
      <c r="AA556" s="259">
        <f t="shared" si="1281"/>
        <v>0</v>
      </c>
      <c r="AB556" s="259">
        <f t="shared" si="1282"/>
        <v>0</v>
      </c>
      <c r="AC556" s="628">
        <f t="shared" ref="AC556:AC562" si="1293">AM588</f>
        <v>0</v>
      </c>
      <c r="AD556" s="628">
        <f t="shared" ref="AD556:AD562" si="1294">AO588</f>
        <v>0</v>
      </c>
      <c r="AE556" s="501">
        <v>0</v>
      </c>
      <c r="AF556" s="501">
        <v>0</v>
      </c>
      <c r="AG556" s="501">
        <v>0</v>
      </c>
      <c r="AH556" s="501">
        <v>0</v>
      </c>
      <c r="AI556" s="264">
        <f t="shared" si="1283"/>
        <v>0</v>
      </c>
      <c r="AJ556" s="264">
        <f t="shared" si="1284"/>
        <v>0</v>
      </c>
      <c r="AK556" s="264">
        <f t="shared" si="1285"/>
        <v>0</v>
      </c>
      <c r="AL556" s="264">
        <f t="shared" si="1286"/>
        <v>0</v>
      </c>
      <c r="AM556" s="264">
        <f t="shared" si="1287"/>
        <v>0</v>
      </c>
      <c r="AN556" s="640">
        <f t="shared" ref="AN556:AN570" si="1295">IF(AI556=0,0,AM556/AI556)</f>
        <v>0</v>
      </c>
      <c r="AO556" s="264">
        <f t="shared" si="1288"/>
        <v>0</v>
      </c>
      <c r="AP556" s="640">
        <f t="shared" si="1289"/>
        <v>0</v>
      </c>
      <c r="AQ556" s="501"/>
      <c r="AR556" s="264" t="str">
        <f>VLOOKUP($I556,TableInputsData[],ReadMe!$M$3,FALSE)&amp;"  |  "&amp;VLOOKUP($K556,TableInputsData[],ReadMe!$M$3,FALSE)</f>
        <v>PRODUIT 14  |  VOLUME</v>
      </c>
      <c r="AS556" s="264" t="b">
        <f t="shared" si="1290"/>
        <v>1</v>
      </c>
      <c r="AT556" s="294"/>
    </row>
    <row r="557" spans="1:46" ht="13" x14ac:dyDescent="0.2">
      <c r="A557" s="294"/>
      <c r="B557" s="925"/>
      <c r="C557" s="271">
        <v>550</v>
      </c>
      <c r="D557" s="250">
        <f t="shared" ref="D557:D594" si="1296">D556</f>
        <v>0</v>
      </c>
      <c r="E557" s="250">
        <v>1</v>
      </c>
      <c r="F557" s="248" t="s">
        <v>393</v>
      </c>
      <c r="G557" s="250">
        <f>VLOOKUP(F557,TableInputsData[],$G$6,FALSE)</f>
        <v>2025</v>
      </c>
      <c r="H557" s="250" t="str">
        <f t="shared" ref="H557:I557" si="1297">H556</f>
        <v>PRODUCT</v>
      </c>
      <c r="I557" s="248" t="str">
        <f t="shared" si="1297"/>
        <v>PRODUCT 14</v>
      </c>
      <c r="J557" s="248" t="str">
        <f>VLOOKUP(I557,TableInputsData[],$J$6,FALSE)</f>
        <v>-</v>
      </c>
      <c r="K557" s="248" t="str">
        <f t="shared" ref="K557:K562" si="1298">K556</f>
        <v>VOLUME</v>
      </c>
      <c r="L557" s="499">
        <v>1000</v>
      </c>
      <c r="M557" s="499">
        <v>0</v>
      </c>
      <c r="N557" s="499">
        <v>0</v>
      </c>
      <c r="O557" s="264">
        <f t="shared" si="1279"/>
        <v>1000</v>
      </c>
      <c r="P557" s="500">
        <v>1</v>
      </c>
      <c r="Q557" s="500">
        <v>0</v>
      </c>
      <c r="R557" s="259">
        <f t="shared" si="1291"/>
        <v>0</v>
      </c>
      <c r="S557" s="626">
        <v>500</v>
      </c>
      <c r="T557" s="626">
        <v>0</v>
      </c>
      <c r="U557" s="626">
        <v>0</v>
      </c>
      <c r="V557" s="628">
        <f t="shared" si="1292"/>
        <v>500</v>
      </c>
      <c r="W557" s="500">
        <v>1</v>
      </c>
      <c r="X557" s="500">
        <v>1</v>
      </c>
      <c r="Y557" s="500">
        <v>1</v>
      </c>
      <c r="Z557" s="259">
        <f t="shared" si="1280"/>
        <v>0</v>
      </c>
      <c r="AA557" s="259">
        <f t="shared" si="1281"/>
        <v>0</v>
      </c>
      <c r="AB557" s="259">
        <f t="shared" si="1282"/>
        <v>0</v>
      </c>
      <c r="AC557" s="628">
        <f t="shared" si="1293"/>
        <v>0</v>
      </c>
      <c r="AD557" s="628">
        <f t="shared" si="1294"/>
        <v>0</v>
      </c>
      <c r="AE557" s="501">
        <v>0</v>
      </c>
      <c r="AF557" s="501">
        <v>0</v>
      </c>
      <c r="AG557" s="501">
        <v>0</v>
      </c>
      <c r="AH557" s="501">
        <v>0</v>
      </c>
      <c r="AI557" s="264">
        <f t="shared" si="1283"/>
        <v>0</v>
      </c>
      <c r="AJ557" s="264">
        <f t="shared" si="1284"/>
        <v>0</v>
      </c>
      <c r="AK557" s="264">
        <f t="shared" si="1285"/>
        <v>0</v>
      </c>
      <c r="AL557" s="264">
        <f t="shared" si="1286"/>
        <v>0</v>
      </c>
      <c r="AM557" s="264">
        <f t="shared" si="1287"/>
        <v>0</v>
      </c>
      <c r="AN557" s="640">
        <f t="shared" si="1295"/>
        <v>0</v>
      </c>
      <c r="AO557" s="264">
        <f t="shared" si="1288"/>
        <v>0</v>
      </c>
      <c r="AP557" s="640">
        <f t="shared" si="1289"/>
        <v>0</v>
      </c>
      <c r="AQ557" s="501"/>
      <c r="AR557" s="264" t="str">
        <f>VLOOKUP($I557,TableInputsData[],ReadMe!$M$3,FALSE)&amp;"  |  "&amp;VLOOKUP($K557,TableInputsData[],ReadMe!$M$3,FALSE)</f>
        <v>PRODUIT 14  |  VOLUME</v>
      </c>
      <c r="AS557" s="264" t="b">
        <f t="shared" si="1290"/>
        <v>1</v>
      </c>
      <c r="AT557" s="294"/>
    </row>
    <row r="558" spans="1:46" ht="13" x14ac:dyDescent="0.2">
      <c r="A558" s="294"/>
      <c r="B558" s="925"/>
      <c r="C558" s="271">
        <v>551</v>
      </c>
      <c r="D558" s="250">
        <f t="shared" si="1296"/>
        <v>0</v>
      </c>
      <c r="E558" s="250">
        <v>1</v>
      </c>
      <c r="F558" s="248" t="s">
        <v>396</v>
      </c>
      <c r="G558" s="250">
        <f>VLOOKUP(F558,TableInputsData[],$G$6,FALSE)</f>
        <v>2026</v>
      </c>
      <c r="H558" s="250" t="str">
        <f t="shared" ref="H558:I558" si="1299">H557</f>
        <v>PRODUCT</v>
      </c>
      <c r="I558" s="248" t="str">
        <f t="shared" si="1299"/>
        <v>PRODUCT 14</v>
      </c>
      <c r="J558" s="248" t="str">
        <f>VLOOKUP(I558,TableInputsData[],$J$6,FALSE)</f>
        <v>-</v>
      </c>
      <c r="K558" s="248" t="str">
        <f t="shared" si="1298"/>
        <v>VOLUME</v>
      </c>
      <c r="L558" s="499">
        <v>1000</v>
      </c>
      <c r="M558" s="499">
        <v>0</v>
      </c>
      <c r="N558" s="499">
        <v>0</v>
      </c>
      <c r="O558" s="264">
        <f t="shared" si="1279"/>
        <v>1000</v>
      </c>
      <c r="P558" s="500">
        <v>1</v>
      </c>
      <c r="Q558" s="500">
        <v>0</v>
      </c>
      <c r="R558" s="259">
        <f t="shared" si="1291"/>
        <v>0</v>
      </c>
      <c r="S558" s="626">
        <v>500</v>
      </c>
      <c r="T558" s="626">
        <v>0</v>
      </c>
      <c r="U558" s="626">
        <v>0</v>
      </c>
      <c r="V558" s="628">
        <f t="shared" si="1292"/>
        <v>500</v>
      </c>
      <c r="W558" s="500">
        <v>1</v>
      </c>
      <c r="X558" s="500">
        <v>1</v>
      </c>
      <c r="Y558" s="500">
        <v>1</v>
      </c>
      <c r="Z558" s="259">
        <f t="shared" si="1280"/>
        <v>0</v>
      </c>
      <c r="AA558" s="259">
        <f t="shared" si="1281"/>
        <v>0</v>
      </c>
      <c r="AB558" s="259">
        <f t="shared" si="1282"/>
        <v>0</v>
      </c>
      <c r="AC558" s="628">
        <f t="shared" si="1293"/>
        <v>0</v>
      </c>
      <c r="AD558" s="628">
        <f t="shared" si="1294"/>
        <v>0</v>
      </c>
      <c r="AE558" s="501">
        <v>0</v>
      </c>
      <c r="AF558" s="501">
        <v>0</v>
      </c>
      <c r="AG558" s="501">
        <v>0</v>
      </c>
      <c r="AH558" s="501">
        <v>0</v>
      </c>
      <c r="AI558" s="264">
        <f t="shared" si="1283"/>
        <v>0</v>
      </c>
      <c r="AJ558" s="264">
        <f t="shared" si="1284"/>
        <v>0</v>
      </c>
      <c r="AK558" s="264">
        <f t="shared" si="1285"/>
        <v>0</v>
      </c>
      <c r="AL558" s="264">
        <f t="shared" si="1286"/>
        <v>0</v>
      </c>
      <c r="AM558" s="264">
        <f t="shared" si="1287"/>
        <v>0</v>
      </c>
      <c r="AN558" s="640">
        <f t="shared" si="1295"/>
        <v>0</v>
      </c>
      <c r="AO558" s="264">
        <f t="shared" si="1288"/>
        <v>0</v>
      </c>
      <c r="AP558" s="640">
        <f t="shared" si="1289"/>
        <v>0</v>
      </c>
      <c r="AQ558" s="501"/>
      <c r="AR558" s="264" t="str">
        <f>VLOOKUP($I558,TableInputsData[],ReadMe!$M$3,FALSE)&amp;"  |  "&amp;VLOOKUP($K558,TableInputsData[],ReadMe!$M$3,FALSE)</f>
        <v>PRODUIT 14  |  VOLUME</v>
      </c>
      <c r="AS558" s="264" t="b">
        <f t="shared" si="1290"/>
        <v>1</v>
      </c>
      <c r="AT558" s="294"/>
    </row>
    <row r="559" spans="1:46" ht="13" x14ac:dyDescent="0.2">
      <c r="A559" s="294"/>
      <c r="B559" s="925"/>
      <c r="C559" s="271">
        <v>552</v>
      </c>
      <c r="D559" s="250">
        <f t="shared" si="1296"/>
        <v>0</v>
      </c>
      <c r="E559" s="250">
        <v>1</v>
      </c>
      <c r="F559" s="248" t="s">
        <v>397</v>
      </c>
      <c r="G559" s="250">
        <f>VLOOKUP(F559,TableInputsData[],$G$6,FALSE)</f>
        <v>2027</v>
      </c>
      <c r="H559" s="250" t="str">
        <f t="shared" ref="H559:I559" si="1300">H558</f>
        <v>PRODUCT</v>
      </c>
      <c r="I559" s="248" t="str">
        <f t="shared" si="1300"/>
        <v>PRODUCT 14</v>
      </c>
      <c r="J559" s="248" t="str">
        <f>VLOOKUP(I559,TableInputsData[],$J$6,FALSE)</f>
        <v>-</v>
      </c>
      <c r="K559" s="248" t="str">
        <f t="shared" si="1298"/>
        <v>VOLUME</v>
      </c>
      <c r="L559" s="499">
        <v>1000</v>
      </c>
      <c r="M559" s="499">
        <v>0</v>
      </c>
      <c r="N559" s="499">
        <v>0</v>
      </c>
      <c r="O559" s="264">
        <f t="shared" si="1279"/>
        <v>1000</v>
      </c>
      <c r="P559" s="500">
        <v>1</v>
      </c>
      <c r="Q559" s="500">
        <v>0</v>
      </c>
      <c r="R559" s="259">
        <f t="shared" si="1291"/>
        <v>0</v>
      </c>
      <c r="S559" s="626">
        <v>500</v>
      </c>
      <c r="T559" s="626">
        <v>0</v>
      </c>
      <c r="U559" s="626">
        <v>0</v>
      </c>
      <c r="V559" s="628">
        <f t="shared" si="1292"/>
        <v>500</v>
      </c>
      <c r="W559" s="500">
        <v>1</v>
      </c>
      <c r="X559" s="500">
        <v>1</v>
      </c>
      <c r="Y559" s="500">
        <v>1</v>
      </c>
      <c r="Z559" s="259">
        <f t="shared" si="1280"/>
        <v>0</v>
      </c>
      <c r="AA559" s="259">
        <f t="shared" si="1281"/>
        <v>0</v>
      </c>
      <c r="AB559" s="259">
        <f t="shared" si="1282"/>
        <v>0</v>
      </c>
      <c r="AC559" s="628">
        <f t="shared" si="1293"/>
        <v>0</v>
      </c>
      <c r="AD559" s="628">
        <f t="shared" si="1294"/>
        <v>0</v>
      </c>
      <c r="AE559" s="264">
        <f>$AI559/4</f>
        <v>0</v>
      </c>
      <c r="AF559" s="264">
        <f t="shared" ref="AF559:AH562" si="1301">$AI559/4</f>
        <v>0</v>
      </c>
      <c r="AG559" s="264">
        <f t="shared" si="1301"/>
        <v>0</v>
      </c>
      <c r="AH559" s="264">
        <f t="shared" si="1301"/>
        <v>0</v>
      </c>
      <c r="AI559" s="501">
        <v>0</v>
      </c>
      <c r="AJ559" s="264">
        <f t="shared" si="1284"/>
        <v>0</v>
      </c>
      <c r="AK559" s="264">
        <f t="shared" si="1285"/>
        <v>0</v>
      </c>
      <c r="AL559" s="264">
        <f t="shared" si="1286"/>
        <v>0</v>
      </c>
      <c r="AM559" s="264">
        <f t="shared" si="1287"/>
        <v>0</v>
      </c>
      <c r="AN559" s="640">
        <f t="shared" si="1295"/>
        <v>0</v>
      </c>
      <c r="AO559" s="264">
        <f t="shared" si="1288"/>
        <v>0</v>
      </c>
      <c r="AP559" s="640">
        <f t="shared" si="1289"/>
        <v>0</v>
      </c>
      <c r="AQ559" s="501"/>
      <c r="AR559" s="264" t="str">
        <f>VLOOKUP($I559,TableInputsData[],ReadMe!$M$3,FALSE)&amp;"  |  "&amp;VLOOKUP($K559,TableInputsData[],ReadMe!$M$3,FALSE)</f>
        <v>PRODUIT 14  |  VOLUME</v>
      </c>
      <c r="AS559" s="264" t="b">
        <f t="shared" si="1290"/>
        <v>1</v>
      </c>
      <c r="AT559" s="294"/>
    </row>
    <row r="560" spans="1:46" ht="13" x14ac:dyDescent="0.2">
      <c r="A560" s="294"/>
      <c r="B560" s="925"/>
      <c r="C560" s="271">
        <v>553</v>
      </c>
      <c r="D560" s="250">
        <f t="shared" si="1296"/>
        <v>0</v>
      </c>
      <c r="E560" s="250">
        <v>1</v>
      </c>
      <c r="F560" s="248" t="s">
        <v>398</v>
      </c>
      <c r="G560" s="250">
        <f>VLOOKUP(F560,TableInputsData[],$G$6,FALSE)</f>
        <v>2028</v>
      </c>
      <c r="H560" s="250" t="str">
        <f t="shared" ref="H560:I560" si="1302">H559</f>
        <v>PRODUCT</v>
      </c>
      <c r="I560" s="248" t="str">
        <f t="shared" si="1302"/>
        <v>PRODUCT 14</v>
      </c>
      <c r="J560" s="248" t="str">
        <f>VLOOKUP(I560,TableInputsData[],$J$6,FALSE)</f>
        <v>-</v>
      </c>
      <c r="K560" s="248" t="str">
        <f t="shared" si="1298"/>
        <v>VOLUME</v>
      </c>
      <c r="L560" s="499">
        <v>1000</v>
      </c>
      <c r="M560" s="499">
        <v>0</v>
      </c>
      <c r="N560" s="499">
        <v>0</v>
      </c>
      <c r="O560" s="264">
        <f t="shared" si="1279"/>
        <v>1000</v>
      </c>
      <c r="P560" s="500">
        <v>1</v>
      </c>
      <c r="Q560" s="500">
        <v>0</v>
      </c>
      <c r="R560" s="259">
        <f t="shared" si="1291"/>
        <v>0</v>
      </c>
      <c r="S560" s="626">
        <v>500</v>
      </c>
      <c r="T560" s="626">
        <v>0</v>
      </c>
      <c r="U560" s="626">
        <v>0</v>
      </c>
      <c r="V560" s="628">
        <f t="shared" si="1292"/>
        <v>500</v>
      </c>
      <c r="W560" s="500">
        <v>1</v>
      </c>
      <c r="X560" s="500">
        <v>1</v>
      </c>
      <c r="Y560" s="500">
        <v>1</v>
      </c>
      <c r="Z560" s="259">
        <f t="shared" si="1280"/>
        <v>0</v>
      </c>
      <c r="AA560" s="259">
        <f t="shared" si="1281"/>
        <v>0</v>
      </c>
      <c r="AB560" s="259">
        <f t="shared" si="1282"/>
        <v>0</v>
      </c>
      <c r="AC560" s="628">
        <f t="shared" si="1293"/>
        <v>0</v>
      </c>
      <c r="AD560" s="628">
        <f t="shared" si="1294"/>
        <v>0</v>
      </c>
      <c r="AE560" s="264">
        <f t="shared" ref="AE560:AE562" si="1303">$AI560/4</f>
        <v>0</v>
      </c>
      <c r="AF560" s="264">
        <f t="shared" si="1301"/>
        <v>0</v>
      </c>
      <c r="AG560" s="264">
        <f t="shared" si="1301"/>
        <v>0</v>
      </c>
      <c r="AH560" s="264">
        <f t="shared" si="1301"/>
        <v>0</v>
      </c>
      <c r="AI560" s="501">
        <v>0</v>
      </c>
      <c r="AJ560" s="264">
        <f t="shared" si="1284"/>
        <v>0</v>
      </c>
      <c r="AK560" s="264">
        <f t="shared" si="1285"/>
        <v>0</v>
      </c>
      <c r="AL560" s="264">
        <f t="shared" si="1286"/>
        <v>0</v>
      </c>
      <c r="AM560" s="264">
        <f t="shared" si="1287"/>
        <v>0</v>
      </c>
      <c r="AN560" s="640">
        <f t="shared" si="1295"/>
        <v>0</v>
      </c>
      <c r="AO560" s="264">
        <f t="shared" si="1288"/>
        <v>0</v>
      </c>
      <c r="AP560" s="640">
        <f t="shared" si="1289"/>
        <v>0</v>
      </c>
      <c r="AQ560" s="501"/>
      <c r="AR560" s="264" t="str">
        <f>VLOOKUP($I560,TableInputsData[],ReadMe!$M$3,FALSE)&amp;"  |  "&amp;VLOOKUP($K560,TableInputsData[],ReadMe!$M$3,FALSE)</f>
        <v>PRODUIT 14  |  VOLUME</v>
      </c>
      <c r="AS560" s="264" t="b">
        <f t="shared" si="1290"/>
        <v>1</v>
      </c>
      <c r="AT560" s="294"/>
    </row>
    <row r="561" spans="1:46" ht="13" x14ac:dyDescent="0.2">
      <c r="A561" s="294"/>
      <c r="B561" s="925"/>
      <c r="C561" s="271">
        <v>554</v>
      </c>
      <c r="D561" s="250">
        <f t="shared" si="1296"/>
        <v>0</v>
      </c>
      <c r="E561" s="250">
        <v>1</v>
      </c>
      <c r="F561" s="248" t="s">
        <v>399</v>
      </c>
      <c r="G561" s="250">
        <f>VLOOKUP(F561,TableInputsData[],$G$6,FALSE)</f>
        <v>2029</v>
      </c>
      <c r="H561" s="250" t="str">
        <f t="shared" ref="H561:I561" si="1304">H560</f>
        <v>PRODUCT</v>
      </c>
      <c r="I561" s="248" t="str">
        <f t="shared" si="1304"/>
        <v>PRODUCT 14</v>
      </c>
      <c r="J561" s="248" t="str">
        <f>VLOOKUP(I561,TableInputsData[],$J$6,FALSE)</f>
        <v>-</v>
      </c>
      <c r="K561" s="248" t="str">
        <f t="shared" si="1298"/>
        <v>VOLUME</v>
      </c>
      <c r="L561" s="499">
        <v>1000</v>
      </c>
      <c r="M561" s="499">
        <v>0</v>
      </c>
      <c r="N561" s="499">
        <v>0</v>
      </c>
      <c r="O561" s="264">
        <f t="shared" si="1279"/>
        <v>1000</v>
      </c>
      <c r="P561" s="500">
        <v>1</v>
      </c>
      <c r="Q561" s="500">
        <v>0</v>
      </c>
      <c r="R561" s="259">
        <f t="shared" si="1291"/>
        <v>0</v>
      </c>
      <c r="S561" s="626">
        <v>500</v>
      </c>
      <c r="T561" s="626">
        <v>0</v>
      </c>
      <c r="U561" s="626">
        <v>0</v>
      </c>
      <c r="V561" s="628">
        <f t="shared" si="1292"/>
        <v>500</v>
      </c>
      <c r="W561" s="500">
        <v>1</v>
      </c>
      <c r="X561" s="500">
        <v>1</v>
      </c>
      <c r="Y561" s="500">
        <v>1</v>
      </c>
      <c r="Z561" s="259">
        <f t="shared" si="1280"/>
        <v>0</v>
      </c>
      <c r="AA561" s="259">
        <f t="shared" si="1281"/>
        <v>0</v>
      </c>
      <c r="AB561" s="259">
        <f t="shared" si="1282"/>
        <v>0</v>
      </c>
      <c r="AC561" s="628">
        <f t="shared" si="1293"/>
        <v>0</v>
      </c>
      <c r="AD561" s="628">
        <f t="shared" si="1294"/>
        <v>0</v>
      </c>
      <c r="AE561" s="264">
        <f t="shared" si="1303"/>
        <v>0</v>
      </c>
      <c r="AF561" s="264">
        <f t="shared" si="1301"/>
        <v>0</v>
      </c>
      <c r="AG561" s="264">
        <f t="shared" si="1301"/>
        <v>0</v>
      </c>
      <c r="AH561" s="264">
        <f t="shared" si="1301"/>
        <v>0</v>
      </c>
      <c r="AI561" s="501">
        <v>0</v>
      </c>
      <c r="AJ561" s="264">
        <f t="shared" si="1284"/>
        <v>0</v>
      </c>
      <c r="AK561" s="264">
        <f t="shared" si="1285"/>
        <v>0</v>
      </c>
      <c r="AL561" s="264">
        <f t="shared" si="1286"/>
        <v>0</v>
      </c>
      <c r="AM561" s="264">
        <f t="shared" si="1287"/>
        <v>0</v>
      </c>
      <c r="AN561" s="640">
        <f t="shared" si="1295"/>
        <v>0</v>
      </c>
      <c r="AO561" s="264">
        <f t="shared" si="1288"/>
        <v>0</v>
      </c>
      <c r="AP561" s="640">
        <f t="shared" si="1289"/>
        <v>0</v>
      </c>
      <c r="AQ561" s="501"/>
      <c r="AR561" s="264" t="str">
        <f>VLOOKUP($I561,TableInputsData[],ReadMe!$M$3,FALSE)&amp;"  |  "&amp;VLOOKUP($K561,TableInputsData[],ReadMe!$M$3,FALSE)</f>
        <v>PRODUIT 14  |  VOLUME</v>
      </c>
      <c r="AS561" s="264" t="b">
        <f t="shared" si="1290"/>
        <v>1</v>
      </c>
      <c r="AT561" s="294"/>
    </row>
    <row r="562" spans="1:46" ht="13" x14ac:dyDescent="0.2">
      <c r="A562" s="294"/>
      <c r="B562" s="925"/>
      <c r="C562" s="271">
        <v>555</v>
      </c>
      <c r="D562" s="250">
        <f t="shared" si="1296"/>
        <v>0</v>
      </c>
      <c r="E562" s="250">
        <v>1</v>
      </c>
      <c r="F562" s="248" t="s">
        <v>400</v>
      </c>
      <c r="G562" s="250">
        <f>VLOOKUP(F562,TableInputsData[],$G$6,FALSE)</f>
        <v>2030</v>
      </c>
      <c r="H562" s="250" t="str">
        <f t="shared" ref="H562:I562" si="1305">H561</f>
        <v>PRODUCT</v>
      </c>
      <c r="I562" s="248" t="str">
        <f t="shared" si="1305"/>
        <v>PRODUCT 14</v>
      </c>
      <c r="J562" s="248" t="str">
        <f>VLOOKUP(I562,TableInputsData[],$J$6,FALSE)</f>
        <v>-</v>
      </c>
      <c r="K562" s="248" t="str">
        <f t="shared" si="1298"/>
        <v>VOLUME</v>
      </c>
      <c r="L562" s="499">
        <v>1000</v>
      </c>
      <c r="M562" s="499">
        <v>0</v>
      </c>
      <c r="N562" s="499">
        <v>0</v>
      </c>
      <c r="O562" s="264">
        <f t="shared" si="1279"/>
        <v>1000</v>
      </c>
      <c r="P562" s="500">
        <v>1</v>
      </c>
      <c r="Q562" s="500">
        <v>0</v>
      </c>
      <c r="R562" s="259">
        <f t="shared" si="1291"/>
        <v>0</v>
      </c>
      <c r="S562" s="626">
        <v>500</v>
      </c>
      <c r="T562" s="626">
        <v>0</v>
      </c>
      <c r="U562" s="626">
        <v>0</v>
      </c>
      <c r="V562" s="628">
        <f t="shared" si="1292"/>
        <v>500</v>
      </c>
      <c r="W562" s="500">
        <v>1</v>
      </c>
      <c r="X562" s="500">
        <v>1</v>
      </c>
      <c r="Y562" s="500">
        <v>1</v>
      </c>
      <c r="Z562" s="259">
        <f t="shared" si="1280"/>
        <v>0</v>
      </c>
      <c r="AA562" s="259">
        <f t="shared" si="1281"/>
        <v>0</v>
      </c>
      <c r="AB562" s="259">
        <f t="shared" si="1282"/>
        <v>0</v>
      </c>
      <c r="AC562" s="628">
        <f t="shared" si="1293"/>
        <v>0</v>
      </c>
      <c r="AD562" s="628">
        <f t="shared" si="1294"/>
        <v>0</v>
      </c>
      <c r="AE562" s="264">
        <f t="shared" si="1303"/>
        <v>0</v>
      </c>
      <c r="AF562" s="264">
        <f t="shared" si="1301"/>
        <v>0</v>
      </c>
      <c r="AG562" s="264">
        <f t="shared" si="1301"/>
        <v>0</v>
      </c>
      <c r="AH562" s="264">
        <f t="shared" si="1301"/>
        <v>0</v>
      </c>
      <c r="AI562" s="501">
        <v>0</v>
      </c>
      <c r="AJ562" s="264">
        <f t="shared" si="1284"/>
        <v>0</v>
      </c>
      <c r="AK562" s="264">
        <f t="shared" si="1285"/>
        <v>0</v>
      </c>
      <c r="AL562" s="264">
        <f t="shared" si="1286"/>
        <v>0</v>
      </c>
      <c r="AM562" s="264">
        <f t="shared" si="1287"/>
        <v>0</v>
      </c>
      <c r="AN562" s="640">
        <f t="shared" si="1295"/>
        <v>0</v>
      </c>
      <c r="AO562" s="264">
        <f t="shared" si="1288"/>
        <v>0</v>
      </c>
      <c r="AP562" s="640">
        <f t="shared" si="1289"/>
        <v>0</v>
      </c>
      <c r="AQ562" s="501"/>
      <c r="AR562" s="264" t="str">
        <f>VLOOKUP($I562,TableInputsData[],ReadMe!$M$3,FALSE)&amp;"  |  "&amp;VLOOKUP($K562,TableInputsData[],ReadMe!$M$3,FALSE)</f>
        <v>PRODUIT 14  |  VOLUME</v>
      </c>
      <c r="AS562" s="264" t="b">
        <f t="shared" si="1290"/>
        <v>1</v>
      </c>
      <c r="AT562" s="294"/>
    </row>
    <row r="563" spans="1:46" ht="13" hidden="1" x14ac:dyDescent="0.2">
      <c r="A563" s="294"/>
      <c r="B563" s="925"/>
      <c r="C563" s="272">
        <v>556</v>
      </c>
      <c r="D563" s="250">
        <f t="shared" si="1296"/>
        <v>0</v>
      </c>
      <c r="E563" s="251"/>
      <c r="F563" s="248" t="str">
        <f t="shared" ref="F563:F570" si="1306">F571</f>
        <v>YEAR-2</v>
      </c>
      <c r="G563" s="250">
        <f>VLOOKUP(F563,TableInputsData[],$G$6,FALSE)</f>
        <v>2023</v>
      </c>
      <c r="H563" s="250" t="str">
        <f t="shared" ref="H563:I563" si="1307">H562</f>
        <v>PRODUCT</v>
      </c>
      <c r="I563" s="248" t="str">
        <f t="shared" si="1307"/>
        <v>PRODUCT 14</v>
      </c>
      <c r="J563" s="248" t="str">
        <f>VLOOKUP(I563,TableInputsData[],$J$6,FALSE)</f>
        <v>-</v>
      </c>
      <c r="K563" s="248" t="s">
        <v>457</v>
      </c>
      <c r="L563" s="256"/>
      <c r="M563" s="256"/>
      <c r="N563" s="256"/>
      <c r="O563" s="266"/>
      <c r="P563" s="261"/>
      <c r="Q563" s="261"/>
      <c r="R563" s="261"/>
      <c r="S563" s="629"/>
      <c r="T563" s="629"/>
      <c r="U563" s="629"/>
      <c r="V563" s="629"/>
      <c r="W563" s="261"/>
      <c r="X563" s="261"/>
      <c r="Y563" s="261"/>
      <c r="Z563" s="261"/>
      <c r="AA563" s="261"/>
      <c r="AB563" s="261"/>
      <c r="AC563" s="266"/>
      <c r="AD563" s="633"/>
      <c r="AE563" s="264">
        <f>AE555*($L555*$P555+$M555*$Q555+$N555*$R555)</f>
        <v>0</v>
      </c>
      <c r="AF563" s="264">
        <f t="shared" ref="AF563:AH563" si="1308">AF555*($L555*$P555+$M555*$Q555+$N555*$R555)</f>
        <v>0</v>
      </c>
      <c r="AG563" s="264">
        <f t="shared" si="1308"/>
        <v>0</v>
      </c>
      <c r="AH563" s="264">
        <f t="shared" si="1308"/>
        <v>0</v>
      </c>
      <c r="AI563" s="264">
        <f>$AE563+$AF563+$AG563+$AH563</f>
        <v>0</v>
      </c>
      <c r="AJ563" s="264">
        <f t="shared" ref="AJ563:AJ570" si="1309">$AJ555*$L555</f>
        <v>0</v>
      </c>
      <c r="AK563" s="264">
        <f t="shared" ref="AK563:AK570" si="1310">$AK555*$M555</f>
        <v>0</v>
      </c>
      <c r="AL563" s="264">
        <f t="shared" ref="AL563:AL570" si="1311">$AL555*$N555</f>
        <v>0</v>
      </c>
      <c r="AM563" s="264">
        <f t="shared" ref="AM563:AM570" si="1312">$AJ563*$W555+$AK563*$X555+$AL563*$Y555</f>
        <v>0</v>
      </c>
      <c r="AN563" s="640">
        <f t="shared" si="1295"/>
        <v>0</v>
      </c>
      <c r="AO563" s="264">
        <f t="shared" ref="AO563:AO570" si="1313">$AJ563*$Z555+$AK563*$AA555+$AL563*$AB555</f>
        <v>0</v>
      </c>
      <c r="AP563" s="640">
        <f t="shared" si="1289"/>
        <v>0</v>
      </c>
      <c r="AQ563" s="264"/>
      <c r="AR563" s="264" t="str">
        <f>VLOOKUP($I563,TableInputsData[],ReadMe!$M$3,FALSE)&amp;"  |  "&amp;VLOOKUP($K563,TableInputsData[],ReadMe!$M$3,FALSE)</f>
        <v>PRODUIT 14  |  CHIFFRE D'AFFAIRES</v>
      </c>
      <c r="AS563" s="264" t="b">
        <f t="shared" ref="AS563:AS570" si="1314">AND(EXACT(ROUND(AI563,2),ROUND(AJ563+AK563+AL563,2)),EXACT(ROUND(AI563,2),ROUND(AM563+AO563,2)))</f>
        <v>1</v>
      </c>
      <c r="AT563" s="294"/>
    </row>
    <row r="564" spans="1:46" ht="13" hidden="1" x14ac:dyDescent="0.2">
      <c r="A564" s="294"/>
      <c r="B564" s="925"/>
      <c r="C564" s="271">
        <v>557</v>
      </c>
      <c r="D564" s="250">
        <f t="shared" si="1296"/>
        <v>0</v>
      </c>
      <c r="E564" s="250"/>
      <c r="F564" s="248" t="str">
        <f t="shared" si="1306"/>
        <v>YEAR-1</v>
      </c>
      <c r="G564" s="250">
        <f>VLOOKUP(F564,TableInputsData[],$G$6,FALSE)</f>
        <v>2024</v>
      </c>
      <c r="H564" s="250" t="str">
        <f t="shared" ref="H564:I564" si="1315">H563</f>
        <v>PRODUCT</v>
      </c>
      <c r="I564" s="248" t="str">
        <f t="shared" si="1315"/>
        <v>PRODUCT 14</v>
      </c>
      <c r="J564" s="248" t="str">
        <f>VLOOKUP(I564,TableInputsData[],$J$6,FALSE)</f>
        <v>-</v>
      </c>
      <c r="K564" s="248" t="str">
        <f>K563</f>
        <v>REVENUE</v>
      </c>
      <c r="L564" s="255"/>
      <c r="M564" s="255"/>
      <c r="N564" s="255"/>
      <c r="O564" s="265"/>
      <c r="P564" s="260"/>
      <c r="Q564" s="260"/>
      <c r="R564" s="260"/>
      <c r="S564" s="630"/>
      <c r="T564" s="630"/>
      <c r="U564" s="630"/>
      <c r="V564" s="630"/>
      <c r="W564" s="260"/>
      <c r="X564" s="260"/>
      <c r="Y564" s="260"/>
      <c r="Z564" s="260"/>
      <c r="AA564" s="260"/>
      <c r="AB564" s="260"/>
      <c r="AC564" s="265"/>
      <c r="AD564" s="634"/>
      <c r="AE564" s="264">
        <f t="shared" ref="AE564:AH564" si="1316">AE556*($L556*$P556+$M556*$Q556+$N556*$R556)</f>
        <v>0</v>
      </c>
      <c r="AF564" s="264">
        <f t="shared" si="1316"/>
        <v>0</v>
      </c>
      <c r="AG564" s="264">
        <f t="shared" si="1316"/>
        <v>0</v>
      </c>
      <c r="AH564" s="264">
        <f t="shared" si="1316"/>
        <v>0</v>
      </c>
      <c r="AI564" s="264">
        <f t="shared" ref="AI564:AI569" si="1317">$AE564+$AF564+$AG564+$AH564</f>
        <v>0</v>
      </c>
      <c r="AJ564" s="264">
        <f t="shared" si="1309"/>
        <v>0</v>
      </c>
      <c r="AK564" s="264">
        <f t="shared" si="1310"/>
        <v>0</v>
      </c>
      <c r="AL564" s="264">
        <f t="shared" si="1311"/>
        <v>0</v>
      </c>
      <c r="AM564" s="264">
        <f t="shared" si="1312"/>
        <v>0</v>
      </c>
      <c r="AN564" s="640">
        <f t="shared" si="1295"/>
        <v>0</v>
      </c>
      <c r="AO564" s="264">
        <f t="shared" si="1313"/>
        <v>0</v>
      </c>
      <c r="AP564" s="640">
        <f t="shared" si="1289"/>
        <v>0</v>
      </c>
      <c r="AQ564" s="264"/>
      <c r="AR564" s="264" t="str">
        <f>VLOOKUP($I564,TableInputsData[],ReadMe!$M$3,FALSE)&amp;"  |  "&amp;VLOOKUP($K564,TableInputsData[],ReadMe!$M$3,FALSE)</f>
        <v>PRODUIT 14  |  CHIFFRE D'AFFAIRES</v>
      </c>
      <c r="AS564" s="264" t="b">
        <f t="shared" si="1314"/>
        <v>1</v>
      </c>
      <c r="AT564" s="294"/>
    </row>
    <row r="565" spans="1:46" ht="13" hidden="1" x14ac:dyDescent="0.2">
      <c r="A565" s="294"/>
      <c r="B565" s="925"/>
      <c r="C565" s="271">
        <v>558</v>
      </c>
      <c r="D565" s="250">
        <f t="shared" si="1296"/>
        <v>0</v>
      </c>
      <c r="E565" s="250"/>
      <c r="F565" s="248" t="str">
        <f t="shared" si="1306"/>
        <v>CURRENT YEAR</v>
      </c>
      <c r="G565" s="250">
        <f>VLOOKUP(F565,TableInputsData[],$G$6,FALSE)</f>
        <v>2025</v>
      </c>
      <c r="H565" s="250" t="str">
        <f t="shared" ref="H565:I565" si="1318">H564</f>
        <v>PRODUCT</v>
      </c>
      <c r="I565" s="248" t="str">
        <f t="shared" si="1318"/>
        <v>PRODUCT 14</v>
      </c>
      <c r="J565" s="248" t="str">
        <f>VLOOKUP(I565,TableInputsData[],$J$6,FALSE)</f>
        <v>-</v>
      </c>
      <c r="K565" s="248" t="str">
        <f t="shared" ref="K565:K570" si="1319">K564</f>
        <v>REVENUE</v>
      </c>
      <c r="L565" s="255"/>
      <c r="M565" s="255"/>
      <c r="N565" s="255"/>
      <c r="O565" s="265"/>
      <c r="P565" s="260"/>
      <c r="Q565" s="260"/>
      <c r="R565" s="260"/>
      <c r="S565" s="630"/>
      <c r="T565" s="630"/>
      <c r="U565" s="630"/>
      <c r="V565" s="630"/>
      <c r="W565" s="260"/>
      <c r="X565" s="260"/>
      <c r="Y565" s="260"/>
      <c r="Z565" s="260"/>
      <c r="AA565" s="260"/>
      <c r="AB565" s="260"/>
      <c r="AC565" s="265"/>
      <c r="AD565" s="634"/>
      <c r="AE565" s="264">
        <f t="shared" ref="AE565:AH565" si="1320">AE557*($L557*$P557+$M557*$Q557+$N557*$R557)</f>
        <v>0</v>
      </c>
      <c r="AF565" s="264">
        <f t="shared" si="1320"/>
        <v>0</v>
      </c>
      <c r="AG565" s="264">
        <f t="shared" si="1320"/>
        <v>0</v>
      </c>
      <c r="AH565" s="264">
        <f t="shared" si="1320"/>
        <v>0</v>
      </c>
      <c r="AI565" s="264">
        <f t="shared" si="1317"/>
        <v>0</v>
      </c>
      <c r="AJ565" s="264">
        <f t="shared" si="1309"/>
        <v>0</v>
      </c>
      <c r="AK565" s="264">
        <f t="shared" si="1310"/>
        <v>0</v>
      </c>
      <c r="AL565" s="264">
        <f t="shared" si="1311"/>
        <v>0</v>
      </c>
      <c r="AM565" s="264">
        <f t="shared" si="1312"/>
        <v>0</v>
      </c>
      <c r="AN565" s="640">
        <f t="shared" si="1295"/>
        <v>0</v>
      </c>
      <c r="AO565" s="264">
        <f t="shared" si="1313"/>
        <v>0</v>
      </c>
      <c r="AP565" s="640">
        <f t="shared" si="1289"/>
        <v>0</v>
      </c>
      <c r="AQ565" s="264"/>
      <c r="AR565" s="264" t="str">
        <f>VLOOKUP($I565,TableInputsData[],ReadMe!$M$3,FALSE)&amp;"  |  "&amp;VLOOKUP($K565,TableInputsData[],ReadMe!$M$3,FALSE)</f>
        <v>PRODUIT 14  |  CHIFFRE D'AFFAIRES</v>
      </c>
      <c r="AS565" s="264" t="b">
        <f t="shared" si="1314"/>
        <v>1</v>
      </c>
      <c r="AT565" s="294"/>
    </row>
    <row r="566" spans="1:46" ht="13" hidden="1" x14ac:dyDescent="0.2">
      <c r="A566" s="294"/>
      <c r="B566" s="925"/>
      <c r="C566" s="271">
        <v>559</v>
      </c>
      <c r="D566" s="250">
        <f t="shared" si="1296"/>
        <v>0</v>
      </c>
      <c r="E566" s="250"/>
      <c r="F566" s="248" t="str">
        <f t="shared" si="1306"/>
        <v>YEAR2</v>
      </c>
      <c r="G566" s="250">
        <f>VLOOKUP(F566,TableInputsData[],$G$6,FALSE)</f>
        <v>2026</v>
      </c>
      <c r="H566" s="250" t="str">
        <f t="shared" ref="H566:I566" si="1321">H565</f>
        <v>PRODUCT</v>
      </c>
      <c r="I566" s="248" t="str">
        <f t="shared" si="1321"/>
        <v>PRODUCT 14</v>
      </c>
      <c r="J566" s="248" t="str">
        <f>VLOOKUP(I566,TableInputsData[],$J$6,FALSE)</f>
        <v>-</v>
      </c>
      <c r="K566" s="248" t="str">
        <f t="shared" si="1319"/>
        <v>REVENUE</v>
      </c>
      <c r="L566" s="255"/>
      <c r="M566" s="255"/>
      <c r="N566" s="255"/>
      <c r="O566" s="265"/>
      <c r="P566" s="260"/>
      <c r="Q566" s="260"/>
      <c r="R566" s="260"/>
      <c r="S566" s="630"/>
      <c r="T566" s="630"/>
      <c r="U566" s="630"/>
      <c r="V566" s="630"/>
      <c r="W566" s="260"/>
      <c r="X566" s="260"/>
      <c r="Y566" s="260"/>
      <c r="Z566" s="260"/>
      <c r="AA566" s="260"/>
      <c r="AB566" s="260"/>
      <c r="AC566" s="265"/>
      <c r="AD566" s="634"/>
      <c r="AE566" s="264">
        <f t="shared" ref="AE566:AH566" si="1322">AE558*($L558*$P558+$M558*$Q558+$N558*$R558)</f>
        <v>0</v>
      </c>
      <c r="AF566" s="264">
        <f t="shared" si="1322"/>
        <v>0</v>
      </c>
      <c r="AG566" s="264">
        <f t="shared" si="1322"/>
        <v>0</v>
      </c>
      <c r="AH566" s="264">
        <f t="shared" si="1322"/>
        <v>0</v>
      </c>
      <c r="AI566" s="264">
        <f t="shared" si="1317"/>
        <v>0</v>
      </c>
      <c r="AJ566" s="264">
        <f t="shared" si="1309"/>
        <v>0</v>
      </c>
      <c r="AK566" s="264">
        <f t="shared" si="1310"/>
        <v>0</v>
      </c>
      <c r="AL566" s="264">
        <f t="shared" si="1311"/>
        <v>0</v>
      </c>
      <c r="AM566" s="264">
        <f t="shared" si="1312"/>
        <v>0</v>
      </c>
      <c r="AN566" s="640">
        <f t="shared" si="1295"/>
        <v>0</v>
      </c>
      <c r="AO566" s="264">
        <f t="shared" si="1313"/>
        <v>0</v>
      </c>
      <c r="AP566" s="640">
        <f t="shared" si="1289"/>
        <v>0</v>
      </c>
      <c r="AQ566" s="264"/>
      <c r="AR566" s="264" t="str">
        <f>VLOOKUP($I566,TableInputsData[],ReadMe!$M$3,FALSE)&amp;"  |  "&amp;VLOOKUP($K566,TableInputsData[],ReadMe!$M$3,FALSE)</f>
        <v>PRODUIT 14  |  CHIFFRE D'AFFAIRES</v>
      </c>
      <c r="AS566" s="264" t="b">
        <f t="shared" si="1314"/>
        <v>1</v>
      </c>
      <c r="AT566" s="294"/>
    </row>
    <row r="567" spans="1:46" ht="13" hidden="1" x14ac:dyDescent="0.2">
      <c r="A567" s="294"/>
      <c r="B567" s="925"/>
      <c r="C567" s="271">
        <v>560</v>
      </c>
      <c r="D567" s="250">
        <f t="shared" si="1296"/>
        <v>0</v>
      </c>
      <c r="E567" s="250"/>
      <c r="F567" s="248" t="str">
        <f t="shared" si="1306"/>
        <v>YEAR3</v>
      </c>
      <c r="G567" s="250">
        <f>VLOOKUP(F567,TableInputsData[],$G$6,FALSE)</f>
        <v>2027</v>
      </c>
      <c r="H567" s="250" t="str">
        <f t="shared" ref="H567:I567" si="1323">H566</f>
        <v>PRODUCT</v>
      </c>
      <c r="I567" s="248" t="str">
        <f t="shared" si="1323"/>
        <v>PRODUCT 14</v>
      </c>
      <c r="J567" s="248" t="str">
        <f>VLOOKUP(I567,TableInputsData[],$J$6,FALSE)</f>
        <v>-</v>
      </c>
      <c r="K567" s="248" t="str">
        <f t="shared" si="1319"/>
        <v>REVENUE</v>
      </c>
      <c r="L567" s="255"/>
      <c r="M567" s="255"/>
      <c r="N567" s="255"/>
      <c r="O567" s="265"/>
      <c r="P567" s="260"/>
      <c r="Q567" s="260"/>
      <c r="R567" s="260"/>
      <c r="S567" s="630"/>
      <c r="T567" s="630"/>
      <c r="U567" s="630"/>
      <c r="V567" s="630"/>
      <c r="W567" s="260"/>
      <c r="X567" s="260"/>
      <c r="Y567" s="260"/>
      <c r="Z567" s="260"/>
      <c r="AA567" s="260"/>
      <c r="AB567" s="260"/>
      <c r="AC567" s="265"/>
      <c r="AD567" s="634"/>
      <c r="AE567" s="264">
        <f t="shared" ref="AE567:AH567" si="1324">AE559*($L559*$P559+$M559*$Q559+$N559*$R559)</f>
        <v>0</v>
      </c>
      <c r="AF567" s="264">
        <f t="shared" si="1324"/>
        <v>0</v>
      </c>
      <c r="AG567" s="264">
        <f t="shared" si="1324"/>
        <v>0</v>
      </c>
      <c r="AH567" s="264">
        <f t="shared" si="1324"/>
        <v>0</v>
      </c>
      <c r="AI567" s="264">
        <f t="shared" si="1317"/>
        <v>0</v>
      </c>
      <c r="AJ567" s="264">
        <f t="shared" si="1309"/>
        <v>0</v>
      </c>
      <c r="AK567" s="264">
        <f t="shared" si="1310"/>
        <v>0</v>
      </c>
      <c r="AL567" s="264">
        <f t="shared" si="1311"/>
        <v>0</v>
      </c>
      <c r="AM567" s="264">
        <f t="shared" si="1312"/>
        <v>0</v>
      </c>
      <c r="AN567" s="640">
        <f t="shared" si="1295"/>
        <v>0</v>
      </c>
      <c r="AO567" s="264">
        <f t="shared" si="1313"/>
        <v>0</v>
      </c>
      <c r="AP567" s="640">
        <f t="shared" si="1289"/>
        <v>0</v>
      </c>
      <c r="AQ567" s="264"/>
      <c r="AR567" s="264" t="str">
        <f>VLOOKUP($I567,TableInputsData[],ReadMe!$M$3,FALSE)&amp;"  |  "&amp;VLOOKUP($K567,TableInputsData[],ReadMe!$M$3,FALSE)</f>
        <v>PRODUIT 14  |  CHIFFRE D'AFFAIRES</v>
      </c>
      <c r="AS567" s="264" t="b">
        <f t="shared" si="1314"/>
        <v>1</v>
      </c>
      <c r="AT567" s="294"/>
    </row>
    <row r="568" spans="1:46" ht="13" hidden="1" x14ac:dyDescent="0.2">
      <c r="A568" s="294"/>
      <c r="B568" s="925"/>
      <c r="C568" s="271">
        <v>561</v>
      </c>
      <c r="D568" s="250">
        <f t="shared" si="1296"/>
        <v>0</v>
      </c>
      <c r="E568" s="250"/>
      <c r="F568" s="248" t="str">
        <f t="shared" si="1306"/>
        <v>YEAR4</v>
      </c>
      <c r="G568" s="250">
        <f>VLOOKUP(F568,TableInputsData[],$G$6,FALSE)</f>
        <v>2028</v>
      </c>
      <c r="H568" s="250" t="str">
        <f t="shared" ref="H568:I568" si="1325">H567</f>
        <v>PRODUCT</v>
      </c>
      <c r="I568" s="248" t="str">
        <f t="shared" si="1325"/>
        <v>PRODUCT 14</v>
      </c>
      <c r="J568" s="248" t="str">
        <f>VLOOKUP(I568,TableInputsData[],$J$6,FALSE)</f>
        <v>-</v>
      </c>
      <c r="K568" s="248" t="str">
        <f t="shared" si="1319"/>
        <v>REVENUE</v>
      </c>
      <c r="L568" s="255"/>
      <c r="M568" s="255"/>
      <c r="N568" s="255"/>
      <c r="O568" s="265"/>
      <c r="P568" s="260"/>
      <c r="Q568" s="260"/>
      <c r="R568" s="260"/>
      <c r="S568" s="630"/>
      <c r="T568" s="630"/>
      <c r="U568" s="630"/>
      <c r="V568" s="630"/>
      <c r="W568" s="260"/>
      <c r="X568" s="260"/>
      <c r="Y568" s="260"/>
      <c r="Z568" s="260"/>
      <c r="AA568" s="260"/>
      <c r="AB568" s="260"/>
      <c r="AC568" s="265"/>
      <c r="AD568" s="634"/>
      <c r="AE568" s="264">
        <f t="shared" ref="AE568:AH568" si="1326">AE560*($L560*$P560+$M560*$Q560+$N560*$R560)</f>
        <v>0</v>
      </c>
      <c r="AF568" s="264">
        <f t="shared" si="1326"/>
        <v>0</v>
      </c>
      <c r="AG568" s="264">
        <f t="shared" si="1326"/>
        <v>0</v>
      </c>
      <c r="AH568" s="264">
        <f t="shared" si="1326"/>
        <v>0</v>
      </c>
      <c r="AI568" s="264">
        <f t="shared" si="1317"/>
        <v>0</v>
      </c>
      <c r="AJ568" s="264">
        <f t="shared" si="1309"/>
        <v>0</v>
      </c>
      <c r="AK568" s="264">
        <f t="shared" si="1310"/>
        <v>0</v>
      </c>
      <c r="AL568" s="264">
        <f t="shared" si="1311"/>
        <v>0</v>
      </c>
      <c r="AM568" s="264">
        <f t="shared" si="1312"/>
        <v>0</v>
      </c>
      <c r="AN568" s="640">
        <f t="shared" si="1295"/>
        <v>0</v>
      </c>
      <c r="AO568" s="264">
        <f t="shared" si="1313"/>
        <v>0</v>
      </c>
      <c r="AP568" s="640">
        <f t="shared" si="1289"/>
        <v>0</v>
      </c>
      <c r="AQ568" s="264"/>
      <c r="AR568" s="264" t="str">
        <f>VLOOKUP($I568,TableInputsData[],ReadMe!$M$3,FALSE)&amp;"  |  "&amp;VLOOKUP($K568,TableInputsData[],ReadMe!$M$3,FALSE)</f>
        <v>PRODUIT 14  |  CHIFFRE D'AFFAIRES</v>
      </c>
      <c r="AS568" s="264" t="b">
        <f t="shared" si="1314"/>
        <v>1</v>
      </c>
      <c r="AT568" s="294"/>
    </row>
    <row r="569" spans="1:46" ht="13" hidden="1" x14ac:dyDescent="0.2">
      <c r="A569" s="294"/>
      <c r="B569" s="925"/>
      <c r="C569" s="271">
        <v>562</v>
      </c>
      <c r="D569" s="250">
        <f t="shared" si="1296"/>
        <v>0</v>
      </c>
      <c r="E569" s="250"/>
      <c r="F569" s="248" t="str">
        <f t="shared" si="1306"/>
        <v>YEAR5</v>
      </c>
      <c r="G569" s="250">
        <f>VLOOKUP(F569,TableInputsData[],$G$6,FALSE)</f>
        <v>2029</v>
      </c>
      <c r="H569" s="250" t="str">
        <f t="shared" ref="H569:I569" si="1327">H568</f>
        <v>PRODUCT</v>
      </c>
      <c r="I569" s="248" t="str">
        <f t="shared" si="1327"/>
        <v>PRODUCT 14</v>
      </c>
      <c r="J569" s="248" t="str">
        <f>VLOOKUP(I569,TableInputsData[],$J$6,FALSE)</f>
        <v>-</v>
      </c>
      <c r="K569" s="248" t="str">
        <f t="shared" si="1319"/>
        <v>REVENUE</v>
      </c>
      <c r="L569" s="255"/>
      <c r="M569" s="255"/>
      <c r="N569" s="255"/>
      <c r="O569" s="265"/>
      <c r="P569" s="260"/>
      <c r="Q569" s="260"/>
      <c r="R569" s="260"/>
      <c r="S569" s="630"/>
      <c r="T569" s="630"/>
      <c r="U569" s="630"/>
      <c r="V569" s="630"/>
      <c r="W569" s="260"/>
      <c r="X569" s="260"/>
      <c r="Y569" s="260"/>
      <c r="Z569" s="260"/>
      <c r="AA569" s="260"/>
      <c r="AB569" s="260"/>
      <c r="AC569" s="265"/>
      <c r="AD569" s="634"/>
      <c r="AE569" s="264">
        <f t="shared" ref="AE569:AH569" si="1328">AE561*($L561*$P561+$M561*$Q561+$N561*$R561)</f>
        <v>0</v>
      </c>
      <c r="AF569" s="264">
        <f t="shared" si="1328"/>
        <v>0</v>
      </c>
      <c r="AG569" s="264">
        <f t="shared" si="1328"/>
        <v>0</v>
      </c>
      <c r="AH569" s="264">
        <f t="shared" si="1328"/>
        <v>0</v>
      </c>
      <c r="AI569" s="264">
        <f t="shared" si="1317"/>
        <v>0</v>
      </c>
      <c r="AJ569" s="264">
        <f t="shared" si="1309"/>
        <v>0</v>
      </c>
      <c r="AK569" s="264">
        <f t="shared" si="1310"/>
        <v>0</v>
      </c>
      <c r="AL569" s="264">
        <f t="shared" si="1311"/>
        <v>0</v>
      </c>
      <c r="AM569" s="264">
        <f t="shared" si="1312"/>
        <v>0</v>
      </c>
      <c r="AN569" s="640">
        <f t="shared" si="1295"/>
        <v>0</v>
      </c>
      <c r="AO569" s="264">
        <f t="shared" si="1313"/>
        <v>0</v>
      </c>
      <c r="AP569" s="640">
        <f t="shared" si="1289"/>
        <v>0</v>
      </c>
      <c r="AQ569" s="264"/>
      <c r="AR569" s="264" t="str">
        <f>VLOOKUP($I569,TableInputsData[],ReadMe!$M$3,FALSE)&amp;"  |  "&amp;VLOOKUP($K569,TableInputsData[],ReadMe!$M$3,FALSE)</f>
        <v>PRODUIT 14  |  CHIFFRE D'AFFAIRES</v>
      </c>
      <c r="AS569" s="264" t="b">
        <f t="shared" si="1314"/>
        <v>1</v>
      </c>
      <c r="AT569" s="294"/>
    </row>
    <row r="570" spans="1:46" ht="13" hidden="1" x14ac:dyDescent="0.2">
      <c r="A570" s="294"/>
      <c r="B570" s="925"/>
      <c r="C570" s="271">
        <v>563</v>
      </c>
      <c r="D570" s="250">
        <f t="shared" si="1296"/>
        <v>0</v>
      </c>
      <c r="E570" s="250"/>
      <c r="F570" s="248" t="str">
        <f t="shared" si="1306"/>
        <v>YEAR6</v>
      </c>
      <c r="G570" s="250">
        <f>VLOOKUP(F570,TableInputsData[],$G$6,FALSE)</f>
        <v>2030</v>
      </c>
      <c r="H570" s="250" t="str">
        <f t="shared" ref="H570:I570" si="1329">H569</f>
        <v>PRODUCT</v>
      </c>
      <c r="I570" s="248" t="str">
        <f t="shared" si="1329"/>
        <v>PRODUCT 14</v>
      </c>
      <c r="J570" s="248" t="str">
        <f>VLOOKUP(I570,TableInputsData[],$J$6,FALSE)</f>
        <v>-</v>
      </c>
      <c r="K570" s="248" t="str">
        <f t="shared" si="1319"/>
        <v>REVENUE</v>
      </c>
      <c r="L570" s="255"/>
      <c r="M570" s="255"/>
      <c r="N570" s="255"/>
      <c r="O570" s="265"/>
      <c r="P570" s="260"/>
      <c r="Q570" s="260"/>
      <c r="R570" s="260"/>
      <c r="S570" s="630"/>
      <c r="T570" s="630"/>
      <c r="U570" s="630"/>
      <c r="V570" s="630"/>
      <c r="W570" s="260"/>
      <c r="X570" s="260"/>
      <c r="Y570" s="260"/>
      <c r="Z570" s="260"/>
      <c r="AA570" s="260"/>
      <c r="AB570" s="260"/>
      <c r="AC570" s="265"/>
      <c r="AD570" s="634"/>
      <c r="AE570" s="264">
        <f t="shared" ref="AE570:AH570" si="1330">AE562*($L562*$P562+$M562*$Q562+$N562*$R562)</f>
        <v>0</v>
      </c>
      <c r="AF570" s="264">
        <f t="shared" si="1330"/>
        <v>0</v>
      </c>
      <c r="AG570" s="264">
        <f t="shared" si="1330"/>
        <v>0</v>
      </c>
      <c r="AH570" s="264">
        <f t="shared" si="1330"/>
        <v>0</v>
      </c>
      <c r="AI570" s="264">
        <f>$AE570+$AF570+$AG570+$AH570</f>
        <v>0</v>
      </c>
      <c r="AJ570" s="264">
        <f t="shared" si="1309"/>
        <v>0</v>
      </c>
      <c r="AK570" s="264">
        <f t="shared" si="1310"/>
        <v>0</v>
      </c>
      <c r="AL570" s="264">
        <f t="shared" si="1311"/>
        <v>0</v>
      </c>
      <c r="AM570" s="264">
        <f t="shared" si="1312"/>
        <v>0</v>
      </c>
      <c r="AN570" s="640">
        <f t="shared" si="1295"/>
        <v>0</v>
      </c>
      <c r="AO570" s="264">
        <f t="shared" si="1313"/>
        <v>0</v>
      </c>
      <c r="AP570" s="640">
        <f t="shared" si="1289"/>
        <v>0</v>
      </c>
      <c r="AQ570" s="264"/>
      <c r="AR570" s="264" t="str">
        <f>VLOOKUP($I570,TableInputsData[],ReadMe!$M$3,FALSE)&amp;"  |  "&amp;VLOOKUP($K570,TableInputsData[],ReadMe!$M$3,FALSE)</f>
        <v>PRODUIT 14  |  CHIFFRE D'AFFAIRES</v>
      </c>
      <c r="AS570" s="264" t="b">
        <f t="shared" si="1314"/>
        <v>1</v>
      </c>
      <c r="AT570" s="294"/>
    </row>
    <row r="571" spans="1:46" ht="13" hidden="1" x14ac:dyDescent="0.2">
      <c r="A571" s="294"/>
      <c r="B571" s="925"/>
      <c r="C571" s="271">
        <v>564</v>
      </c>
      <c r="D571" s="250">
        <f t="shared" si="1296"/>
        <v>0</v>
      </c>
      <c r="E571" s="250"/>
      <c r="F571" s="248" t="str">
        <f t="shared" ref="F571:F578" si="1331">F555</f>
        <v>YEAR-2</v>
      </c>
      <c r="G571" s="250">
        <f>VLOOKUP(F571,TableInputsData[],$G$6,FALSE)</f>
        <v>2023</v>
      </c>
      <c r="H571" s="250" t="str">
        <f t="shared" ref="H571:I571" si="1332">H570</f>
        <v>PRODUCT</v>
      </c>
      <c r="I571" s="248" t="str">
        <f t="shared" si="1332"/>
        <v>PRODUCT 14</v>
      </c>
      <c r="J571" s="248" t="str">
        <f>VLOOKUP(I571,TableInputsData[],$J$6,FALSE)</f>
        <v>-</v>
      </c>
      <c r="K571" s="248" t="s">
        <v>456</v>
      </c>
      <c r="L571" s="255"/>
      <c r="M571" s="255"/>
      <c r="N571" s="255"/>
      <c r="O571" s="265"/>
      <c r="P571" s="260"/>
      <c r="Q571" s="260"/>
      <c r="R571" s="260"/>
      <c r="S571" s="630"/>
      <c r="T571" s="630"/>
      <c r="U571" s="630"/>
      <c r="V571" s="630"/>
      <c r="W571" s="260"/>
      <c r="X571" s="260"/>
      <c r="Y571" s="260"/>
      <c r="Z571" s="260"/>
      <c r="AA571" s="260"/>
      <c r="AB571" s="260"/>
      <c r="AC571" s="265"/>
      <c r="AD571" s="634"/>
      <c r="AE571" s="264">
        <f>IF(AE555=0,0,AE563/AE555)</f>
        <v>0</v>
      </c>
      <c r="AF571" s="264">
        <f t="shared" ref="AF571:AI571" si="1333">IF(AF555=0,0,AF563/AF555)</f>
        <v>0</v>
      </c>
      <c r="AG571" s="264">
        <f t="shared" si="1333"/>
        <v>0</v>
      </c>
      <c r="AH571" s="264">
        <f t="shared" si="1333"/>
        <v>0</v>
      </c>
      <c r="AI571" s="264">
        <f t="shared" si="1333"/>
        <v>0</v>
      </c>
      <c r="AJ571" s="264">
        <f>IF(AJ555=0,0,AJ563/AJ555)</f>
        <v>0</v>
      </c>
      <c r="AK571" s="264">
        <f t="shared" ref="AK571:AL571" si="1334">IF(AK555=0,0,AK563/AK555)</f>
        <v>0</v>
      </c>
      <c r="AL571" s="264">
        <f t="shared" si="1334"/>
        <v>0</v>
      </c>
      <c r="AM571" s="264">
        <f>IF(AM555=0,0,AM563/AM555)</f>
        <v>0</v>
      </c>
      <c r="AN571" s="260"/>
      <c r="AO571" s="264">
        <f t="shared" ref="AO571:AO578" si="1335">IF(AO555=0,0,AO563/AO555)</f>
        <v>0</v>
      </c>
      <c r="AP571" s="260"/>
      <c r="AQ571" s="264"/>
      <c r="AR571" s="264" t="str">
        <f>VLOOKUP($I571,TableInputsData[],ReadMe!$M$3,FALSE)&amp;"  |  "&amp;VLOOKUP($K571,TableInputsData[],ReadMe!$M$3,FALSE)</f>
        <v>PRODUIT 14  |  PRIX MOYEN DE VENTE PAR PRODUIT/SERVICE</v>
      </c>
      <c r="AS571" s="264"/>
      <c r="AT571" s="294"/>
    </row>
    <row r="572" spans="1:46" ht="13" hidden="1" x14ac:dyDescent="0.2">
      <c r="A572" s="294"/>
      <c r="B572" s="925"/>
      <c r="C572" s="271">
        <v>565</v>
      </c>
      <c r="D572" s="250">
        <f t="shared" si="1296"/>
        <v>0</v>
      </c>
      <c r="E572" s="250"/>
      <c r="F572" s="248" t="str">
        <f t="shared" si="1331"/>
        <v>YEAR-1</v>
      </c>
      <c r="G572" s="250">
        <f>VLOOKUP(F572,TableInputsData[],$G$6,FALSE)</f>
        <v>2024</v>
      </c>
      <c r="H572" s="250" t="str">
        <f t="shared" ref="H572:I572" si="1336">H571</f>
        <v>PRODUCT</v>
      </c>
      <c r="I572" s="248" t="str">
        <f t="shared" si="1336"/>
        <v>PRODUCT 14</v>
      </c>
      <c r="J572" s="248" t="str">
        <f>VLOOKUP(I572,TableInputsData[],$J$6,FALSE)</f>
        <v>-</v>
      </c>
      <c r="K572" s="248" t="str">
        <f>K571</f>
        <v>AVERAGE SELLING PRICE PER UNIT</v>
      </c>
      <c r="L572" s="255"/>
      <c r="M572" s="255"/>
      <c r="N572" s="255"/>
      <c r="O572" s="265"/>
      <c r="P572" s="260"/>
      <c r="Q572" s="260"/>
      <c r="R572" s="260"/>
      <c r="S572" s="630"/>
      <c r="T572" s="630"/>
      <c r="U572" s="630"/>
      <c r="V572" s="630"/>
      <c r="W572" s="260"/>
      <c r="X572" s="260"/>
      <c r="Y572" s="260"/>
      <c r="Z572" s="260"/>
      <c r="AA572" s="260"/>
      <c r="AB572" s="260"/>
      <c r="AC572" s="265"/>
      <c r="AD572" s="634"/>
      <c r="AE572" s="264">
        <f>IF(AE556=0,0,AE564/AE556)</f>
        <v>0</v>
      </c>
      <c r="AF572" s="264">
        <f t="shared" ref="AF572:AM572" si="1337">IF(AF556=0,0,AF564/AF556)</f>
        <v>0</v>
      </c>
      <c r="AG572" s="264">
        <f t="shared" si="1337"/>
        <v>0</v>
      </c>
      <c r="AH572" s="264">
        <f t="shared" si="1337"/>
        <v>0</v>
      </c>
      <c r="AI572" s="264">
        <f t="shared" si="1337"/>
        <v>0</v>
      </c>
      <c r="AJ572" s="264">
        <f t="shared" si="1337"/>
        <v>0</v>
      </c>
      <c r="AK572" s="264">
        <f t="shared" si="1337"/>
        <v>0</v>
      </c>
      <c r="AL572" s="264">
        <f t="shared" si="1337"/>
        <v>0</v>
      </c>
      <c r="AM572" s="264">
        <f t="shared" si="1337"/>
        <v>0</v>
      </c>
      <c r="AN572" s="260"/>
      <c r="AO572" s="264">
        <f t="shared" si="1335"/>
        <v>0</v>
      </c>
      <c r="AP572" s="260"/>
      <c r="AQ572" s="264"/>
      <c r="AR572" s="264" t="str">
        <f>VLOOKUP($I572,TableInputsData[],ReadMe!$M$3,FALSE)&amp;"  |  "&amp;VLOOKUP($K572,TableInputsData[],ReadMe!$M$3,FALSE)</f>
        <v>PRODUIT 14  |  PRIX MOYEN DE VENTE PAR PRODUIT/SERVICE</v>
      </c>
      <c r="AS572" s="264"/>
      <c r="AT572" s="294"/>
    </row>
    <row r="573" spans="1:46" ht="13" hidden="1" x14ac:dyDescent="0.2">
      <c r="A573" s="294"/>
      <c r="B573" s="925"/>
      <c r="C573" s="271">
        <v>566</v>
      </c>
      <c r="D573" s="250">
        <f t="shared" si="1296"/>
        <v>0</v>
      </c>
      <c r="E573" s="250"/>
      <c r="F573" s="248" t="str">
        <f t="shared" si="1331"/>
        <v>CURRENT YEAR</v>
      </c>
      <c r="G573" s="250">
        <f>VLOOKUP(F573,TableInputsData[],$G$6,FALSE)</f>
        <v>2025</v>
      </c>
      <c r="H573" s="250" t="str">
        <f t="shared" ref="H573:I573" si="1338">H572</f>
        <v>PRODUCT</v>
      </c>
      <c r="I573" s="248" t="str">
        <f t="shared" si="1338"/>
        <v>PRODUCT 14</v>
      </c>
      <c r="J573" s="248" t="str">
        <f>VLOOKUP(I573,TableInputsData[],$J$6,FALSE)</f>
        <v>-</v>
      </c>
      <c r="K573" s="248" t="str">
        <f t="shared" ref="K573:K578" si="1339">K572</f>
        <v>AVERAGE SELLING PRICE PER UNIT</v>
      </c>
      <c r="L573" s="255"/>
      <c r="M573" s="255"/>
      <c r="N573" s="255"/>
      <c r="O573" s="265"/>
      <c r="P573" s="260"/>
      <c r="Q573" s="260"/>
      <c r="R573" s="260"/>
      <c r="S573" s="630"/>
      <c r="T573" s="630"/>
      <c r="U573" s="630"/>
      <c r="V573" s="630"/>
      <c r="W573" s="260"/>
      <c r="X573" s="260"/>
      <c r="Y573" s="260"/>
      <c r="Z573" s="260"/>
      <c r="AA573" s="260"/>
      <c r="AB573" s="260"/>
      <c r="AC573" s="265"/>
      <c r="AD573" s="634"/>
      <c r="AE573" s="264">
        <f>IF(AE557=0,0,AE565/AE557)</f>
        <v>0</v>
      </c>
      <c r="AF573" s="264">
        <f t="shared" ref="AF573:AM573" si="1340">IF(AF557=0,0,AF565/AF557)</f>
        <v>0</v>
      </c>
      <c r="AG573" s="264">
        <f t="shared" si="1340"/>
        <v>0</v>
      </c>
      <c r="AH573" s="264">
        <f t="shared" si="1340"/>
        <v>0</v>
      </c>
      <c r="AI573" s="264">
        <f t="shared" si="1340"/>
        <v>0</v>
      </c>
      <c r="AJ573" s="264">
        <f t="shared" si="1340"/>
        <v>0</v>
      </c>
      <c r="AK573" s="264">
        <f t="shared" si="1340"/>
        <v>0</v>
      </c>
      <c r="AL573" s="264">
        <f t="shared" si="1340"/>
        <v>0</v>
      </c>
      <c r="AM573" s="264">
        <f t="shared" si="1340"/>
        <v>0</v>
      </c>
      <c r="AN573" s="260"/>
      <c r="AO573" s="264">
        <f t="shared" si="1335"/>
        <v>0</v>
      </c>
      <c r="AP573" s="260"/>
      <c r="AQ573" s="264"/>
      <c r="AR573" s="264" t="str">
        <f>VLOOKUP($I573,TableInputsData[],ReadMe!$M$3,FALSE)&amp;"  |  "&amp;VLOOKUP($K573,TableInputsData[],ReadMe!$M$3,FALSE)</f>
        <v>PRODUIT 14  |  PRIX MOYEN DE VENTE PAR PRODUIT/SERVICE</v>
      </c>
      <c r="AS573" s="264"/>
      <c r="AT573" s="294"/>
    </row>
    <row r="574" spans="1:46" ht="13" hidden="1" x14ac:dyDescent="0.2">
      <c r="A574" s="294"/>
      <c r="B574" s="925"/>
      <c r="C574" s="271">
        <v>567</v>
      </c>
      <c r="D574" s="250">
        <f t="shared" si="1296"/>
        <v>0</v>
      </c>
      <c r="E574" s="250"/>
      <c r="F574" s="248" t="str">
        <f t="shared" si="1331"/>
        <v>YEAR2</v>
      </c>
      <c r="G574" s="250">
        <f>VLOOKUP(F574,TableInputsData[],$G$6,FALSE)</f>
        <v>2026</v>
      </c>
      <c r="H574" s="250" t="str">
        <f t="shared" ref="H574:I574" si="1341">H573</f>
        <v>PRODUCT</v>
      </c>
      <c r="I574" s="248" t="str">
        <f t="shared" si="1341"/>
        <v>PRODUCT 14</v>
      </c>
      <c r="J574" s="248" t="str">
        <f>VLOOKUP(I574,TableInputsData[],$J$6,FALSE)</f>
        <v>-</v>
      </c>
      <c r="K574" s="248" t="str">
        <f t="shared" si="1339"/>
        <v>AVERAGE SELLING PRICE PER UNIT</v>
      </c>
      <c r="L574" s="255"/>
      <c r="M574" s="255"/>
      <c r="N574" s="255"/>
      <c r="O574" s="265"/>
      <c r="P574" s="260"/>
      <c r="Q574" s="260"/>
      <c r="R574" s="260"/>
      <c r="S574" s="630"/>
      <c r="T574" s="630"/>
      <c r="U574" s="630"/>
      <c r="V574" s="630"/>
      <c r="W574" s="260"/>
      <c r="X574" s="260"/>
      <c r="Y574" s="260"/>
      <c r="Z574" s="260"/>
      <c r="AA574" s="260"/>
      <c r="AB574" s="260"/>
      <c r="AC574" s="265"/>
      <c r="AD574" s="634"/>
      <c r="AE574" s="264">
        <f>IF(AE558=0,0,AE566/AE558)</f>
        <v>0</v>
      </c>
      <c r="AF574" s="264">
        <f t="shared" ref="AF574:AM574" si="1342">IF(AF558=0,0,AF566/AF558)</f>
        <v>0</v>
      </c>
      <c r="AG574" s="264">
        <f t="shared" si="1342"/>
        <v>0</v>
      </c>
      <c r="AH574" s="264">
        <f t="shared" si="1342"/>
        <v>0</v>
      </c>
      <c r="AI574" s="264">
        <f t="shared" si="1342"/>
        <v>0</v>
      </c>
      <c r="AJ574" s="264">
        <f t="shared" si="1342"/>
        <v>0</v>
      </c>
      <c r="AK574" s="264">
        <f t="shared" si="1342"/>
        <v>0</v>
      </c>
      <c r="AL574" s="264">
        <f t="shared" si="1342"/>
        <v>0</v>
      </c>
      <c r="AM574" s="264">
        <f t="shared" si="1342"/>
        <v>0</v>
      </c>
      <c r="AN574" s="260"/>
      <c r="AO574" s="264">
        <f t="shared" si="1335"/>
        <v>0</v>
      </c>
      <c r="AP574" s="260"/>
      <c r="AQ574" s="264"/>
      <c r="AR574" s="264" t="str">
        <f>VLOOKUP($I574,TableInputsData[],ReadMe!$M$3,FALSE)&amp;"  |  "&amp;VLOOKUP($K574,TableInputsData[],ReadMe!$M$3,FALSE)</f>
        <v>PRODUIT 14  |  PRIX MOYEN DE VENTE PAR PRODUIT/SERVICE</v>
      </c>
      <c r="AS574" s="264"/>
      <c r="AT574" s="294"/>
    </row>
    <row r="575" spans="1:46" ht="13" hidden="1" x14ac:dyDescent="0.2">
      <c r="A575" s="294"/>
      <c r="B575" s="925"/>
      <c r="C575" s="271">
        <v>568</v>
      </c>
      <c r="D575" s="250">
        <f t="shared" si="1296"/>
        <v>0</v>
      </c>
      <c r="E575" s="250"/>
      <c r="F575" s="248" t="str">
        <f t="shared" si="1331"/>
        <v>YEAR3</v>
      </c>
      <c r="G575" s="250">
        <f>VLOOKUP(F575,TableInputsData[],$G$6,FALSE)</f>
        <v>2027</v>
      </c>
      <c r="H575" s="250" t="str">
        <f t="shared" ref="H575:I575" si="1343">H574</f>
        <v>PRODUCT</v>
      </c>
      <c r="I575" s="248" t="str">
        <f t="shared" si="1343"/>
        <v>PRODUCT 14</v>
      </c>
      <c r="J575" s="248" t="str">
        <f>VLOOKUP(I575,TableInputsData[],$J$6,FALSE)</f>
        <v>-</v>
      </c>
      <c r="K575" s="248" t="str">
        <f t="shared" si="1339"/>
        <v>AVERAGE SELLING PRICE PER UNIT</v>
      </c>
      <c r="L575" s="255"/>
      <c r="M575" s="255"/>
      <c r="N575" s="255"/>
      <c r="O575" s="265"/>
      <c r="P575" s="260"/>
      <c r="Q575" s="260"/>
      <c r="R575" s="260"/>
      <c r="S575" s="630"/>
      <c r="T575" s="630"/>
      <c r="U575" s="630"/>
      <c r="V575" s="630"/>
      <c r="W575" s="260"/>
      <c r="X575" s="260"/>
      <c r="Y575" s="260"/>
      <c r="Z575" s="260"/>
      <c r="AA575" s="260"/>
      <c r="AB575" s="260"/>
      <c r="AC575" s="265"/>
      <c r="AD575" s="634"/>
      <c r="AE575" s="264">
        <f t="shared" ref="AE575:AM575" si="1344">IF(AE559=0,0,AE567/AE559)</f>
        <v>0</v>
      </c>
      <c r="AF575" s="264">
        <f t="shared" si="1344"/>
        <v>0</v>
      </c>
      <c r="AG575" s="264">
        <f t="shared" si="1344"/>
        <v>0</v>
      </c>
      <c r="AH575" s="264">
        <f t="shared" si="1344"/>
        <v>0</v>
      </c>
      <c r="AI575" s="264">
        <f t="shared" si="1344"/>
        <v>0</v>
      </c>
      <c r="AJ575" s="264">
        <f t="shared" si="1344"/>
        <v>0</v>
      </c>
      <c r="AK575" s="264">
        <f t="shared" si="1344"/>
        <v>0</v>
      </c>
      <c r="AL575" s="264">
        <f t="shared" si="1344"/>
        <v>0</v>
      </c>
      <c r="AM575" s="264">
        <f t="shared" si="1344"/>
        <v>0</v>
      </c>
      <c r="AN575" s="260"/>
      <c r="AO575" s="264">
        <f t="shared" si="1335"/>
        <v>0</v>
      </c>
      <c r="AP575" s="260"/>
      <c r="AQ575" s="264"/>
      <c r="AR575" s="264" t="str">
        <f>VLOOKUP($I575,TableInputsData[],ReadMe!$M$3,FALSE)&amp;"  |  "&amp;VLOOKUP($K575,TableInputsData[],ReadMe!$M$3,FALSE)</f>
        <v>PRODUIT 14  |  PRIX MOYEN DE VENTE PAR PRODUIT/SERVICE</v>
      </c>
      <c r="AS575" s="264"/>
      <c r="AT575" s="294"/>
    </row>
    <row r="576" spans="1:46" ht="13" hidden="1" x14ac:dyDescent="0.2">
      <c r="A576" s="294"/>
      <c r="B576" s="925"/>
      <c r="C576" s="272">
        <v>569</v>
      </c>
      <c r="D576" s="250">
        <f t="shared" si="1296"/>
        <v>0</v>
      </c>
      <c r="E576" s="251"/>
      <c r="F576" s="248" t="str">
        <f t="shared" si="1331"/>
        <v>YEAR4</v>
      </c>
      <c r="G576" s="250">
        <f>VLOOKUP(F576,TableInputsData[],$G$6,FALSE)</f>
        <v>2028</v>
      </c>
      <c r="H576" s="250" t="str">
        <f t="shared" ref="H576:I576" si="1345">H575</f>
        <v>PRODUCT</v>
      </c>
      <c r="I576" s="248" t="str">
        <f t="shared" si="1345"/>
        <v>PRODUCT 14</v>
      </c>
      <c r="J576" s="248" t="str">
        <f>VLOOKUP(I576,TableInputsData[],$J$6,FALSE)</f>
        <v>-</v>
      </c>
      <c r="K576" s="248" t="str">
        <f t="shared" si="1339"/>
        <v>AVERAGE SELLING PRICE PER UNIT</v>
      </c>
      <c r="L576" s="256"/>
      <c r="M576" s="256"/>
      <c r="N576" s="256"/>
      <c r="O576" s="266"/>
      <c r="P576" s="261"/>
      <c r="Q576" s="261"/>
      <c r="R576" s="261"/>
      <c r="S576" s="629"/>
      <c r="T576" s="629"/>
      <c r="U576" s="629"/>
      <c r="V576" s="629"/>
      <c r="W576" s="261"/>
      <c r="X576" s="261"/>
      <c r="Y576" s="261"/>
      <c r="Z576" s="261"/>
      <c r="AA576" s="261"/>
      <c r="AB576" s="261"/>
      <c r="AC576" s="266"/>
      <c r="AD576" s="633"/>
      <c r="AE576" s="264">
        <f t="shared" ref="AE576:AM576" si="1346">IF(AE560=0,0,AE568/AE560)</f>
        <v>0</v>
      </c>
      <c r="AF576" s="264">
        <f t="shared" si="1346"/>
        <v>0</v>
      </c>
      <c r="AG576" s="264">
        <f t="shared" si="1346"/>
        <v>0</v>
      </c>
      <c r="AH576" s="264">
        <f t="shared" si="1346"/>
        <v>0</v>
      </c>
      <c r="AI576" s="264">
        <f t="shared" si="1346"/>
        <v>0</v>
      </c>
      <c r="AJ576" s="264">
        <f t="shared" si="1346"/>
        <v>0</v>
      </c>
      <c r="AK576" s="264">
        <f t="shared" si="1346"/>
        <v>0</v>
      </c>
      <c r="AL576" s="264">
        <f t="shared" si="1346"/>
        <v>0</v>
      </c>
      <c r="AM576" s="264">
        <f t="shared" si="1346"/>
        <v>0</v>
      </c>
      <c r="AN576" s="260"/>
      <c r="AO576" s="264">
        <f t="shared" si="1335"/>
        <v>0</v>
      </c>
      <c r="AP576" s="260"/>
      <c r="AQ576" s="264"/>
      <c r="AR576" s="264" t="str">
        <f>VLOOKUP($I576,TableInputsData[],ReadMe!$M$3,FALSE)&amp;"  |  "&amp;VLOOKUP($K576,TableInputsData[],ReadMe!$M$3,FALSE)</f>
        <v>PRODUIT 14  |  PRIX MOYEN DE VENTE PAR PRODUIT/SERVICE</v>
      </c>
      <c r="AS576" s="264"/>
      <c r="AT576" s="294"/>
    </row>
    <row r="577" spans="1:46" ht="13" hidden="1" x14ac:dyDescent="0.2">
      <c r="A577" s="294"/>
      <c r="B577" s="925"/>
      <c r="C577" s="271">
        <v>570</v>
      </c>
      <c r="D577" s="250">
        <f t="shared" si="1296"/>
        <v>0</v>
      </c>
      <c r="E577" s="250"/>
      <c r="F577" s="248" t="str">
        <f t="shared" si="1331"/>
        <v>YEAR5</v>
      </c>
      <c r="G577" s="250">
        <f>VLOOKUP(F577,TableInputsData[],$G$6,FALSE)</f>
        <v>2029</v>
      </c>
      <c r="H577" s="250" t="str">
        <f t="shared" ref="H577:I577" si="1347">H576</f>
        <v>PRODUCT</v>
      </c>
      <c r="I577" s="248" t="str">
        <f t="shared" si="1347"/>
        <v>PRODUCT 14</v>
      </c>
      <c r="J577" s="248" t="str">
        <f>VLOOKUP(I577,TableInputsData[],$J$6,FALSE)</f>
        <v>-</v>
      </c>
      <c r="K577" s="248" t="str">
        <f t="shared" si="1339"/>
        <v>AVERAGE SELLING PRICE PER UNIT</v>
      </c>
      <c r="L577" s="255"/>
      <c r="M577" s="255"/>
      <c r="N577" s="255"/>
      <c r="O577" s="265"/>
      <c r="P577" s="260"/>
      <c r="Q577" s="260"/>
      <c r="R577" s="260"/>
      <c r="S577" s="630"/>
      <c r="T577" s="630"/>
      <c r="U577" s="630"/>
      <c r="V577" s="630"/>
      <c r="W577" s="260"/>
      <c r="X577" s="260"/>
      <c r="Y577" s="260"/>
      <c r="Z577" s="260"/>
      <c r="AA577" s="260"/>
      <c r="AB577" s="260"/>
      <c r="AC577" s="265"/>
      <c r="AD577" s="634"/>
      <c r="AE577" s="264">
        <f t="shared" ref="AE577:AM577" si="1348">IF(AE561=0,0,AE569/AE561)</f>
        <v>0</v>
      </c>
      <c r="AF577" s="264">
        <f t="shared" si="1348"/>
        <v>0</v>
      </c>
      <c r="AG577" s="264">
        <f t="shared" si="1348"/>
        <v>0</v>
      </c>
      <c r="AH577" s="264">
        <f t="shared" si="1348"/>
        <v>0</v>
      </c>
      <c r="AI577" s="264">
        <f t="shared" si="1348"/>
        <v>0</v>
      </c>
      <c r="AJ577" s="264">
        <f t="shared" si="1348"/>
        <v>0</v>
      </c>
      <c r="AK577" s="264">
        <f t="shared" si="1348"/>
        <v>0</v>
      </c>
      <c r="AL577" s="264">
        <f t="shared" si="1348"/>
        <v>0</v>
      </c>
      <c r="AM577" s="264">
        <f t="shared" si="1348"/>
        <v>0</v>
      </c>
      <c r="AN577" s="260"/>
      <c r="AO577" s="264">
        <f t="shared" si="1335"/>
        <v>0</v>
      </c>
      <c r="AP577" s="260"/>
      <c r="AQ577" s="264"/>
      <c r="AR577" s="264" t="str">
        <f>VLOOKUP($I577,TableInputsData[],ReadMe!$M$3,FALSE)&amp;"  |  "&amp;VLOOKUP($K577,TableInputsData[],ReadMe!$M$3,FALSE)</f>
        <v>PRODUIT 14  |  PRIX MOYEN DE VENTE PAR PRODUIT/SERVICE</v>
      </c>
      <c r="AS577" s="264"/>
      <c r="AT577" s="294"/>
    </row>
    <row r="578" spans="1:46" ht="13" hidden="1" x14ac:dyDescent="0.2">
      <c r="A578" s="294"/>
      <c r="B578" s="925"/>
      <c r="C578" s="271">
        <v>571</v>
      </c>
      <c r="D578" s="250">
        <f t="shared" si="1296"/>
        <v>0</v>
      </c>
      <c r="E578" s="250"/>
      <c r="F578" s="248" t="str">
        <f t="shared" si="1331"/>
        <v>YEAR6</v>
      </c>
      <c r="G578" s="250">
        <f>VLOOKUP(F578,TableInputsData[],$G$6,FALSE)</f>
        <v>2030</v>
      </c>
      <c r="H578" s="250" t="str">
        <f t="shared" ref="H578:I578" si="1349">H577</f>
        <v>PRODUCT</v>
      </c>
      <c r="I578" s="248" t="str">
        <f t="shared" si="1349"/>
        <v>PRODUCT 14</v>
      </c>
      <c r="J578" s="248" t="str">
        <f>VLOOKUP(I578,TableInputsData[],$J$6,FALSE)</f>
        <v>-</v>
      </c>
      <c r="K578" s="248" t="str">
        <f t="shared" si="1339"/>
        <v>AVERAGE SELLING PRICE PER UNIT</v>
      </c>
      <c r="L578" s="255"/>
      <c r="M578" s="255"/>
      <c r="N578" s="255"/>
      <c r="O578" s="265"/>
      <c r="P578" s="260"/>
      <c r="Q578" s="260"/>
      <c r="R578" s="260"/>
      <c r="S578" s="630"/>
      <c r="T578" s="630"/>
      <c r="U578" s="630"/>
      <c r="V578" s="630"/>
      <c r="W578" s="260"/>
      <c r="X578" s="260"/>
      <c r="Y578" s="260"/>
      <c r="Z578" s="260"/>
      <c r="AA578" s="260"/>
      <c r="AB578" s="260"/>
      <c r="AC578" s="265"/>
      <c r="AD578" s="634"/>
      <c r="AE578" s="264">
        <f t="shared" ref="AE578:AM578" si="1350">IF(AE562=0,0,AE570/AE562)</f>
        <v>0</v>
      </c>
      <c r="AF578" s="264">
        <f t="shared" si="1350"/>
        <v>0</v>
      </c>
      <c r="AG578" s="264">
        <f t="shared" si="1350"/>
        <v>0</v>
      </c>
      <c r="AH578" s="264">
        <f t="shared" si="1350"/>
        <v>0</v>
      </c>
      <c r="AI578" s="264">
        <f t="shared" si="1350"/>
        <v>0</v>
      </c>
      <c r="AJ578" s="264">
        <f t="shared" si="1350"/>
        <v>0</v>
      </c>
      <c r="AK578" s="264">
        <f t="shared" si="1350"/>
        <v>0</v>
      </c>
      <c r="AL578" s="264">
        <f t="shared" si="1350"/>
        <v>0</v>
      </c>
      <c r="AM578" s="264">
        <f t="shared" si="1350"/>
        <v>0</v>
      </c>
      <c r="AN578" s="260"/>
      <c r="AO578" s="264">
        <f t="shared" si="1335"/>
        <v>0</v>
      </c>
      <c r="AP578" s="260"/>
      <c r="AQ578" s="264"/>
      <c r="AR578" s="264" t="str">
        <f>VLOOKUP($I578,TableInputsData[],ReadMe!$M$3,FALSE)&amp;"  |  "&amp;VLOOKUP($K578,TableInputsData[],ReadMe!$M$3,FALSE)</f>
        <v>PRODUIT 14  |  PRIX MOYEN DE VENTE PAR PRODUIT/SERVICE</v>
      </c>
      <c r="AS578" s="264"/>
      <c r="AT578" s="294"/>
    </row>
    <row r="579" spans="1:46" ht="13" hidden="1" x14ac:dyDescent="0.2">
      <c r="A579" s="294"/>
      <c r="B579" s="925"/>
      <c r="C579" s="272">
        <v>572</v>
      </c>
      <c r="D579" s="250">
        <f t="shared" si="1296"/>
        <v>0</v>
      </c>
      <c r="E579" s="251"/>
      <c r="F579" s="248" t="str">
        <f t="shared" ref="F579:F586" si="1351">F587</f>
        <v>YEAR-2</v>
      </c>
      <c r="G579" s="250">
        <f>VLOOKUP(F579,TableInputsData[],$G$6,FALSE)</f>
        <v>2023</v>
      </c>
      <c r="H579" s="250" t="str">
        <f t="shared" ref="H579:I579" si="1352">H578</f>
        <v>PRODUCT</v>
      </c>
      <c r="I579" s="248" t="str">
        <f t="shared" si="1352"/>
        <v>PRODUCT 14</v>
      </c>
      <c r="J579" s="248" t="str">
        <f>VLOOKUP(I579,TableInputsData[],$J$6,FALSE)</f>
        <v>-</v>
      </c>
      <c r="K579" s="248" t="s">
        <v>531</v>
      </c>
      <c r="L579" s="256"/>
      <c r="M579" s="256"/>
      <c r="N579" s="256"/>
      <c r="O579" s="266"/>
      <c r="P579" s="261"/>
      <c r="Q579" s="261"/>
      <c r="R579" s="261"/>
      <c r="S579" s="629"/>
      <c r="T579" s="629"/>
      <c r="U579" s="629"/>
      <c r="V579" s="629"/>
      <c r="W579" s="261"/>
      <c r="X579" s="261"/>
      <c r="Y579" s="261"/>
      <c r="Z579" s="261"/>
      <c r="AA579" s="261"/>
      <c r="AB579" s="261"/>
      <c r="AC579" s="266"/>
      <c r="AD579" s="633"/>
      <c r="AE579" s="264">
        <f>AE555*($S555*$P555+$T555*$Q555+$U555*$R555)</f>
        <v>0</v>
      </c>
      <c r="AF579" s="264">
        <f t="shared" ref="AF579:AH579" si="1353">AF555*($S555*$P555+$T555*$Q555+$U555*$R555)</f>
        <v>0</v>
      </c>
      <c r="AG579" s="264">
        <f t="shared" si="1353"/>
        <v>0</v>
      </c>
      <c r="AH579" s="264">
        <f t="shared" si="1353"/>
        <v>0</v>
      </c>
      <c r="AI579" s="264">
        <f t="shared" ref="AI579:AI586" si="1354">$AE579+$AF579+$AG579+$AH579</f>
        <v>0</v>
      </c>
      <c r="AJ579" s="264">
        <f t="shared" ref="AJ579:AJ586" si="1355">$AJ555*$S555</f>
        <v>0</v>
      </c>
      <c r="AK579" s="264">
        <f t="shared" ref="AK579:AK586" si="1356">$AK555*$T555</f>
        <v>0</v>
      </c>
      <c r="AL579" s="264">
        <f t="shared" ref="AL579:AL586" si="1357">$AL555*$U555</f>
        <v>0</v>
      </c>
      <c r="AM579" s="264">
        <f t="shared" ref="AM579:AM586" si="1358">$AJ579*$W555+$AK579*$X555+$AL579*$Y555</f>
        <v>0</v>
      </c>
      <c r="AN579" s="640">
        <f t="shared" ref="AN579:AN586" si="1359">IF(AI579=0,0,AM579/AI579)</f>
        <v>0</v>
      </c>
      <c r="AO579" s="264">
        <f t="shared" ref="AO579:AO586" si="1360">$AJ579*$Z555+$AK579*$AA555+$AL579*$AB555</f>
        <v>0</v>
      </c>
      <c r="AP579" s="640">
        <f t="shared" ref="AP579:AP586" si="1361">IF(AI579=0,0,AO579/AI579)</f>
        <v>0</v>
      </c>
      <c r="AQ579" s="264"/>
      <c r="AR579" s="264" t="str">
        <f>VLOOKUP($I579,TableInputsData[],ReadMe!$M$3,FALSE)&amp;"  |  "&amp;VLOOKUP($K579,TableInputsData[],ReadMe!$M$3,FALSE)</f>
        <v>PRODUIT 14  |  DEPENSES SUR ACHATS</v>
      </c>
      <c r="AS579" s="264" t="b">
        <f t="shared" ref="AS579:AS586" si="1362">AND(EXACT(ROUND(AI579,2),ROUND(AJ579+AK579+AL579,2)),EXACT(ROUND(AI579,2),ROUND(AM579+AO579,2)))</f>
        <v>1</v>
      </c>
      <c r="AT579" s="294"/>
    </row>
    <row r="580" spans="1:46" ht="13" hidden="1" x14ac:dyDescent="0.2">
      <c r="A580" s="294"/>
      <c r="B580" s="925"/>
      <c r="C580" s="271">
        <v>573</v>
      </c>
      <c r="D580" s="250">
        <f t="shared" si="1296"/>
        <v>0</v>
      </c>
      <c r="E580" s="250"/>
      <c r="F580" s="248" t="str">
        <f t="shared" si="1351"/>
        <v>YEAR-1</v>
      </c>
      <c r="G580" s="250">
        <f>VLOOKUP(F580,TableInputsData[],$G$6,FALSE)</f>
        <v>2024</v>
      </c>
      <c r="H580" s="250" t="str">
        <f t="shared" ref="H580:I580" si="1363">H579</f>
        <v>PRODUCT</v>
      </c>
      <c r="I580" s="248" t="str">
        <f t="shared" si="1363"/>
        <v>PRODUCT 14</v>
      </c>
      <c r="J580" s="248" t="str">
        <f>VLOOKUP(I580,TableInputsData[],$J$6,FALSE)</f>
        <v>-</v>
      </c>
      <c r="K580" s="248" t="str">
        <f>K579</f>
        <v>COST OF GOODS SOLD</v>
      </c>
      <c r="L580" s="255"/>
      <c r="M580" s="255"/>
      <c r="N580" s="255"/>
      <c r="O580" s="265"/>
      <c r="P580" s="260"/>
      <c r="Q580" s="260"/>
      <c r="R580" s="260"/>
      <c r="S580" s="630"/>
      <c r="T580" s="630"/>
      <c r="U580" s="630"/>
      <c r="V580" s="630"/>
      <c r="W580" s="260"/>
      <c r="X580" s="260"/>
      <c r="Y580" s="260"/>
      <c r="Z580" s="260"/>
      <c r="AA580" s="260"/>
      <c r="AB580" s="260"/>
      <c r="AC580" s="265"/>
      <c r="AD580" s="634"/>
      <c r="AE580" s="264">
        <f t="shared" ref="AE580:AH580" si="1364">AE556*($S556*$P556+$T556*$Q556+$U556*$R556)</f>
        <v>0</v>
      </c>
      <c r="AF580" s="264">
        <f t="shared" si="1364"/>
        <v>0</v>
      </c>
      <c r="AG580" s="264">
        <f t="shared" si="1364"/>
        <v>0</v>
      </c>
      <c r="AH580" s="264">
        <f t="shared" si="1364"/>
        <v>0</v>
      </c>
      <c r="AI580" s="264">
        <f t="shared" si="1354"/>
        <v>0</v>
      </c>
      <c r="AJ580" s="264">
        <f t="shared" si="1355"/>
        <v>0</v>
      </c>
      <c r="AK580" s="264">
        <f t="shared" si="1356"/>
        <v>0</v>
      </c>
      <c r="AL580" s="264">
        <f t="shared" si="1357"/>
        <v>0</v>
      </c>
      <c r="AM580" s="264">
        <f t="shared" si="1358"/>
        <v>0</v>
      </c>
      <c r="AN580" s="640">
        <f t="shared" si="1359"/>
        <v>0</v>
      </c>
      <c r="AO580" s="264">
        <f t="shared" si="1360"/>
        <v>0</v>
      </c>
      <c r="AP580" s="640">
        <f t="shared" si="1361"/>
        <v>0</v>
      </c>
      <c r="AQ580" s="264"/>
      <c r="AR580" s="264" t="str">
        <f>VLOOKUP($I580,TableInputsData[],ReadMe!$M$3,FALSE)&amp;"  |  "&amp;VLOOKUP($K580,TableInputsData[],ReadMe!$M$3,FALSE)</f>
        <v>PRODUIT 14  |  DEPENSES SUR ACHATS</v>
      </c>
      <c r="AS580" s="264" t="b">
        <f t="shared" si="1362"/>
        <v>1</v>
      </c>
      <c r="AT580" s="294"/>
    </row>
    <row r="581" spans="1:46" ht="13" hidden="1" x14ac:dyDescent="0.2">
      <c r="A581" s="294"/>
      <c r="B581" s="925"/>
      <c r="C581" s="271">
        <v>574</v>
      </c>
      <c r="D581" s="250">
        <f t="shared" si="1296"/>
        <v>0</v>
      </c>
      <c r="E581" s="250"/>
      <c r="F581" s="248" t="str">
        <f t="shared" si="1351"/>
        <v>CURRENT YEAR</v>
      </c>
      <c r="G581" s="250">
        <f>VLOOKUP(F581,TableInputsData[],$G$6,FALSE)</f>
        <v>2025</v>
      </c>
      <c r="H581" s="250" t="str">
        <f t="shared" ref="H581:I581" si="1365">H580</f>
        <v>PRODUCT</v>
      </c>
      <c r="I581" s="248" t="str">
        <f t="shared" si="1365"/>
        <v>PRODUCT 14</v>
      </c>
      <c r="J581" s="248" t="str">
        <f>VLOOKUP(I581,TableInputsData[],$J$6,FALSE)</f>
        <v>-</v>
      </c>
      <c r="K581" s="248" t="str">
        <f t="shared" ref="K581:K586" si="1366">K580</f>
        <v>COST OF GOODS SOLD</v>
      </c>
      <c r="L581" s="255"/>
      <c r="M581" s="255"/>
      <c r="N581" s="255"/>
      <c r="O581" s="265"/>
      <c r="P581" s="260"/>
      <c r="Q581" s="260"/>
      <c r="R581" s="260"/>
      <c r="S581" s="630"/>
      <c r="T581" s="630"/>
      <c r="U581" s="630"/>
      <c r="V581" s="630"/>
      <c r="W581" s="260"/>
      <c r="X581" s="260"/>
      <c r="Y581" s="260"/>
      <c r="Z581" s="260"/>
      <c r="AA581" s="260"/>
      <c r="AB581" s="260"/>
      <c r="AC581" s="265"/>
      <c r="AD581" s="634"/>
      <c r="AE581" s="264">
        <f t="shared" ref="AE581:AH581" si="1367">AE557*($S557*$P557+$T557*$Q557+$U557*$R557)</f>
        <v>0</v>
      </c>
      <c r="AF581" s="264">
        <f t="shared" si="1367"/>
        <v>0</v>
      </c>
      <c r="AG581" s="264">
        <f t="shared" si="1367"/>
        <v>0</v>
      </c>
      <c r="AH581" s="264">
        <f t="shared" si="1367"/>
        <v>0</v>
      </c>
      <c r="AI581" s="264">
        <f t="shared" si="1354"/>
        <v>0</v>
      </c>
      <c r="AJ581" s="264">
        <f t="shared" si="1355"/>
        <v>0</v>
      </c>
      <c r="AK581" s="264">
        <f t="shared" si="1356"/>
        <v>0</v>
      </c>
      <c r="AL581" s="264">
        <f t="shared" si="1357"/>
        <v>0</v>
      </c>
      <c r="AM581" s="264">
        <f t="shared" si="1358"/>
        <v>0</v>
      </c>
      <c r="AN581" s="640">
        <f t="shared" si="1359"/>
        <v>0</v>
      </c>
      <c r="AO581" s="264">
        <f t="shared" si="1360"/>
        <v>0</v>
      </c>
      <c r="AP581" s="640">
        <f t="shared" si="1361"/>
        <v>0</v>
      </c>
      <c r="AQ581" s="264"/>
      <c r="AR581" s="264" t="str">
        <f>VLOOKUP($I581,TableInputsData[],ReadMe!$M$3,FALSE)&amp;"  |  "&amp;VLOOKUP($K581,TableInputsData[],ReadMe!$M$3,FALSE)</f>
        <v>PRODUIT 14  |  DEPENSES SUR ACHATS</v>
      </c>
      <c r="AS581" s="264" t="b">
        <f t="shared" si="1362"/>
        <v>1</v>
      </c>
      <c r="AT581" s="294"/>
    </row>
    <row r="582" spans="1:46" ht="13" hidden="1" x14ac:dyDescent="0.2">
      <c r="A582" s="294"/>
      <c r="B582" s="925"/>
      <c r="C582" s="271">
        <v>575</v>
      </c>
      <c r="D582" s="250">
        <f t="shared" si="1296"/>
        <v>0</v>
      </c>
      <c r="E582" s="250"/>
      <c r="F582" s="248" t="str">
        <f t="shared" si="1351"/>
        <v>YEAR2</v>
      </c>
      <c r="G582" s="250">
        <f>VLOOKUP(F582,TableInputsData[],$G$6,FALSE)</f>
        <v>2026</v>
      </c>
      <c r="H582" s="250" t="str">
        <f t="shared" ref="H582:I582" si="1368">H581</f>
        <v>PRODUCT</v>
      </c>
      <c r="I582" s="248" t="str">
        <f t="shared" si="1368"/>
        <v>PRODUCT 14</v>
      </c>
      <c r="J582" s="248" t="str">
        <f>VLOOKUP(I582,TableInputsData[],$J$6,FALSE)</f>
        <v>-</v>
      </c>
      <c r="K582" s="248" t="str">
        <f t="shared" si="1366"/>
        <v>COST OF GOODS SOLD</v>
      </c>
      <c r="L582" s="255"/>
      <c r="M582" s="255"/>
      <c r="N582" s="255"/>
      <c r="O582" s="265"/>
      <c r="P582" s="260"/>
      <c r="Q582" s="260"/>
      <c r="R582" s="260"/>
      <c r="S582" s="630"/>
      <c r="T582" s="630"/>
      <c r="U582" s="630"/>
      <c r="V582" s="630"/>
      <c r="W582" s="260"/>
      <c r="X582" s="260"/>
      <c r="Y582" s="260"/>
      <c r="Z582" s="260"/>
      <c r="AA582" s="260"/>
      <c r="AB582" s="260"/>
      <c r="AC582" s="265"/>
      <c r="AD582" s="634"/>
      <c r="AE582" s="264">
        <f t="shared" ref="AE582:AH582" si="1369">AE558*($S558*$P558+$T558*$Q558+$U558*$R558)</f>
        <v>0</v>
      </c>
      <c r="AF582" s="264">
        <f t="shared" si="1369"/>
        <v>0</v>
      </c>
      <c r="AG582" s="264">
        <f t="shared" si="1369"/>
        <v>0</v>
      </c>
      <c r="AH582" s="264">
        <f t="shared" si="1369"/>
        <v>0</v>
      </c>
      <c r="AI582" s="264">
        <f t="shared" si="1354"/>
        <v>0</v>
      </c>
      <c r="AJ582" s="264">
        <f t="shared" si="1355"/>
        <v>0</v>
      </c>
      <c r="AK582" s="264">
        <f t="shared" si="1356"/>
        <v>0</v>
      </c>
      <c r="AL582" s="264">
        <f t="shared" si="1357"/>
        <v>0</v>
      </c>
      <c r="AM582" s="264">
        <f t="shared" si="1358"/>
        <v>0</v>
      </c>
      <c r="AN582" s="640">
        <f t="shared" si="1359"/>
        <v>0</v>
      </c>
      <c r="AO582" s="264">
        <f t="shared" si="1360"/>
        <v>0</v>
      </c>
      <c r="AP582" s="640">
        <f t="shared" si="1361"/>
        <v>0</v>
      </c>
      <c r="AQ582" s="264"/>
      <c r="AR582" s="264" t="str">
        <f>VLOOKUP($I582,TableInputsData[],ReadMe!$M$3,FALSE)&amp;"  |  "&amp;VLOOKUP($K582,TableInputsData[],ReadMe!$M$3,FALSE)</f>
        <v>PRODUIT 14  |  DEPENSES SUR ACHATS</v>
      </c>
      <c r="AS582" s="264" t="b">
        <f t="shared" si="1362"/>
        <v>1</v>
      </c>
      <c r="AT582" s="294"/>
    </row>
    <row r="583" spans="1:46" ht="13" hidden="1" x14ac:dyDescent="0.2">
      <c r="A583" s="294"/>
      <c r="B583" s="925"/>
      <c r="C583" s="271">
        <v>576</v>
      </c>
      <c r="D583" s="250">
        <f t="shared" si="1296"/>
        <v>0</v>
      </c>
      <c r="E583" s="250"/>
      <c r="F583" s="248" t="str">
        <f t="shared" si="1351"/>
        <v>YEAR3</v>
      </c>
      <c r="G583" s="250">
        <f>VLOOKUP(F583,TableInputsData[],$G$6,FALSE)</f>
        <v>2027</v>
      </c>
      <c r="H583" s="250" t="str">
        <f t="shared" ref="H583:I583" si="1370">H582</f>
        <v>PRODUCT</v>
      </c>
      <c r="I583" s="248" t="str">
        <f t="shared" si="1370"/>
        <v>PRODUCT 14</v>
      </c>
      <c r="J583" s="248" t="str">
        <f>VLOOKUP(I583,TableInputsData[],$J$6,FALSE)</f>
        <v>-</v>
      </c>
      <c r="K583" s="248" t="str">
        <f t="shared" si="1366"/>
        <v>COST OF GOODS SOLD</v>
      </c>
      <c r="L583" s="255"/>
      <c r="M583" s="255"/>
      <c r="N583" s="255"/>
      <c r="O583" s="265"/>
      <c r="P583" s="260"/>
      <c r="Q583" s="260"/>
      <c r="R583" s="260"/>
      <c r="S583" s="630"/>
      <c r="T583" s="630"/>
      <c r="U583" s="630"/>
      <c r="V583" s="630"/>
      <c r="W583" s="260"/>
      <c r="X583" s="260"/>
      <c r="Y583" s="260"/>
      <c r="Z583" s="260"/>
      <c r="AA583" s="260"/>
      <c r="AB583" s="260"/>
      <c r="AC583" s="265"/>
      <c r="AD583" s="634"/>
      <c r="AE583" s="264">
        <f t="shared" ref="AE583:AH583" si="1371">AE559*($S559*$P559+$T559*$Q559+$U559*$R559)</f>
        <v>0</v>
      </c>
      <c r="AF583" s="264">
        <f t="shared" si="1371"/>
        <v>0</v>
      </c>
      <c r="AG583" s="264">
        <f t="shared" si="1371"/>
        <v>0</v>
      </c>
      <c r="AH583" s="264">
        <f t="shared" si="1371"/>
        <v>0</v>
      </c>
      <c r="AI583" s="264">
        <f t="shared" si="1354"/>
        <v>0</v>
      </c>
      <c r="AJ583" s="264">
        <f t="shared" si="1355"/>
        <v>0</v>
      </c>
      <c r="AK583" s="264">
        <f t="shared" si="1356"/>
        <v>0</v>
      </c>
      <c r="AL583" s="264">
        <f t="shared" si="1357"/>
        <v>0</v>
      </c>
      <c r="AM583" s="264">
        <f t="shared" si="1358"/>
        <v>0</v>
      </c>
      <c r="AN583" s="640">
        <f t="shared" si="1359"/>
        <v>0</v>
      </c>
      <c r="AO583" s="264">
        <f t="shared" si="1360"/>
        <v>0</v>
      </c>
      <c r="AP583" s="640">
        <f t="shared" si="1361"/>
        <v>0</v>
      </c>
      <c r="AQ583" s="264"/>
      <c r="AR583" s="264" t="str">
        <f>VLOOKUP($I583,TableInputsData[],ReadMe!$M$3,FALSE)&amp;"  |  "&amp;VLOOKUP($K583,TableInputsData[],ReadMe!$M$3,FALSE)</f>
        <v>PRODUIT 14  |  DEPENSES SUR ACHATS</v>
      </c>
      <c r="AS583" s="264" t="b">
        <f t="shared" si="1362"/>
        <v>1</v>
      </c>
      <c r="AT583" s="294"/>
    </row>
    <row r="584" spans="1:46" ht="13" hidden="1" x14ac:dyDescent="0.2">
      <c r="A584" s="294"/>
      <c r="B584" s="925"/>
      <c r="C584" s="271">
        <v>577</v>
      </c>
      <c r="D584" s="250">
        <f t="shared" si="1296"/>
        <v>0</v>
      </c>
      <c r="E584" s="250"/>
      <c r="F584" s="248" t="str">
        <f t="shared" si="1351"/>
        <v>YEAR4</v>
      </c>
      <c r="G584" s="250">
        <f>VLOOKUP(F584,TableInputsData[],$G$6,FALSE)</f>
        <v>2028</v>
      </c>
      <c r="H584" s="250" t="str">
        <f t="shared" ref="H584:I584" si="1372">H583</f>
        <v>PRODUCT</v>
      </c>
      <c r="I584" s="248" t="str">
        <f t="shared" si="1372"/>
        <v>PRODUCT 14</v>
      </c>
      <c r="J584" s="248" t="str">
        <f>VLOOKUP(I584,TableInputsData[],$J$6,FALSE)</f>
        <v>-</v>
      </c>
      <c r="K584" s="248" t="str">
        <f t="shared" si="1366"/>
        <v>COST OF GOODS SOLD</v>
      </c>
      <c r="L584" s="255"/>
      <c r="M584" s="255"/>
      <c r="N584" s="255"/>
      <c r="O584" s="265"/>
      <c r="P584" s="260"/>
      <c r="Q584" s="260"/>
      <c r="R584" s="260"/>
      <c r="S584" s="630"/>
      <c r="T584" s="630"/>
      <c r="U584" s="630"/>
      <c r="V584" s="630"/>
      <c r="W584" s="260"/>
      <c r="X584" s="260"/>
      <c r="Y584" s="260"/>
      <c r="Z584" s="260"/>
      <c r="AA584" s="260"/>
      <c r="AB584" s="260"/>
      <c r="AC584" s="265"/>
      <c r="AD584" s="634"/>
      <c r="AE584" s="264">
        <f t="shared" ref="AE584:AH584" si="1373">AE560*($S560*$P560+$T560*$Q560+$U560*$R560)</f>
        <v>0</v>
      </c>
      <c r="AF584" s="264">
        <f t="shared" si="1373"/>
        <v>0</v>
      </c>
      <c r="AG584" s="264">
        <f t="shared" si="1373"/>
        <v>0</v>
      </c>
      <c r="AH584" s="264">
        <f t="shared" si="1373"/>
        <v>0</v>
      </c>
      <c r="AI584" s="264">
        <f t="shared" si="1354"/>
        <v>0</v>
      </c>
      <c r="AJ584" s="264">
        <f t="shared" si="1355"/>
        <v>0</v>
      </c>
      <c r="AK584" s="264">
        <f t="shared" si="1356"/>
        <v>0</v>
      </c>
      <c r="AL584" s="264">
        <f t="shared" si="1357"/>
        <v>0</v>
      </c>
      <c r="AM584" s="264">
        <f t="shared" si="1358"/>
        <v>0</v>
      </c>
      <c r="AN584" s="640">
        <f t="shared" si="1359"/>
        <v>0</v>
      </c>
      <c r="AO584" s="264">
        <f t="shared" si="1360"/>
        <v>0</v>
      </c>
      <c r="AP584" s="640">
        <f t="shared" si="1361"/>
        <v>0</v>
      </c>
      <c r="AQ584" s="264"/>
      <c r="AR584" s="264" t="str">
        <f>VLOOKUP($I584,TableInputsData[],ReadMe!$M$3,FALSE)&amp;"  |  "&amp;VLOOKUP($K584,TableInputsData[],ReadMe!$M$3,FALSE)</f>
        <v>PRODUIT 14  |  DEPENSES SUR ACHATS</v>
      </c>
      <c r="AS584" s="264" t="b">
        <f t="shared" si="1362"/>
        <v>1</v>
      </c>
      <c r="AT584" s="294"/>
    </row>
    <row r="585" spans="1:46" ht="13" hidden="1" x14ac:dyDescent="0.2">
      <c r="A585" s="294"/>
      <c r="B585" s="925"/>
      <c r="C585" s="271">
        <v>578</v>
      </c>
      <c r="D585" s="250">
        <f t="shared" si="1296"/>
        <v>0</v>
      </c>
      <c r="E585" s="250"/>
      <c r="F585" s="248" t="str">
        <f t="shared" si="1351"/>
        <v>YEAR5</v>
      </c>
      <c r="G585" s="250">
        <f>VLOOKUP(F585,TableInputsData[],$G$6,FALSE)</f>
        <v>2029</v>
      </c>
      <c r="H585" s="250" t="str">
        <f t="shared" ref="H585:I585" si="1374">H584</f>
        <v>PRODUCT</v>
      </c>
      <c r="I585" s="248" t="str">
        <f t="shared" si="1374"/>
        <v>PRODUCT 14</v>
      </c>
      <c r="J585" s="248" t="str">
        <f>VLOOKUP(I585,TableInputsData[],$J$6,FALSE)</f>
        <v>-</v>
      </c>
      <c r="K585" s="248" t="str">
        <f t="shared" si="1366"/>
        <v>COST OF GOODS SOLD</v>
      </c>
      <c r="L585" s="255"/>
      <c r="M585" s="255"/>
      <c r="N585" s="255"/>
      <c r="O585" s="265"/>
      <c r="P585" s="260"/>
      <c r="Q585" s="260"/>
      <c r="R585" s="260"/>
      <c r="S585" s="630"/>
      <c r="T585" s="630"/>
      <c r="U585" s="630"/>
      <c r="V585" s="630"/>
      <c r="W585" s="260"/>
      <c r="X585" s="260"/>
      <c r="Y585" s="260"/>
      <c r="Z585" s="260"/>
      <c r="AA585" s="260"/>
      <c r="AB585" s="260"/>
      <c r="AC585" s="265"/>
      <c r="AD585" s="634"/>
      <c r="AE585" s="264">
        <f t="shared" ref="AE585:AH585" si="1375">AE561*($S561*$P561+$T561*$Q561+$U561*$R561)</f>
        <v>0</v>
      </c>
      <c r="AF585" s="264">
        <f t="shared" si="1375"/>
        <v>0</v>
      </c>
      <c r="AG585" s="264">
        <f t="shared" si="1375"/>
        <v>0</v>
      </c>
      <c r="AH585" s="264">
        <f t="shared" si="1375"/>
        <v>0</v>
      </c>
      <c r="AI585" s="264">
        <f t="shared" si="1354"/>
        <v>0</v>
      </c>
      <c r="AJ585" s="264">
        <f t="shared" si="1355"/>
        <v>0</v>
      </c>
      <c r="AK585" s="264">
        <f t="shared" si="1356"/>
        <v>0</v>
      </c>
      <c r="AL585" s="264">
        <f t="shared" si="1357"/>
        <v>0</v>
      </c>
      <c r="AM585" s="264">
        <f t="shared" si="1358"/>
        <v>0</v>
      </c>
      <c r="AN585" s="640">
        <f t="shared" si="1359"/>
        <v>0</v>
      </c>
      <c r="AO585" s="264">
        <f t="shared" si="1360"/>
        <v>0</v>
      </c>
      <c r="AP585" s="640">
        <f t="shared" si="1361"/>
        <v>0</v>
      </c>
      <c r="AQ585" s="264"/>
      <c r="AR585" s="264" t="str">
        <f>VLOOKUP($I585,TableInputsData[],ReadMe!$M$3,FALSE)&amp;"  |  "&amp;VLOOKUP($K585,TableInputsData[],ReadMe!$M$3,FALSE)</f>
        <v>PRODUIT 14  |  DEPENSES SUR ACHATS</v>
      </c>
      <c r="AS585" s="264" t="b">
        <f t="shared" si="1362"/>
        <v>1</v>
      </c>
      <c r="AT585" s="294"/>
    </row>
    <row r="586" spans="1:46" ht="13" hidden="1" x14ac:dyDescent="0.2">
      <c r="A586" s="294"/>
      <c r="B586" s="925"/>
      <c r="C586" s="271">
        <v>579</v>
      </c>
      <c r="D586" s="250">
        <f t="shared" si="1296"/>
        <v>0</v>
      </c>
      <c r="E586" s="250"/>
      <c r="F586" s="248" t="str">
        <f t="shared" si="1351"/>
        <v>YEAR6</v>
      </c>
      <c r="G586" s="250">
        <f>VLOOKUP(F586,TableInputsData[],$G$6,FALSE)</f>
        <v>2030</v>
      </c>
      <c r="H586" s="250" t="str">
        <f t="shared" ref="H586:I586" si="1376">H585</f>
        <v>PRODUCT</v>
      </c>
      <c r="I586" s="248" t="str">
        <f t="shared" si="1376"/>
        <v>PRODUCT 14</v>
      </c>
      <c r="J586" s="248" t="str">
        <f>VLOOKUP(I586,TableInputsData[],$J$6,FALSE)</f>
        <v>-</v>
      </c>
      <c r="K586" s="248" t="str">
        <f t="shared" si="1366"/>
        <v>COST OF GOODS SOLD</v>
      </c>
      <c r="L586" s="255"/>
      <c r="M586" s="255"/>
      <c r="N586" s="255"/>
      <c r="O586" s="265"/>
      <c r="P586" s="260"/>
      <c r="Q586" s="260"/>
      <c r="R586" s="260"/>
      <c r="S586" s="630"/>
      <c r="T586" s="630"/>
      <c r="U586" s="630"/>
      <c r="V586" s="630"/>
      <c r="W586" s="260"/>
      <c r="X586" s="260"/>
      <c r="Y586" s="260"/>
      <c r="Z586" s="260"/>
      <c r="AA586" s="260"/>
      <c r="AB586" s="260"/>
      <c r="AC586" s="265"/>
      <c r="AD586" s="634"/>
      <c r="AE586" s="264">
        <f t="shared" ref="AE586:AH586" si="1377">AE562*($S562*$P562+$T562*$Q562+$U562*$R562)</f>
        <v>0</v>
      </c>
      <c r="AF586" s="264">
        <f t="shared" si="1377"/>
        <v>0</v>
      </c>
      <c r="AG586" s="264">
        <f t="shared" si="1377"/>
        <v>0</v>
      </c>
      <c r="AH586" s="264">
        <f t="shared" si="1377"/>
        <v>0</v>
      </c>
      <c r="AI586" s="264">
        <f t="shared" si="1354"/>
        <v>0</v>
      </c>
      <c r="AJ586" s="264">
        <f t="shared" si="1355"/>
        <v>0</v>
      </c>
      <c r="AK586" s="264">
        <f t="shared" si="1356"/>
        <v>0</v>
      </c>
      <c r="AL586" s="264">
        <f t="shared" si="1357"/>
        <v>0</v>
      </c>
      <c r="AM586" s="264">
        <f t="shared" si="1358"/>
        <v>0</v>
      </c>
      <c r="AN586" s="640">
        <f t="shared" si="1359"/>
        <v>0</v>
      </c>
      <c r="AO586" s="264">
        <f t="shared" si="1360"/>
        <v>0</v>
      </c>
      <c r="AP586" s="640">
        <f t="shared" si="1361"/>
        <v>0</v>
      </c>
      <c r="AQ586" s="264"/>
      <c r="AR586" s="264" t="str">
        <f>VLOOKUP($I586,TableInputsData[],ReadMe!$M$3,FALSE)&amp;"  |  "&amp;VLOOKUP($K586,TableInputsData[],ReadMe!$M$3,FALSE)</f>
        <v>PRODUIT 14  |  DEPENSES SUR ACHATS</v>
      </c>
      <c r="AS586" s="264" t="b">
        <f t="shared" si="1362"/>
        <v>1</v>
      </c>
      <c r="AT586" s="294"/>
    </row>
    <row r="587" spans="1:46" ht="13" hidden="1" x14ac:dyDescent="0.2">
      <c r="A587" s="294"/>
      <c r="B587" s="925"/>
      <c r="C587" s="272">
        <v>580</v>
      </c>
      <c r="D587" s="250">
        <f t="shared" si="1296"/>
        <v>0</v>
      </c>
      <c r="E587" s="251"/>
      <c r="F587" s="248" t="str">
        <f t="shared" ref="F587:F594" si="1378">F563</f>
        <v>YEAR-2</v>
      </c>
      <c r="G587" s="250">
        <f>VLOOKUP(F587,TableInputsData[],$G$6,FALSE)</f>
        <v>2023</v>
      </c>
      <c r="H587" s="250" t="str">
        <f t="shared" ref="H587:I587" si="1379">H586</f>
        <v>PRODUCT</v>
      </c>
      <c r="I587" s="248" t="str">
        <f t="shared" si="1379"/>
        <v>PRODUCT 14</v>
      </c>
      <c r="J587" s="248" t="str">
        <f>VLOOKUP(I587,TableInputsData[],$J$6,FALSE)</f>
        <v>-</v>
      </c>
      <c r="K587" s="248" t="s">
        <v>532</v>
      </c>
      <c r="L587" s="256"/>
      <c r="M587" s="256"/>
      <c r="N587" s="256"/>
      <c r="O587" s="266"/>
      <c r="P587" s="261"/>
      <c r="Q587" s="261"/>
      <c r="R587" s="261"/>
      <c r="S587" s="629"/>
      <c r="T587" s="629"/>
      <c r="U587" s="629"/>
      <c r="V587" s="629"/>
      <c r="W587" s="261"/>
      <c r="X587" s="261"/>
      <c r="Y587" s="261"/>
      <c r="Z587" s="261"/>
      <c r="AA587" s="261"/>
      <c r="AB587" s="261"/>
      <c r="AC587" s="266"/>
      <c r="AD587" s="633"/>
      <c r="AE587" s="264">
        <f>IF(AE555=0,0,AE579/AE555)</f>
        <v>0</v>
      </c>
      <c r="AF587" s="264">
        <f t="shared" ref="AF587:AI587" si="1380">IF(AF555=0,0,AF579/AF555)</f>
        <v>0</v>
      </c>
      <c r="AG587" s="264">
        <f t="shared" si="1380"/>
        <v>0</v>
      </c>
      <c r="AH587" s="264">
        <f t="shared" si="1380"/>
        <v>0</v>
      </c>
      <c r="AI587" s="264">
        <f t="shared" si="1380"/>
        <v>0</v>
      </c>
      <c r="AJ587" s="264">
        <f>IF(AJ555=0,0,AJ579/AJ555)</f>
        <v>0</v>
      </c>
      <c r="AK587" s="264">
        <f t="shared" ref="AK587:AL587" si="1381">IF(AK555=0,0,AK579/AK555)</f>
        <v>0</v>
      </c>
      <c r="AL587" s="264">
        <f t="shared" si="1381"/>
        <v>0</v>
      </c>
      <c r="AM587" s="264">
        <f>IF(AM555=0,0,AM579/AM555)</f>
        <v>0</v>
      </c>
      <c r="AN587" s="260"/>
      <c r="AO587" s="264">
        <f t="shared" ref="AO587" si="1382">IF(AO555=0,0,AO579/AO555)</f>
        <v>0</v>
      </c>
      <c r="AP587" s="260"/>
      <c r="AQ587" s="264"/>
      <c r="AR587" s="264" t="str">
        <f>VLOOKUP($I587,TableInputsData[],ReadMe!$M$3,FALSE)&amp;"  |  "&amp;VLOOKUP($K587,TableInputsData[],ReadMe!$M$3,FALSE)</f>
        <v>PRODUIT 14  |  PRIX MOYEN D'ACHAT PAR PRODUIT/SERVICE</v>
      </c>
      <c r="AS587" s="264"/>
      <c r="AT587" s="294"/>
    </row>
    <row r="588" spans="1:46" ht="13" hidden="1" x14ac:dyDescent="0.2">
      <c r="A588" s="294"/>
      <c r="B588" s="925"/>
      <c r="C588" s="272">
        <v>581</v>
      </c>
      <c r="D588" s="250">
        <f t="shared" si="1296"/>
        <v>0</v>
      </c>
      <c r="E588" s="251"/>
      <c r="F588" s="248" t="str">
        <f t="shared" si="1378"/>
        <v>YEAR-1</v>
      </c>
      <c r="G588" s="250">
        <f>VLOOKUP(F588,TableInputsData[],$G$6,FALSE)</f>
        <v>2024</v>
      </c>
      <c r="H588" s="250" t="str">
        <f t="shared" ref="H588:I588" si="1383">H587</f>
        <v>PRODUCT</v>
      </c>
      <c r="I588" s="248" t="str">
        <f t="shared" si="1383"/>
        <v>PRODUCT 14</v>
      </c>
      <c r="J588" s="248" t="str">
        <f>VLOOKUP(I588,TableInputsData[],$J$6,FALSE)</f>
        <v>-</v>
      </c>
      <c r="K588" s="248" t="str">
        <f>K587</f>
        <v>AVERAGE COST OF GOODS SOLD PER UNIT</v>
      </c>
      <c r="L588" s="256"/>
      <c r="M588" s="256"/>
      <c r="N588" s="256"/>
      <c r="O588" s="266"/>
      <c r="P588" s="261"/>
      <c r="Q588" s="261"/>
      <c r="R588" s="261"/>
      <c r="S588" s="629"/>
      <c r="T588" s="629"/>
      <c r="U588" s="629"/>
      <c r="V588" s="629"/>
      <c r="W588" s="261"/>
      <c r="X588" s="261"/>
      <c r="Y588" s="261"/>
      <c r="Z588" s="261"/>
      <c r="AA588" s="261"/>
      <c r="AB588" s="261"/>
      <c r="AC588" s="266"/>
      <c r="AD588" s="633"/>
      <c r="AE588" s="264">
        <f t="shared" ref="AE588:AL588" si="1384">IF(AE556=0,0,AE580/AE556)</f>
        <v>0</v>
      </c>
      <c r="AF588" s="264">
        <f t="shared" si="1384"/>
        <v>0</v>
      </c>
      <c r="AG588" s="264">
        <f t="shared" si="1384"/>
        <v>0</v>
      </c>
      <c r="AH588" s="264">
        <f t="shared" si="1384"/>
        <v>0</v>
      </c>
      <c r="AI588" s="264">
        <f t="shared" si="1384"/>
        <v>0</v>
      </c>
      <c r="AJ588" s="264">
        <f t="shared" si="1384"/>
        <v>0</v>
      </c>
      <c r="AK588" s="264">
        <f t="shared" si="1384"/>
        <v>0</v>
      </c>
      <c r="AL588" s="264">
        <f t="shared" si="1384"/>
        <v>0</v>
      </c>
      <c r="AM588" s="264">
        <f>IF(AM556=0,0,AM580/AM556)</f>
        <v>0</v>
      </c>
      <c r="AN588" s="260"/>
      <c r="AO588" s="264">
        <f>IF(AO556=0,0,AO580/AO556)</f>
        <v>0</v>
      </c>
      <c r="AP588" s="260"/>
      <c r="AQ588" s="264"/>
      <c r="AR588" s="264" t="str">
        <f>VLOOKUP($I588,TableInputsData[],ReadMe!$M$3,FALSE)&amp;"  |  "&amp;VLOOKUP($K588,TableInputsData[],ReadMe!$M$3,FALSE)</f>
        <v>PRODUIT 14  |  PRIX MOYEN D'ACHAT PAR PRODUIT/SERVICE</v>
      </c>
      <c r="AS588" s="264"/>
      <c r="AT588" s="294"/>
    </row>
    <row r="589" spans="1:46" ht="13" hidden="1" x14ac:dyDescent="0.2">
      <c r="A589" s="294"/>
      <c r="B589" s="925"/>
      <c r="C589" s="272">
        <v>582</v>
      </c>
      <c r="D589" s="250">
        <f t="shared" si="1296"/>
        <v>0</v>
      </c>
      <c r="E589" s="251"/>
      <c r="F589" s="248" t="str">
        <f t="shared" si="1378"/>
        <v>CURRENT YEAR</v>
      </c>
      <c r="G589" s="250">
        <f>VLOOKUP(F589,TableInputsData[],$G$6,FALSE)</f>
        <v>2025</v>
      </c>
      <c r="H589" s="250" t="str">
        <f t="shared" ref="H589:I589" si="1385">H588</f>
        <v>PRODUCT</v>
      </c>
      <c r="I589" s="248" t="str">
        <f t="shared" si="1385"/>
        <v>PRODUCT 14</v>
      </c>
      <c r="J589" s="248" t="str">
        <f>VLOOKUP(I589,TableInputsData[],$J$6,FALSE)</f>
        <v>-</v>
      </c>
      <c r="K589" s="248" t="str">
        <f t="shared" ref="K589:K594" si="1386">K588</f>
        <v>AVERAGE COST OF GOODS SOLD PER UNIT</v>
      </c>
      <c r="L589" s="256"/>
      <c r="M589" s="256"/>
      <c r="N589" s="256"/>
      <c r="O589" s="266"/>
      <c r="P589" s="261"/>
      <c r="Q589" s="261"/>
      <c r="R589" s="261"/>
      <c r="S589" s="629"/>
      <c r="T589" s="629"/>
      <c r="U589" s="629"/>
      <c r="V589" s="629"/>
      <c r="W589" s="261"/>
      <c r="X589" s="261"/>
      <c r="Y589" s="261"/>
      <c r="Z589" s="261"/>
      <c r="AA589" s="261"/>
      <c r="AB589" s="261"/>
      <c r="AC589" s="266"/>
      <c r="AD589" s="633"/>
      <c r="AE589" s="264">
        <f t="shared" ref="AE589:AL589" si="1387">IF(AE557=0,0,AE581/AE557)</f>
        <v>0</v>
      </c>
      <c r="AF589" s="264">
        <f t="shared" si="1387"/>
        <v>0</v>
      </c>
      <c r="AG589" s="264">
        <f t="shared" si="1387"/>
        <v>0</v>
      </c>
      <c r="AH589" s="264">
        <f t="shared" si="1387"/>
        <v>0</v>
      </c>
      <c r="AI589" s="264">
        <f t="shared" si="1387"/>
        <v>0</v>
      </c>
      <c r="AJ589" s="264">
        <f t="shared" si="1387"/>
        <v>0</v>
      </c>
      <c r="AK589" s="264">
        <f t="shared" si="1387"/>
        <v>0</v>
      </c>
      <c r="AL589" s="264">
        <f t="shared" si="1387"/>
        <v>0</v>
      </c>
      <c r="AM589" s="264">
        <f>IF(AM557=0,0,AM581/AM557)</f>
        <v>0</v>
      </c>
      <c r="AN589" s="260"/>
      <c r="AO589" s="264">
        <f>IF(AO557=0,0,AO581/AO557)</f>
        <v>0</v>
      </c>
      <c r="AP589" s="260"/>
      <c r="AQ589" s="264"/>
      <c r="AR589" s="264" t="str">
        <f>VLOOKUP($I589,TableInputsData[],ReadMe!$M$3,FALSE)&amp;"  |  "&amp;VLOOKUP($K589,TableInputsData[],ReadMe!$M$3,FALSE)</f>
        <v>PRODUIT 14  |  PRIX MOYEN D'ACHAT PAR PRODUIT/SERVICE</v>
      </c>
      <c r="AS589" s="264"/>
      <c r="AT589" s="294"/>
    </row>
    <row r="590" spans="1:46" ht="13" hidden="1" x14ac:dyDescent="0.2">
      <c r="A590" s="294"/>
      <c r="B590" s="925"/>
      <c r="C590" s="272">
        <v>583</v>
      </c>
      <c r="D590" s="250">
        <f t="shared" si="1296"/>
        <v>0</v>
      </c>
      <c r="E590" s="251"/>
      <c r="F590" s="248" t="str">
        <f t="shared" si="1378"/>
        <v>YEAR2</v>
      </c>
      <c r="G590" s="250">
        <f>VLOOKUP(F590,TableInputsData[],$G$6,FALSE)</f>
        <v>2026</v>
      </c>
      <c r="H590" s="250" t="str">
        <f t="shared" ref="H590:I590" si="1388">H589</f>
        <v>PRODUCT</v>
      </c>
      <c r="I590" s="248" t="str">
        <f t="shared" si="1388"/>
        <v>PRODUCT 14</v>
      </c>
      <c r="J590" s="248" t="str">
        <f>VLOOKUP(I590,TableInputsData[],$J$6,FALSE)</f>
        <v>-</v>
      </c>
      <c r="K590" s="248" t="str">
        <f t="shared" si="1386"/>
        <v>AVERAGE COST OF GOODS SOLD PER UNIT</v>
      </c>
      <c r="L590" s="256"/>
      <c r="M590" s="256"/>
      <c r="N590" s="256"/>
      <c r="O590" s="266"/>
      <c r="P590" s="261"/>
      <c r="Q590" s="261"/>
      <c r="R590" s="261"/>
      <c r="S590" s="629"/>
      <c r="T590" s="629"/>
      <c r="U590" s="629"/>
      <c r="V590" s="629"/>
      <c r="W590" s="261"/>
      <c r="X590" s="261"/>
      <c r="Y590" s="261"/>
      <c r="Z590" s="261"/>
      <c r="AA590" s="261"/>
      <c r="AB590" s="261"/>
      <c r="AC590" s="266"/>
      <c r="AD590" s="633"/>
      <c r="AE590" s="264">
        <f t="shared" ref="AE590:AM590" si="1389">IF(AE558=0,0,AE582/AE558)</f>
        <v>0</v>
      </c>
      <c r="AF590" s="264">
        <f t="shared" si="1389"/>
        <v>0</v>
      </c>
      <c r="AG590" s="264">
        <f t="shared" si="1389"/>
        <v>0</v>
      </c>
      <c r="AH590" s="264">
        <f t="shared" si="1389"/>
        <v>0</v>
      </c>
      <c r="AI590" s="264">
        <f t="shared" si="1389"/>
        <v>0</v>
      </c>
      <c r="AJ590" s="264">
        <f t="shared" si="1389"/>
        <v>0</v>
      </c>
      <c r="AK590" s="264">
        <f t="shared" si="1389"/>
        <v>0</v>
      </c>
      <c r="AL590" s="264">
        <f t="shared" si="1389"/>
        <v>0</v>
      </c>
      <c r="AM590" s="264">
        <f t="shared" si="1389"/>
        <v>0</v>
      </c>
      <c r="AN590" s="260"/>
      <c r="AO590" s="264">
        <f t="shared" ref="AO590:AO594" si="1390">IF(AO558=0,0,AO582/AO558)</f>
        <v>0</v>
      </c>
      <c r="AP590" s="260"/>
      <c r="AQ590" s="264"/>
      <c r="AR590" s="264" t="str">
        <f>VLOOKUP($I590,TableInputsData[],ReadMe!$M$3,FALSE)&amp;"  |  "&amp;VLOOKUP($K590,TableInputsData[],ReadMe!$M$3,FALSE)</f>
        <v>PRODUIT 14  |  PRIX MOYEN D'ACHAT PAR PRODUIT/SERVICE</v>
      </c>
      <c r="AS590" s="264"/>
      <c r="AT590" s="294"/>
    </row>
    <row r="591" spans="1:46" ht="13" hidden="1" x14ac:dyDescent="0.2">
      <c r="A591" s="294"/>
      <c r="B591" s="925"/>
      <c r="C591" s="272">
        <v>584</v>
      </c>
      <c r="D591" s="250">
        <f t="shared" si="1296"/>
        <v>0</v>
      </c>
      <c r="E591" s="251"/>
      <c r="F591" s="248" t="str">
        <f t="shared" si="1378"/>
        <v>YEAR3</v>
      </c>
      <c r="G591" s="250">
        <f>VLOOKUP(F591,TableInputsData[],$G$6,FALSE)</f>
        <v>2027</v>
      </c>
      <c r="H591" s="250" t="str">
        <f t="shared" ref="H591:I591" si="1391">H590</f>
        <v>PRODUCT</v>
      </c>
      <c r="I591" s="248" t="str">
        <f t="shared" si="1391"/>
        <v>PRODUCT 14</v>
      </c>
      <c r="J591" s="248" t="str">
        <f>VLOOKUP(I591,TableInputsData[],$J$6,FALSE)</f>
        <v>-</v>
      </c>
      <c r="K591" s="248" t="str">
        <f t="shared" si="1386"/>
        <v>AVERAGE COST OF GOODS SOLD PER UNIT</v>
      </c>
      <c r="L591" s="256"/>
      <c r="M591" s="256"/>
      <c r="N591" s="256"/>
      <c r="O591" s="266"/>
      <c r="P591" s="261"/>
      <c r="Q591" s="261"/>
      <c r="R591" s="261"/>
      <c r="S591" s="629"/>
      <c r="T591" s="629"/>
      <c r="U591" s="629"/>
      <c r="V591" s="629"/>
      <c r="W591" s="261"/>
      <c r="X591" s="261"/>
      <c r="Y591" s="261"/>
      <c r="Z591" s="261"/>
      <c r="AA591" s="261"/>
      <c r="AB591" s="261"/>
      <c r="AC591" s="266"/>
      <c r="AD591" s="633"/>
      <c r="AE591" s="264">
        <f t="shared" ref="AE591:AM591" si="1392">IF(AE559=0,0,AE583/AE559)</f>
        <v>0</v>
      </c>
      <c r="AF591" s="264">
        <f t="shared" si="1392"/>
        <v>0</v>
      </c>
      <c r="AG591" s="264">
        <f t="shared" si="1392"/>
        <v>0</v>
      </c>
      <c r="AH591" s="264">
        <f t="shared" si="1392"/>
        <v>0</v>
      </c>
      <c r="AI591" s="264">
        <f t="shared" si="1392"/>
        <v>0</v>
      </c>
      <c r="AJ591" s="264">
        <f t="shared" si="1392"/>
        <v>0</v>
      </c>
      <c r="AK591" s="264">
        <f t="shared" si="1392"/>
        <v>0</v>
      </c>
      <c r="AL591" s="264">
        <f t="shared" si="1392"/>
        <v>0</v>
      </c>
      <c r="AM591" s="264">
        <f t="shared" si="1392"/>
        <v>0</v>
      </c>
      <c r="AN591" s="260"/>
      <c r="AO591" s="264">
        <f t="shared" si="1390"/>
        <v>0</v>
      </c>
      <c r="AP591" s="260"/>
      <c r="AQ591" s="264"/>
      <c r="AR591" s="264" t="str">
        <f>VLOOKUP($I591,TableInputsData[],ReadMe!$M$3,FALSE)&amp;"  |  "&amp;VLOOKUP($K591,TableInputsData[],ReadMe!$M$3,FALSE)</f>
        <v>PRODUIT 14  |  PRIX MOYEN D'ACHAT PAR PRODUIT/SERVICE</v>
      </c>
      <c r="AS591" s="264"/>
      <c r="AT591" s="294"/>
    </row>
    <row r="592" spans="1:46" ht="13" hidden="1" x14ac:dyDescent="0.2">
      <c r="A592" s="294"/>
      <c r="B592" s="925"/>
      <c r="C592" s="272">
        <v>585</v>
      </c>
      <c r="D592" s="250">
        <f t="shared" si="1296"/>
        <v>0</v>
      </c>
      <c r="E592" s="251"/>
      <c r="F592" s="248" t="str">
        <f t="shared" si="1378"/>
        <v>YEAR4</v>
      </c>
      <c r="G592" s="250">
        <f>VLOOKUP(F592,TableInputsData[],$G$6,FALSE)</f>
        <v>2028</v>
      </c>
      <c r="H592" s="250" t="str">
        <f t="shared" ref="H592:I592" si="1393">H591</f>
        <v>PRODUCT</v>
      </c>
      <c r="I592" s="248" t="str">
        <f t="shared" si="1393"/>
        <v>PRODUCT 14</v>
      </c>
      <c r="J592" s="248" t="str">
        <f>VLOOKUP(I592,TableInputsData[],$J$6,FALSE)</f>
        <v>-</v>
      </c>
      <c r="K592" s="248" t="str">
        <f t="shared" si="1386"/>
        <v>AVERAGE COST OF GOODS SOLD PER UNIT</v>
      </c>
      <c r="L592" s="256"/>
      <c r="M592" s="256"/>
      <c r="N592" s="256"/>
      <c r="O592" s="266"/>
      <c r="P592" s="261"/>
      <c r="Q592" s="261"/>
      <c r="R592" s="261"/>
      <c r="S592" s="629"/>
      <c r="T592" s="629"/>
      <c r="U592" s="629"/>
      <c r="V592" s="629"/>
      <c r="W592" s="261"/>
      <c r="X592" s="261"/>
      <c r="Y592" s="261"/>
      <c r="Z592" s="261"/>
      <c r="AA592" s="261"/>
      <c r="AB592" s="261"/>
      <c r="AC592" s="266"/>
      <c r="AD592" s="633"/>
      <c r="AE592" s="264">
        <f t="shared" ref="AE592:AM592" si="1394">IF(AE560=0,0,AE584/AE560)</f>
        <v>0</v>
      </c>
      <c r="AF592" s="264">
        <f t="shared" si="1394"/>
        <v>0</v>
      </c>
      <c r="AG592" s="264">
        <f t="shared" si="1394"/>
        <v>0</v>
      </c>
      <c r="AH592" s="264">
        <f t="shared" si="1394"/>
        <v>0</v>
      </c>
      <c r="AI592" s="264">
        <f t="shared" si="1394"/>
        <v>0</v>
      </c>
      <c r="AJ592" s="264">
        <f t="shared" si="1394"/>
        <v>0</v>
      </c>
      <c r="AK592" s="264">
        <f t="shared" si="1394"/>
        <v>0</v>
      </c>
      <c r="AL592" s="264">
        <f t="shared" si="1394"/>
        <v>0</v>
      </c>
      <c r="AM592" s="264">
        <f t="shared" si="1394"/>
        <v>0</v>
      </c>
      <c r="AN592" s="260"/>
      <c r="AO592" s="264">
        <f t="shared" si="1390"/>
        <v>0</v>
      </c>
      <c r="AP592" s="260"/>
      <c r="AQ592" s="264"/>
      <c r="AR592" s="264" t="str">
        <f>VLOOKUP($I592,TableInputsData[],ReadMe!$M$3,FALSE)&amp;"  |  "&amp;VLOOKUP($K592,TableInputsData[],ReadMe!$M$3,FALSE)</f>
        <v>PRODUIT 14  |  PRIX MOYEN D'ACHAT PAR PRODUIT/SERVICE</v>
      </c>
      <c r="AS592" s="264"/>
      <c r="AT592" s="294"/>
    </row>
    <row r="593" spans="1:46" ht="13" hidden="1" x14ac:dyDescent="0.2">
      <c r="A593" s="294"/>
      <c r="B593" s="925"/>
      <c r="C593" s="272">
        <v>586</v>
      </c>
      <c r="D593" s="250">
        <f t="shared" si="1296"/>
        <v>0</v>
      </c>
      <c r="E593" s="251"/>
      <c r="F593" s="248" t="str">
        <f t="shared" si="1378"/>
        <v>YEAR5</v>
      </c>
      <c r="G593" s="250">
        <f>VLOOKUP(F593,TableInputsData[],$G$6,FALSE)</f>
        <v>2029</v>
      </c>
      <c r="H593" s="250" t="str">
        <f t="shared" ref="H593:I593" si="1395">H592</f>
        <v>PRODUCT</v>
      </c>
      <c r="I593" s="248" t="str">
        <f t="shared" si="1395"/>
        <v>PRODUCT 14</v>
      </c>
      <c r="J593" s="248" t="str">
        <f>VLOOKUP(I593,TableInputsData[],$J$6,FALSE)</f>
        <v>-</v>
      </c>
      <c r="K593" s="248" t="str">
        <f t="shared" si="1386"/>
        <v>AVERAGE COST OF GOODS SOLD PER UNIT</v>
      </c>
      <c r="L593" s="256"/>
      <c r="M593" s="256"/>
      <c r="N593" s="256"/>
      <c r="O593" s="266"/>
      <c r="P593" s="261"/>
      <c r="Q593" s="261"/>
      <c r="R593" s="261"/>
      <c r="S593" s="629"/>
      <c r="T593" s="629"/>
      <c r="U593" s="629"/>
      <c r="V593" s="629"/>
      <c r="W593" s="261"/>
      <c r="X593" s="261"/>
      <c r="Y593" s="261"/>
      <c r="Z593" s="261"/>
      <c r="AA593" s="261"/>
      <c r="AB593" s="261"/>
      <c r="AC593" s="266"/>
      <c r="AD593" s="633"/>
      <c r="AE593" s="264">
        <f t="shared" ref="AE593:AM593" si="1396">IF(AE561=0,0,AE585/AE561)</f>
        <v>0</v>
      </c>
      <c r="AF593" s="264">
        <f t="shared" si="1396"/>
        <v>0</v>
      </c>
      <c r="AG593" s="264">
        <f t="shared" si="1396"/>
        <v>0</v>
      </c>
      <c r="AH593" s="264">
        <f t="shared" si="1396"/>
        <v>0</v>
      </c>
      <c r="AI593" s="264">
        <f t="shared" si="1396"/>
        <v>0</v>
      </c>
      <c r="AJ593" s="264">
        <f t="shared" si="1396"/>
        <v>0</v>
      </c>
      <c r="AK593" s="264">
        <f t="shared" si="1396"/>
        <v>0</v>
      </c>
      <c r="AL593" s="264">
        <f t="shared" si="1396"/>
        <v>0</v>
      </c>
      <c r="AM593" s="264">
        <f t="shared" si="1396"/>
        <v>0</v>
      </c>
      <c r="AN593" s="260"/>
      <c r="AO593" s="264">
        <f t="shared" si="1390"/>
        <v>0</v>
      </c>
      <c r="AP593" s="260"/>
      <c r="AQ593" s="264"/>
      <c r="AR593" s="264" t="str">
        <f>VLOOKUP($I593,TableInputsData[],ReadMe!$M$3,FALSE)&amp;"  |  "&amp;VLOOKUP($K593,TableInputsData[],ReadMe!$M$3,FALSE)</f>
        <v>PRODUIT 14  |  PRIX MOYEN D'ACHAT PAR PRODUIT/SERVICE</v>
      </c>
      <c r="AS593" s="264"/>
      <c r="AT593" s="294"/>
    </row>
    <row r="594" spans="1:46" ht="13" hidden="1" x14ac:dyDescent="0.2">
      <c r="A594" s="294"/>
      <c r="B594" s="925"/>
      <c r="C594" s="272">
        <v>587</v>
      </c>
      <c r="D594" s="250">
        <f t="shared" si="1296"/>
        <v>0</v>
      </c>
      <c r="E594" s="251"/>
      <c r="F594" s="248" t="str">
        <f t="shared" si="1378"/>
        <v>YEAR6</v>
      </c>
      <c r="G594" s="250">
        <f>VLOOKUP(F594,TableInputsData[],$G$6,FALSE)</f>
        <v>2030</v>
      </c>
      <c r="H594" s="250" t="str">
        <f t="shared" ref="H594:I594" si="1397">H593</f>
        <v>PRODUCT</v>
      </c>
      <c r="I594" s="248" t="str">
        <f t="shared" si="1397"/>
        <v>PRODUCT 14</v>
      </c>
      <c r="J594" s="248" t="str">
        <f>VLOOKUP(I594,TableInputsData[],$J$6,FALSE)</f>
        <v>-</v>
      </c>
      <c r="K594" s="248" t="str">
        <f t="shared" si="1386"/>
        <v>AVERAGE COST OF GOODS SOLD PER UNIT</v>
      </c>
      <c r="L594" s="256"/>
      <c r="M594" s="256"/>
      <c r="N594" s="256"/>
      <c r="O594" s="266"/>
      <c r="P594" s="261"/>
      <c r="Q594" s="261"/>
      <c r="R594" s="261"/>
      <c r="S594" s="629"/>
      <c r="T594" s="629"/>
      <c r="U594" s="629"/>
      <c r="V594" s="629"/>
      <c r="W594" s="261"/>
      <c r="X594" s="261"/>
      <c r="Y594" s="261"/>
      <c r="Z594" s="261"/>
      <c r="AA594" s="261"/>
      <c r="AB594" s="261"/>
      <c r="AC594" s="266"/>
      <c r="AD594" s="633"/>
      <c r="AE594" s="264">
        <f t="shared" ref="AE594:AM594" si="1398">IF(AE562=0,0,AE586/AE562)</f>
        <v>0</v>
      </c>
      <c r="AF594" s="264">
        <f t="shared" si="1398"/>
        <v>0</v>
      </c>
      <c r="AG594" s="264">
        <f t="shared" si="1398"/>
        <v>0</v>
      </c>
      <c r="AH594" s="264">
        <f t="shared" si="1398"/>
        <v>0</v>
      </c>
      <c r="AI594" s="264">
        <f t="shared" si="1398"/>
        <v>0</v>
      </c>
      <c r="AJ594" s="264">
        <f t="shared" si="1398"/>
        <v>0</v>
      </c>
      <c r="AK594" s="264">
        <f t="shared" si="1398"/>
        <v>0</v>
      </c>
      <c r="AL594" s="264">
        <f t="shared" si="1398"/>
        <v>0</v>
      </c>
      <c r="AM594" s="264">
        <f t="shared" si="1398"/>
        <v>0</v>
      </c>
      <c r="AN594" s="260"/>
      <c r="AO594" s="264">
        <f t="shared" si="1390"/>
        <v>0</v>
      </c>
      <c r="AP594" s="260"/>
      <c r="AQ594" s="264"/>
      <c r="AR594" s="264" t="str">
        <f>VLOOKUP($I594,TableInputsData[],ReadMe!$M$3,FALSE)&amp;"  |  "&amp;VLOOKUP($K594,TableInputsData[],ReadMe!$M$3,FALSE)</f>
        <v>PRODUIT 14  |  PRIX MOYEN D'ACHAT PAR PRODUIT/SERVICE</v>
      </c>
      <c r="AS594" s="264"/>
      <c r="AT594" s="294"/>
    </row>
    <row r="595" spans="1:46" ht="13" x14ac:dyDescent="0.2">
      <c r="A595" s="294"/>
      <c r="B595" s="925"/>
      <c r="C595" s="273">
        <v>588</v>
      </c>
      <c r="D595" s="253">
        <v>0</v>
      </c>
      <c r="E595" s="253">
        <v>1</v>
      </c>
      <c r="F595" s="252"/>
      <c r="G595" s="253"/>
      <c r="H595" s="253"/>
      <c r="I595" s="252"/>
      <c r="J595" s="252"/>
      <c r="K595" s="252"/>
      <c r="L595" s="257"/>
      <c r="M595" s="257"/>
      <c r="N595" s="257"/>
      <c r="O595" s="267"/>
      <c r="P595" s="262"/>
      <c r="Q595" s="262"/>
      <c r="R595" s="262"/>
      <c r="S595" s="631"/>
      <c r="T595" s="631"/>
      <c r="U595" s="631"/>
      <c r="V595" s="631"/>
      <c r="W595" s="262"/>
      <c r="X595" s="262"/>
      <c r="Y595" s="262"/>
      <c r="Z595" s="262"/>
      <c r="AA595" s="262"/>
      <c r="AB595" s="262"/>
      <c r="AC595" s="267"/>
      <c r="AD595" s="635"/>
      <c r="AE595" s="270"/>
      <c r="AF595" s="270"/>
      <c r="AG595" s="270"/>
      <c r="AH595" s="270"/>
      <c r="AI595" s="270"/>
      <c r="AJ595" s="270"/>
      <c r="AK595" s="270"/>
      <c r="AL595" s="270"/>
      <c r="AM595" s="270"/>
      <c r="AN595" s="643"/>
      <c r="AO595" s="270"/>
      <c r="AP595" s="270"/>
      <c r="AQ595" s="270"/>
      <c r="AR595" s="270"/>
      <c r="AS595" s="270"/>
      <c r="AT595" s="294"/>
    </row>
    <row r="596" spans="1:46" ht="13" hidden="1" x14ac:dyDescent="0.2">
      <c r="A596" s="294"/>
      <c r="B596" s="924" t="str">
        <f>I597&amp;"___"</f>
        <v>PRODUCT 15___</v>
      </c>
      <c r="C596" s="271">
        <v>589</v>
      </c>
      <c r="D596" s="250">
        <v>0</v>
      </c>
      <c r="E596" s="250"/>
      <c r="F596" s="248"/>
      <c r="G596" s="250"/>
      <c r="H596" s="250"/>
      <c r="I596" s="248"/>
      <c r="J596" s="248"/>
      <c r="K596" s="248"/>
      <c r="L596" s="254"/>
      <c r="M596" s="254"/>
      <c r="N596" s="254"/>
      <c r="O596" s="264"/>
      <c r="P596" s="259"/>
      <c r="Q596" s="259"/>
      <c r="R596" s="259"/>
      <c r="S596" s="628"/>
      <c r="T596" s="628"/>
      <c r="U596" s="628"/>
      <c r="V596" s="628"/>
      <c r="W596" s="259"/>
      <c r="X596" s="259"/>
      <c r="Y596" s="259"/>
      <c r="Z596" s="259"/>
      <c r="AA596" s="259"/>
      <c r="AB596" s="259"/>
      <c r="AC596" s="264"/>
      <c r="AD596" s="609"/>
      <c r="AE596" s="269"/>
      <c r="AF596" s="269"/>
      <c r="AG596" s="269"/>
      <c r="AH596" s="269"/>
      <c r="AI596" s="269"/>
      <c r="AJ596" s="269"/>
      <c r="AK596" s="269"/>
      <c r="AL596" s="269"/>
      <c r="AM596" s="269"/>
      <c r="AN596" s="642"/>
      <c r="AO596" s="269"/>
      <c r="AP596" s="269"/>
      <c r="AQ596" s="269"/>
      <c r="AR596" s="269"/>
      <c r="AS596" s="269"/>
      <c r="AT596" s="294"/>
    </row>
    <row r="597" spans="1:46" ht="13" x14ac:dyDescent="0.2">
      <c r="A597" s="294"/>
      <c r="B597" s="924"/>
      <c r="C597" s="271">
        <v>590</v>
      </c>
      <c r="D597" s="250">
        <f>VLOOKUP($I597,TableInputsData[],$D$6,FALSE)</f>
        <v>0</v>
      </c>
      <c r="E597" s="250">
        <v>1</v>
      </c>
      <c r="F597" s="248" t="s">
        <v>392</v>
      </c>
      <c r="G597" s="250">
        <f>VLOOKUP(F597,TableInputsData[],$G$6,FALSE)</f>
        <v>2023</v>
      </c>
      <c r="H597" s="250" t="s">
        <v>588</v>
      </c>
      <c r="I597" s="248" t="s">
        <v>1718</v>
      </c>
      <c r="J597" s="248" t="str">
        <f>VLOOKUP(I597,TableInputsData[],$J$6,FALSE)</f>
        <v>-</v>
      </c>
      <c r="K597" s="248" t="s">
        <v>261</v>
      </c>
      <c r="L597" s="499">
        <v>1000</v>
      </c>
      <c r="M597" s="499">
        <v>0</v>
      </c>
      <c r="N597" s="499">
        <v>0</v>
      </c>
      <c r="O597" s="264">
        <f t="shared" ref="O597:O604" si="1399">$L597*$P597+$M597*$Q597+$N597*$R597</f>
        <v>1000</v>
      </c>
      <c r="P597" s="500">
        <v>1</v>
      </c>
      <c r="Q597" s="500">
        <v>0</v>
      </c>
      <c r="R597" s="259">
        <f>1-$P597-$Q597</f>
        <v>0</v>
      </c>
      <c r="S597" s="626">
        <v>500</v>
      </c>
      <c r="T597" s="626">
        <v>0</v>
      </c>
      <c r="U597" s="626">
        <v>0</v>
      </c>
      <c r="V597" s="628">
        <f>($L597*$P597*$S597+$M597*$Q597*$T597+$N597*$R597*$U597)/$O597</f>
        <v>500</v>
      </c>
      <c r="W597" s="500">
        <v>1</v>
      </c>
      <c r="X597" s="500">
        <v>1</v>
      </c>
      <c r="Y597" s="500">
        <v>1</v>
      </c>
      <c r="Z597" s="259">
        <f t="shared" ref="Z597:Z604" si="1400">1-$W597</f>
        <v>0</v>
      </c>
      <c r="AA597" s="259">
        <f t="shared" ref="AA597:AA604" si="1401">1-$X597</f>
        <v>0</v>
      </c>
      <c r="AB597" s="259">
        <f t="shared" ref="AB597:AB604" si="1402">1-$Y597</f>
        <v>0</v>
      </c>
      <c r="AC597" s="628">
        <f>AM629</f>
        <v>0</v>
      </c>
      <c r="AD597" s="628">
        <f>AO629</f>
        <v>0</v>
      </c>
      <c r="AE597" s="501">
        <v>0</v>
      </c>
      <c r="AF597" s="501">
        <v>0</v>
      </c>
      <c r="AG597" s="501">
        <v>0</v>
      </c>
      <c r="AH597" s="501">
        <v>0</v>
      </c>
      <c r="AI597" s="264">
        <f t="shared" ref="AI597:AI600" si="1403">$AE597+$AF597+$AG597+$AH597</f>
        <v>0</v>
      </c>
      <c r="AJ597" s="264">
        <f t="shared" ref="AJ597:AJ604" si="1404">$AI597*$P597</f>
        <v>0</v>
      </c>
      <c r="AK597" s="264">
        <f t="shared" ref="AK597:AK604" si="1405">$AI597*$Q597</f>
        <v>0</v>
      </c>
      <c r="AL597" s="264">
        <f t="shared" ref="AL597:AL604" si="1406">$AI597*$R597</f>
        <v>0</v>
      </c>
      <c r="AM597" s="264">
        <f t="shared" ref="AM597:AM604" si="1407">$AJ597*$W597+$AK597*$X597+$AL597*$Y597</f>
        <v>0</v>
      </c>
      <c r="AN597" s="640">
        <f>IF(AI597=0,0,AM597/AI597)</f>
        <v>0</v>
      </c>
      <c r="AO597" s="264">
        <f t="shared" ref="AO597:AO604" si="1408">$AJ597*$Z597+$AK597*$AA597+$AL597*$AB597</f>
        <v>0</v>
      </c>
      <c r="AP597" s="640">
        <f t="shared" ref="AP597:AP612" si="1409">IF(AI597=0,0,AO597/AI597)</f>
        <v>0</v>
      </c>
      <c r="AQ597" s="264" t="str">
        <f>VLOOKUP(I597,TableInputsData[],$AQ$6,FALSE)</f>
        <v>GAMME # : 1 + CANAL DE DISTRIBUTION # : 1</v>
      </c>
      <c r="AR597" s="264" t="str">
        <f>VLOOKUP($I597,TableInputsData[],ReadMe!$M$3,FALSE)&amp;"  |  "&amp;VLOOKUP($K597,TableInputsData[],ReadMe!$M$3,FALSE)</f>
        <v>PRODUIT 15  |  VOLUME</v>
      </c>
      <c r="AS597" s="264" t="b">
        <f t="shared" ref="AS597:AS604" si="1410">AND(EXACT(ROUND(AI597,2),ROUND(AJ597+AK597+AL597,2)),EXACT(ROUND(AI597,2),ROUND(AM597+AO597,2)),EXACT(SUM(P597:R597),1),IF(R597&lt;0,FALSE,TRUE),EXACT(SUM(W597:AB597),3),MIN(W597:Y597)&gt;=0, MAX(W597:Y597)&lt;=1)</f>
        <v>1</v>
      </c>
      <c r="AT597" s="294"/>
    </row>
    <row r="598" spans="1:46" ht="13" x14ac:dyDescent="0.2">
      <c r="A598" s="294"/>
      <c r="B598" s="924"/>
      <c r="C598" s="271">
        <v>591</v>
      </c>
      <c r="D598" s="250">
        <f>D597</f>
        <v>0</v>
      </c>
      <c r="E598" s="250">
        <v>1</v>
      </c>
      <c r="F598" s="248" t="s">
        <v>391</v>
      </c>
      <c r="G598" s="250">
        <f>VLOOKUP(F598,TableInputsData[],$G$6,FALSE)</f>
        <v>2024</v>
      </c>
      <c r="H598" s="250" t="str">
        <f>H597</f>
        <v>PRODUCT</v>
      </c>
      <c r="I598" s="248" t="str">
        <f>I597</f>
        <v>PRODUCT 15</v>
      </c>
      <c r="J598" s="248" t="str">
        <f>VLOOKUP(I598,TableInputsData[],$J$6,FALSE)</f>
        <v>-</v>
      </c>
      <c r="K598" s="248" t="str">
        <f>K597</f>
        <v>VOLUME</v>
      </c>
      <c r="L598" s="499">
        <v>1000</v>
      </c>
      <c r="M598" s="499">
        <v>0</v>
      </c>
      <c r="N598" s="499">
        <v>0</v>
      </c>
      <c r="O598" s="264">
        <f t="shared" si="1399"/>
        <v>1000</v>
      </c>
      <c r="P598" s="500">
        <v>1</v>
      </c>
      <c r="Q598" s="500">
        <v>0</v>
      </c>
      <c r="R598" s="259">
        <f t="shared" ref="R598:R604" si="1411">1-$P598-$Q598</f>
        <v>0</v>
      </c>
      <c r="S598" s="626">
        <v>500</v>
      </c>
      <c r="T598" s="626">
        <v>0</v>
      </c>
      <c r="U598" s="626">
        <v>0</v>
      </c>
      <c r="V598" s="628">
        <f t="shared" ref="V598:V604" si="1412">($L598*$P598*$S598+$M598*$Q598*$T598+$N598*$R598*$U598)/$O598</f>
        <v>500</v>
      </c>
      <c r="W598" s="500">
        <v>1</v>
      </c>
      <c r="X598" s="500">
        <v>1</v>
      </c>
      <c r="Y598" s="500">
        <v>1</v>
      </c>
      <c r="Z598" s="259">
        <f t="shared" si="1400"/>
        <v>0</v>
      </c>
      <c r="AA598" s="259">
        <f t="shared" si="1401"/>
        <v>0</v>
      </c>
      <c r="AB598" s="259">
        <f t="shared" si="1402"/>
        <v>0</v>
      </c>
      <c r="AC598" s="628">
        <f t="shared" ref="AC598:AC604" si="1413">AM630</f>
        <v>0</v>
      </c>
      <c r="AD598" s="628">
        <f t="shared" ref="AD598:AD604" si="1414">AO630</f>
        <v>0</v>
      </c>
      <c r="AE598" s="501">
        <v>0</v>
      </c>
      <c r="AF598" s="501">
        <v>0</v>
      </c>
      <c r="AG598" s="501">
        <v>0</v>
      </c>
      <c r="AH598" s="501">
        <v>0</v>
      </c>
      <c r="AI598" s="264">
        <f t="shared" si="1403"/>
        <v>0</v>
      </c>
      <c r="AJ598" s="264">
        <f t="shared" si="1404"/>
        <v>0</v>
      </c>
      <c r="AK598" s="264">
        <f t="shared" si="1405"/>
        <v>0</v>
      </c>
      <c r="AL598" s="264">
        <f t="shared" si="1406"/>
        <v>0</v>
      </c>
      <c r="AM598" s="264">
        <f t="shared" si="1407"/>
        <v>0</v>
      </c>
      <c r="AN598" s="640">
        <f t="shared" ref="AN598:AN612" si="1415">IF(AI598=0,0,AM598/AI598)</f>
        <v>0</v>
      </c>
      <c r="AO598" s="264">
        <f t="shared" si="1408"/>
        <v>0</v>
      </c>
      <c r="AP598" s="640">
        <f t="shared" si="1409"/>
        <v>0</v>
      </c>
      <c r="AQ598" s="501"/>
      <c r="AR598" s="264" t="str">
        <f>VLOOKUP($I598,TableInputsData[],ReadMe!$M$3,FALSE)&amp;"  |  "&amp;VLOOKUP($K598,TableInputsData[],ReadMe!$M$3,FALSE)</f>
        <v>PRODUIT 15  |  VOLUME</v>
      </c>
      <c r="AS598" s="264" t="b">
        <f t="shared" si="1410"/>
        <v>1</v>
      </c>
      <c r="AT598" s="294"/>
    </row>
    <row r="599" spans="1:46" ht="13" x14ac:dyDescent="0.2">
      <c r="A599" s="294"/>
      <c r="B599" s="924"/>
      <c r="C599" s="271">
        <v>592</v>
      </c>
      <c r="D599" s="250">
        <f t="shared" ref="D599:D636" si="1416">D598</f>
        <v>0</v>
      </c>
      <c r="E599" s="250">
        <v>1</v>
      </c>
      <c r="F599" s="248" t="s">
        <v>393</v>
      </c>
      <c r="G599" s="250">
        <f>VLOOKUP(F599,TableInputsData[],$G$6,FALSE)</f>
        <v>2025</v>
      </c>
      <c r="H599" s="250" t="str">
        <f t="shared" ref="H599:I599" si="1417">H598</f>
        <v>PRODUCT</v>
      </c>
      <c r="I599" s="248" t="str">
        <f t="shared" si="1417"/>
        <v>PRODUCT 15</v>
      </c>
      <c r="J599" s="248" t="str">
        <f>VLOOKUP(I599,TableInputsData[],$J$6,FALSE)</f>
        <v>-</v>
      </c>
      <c r="K599" s="248" t="str">
        <f t="shared" ref="K599:K604" si="1418">K598</f>
        <v>VOLUME</v>
      </c>
      <c r="L599" s="499">
        <v>1000</v>
      </c>
      <c r="M599" s="499">
        <v>0</v>
      </c>
      <c r="N599" s="499">
        <v>0</v>
      </c>
      <c r="O599" s="264">
        <f t="shared" si="1399"/>
        <v>1000</v>
      </c>
      <c r="P599" s="500">
        <v>1</v>
      </c>
      <c r="Q599" s="500">
        <v>0</v>
      </c>
      <c r="R599" s="259">
        <f t="shared" si="1411"/>
        <v>0</v>
      </c>
      <c r="S599" s="626">
        <v>500</v>
      </c>
      <c r="T599" s="626">
        <v>0</v>
      </c>
      <c r="U599" s="626">
        <v>0</v>
      </c>
      <c r="V599" s="628">
        <f t="shared" si="1412"/>
        <v>500</v>
      </c>
      <c r="W599" s="500">
        <v>1</v>
      </c>
      <c r="X599" s="500">
        <v>1</v>
      </c>
      <c r="Y599" s="500">
        <v>1</v>
      </c>
      <c r="Z599" s="259">
        <f t="shared" si="1400"/>
        <v>0</v>
      </c>
      <c r="AA599" s="259">
        <f t="shared" si="1401"/>
        <v>0</v>
      </c>
      <c r="AB599" s="259">
        <f t="shared" si="1402"/>
        <v>0</v>
      </c>
      <c r="AC599" s="628">
        <f t="shared" si="1413"/>
        <v>0</v>
      </c>
      <c r="AD599" s="628">
        <f t="shared" si="1414"/>
        <v>0</v>
      </c>
      <c r="AE599" s="501">
        <v>0</v>
      </c>
      <c r="AF599" s="501">
        <v>0</v>
      </c>
      <c r="AG599" s="501">
        <v>0</v>
      </c>
      <c r="AH599" s="501">
        <v>0</v>
      </c>
      <c r="AI599" s="264">
        <f t="shared" si="1403"/>
        <v>0</v>
      </c>
      <c r="AJ599" s="264">
        <f t="shared" si="1404"/>
        <v>0</v>
      </c>
      <c r="AK599" s="264">
        <f t="shared" si="1405"/>
        <v>0</v>
      </c>
      <c r="AL599" s="264">
        <f t="shared" si="1406"/>
        <v>0</v>
      </c>
      <c r="AM599" s="264">
        <f t="shared" si="1407"/>
        <v>0</v>
      </c>
      <c r="AN599" s="640">
        <f t="shared" si="1415"/>
        <v>0</v>
      </c>
      <c r="AO599" s="264">
        <f t="shared" si="1408"/>
        <v>0</v>
      </c>
      <c r="AP599" s="640">
        <f t="shared" si="1409"/>
        <v>0</v>
      </c>
      <c r="AQ599" s="501"/>
      <c r="AR599" s="264" t="str">
        <f>VLOOKUP($I599,TableInputsData[],ReadMe!$M$3,FALSE)&amp;"  |  "&amp;VLOOKUP($K599,TableInputsData[],ReadMe!$M$3,FALSE)</f>
        <v>PRODUIT 15  |  VOLUME</v>
      </c>
      <c r="AS599" s="264" t="b">
        <f t="shared" si="1410"/>
        <v>1</v>
      </c>
      <c r="AT599" s="294"/>
    </row>
    <row r="600" spans="1:46" ht="13" x14ac:dyDescent="0.2">
      <c r="A600" s="294"/>
      <c r="B600" s="924"/>
      <c r="C600" s="271">
        <v>593</v>
      </c>
      <c r="D600" s="250">
        <f t="shared" si="1416"/>
        <v>0</v>
      </c>
      <c r="E600" s="250">
        <v>1</v>
      </c>
      <c r="F600" s="248" t="s">
        <v>396</v>
      </c>
      <c r="G600" s="250">
        <f>VLOOKUP(F600,TableInputsData[],$G$6,FALSE)</f>
        <v>2026</v>
      </c>
      <c r="H600" s="250" t="str">
        <f t="shared" ref="H600:I600" si="1419">H599</f>
        <v>PRODUCT</v>
      </c>
      <c r="I600" s="248" t="str">
        <f t="shared" si="1419"/>
        <v>PRODUCT 15</v>
      </c>
      <c r="J600" s="248" t="str">
        <f>VLOOKUP(I600,TableInputsData[],$J$6,FALSE)</f>
        <v>-</v>
      </c>
      <c r="K600" s="248" t="str">
        <f t="shared" si="1418"/>
        <v>VOLUME</v>
      </c>
      <c r="L600" s="499">
        <v>1000</v>
      </c>
      <c r="M600" s="499">
        <v>0</v>
      </c>
      <c r="N600" s="499">
        <v>0</v>
      </c>
      <c r="O600" s="264">
        <f t="shared" si="1399"/>
        <v>1000</v>
      </c>
      <c r="P600" s="500">
        <v>1</v>
      </c>
      <c r="Q600" s="500">
        <v>0</v>
      </c>
      <c r="R600" s="259">
        <f t="shared" si="1411"/>
        <v>0</v>
      </c>
      <c r="S600" s="626">
        <v>500</v>
      </c>
      <c r="T600" s="626">
        <v>0</v>
      </c>
      <c r="U600" s="626">
        <v>0</v>
      </c>
      <c r="V600" s="628">
        <f t="shared" si="1412"/>
        <v>500</v>
      </c>
      <c r="W600" s="500">
        <v>1</v>
      </c>
      <c r="X600" s="500">
        <v>1</v>
      </c>
      <c r="Y600" s="500">
        <v>1</v>
      </c>
      <c r="Z600" s="259">
        <f t="shared" si="1400"/>
        <v>0</v>
      </c>
      <c r="AA600" s="259">
        <f t="shared" si="1401"/>
        <v>0</v>
      </c>
      <c r="AB600" s="259">
        <f t="shared" si="1402"/>
        <v>0</v>
      </c>
      <c r="AC600" s="628">
        <f t="shared" si="1413"/>
        <v>0</v>
      </c>
      <c r="AD600" s="628">
        <f t="shared" si="1414"/>
        <v>0</v>
      </c>
      <c r="AE600" s="501">
        <v>0</v>
      </c>
      <c r="AF600" s="501">
        <v>0</v>
      </c>
      <c r="AG600" s="501">
        <v>0</v>
      </c>
      <c r="AH600" s="501">
        <v>0</v>
      </c>
      <c r="AI600" s="264">
        <f t="shared" si="1403"/>
        <v>0</v>
      </c>
      <c r="AJ600" s="264">
        <f t="shared" si="1404"/>
        <v>0</v>
      </c>
      <c r="AK600" s="264">
        <f t="shared" si="1405"/>
        <v>0</v>
      </c>
      <c r="AL600" s="264">
        <f t="shared" si="1406"/>
        <v>0</v>
      </c>
      <c r="AM600" s="264">
        <f t="shared" si="1407"/>
        <v>0</v>
      </c>
      <c r="AN600" s="640">
        <f t="shared" si="1415"/>
        <v>0</v>
      </c>
      <c r="AO600" s="264">
        <f t="shared" si="1408"/>
        <v>0</v>
      </c>
      <c r="AP600" s="640">
        <f t="shared" si="1409"/>
        <v>0</v>
      </c>
      <c r="AQ600" s="501"/>
      <c r="AR600" s="264" t="str">
        <f>VLOOKUP($I600,TableInputsData[],ReadMe!$M$3,FALSE)&amp;"  |  "&amp;VLOOKUP($K600,TableInputsData[],ReadMe!$M$3,FALSE)</f>
        <v>PRODUIT 15  |  VOLUME</v>
      </c>
      <c r="AS600" s="264" t="b">
        <f t="shared" si="1410"/>
        <v>1</v>
      </c>
      <c r="AT600" s="294"/>
    </row>
    <row r="601" spans="1:46" ht="13" x14ac:dyDescent="0.2">
      <c r="A601" s="294"/>
      <c r="B601" s="924"/>
      <c r="C601" s="271">
        <v>594</v>
      </c>
      <c r="D601" s="250">
        <f t="shared" si="1416"/>
        <v>0</v>
      </c>
      <c r="E601" s="250">
        <v>1</v>
      </c>
      <c r="F601" s="248" t="s">
        <v>397</v>
      </c>
      <c r="G601" s="250">
        <f>VLOOKUP(F601,TableInputsData[],$G$6,FALSE)</f>
        <v>2027</v>
      </c>
      <c r="H601" s="250" t="str">
        <f t="shared" ref="H601:I601" si="1420">H600</f>
        <v>PRODUCT</v>
      </c>
      <c r="I601" s="248" t="str">
        <f t="shared" si="1420"/>
        <v>PRODUCT 15</v>
      </c>
      <c r="J601" s="248" t="str">
        <f>VLOOKUP(I601,TableInputsData[],$J$6,FALSE)</f>
        <v>-</v>
      </c>
      <c r="K601" s="248" t="str">
        <f t="shared" si="1418"/>
        <v>VOLUME</v>
      </c>
      <c r="L601" s="499">
        <v>1000</v>
      </c>
      <c r="M601" s="499">
        <v>0</v>
      </c>
      <c r="N601" s="499">
        <v>0</v>
      </c>
      <c r="O601" s="264">
        <f t="shared" si="1399"/>
        <v>1000</v>
      </c>
      <c r="P601" s="500">
        <v>1</v>
      </c>
      <c r="Q601" s="500">
        <v>0</v>
      </c>
      <c r="R601" s="259">
        <f t="shared" si="1411"/>
        <v>0</v>
      </c>
      <c r="S601" s="626">
        <v>500</v>
      </c>
      <c r="T601" s="626">
        <v>0</v>
      </c>
      <c r="U601" s="626">
        <v>0</v>
      </c>
      <c r="V601" s="628">
        <f t="shared" si="1412"/>
        <v>500</v>
      </c>
      <c r="W601" s="500">
        <v>1</v>
      </c>
      <c r="X601" s="500">
        <v>1</v>
      </c>
      <c r="Y601" s="500">
        <v>1</v>
      </c>
      <c r="Z601" s="259">
        <f t="shared" si="1400"/>
        <v>0</v>
      </c>
      <c r="AA601" s="259">
        <f t="shared" si="1401"/>
        <v>0</v>
      </c>
      <c r="AB601" s="259">
        <f t="shared" si="1402"/>
        <v>0</v>
      </c>
      <c r="AC601" s="628">
        <f t="shared" si="1413"/>
        <v>0</v>
      </c>
      <c r="AD601" s="628">
        <f t="shared" si="1414"/>
        <v>0</v>
      </c>
      <c r="AE601" s="264">
        <f>$AI601/4</f>
        <v>0</v>
      </c>
      <c r="AF601" s="264">
        <f t="shared" ref="AF601:AH604" si="1421">$AI601/4</f>
        <v>0</v>
      </c>
      <c r="AG601" s="264">
        <f t="shared" si="1421"/>
        <v>0</v>
      </c>
      <c r="AH601" s="264">
        <f t="shared" si="1421"/>
        <v>0</v>
      </c>
      <c r="AI601" s="501">
        <v>0</v>
      </c>
      <c r="AJ601" s="264">
        <f t="shared" si="1404"/>
        <v>0</v>
      </c>
      <c r="AK601" s="264">
        <f t="shared" si="1405"/>
        <v>0</v>
      </c>
      <c r="AL601" s="264">
        <f t="shared" si="1406"/>
        <v>0</v>
      </c>
      <c r="AM601" s="264">
        <f t="shared" si="1407"/>
        <v>0</v>
      </c>
      <c r="AN601" s="640">
        <f t="shared" si="1415"/>
        <v>0</v>
      </c>
      <c r="AO601" s="264">
        <f t="shared" si="1408"/>
        <v>0</v>
      </c>
      <c r="AP601" s="640">
        <f t="shared" si="1409"/>
        <v>0</v>
      </c>
      <c r="AQ601" s="501"/>
      <c r="AR601" s="264" t="str">
        <f>VLOOKUP($I601,TableInputsData[],ReadMe!$M$3,FALSE)&amp;"  |  "&amp;VLOOKUP($K601,TableInputsData[],ReadMe!$M$3,FALSE)</f>
        <v>PRODUIT 15  |  VOLUME</v>
      </c>
      <c r="AS601" s="264" t="b">
        <f t="shared" si="1410"/>
        <v>1</v>
      </c>
      <c r="AT601" s="294"/>
    </row>
    <row r="602" spans="1:46" ht="13" x14ac:dyDescent="0.2">
      <c r="A602" s="294"/>
      <c r="B602" s="924"/>
      <c r="C602" s="271">
        <v>595</v>
      </c>
      <c r="D602" s="250">
        <f t="shared" si="1416"/>
        <v>0</v>
      </c>
      <c r="E602" s="250">
        <v>1</v>
      </c>
      <c r="F602" s="248" t="s">
        <v>398</v>
      </c>
      <c r="G602" s="250">
        <f>VLOOKUP(F602,TableInputsData[],$G$6,FALSE)</f>
        <v>2028</v>
      </c>
      <c r="H602" s="250" t="str">
        <f t="shared" ref="H602:I602" si="1422">H601</f>
        <v>PRODUCT</v>
      </c>
      <c r="I602" s="248" t="str">
        <f t="shared" si="1422"/>
        <v>PRODUCT 15</v>
      </c>
      <c r="J602" s="248" t="str">
        <f>VLOOKUP(I602,TableInputsData[],$J$6,FALSE)</f>
        <v>-</v>
      </c>
      <c r="K602" s="248" t="str">
        <f t="shared" si="1418"/>
        <v>VOLUME</v>
      </c>
      <c r="L602" s="499">
        <v>1000</v>
      </c>
      <c r="M602" s="499">
        <v>0</v>
      </c>
      <c r="N602" s="499">
        <v>0</v>
      </c>
      <c r="O602" s="264">
        <f t="shared" si="1399"/>
        <v>1000</v>
      </c>
      <c r="P602" s="500">
        <v>1</v>
      </c>
      <c r="Q602" s="500">
        <v>0</v>
      </c>
      <c r="R602" s="259">
        <f t="shared" si="1411"/>
        <v>0</v>
      </c>
      <c r="S602" s="626">
        <v>500</v>
      </c>
      <c r="T602" s="626">
        <v>0</v>
      </c>
      <c r="U602" s="626">
        <v>0</v>
      </c>
      <c r="V602" s="628">
        <f t="shared" si="1412"/>
        <v>500</v>
      </c>
      <c r="W602" s="500">
        <v>1</v>
      </c>
      <c r="X602" s="500">
        <v>1</v>
      </c>
      <c r="Y602" s="500">
        <v>1</v>
      </c>
      <c r="Z602" s="259">
        <f t="shared" si="1400"/>
        <v>0</v>
      </c>
      <c r="AA602" s="259">
        <f t="shared" si="1401"/>
        <v>0</v>
      </c>
      <c r="AB602" s="259">
        <f t="shared" si="1402"/>
        <v>0</v>
      </c>
      <c r="AC602" s="628">
        <f t="shared" si="1413"/>
        <v>0</v>
      </c>
      <c r="AD602" s="628">
        <f t="shared" si="1414"/>
        <v>0</v>
      </c>
      <c r="AE602" s="264">
        <f t="shared" ref="AE602:AE604" si="1423">$AI602/4</f>
        <v>0</v>
      </c>
      <c r="AF602" s="264">
        <f t="shared" si="1421"/>
        <v>0</v>
      </c>
      <c r="AG602" s="264">
        <f t="shared" si="1421"/>
        <v>0</v>
      </c>
      <c r="AH602" s="264">
        <f t="shared" si="1421"/>
        <v>0</v>
      </c>
      <c r="AI602" s="501">
        <v>0</v>
      </c>
      <c r="AJ602" s="264">
        <f t="shared" si="1404"/>
        <v>0</v>
      </c>
      <c r="AK602" s="264">
        <f t="shared" si="1405"/>
        <v>0</v>
      </c>
      <c r="AL602" s="264">
        <f t="shared" si="1406"/>
        <v>0</v>
      </c>
      <c r="AM602" s="264">
        <f t="shared" si="1407"/>
        <v>0</v>
      </c>
      <c r="AN602" s="640">
        <f t="shared" si="1415"/>
        <v>0</v>
      </c>
      <c r="AO602" s="264">
        <f t="shared" si="1408"/>
        <v>0</v>
      </c>
      <c r="AP602" s="640">
        <f t="shared" si="1409"/>
        <v>0</v>
      </c>
      <c r="AQ602" s="501"/>
      <c r="AR602" s="264" t="str">
        <f>VLOOKUP($I602,TableInputsData[],ReadMe!$M$3,FALSE)&amp;"  |  "&amp;VLOOKUP($K602,TableInputsData[],ReadMe!$M$3,FALSE)</f>
        <v>PRODUIT 15  |  VOLUME</v>
      </c>
      <c r="AS602" s="264" t="b">
        <f t="shared" si="1410"/>
        <v>1</v>
      </c>
      <c r="AT602" s="294"/>
    </row>
    <row r="603" spans="1:46" ht="13" x14ac:dyDescent="0.2">
      <c r="A603" s="294"/>
      <c r="B603" s="924"/>
      <c r="C603" s="271">
        <v>596</v>
      </c>
      <c r="D603" s="250">
        <f t="shared" si="1416"/>
        <v>0</v>
      </c>
      <c r="E603" s="250">
        <v>1</v>
      </c>
      <c r="F603" s="248" t="s">
        <v>399</v>
      </c>
      <c r="G603" s="250">
        <f>VLOOKUP(F603,TableInputsData[],$G$6,FALSE)</f>
        <v>2029</v>
      </c>
      <c r="H603" s="250" t="str">
        <f t="shared" ref="H603:I603" si="1424">H602</f>
        <v>PRODUCT</v>
      </c>
      <c r="I603" s="248" t="str">
        <f t="shared" si="1424"/>
        <v>PRODUCT 15</v>
      </c>
      <c r="J603" s="248" t="str">
        <f>VLOOKUP(I603,TableInputsData[],$J$6,FALSE)</f>
        <v>-</v>
      </c>
      <c r="K603" s="248" t="str">
        <f t="shared" si="1418"/>
        <v>VOLUME</v>
      </c>
      <c r="L603" s="499">
        <v>1000</v>
      </c>
      <c r="M603" s="499">
        <v>0</v>
      </c>
      <c r="N603" s="499">
        <v>0</v>
      </c>
      <c r="O603" s="264">
        <f t="shared" si="1399"/>
        <v>1000</v>
      </c>
      <c r="P603" s="500">
        <v>1</v>
      </c>
      <c r="Q603" s="500">
        <v>0</v>
      </c>
      <c r="R603" s="259">
        <f t="shared" si="1411"/>
        <v>0</v>
      </c>
      <c r="S603" s="626">
        <v>500</v>
      </c>
      <c r="T603" s="626">
        <v>0</v>
      </c>
      <c r="U603" s="626">
        <v>0</v>
      </c>
      <c r="V603" s="628">
        <f t="shared" si="1412"/>
        <v>500</v>
      </c>
      <c r="W603" s="500">
        <v>1</v>
      </c>
      <c r="X603" s="500">
        <v>1</v>
      </c>
      <c r="Y603" s="500">
        <v>1</v>
      </c>
      <c r="Z603" s="259">
        <f t="shared" si="1400"/>
        <v>0</v>
      </c>
      <c r="AA603" s="259">
        <f t="shared" si="1401"/>
        <v>0</v>
      </c>
      <c r="AB603" s="259">
        <f t="shared" si="1402"/>
        <v>0</v>
      </c>
      <c r="AC603" s="628">
        <f t="shared" si="1413"/>
        <v>0</v>
      </c>
      <c r="AD603" s="628">
        <f t="shared" si="1414"/>
        <v>0</v>
      </c>
      <c r="AE603" s="264">
        <f t="shared" si="1423"/>
        <v>0</v>
      </c>
      <c r="AF603" s="264">
        <f t="shared" si="1421"/>
        <v>0</v>
      </c>
      <c r="AG603" s="264">
        <f t="shared" si="1421"/>
        <v>0</v>
      </c>
      <c r="AH603" s="264">
        <f t="shared" si="1421"/>
        <v>0</v>
      </c>
      <c r="AI603" s="501">
        <v>0</v>
      </c>
      <c r="AJ603" s="264">
        <f t="shared" si="1404"/>
        <v>0</v>
      </c>
      <c r="AK603" s="264">
        <f t="shared" si="1405"/>
        <v>0</v>
      </c>
      <c r="AL603" s="264">
        <f t="shared" si="1406"/>
        <v>0</v>
      </c>
      <c r="AM603" s="264">
        <f t="shared" si="1407"/>
        <v>0</v>
      </c>
      <c r="AN603" s="640">
        <f t="shared" si="1415"/>
        <v>0</v>
      </c>
      <c r="AO603" s="264">
        <f t="shared" si="1408"/>
        <v>0</v>
      </c>
      <c r="AP603" s="640">
        <f t="shared" si="1409"/>
        <v>0</v>
      </c>
      <c r="AQ603" s="501"/>
      <c r="AR603" s="264" t="str">
        <f>VLOOKUP($I603,TableInputsData[],ReadMe!$M$3,FALSE)&amp;"  |  "&amp;VLOOKUP($K603,TableInputsData[],ReadMe!$M$3,FALSE)</f>
        <v>PRODUIT 15  |  VOLUME</v>
      </c>
      <c r="AS603" s="264" t="b">
        <f t="shared" si="1410"/>
        <v>1</v>
      </c>
      <c r="AT603" s="294"/>
    </row>
    <row r="604" spans="1:46" ht="13" x14ac:dyDescent="0.2">
      <c r="A604" s="294"/>
      <c r="B604" s="924"/>
      <c r="C604" s="271">
        <v>597</v>
      </c>
      <c r="D604" s="250">
        <f t="shared" si="1416"/>
        <v>0</v>
      </c>
      <c r="E604" s="250">
        <v>1</v>
      </c>
      <c r="F604" s="248" t="s">
        <v>400</v>
      </c>
      <c r="G604" s="250">
        <f>VLOOKUP(F604,TableInputsData[],$G$6,FALSE)</f>
        <v>2030</v>
      </c>
      <c r="H604" s="250" t="str">
        <f t="shared" ref="H604:I604" si="1425">H603</f>
        <v>PRODUCT</v>
      </c>
      <c r="I604" s="248" t="str">
        <f t="shared" si="1425"/>
        <v>PRODUCT 15</v>
      </c>
      <c r="J604" s="248" t="str">
        <f>VLOOKUP(I604,TableInputsData[],$J$6,FALSE)</f>
        <v>-</v>
      </c>
      <c r="K604" s="248" t="str">
        <f t="shared" si="1418"/>
        <v>VOLUME</v>
      </c>
      <c r="L604" s="499">
        <v>1000</v>
      </c>
      <c r="M604" s="499">
        <v>0</v>
      </c>
      <c r="N604" s="499">
        <v>0</v>
      </c>
      <c r="O604" s="264">
        <f t="shared" si="1399"/>
        <v>1000</v>
      </c>
      <c r="P604" s="500">
        <v>1</v>
      </c>
      <c r="Q604" s="500">
        <v>0</v>
      </c>
      <c r="R604" s="259">
        <f t="shared" si="1411"/>
        <v>0</v>
      </c>
      <c r="S604" s="626">
        <v>500</v>
      </c>
      <c r="T604" s="626">
        <v>0</v>
      </c>
      <c r="U604" s="626">
        <v>0</v>
      </c>
      <c r="V604" s="628">
        <f t="shared" si="1412"/>
        <v>500</v>
      </c>
      <c r="W604" s="500">
        <v>1</v>
      </c>
      <c r="X604" s="500">
        <v>1</v>
      </c>
      <c r="Y604" s="500">
        <v>1</v>
      </c>
      <c r="Z604" s="259">
        <f t="shared" si="1400"/>
        <v>0</v>
      </c>
      <c r="AA604" s="259">
        <f t="shared" si="1401"/>
        <v>0</v>
      </c>
      <c r="AB604" s="259">
        <f t="shared" si="1402"/>
        <v>0</v>
      </c>
      <c r="AC604" s="628">
        <f t="shared" si="1413"/>
        <v>0</v>
      </c>
      <c r="AD604" s="628">
        <f t="shared" si="1414"/>
        <v>0</v>
      </c>
      <c r="AE604" s="264">
        <f t="shared" si="1423"/>
        <v>0</v>
      </c>
      <c r="AF604" s="264">
        <f t="shared" si="1421"/>
        <v>0</v>
      </c>
      <c r="AG604" s="264">
        <f t="shared" si="1421"/>
        <v>0</v>
      </c>
      <c r="AH604" s="264">
        <f t="shared" si="1421"/>
        <v>0</v>
      </c>
      <c r="AI604" s="501">
        <v>0</v>
      </c>
      <c r="AJ604" s="264">
        <f t="shared" si="1404"/>
        <v>0</v>
      </c>
      <c r="AK604" s="264">
        <f t="shared" si="1405"/>
        <v>0</v>
      </c>
      <c r="AL604" s="264">
        <f t="shared" si="1406"/>
        <v>0</v>
      </c>
      <c r="AM604" s="264">
        <f t="shared" si="1407"/>
        <v>0</v>
      </c>
      <c r="AN604" s="640">
        <f t="shared" si="1415"/>
        <v>0</v>
      </c>
      <c r="AO604" s="264">
        <f t="shared" si="1408"/>
        <v>0</v>
      </c>
      <c r="AP604" s="640">
        <f t="shared" si="1409"/>
        <v>0</v>
      </c>
      <c r="AQ604" s="501"/>
      <c r="AR604" s="264" t="str">
        <f>VLOOKUP($I604,TableInputsData[],ReadMe!$M$3,FALSE)&amp;"  |  "&amp;VLOOKUP($K604,TableInputsData[],ReadMe!$M$3,FALSE)</f>
        <v>PRODUIT 15  |  VOLUME</v>
      </c>
      <c r="AS604" s="264" t="b">
        <f t="shared" si="1410"/>
        <v>1</v>
      </c>
      <c r="AT604" s="294"/>
    </row>
    <row r="605" spans="1:46" ht="13" hidden="1" x14ac:dyDescent="0.2">
      <c r="A605" s="294"/>
      <c r="B605" s="924"/>
      <c r="C605" s="272">
        <v>598</v>
      </c>
      <c r="D605" s="250">
        <f t="shared" si="1416"/>
        <v>0</v>
      </c>
      <c r="E605" s="251"/>
      <c r="F605" s="248" t="str">
        <f t="shared" ref="F605:F612" si="1426">F613</f>
        <v>YEAR-2</v>
      </c>
      <c r="G605" s="250">
        <f>VLOOKUP(F605,TableInputsData[],$G$6,FALSE)</f>
        <v>2023</v>
      </c>
      <c r="H605" s="250" t="str">
        <f t="shared" ref="H605:I605" si="1427">H604</f>
        <v>PRODUCT</v>
      </c>
      <c r="I605" s="248" t="str">
        <f t="shared" si="1427"/>
        <v>PRODUCT 15</v>
      </c>
      <c r="J605" s="248" t="str">
        <f>VLOOKUP(I605,TableInputsData[],$J$6,FALSE)</f>
        <v>-</v>
      </c>
      <c r="K605" s="248" t="s">
        <v>457</v>
      </c>
      <c r="L605" s="256"/>
      <c r="M605" s="256"/>
      <c r="N605" s="256"/>
      <c r="O605" s="266"/>
      <c r="P605" s="261"/>
      <c r="Q605" s="261"/>
      <c r="R605" s="261"/>
      <c r="S605" s="629"/>
      <c r="T605" s="629"/>
      <c r="U605" s="629"/>
      <c r="V605" s="629"/>
      <c r="W605" s="261"/>
      <c r="X605" s="261"/>
      <c r="Y605" s="261"/>
      <c r="Z605" s="261"/>
      <c r="AA605" s="261"/>
      <c r="AB605" s="261"/>
      <c r="AC605" s="266"/>
      <c r="AD605" s="633"/>
      <c r="AE605" s="264">
        <f>AE597*($L597*$P597+$M597*$Q597+$N597*$R597)</f>
        <v>0</v>
      </c>
      <c r="AF605" s="264">
        <f t="shared" ref="AF605:AH605" si="1428">AF597*($L597*$P597+$M597*$Q597+$N597*$R597)</f>
        <v>0</v>
      </c>
      <c r="AG605" s="264">
        <f t="shared" si="1428"/>
        <v>0</v>
      </c>
      <c r="AH605" s="264">
        <f t="shared" si="1428"/>
        <v>0</v>
      </c>
      <c r="AI605" s="264">
        <f>$AE605+$AF605+$AG605+$AH605</f>
        <v>0</v>
      </c>
      <c r="AJ605" s="264">
        <f t="shared" ref="AJ605:AJ612" si="1429">$AJ597*$L597</f>
        <v>0</v>
      </c>
      <c r="AK605" s="264">
        <f t="shared" ref="AK605:AK612" si="1430">$AK597*$M597</f>
        <v>0</v>
      </c>
      <c r="AL605" s="264">
        <f t="shared" ref="AL605:AL612" si="1431">$AL597*$N597</f>
        <v>0</v>
      </c>
      <c r="AM605" s="264">
        <f t="shared" ref="AM605:AM612" si="1432">$AJ605*$W597+$AK605*$X597+$AL605*$Y597</f>
        <v>0</v>
      </c>
      <c r="AN605" s="640">
        <f t="shared" si="1415"/>
        <v>0</v>
      </c>
      <c r="AO605" s="264">
        <f t="shared" ref="AO605:AO612" si="1433">$AJ605*$Z597+$AK605*$AA597+$AL605*$AB597</f>
        <v>0</v>
      </c>
      <c r="AP605" s="640">
        <f t="shared" si="1409"/>
        <v>0</v>
      </c>
      <c r="AQ605" s="264"/>
      <c r="AR605" s="264" t="str">
        <f>VLOOKUP($I605,TableInputsData[],ReadMe!$M$3,FALSE)&amp;"  |  "&amp;VLOOKUP($K605,TableInputsData[],ReadMe!$M$3,FALSE)</f>
        <v>PRODUIT 15  |  CHIFFRE D'AFFAIRES</v>
      </c>
      <c r="AS605" s="264" t="b">
        <f t="shared" ref="AS605:AS612" si="1434">AND(EXACT(ROUND(AI605,2),ROUND(AJ605+AK605+AL605,2)),EXACT(ROUND(AI605,2),ROUND(AM605+AO605,2)))</f>
        <v>1</v>
      </c>
      <c r="AT605" s="294"/>
    </row>
    <row r="606" spans="1:46" ht="13" hidden="1" x14ac:dyDescent="0.2">
      <c r="A606" s="294"/>
      <c r="B606" s="924"/>
      <c r="C606" s="271">
        <v>599</v>
      </c>
      <c r="D606" s="250">
        <f t="shared" si="1416"/>
        <v>0</v>
      </c>
      <c r="E606" s="250"/>
      <c r="F606" s="248" t="str">
        <f t="shared" si="1426"/>
        <v>YEAR-1</v>
      </c>
      <c r="G606" s="250">
        <f>VLOOKUP(F606,TableInputsData[],$G$6,FALSE)</f>
        <v>2024</v>
      </c>
      <c r="H606" s="250" t="str">
        <f t="shared" ref="H606:I606" si="1435">H605</f>
        <v>PRODUCT</v>
      </c>
      <c r="I606" s="248" t="str">
        <f t="shared" si="1435"/>
        <v>PRODUCT 15</v>
      </c>
      <c r="J606" s="248" t="str">
        <f>VLOOKUP(I606,TableInputsData[],$J$6,FALSE)</f>
        <v>-</v>
      </c>
      <c r="K606" s="248" t="str">
        <f>K605</f>
        <v>REVENUE</v>
      </c>
      <c r="L606" s="255"/>
      <c r="M606" s="255"/>
      <c r="N606" s="255"/>
      <c r="O606" s="265"/>
      <c r="P606" s="260"/>
      <c r="Q606" s="260"/>
      <c r="R606" s="260"/>
      <c r="S606" s="630"/>
      <c r="T606" s="630"/>
      <c r="U606" s="630"/>
      <c r="V606" s="630"/>
      <c r="W606" s="260"/>
      <c r="X606" s="260"/>
      <c r="Y606" s="260"/>
      <c r="Z606" s="260"/>
      <c r="AA606" s="260"/>
      <c r="AB606" s="260"/>
      <c r="AC606" s="265"/>
      <c r="AD606" s="634"/>
      <c r="AE606" s="264">
        <f t="shared" ref="AE606:AH606" si="1436">AE598*($L598*$P598+$M598*$Q598+$N598*$R598)</f>
        <v>0</v>
      </c>
      <c r="AF606" s="264">
        <f t="shared" si="1436"/>
        <v>0</v>
      </c>
      <c r="AG606" s="264">
        <f t="shared" si="1436"/>
        <v>0</v>
      </c>
      <c r="AH606" s="264">
        <f t="shared" si="1436"/>
        <v>0</v>
      </c>
      <c r="AI606" s="264">
        <f t="shared" ref="AI606:AI611" si="1437">$AE606+$AF606+$AG606+$AH606</f>
        <v>0</v>
      </c>
      <c r="AJ606" s="264">
        <f t="shared" si="1429"/>
        <v>0</v>
      </c>
      <c r="AK606" s="264">
        <f t="shared" si="1430"/>
        <v>0</v>
      </c>
      <c r="AL606" s="264">
        <f t="shared" si="1431"/>
        <v>0</v>
      </c>
      <c r="AM606" s="264">
        <f t="shared" si="1432"/>
        <v>0</v>
      </c>
      <c r="AN606" s="640">
        <f t="shared" si="1415"/>
        <v>0</v>
      </c>
      <c r="AO606" s="264">
        <f t="shared" si="1433"/>
        <v>0</v>
      </c>
      <c r="AP606" s="640">
        <f t="shared" si="1409"/>
        <v>0</v>
      </c>
      <c r="AQ606" s="264"/>
      <c r="AR606" s="264" t="str">
        <f>VLOOKUP($I606,TableInputsData[],ReadMe!$M$3,FALSE)&amp;"  |  "&amp;VLOOKUP($K606,TableInputsData[],ReadMe!$M$3,FALSE)</f>
        <v>PRODUIT 15  |  CHIFFRE D'AFFAIRES</v>
      </c>
      <c r="AS606" s="264" t="b">
        <f t="shared" si="1434"/>
        <v>1</v>
      </c>
      <c r="AT606" s="294"/>
    </row>
    <row r="607" spans="1:46" ht="13" hidden="1" x14ac:dyDescent="0.2">
      <c r="A607" s="294"/>
      <c r="B607" s="924"/>
      <c r="C607" s="271">
        <v>600</v>
      </c>
      <c r="D607" s="250">
        <f t="shared" si="1416"/>
        <v>0</v>
      </c>
      <c r="E607" s="250"/>
      <c r="F607" s="248" t="str">
        <f t="shared" si="1426"/>
        <v>CURRENT YEAR</v>
      </c>
      <c r="G607" s="250">
        <f>VLOOKUP(F607,TableInputsData[],$G$6,FALSE)</f>
        <v>2025</v>
      </c>
      <c r="H607" s="250" t="str">
        <f t="shared" ref="H607:I607" si="1438">H606</f>
        <v>PRODUCT</v>
      </c>
      <c r="I607" s="248" t="str">
        <f t="shared" si="1438"/>
        <v>PRODUCT 15</v>
      </c>
      <c r="J607" s="248" t="str">
        <f>VLOOKUP(I607,TableInputsData[],$J$6,FALSE)</f>
        <v>-</v>
      </c>
      <c r="K607" s="248" t="str">
        <f t="shared" ref="K607:K612" si="1439">K606</f>
        <v>REVENUE</v>
      </c>
      <c r="L607" s="255"/>
      <c r="M607" s="255"/>
      <c r="N607" s="255"/>
      <c r="O607" s="265"/>
      <c r="P607" s="260"/>
      <c r="Q607" s="260"/>
      <c r="R607" s="260"/>
      <c r="S607" s="630"/>
      <c r="T607" s="630"/>
      <c r="U607" s="630"/>
      <c r="V607" s="630"/>
      <c r="W607" s="260"/>
      <c r="X607" s="260"/>
      <c r="Y607" s="260"/>
      <c r="Z607" s="260"/>
      <c r="AA607" s="260"/>
      <c r="AB607" s="260"/>
      <c r="AC607" s="265"/>
      <c r="AD607" s="634"/>
      <c r="AE607" s="264">
        <f t="shared" ref="AE607:AH607" si="1440">AE599*($L599*$P599+$M599*$Q599+$N599*$R599)</f>
        <v>0</v>
      </c>
      <c r="AF607" s="264">
        <f t="shared" si="1440"/>
        <v>0</v>
      </c>
      <c r="AG607" s="264">
        <f t="shared" si="1440"/>
        <v>0</v>
      </c>
      <c r="AH607" s="264">
        <f t="shared" si="1440"/>
        <v>0</v>
      </c>
      <c r="AI607" s="264">
        <f t="shared" si="1437"/>
        <v>0</v>
      </c>
      <c r="AJ607" s="264">
        <f t="shared" si="1429"/>
        <v>0</v>
      </c>
      <c r="AK607" s="264">
        <f t="shared" si="1430"/>
        <v>0</v>
      </c>
      <c r="AL607" s="264">
        <f t="shared" si="1431"/>
        <v>0</v>
      </c>
      <c r="AM607" s="264">
        <f t="shared" si="1432"/>
        <v>0</v>
      </c>
      <c r="AN607" s="640">
        <f t="shared" si="1415"/>
        <v>0</v>
      </c>
      <c r="AO607" s="264">
        <f t="shared" si="1433"/>
        <v>0</v>
      </c>
      <c r="AP607" s="640">
        <f t="shared" si="1409"/>
        <v>0</v>
      </c>
      <c r="AQ607" s="264"/>
      <c r="AR607" s="264" t="str">
        <f>VLOOKUP($I607,TableInputsData[],ReadMe!$M$3,FALSE)&amp;"  |  "&amp;VLOOKUP($K607,TableInputsData[],ReadMe!$M$3,FALSE)</f>
        <v>PRODUIT 15  |  CHIFFRE D'AFFAIRES</v>
      </c>
      <c r="AS607" s="264" t="b">
        <f t="shared" si="1434"/>
        <v>1</v>
      </c>
      <c r="AT607" s="294"/>
    </row>
    <row r="608" spans="1:46" ht="13" hidden="1" x14ac:dyDescent="0.2">
      <c r="A608" s="294"/>
      <c r="B608" s="924"/>
      <c r="C608" s="271">
        <v>601</v>
      </c>
      <c r="D608" s="250">
        <f t="shared" si="1416"/>
        <v>0</v>
      </c>
      <c r="E608" s="250"/>
      <c r="F608" s="248" t="str">
        <f t="shared" si="1426"/>
        <v>YEAR2</v>
      </c>
      <c r="G608" s="250">
        <f>VLOOKUP(F608,TableInputsData[],$G$6,FALSE)</f>
        <v>2026</v>
      </c>
      <c r="H608" s="250" t="str">
        <f t="shared" ref="H608:I608" si="1441">H607</f>
        <v>PRODUCT</v>
      </c>
      <c r="I608" s="248" t="str">
        <f t="shared" si="1441"/>
        <v>PRODUCT 15</v>
      </c>
      <c r="J608" s="248" t="str">
        <f>VLOOKUP(I608,TableInputsData[],$J$6,FALSE)</f>
        <v>-</v>
      </c>
      <c r="K608" s="248" t="str">
        <f t="shared" si="1439"/>
        <v>REVENUE</v>
      </c>
      <c r="L608" s="255"/>
      <c r="M608" s="255"/>
      <c r="N608" s="255"/>
      <c r="O608" s="265"/>
      <c r="P608" s="260"/>
      <c r="Q608" s="260"/>
      <c r="R608" s="260"/>
      <c r="S608" s="630"/>
      <c r="T608" s="630"/>
      <c r="U608" s="630"/>
      <c r="V608" s="630"/>
      <c r="W608" s="260"/>
      <c r="X608" s="260"/>
      <c r="Y608" s="260"/>
      <c r="Z608" s="260"/>
      <c r="AA608" s="260"/>
      <c r="AB608" s="260"/>
      <c r="AC608" s="265"/>
      <c r="AD608" s="634"/>
      <c r="AE608" s="264">
        <f t="shared" ref="AE608:AH608" si="1442">AE600*($L600*$P600+$M600*$Q600+$N600*$R600)</f>
        <v>0</v>
      </c>
      <c r="AF608" s="264">
        <f t="shared" si="1442"/>
        <v>0</v>
      </c>
      <c r="AG608" s="264">
        <f t="shared" si="1442"/>
        <v>0</v>
      </c>
      <c r="AH608" s="264">
        <f t="shared" si="1442"/>
        <v>0</v>
      </c>
      <c r="AI608" s="264">
        <f t="shared" si="1437"/>
        <v>0</v>
      </c>
      <c r="AJ608" s="264">
        <f t="shared" si="1429"/>
        <v>0</v>
      </c>
      <c r="AK608" s="264">
        <f t="shared" si="1430"/>
        <v>0</v>
      </c>
      <c r="AL608" s="264">
        <f t="shared" si="1431"/>
        <v>0</v>
      </c>
      <c r="AM608" s="264">
        <f t="shared" si="1432"/>
        <v>0</v>
      </c>
      <c r="AN608" s="640">
        <f t="shared" si="1415"/>
        <v>0</v>
      </c>
      <c r="AO608" s="264">
        <f t="shared" si="1433"/>
        <v>0</v>
      </c>
      <c r="AP608" s="640">
        <f t="shared" si="1409"/>
        <v>0</v>
      </c>
      <c r="AQ608" s="264"/>
      <c r="AR608" s="264" t="str">
        <f>VLOOKUP($I608,TableInputsData[],ReadMe!$M$3,FALSE)&amp;"  |  "&amp;VLOOKUP($K608,TableInputsData[],ReadMe!$M$3,FALSE)</f>
        <v>PRODUIT 15  |  CHIFFRE D'AFFAIRES</v>
      </c>
      <c r="AS608" s="264" t="b">
        <f t="shared" si="1434"/>
        <v>1</v>
      </c>
      <c r="AT608" s="294"/>
    </row>
    <row r="609" spans="1:46" ht="13" hidden="1" x14ac:dyDescent="0.2">
      <c r="A609" s="294"/>
      <c r="B609" s="924"/>
      <c r="C609" s="271">
        <v>602</v>
      </c>
      <c r="D609" s="250">
        <f t="shared" si="1416"/>
        <v>0</v>
      </c>
      <c r="E609" s="250"/>
      <c r="F609" s="248" t="str">
        <f t="shared" si="1426"/>
        <v>YEAR3</v>
      </c>
      <c r="G609" s="250">
        <f>VLOOKUP(F609,TableInputsData[],$G$6,FALSE)</f>
        <v>2027</v>
      </c>
      <c r="H609" s="250" t="str">
        <f t="shared" ref="H609:I609" si="1443">H608</f>
        <v>PRODUCT</v>
      </c>
      <c r="I609" s="248" t="str">
        <f t="shared" si="1443"/>
        <v>PRODUCT 15</v>
      </c>
      <c r="J609" s="248" t="str">
        <f>VLOOKUP(I609,TableInputsData[],$J$6,FALSE)</f>
        <v>-</v>
      </c>
      <c r="K609" s="248" t="str">
        <f t="shared" si="1439"/>
        <v>REVENUE</v>
      </c>
      <c r="L609" s="255"/>
      <c r="M609" s="255"/>
      <c r="N609" s="255"/>
      <c r="O609" s="265"/>
      <c r="P609" s="260"/>
      <c r="Q609" s="260"/>
      <c r="R609" s="260"/>
      <c r="S609" s="630"/>
      <c r="T609" s="630"/>
      <c r="U609" s="630"/>
      <c r="V609" s="630"/>
      <c r="W609" s="260"/>
      <c r="X609" s="260"/>
      <c r="Y609" s="260"/>
      <c r="Z609" s="260"/>
      <c r="AA609" s="260"/>
      <c r="AB609" s="260"/>
      <c r="AC609" s="265"/>
      <c r="AD609" s="634"/>
      <c r="AE609" s="264">
        <f t="shared" ref="AE609:AH609" si="1444">AE601*($L601*$P601+$M601*$Q601+$N601*$R601)</f>
        <v>0</v>
      </c>
      <c r="AF609" s="264">
        <f t="shared" si="1444"/>
        <v>0</v>
      </c>
      <c r="AG609" s="264">
        <f t="shared" si="1444"/>
        <v>0</v>
      </c>
      <c r="AH609" s="264">
        <f t="shared" si="1444"/>
        <v>0</v>
      </c>
      <c r="AI609" s="264">
        <f t="shared" si="1437"/>
        <v>0</v>
      </c>
      <c r="AJ609" s="264">
        <f t="shared" si="1429"/>
        <v>0</v>
      </c>
      <c r="AK609" s="264">
        <f t="shared" si="1430"/>
        <v>0</v>
      </c>
      <c r="AL609" s="264">
        <f t="shared" si="1431"/>
        <v>0</v>
      </c>
      <c r="AM609" s="264">
        <f t="shared" si="1432"/>
        <v>0</v>
      </c>
      <c r="AN609" s="640">
        <f t="shared" si="1415"/>
        <v>0</v>
      </c>
      <c r="AO609" s="264">
        <f t="shared" si="1433"/>
        <v>0</v>
      </c>
      <c r="AP609" s="640">
        <f t="shared" si="1409"/>
        <v>0</v>
      </c>
      <c r="AQ609" s="264"/>
      <c r="AR609" s="264" t="str">
        <f>VLOOKUP($I609,TableInputsData[],ReadMe!$M$3,FALSE)&amp;"  |  "&amp;VLOOKUP($K609,TableInputsData[],ReadMe!$M$3,FALSE)</f>
        <v>PRODUIT 15  |  CHIFFRE D'AFFAIRES</v>
      </c>
      <c r="AS609" s="264" t="b">
        <f t="shared" si="1434"/>
        <v>1</v>
      </c>
      <c r="AT609" s="294"/>
    </row>
    <row r="610" spans="1:46" ht="13" hidden="1" x14ac:dyDescent="0.2">
      <c r="A610" s="294"/>
      <c r="B610" s="924"/>
      <c r="C610" s="271">
        <v>603</v>
      </c>
      <c r="D610" s="250">
        <f t="shared" si="1416"/>
        <v>0</v>
      </c>
      <c r="E610" s="250"/>
      <c r="F610" s="248" t="str">
        <f t="shared" si="1426"/>
        <v>YEAR4</v>
      </c>
      <c r="G610" s="250">
        <f>VLOOKUP(F610,TableInputsData[],$G$6,FALSE)</f>
        <v>2028</v>
      </c>
      <c r="H610" s="250" t="str">
        <f t="shared" ref="H610:I610" si="1445">H609</f>
        <v>PRODUCT</v>
      </c>
      <c r="I610" s="248" t="str">
        <f t="shared" si="1445"/>
        <v>PRODUCT 15</v>
      </c>
      <c r="J610" s="248" t="str">
        <f>VLOOKUP(I610,TableInputsData[],$J$6,FALSE)</f>
        <v>-</v>
      </c>
      <c r="K610" s="248" t="str">
        <f t="shared" si="1439"/>
        <v>REVENUE</v>
      </c>
      <c r="L610" s="255"/>
      <c r="M610" s="255"/>
      <c r="N610" s="255"/>
      <c r="O610" s="265"/>
      <c r="P610" s="260"/>
      <c r="Q610" s="260"/>
      <c r="R610" s="260"/>
      <c r="S610" s="630"/>
      <c r="T610" s="630"/>
      <c r="U610" s="630"/>
      <c r="V610" s="630"/>
      <c r="W610" s="260"/>
      <c r="X610" s="260"/>
      <c r="Y610" s="260"/>
      <c r="Z610" s="260"/>
      <c r="AA610" s="260"/>
      <c r="AB610" s="260"/>
      <c r="AC610" s="265"/>
      <c r="AD610" s="634"/>
      <c r="AE610" s="264">
        <f t="shared" ref="AE610:AH610" si="1446">AE602*($L602*$P602+$M602*$Q602+$N602*$R602)</f>
        <v>0</v>
      </c>
      <c r="AF610" s="264">
        <f t="shared" si="1446"/>
        <v>0</v>
      </c>
      <c r="AG610" s="264">
        <f t="shared" si="1446"/>
        <v>0</v>
      </c>
      <c r="AH610" s="264">
        <f t="shared" si="1446"/>
        <v>0</v>
      </c>
      <c r="AI610" s="264">
        <f t="shared" si="1437"/>
        <v>0</v>
      </c>
      <c r="AJ610" s="264">
        <f t="shared" si="1429"/>
        <v>0</v>
      </c>
      <c r="AK610" s="264">
        <f t="shared" si="1430"/>
        <v>0</v>
      </c>
      <c r="AL610" s="264">
        <f t="shared" si="1431"/>
        <v>0</v>
      </c>
      <c r="AM610" s="264">
        <f t="shared" si="1432"/>
        <v>0</v>
      </c>
      <c r="AN610" s="640">
        <f t="shared" si="1415"/>
        <v>0</v>
      </c>
      <c r="AO610" s="264">
        <f t="shared" si="1433"/>
        <v>0</v>
      </c>
      <c r="AP610" s="640">
        <f t="shared" si="1409"/>
        <v>0</v>
      </c>
      <c r="AQ610" s="264"/>
      <c r="AR610" s="264" t="str">
        <f>VLOOKUP($I610,TableInputsData[],ReadMe!$M$3,FALSE)&amp;"  |  "&amp;VLOOKUP($K610,TableInputsData[],ReadMe!$M$3,FALSE)</f>
        <v>PRODUIT 15  |  CHIFFRE D'AFFAIRES</v>
      </c>
      <c r="AS610" s="264" t="b">
        <f t="shared" si="1434"/>
        <v>1</v>
      </c>
      <c r="AT610" s="294"/>
    </row>
    <row r="611" spans="1:46" ht="13" hidden="1" x14ac:dyDescent="0.2">
      <c r="A611" s="294"/>
      <c r="B611" s="924"/>
      <c r="C611" s="271">
        <v>604</v>
      </c>
      <c r="D611" s="250">
        <f t="shared" si="1416"/>
        <v>0</v>
      </c>
      <c r="E611" s="250"/>
      <c r="F611" s="248" t="str">
        <f t="shared" si="1426"/>
        <v>YEAR5</v>
      </c>
      <c r="G611" s="250">
        <f>VLOOKUP(F611,TableInputsData[],$G$6,FALSE)</f>
        <v>2029</v>
      </c>
      <c r="H611" s="250" t="str">
        <f t="shared" ref="H611:I611" si="1447">H610</f>
        <v>PRODUCT</v>
      </c>
      <c r="I611" s="248" t="str">
        <f t="shared" si="1447"/>
        <v>PRODUCT 15</v>
      </c>
      <c r="J611" s="248" t="str">
        <f>VLOOKUP(I611,TableInputsData[],$J$6,FALSE)</f>
        <v>-</v>
      </c>
      <c r="K611" s="248" t="str">
        <f t="shared" si="1439"/>
        <v>REVENUE</v>
      </c>
      <c r="L611" s="255"/>
      <c r="M611" s="255"/>
      <c r="N611" s="255"/>
      <c r="O611" s="265"/>
      <c r="P611" s="260"/>
      <c r="Q611" s="260"/>
      <c r="R611" s="260"/>
      <c r="S611" s="630"/>
      <c r="T611" s="630"/>
      <c r="U611" s="630"/>
      <c r="V611" s="630"/>
      <c r="W611" s="260"/>
      <c r="X611" s="260"/>
      <c r="Y611" s="260"/>
      <c r="Z611" s="260"/>
      <c r="AA611" s="260"/>
      <c r="AB611" s="260"/>
      <c r="AC611" s="265"/>
      <c r="AD611" s="634"/>
      <c r="AE611" s="264">
        <f t="shared" ref="AE611:AH611" si="1448">AE603*($L603*$P603+$M603*$Q603+$N603*$R603)</f>
        <v>0</v>
      </c>
      <c r="AF611" s="264">
        <f t="shared" si="1448"/>
        <v>0</v>
      </c>
      <c r="AG611" s="264">
        <f t="shared" si="1448"/>
        <v>0</v>
      </c>
      <c r="AH611" s="264">
        <f t="shared" si="1448"/>
        <v>0</v>
      </c>
      <c r="AI611" s="264">
        <f t="shared" si="1437"/>
        <v>0</v>
      </c>
      <c r="AJ611" s="264">
        <f t="shared" si="1429"/>
        <v>0</v>
      </c>
      <c r="AK611" s="264">
        <f t="shared" si="1430"/>
        <v>0</v>
      </c>
      <c r="AL611" s="264">
        <f t="shared" si="1431"/>
        <v>0</v>
      </c>
      <c r="AM611" s="264">
        <f t="shared" si="1432"/>
        <v>0</v>
      </c>
      <c r="AN611" s="640">
        <f t="shared" si="1415"/>
        <v>0</v>
      </c>
      <c r="AO611" s="264">
        <f t="shared" si="1433"/>
        <v>0</v>
      </c>
      <c r="AP611" s="640">
        <f t="shared" si="1409"/>
        <v>0</v>
      </c>
      <c r="AQ611" s="264"/>
      <c r="AR611" s="264" t="str">
        <f>VLOOKUP($I611,TableInputsData[],ReadMe!$M$3,FALSE)&amp;"  |  "&amp;VLOOKUP($K611,TableInputsData[],ReadMe!$M$3,FALSE)</f>
        <v>PRODUIT 15  |  CHIFFRE D'AFFAIRES</v>
      </c>
      <c r="AS611" s="264" t="b">
        <f t="shared" si="1434"/>
        <v>1</v>
      </c>
      <c r="AT611" s="294"/>
    </row>
    <row r="612" spans="1:46" ht="13" hidden="1" x14ac:dyDescent="0.2">
      <c r="A612" s="294"/>
      <c r="B612" s="924"/>
      <c r="C612" s="271">
        <v>605</v>
      </c>
      <c r="D612" s="250">
        <f t="shared" si="1416"/>
        <v>0</v>
      </c>
      <c r="E612" s="250"/>
      <c r="F612" s="248" t="str">
        <f t="shared" si="1426"/>
        <v>YEAR6</v>
      </c>
      <c r="G612" s="250">
        <f>VLOOKUP(F612,TableInputsData[],$G$6,FALSE)</f>
        <v>2030</v>
      </c>
      <c r="H612" s="250" t="str">
        <f t="shared" ref="H612:I612" si="1449">H611</f>
        <v>PRODUCT</v>
      </c>
      <c r="I612" s="248" t="str">
        <f t="shared" si="1449"/>
        <v>PRODUCT 15</v>
      </c>
      <c r="J612" s="248" t="str">
        <f>VLOOKUP(I612,TableInputsData[],$J$6,FALSE)</f>
        <v>-</v>
      </c>
      <c r="K612" s="248" t="str">
        <f t="shared" si="1439"/>
        <v>REVENUE</v>
      </c>
      <c r="L612" s="255"/>
      <c r="M612" s="255"/>
      <c r="N612" s="255"/>
      <c r="O612" s="265"/>
      <c r="P612" s="260"/>
      <c r="Q612" s="260"/>
      <c r="R612" s="260"/>
      <c r="S612" s="630"/>
      <c r="T612" s="630"/>
      <c r="U612" s="630"/>
      <c r="V612" s="630"/>
      <c r="W612" s="260"/>
      <c r="X612" s="260"/>
      <c r="Y612" s="260"/>
      <c r="Z612" s="260"/>
      <c r="AA612" s="260"/>
      <c r="AB612" s="260"/>
      <c r="AC612" s="265"/>
      <c r="AD612" s="634"/>
      <c r="AE612" s="264">
        <f t="shared" ref="AE612:AH612" si="1450">AE604*($L604*$P604+$M604*$Q604+$N604*$R604)</f>
        <v>0</v>
      </c>
      <c r="AF612" s="264">
        <f t="shared" si="1450"/>
        <v>0</v>
      </c>
      <c r="AG612" s="264">
        <f t="shared" si="1450"/>
        <v>0</v>
      </c>
      <c r="AH612" s="264">
        <f t="shared" si="1450"/>
        <v>0</v>
      </c>
      <c r="AI612" s="264">
        <f>$AE612+$AF612+$AG612+$AH612</f>
        <v>0</v>
      </c>
      <c r="AJ612" s="264">
        <f t="shared" si="1429"/>
        <v>0</v>
      </c>
      <c r="AK612" s="264">
        <f t="shared" si="1430"/>
        <v>0</v>
      </c>
      <c r="AL612" s="264">
        <f t="shared" si="1431"/>
        <v>0</v>
      </c>
      <c r="AM612" s="264">
        <f t="shared" si="1432"/>
        <v>0</v>
      </c>
      <c r="AN612" s="640">
        <f t="shared" si="1415"/>
        <v>0</v>
      </c>
      <c r="AO612" s="264">
        <f t="shared" si="1433"/>
        <v>0</v>
      </c>
      <c r="AP612" s="640">
        <f t="shared" si="1409"/>
        <v>0</v>
      </c>
      <c r="AQ612" s="264"/>
      <c r="AR612" s="264" t="str">
        <f>VLOOKUP($I612,TableInputsData[],ReadMe!$M$3,FALSE)&amp;"  |  "&amp;VLOOKUP($K612,TableInputsData[],ReadMe!$M$3,FALSE)</f>
        <v>PRODUIT 15  |  CHIFFRE D'AFFAIRES</v>
      </c>
      <c r="AS612" s="264" t="b">
        <f t="shared" si="1434"/>
        <v>1</v>
      </c>
      <c r="AT612" s="294"/>
    </row>
    <row r="613" spans="1:46" ht="13" hidden="1" x14ac:dyDescent="0.2">
      <c r="A613" s="294"/>
      <c r="B613" s="924"/>
      <c r="C613" s="271">
        <v>606</v>
      </c>
      <c r="D613" s="250">
        <f t="shared" si="1416"/>
        <v>0</v>
      </c>
      <c r="E613" s="250"/>
      <c r="F613" s="248" t="str">
        <f t="shared" ref="F613:F620" si="1451">F597</f>
        <v>YEAR-2</v>
      </c>
      <c r="G613" s="250">
        <f>VLOOKUP(F613,TableInputsData[],$G$6,FALSE)</f>
        <v>2023</v>
      </c>
      <c r="H613" s="250" t="str">
        <f t="shared" ref="H613:I613" si="1452">H612</f>
        <v>PRODUCT</v>
      </c>
      <c r="I613" s="248" t="str">
        <f t="shared" si="1452"/>
        <v>PRODUCT 15</v>
      </c>
      <c r="J613" s="248" t="str">
        <f>VLOOKUP(I613,TableInputsData[],$J$6,FALSE)</f>
        <v>-</v>
      </c>
      <c r="K613" s="248" t="s">
        <v>456</v>
      </c>
      <c r="L613" s="255"/>
      <c r="M613" s="255"/>
      <c r="N613" s="255"/>
      <c r="O613" s="265"/>
      <c r="P613" s="260"/>
      <c r="Q613" s="260"/>
      <c r="R613" s="260"/>
      <c r="S613" s="630"/>
      <c r="T613" s="630"/>
      <c r="U613" s="630"/>
      <c r="V613" s="630"/>
      <c r="W613" s="260"/>
      <c r="X613" s="260"/>
      <c r="Y613" s="260"/>
      <c r="Z613" s="260"/>
      <c r="AA613" s="260"/>
      <c r="AB613" s="260"/>
      <c r="AC613" s="265"/>
      <c r="AD613" s="634"/>
      <c r="AE613" s="264">
        <f>IF(AE597=0,0,AE605/AE597)</f>
        <v>0</v>
      </c>
      <c r="AF613" s="264">
        <f t="shared" ref="AF613:AI613" si="1453">IF(AF597=0,0,AF605/AF597)</f>
        <v>0</v>
      </c>
      <c r="AG613" s="264">
        <f t="shared" si="1453"/>
        <v>0</v>
      </c>
      <c r="AH613" s="264">
        <f t="shared" si="1453"/>
        <v>0</v>
      </c>
      <c r="AI613" s="264">
        <f t="shared" si="1453"/>
        <v>0</v>
      </c>
      <c r="AJ613" s="264">
        <f>IF(AJ597=0,0,AJ605/AJ597)</f>
        <v>0</v>
      </c>
      <c r="AK613" s="264">
        <f t="shared" ref="AK613:AL613" si="1454">IF(AK597=0,0,AK605/AK597)</f>
        <v>0</v>
      </c>
      <c r="AL613" s="264">
        <f t="shared" si="1454"/>
        <v>0</v>
      </c>
      <c r="AM613" s="264">
        <f>IF(AM597=0,0,AM605/AM597)</f>
        <v>0</v>
      </c>
      <c r="AN613" s="260"/>
      <c r="AO613" s="264">
        <f t="shared" ref="AO613:AO620" si="1455">IF(AO597=0,0,AO605/AO597)</f>
        <v>0</v>
      </c>
      <c r="AP613" s="260"/>
      <c r="AQ613" s="264"/>
      <c r="AR613" s="264" t="str">
        <f>VLOOKUP($I613,TableInputsData[],ReadMe!$M$3,FALSE)&amp;"  |  "&amp;VLOOKUP($K613,TableInputsData[],ReadMe!$M$3,FALSE)</f>
        <v>PRODUIT 15  |  PRIX MOYEN DE VENTE PAR PRODUIT/SERVICE</v>
      </c>
      <c r="AS613" s="264"/>
      <c r="AT613" s="294"/>
    </row>
    <row r="614" spans="1:46" ht="13" hidden="1" x14ac:dyDescent="0.2">
      <c r="A614" s="294"/>
      <c r="B614" s="924"/>
      <c r="C614" s="271">
        <v>607</v>
      </c>
      <c r="D614" s="250">
        <f t="shared" si="1416"/>
        <v>0</v>
      </c>
      <c r="E614" s="250"/>
      <c r="F614" s="248" t="str">
        <f t="shared" si="1451"/>
        <v>YEAR-1</v>
      </c>
      <c r="G614" s="250">
        <f>VLOOKUP(F614,TableInputsData[],$G$6,FALSE)</f>
        <v>2024</v>
      </c>
      <c r="H614" s="250" t="str">
        <f t="shared" ref="H614:I614" si="1456">H613</f>
        <v>PRODUCT</v>
      </c>
      <c r="I614" s="248" t="str">
        <f t="shared" si="1456"/>
        <v>PRODUCT 15</v>
      </c>
      <c r="J614" s="248" t="str">
        <f>VLOOKUP(I614,TableInputsData[],$J$6,FALSE)</f>
        <v>-</v>
      </c>
      <c r="K614" s="248" t="str">
        <f>K613</f>
        <v>AVERAGE SELLING PRICE PER UNIT</v>
      </c>
      <c r="L614" s="255"/>
      <c r="M614" s="255"/>
      <c r="N614" s="255"/>
      <c r="O614" s="265"/>
      <c r="P614" s="260"/>
      <c r="Q614" s="260"/>
      <c r="R614" s="260"/>
      <c r="S614" s="630"/>
      <c r="T614" s="630"/>
      <c r="U614" s="630"/>
      <c r="V614" s="630"/>
      <c r="W614" s="260"/>
      <c r="X614" s="260"/>
      <c r="Y614" s="260"/>
      <c r="Z614" s="260"/>
      <c r="AA614" s="260"/>
      <c r="AB614" s="260"/>
      <c r="AC614" s="265"/>
      <c r="AD614" s="634"/>
      <c r="AE614" s="264">
        <f>IF(AE598=0,0,AE606/AE598)</f>
        <v>0</v>
      </c>
      <c r="AF614" s="264">
        <f t="shared" ref="AF614:AM614" si="1457">IF(AF598=0,0,AF606/AF598)</f>
        <v>0</v>
      </c>
      <c r="AG614" s="264">
        <f t="shared" si="1457"/>
        <v>0</v>
      </c>
      <c r="AH614" s="264">
        <f t="shared" si="1457"/>
        <v>0</v>
      </c>
      <c r="AI614" s="264">
        <f t="shared" si="1457"/>
        <v>0</v>
      </c>
      <c r="AJ614" s="264">
        <f t="shared" si="1457"/>
        <v>0</v>
      </c>
      <c r="AK614" s="264">
        <f t="shared" si="1457"/>
        <v>0</v>
      </c>
      <c r="AL614" s="264">
        <f t="shared" si="1457"/>
        <v>0</v>
      </c>
      <c r="AM614" s="264">
        <f t="shared" si="1457"/>
        <v>0</v>
      </c>
      <c r="AN614" s="260"/>
      <c r="AO614" s="264">
        <f t="shared" si="1455"/>
        <v>0</v>
      </c>
      <c r="AP614" s="260"/>
      <c r="AQ614" s="264"/>
      <c r="AR614" s="264" t="str">
        <f>VLOOKUP($I614,TableInputsData[],ReadMe!$M$3,FALSE)&amp;"  |  "&amp;VLOOKUP($K614,TableInputsData[],ReadMe!$M$3,FALSE)</f>
        <v>PRODUIT 15  |  PRIX MOYEN DE VENTE PAR PRODUIT/SERVICE</v>
      </c>
      <c r="AS614" s="264"/>
      <c r="AT614" s="294"/>
    </row>
    <row r="615" spans="1:46" ht="13" hidden="1" x14ac:dyDescent="0.2">
      <c r="A615" s="294"/>
      <c r="B615" s="924"/>
      <c r="C615" s="271">
        <v>608</v>
      </c>
      <c r="D615" s="250">
        <f t="shared" si="1416"/>
        <v>0</v>
      </c>
      <c r="E615" s="250"/>
      <c r="F615" s="248" t="str">
        <f t="shared" si="1451"/>
        <v>CURRENT YEAR</v>
      </c>
      <c r="G615" s="250">
        <f>VLOOKUP(F615,TableInputsData[],$G$6,FALSE)</f>
        <v>2025</v>
      </c>
      <c r="H615" s="250" t="str">
        <f t="shared" ref="H615:I615" si="1458">H614</f>
        <v>PRODUCT</v>
      </c>
      <c r="I615" s="248" t="str">
        <f t="shared" si="1458"/>
        <v>PRODUCT 15</v>
      </c>
      <c r="J615" s="248" t="str">
        <f>VLOOKUP(I615,TableInputsData[],$J$6,FALSE)</f>
        <v>-</v>
      </c>
      <c r="K615" s="248" t="str">
        <f t="shared" ref="K615:K620" si="1459">K614</f>
        <v>AVERAGE SELLING PRICE PER UNIT</v>
      </c>
      <c r="L615" s="255"/>
      <c r="M615" s="255"/>
      <c r="N615" s="255"/>
      <c r="O615" s="265"/>
      <c r="P615" s="260"/>
      <c r="Q615" s="260"/>
      <c r="R615" s="260"/>
      <c r="S615" s="630"/>
      <c r="T615" s="630"/>
      <c r="U615" s="630"/>
      <c r="V615" s="630"/>
      <c r="W615" s="260"/>
      <c r="X615" s="260"/>
      <c r="Y615" s="260"/>
      <c r="Z615" s="260"/>
      <c r="AA615" s="260"/>
      <c r="AB615" s="260"/>
      <c r="AC615" s="265"/>
      <c r="AD615" s="634"/>
      <c r="AE615" s="264">
        <f>IF(AE599=0,0,AE607/AE599)</f>
        <v>0</v>
      </c>
      <c r="AF615" s="264">
        <f t="shared" ref="AF615:AM615" si="1460">IF(AF599=0,0,AF607/AF599)</f>
        <v>0</v>
      </c>
      <c r="AG615" s="264">
        <f t="shared" si="1460"/>
        <v>0</v>
      </c>
      <c r="AH615" s="264">
        <f t="shared" si="1460"/>
        <v>0</v>
      </c>
      <c r="AI615" s="264">
        <f t="shared" si="1460"/>
        <v>0</v>
      </c>
      <c r="AJ615" s="264">
        <f t="shared" si="1460"/>
        <v>0</v>
      </c>
      <c r="AK615" s="264">
        <f t="shared" si="1460"/>
        <v>0</v>
      </c>
      <c r="AL615" s="264">
        <f t="shared" si="1460"/>
        <v>0</v>
      </c>
      <c r="AM615" s="264">
        <f t="shared" si="1460"/>
        <v>0</v>
      </c>
      <c r="AN615" s="260"/>
      <c r="AO615" s="264">
        <f t="shared" si="1455"/>
        <v>0</v>
      </c>
      <c r="AP615" s="260"/>
      <c r="AQ615" s="264"/>
      <c r="AR615" s="264" t="str">
        <f>VLOOKUP($I615,TableInputsData[],ReadMe!$M$3,FALSE)&amp;"  |  "&amp;VLOOKUP($K615,TableInputsData[],ReadMe!$M$3,FALSE)</f>
        <v>PRODUIT 15  |  PRIX MOYEN DE VENTE PAR PRODUIT/SERVICE</v>
      </c>
      <c r="AS615" s="264"/>
      <c r="AT615" s="294"/>
    </row>
    <row r="616" spans="1:46" ht="13" hidden="1" x14ac:dyDescent="0.2">
      <c r="A616" s="294"/>
      <c r="B616" s="924"/>
      <c r="C616" s="271">
        <v>609</v>
      </c>
      <c r="D616" s="250">
        <f t="shared" si="1416"/>
        <v>0</v>
      </c>
      <c r="E616" s="250"/>
      <c r="F616" s="248" t="str">
        <f t="shared" si="1451"/>
        <v>YEAR2</v>
      </c>
      <c r="G616" s="250">
        <f>VLOOKUP(F616,TableInputsData[],$G$6,FALSE)</f>
        <v>2026</v>
      </c>
      <c r="H616" s="250" t="str">
        <f t="shared" ref="H616:I616" si="1461">H615</f>
        <v>PRODUCT</v>
      </c>
      <c r="I616" s="248" t="str">
        <f t="shared" si="1461"/>
        <v>PRODUCT 15</v>
      </c>
      <c r="J616" s="248" t="str">
        <f>VLOOKUP(I616,TableInputsData[],$J$6,FALSE)</f>
        <v>-</v>
      </c>
      <c r="K616" s="248" t="str">
        <f t="shared" si="1459"/>
        <v>AVERAGE SELLING PRICE PER UNIT</v>
      </c>
      <c r="L616" s="255"/>
      <c r="M616" s="255"/>
      <c r="N616" s="255"/>
      <c r="O616" s="265"/>
      <c r="P616" s="260"/>
      <c r="Q616" s="260"/>
      <c r="R616" s="260"/>
      <c r="S616" s="630"/>
      <c r="T616" s="630"/>
      <c r="U616" s="630"/>
      <c r="V616" s="630"/>
      <c r="W616" s="260"/>
      <c r="X616" s="260"/>
      <c r="Y616" s="260"/>
      <c r="Z616" s="260"/>
      <c r="AA616" s="260"/>
      <c r="AB616" s="260"/>
      <c r="AC616" s="265"/>
      <c r="AD616" s="634"/>
      <c r="AE616" s="264">
        <f>IF(AE600=0,0,AE608/AE600)</f>
        <v>0</v>
      </c>
      <c r="AF616" s="264">
        <f t="shared" ref="AF616:AM616" si="1462">IF(AF600=0,0,AF608/AF600)</f>
        <v>0</v>
      </c>
      <c r="AG616" s="264">
        <f t="shared" si="1462"/>
        <v>0</v>
      </c>
      <c r="AH616" s="264">
        <f t="shared" si="1462"/>
        <v>0</v>
      </c>
      <c r="AI616" s="264">
        <f t="shared" si="1462"/>
        <v>0</v>
      </c>
      <c r="AJ616" s="264">
        <f t="shared" si="1462"/>
        <v>0</v>
      </c>
      <c r="AK616" s="264">
        <f t="shared" si="1462"/>
        <v>0</v>
      </c>
      <c r="AL616" s="264">
        <f t="shared" si="1462"/>
        <v>0</v>
      </c>
      <c r="AM616" s="264">
        <f t="shared" si="1462"/>
        <v>0</v>
      </c>
      <c r="AN616" s="260"/>
      <c r="AO616" s="264">
        <f t="shared" si="1455"/>
        <v>0</v>
      </c>
      <c r="AP616" s="260"/>
      <c r="AQ616" s="264"/>
      <c r="AR616" s="264" t="str">
        <f>VLOOKUP($I616,TableInputsData[],ReadMe!$M$3,FALSE)&amp;"  |  "&amp;VLOOKUP($K616,TableInputsData[],ReadMe!$M$3,FALSE)</f>
        <v>PRODUIT 15  |  PRIX MOYEN DE VENTE PAR PRODUIT/SERVICE</v>
      </c>
      <c r="AS616" s="264"/>
      <c r="AT616" s="294"/>
    </row>
    <row r="617" spans="1:46" ht="13" hidden="1" x14ac:dyDescent="0.2">
      <c r="A617" s="294"/>
      <c r="B617" s="924"/>
      <c r="C617" s="271">
        <v>610</v>
      </c>
      <c r="D617" s="250">
        <f t="shared" si="1416"/>
        <v>0</v>
      </c>
      <c r="E617" s="250"/>
      <c r="F617" s="248" t="str">
        <f t="shared" si="1451"/>
        <v>YEAR3</v>
      </c>
      <c r="G617" s="250">
        <f>VLOOKUP(F617,TableInputsData[],$G$6,FALSE)</f>
        <v>2027</v>
      </c>
      <c r="H617" s="250" t="str">
        <f t="shared" ref="H617:I617" si="1463">H616</f>
        <v>PRODUCT</v>
      </c>
      <c r="I617" s="248" t="str">
        <f t="shared" si="1463"/>
        <v>PRODUCT 15</v>
      </c>
      <c r="J617" s="248" t="str">
        <f>VLOOKUP(I617,TableInputsData[],$J$6,FALSE)</f>
        <v>-</v>
      </c>
      <c r="K617" s="248" t="str">
        <f t="shared" si="1459"/>
        <v>AVERAGE SELLING PRICE PER UNIT</v>
      </c>
      <c r="L617" s="255"/>
      <c r="M617" s="255"/>
      <c r="N617" s="255"/>
      <c r="O617" s="265"/>
      <c r="P617" s="260"/>
      <c r="Q617" s="260"/>
      <c r="R617" s="260"/>
      <c r="S617" s="630"/>
      <c r="T617" s="630"/>
      <c r="U617" s="630"/>
      <c r="V617" s="630"/>
      <c r="W617" s="260"/>
      <c r="X617" s="260"/>
      <c r="Y617" s="260"/>
      <c r="Z617" s="260"/>
      <c r="AA617" s="260"/>
      <c r="AB617" s="260"/>
      <c r="AC617" s="265"/>
      <c r="AD617" s="634"/>
      <c r="AE617" s="264">
        <f t="shared" ref="AE617:AM617" si="1464">IF(AE601=0,0,AE609/AE601)</f>
        <v>0</v>
      </c>
      <c r="AF617" s="264">
        <f t="shared" si="1464"/>
        <v>0</v>
      </c>
      <c r="AG617" s="264">
        <f t="shared" si="1464"/>
        <v>0</v>
      </c>
      <c r="AH617" s="264">
        <f t="shared" si="1464"/>
        <v>0</v>
      </c>
      <c r="AI617" s="264">
        <f t="shared" si="1464"/>
        <v>0</v>
      </c>
      <c r="AJ617" s="264">
        <f t="shared" si="1464"/>
        <v>0</v>
      </c>
      <c r="AK617" s="264">
        <f t="shared" si="1464"/>
        <v>0</v>
      </c>
      <c r="AL617" s="264">
        <f t="shared" si="1464"/>
        <v>0</v>
      </c>
      <c r="AM617" s="264">
        <f t="shared" si="1464"/>
        <v>0</v>
      </c>
      <c r="AN617" s="260"/>
      <c r="AO617" s="264">
        <f t="shared" si="1455"/>
        <v>0</v>
      </c>
      <c r="AP617" s="260"/>
      <c r="AQ617" s="264"/>
      <c r="AR617" s="264" t="str">
        <f>VLOOKUP($I617,TableInputsData[],ReadMe!$M$3,FALSE)&amp;"  |  "&amp;VLOOKUP($K617,TableInputsData[],ReadMe!$M$3,FALSE)</f>
        <v>PRODUIT 15  |  PRIX MOYEN DE VENTE PAR PRODUIT/SERVICE</v>
      </c>
      <c r="AS617" s="264"/>
      <c r="AT617" s="294"/>
    </row>
    <row r="618" spans="1:46" ht="13" hidden="1" x14ac:dyDescent="0.2">
      <c r="A618" s="294"/>
      <c r="B618" s="924"/>
      <c r="C618" s="272">
        <v>611</v>
      </c>
      <c r="D618" s="250">
        <f t="shared" si="1416"/>
        <v>0</v>
      </c>
      <c r="E618" s="251"/>
      <c r="F618" s="248" t="str">
        <f t="shared" si="1451"/>
        <v>YEAR4</v>
      </c>
      <c r="G618" s="250">
        <f>VLOOKUP(F618,TableInputsData[],$G$6,FALSE)</f>
        <v>2028</v>
      </c>
      <c r="H618" s="250" t="str">
        <f t="shared" ref="H618:I618" si="1465">H617</f>
        <v>PRODUCT</v>
      </c>
      <c r="I618" s="248" t="str">
        <f t="shared" si="1465"/>
        <v>PRODUCT 15</v>
      </c>
      <c r="J618" s="248" t="str">
        <f>VLOOKUP(I618,TableInputsData[],$J$6,FALSE)</f>
        <v>-</v>
      </c>
      <c r="K618" s="248" t="str">
        <f t="shared" si="1459"/>
        <v>AVERAGE SELLING PRICE PER UNIT</v>
      </c>
      <c r="L618" s="256"/>
      <c r="M618" s="256"/>
      <c r="N618" s="256"/>
      <c r="O618" s="266"/>
      <c r="P618" s="261"/>
      <c r="Q618" s="261"/>
      <c r="R618" s="261"/>
      <c r="S618" s="629"/>
      <c r="T618" s="629"/>
      <c r="U618" s="629"/>
      <c r="V618" s="629"/>
      <c r="W618" s="261"/>
      <c r="X618" s="261"/>
      <c r="Y618" s="261"/>
      <c r="Z618" s="261"/>
      <c r="AA618" s="261"/>
      <c r="AB618" s="261"/>
      <c r="AC618" s="266"/>
      <c r="AD618" s="633"/>
      <c r="AE618" s="264">
        <f t="shared" ref="AE618:AM618" si="1466">IF(AE602=0,0,AE610/AE602)</f>
        <v>0</v>
      </c>
      <c r="AF618" s="264">
        <f t="shared" si="1466"/>
        <v>0</v>
      </c>
      <c r="AG618" s="264">
        <f t="shared" si="1466"/>
        <v>0</v>
      </c>
      <c r="AH618" s="264">
        <f t="shared" si="1466"/>
        <v>0</v>
      </c>
      <c r="AI618" s="264">
        <f t="shared" si="1466"/>
        <v>0</v>
      </c>
      <c r="AJ618" s="264">
        <f t="shared" si="1466"/>
        <v>0</v>
      </c>
      <c r="AK618" s="264">
        <f t="shared" si="1466"/>
        <v>0</v>
      </c>
      <c r="AL618" s="264">
        <f t="shared" si="1466"/>
        <v>0</v>
      </c>
      <c r="AM618" s="264">
        <f t="shared" si="1466"/>
        <v>0</v>
      </c>
      <c r="AN618" s="260"/>
      <c r="AO618" s="264">
        <f t="shared" si="1455"/>
        <v>0</v>
      </c>
      <c r="AP618" s="260"/>
      <c r="AQ618" s="264"/>
      <c r="AR618" s="264" t="str">
        <f>VLOOKUP($I618,TableInputsData[],ReadMe!$M$3,FALSE)&amp;"  |  "&amp;VLOOKUP($K618,TableInputsData[],ReadMe!$M$3,FALSE)</f>
        <v>PRODUIT 15  |  PRIX MOYEN DE VENTE PAR PRODUIT/SERVICE</v>
      </c>
      <c r="AS618" s="264"/>
      <c r="AT618" s="294"/>
    </row>
    <row r="619" spans="1:46" ht="13" hidden="1" x14ac:dyDescent="0.2">
      <c r="A619" s="294"/>
      <c r="B619" s="924"/>
      <c r="C619" s="271">
        <v>612</v>
      </c>
      <c r="D619" s="250">
        <f t="shared" si="1416"/>
        <v>0</v>
      </c>
      <c r="E619" s="250"/>
      <c r="F619" s="248" t="str">
        <f t="shared" si="1451"/>
        <v>YEAR5</v>
      </c>
      <c r="G619" s="250">
        <f>VLOOKUP(F619,TableInputsData[],$G$6,FALSE)</f>
        <v>2029</v>
      </c>
      <c r="H619" s="250" t="str">
        <f t="shared" ref="H619:I619" si="1467">H618</f>
        <v>PRODUCT</v>
      </c>
      <c r="I619" s="248" t="str">
        <f t="shared" si="1467"/>
        <v>PRODUCT 15</v>
      </c>
      <c r="J619" s="248" t="str">
        <f>VLOOKUP(I619,TableInputsData[],$J$6,FALSE)</f>
        <v>-</v>
      </c>
      <c r="K619" s="248" t="str">
        <f t="shared" si="1459"/>
        <v>AVERAGE SELLING PRICE PER UNIT</v>
      </c>
      <c r="L619" s="255"/>
      <c r="M619" s="255"/>
      <c r="N619" s="255"/>
      <c r="O619" s="265"/>
      <c r="P619" s="260"/>
      <c r="Q619" s="260"/>
      <c r="R619" s="260"/>
      <c r="S619" s="630"/>
      <c r="T619" s="630"/>
      <c r="U619" s="630"/>
      <c r="V619" s="630"/>
      <c r="W619" s="260"/>
      <c r="X619" s="260"/>
      <c r="Y619" s="260"/>
      <c r="Z619" s="260"/>
      <c r="AA619" s="260"/>
      <c r="AB619" s="260"/>
      <c r="AC619" s="265"/>
      <c r="AD619" s="634"/>
      <c r="AE619" s="264">
        <f t="shared" ref="AE619:AM619" si="1468">IF(AE603=0,0,AE611/AE603)</f>
        <v>0</v>
      </c>
      <c r="AF619" s="264">
        <f t="shared" si="1468"/>
        <v>0</v>
      </c>
      <c r="AG619" s="264">
        <f t="shared" si="1468"/>
        <v>0</v>
      </c>
      <c r="AH619" s="264">
        <f t="shared" si="1468"/>
        <v>0</v>
      </c>
      <c r="AI619" s="264">
        <f t="shared" si="1468"/>
        <v>0</v>
      </c>
      <c r="AJ619" s="264">
        <f t="shared" si="1468"/>
        <v>0</v>
      </c>
      <c r="AK619" s="264">
        <f t="shared" si="1468"/>
        <v>0</v>
      </c>
      <c r="AL619" s="264">
        <f t="shared" si="1468"/>
        <v>0</v>
      </c>
      <c r="AM619" s="264">
        <f t="shared" si="1468"/>
        <v>0</v>
      </c>
      <c r="AN619" s="260"/>
      <c r="AO619" s="264">
        <f t="shared" si="1455"/>
        <v>0</v>
      </c>
      <c r="AP619" s="260"/>
      <c r="AQ619" s="264"/>
      <c r="AR619" s="264" t="str">
        <f>VLOOKUP($I619,TableInputsData[],ReadMe!$M$3,FALSE)&amp;"  |  "&amp;VLOOKUP($K619,TableInputsData[],ReadMe!$M$3,FALSE)</f>
        <v>PRODUIT 15  |  PRIX MOYEN DE VENTE PAR PRODUIT/SERVICE</v>
      </c>
      <c r="AS619" s="264"/>
      <c r="AT619" s="294"/>
    </row>
    <row r="620" spans="1:46" ht="13" hidden="1" x14ac:dyDescent="0.2">
      <c r="A620" s="294"/>
      <c r="B620" s="924"/>
      <c r="C620" s="271">
        <v>613</v>
      </c>
      <c r="D620" s="250">
        <f t="shared" si="1416"/>
        <v>0</v>
      </c>
      <c r="E620" s="250"/>
      <c r="F620" s="248" t="str">
        <f t="shared" si="1451"/>
        <v>YEAR6</v>
      </c>
      <c r="G620" s="250">
        <f>VLOOKUP(F620,TableInputsData[],$G$6,FALSE)</f>
        <v>2030</v>
      </c>
      <c r="H620" s="250" t="str">
        <f t="shared" ref="H620:I620" si="1469">H619</f>
        <v>PRODUCT</v>
      </c>
      <c r="I620" s="248" t="str">
        <f t="shared" si="1469"/>
        <v>PRODUCT 15</v>
      </c>
      <c r="J620" s="248" t="str">
        <f>VLOOKUP(I620,TableInputsData[],$J$6,FALSE)</f>
        <v>-</v>
      </c>
      <c r="K620" s="248" t="str">
        <f t="shared" si="1459"/>
        <v>AVERAGE SELLING PRICE PER UNIT</v>
      </c>
      <c r="L620" s="255"/>
      <c r="M620" s="255"/>
      <c r="N620" s="255"/>
      <c r="O620" s="265"/>
      <c r="P620" s="260"/>
      <c r="Q620" s="260"/>
      <c r="R620" s="260"/>
      <c r="S620" s="630"/>
      <c r="T620" s="630"/>
      <c r="U620" s="630"/>
      <c r="V620" s="630"/>
      <c r="W620" s="260"/>
      <c r="X620" s="260"/>
      <c r="Y620" s="260"/>
      <c r="Z620" s="260"/>
      <c r="AA620" s="260"/>
      <c r="AB620" s="260"/>
      <c r="AC620" s="265"/>
      <c r="AD620" s="634"/>
      <c r="AE620" s="264">
        <f t="shared" ref="AE620:AM620" si="1470">IF(AE604=0,0,AE612/AE604)</f>
        <v>0</v>
      </c>
      <c r="AF620" s="264">
        <f t="shared" si="1470"/>
        <v>0</v>
      </c>
      <c r="AG620" s="264">
        <f t="shared" si="1470"/>
        <v>0</v>
      </c>
      <c r="AH620" s="264">
        <f t="shared" si="1470"/>
        <v>0</v>
      </c>
      <c r="AI620" s="264">
        <f t="shared" si="1470"/>
        <v>0</v>
      </c>
      <c r="AJ620" s="264">
        <f t="shared" si="1470"/>
        <v>0</v>
      </c>
      <c r="AK620" s="264">
        <f t="shared" si="1470"/>
        <v>0</v>
      </c>
      <c r="AL620" s="264">
        <f t="shared" si="1470"/>
        <v>0</v>
      </c>
      <c r="AM620" s="264">
        <f t="shared" si="1470"/>
        <v>0</v>
      </c>
      <c r="AN620" s="260"/>
      <c r="AO620" s="264">
        <f t="shared" si="1455"/>
        <v>0</v>
      </c>
      <c r="AP620" s="260"/>
      <c r="AQ620" s="264"/>
      <c r="AR620" s="264" t="str">
        <f>VLOOKUP($I620,TableInputsData[],ReadMe!$M$3,FALSE)&amp;"  |  "&amp;VLOOKUP($K620,TableInputsData[],ReadMe!$M$3,FALSE)</f>
        <v>PRODUIT 15  |  PRIX MOYEN DE VENTE PAR PRODUIT/SERVICE</v>
      </c>
      <c r="AS620" s="264"/>
      <c r="AT620" s="294"/>
    </row>
    <row r="621" spans="1:46" ht="13" hidden="1" x14ac:dyDescent="0.2">
      <c r="A621" s="294"/>
      <c r="B621" s="924"/>
      <c r="C621" s="272">
        <v>614</v>
      </c>
      <c r="D621" s="250">
        <f t="shared" si="1416"/>
        <v>0</v>
      </c>
      <c r="E621" s="251"/>
      <c r="F621" s="248" t="str">
        <f t="shared" ref="F621:F628" si="1471">F629</f>
        <v>YEAR-2</v>
      </c>
      <c r="G621" s="250">
        <f>VLOOKUP(F621,TableInputsData[],$G$6,FALSE)</f>
        <v>2023</v>
      </c>
      <c r="H621" s="250" t="str">
        <f t="shared" ref="H621:I621" si="1472">H620</f>
        <v>PRODUCT</v>
      </c>
      <c r="I621" s="248" t="str">
        <f t="shared" si="1472"/>
        <v>PRODUCT 15</v>
      </c>
      <c r="J621" s="248" t="str">
        <f>VLOOKUP(I621,TableInputsData[],$J$6,FALSE)</f>
        <v>-</v>
      </c>
      <c r="K621" s="248" t="s">
        <v>531</v>
      </c>
      <c r="L621" s="256"/>
      <c r="M621" s="256"/>
      <c r="N621" s="256"/>
      <c r="O621" s="266"/>
      <c r="P621" s="261"/>
      <c r="Q621" s="261"/>
      <c r="R621" s="261"/>
      <c r="S621" s="629"/>
      <c r="T621" s="629"/>
      <c r="U621" s="629"/>
      <c r="V621" s="629"/>
      <c r="W621" s="261"/>
      <c r="X621" s="261"/>
      <c r="Y621" s="261"/>
      <c r="Z621" s="261"/>
      <c r="AA621" s="261"/>
      <c r="AB621" s="261"/>
      <c r="AC621" s="266"/>
      <c r="AD621" s="633"/>
      <c r="AE621" s="264">
        <f>AE597*($S597*$P597+$T597*$Q597+$U597*$R597)</f>
        <v>0</v>
      </c>
      <c r="AF621" s="264">
        <f t="shared" ref="AF621:AH621" si="1473">AF597*($S597*$P597+$T597*$Q597+$U597*$R597)</f>
        <v>0</v>
      </c>
      <c r="AG621" s="264">
        <f t="shared" si="1473"/>
        <v>0</v>
      </c>
      <c r="AH621" s="264">
        <f t="shared" si="1473"/>
        <v>0</v>
      </c>
      <c r="AI621" s="264">
        <f t="shared" ref="AI621:AI628" si="1474">$AE621+$AF621+$AG621+$AH621</f>
        <v>0</v>
      </c>
      <c r="AJ621" s="264">
        <f t="shared" ref="AJ621:AJ628" si="1475">$AJ597*$S597</f>
        <v>0</v>
      </c>
      <c r="AK621" s="264">
        <f t="shared" ref="AK621:AK628" si="1476">$AK597*$T597</f>
        <v>0</v>
      </c>
      <c r="AL621" s="264">
        <f t="shared" ref="AL621:AL628" si="1477">$AL597*$U597</f>
        <v>0</v>
      </c>
      <c r="AM621" s="264">
        <f t="shared" ref="AM621:AM628" si="1478">$AJ621*$W597+$AK621*$X597+$AL621*$Y597</f>
        <v>0</v>
      </c>
      <c r="AN621" s="640">
        <f t="shared" ref="AN621:AN628" si="1479">IF(AI621=0,0,AM621/AI621)</f>
        <v>0</v>
      </c>
      <c r="AO621" s="264">
        <f t="shared" ref="AO621:AO628" si="1480">$AJ621*$Z597+$AK621*$AA597+$AL621*$AB597</f>
        <v>0</v>
      </c>
      <c r="AP621" s="640">
        <f t="shared" ref="AP621:AP628" si="1481">IF(AI621=0,0,AO621/AI621)</f>
        <v>0</v>
      </c>
      <c r="AQ621" s="264"/>
      <c r="AR621" s="264" t="str">
        <f>VLOOKUP($I621,TableInputsData[],ReadMe!$M$3,FALSE)&amp;"  |  "&amp;VLOOKUP($K621,TableInputsData[],ReadMe!$M$3,FALSE)</f>
        <v>PRODUIT 15  |  DEPENSES SUR ACHATS</v>
      </c>
      <c r="AS621" s="264" t="b">
        <f t="shared" ref="AS621:AS628" si="1482">AND(EXACT(ROUND(AI621,2),ROUND(AJ621+AK621+AL621,2)),EXACT(ROUND(AI621,2),ROUND(AM621+AO621,2)))</f>
        <v>1</v>
      </c>
      <c r="AT621" s="294"/>
    </row>
    <row r="622" spans="1:46" ht="13" hidden="1" x14ac:dyDescent="0.2">
      <c r="A622" s="294"/>
      <c r="B622" s="924"/>
      <c r="C622" s="271">
        <v>615</v>
      </c>
      <c r="D622" s="250">
        <f t="shared" si="1416"/>
        <v>0</v>
      </c>
      <c r="E622" s="250"/>
      <c r="F622" s="248" t="str">
        <f t="shared" si="1471"/>
        <v>YEAR-1</v>
      </c>
      <c r="G622" s="250">
        <f>VLOOKUP(F622,TableInputsData[],$G$6,FALSE)</f>
        <v>2024</v>
      </c>
      <c r="H622" s="250" t="str">
        <f t="shared" ref="H622:I622" si="1483">H621</f>
        <v>PRODUCT</v>
      </c>
      <c r="I622" s="248" t="str">
        <f t="shared" si="1483"/>
        <v>PRODUCT 15</v>
      </c>
      <c r="J622" s="248" t="str">
        <f>VLOOKUP(I622,TableInputsData[],$J$6,FALSE)</f>
        <v>-</v>
      </c>
      <c r="K622" s="248" t="str">
        <f>K621</f>
        <v>COST OF GOODS SOLD</v>
      </c>
      <c r="L622" s="255"/>
      <c r="M622" s="255"/>
      <c r="N622" s="255"/>
      <c r="O622" s="265"/>
      <c r="P622" s="260"/>
      <c r="Q622" s="260"/>
      <c r="R622" s="260"/>
      <c r="S622" s="630"/>
      <c r="T622" s="630"/>
      <c r="U622" s="630"/>
      <c r="V622" s="630"/>
      <c r="W622" s="260"/>
      <c r="X622" s="260"/>
      <c r="Y622" s="260"/>
      <c r="Z622" s="260"/>
      <c r="AA622" s="260"/>
      <c r="AB622" s="260"/>
      <c r="AC622" s="265"/>
      <c r="AD622" s="634"/>
      <c r="AE622" s="264">
        <f t="shared" ref="AE622:AH622" si="1484">AE598*($S598*$P598+$T598*$Q598+$U598*$R598)</f>
        <v>0</v>
      </c>
      <c r="AF622" s="264">
        <f t="shared" si="1484"/>
        <v>0</v>
      </c>
      <c r="AG622" s="264">
        <f t="shared" si="1484"/>
        <v>0</v>
      </c>
      <c r="AH622" s="264">
        <f t="shared" si="1484"/>
        <v>0</v>
      </c>
      <c r="AI622" s="264">
        <f t="shared" si="1474"/>
        <v>0</v>
      </c>
      <c r="AJ622" s="264">
        <f t="shared" si="1475"/>
        <v>0</v>
      </c>
      <c r="AK622" s="264">
        <f t="shared" si="1476"/>
        <v>0</v>
      </c>
      <c r="AL622" s="264">
        <f t="shared" si="1477"/>
        <v>0</v>
      </c>
      <c r="AM622" s="264">
        <f t="shared" si="1478"/>
        <v>0</v>
      </c>
      <c r="AN622" s="640">
        <f t="shared" si="1479"/>
        <v>0</v>
      </c>
      <c r="AO622" s="264">
        <f t="shared" si="1480"/>
        <v>0</v>
      </c>
      <c r="AP622" s="640">
        <f t="shared" si="1481"/>
        <v>0</v>
      </c>
      <c r="AQ622" s="264"/>
      <c r="AR622" s="264" t="str">
        <f>VLOOKUP($I622,TableInputsData[],ReadMe!$M$3,FALSE)&amp;"  |  "&amp;VLOOKUP($K622,TableInputsData[],ReadMe!$M$3,FALSE)</f>
        <v>PRODUIT 15  |  DEPENSES SUR ACHATS</v>
      </c>
      <c r="AS622" s="264" t="b">
        <f t="shared" si="1482"/>
        <v>1</v>
      </c>
      <c r="AT622" s="294"/>
    </row>
    <row r="623" spans="1:46" ht="13" hidden="1" x14ac:dyDescent="0.2">
      <c r="A623" s="294"/>
      <c r="B623" s="924"/>
      <c r="C623" s="271">
        <v>616</v>
      </c>
      <c r="D623" s="250">
        <f t="shared" si="1416"/>
        <v>0</v>
      </c>
      <c r="E623" s="250"/>
      <c r="F623" s="248" t="str">
        <f t="shared" si="1471"/>
        <v>CURRENT YEAR</v>
      </c>
      <c r="G623" s="250">
        <f>VLOOKUP(F623,TableInputsData[],$G$6,FALSE)</f>
        <v>2025</v>
      </c>
      <c r="H623" s="250" t="str">
        <f t="shared" ref="H623:I623" si="1485">H622</f>
        <v>PRODUCT</v>
      </c>
      <c r="I623" s="248" t="str">
        <f t="shared" si="1485"/>
        <v>PRODUCT 15</v>
      </c>
      <c r="J623" s="248" t="str">
        <f>VLOOKUP(I623,TableInputsData[],$J$6,FALSE)</f>
        <v>-</v>
      </c>
      <c r="K623" s="248" t="str">
        <f t="shared" ref="K623:K628" si="1486">K622</f>
        <v>COST OF GOODS SOLD</v>
      </c>
      <c r="L623" s="255"/>
      <c r="M623" s="255"/>
      <c r="N623" s="255"/>
      <c r="O623" s="265"/>
      <c r="P623" s="260"/>
      <c r="Q623" s="260"/>
      <c r="R623" s="260"/>
      <c r="S623" s="630"/>
      <c r="T623" s="630"/>
      <c r="U623" s="630"/>
      <c r="V623" s="630"/>
      <c r="W623" s="260"/>
      <c r="X623" s="260"/>
      <c r="Y623" s="260"/>
      <c r="Z623" s="260"/>
      <c r="AA623" s="260"/>
      <c r="AB623" s="260"/>
      <c r="AC623" s="265"/>
      <c r="AD623" s="634"/>
      <c r="AE623" s="264">
        <f t="shared" ref="AE623:AH623" si="1487">AE599*($S599*$P599+$T599*$Q599+$U599*$R599)</f>
        <v>0</v>
      </c>
      <c r="AF623" s="264">
        <f t="shared" si="1487"/>
        <v>0</v>
      </c>
      <c r="AG623" s="264">
        <f t="shared" si="1487"/>
        <v>0</v>
      </c>
      <c r="AH623" s="264">
        <f t="shared" si="1487"/>
        <v>0</v>
      </c>
      <c r="AI623" s="264">
        <f t="shared" si="1474"/>
        <v>0</v>
      </c>
      <c r="AJ623" s="264">
        <f t="shared" si="1475"/>
        <v>0</v>
      </c>
      <c r="AK623" s="264">
        <f t="shared" si="1476"/>
        <v>0</v>
      </c>
      <c r="AL623" s="264">
        <f t="shared" si="1477"/>
        <v>0</v>
      </c>
      <c r="AM623" s="264">
        <f t="shared" si="1478"/>
        <v>0</v>
      </c>
      <c r="AN623" s="640">
        <f t="shared" si="1479"/>
        <v>0</v>
      </c>
      <c r="AO623" s="264">
        <f t="shared" si="1480"/>
        <v>0</v>
      </c>
      <c r="AP623" s="640">
        <f t="shared" si="1481"/>
        <v>0</v>
      </c>
      <c r="AQ623" s="264"/>
      <c r="AR623" s="264" t="str">
        <f>VLOOKUP($I623,TableInputsData[],ReadMe!$M$3,FALSE)&amp;"  |  "&amp;VLOOKUP($K623,TableInputsData[],ReadMe!$M$3,FALSE)</f>
        <v>PRODUIT 15  |  DEPENSES SUR ACHATS</v>
      </c>
      <c r="AS623" s="264" t="b">
        <f t="shared" si="1482"/>
        <v>1</v>
      </c>
      <c r="AT623" s="294"/>
    </row>
    <row r="624" spans="1:46" ht="13" hidden="1" x14ac:dyDescent="0.2">
      <c r="A624" s="294"/>
      <c r="B624" s="924"/>
      <c r="C624" s="271">
        <v>617</v>
      </c>
      <c r="D624" s="250">
        <f t="shared" si="1416"/>
        <v>0</v>
      </c>
      <c r="E624" s="250"/>
      <c r="F624" s="248" t="str">
        <f t="shared" si="1471"/>
        <v>YEAR2</v>
      </c>
      <c r="G624" s="250">
        <f>VLOOKUP(F624,TableInputsData[],$G$6,FALSE)</f>
        <v>2026</v>
      </c>
      <c r="H624" s="250" t="str">
        <f t="shared" ref="H624:I624" si="1488">H623</f>
        <v>PRODUCT</v>
      </c>
      <c r="I624" s="248" t="str">
        <f t="shared" si="1488"/>
        <v>PRODUCT 15</v>
      </c>
      <c r="J624" s="248" t="str">
        <f>VLOOKUP(I624,TableInputsData[],$J$6,FALSE)</f>
        <v>-</v>
      </c>
      <c r="K624" s="248" t="str">
        <f t="shared" si="1486"/>
        <v>COST OF GOODS SOLD</v>
      </c>
      <c r="L624" s="255"/>
      <c r="M624" s="255"/>
      <c r="N624" s="255"/>
      <c r="O624" s="265"/>
      <c r="P624" s="260"/>
      <c r="Q624" s="260"/>
      <c r="R624" s="260"/>
      <c r="S624" s="630"/>
      <c r="T624" s="630"/>
      <c r="U624" s="630"/>
      <c r="V624" s="630"/>
      <c r="W624" s="260"/>
      <c r="X624" s="260"/>
      <c r="Y624" s="260"/>
      <c r="Z624" s="260"/>
      <c r="AA624" s="260"/>
      <c r="AB624" s="260"/>
      <c r="AC624" s="265"/>
      <c r="AD624" s="634"/>
      <c r="AE624" s="264">
        <f t="shared" ref="AE624:AH624" si="1489">AE600*($S600*$P600+$T600*$Q600+$U600*$R600)</f>
        <v>0</v>
      </c>
      <c r="AF624" s="264">
        <f t="shared" si="1489"/>
        <v>0</v>
      </c>
      <c r="AG624" s="264">
        <f t="shared" si="1489"/>
        <v>0</v>
      </c>
      <c r="AH624" s="264">
        <f t="shared" si="1489"/>
        <v>0</v>
      </c>
      <c r="AI624" s="264">
        <f t="shared" si="1474"/>
        <v>0</v>
      </c>
      <c r="AJ624" s="264">
        <f t="shared" si="1475"/>
        <v>0</v>
      </c>
      <c r="AK624" s="264">
        <f t="shared" si="1476"/>
        <v>0</v>
      </c>
      <c r="AL624" s="264">
        <f t="shared" si="1477"/>
        <v>0</v>
      </c>
      <c r="AM624" s="264">
        <f t="shared" si="1478"/>
        <v>0</v>
      </c>
      <c r="AN624" s="640">
        <f t="shared" si="1479"/>
        <v>0</v>
      </c>
      <c r="AO624" s="264">
        <f t="shared" si="1480"/>
        <v>0</v>
      </c>
      <c r="AP624" s="640">
        <f t="shared" si="1481"/>
        <v>0</v>
      </c>
      <c r="AQ624" s="264"/>
      <c r="AR624" s="264" t="str">
        <f>VLOOKUP($I624,TableInputsData[],ReadMe!$M$3,FALSE)&amp;"  |  "&amp;VLOOKUP($K624,TableInputsData[],ReadMe!$M$3,FALSE)</f>
        <v>PRODUIT 15  |  DEPENSES SUR ACHATS</v>
      </c>
      <c r="AS624" s="264" t="b">
        <f t="shared" si="1482"/>
        <v>1</v>
      </c>
      <c r="AT624" s="294"/>
    </row>
    <row r="625" spans="1:46" ht="13" hidden="1" x14ac:dyDescent="0.2">
      <c r="A625" s="294"/>
      <c r="B625" s="924"/>
      <c r="C625" s="271">
        <v>618</v>
      </c>
      <c r="D625" s="250">
        <f t="shared" si="1416"/>
        <v>0</v>
      </c>
      <c r="E625" s="250"/>
      <c r="F625" s="248" t="str">
        <f t="shared" si="1471"/>
        <v>YEAR3</v>
      </c>
      <c r="G625" s="250">
        <f>VLOOKUP(F625,TableInputsData[],$G$6,FALSE)</f>
        <v>2027</v>
      </c>
      <c r="H625" s="250" t="str">
        <f t="shared" ref="H625:I625" si="1490">H624</f>
        <v>PRODUCT</v>
      </c>
      <c r="I625" s="248" t="str">
        <f t="shared" si="1490"/>
        <v>PRODUCT 15</v>
      </c>
      <c r="J625" s="248" t="str">
        <f>VLOOKUP(I625,TableInputsData[],$J$6,FALSE)</f>
        <v>-</v>
      </c>
      <c r="K625" s="248" t="str">
        <f t="shared" si="1486"/>
        <v>COST OF GOODS SOLD</v>
      </c>
      <c r="L625" s="255"/>
      <c r="M625" s="255"/>
      <c r="N625" s="255"/>
      <c r="O625" s="265"/>
      <c r="P625" s="260"/>
      <c r="Q625" s="260"/>
      <c r="R625" s="260"/>
      <c r="S625" s="630"/>
      <c r="T625" s="630"/>
      <c r="U625" s="630"/>
      <c r="V625" s="630"/>
      <c r="W625" s="260"/>
      <c r="X625" s="260"/>
      <c r="Y625" s="260"/>
      <c r="Z625" s="260"/>
      <c r="AA625" s="260"/>
      <c r="AB625" s="260"/>
      <c r="AC625" s="265"/>
      <c r="AD625" s="634"/>
      <c r="AE625" s="264">
        <f t="shared" ref="AE625:AH625" si="1491">AE601*($S601*$P601+$T601*$Q601+$U601*$R601)</f>
        <v>0</v>
      </c>
      <c r="AF625" s="264">
        <f t="shared" si="1491"/>
        <v>0</v>
      </c>
      <c r="AG625" s="264">
        <f t="shared" si="1491"/>
        <v>0</v>
      </c>
      <c r="AH625" s="264">
        <f t="shared" si="1491"/>
        <v>0</v>
      </c>
      <c r="AI625" s="264">
        <f t="shared" si="1474"/>
        <v>0</v>
      </c>
      <c r="AJ625" s="264">
        <f t="shared" si="1475"/>
        <v>0</v>
      </c>
      <c r="AK625" s="264">
        <f t="shared" si="1476"/>
        <v>0</v>
      </c>
      <c r="AL625" s="264">
        <f t="shared" si="1477"/>
        <v>0</v>
      </c>
      <c r="AM625" s="264">
        <f t="shared" si="1478"/>
        <v>0</v>
      </c>
      <c r="AN625" s="640">
        <f t="shared" si="1479"/>
        <v>0</v>
      </c>
      <c r="AO625" s="264">
        <f t="shared" si="1480"/>
        <v>0</v>
      </c>
      <c r="AP625" s="640">
        <f t="shared" si="1481"/>
        <v>0</v>
      </c>
      <c r="AQ625" s="264"/>
      <c r="AR625" s="264" t="str">
        <f>VLOOKUP($I625,TableInputsData[],ReadMe!$M$3,FALSE)&amp;"  |  "&amp;VLOOKUP($K625,TableInputsData[],ReadMe!$M$3,FALSE)</f>
        <v>PRODUIT 15  |  DEPENSES SUR ACHATS</v>
      </c>
      <c r="AS625" s="264" t="b">
        <f t="shared" si="1482"/>
        <v>1</v>
      </c>
      <c r="AT625" s="294"/>
    </row>
    <row r="626" spans="1:46" ht="13" hidden="1" x14ac:dyDescent="0.2">
      <c r="A626" s="294"/>
      <c r="B626" s="924"/>
      <c r="C626" s="271">
        <v>619</v>
      </c>
      <c r="D626" s="250">
        <f t="shared" si="1416"/>
        <v>0</v>
      </c>
      <c r="E626" s="250"/>
      <c r="F626" s="248" t="str">
        <f t="shared" si="1471"/>
        <v>YEAR4</v>
      </c>
      <c r="G626" s="250">
        <f>VLOOKUP(F626,TableInputsData[],$G$6,FALSE)</f>
        <v>2028</v>
      </c>
      <c r="H626" s="250" t="str">
        <f t="shared" ref="H626:I626" si="1492">H625</f>
        <v>PRODUCT</v>
      </c>
      <c r="I626" s="248" t="str">
        <f t="shared" si="1492"/>
        <v>PRODUCT 15</v>
      </c>
      <c r="J626" s="248" t="str">
        <f>VLOOKUP(I626,TableInputsData[],$J$6,FALSE)</f>
        <v>-</v>
      </c>
      <c r="K626" s="248" t="str">
        <f t="shared" si="1486"/>
        <v>COST OF GOODS SOLD</v>
      </c>
      <c r="L626" s="255"/>
      <c r="M626" s="255"/>
      <c r="N626" s="255"/>
      <c r="O626" s="265"/>
      <c r="P626" s="260"/>
      <c r="Q626" s="260"/>
      <c r="R626" s="260"/>
      <c r="S626" s="630"/>
      <c r="T626" s="630"/>
      <c r="U626" s="630"/>
      <c r="V626" s="630"/>
      <c r="W626" s="260"/>
      <c r="X626" s="260"/>
      <c r="Y626" s="260"/>
      <c r="Z626" s="260"/>
      <c r="AA626" s="260"/>
      <c r="AB626" s="260"/>
      <c r="AC626" s="265"/>
      <c r="AD626" s="634"/>
      <c r="AE626" s="264">
        <f t="shared" ref="AE626:AH626" si="1493">AE602*($S602*$P602+$T602*$Q602+$U602*$R602)</f>
        <v>0</v>
      </c>
      <c r="AF626" s="264">
        <f t="shared" si="1493"/>
        <v>0</v>
      </c>
      <c r="AG626" s="264">
        <f t="shared" si="1493"/>
        <v>0</v>
      </c>
      <c r="AH626" s="264">
        <f t="shared" si="1493"/>
        <v>0</v>
      </c>
      <c r="AI626" s="264">
        <f t="shared" si="1474"/>
        <v>0</v>
      </c>
      <c r="AJ626" s="264">
        <f t="shared" si="1475"/>
        <v>0</v>
      </c>
      <c r="AK626" s="264">
        <f t="shared" si="1476"/>
        <v>0</v>
      </c>
      <c r="AL626" s="264">
        <f t="shared" si="1477"/>
        <v>0</v>
      </c>
      <c r="AM626" s="264">
        <f t="shared" si="1478"/>
        <v>0</v>
      </c>
      <c r="AN626" s="640">
        <f t="shared" si="1479"/>
        <v>0</v>
      </c>
      <c r="AO626" s="264">
        <f t="shared" si="1480"/>
        <v>0</v>
      </c>
      <c r="AP626" s="640">
        <f t="shared" si="1481"/>
        <v>0</v>
      </c>
      <c r="AQ626" s="264"/>
      <c r="AR626" s="264" t="str">
        <f>VLOOKUP($I626,TableInputsData[],ReadMe!$M$3,FALSE)&amp;"  |  "&amp;VLOOKUP($K626,TableInputsData[],ReadMe!$M$3,FALSE)</f>
        <v>PRODUIT 15  |  DEPENSES SUR ACHATS</v>
      </c>
      <c r="AS626" s="264" t="b">
        <f t="shared" si="1482"/>
        <v>1</v>
      </c>
      <c r="AT626" s="294"/>
    </row>
    <row r="627" spans="1:46" ht="13" hidden="1" x14ac:dyDescent="0.2">
      <c r="A627" s="294"/>
      <c r="B627" s="924"/>
      <c r="C627" s="271">
        <v>620</v>
      </c>
      <c r="D627" s="250">
        <f t="shared" si="1416"/>
        <v>0</v>
      </c>
      <c r="E627" s="250"/>
      <c r="F627" s="248" t="str">
        <f t="shared" si="1471"/>
        <v>YEAR5</v>
      </c>
      <c r="G627" s="250">
        <f>VLOOKUP(F627,TableInputsData[],$G$6,FALSE)</f>
        <v>2029</v>
      </c>
      <c r="H627" s="250" t="str">
        <f t="shared" ref="H627:I627" si="1494">H626</f>
        <v>PRODUCT</v>
      </c>
      <c r="I627" s="248" t="str">
        <f t="shared" si="1494"/>
        <v>PRODUCT 15</v>
      </c>
      <c r="J627" s="248" t="str">
        <f>VLOOKUP(I627,TableInputsData[],$J$6,FALSE)</f>
        <v>-</v>
      </c>
      <c r="K627" s="248" t="str">
        <f t="shared" si="1486"/>
        <v>COST OF GOODS SOLD</v>
      </c>
      <c r="L627" s="255"/>
      <c r="M627" s="255"/>
      <c r="N627" s="255"/>
      <c r="O627" s="265"/>
      <c r="P627" s="260"/>
      <c r="Q627" s="260"/>
      <c r="R627" s="260"/>
      <c r="S627" s="630"/>
      <c r="T627" s="630"/>
      <c r="U627" s="630"/>
      <c r="V627" s="630"/>
      <c r="W627" s="260"/>
      <c r="X627" s="260"/>
      <c r="Y627" s="260"/>
      <c r="Z627" s="260"/>
      <c r="AA627" s="260"/>
      <c r="AB627" s="260"/>
      <c r="AC627" s="265"/>
      <c r="AD627" s="634"/>
      <c r="AE627" s="264">
        <f t="shared" ref="AE627:AH627" si="1495">AE603*($S603*$P603+$T603*$Q603+$U603*$R603)</f>
        <v>0</v>
      </c>
      <c r="AF627" s="264">
        <f t="shared" si="1495"/>
        <v>0</v>
      </c>
      <c r="AG627" s="264">
        <f t="shared" si="1495"/>
        <v>0</v>
      </c>
      <c r="AH627" s="264">
        <f t="shared" si="1495"/>
        <v>0</v>
      </c>
      <c r="AI627" s="264">
        <f t="shared" si="1474"/>
        <v>0</v>
      </c>
      <c r="AJ627" s="264">
        <f t="shared" si="1475"/>
        <v>0</v>
      </c>
      <c r="AK627" s="264">
        <f t="shared" si="1476"/>
        <v>0</v>
      </c>
      <c r="AL627" s="264">
        <f t="shared" si="1477"/>
        <v>0</v>
      </c>
      <c r="AM627" s="264">
        <f t="shared" si="1478"/>
        <v>0</v>
      </c>
      <c r="AN627" s="640">
        <f t="shared" si="1479"/>
        <v>0</v>
      </c>
      <c r="AO627" s="264">
        <f t="shared" si="1480"/>
        <v>0</v>
      </c>
      <c r="AP627" s="640">
        <f t="shared" si="1481"/>
        <v>0</v>
      </c>
      <c r="AQ627" s="264"/>
      <c r="AR627" s="264" t="str">
        <f>VLOOKUP($I627,TableInputsData[],ReadMe!$M$3,FALSE)&amp;"  |  "&amp;VLOOKUP($K627,TableInputsData[],ReadMe!$M$3,FALSE)</f>
        <v>PRODUIT 15  |  DEPENSES SUR ACHATS</v>
      </c>
      <c r="AS627" s="264" t="b">
        <f t="shared" si="1482"/>
        <v>1</v>
      </c>
      <c r="AT627" s="294"/>
    </row>
    <row r="628" spans="1:46" ht="13" hidden="1" x14ac:dyDescent="0.2">
      <c r="A628" s="294"/>
      <c r="B628" s="924"/>
      <c r="C628" s="271">
        <v>621</v>
      </c>
      <c r="D628" s="250">
        <f t="shared" si="1416"/>
        <v>0</v>
      </c>
      <c r="E628" s="250"/>
      <c r="F628" s="248" t="str">
        <f t="shared" si="1471"/>
        <v>YEAR6</v>
      </c>
      <c r="G628" s="250">
        <f>VLOOKUP(F628,TableInputsData[],$G$6,FALSE)</f>
        <v>2030</v>
      </c>
      <c r="H628" s="250" t="str">
        <f t="shared" ref="H628:I628" si="1496">H627</f>
        <v>PRODUCT</v>
      </c>
      <c r="I628" s="248" t="str">
        <f t="shared" si="1496"/>
        <v>PRODUCT 15</v>
      </c>
      <c r="J628" s="248" t="str">
        <f>VLOOKUP(I628,TableInputsData[],$J$6,FALSE)</f>
        <v>-</v>
      </c>
      <c r="K628" s="248" t="str">
        <f t="shared" si="1486"/>
        <v>COST OF GOODS SOLD</v>
      </c>
      <c r="L628" s="255"/>
      <c r="M628" s="255"/>
      <c r="N628" s="255"/>
      <c r="O628" s="265"/>
      <c r="P628" s="260"/>
      <c r="Q628" s="260"/>
      <c r="R628" s="260"/>
      <c r="S628" s="630"/>
      <c r="T628" s="630"/>
      <c r="U628" s="630"/>
      <c r="V628" s="630"/>
      <c r="W628" s="260"/>
      <c r="X628" s="260"/>
      <c r="Y628" s="260"/>
      <c r="Z628" s="260"/>
      <c r="AA628" s="260"/>
      <c r="AB628" s="260"/>
      <c r="AC628" s="265"/>
      <c r="AD628" s="634"/>
      <c r="AE628" s="264">
        <f t="shared" ref="AE628:AH628" si="1497">AE604*($S604*$P604+$T604*$Q604+$U604*$R604)</f>
        <v>0</v>
      </c>
      <c r="AF628" s="264">
        <f t="shared" si="1497"/>
        <v>0</v>
      </c>
      <c r="AG628" s="264">
        <f t="shared" si="1497"/>
        <v>0</v>
      </c>
      <c r="AH628" s="264">
        <f t="shared" si="1497"/>
        <v>0</v>
      </c>
      <c r="AI628" s="264">
        <f t="shared" si="1474"/>
        <v>0</v>
      </c>
      <c r="AJ628" s="264">
        <f t="shared" si="1475"/>
        <v>0</v>
      </c>
      <c r="AK628" s="264">
        <f t="shared" si="1476"/>
        <v>0</v>
      </c>
      <c r="AL628" s="264">
        <f t="shared" si="1477"/>
        <v>0</v>
      </c>
      <c r="AM628" s="264">
        <f t="shared" si="1478"/>
        <v>0</v>
      </c>
      <c r="AN628" s="640">
        <f t="shared" si="1479"/>
        <v>0</v>
      </c>
      <c r="AO628" s="264">
        <f t="shared" si="1480"/>
        <v>0</v>
      </c>
      <c r="AP628" s="640">
        <f t="shared" si="1481"/>
        <v>0</v>
      </c>
      <c r="AQ628" s="264"/>
      <c r="AR628" s="264" t="str">
        <f>VLOOKUP($I628,TableInputsData[],ReadMe!$M$3,FALSE)&amp;"  |  "&amp;VLOOKUP($K628,TableInputsData[],ReadMe!$M$3,FALSE)</f>
        <v>PRODUIT 15  |  DEPENSES SUR ACHATS</v>
      </c>
      <c r="AS628" s="264" t="b">
        <f t="shared" si="1482"/>
        <v>1</v>
      </c>
      <c r="AT628" s="294"/>
    </row>
    <row r="629" spans="1:46" ht="13" hidden="1" x14ac:dyDescent="0.2">
      <c r="A629" s="294"/>
      <c r="B629" s="924"/>
      <c r="C629" s="272">
        <v>622</v>
      </c>
      <c r="D629" s="250">
        <f t="shared" si="1416"/>
        <v>0</v>
      </c>
      <c r="E629" s="251"/>
      <c r="F629" s="248" t="str">
        <f t="shared" ref="F629:F636" si="1498">F605</f>
        <v>YEAR-2</v>
      </c>
      <c r="G629" s="250">
        <f>VLOOKUP(F629,TableInputsData[],$G$6,FALSE)</f>
        <v>2023</v>
      </c>
      <c r="H629" s="250" t="str">
        <f t="shared" ref="H629:I629" si="1499">H628</f>
        <v>PRODUCT</v>
      </c>
      <c r="I629" s="248" t="str">
        <f t="shared" si="1499"/>
        <v>PRODUCT 15</v>
      </c>
      <c r="J629" s="248" t="str">
        <f>VLOOKUP(I629,TableInputsData[],$J$6,FALSE)</f>
        <v>-</v>
      </c>
      <c r="K629" s="248" t="s">
        <v>532</v>
      </c>
      <c r="L629" s="256"/>
      <c r="M629" s="256"/>
      <c r="N629" s="256"/>
      <c r="O629" s="266"/>
      <c r="P629" s="261"/>
      <c r="Q629" s="261"/>
      <c r="R629" s="261"/>
      <c r="S629" s="629"/>
      <c r="T629" s="629"/>
      <c r="U629" s="629"/>
      <c r="V629" s="629"/>
      <c r="W629" s="261"/>
      <c r="X629" s="261"/>
      <c r="Y629" s="261"/>
      <c r="Z629" s="261"/>
      <c r="AA629" s="261"/>
      <c r="AB629" s="261"/>
      <c r="AC629" s="266"/>
      <c r="AD629" s="633"/>
      <c r="AE629" s="264">
        <f>IF(AE597=0,0,AE621/AE597)</f>
        <v>0</v>
      </c>
      <c r="AF629" s="264">
        <f t="shared" ref="AF629:AI629" si="1500">IF(AF597=0,0,AF621/AF597)</f>
        <v>0</v>
      </c>
      <c r="AG629" s="264">
        <f t="shared" si="1500"/>
        <v>0</v>
      </c>
      <c r="AH629" s="264">
        <f t="shared" si="1500"/>
        <v>0</v>
      </c>
      <c r="AI629" s="264">
        <f t="shared" si="1500"/>
        <v>0</v>
      </c>
      <c r="AJ629" s="264">
        <f>IF(AJ597=0,0,AJ621/AJ597)</f>
        <v>0</v>
      </c>
      <c r="AK629" s="264">
        <f t="shared" ref="AK629:AL629" si="1501">IF(AK597=0,0,AK621/AK597)</f>
        <v>0</v>
      </c>
      <c r="AL629" s="264">
        <f t="shared" si="1501"/>
        <v>0</v>
      </c>
      <c r="AM629" s="264">
        <f>IF(AM597=0,0,AM621/AM597)</f>
        <v>0</v>
      </c>
      <c r="AN629" s="260"/>
      <c r="AO629" s="264">
        <f t="shared" ref="AO629" si="1502">IF(AO597=0,0,AO621/AO597)</f>
        <v>0</v>
      </c>
      <c r="AP629" s="260"/>
      <c r="AQ629" s="264"/>
      <c r="AR629" s="264" t="str">
        <f>VLOOKUP($I629,TableInputsData[],ReadMe!$M$3,FALSE)&amp;"  |  "&amp;VLOOKUP($K629,TableInputsData[],ReadMe!$M$3,FALSE)</f>
        <v>PRODUIT 15  |  PRIX MOYEN D'ACHAT PAR PRODUIT/SERVICE</v>
      </c>
      <c r="AS629" s="264"/>
      <c r="AT629" s="294"/>
    </row>
    <row r="630" spans="1:46" ht="13" hidden="1" x14ac:dyDescent="0.2">
      <c r="A630" s="294"/>
      <c r="B630" s="924"/>
      <c r="C630" s="272">
        <v>623</v>
      </c>
      <c r="D630" s="250">
        <f t="shared" si="1416"/>
        <v>0</v>
      </c>
      <c r="E630" s="251"/>
      <c r="F630" s="248" t="str">
        <f t="shared" si="1498"/>
        <v>YEAR-1</v>
      </c>
      <c r="G630" s="250">
        <f>VLOOKUP(F630,TableInputsData[],$G$6,FALSE)</f>
        <v>2024</v>
      </c>
      <c r="H630" s="250" t="str">
        <f t="shared" ref="H630:I630" si="1503">H629</f>
        <v>PRODUCT</v>
      </c>
      <c r="I630" s="248" t="str">
        <f t="shared" si="1503"/>
        <v>PRODUCT 15</v>
      </c>
      <c r="J630" s="248" t="str">
        <f>VLOOKUP(I630,TableInputsData[],$J$6,FALSE)</f>
        <v>-</v>
      </c>
      <c r="K630" s="248" t="str">
        <f>K629</f>
        <v>AVERAGE COST OF GOODS SOLD PER UNIT</v>
      </c>
      <c r="L630" s="256"/>
      <c r="M630" s="256"/>
      <c r="N630" s="256"/>
      <c r="O630" s="266"/>
      <c r="P630" s="261"/>
      <c r="Q630" s="261"/>
      <c r="R630" s="261"/>
      <c r="S630" s="629"/>
      <c r="T630" s="629"/>
      <c r="U630" s="629"/>
      <c r="V630" s="629"/>
      <c r="W630" s="261"/>
      <c r="X630" s="261"/>
      <c r="Y630" s="261"/>
      <c r="Z630" s="261"/>
      <c r="AA630" s="261"/>
      <c r="AB630" s="261"/>
      <c r="AC630" s="266"/>
      <c r="AD630" s="633"/>
      <c r="AE630" s="264">
        <f t="shared" ref="AE630:AL630" si="1504">IF(AE598=0,0,AE622/AE598)</f>
        <v>0</v>
      </c>
      <c r="AF630" s="264">
        <f t="shared" si="1504"/>
        <v>0</v>
      </c>
      <c r="AG630" s="264">
        <f t="shared" si="1504"/>
        <v>0</v>
      </c>
      <c r="AH630" s="264">
        <f t="shared" si="1504"/>
        <v>0</v>
      </c>
      <c r="AI630" s="264">
        <f t="shared" si="1504"/>
        <v>0</v>
      </c>
      <c r="AJ630" s="264">
        <f t="shared" si="1504"/>
        <v>0</v>
      </c>
      <c r="AK630" s="264">
        <f t="shared" si="1504"/>
        <v>0</v>
      </c>
      <c r="AL630" s="264">
        <f t="shared" si="1504"/>
        <v>0</v>
      </c>
      <c r="AM630" s="264">
        <f>IF(AM598=0,0,AM622/AM598)</f>
        <v>0</v>
      </c>
      <c r="AN630" s="260"/>
      <c r="AO630" s="264">
        <f>IF(AO598=0,0,AO622/AO598)</f>
        <v>0</v>
      </c>
      <c r="AP630" s="260"/>
      <c r="AQ630" s="264"/>
      <c r="AR630" s="264" t="str">
        <f>VLOOKUP($I630,TableInputsData[],ReadMe!$M$3,FALSE)&amp;"  |  "&amp;VLOOKUP($K630,TableInputsData[],ReadMe!$M$3,FALSE)</f>
        <v>PRODUIT 15  |  PRIX MOYEN D'ACHAT PAR PRODUIT/SERVICE</v>
      </c>
      <c r="AS630" s="264"/>
      <c r="AT630" s="294"/>
    </row>
    <row r="631" spans="1:46" ht="13" hidden="1" x14ac:dyDescent="0.2">
      <c r="A631" s="294"/>
      <c r="B631" s="924"/>
      <c r="C631" s="272">
        <v>624</v>
      </c>
      <c r="D631" s="250">
        <f t="shared" si="1416"/>
        <v>0</v>
      </c>
      <c r="E631" s="251"/>
      <c r="F631" s="248" t="str">
        <f t="shared" si="1498"/>
        <v>CURRENT YEAR</v>
      </c>
      <c r="G631" s="250">
        <f>VLOOKUP(F631,TableInputsData[],$G$6,FALSE)</f>
        <v>2025</v>
      </c>
      <c r="H631" s="250" t="str">
        <f t="shared" ref="H631:I631" si="1505">H630</f>
        <v>PRODUCT</v>
      </c>
      <c r="I631" s="248" t="str">
        <f t="shared" si="1505"/>
        <v>PRODUCT 15</v>
      </c>
      <c r="J631" s="248" t="str">
        <f>VLOOKUP(I631,TableInputsData[],$J$6,FALSE)</f>
        <v>-</v>
      </c>
      <c r="K631" s="248" t="str">
        <f t="shared" ref="K631:K636" si="1506">K630</f>
        <v>AVERAGE COST OF GOODS SOLD PER UNIT</v>
      </c>
      <c r="L631" s="256"/>
      <c r="M631" s="256"/>
      <c r="N631" s="256"/>
      <c r="O631" s="266"/>
      <c r="P631" s="261"/>
      <c r="Q631" s="261"/>
      <c r="R631" s="261"/>
      <c r="S631" s="629"/>
      <c r="T631" s="629"/>
      <c r="U631" s="629"/>
      <c r="V631" s="629"/>
      <c r="W631" s="261"/>
      <c r="X631" s="261"/>
      <c r="Y631" s="261"/>
      <c r="Z631" s="261"/>
      <c r="AA631" s="261"/>
      <c r="AB631" s="261"/>
      <c r="AC631" s="266"/>
      <c r="AD631" s="633"/>
      <c r="AE631" s="264">
        <f t="shared" ref="AE631:AL631" si="1507">IF(AE599=0,0,AE623/AE599)</f>
        <v>0</v>
      </c>
      <c r="AF631" s="264">
        <f t="shared" si="1507"/>
        <v>0</v>
      </c>
      <c r="AG631" s="264">
        <f t="shared" si="1507"/>
        <v>0</v>
      </c>
      <c r="AH631" s="264">
        <f t="shared" si="1507"/>
        <v>0</v>
      </c>
      <c r="AI631" s="264">
        <f t="shared" si="1507"/>
        <v>0</v>
      </c>
      <c r="AJ631" s="264">
        <f t="shared" si="1507"/>
        <v>0</v>
      </c>
      <c r="AK631" s="264">
        <f t="shared" si="1507"/>
        <v>0</v>
      </c>
      <c r="AL631" s="264">
        <f t="shared" si="1507"/>
        <v>0</v>
      </c>
      <c r="AM631" s="264">
        <f>IF(AM599=0,0,AM623/AM599)</f>
        <v>0</v>
      </c>
      <c r="AN631" s="260"/>
      <c r="AO631" s="264">
        <f>IF(AO599=0,0,AO623/AO599)</f>
        <v>0</v>
      </c>
      <c r="AP631" s="260"/>
      <c r="AQ631" s="264"/>
      <c r="AR631" s="264" t="str">
        <f>VLOOKUP($I631,TableInputsData[],ReadMe!$M$3,FALSE)&amp;"  |  "&amp;VLOOKUP($K631,TableInputsData[],ReadMe!$M$3,FALSE)</f>
        <v>PRODUIT 15  |  PRIX MOYEN D'ACHAT PAR PRODUIT/SERVICE</v>
      </c>
      <c r="AS631" s="264"/>
      <c r="AT631" s="294"/>
    </row>
    <row r="632" spans="1:46" ht="13" hidden="1" x14ac:dyDescent="0.2">
      <c r="A632" s="294"/>
      <c r="B632" s="924"/>
      <c r="C632" s="272">
        <v>625</v>
      </c>
      <c r="D632" s="250">
        <f t="shared" si="1416"/>
        <v>0</v>
      </c>
      <c r="E632" s="251"/>
      <c r="F632" s="248" t="str">
        <f t="shared" si="1498"/>
        <v>YEAR2</v>
      </c>
      <c r="G632" s="250">
        <f>VLOOKUP(F632,TableInputsData[],$G$6,FALSE)</f>
        <v>2026</v>
      </c>
      <c r="H632" s="250" t="str">
        <f t="shared" ref="H632:I632" si="1508">H631</f>
        <v>PRODUCT</v>
      </c>
      <c r="I632" s="248" t="str">
        <f t="shared" si="1508"/>
        <v>PRODUCT 15</v>
      </c>
      <c r="J632" s="248" t="str">
        <f>VLOOKUP(I632,TableInputsData[],$J$6,FALSE)</f>
        <v>-</v>
      </c>
      <c r="K632" s="248" t="str">
        <f t="shared" si="1506"/>
        <v>AVERAGE COST OF GOODS SOLD PER UNIT</v>
      </c>
      <c r="L632" s="256"/>
      <c r="M632" s="256"/>
      <c r="N632" s="256"/>
      <c r="O632" s="266"/>
      <c r="P632" s="261"/>
      <c r="Q632" s="261"/>
      <c r="R632" s="261"/>
      <c r="S632" s="629"/>
      <c r="T632" s="629"/>
      <c r="U632" s="629"/>
      <c r="V632" s="629"/>
      <c r="W632" s="261"/>
      <c r="X632" s="261"/>
      <c r="Y632" s="261"/>
      <c r="Z632" s="261"/>
      <c r="AA632" s="261"/>
      <c r="AB632" s="261"/>
      <c r="AC632" s="266"/>
      <c r="AD632" s="633"/>
      <c r="AE632" s="264">
        <f t="shared" ref="AE632:AM632" si="1509">IF(AE600=0,0,AE624/AE600)</f>
        <v>0</v>
      </c>
      <c r="AF632" s="264">
        <f t="shared" si="1509"/>
        <v>0</v>
      </c>
      <c r="AG632" s="264">
        <f t="shared" si="1509"/>
        <v>0</v>
      </c>
      <c r="AH632" s="264">
        <f t="shared" si="1509"/>
        <v>0</v>
      </c>
      <c r="AI632" s="264">
        <f t="shared" si="1509"/>
        <v>0</v>
      </c>
      <c r="AJ632" s="264">
        <f t="shared" si="1509"/>
        <v>0</v>
      </c>
      <c r="AK632" s="264">
        <f t="shared" si="1509"/>
        <v>0</v>
      </c>
      <c r="AL632" s="264">
        <f t="shared" si="1509"/>
        <v>0</v>
      </c>
      <c r="AM632" s="264">
        <f t="shared" si="1509"/>
        <v>0</v>
      </c>
      <c r="AN632" s="260"/>
      <c r="AO632" s="264">
        <f t="shared" ref="AO632:AO636" si="1510">IF(AO600=0,0,AO624/AO600)</f>
        <v>0</v>
      </c>
      <c r="AP632" s="260"/>
      <c r="AQ632" s="264"/>
      <c r="AR632" s="264" t="str">
        <f>VLOOKUP($I632,TableInputsData[],ReadMe!$M$3,FALSE)&amp;"  |  "&amp;VLOOKUP($K632,TableInputsData[],ReadMe!$M$3,FALSE)</f>
        <v>PRODUIT 15  |  PRIX MOYEN D'ACHAT PAR PRODUIT/SERVICE</v>
      </c>
      <c r="AS632" s="264"/>
      <c r="AT632" s="294"/>
    </row>
    <row r="633" spans="1:46" ht="13" hidden="1" x14ac:dyDescent="0.2">
      <c r="A633" s="294"/>
      <c r="B633" s="924"/>
      <c r="C633" s="272">
        <v>626</v>
      </c>
      <c r="D633" s="250">
        <f t="shared" si="1416"/>
        <v>0</v>
      </c>
      <c r="E633" s="251"/>
      <c r="F633" s="248" t="str">
        <f t="shared" si="1498"/>
        <v>YEAR3</v>
      </c>
      <c r="G633" s="250">
        <f>VLOOKUP(F633,TableInputsData[],$G$6,FALSE)</f>
        <v>2027</v>
      </c>
      <c r="H633" s="250" t="str">
        <f t="shared" ref="H633:I633" si="1511">H632</f>
        <v>PRODUCT</v>
      </c>
      <c r="I633" s="248" t="str">
        <f t="shared" si="1511"/>
        <v>PRODUCT 15</v>
      </c>
      <c r="J633" s="248" t="str">
        <f>VLOOKUP(I633,TableInputsData[],$J$6,FALSE)</f>
        <v>-</v>
      </c>
      <c r="K633" s="248" t="str">
        <f t="shared" si="1506"/>
        <v>AVERAGE COST OF GOODS SOLD PER UNIT</v>
      </c>
      <c r="L633" s="256"/>
      <c r="M633" s="256"/>
      <c r="N633" s="256"/>
      <c r="O633" s="266"/>
      <c r="P633" s="261"/>
      <c r="Q633" s="261"/>
      <c r="R633" s="261"/>
      <c r="S633" s="629"/>
      <c r="T633" s="629"/>
      <c r="U633" s="629"/>
      <c r="V633" s="629"/>
      <c r="W633" s="261"/>
      <c r="X633" s="261"/>
      <c r="Y633" s="261"/>
      <c r="Z633" s="261"/>
      <c r="AA633" s="261"/>
      <c r="AB633" s="261"/>
      <c r="AC633" s="266"/>
      <c r="AD633" s="633"/>
      <c r="AE633" s="264">
        <f t="shared" ref="AE633:AM633" si="1512">IF(AE601=0,0,AE625/AE601)</f>
        <v>0</v>
      </c>
      <c r="AF633" s="264">
        <f t="shared" si="1512"/>
        <v>0</v>
      </c>
      <c r="AG633" s="264">
        <f t="shared" si="1512"/>
        <v>0</v>
      </c>
      <c r="AH633" s="264">
        <f t="shared" si="1512"/>
        <v>0</v>
      </c>
      <c r="AI633" s="264">
        <f t="shared" si="1512"/>
        <v>0</v>
      </c>
      <c r="AJ633" s="264">
        <f t="shared" si="1512"/>
        <v>0</v>
      </c>
      <c r="AK633" s="264">
        <f t="shared" si="1512"/>
        <v>0</v>
      </c>
      <c r="AL633" s="264">
        <f t="shared" si="1512"/>
        <v>0</v>
      </c>
      <c r="AM633" s="264">
        <f t="shared" si="1512"/>
        <v>0</v>
      </c>
      <c r="AN633" s="260"/>
      <c r="AO633" s="264">
        <f t="shared" si="1510"/>
        <v>0</v>
      </c>
      <c r="AP633" s="260"/>
      <c r="AQ633" s="264"/>
      <c r="AR633" s="264" t="str">
        <f>VLOOKUP($I633,TableInputsData[],ReadMe!$M$3,FALSE)&amp;"  |  "&amp;VLOOKUP($K633,TableInputsData[],ReadMe!$M$3,FALSE)</f>
        <v>PRODUIT 15  |  PRIX MOYEN D'ACHAT PAR PRODUIT/SERVICE</v>
      </c>
      <c r="AS633" s="264"/>
      <c r="AT633" s="294"/>
    </row>
    <row r="634" spans="1:46" ht="13" hidden="1" x14ac:dyDescent="0.2">
      <c r="A634" s="294"/>
      <c r="B634" s="924"/>
      <c r="C634" s="272">
        <v>627</v>
      </c>
      <c r="D634" s="250">
        <f t="shared" si="1416"/>
        <v>0</v>
      </c>
      <c r="E634" s="251"/>
      <c r="F634" s="248" t="str">
        <f t="shared" si="1498"/>
        <v>YEAR4</v>
      </c>
      <c r="G634" s="250">
        <f>VLOOKUP(F634,TableInputsData[],$G$6,FALSE)</f>
        <v>2028</v>
      </c>
      <c r="H634" s="250" t="str">
        <f t="shared" ref="H634:I634" si="1513">H633</f>
        <v>PRODUCT</v>
      </c>
      <c r="I634" s="248" t="str">
        <f t="shared" si="1513"/>
        <v>PRODUCT 15</v>
      </c>
      <c r="J634" s="248" t="str">
        <f>VLOOKUP(I634,TableInputsData[],$J$6,FALSE)</f>
        <v>-</v>
      </c>
      <c r="K634" s="248" t="str">
        <f t="shared" si="1506"/>
        <v>AVERAGE COST OF GOODS SOLD PER UNIT</v>
      </c>
      <c r="L634" s="256"/>
      <c r="M634" s="256"/>
      <c r="N634" s="256"/>
      <c r="O634" s="266"/>
      <c r="P634" s="261"/>
      <c r="Q634" s="261"/>
      <c r="R634" s="261"/>
      <c r="S634" s="629"/>
      <c r="T634" s="629"/>
      <c r="U634" s="629"/>
      <c r="V634" s="629"/>
      <c r="W634" s="261"/>
      <c r="X634" s="261"/>
      <c r="Y634" s="261"/>
      <c r="Z634" s="261"/>
      <c r="AA634" s="261"/>
      <c r="AB634" s="261"/>
      <c r="AC634" s="266"/>
      <c r="AD634" s="633"/>
      <c r="AE634" s="264">
        <f t="shared" ref="AE634:AM634" si="1514">IF(AE602=0,0,AE626/AE602)</f>
        <v>0</v>
      </c>
      <c r="AF634" s="264">
        <f t="shared" si="1514"/>
        <v>0</v>
      </c>
      <c r="AG634" s="264">
        <f t="shared" si="1514"/>
        <v>0</v>
      </c>
      <c r="AH634" s="264">
        <f t="shared" si="1514"/>
        <v>0</v>
      </c>
      <c r="AI634" s="264">
        <f t="shared" si="1514"/>
        <v>0</v>
      </c>
      <c r="AJ634" s="264">
        <f t="shared" si="1514"/>
        <v>0</v>
      </c>
      <c r="AK634" s="264">
        <f t="shared" si="1514"/>
        <v>0</v>
      </c>
      <c r="AL634" s="264">
        <f t="shared" si="1514"/>
        <v>0</v>
      </c>
      <c r="AM634" s="264">
        <f t="shared" si="1514"/>
        <v>0</v>
      </c>
      <c r="AN634" s="260"/>
      <c r="AO634" s="264">
        <f t="shared" si="1510"/>
        <v>0</v>
      </c>
      <c r="AP634" s="260"/>
      <c r="AQ634" s="264"/>
      <c r="AR634" s="264" t="str">
        <f>VLOOKUP($I634,TableInputsData[],ReadMe!$M$3,FALSE)&amp;"  |  "&amp;VLOOKUP($K634,TableInputsData[],ReadMe!$M$3,FALSE)</f>
        <v>PRODUIT 15  |  PRIX MOYEN D'ACHAT PAR PRODUIT/SERVICE</v>
      </c>
      <c r="AS634" s="264"/>
      <c r="AT634" s="294"/>
    </row>
    <row r="635" spans="1:46" ht="13" hidden="1" x14ac:dyDescent="0.2">
      <c r="A635" s="294"/>
      <c r="B635" s="924"/>
      <c r="C635" s="272">
        <v>628</v>
      </c>
      <c r="D635" s="250">
        <f t="shared" si="1416"/>
        <v>0</v>
      </c>
      <c r="E635" s="251"/>
      <c r="F635" s="248" t="str">
        <f t="shared" si="1498"/>
        <v>YEAR5</v>
      </c>
      <c r="G635" s="250">
        <f>VLOOKUP(F635,TableInputsData[],$G$6,FALSE)</f>
        <v>2029</v>
      </c>
      <c r="H635" s="250" t="str">
        <f t="shared" ref="H635:I635" si="1515">H634</f>
        <v>PRODUCT</v>
      </c>
      <c r="I635" s="248" t="str">
        <f t="shared" si="1515"/>
        <v>PRODUCT 15</v>
      </c>
      <c r="J635" s="248" t="str">
        <f>VLOOKUP(I635,TableInputsData[],$J$6,FALSE)</f>
        <v>-</v>
      </c>
      <c r="K635" s="248" t="str">
        <f t="shared" si="1506"/>
        <v>AVERAGE COST OF GOODS SOLD PER UNIT</v>
      </c>
      <c r="L635" s="256"/>
      <c r="M635" s="256"/>
      <c r="N635" s="256"/>
      <c r="O635" s="266"/>
      <c r="P635" s="261"/>
      <c r="Q635" s="261"/>
      <c r="R635" s="261"/>
      <c r="S635" s="629"/>
      <c r="T635" s="629"/>
      <c r="U635" s="629"/>
      <c r="V635" s="629"/>
      <c r="W635" s="261"/>
      <c r="X635" s="261"/>
      <c r="Y635" s="261"/>
      <c r="Z635" s="261"/>
      <c r="AA635" s="261"/>
      <c r="AB635" s="261"/>
      <c r="AC635" s="266"/>
      <c r="AD635" s="633"/>
      <c r="AE635" s="264">
        <f t="shared" ref="AE635:AM635" si="1516">IF(AE603=0,0,AE627/AE603)</f>
        <v>0</v>
      </c>
      <c r="AF635" s="264">
        <f t="shared" si="1516"/>
        <v>0</v>
      </c>
      <c r="AG635" s="264">
        <f t="shared" si="1516"/>
        <v>0</v>
      </c>
      <c r="AH635" s="264">
        <f t="shared" si="1516"/>
        <v>0</v>
      </c>
      <c r="AI635" s="264">
        <f t="shared" si="1516"/>
        <v>0</v>
      </c>
      <c r="AJ635" s="264">
        <f t="shared" si="1516"/>
        <v>0</v>
      </c>
      <c r="AK635" s="264">
        <f t="shared" si="1516"/>
        <v>0</v>
      </c>
      <c r="AL635" s="264">
        <f t="shared" si="1516"/>
        <v>0</v>
      </c>
      <c r="AM635" s="264">
        <f t="shared" si="1516"/>
        <v>0</v>
      </c>
      <c r="AN635" s="260"/>
      <c r="AO635" s="264">
        <f t="shared" si="1510"/>
        <v>0</v>
      </c>
      <c r="AP635" s="260"/>
      <c r="AQ635" s="264"/>
      <c r="AR635" s="264" t="str">
        <f>VLOOKUP($I635,TableInputsData[],ReadMe!$M$3,FALSE)&amp;"  |  "&amp;VLOOKUP($K635,TableInputsData[],ReadMe!$M$3,FALSE)</f>
        <v>PRODUIT 15  |  PRIX MOYEN D'ACHAT PAR PRODUIT/SERVICE</v>
      </c>
      <c r="AS635" s="264"/>
      <c r="AT635" s="294"/>
    </row>
    <row r="636" spans="1:46" ht="13" hidden="1" x14ac:dyDescent="0.2">
      <c r="A636" s="294"/>
      <c r="B636" s="924"/>
      <c r="C636" s="272">
        <v>629</v>
      </c>
      <c r="D636" s="250">
        <f t="shared" si="1416"/>
        <v>0</v>
      </c>
      <c r="E636" s="251"/>
      <c r="F636" s="248" t="str">
        <f t="shared" si="1498"/>
        <v>YEAR6</v>
      </c>
      <c r="G636" s="250">
        <f>VLOOKUP(F636,TableInputsData[],$G$6,FALSE)</f>
        <v>2030</v>
      </c>
      <c r="H636" s="250" t="str">
        <f t="shared" ref="H636:I636" si="1517">H635</f>
        <v>PRODUCT</v>
      </c>
      <c r="I636" s="248" t="str">
        <f t="shared" si="1517"/>
        <v>PRODUCT 15</v>
      </c>
      <c r="J636" s="248" t="str">
        <f>VLOOKUP(I636,TableInputsData[],$J$6,FALSE)</f>
        <v>-</v>
      </c>
      <c r="K636" s="248" t="str">
        <f t="shared" si="1506"/>
        <v>AVERAGE COST OF GOODS SOLD PER UNIT</v>
      </c>
      <c r="L636" s="256"/>
      <c r="M636" s="256"/>
      <c r="N636" s="256"/>
      <c r="O636" s="266"/>
      <c r="P636" s="261"/>
      <c r="Q636" s="261"/>
      <c r="R636" s="261"/>
      <c r="S636" s="629"/>
      <c r="T636" s="629"/>
      <c r="U636" s="629"/>
      <c r="V636" s="629"/>
      <c r="W636" s="261"/>
      <c r="X636" s="261"/>
      <c r="Y636" s="261"/>
      <c r="Z636" s="261"/>
      <c r="AA636" s="261"/>
      <c r="AB636" s="261"/>
      <c r="AC636" s="266"/>
      <c r="AD636" s="633"/>
      <c r="AE636" s="264">
        <f t="shared" ref="AE636:AM636" si="1518">IF(AE604=0,0,AE628/AE604)</f>
        <v>0</v>
      </c>
      <c r="AF636" s="264">
        <f t="shared" si="1518"/>
        <v>0</v>
      </c>
      <c r="AG636" s="264">
        <f t="shared" si="1518"/>
        <v>0</v>
      </c>
      <c r="AH636" s="264">
        <f t="shared" si="1518"/>
        <v>0</v>
      </c>
      <c r="AI636" s="264">
        <f t="shared" si="1518"/>
        <v>0</v>
      </c>
      <c r="AJ636" s="264">
        <f t="shared" si="1518"/>
        <v>0</v>
      </c>
      <c r="AK636" s="264">
        <f t="shared" si="1518"/>
        <v>0</v>
      </c>
      <c r="AL636" s="264">
        <f t="shared" si="1518"/>
        <v>0</v>
      </c>
      <c r="AM636" s="264">
        <f t="shared" si="1518"/>
        <v>0</v>
      </c>
      <c r="AN636" s="260"/>
      <c r="AO636" s="264">
        <f t="shared" si="1510"/>
        <v>0</v>
      </c>
      <c r="AP636" s="260"/>
      <c r="AQ636" s="264"/>
      <c r="AR636" s="264" t="str">
        <f>VLOOKUP($I636,TableInputsData[],ReadMe!$M$3,FALSE)&amp;"  |  "&amp;VLOOKUP($K636,TableInputsData[],ReadMe!$M$3,FALSE)</f>
        <v>PRODUIT 15  |  PRIX MOYEN D'ACHAT PAR PRODUIT/SERVICE</v>
      </c>
      <c r="AS636" s="264"/>
      <c r="AT636" s="294"/>
    </row>
    <row r="637" spans="1:46" ht="13" x14ac:dyDescent="0.2">
      <c r="A637" s="294"/>
      <c r="B637" s="924"/>
      <c r="C637" s="273">
        <v>630</v>
      </c>
      <c r="D637" s="253">
        <v>0</v>
      </c>
      <c r="E637" s="253">
        <v>1</v>
      </c>
      <c r="F637" s="252"/>
      <c r="G637" s="253"/>
      <c r="H637" s="253"/>
      <c r="I637" s="252"/>
      <c r="J637" s="252"/>
      <c r="K637" s="252"/>
      <c r="L637" s="257"/>
      <c r="M637" s="257"/>
      <c r="N637" s="257"/>
      <c r="O637" s="267"/>
      <c r="P637" s="262"/>
      <c r="Q637" s="262"/>
      <c r="R637" s="262"/>
      <c r="S637" s="631"/>
      <c r="T637" s="631"/>
      <c r="U637" s="631"/>
      <c r="V637" s="631"/>
      <c r="W637" s="262"/>
      <c r="X637" s="262"/>
      <c r="Y637" s="262"/>
      <c r="Z637" s="262"/>
      <c r="AA637" s="262"/>
      <c r="AB637" s="262"/>
      <c r="AC637" s="267"/>
      <c r="AD637" s="635"/>
      <c r="AE637" s="270"/>
      <c r="AF637" s="270"/>
      <c r="AG637" s="270"/>
      <c r="AH637" s="270"/>
      <c r="AI637" s="270"/>
      <c r="AJ637" s="270"/>
      <c r="AK637" s="270"/>
      <c r="AL637" s="270"/>
      <c r="AM637" s="270"/>
      <c r="AN637" s="643"/>
      <c r="AO637" s="270"/>
      <c r="AP637" s="270"/>
      <c r="AQ637" s="270"/>
      <c r="AR637" s="270"/>
      <c r="AS637" s="270"/>
      <c r="AT637" s="294"/>
    </row>
    <row r="638" spans="1:46" ht="13" hidden="1" x14ac:dyDescent="0.2">
      <c r="A638" s="294"/>
      <c r="B638" s="925" t="str">
        <f>I639&amp;"___"</f>
        <v>PRODUCT 16___</v>
      </c>
      <c r="C638" s="271">
        <v>631</v>
      </c>
      <c r="D638" s="250">
        <v>0</v>
      </c>
      <c r="E638" s="250"/>
      <c r="F638" s="248"/>
      <c r="G638" s="250"/>
      <c r="H638" s="250"/>
      <c r="I638" s="248"/>
      <c r="J638" s="248"/>
      <c r="K638" s="248"/>
      <c r="L638" s="254"/>
      <c r="M638" s="254"/>
      <c r="N638" s="254"/>
      <c r="O638" s="264"/>
      <c r="P638" s="259"/>
      <c r="Q638" s="259"/>
      <c r="R638" s="259"/>
      <c r="S638" s="628"/>
      <c r="T638" s="628"/>
      <c r="U638" s="628"/>
      <c r="V638" s="628"/>
      <c r="W638" s="259"/>
      <c r="X638" s="259"/>
      <c r="Y638" s="259"/>
      <c r="Z638" s="259"/>
      <c r="AA638" s="259"/>
      <c r="AB638" s="259"/>
      <c r="AC638" s="264"/>
      <c r="AD638" s="609"/>
      <c r="AE638" s="269"/>
      <c r="AF638" s="269"/>
      <c r="AG638" s="269"/>
      <c r="AH638" s="269"/>
      <c r="AI638" s="269"/>
      <c r="AJ638" s="269"/>
      <c r="AK638" s="269"/>
      <c r="AL638" s="269"/>
      <c r="AM638" s="269"/>
      <c r="AN638" s="642"/>
      <c r="AO638" s="269"/>
      <c r="AP638" s="269"/>
      <c r="AQ638" s="269"/>
      <c r="AR638" s="269"/>
      <c r="AS638" s="269"/>
      <c r="AT638" s="294"/>
    </row>
    <row r="639" spans="1:46" ht="13" x14ac:dyDescent="0.2">
      <c r="A639" s="294"/>
      <c r="B639" s="925"/>
      <c r="C639" s="271">
        <v>632</v>
      </c>
      <c r="D639" s="250">
        <f>VLOOKUP($I639,TableInputsData[],$D$6,FALSE)</f>
        <v>0</v>
      </c>
      <c r="E639" s="250">
        <v>1</v>
      </c>
      <c r="F639" s="248" t="s">
        <v>392</v>
      </c>
      <c r="G639" s="250">
        <f>VLOOKUP(F639,TableInputsData[],$G$6,FALSE)</f>
        <v>2023</v>
      </c>
      <c r="H639" s="250" t="s">
        <v>588</v>
      </c>
      <c r="I639" s="248" t="s">
        <v>1720</v>
      </c>
      <c r="J639" s="248" t="str">
        <f>VLOOKUP(I639,TableInputsData[],$J$6,FALSE)</f>
        <v>-</v>
      </c>
      <c r="K639" s="248" t="s">
        <v>261</v>
      </c>
      <c r="L639" s="499">
        <v>1000</v>
      </c>
      <c r="M639" s="499">
        <v>0</v>
      </c>
      <c r="N639" s="499">
        <v>0</v>
      </c>
      <c r="O639" s="264">
        <f t="shared" ref="O639:O646" si="1519">$L639*$P639+$M639*$Q639+$N639*$R639</f>
        <v>1000</v>
      </c>
      <c r="P639" s="500">
        <v>1</v>
      </c>
      <c r="Q639" s="500">
        <v>0</v>
      </c>
      <c r="R639" s="259">
        <f>1-$P639-$Q639</f>
        <v>0</v>
      </c>
      <c r="S639" s="626">
        <v>500</v>
      </c>
      <c r="T639" s="626">
        <v>0</v>
      </c>
      <c r="U639" s="626">
        <v>0</v>
      </c>
      <c r="V639" s="628">
        <f>($L639*$P639*$S639+$M639*$Q639*$T639+$N639*$R639*$U639)/$O639</f>
        <v>500</v>
      </c>
      <c r="W639" s="500">
        <v>1</v>
      </c>
      <c r="X639" s="500">
        <v>1</v>
      </c>
      <c r="Y639" s="500">
        <v>1</v>
      </c>
      <c r="Z639" s="259">
        <f t="shared" ref="Z639:Z646" si="1520">1-$W639</f>
        <v>0</v>
      </c>
      <c r="AA639" s="259">
        <f t="shared" ref="AA639:AA646" si="1521">1-$X639</f>
        <v>0</v>
      </c>
      <c r="AB639" s="259">
        <f t="shared" ref="AB639:AB646" si="1522">1-$Y639</f>
        <v>0</v>
      </c>
      <c r="AC639" s="628">
        <f>AM671</f>
        <v>0</v>
      </c>
      <c r="AD639" s="628">
        <f>AO671</f>
        <v>0</v>
      </c>
      <c r="AE639" s="501">
        <v>0</v>
      </c>
      <c r="AF639" s="501">
        <v>0</v>
      </c>
      <c r="AG639" s="501">
        <v>0</v>
      </c>
      <c r="AH639" s="501">
        <v>0</v>
      </c>
      <c r="AI639" s="264">
        <f t="shared" ref="AI639:AI642" si="1523">$AE639+$AF639+$AG639+$AH639</f>
        <v>0</v>
      </c>
      <c r="AJ639" s="264">
        <f t="shared" ref="AJ639:AJ646" si="1524">$AI639*$P639</f>
        <v>0</v>
      </c>
      <c r="AK639" s="264">
        <f t="shared" ref="AK639:AK646" si="1525">$AI639*$Q639</f>
        <v>0</v>
      </c>
      <c r="AL639" s="264">
        <f t="shared" ref="AL639:AL646" si="1526">$AI639*$R639</f>
        <v>0</v>
      </c>
      <c r="AM639" s="264">
        <f t="shared" ref="AM639:AM646" si="1527">$AJ639*$W639+$AK639*$X639+$AL639*$Y639</f>
        <v>0</v>
      </c>
      <c r="AN639" s="640">
        <f>IF(AI639=0,0,AM639/AI639)</f>
        <v>0</v>
      </c>
      <c r="AO639" s="264">
        <f t="shared" ref="AO639:AO646" si="1528">$AJ639*$Z639+$AK639*$AA639+$AL639*$AB639</f>
        <v>0</v>
      </c>
      <c r="AP639" s="640">
        <f t="shared" ref="AP639:AP654" si="1529">IF(AI639=0,0,AO639/AI639)</f>
        <v>0</v>
      </c>
      <c r="AQ639" s="264" t="str">
        <f>VLOOKUP(I639,TableInputsData[],$AQ$6,FALSE)</f>
        <v>GAMME # : 1 + CANAL DE DISTRIBUTION # : 1</v>
      </c>
      <c r="AR639" s="264" t="str">
        <f>VLOOKUP($I639,TableInputsData[],ReadMe!$M$3,FALSE)&amp;"  |  "&amp;VLOOKUP($K639,TableInputsData[],ReadMe!$M$3,FALSE)</f>
        <v>PRODUIT 16  |  VOLUME</v>
      </c>
      <c r="AS639" s="264" t="b">
        <f t="shared" ref="AS639:AS646" si="1530">AND(EXACT(ROUND(AI639,2),ROUND(AJ639+AK639+AL639,2)),EXACT(ROUND(AI639,2),ROUND(AM639+AO639,2)),EXACT(SUM(P639:R639),1),IF(R639&lt;0,FALSE,TRUE),EXACT(SUM(W639:AB639),3),MIN(W639:Y639)&gt;=0, MAX(W639:Y639)&lt;=1)</f>
        <v>1</v>
      </c>
      <c r="AT639" s="294"/>
    </row>
    <row r="640" spans="1:46" ht="13" x14ac:dyDescent="0.2">
      <c r="A640" s="294"/>
      <c r="B640" s="925"/>
      <c r="C640" s="271">
        <v>633</v>
      </c>
      <c r="D640" s="250">
        <f>D639</f>
        <v>0</v>
      </c>
      <c r="E640" s="250">
        <v>1</v>
      </c>
      <c r="F640" s="248" t="s">
        <v>391</v>
      </c>
      <c r="G640" s="250">
        <f>VLOOKUP(F640,TableInputsData[],$G$6,FALSE)</f>
        <v>2024</v>
      </c>
      <c r="H640" s="250" t="str">
        <f>H639</f>
        <v>PRODUCT</v>
      </c>
      <c r="I640" s="248" t="str">
        <f>I639</f>
        <v>PRODUCT 16</v>
      </c>
      <c r="J640" s="248" t="str">
        <f>VLOOKUP(I640,TableInputsData[],$J$6,FALSE)</f>
        <v>-</v>
      </c>
      <c r="K640" s="248" t="str">
        <f>K639</f>
        <v>VOLUME</v>
      </c>
      <c r="L640" s="499">
        <v>1000</v>
      </c>
      <c r="M640" s="499">
        <v>0</v>
      </c>
      <c r="N640" s="499">
        <v>0</v>
      </c>
      <c r="O640" s="264">
        <f t="shared" si="1519"/>
        <v>1000</v>
      </c>
      <c r="P640" s="500">
        <v>1</v>
      </c>
      <c r="Q640" s="500">
        <v>0</v>
      </c>
      <c r="R640" s="259">
        <f t="shared" ref="R640:R646" si="1531">1-$P640-$Q640</f>
        <v>0</v>
      </c>
      <c r="S640" s="626">
        <v>500</v>
      </c>
      <c r="T640" s="626">
        <v>0</v>
      </c>
      <c r="U640" s="626">
        <v>0</v>
      </c>
      <c r="V640" s="628">
        <f t="shared" ref="V640:V646" si="1532">($L640*$P640*$S640+$M640*$Q640*$T640+$N640*$R640*$U640)/$O640</f>
        <v>500</v>
      </c>
      <c r="W640" s="500">
        <v>1</v>
      </c>
      <c r="X640" s="500">
        <v>1</v>
      </c>
      <c r="Y640" s="500">
        <v>1</v>
      </c>
      <c r="Z640" s="259">
        <f t="shared" si="1520"/>
        <v>0</v>
      </c>
      <c r="AA640" s="259">
        <f t="shared" si="1521"/>
        <v>0</v>
      </c>
      <c r="AB640" s="259">
        <f t="shared" si="1522"/>
        <v>0</v>
      </c>
      <c r="AC640" s="628">
        <f t="shared" ref="AC640:AC646" si="1533">AM672</f>
        <v>0</v>
      </c>
      <c r="AD640" s="628">
        <f t="shared" ref="AD640:AD646" si="1534">AO672</f>
        <v>0</v>
      </c>
      <c r="AE640" s="501">
        <v>0</v>
      </c>
      <c r="AF640" s="501">
        <v>0</v>
      </c>
      <c r="AG640" s="501">
        <v>0</v>
      </c>
      <c r="AH640" s="501">
        <v>0</v>
      </c>
      <c r="AI640" s="264">
        <f t="shared" si="1523"/>
        <v>0</v>
      </c>
      <c r="AJ640" s="264">
        <f t="shared" si="1524"/>
        <v>0</v>
      </c>
      <c r="AK640" s="264">
        <f t="shared" si="1525"/>
        <v>0</v>
      </c>
      <c r="AL640" s="264">
        <f t="shared" si="1526"/>
        <v>0</v>
      </c>
      <c r="AM640" s="264">
        <f t="shared" si="1527"/>
        <v>0</v>
      </c>
      <c r="AN640" s="640">
        <f t="shared" ref="AN640:AN654" si="1535">IF(AI640=0,0,AM640/AI640)</f>
        <v>0</v>
      </c>
      <c r="AO640" s="264">
        <f t="shared" si="1528"/>
        <v>0</v>
      </c>
      <c r="AP640" s="640">
        <f t="shared" si="1529"/>
        <v>0</v>
      </c>
      <c r="AQ640" s="501"/>
      <c r="AR640" s="264" t="str">
        <f>VLOOKUP($I640,TableInputsData[],ReadMe!$M$3,FALSE)&amp;"  |  "&amp;VLOOKUP($K640,TableInputsData[],ReadMe!$M$3,FALSE)</f>
        <v>PRODUIT 16  |  VOLUME</v>
      </c>
      <c r="AS640" s="264" t="b">
        <f t="shared" si="1530"/>
        <v>1</v>
      </c>
      <c r="AT640" s="294"/>
    </row>
    <row r="641" spans="1:46" ht="13" x14ac:dyDescent="0.2">
      <c r="A641" s="294"/>
      <c r="B641" s="925"/>
      <c r="C641" s="271">
        <v>634</v>
      </c>
      <c r="D641" s="250">
        <f t="shared" ref="D641:D678" si="1536">D640</f>
        <v>0</v>
      </c>
      <c r="E641" s="250">
        <v>1</v>
      </c>
      <c r="F641" s="248" t="s">
        <v>393</v>
      </c>
      <c r="G641" s="250">
        <f>VLOOKUP(F641,TableInputsData[],$G$6,FALSE)</f>
        <v>2025</v>
      </c>
      <c r="H641" s="250" t="str">
        <f t="shared" ref="H641:I641" si="1537">H640</f>
        <v>PRODUCT</v>
      </c>
      <c r="I641" s="248" t="str">
        <f t="shared" si="1537"/>
        <v>PRODUCT 16</v>
      </c>
      <c r="J641" s="248" t="str">
        <f>VLOOKUP(I641,TableInputsData[],$J$6,FALSE)</f>
        <v>-</v>
      </c>
      <c r="K641" s="248" t="str">
        <f t="shared" ref="K641:K646" si="1538">K640</f>
        <v>VOLUME</v>
      </c>
      <c r="L641" s="499">
        <v>1000</v>
      </c>
      <c r="M641" s="499">
        <v>0</v>
      </c>
      <c r="N641" s="499">
        <v>0</v>
      </c>
      <c r="O641" s="264">
        <f t="shared" si="1519"/>
        <v>1000</v>
      </c>
      <c r="P641" s="500">
        <v>1</v>
      </c>
      <c r="Q641" s="500">
        <v>0</v>
      </c>
      <c r="R641" s="259">
        <f t="shared" si="1531"/>
        <v>0</v>
      </c>
      <c r="S641" s="626">
        <v>500</v>
      </c>
      <c r="T641" s="626">
        <v>0</v>
      </c>
      <c r="U641" s="626">
        <v>0</v>
      </c>
      <c r="V641" s="628">
        <f t="shared" si="1532"/>
        <v>500</v>
      </c>
      <c r="W641" s="500">
        <v>1</v>
      </c>
      <c r="X641" s="500">
        <v>1</v>
      </c>
      <c r="Y641" s="500">
        <v>1</v>
      </c>
      <c r="Z641" s="259">
        <f t="shared" si="1520"/>
        <v>0</v>
      </c>
      <c r="AA641" s="259">
        <f t="shared" si="1521"/>
        <v>0</v>
      </c>
      <c r="AB641" s="259">
        <f t="shared" si="1522"/>
        <v>0</v>
      </c>
      <c r="AC641" s="628">
        <f t="shared" si="1533"/>
        <v>0</v>
      </c>
      <c r="AD641" s="628">
        <f t="shared" si="1534"/>
        <v>0</v>
      </c>
      <c r="AE641" s="501">
        <v>0</v>
      </c>
      <c r="AF641" s="501">
        <v>0</v>
      </c>
      <c r="AG641" s="501">
        <v>0</v>
      </c>
      <c r="AH641" s="501">
        <v>0</v>
      </c>
      <c r="AI641" s="264">
        <f t="shared" si="1523"/>
        <v>0</v>
      </c>
      <c r="AJ641" s="264">
        <f t="shared" si="1524"/>
        <v>0</v>
      </c>
      <c r="AK641" s="264">
        <f t="shared" si="1525"/>
        <v>0</v>
      </c>
      <c r="AL641" s="264">
        <f t="shared" si="1526"/>
        <v>0</v>
      </c>
      <c r="AM641" s="264">
        <f t="shared" si="1527"/>
        <v>0</v>
      </c>
      <c r="AN641" s="640">
        <f t="shared" si="1535"/>
        <v>0</v>
      </c>
      <c r="AO641" s="264">
        <f t="shared" si="1528"/>
        <v>0</v>
      </c>
      <c r="AP641" s="640">
        <f t="shared" si="1529"/>
        <v>0</v>
      </c>
      <c r="AQ641" s="501"/>
      <c r="AR641" s="264" t="str">
        <f>VLOOKUP($I641,TableInputsData[],ReadMe!$M$3,FALSE)&amp;"  |  "&amp;VLOOKUP($K641,TableInputsData[],ReadMe!$M$3,FALSE)</f>
        <v>PRODUIT 16  |  VOLUME</v>
      </c>
      <c r="AS641" s="264" t="b">
        <f t="shared" si="1530"/>
        <v>1</v>
      </c>
      <c r="AT641" s="294"/>
    </row>
    <row r="642" spans="1:46" ht="13" x14ac:dyDescent="0.2">
      <c r="A642" s="294"/>
      <c r="B642" s="925"/>
      <c r="C642" s="271">
        <v>635</v>
      </c>
      <c r="D642" s="250">
        <f t="shared" si="1536"/>
        <v>0</v>
      </c>
      <c r="E642" s="250">
        <v>1</v>
      </c>
      <c r="F642" s="248" t="s">
        <v>396</v>
      </c>
      <c r="G642" s="250">
        <f>VLOOKUP(F642,TableInputsData[],$G$6,FALSE)</f>
        <v>2026</v>
      </c>
      <c r="H642" s="250" t="str">
        <f t="shared" ref="H642:I642" si="1539">H641</f>
        <v>PRODUCT</v>
      </c>
      <c r="I642" s="248" t="str">
        <f t="shared" si="1539"/>
        <v>PRODUCT 16</v>
      </c>
      <c r="J642" s="248" t="str">
        <f>VLOOKUP(I642,TableInputsData[],$J$6,FALSE)</f>
        <v>-</v>
      </c>
      <c r="K642" s="248" t="str">
        <f t="shared" si="1538"/>
        <v>VOLUME</v>
      </c>
      <c r="L642" s="499">
        <v>1000</v>
      </c>
      <c r="M642" s="499">
        <v>0</v>
      </c>
      <c r="N642" s="499">
        <v>0</v>
      </c>
      <c r="O642" s="264">
        <f t="shared" si="1519"/>
        <v>1000</v>
      </c>
      <c r="P642" s="500">
        <v>1</v>
      </c>
      <c r="Q642" s="500">
        <v>0</v>
      </c>
      <c r="R642" s="259">
        <f t="shared" si="1531"/>
        <v>0</v>
      </c>
      <c r="S642" s="626">
        <v>500</v>
      </c>
      <c r="T642" s="626">
        <v>0</v>
      </c>
      <c r="U642" s="626">
        <v>0</v>
      </c>
      <c r="V642" s="628">
        <f t="shared" si="1532"/>
        <v>500</v>
      </c>
      <c r="W642" s="500">
        <v>1</v>
      </c>
      <c r="X642" s="500">
        <v>1</v>
      </c>
      <c r="Y642" s="500">
        <v>1</v>
      </c>
      <c r="Z642" s="259">
        <f t="shared" si="1520"/>
        <v>0</v>
      </c>
      <c r="AA642" s="259">
        <f t="shared" si="1521"/>
        <v>0</v>
      </c>
      <c r="AB642" s="259">
        <f t="shared" si="1522"/>
        <v>0</v>
      </c>
      <c r="AC642" s="628">
        <f t="shared" si="1533"/>
        <v>0</v>
      </c>
      <c r="AD642" s="628">
        <f t="shared" si="1534"/>
        <v>0</v>
      </c>
      <c r="AE642" s="501">
        <v>0</v>
      </c>
      <c r="AF642" s="501">
        <v>0</v>
      </c>
      <c r="AG642" s="501">
        <v>0</v>
      </c>
      <c r="AH642" s="501">
        <v>0</v>
      </c>
      <c r="AI642" s="264">
        <f t="shared" si="1523"/>
        <v>0</v>
      </c>
      <c r="AJ642" s="264">
        <f t="shared" si="1524"/>
        <v>0</v>
      </c>
      <c r="AK642" s="264">
        <f t="shared" si="1525"/>
        <v>0</v>
      </c>
      <c r="AL642" s="264">
        <f t="shared" si="1526"/>
        <v>0</v>
      </c>
      <c r="AM642" s="264">
        <f t="shared" si="1527"/>
        <v>0</v>
      </c>
      <c r="AN642" s="640">
        <f t="shared" si="1535"/>
        <v>0</v>
      </c>
      <c r="AO642" s="264">
        <f t="shared" si="1528"/>
        <v>0</v>
      </c>
      <c r="AP642" s="640">
        <f t="shared" si="1529"/>
        <v>0</v>
      </c>
      <c r="AQ642" s="501"/>
      <c r="AR642" s="264" t="str">
        <f>VLOOKUP($I642,TableInputsData[],ReadMe!$M$3,FALSE)&amp;"  |  "&amp;VLOOKUP($K642,TableInputsData[],ReadMe!$M$3,FALSE)</f>
        <v>PRODUIT 16  |  VOLUME</v>
      </c>
      <c r="AS642" s="264" t="b">
        <f t="shared" si="1530"/>
        <v>1</v>
      </c>
      <c r="AT642" s="294"/>
    </row>
    <row r="643" spans="1:46" ht="13" x14ac:dyDescent="0.2">
      <c r="A643" s="294"/>
      <c r="B643" s="925"/>
      <c r="C643" s="271">
        <v>636</v>
      </c>
      <c r="D643" s="250">
        <f t="shared" si="1536"/>
        <v>0</v>
      </c>
      <c r="E643" s="250">
        <v>1</v>
      </c>
      <c r="F643" s="248" t="s">
        <v>397</v>
      </c>
      <c r="G643" s="250">
        <f>VLOOKUP(F643,TableInputsData[],$G$6,FALSE)</f>
        <v>2027</v>
      </c>
      <c r="H643" s="250" t="str">
        <f t="shared" ref="H643:I643" si="1540">H642</f>
        <v>PRODUCT</v>
      </c>
      <c r="I643" s="248" t="str">
        <f t="shared" si="1540"/>
        <v>PRODUCT 16</v>
      </c>
      <c r="J643" s="248" t="str">
        <f>VLOOKUP(I643,TableInputsData[],$J$6,FALSE)</f>
        <v>-</v>
      </c>
      <c r="K643" s="248" t="str">
        <f t="shared" si="1538"/>
        <v>VOLUME</v>
      </c>
      <c r="L643" s="499">
        <v>1000</v>
      </c>
      <c r="M643" s="499">
        <v>0</v>
      </c>
      <c r="N643" s="499">
        <v>0</v>
      </c>
      <c r="O643" s="264">
        <f t="shared" si="1519"/>
        <v>1000</v>
      </c>
      <c r="P643" s="500">
        <v>1</v>
      </c>
      <c r="Q643" s="500">
        <v>0</v>
      </c>
      <c r="R643" s="259">
        <f t="shared" si="1531"/>
        <v>0</v>
      </c>
      <c r="S643" s="626">
        <v>500</v>
      </c>
      <c r="T643" s="626">
        <v>0</v>
      </c>
      <c r="U643" s="626">
        <v>0</v>
      </c>
      <c r="V643" s="628">
        <f t="shared" si="1532"/>
        <v>500</v>
      </c>
      <c r="W643" s="500">
        <v>1</v>
      </c>
      <c r="X643" s="500">
        <v>1</v>
      </c>
      <c r="Y643" s="500">
        <v>1</v>
      </c>
      <c r="Z643" s="259">
        <f t="shared" si="1520"/>
        <v>0</v>
      </c>
      <c r="AA643" s="259">
        <f t="shared" si="1521"/>
        <v>0</v>
      </c>
      <c r="AB643" s="259">
        <f t="shared" si="1522"/>
        <v>0</v>
      </c>
      <c r="AC643" s="628">
        <f t="shared" si="1533"/>
        <v>0</v>
      </c>
      <c r="AD643" s="628">
        <f t="shared" si="1534"/>
        <v>0</v>
      </c>
      <c r="AE643" s="264">
        <f>$AI643/4</f>
        <v>0</v>
      </c>
      <c r="AF643" s="264">
        <f t="shared" ref="AF643:AH646" si="1541">$AI643/4</f>
        <v>0</v>
      </c>
      <c r="AG643" s="264">
        <f t="shared" si="1541"/>
        <v>0</v>
      </c>
      <c r="AH643" s="264">
        <f t="shared" si="1541"/>
        <v>0</v>
      </c>
      <c r="AI643" s="501">
        <v>0</v>
      </c>
      <c r="AJ643" s="264">
        <f t="shared" si="1524"/>
        <v>0</v>
      </c>
      <c r="AK643" s="264">
        <f t="shared" si="1525"/>
        <v>0</v>
      </c>
      <c r="AL643" s="264">
        <f t="shared" si="1526"/>
        <v>0</v>
      </c>
      <c r="AM643" s="264">
        <f t="shared" si="1527"/>
        <v>0</v>
      </c>
      <c r="AN643" s="640">
        <f t="shared" si="1535"/>
        <v>0</v>
      </c>
      <c r="AO643" s="264">
        <f t="shared" si="1528"/>
        <v>0</v>
      </c>
      <c r="AP643" s="640">
        <f t="shared" si="1529"/>
        <v>0</v>
      </c>
      <c r="AQ643" s="501"/>
      <c r="AR643" s="264" t="str">
        <f>VLOOKUP($I643,TableInputsData[],ReadMe!$M$3,FALSE)&amp;"  |  "&amp;VLOOKUP($K643,TableInputsData[],ReadMe!$M$3,FALSE)</f>
        <v>PRODUIT 16  |  VOLUME</v>
      </c>
      <c r="AS643" s="264" t="b">
        <f t="shared" si="1530"/>
        <v>1</v>
      </c>
      <c r="AT643" s="294"/>
    </row>
    <row r="644" spans="1:46" ht="13" x14ac:dyDescent="0.2">
      <c r="A644" s="294"/>
      <c r="B644" s="925"/>
      <c r="C644" s="271">
        <v>637</v>
      </c>
      <c r="D644" s="250">
        <f t="shared" si="1536"/>
        <v>0</v>
      </c>
      <c r="E644" s="250">
        <v>1</v>
      </c>
      <c r="F644" s="248" t="s">
        <v>398</v>
      </c>
      <c r="G644" s="250">
        <f>VLOOKUP(F644,TableInputsData[],$G$6,FALSE)</f>
        <v>2028</v>
      </c>
      <c r="H644" s="250" t="str">
        <f t="shared" ref="H644:I644" si="1542">H643</f>
        <v>PRODUCT</v>
      </c>
      <c r="I644" s="248" t="str">
        <f t="shared" si="1542"/>
        <v>PRODUCT 16</v>
      </c>
      <c r="J644" s="248" t="str">
        <f>VLOOKUP(I644,TableInputsData[],$J$6,FALSE)</f>
        <v>-</v>
      </c>
      <c r="K644" s="248" t="str">
        <f t="shared" si="1538"/>
        <v>VOLUME</v>
      </c>
      <c r="L644" s="499">
        <v>1000</v>
      </c>
      <c r="M644" s="499">
        <v>0</v>
      </c>
      <c r="N644" s="499">
        <v>0</v>
      </c>
      <c r="O644" s="264">
        <f t="shared" si="1519"/>
        <v>1000</v>
      </c>
      <c r="P644" s="500">
        <v>1</v>
      </c>
      <c r="Q644" s="500">
        <v>0</v>
      </c>
      <c r="R644" s="259">
        <f t="shared" si="1531"/>
        <v>0</v>
      </c>
      <c r="S644" s="626">
        <v>500</v>
      </c>
      <c r="T644" s="626">
        <v>0</v>
      </c>
      <c r="U644" s="626">
        <v>0</v>
      </c>
      <c r="V644" s="628">
        <f t="shared" si="1532"/>
        <v>500</v>
      </c>
      <c r="W644" s="500">
        <v>1</v>
      </c>
      <c r="X644" s="500">
        <v>1</v>
      </c>
      <c r="Y644" s="500">
        <v>1</v>
      </c>
      <c r="Z644" s="259">
        <f t="shared" si="1520"/>
        <v>0</v>
      </c>
      <c r="AA644" s="259">
        <f t="shared" si="1521"/>
        <v>0</v>
      </c>
      <c r="AB644" s="259">
        <f t="shared" si="1522"/>
        <v>0</v>
      </c>
      <c r="AC644" s="628">
        <f t="shared" si="1533"/>
        <v>0</v>
      </c>
      <c r="AD644" s="628">
        <f t="shared" si="1534"/>
        <v>0</v>
      </c>
      <c r="AE644" s="264">
        <f t="shared" ref="AE644:AE646" si="1543">$AI644/4</f>
        <v>0</v>
      </c>
      <c r="AF644" s="264">
        <f t="shared" si="1541"/>
        <v>0</v>
      </c>
      <c r="AG644" s="264">
        <f t="shared" si="1541"/>
        <v>0</v>
      </c>
      <c r="AH644" s="264">
        <f t="shared" si="1541"/>
        <v>0</v>
      </c>
      <c r="AI644" s="501">
        <v>0</v>
      </c>
      <c r="AJ644" s="264">
        <f t="shared" si="1524"/>
        <v>0</v>
      </c>
      <c r="AK644" s="264">
        <f t="shared" si="1525"/>
        <v>0</v>
      </c>
      <c r="AL644" s="264">
        <f t="shared" si="1526"/>
        <v>0</v>
      </c>
      <c r="AM644" s="264">
        <f t="shared" si="1527"/>
        <v>0</v>
      </c>
      <c r="AN644" s="640">
        <f t="shared" si="1535"/>
        <v>0</v>
      </c>
      <c r="AO644" s="264">
        <f t="shared" si="1528"/>
        <v>0</v>
      </c>
      <c r="AP644" s="640">
        <f t="shared" si="1529"/>
        <v>0</v>
      </c>
      <c r="AQ644" s="501"/>
      <c r="AR644" s="264" t="str">
        <f>VLOOKUP($I644,TableInputsData[],ReadMe!$M$3,FALSE)&amp;"  |  "&amp;VLOOKUP($K644,TableInputsData[],ReadMe!$M$3,FALSE)</f>
        <v>PRODUIT 16  |  VOLUME</v>
      </c>
      <c r="AS644" s="264" t="b">
        <f t="shared" si="1530"/>
        <v>1</v>
      </c>
      <c r="AT644" s="294"/>
    </row>
    <row r="645" spans="1:46" ht="13" x14ac:dyDescent="0.2">
      <c r="A645" s="294"/>
      <c r="B645" s="925"/>
      <c r="C645" s="271">
        <v>638</v>
      </c>
      <c r="D645" s="250">
        <f t="shared" si="1536"/>
        <v>0</v>
      </c>
      <c r="E645" s="250">
        <v>1</v>
      </c>
      <c r="F645" s="248" t="s">
        <v>399</v>
      </c>
      <c r="G645" s="250">
        <f>VLOOKUP(F645,TableInputsData[],$G$6,FALSE)</f>
        <v>2029</v>
      </c>
      <c r="H645" s="250" t="str">
        <f t="shared" ref="H645:I645" si="1544">H644</f>
        <v>PRODUCT</v>
      </c>
      <c r="I645" s="248" t="str">
        <f t="shared" si="1544"/>
        <v>PRODUCT 16</v>
      </c>
      <c r="J645" s="248" t="str">
        <f>VLOOKUP(I645,TableInputsData[],$J$6,FALSE)</f>
        <v>-</v>
      </c>
      <c r="K645" s="248" t="str">
        <f t="shared" si="1538"/>
        <v>VOLUME</v>
      </c>
      <c r="L645" s="499">
        <v>1000</v>
      </c>
      <c r="M645" s="499">
        <v>0</v>
      </c>
      <c r="N645" s="499">
        <v>0</v>
      </c>
      <c r="O645" s="264">
        <f t="shared" si="1519"/>
        <v>1000</v>
      </c>
      <c r="P645" s="500">
        <v>1</v>
      </c>
      <c r="Q645" s="500">
        <v>0</v>
      </c>
      <c r="R645" s="259">
        <f t="shared" si="1531"/>
        <v>0</v>
      </c>
      <c r="S645" s="626">
        <v>500</v>
      </c>
      <c r="T645" s="626">
        <v>0</v>
      </c>
      <c r="U645" s="626">
        <v>0</v>
      </c>
      <c r="V645" s="628">
        <f t="shared" si="1532"/>
        <v>500</v>
      </c>
      <c r="W645" s="500">
        <v>1</v>
      </c>
      <c r="X645" s="500">
        <v>1</v>
      </c>
      <c r="Y645" s="500">
        <v>1</v>
      </c>
      <c r="Z645" s="259">
        <f t="shared" si="1520"/>
        <v>0</v>
      </c>
      <c r="AA645" s="259">
        <f t="shared" si="1521"/>
        <v>0</v>
      </c>
      <c r="AB645" s="259">
        <f t="shared" si="1522"/>
        <v>0</v>
      </c>
      <c r="AC645" s="628">
        <f t="shared" si="1533"/>
        <v>0</v>
      </c>
      <c r="AD645" s="628">
        <f t="shared" si="1534"/>
        <v>0</v>
      </c>
      <c r="AE645" s="264">
        <f t="shared" si="1543"/>
        <v>0</v>
      </c>
      <c r="AF645" s="264">
        <f t="shared" si="1541"/>
        <v>0</v>
      </c>
      <c r="AG645" s="264">
        <f t="shared" si="1541"/>
        <v>0</v>
      </c>
      <c r="AH645" s="264">
        <f t="shared" si="1541"/>
        <v>0</v>
      </c>
      <c r="AI645" s="501">
        <v>0</v>
      </c>
      <c r="AJ645" s="264">
        <f t="shared" si="1524"/>
        <v>0</v>
      </c>
      <c r="AK645" s="264">
        <f t="shared" si="1525"/>
        <v>0</v>
      </c>
      <c r="AL645" s="264">
        <f t="shared" si="1526"/>
        <v>0</v>
      </c>
      <c r="AM645" s="264">
        <f t="shared" si="1527"/>
        <v>0</v>
      </c>
      <c r="AN645" s="640">
        <f t="shared" si="1535"/>
        <v>0</v>
      </c>
      <c r="AO645" s="264">
        <f t="shared" si="1528"/>
        <v>0</v>
      </c>
      <c r="AP645" s="640">
        <f t="shared" si="1529"/>
        <v>0</v>
      </c>
      <c r="AQ645" s="501"/>
      <c r="AR645" s="264" t="str">
        <f>VLOOKUP($I645,TableInputsData[],ReadMe!$M$3,FALSE)&amp;"  |  "&amp;VLOOKUP($K645,TableInputsData[],ReadMe!$M$3,FALSE)</f>
        <v>PRODUIT 16  |  VOLUME</v>
      </c>
      <c r="AS645" s="264" t="b">
        <f t="shared" si="1530"/>
        <v>1</v>
      </c>
      <c r="AT645" s="294"/>
    </row>
    <row r="646" spans="1:46" ht="13" x14ac:dyDescent="0.2">
      <c r="A646" s="294"/>
      <c r="B646" s="925"/>
      <c r="C646" s="271">
        <v>639</v>
      </c>
      <c r="D646" s="250">
        <f t="shared" si="1536"/>
        <v>0</v>
      </c>
      <c r="E646" s="250">
        <v>1</v>
      </c>
      <c r="F646" s="248" t="s">
        <v>400</v>
      </c>
      <c r="G646" s="250">
        <f>VLOOKUP(F646,TableInputsData[],$G$6,FALSE)</f>
        <v>2030</v>
      </c>
      <c r="H646" s="250" t="str">
        <f t="shared" ref="H646:I646" si="1545">H645</f>
        <v>PRODUCT</v>
      </c>
      <c r="I646" s="248" t="str">
        <f t="shared" si="1545"/>
        <v>PRODUCT 16</v>
      </c>
      <c r="J646" s="248" t="str">
        <f>VLOOKUP(I646,TableInputsData[],$J$6,FALSE)</f>
        <v>-</v>
      </c>
      <c r="K646" s="248" t="str">
        <f t="shared" si="1538"/>
        <v>VOLUME</v>
      </c>
      <c r="L646" s="499">
        <v>1000</v>
      </c>
      <c r="M646" s="499">
        <v>0</v>
      </c>
      <c r="N646" s="499">
        <v>0</v>
      </c>
      <c r="O646" s="264">
        <f t="shared" si="1519"/>
        <v>1000</v>
      </c>
      <c r="P646" s="500">
        <v>1</v>
      </c>
      <c r="Q646" s="500">
        <v>0</v>
      </c>
      <c r="R646" s="259">
        <f t="shared" si="1531"/>
        <v>0</v>
      </c>
      <c r="S646" s="626">
        <v>500</v>
      </c>
      <c r="T646" s="626">
        <v>0</v>
      </c>
      <c r="U646" s="626">
        <v>0</v>
      </c>
      <c r="V646" s="628">
        <f t="shared" si="1532"/>
        <v>500</v>
      </c>
      <c r="W646" s="500">
        <v>1</v>
      </c>
      <c r="X646" s="500">
        <v>1</v>
      </c>
      <c r="Y646" s="500">
        <v>1</v>
      </c>
      <c r="Z646" s="259">
        <f t="shared" si="1520"/>
        <v>0</v>
      </c>
      <c r="AA646" s="259">
        <f t="shared" si="1521"/>
        <v>0</v>
      </c>
      <c r="AB646" s="259">
        <f t="shared" si="1522"/>
        <v>0</v>
      </c>
      <c r="AC646" s="628">
        <f t="shared" si="1533"/>
        <v>0</v>
      </c>
      <c r="AD646" s="628">
        <f t="shared" si="1534"/>
        <v>0</v>
      </c>
      <c r="AE646" s="264">
        <f t="shared" si="1543"/>
        <v>0</v>
      </c>
      <c r="AF646" s="264">
        <f t="shared" si="1541"/>
        <v>0</v>
      </c>
      <c r="AG646" s="264">
        <f t="shared" si="1541"/>
        <v>0</v>
      </c>
      <c r="AH646" s="264">
        <f t="shared" si="1541"/>
        <v>0</v>
      </c>
      <c r="AI646" s="501">
        <v>0</v>
      </c>
      <c r="AJ646" s="264">
        <f t="shared" si="1524"/>
        <v>0</v>
      </c>
      <c r="AK646" s="264">
        <f t="shared" si="1525"/>
        <v>0</v>
      </c>
      <c r="AL646" s="264">
        <f t="shared" si="1526"/>
        <v>0</v>
      </c>
      <c r="AM646" s="264">
        <f t="shared" si="1527"/>
        <v>0</v>
      </c>
      <c r="AN646" s="640">
        <f t="shared" si="1535"/>
        <v>0</v>
      </c>
      <c r="AO646" s="264">
        <f t="shared" si="1528"/>
        <v>0</v>
      </c>
      <c r="AP646" s="640">
        <f t="shared" si="1529"/>
        <v>0</v>
      </c>
      <c r="AQ646" s="501"/>
      <c r="AR646" s="264" t="str">
        <f>VLOOKUP($I646,TableInputsData[],ReadMe!$M$3,FALSE)&amp;"  |  "&amp;VLOOKUP($K646,TableInputsData[],ReadMe!$M$3,FALSE)</f>
        <v>PRODUIT 16  |  VOLUME</v>
      </c>
      <c r="AS646" s="264" t="b">
        <f t="shared" si="1530"/>
        <v>1</v>
      </c>
      <c r="AT646" s="294"/>
    </row>
    <row r="647" spans="1:46" ht="13" hidden="1" x14ac:dyDescent="0.2">
      <c r="A647" s="294"/>
      <c r="B647" s="925"/>
      <c r="C647" s="272">
        <v>640</v>
      </c>
      <c r="D647" s="250">
        <f t="shared" si="1536"/>
        <v>0</v>
      </c>
      <c r="E647" s="251"/>
      <c r="F647" s="248" t="str">
        <f t="shared" ref="F647:F654" si="1546">F655</f>
        <v>YEAR-2</v>
      </c>
      <c r="G647" s="250">
        <f>VLOOKUP(F647,TableInputsData[],$G$6,FALSE)</f>
        <v>2023</v>
      </c>
      <c r="H647" s="250" t="str">
        <f t="shared" ref="H647:I647" si="1547">H646</f>
        <v>PRODUCT</v>
      </c>
      <c r="I647" s="248" t="str">
        <f t="shared" si="1547"/>
        <v>PRODUCT 16</v>
      </c>
      <c r="J647" s="248" t="str">
        <f>VLOOKUP(I647,TableInputsData[],$J$6,FALSE)</f>
        <v>-</v>
      </c>
      <c r="K647" s="248" t="s">
        <v>457</v>
      </c>
      <c r="L647" s="256"/>
      <c r="M647" s="256"/>
      <c r="N647" s="256"/>
      <c r="O647" s="266"/>
      <c r="P647" s="261"/>
      <c r="Q647" s="261"/>
      <c r="R647" s="261"/>
      <c r="S647" s="629"/>
      <c r="T647" s="629"/>
      <c r="U647" s="629"/>
      <c r="V647" s="629"/>
      <c r="W647" s="261"/>
      <c r="X647" s="261"/>
      <c r="Y647" s="261"/>
      <c r="Z647" s="261"/>
      <c r="AA647" s="261"/>
      <c r="AB647" s="261"/>
      <c r="AC647" s="266"/>
      <c r="AD647" s="633"/>
      <c r="AE647" s="264">
        <f>AE639*($L639*$P639+$M639*$Q639+$N639*$R639)</f>
        <v>0</v>
      </c>
      <c r="AF647" s="264">
        <f t="shared" ref="AF647:AH647" si="1548">AF639*($L639*$P639+$M639*$Q639+$N639*$R639)</f>
        <v>0</v>
      </c>
      <c r="AG647" s="264">
        <f t="shared" si="1548"/>
        <v>0</v>
      </c>
      <c r="AH647" s="264">
        <f t="shared" si="1548"/>
        <v>0</v>
      </c>
      <c r="AI647" s="264">
        <f>$AE647+$AF647+$AG647+$AH647</f>
        <v>0</v>
      </c>
      <c r="AJ647" s="264">
        <f t="shared" ref="AJ647:AJ654" si="1549">$AJ639*$L639</f>
        <v>0</v>
      </c>
      <c r="AK647" s="264">
        <f t="shared" ref="AK647:AK654" si="1550">$AK639*$M639</f>
        <v>0</v>
      </c>
      <c r="AL647" s="264">
        <f t="shared" ref="AL647:AL654" si="1551">$AL639*$N639</f>
        <v>0</v>
      </c>
      <c r="AM647" s="264">
        <f t="shared" ref="AM647:AM654" si="1552">$AJ647*$W639+$AK647*$X639+$AL647*$Y639</f>
        <v>0</v>
      </c>
      <c r="AN647" s="640">
        <f t="shared" si="1535"/>
        <v>0</v>
      </c>
      <c r="AO647" s="264">
        <f t="shared" ref="AO647:AO654" si="1553">$AJ647*$Z639+$AK647*$AA639+$AL647*$AB639</f>
        <v>0</v>
      </c>
      <c r="AP647" s="640">
        <f t="shared" si="1529"/>
        <v>0</v>
      </c>
      <c r="AQ647" s="264"/>
      <c r="AR647" s="264" t="str">
        <f>VLOOKUP($I647,TableInputsData[],ReadMe!$M$3,FALSE)&amp;"  |  "&amp;VLOOKUP($K647,TableInputsData[],ReadMe!$M$3,FALSE)</f>
        <v>PRODUIT 16  |  CHIFFRE D'AFFAIRES</v>
      </c>
      <c r="AS647" s="264" t="b">
        <f t="shared" ref="AS647:AS654" si="1554">AND(EXACT(ROUND(AI647,2),ROUND(AJ647+AK647+AL647,2)),EXACT(ROUND(AI647,2),ROUND(AM647+AO647,2)))</f>
        <v>1</v>
      </c>
      <c r="AT647" s="294"/>
    </row>
    <row r="648" spans="1:46" ht="13" hidden="1" x14ac:dyDescent="0.2">
      <c r="A648" s="294"/>
      <c r="B648" s="925"/>
      <c r="C648" s="271">
        <v>641</v>
      </c>
      <c r="D648" s="250">
        <f t="shared" si="1536"/>
        <v>0</v>
      </c>
      <c r="E648" s="250"/>
      <c r="F648" s="248" t="str">
        <f t="shared" si="1546"/>
        <v>YEAR-1</v>
      </c>
      <c r="G648" s="250">
        <f>VLOOKUP(F648,TableInputsData[],$G$6,FALSE)</f>
        <v>2024</v>
      </c>
      <c r="H648" s="250" t="str">
        <f t="shared" ref="H648:I648" si="1555">H647</f>
        <v>PRODUCT</v>
      </c>
      <c r="I648" s="248" t="str">
        <f t="shared" si="1555"/>
        <v>PRODUCT 16</v>
      </c>
      <c r="J648" s="248" t="str">
        <f>VLOOKUP(I648,TableInputsData[],$J$6,FALSE)</f>
        <v>-</v>
      </c>
      <c r="K648" s="248" t="str">
        <f>K647</f>
        <v>REVENUE</v>
      </c>
      <c r="L648" s="255"/>
      <c r="M648" s="255"/>
      <c r="N648" s="255"/>
      <c r="O648" s="265"/>
      <c r="P648" s="260"/>
      <c r="Q648" s="260"/>
      <c r="R648" s="260"/>
      <c r="S648" s="630"/>
      <c r="T648" s="630"/>
      <c r="U648" s="630"/>
      <c r="V648" s="630"/>
      <c r="W648" s="260"/>
      <c r="X648" s="260"/>
      <c r="Y648" s="260"/>
      <c r="Z648" s="260"/>
      <c r="AA648" s="260"/>
      <c r="AB648" s="260"/>
      <c r="AC648" s="265"/>
      <c r="AD648" s="634"/>
      <c r="AE648" s="264">
        <f t="shared" ref="AE648:AH648" si="1556">AE640*($L640*$P640+$M640*$Q640+$N640*$R640)</f>
        <v>0</v>
      </c>
      <c r="AF648" s="264">
        <f t="shared" si="1556"/>
        <v>0</v>
      </c>
      <c r="AG648" s="264">
        <f t="shared" si="1556"/>
        <v>0</v>
      </c>
      <c r="AH648" s="264">
        <f t="shared" si="1556"/>
        <v>0</v>
      </c>
      <c r="AI648" s="264">
        <f t="shared" ref="AI648:AI653" si="1557">$AE648+$AF648+$AG648+$AH648</f>
        <v>0</v>
      </c>
      <c r="AJ648" s="264">
        <f t="shared" si="1549"/>
        <v>0</v>
      </c>
      <c r="AK648" s="264">
        <f t="shared" si="1550"/>
        <v>0</v>
      </c>
      <c r="AL648" s="264">
        <f t="shared" si="1551"/>
        <v>0</v>
      </c>
      <c r="AM648" s="264">
        <f t="shared" si="1552"/>
        <v>0</v>
      </c>
      <c r="AN648" s="640">
        <f t="shared" si="1535"/>
        <v>0</v>
      </c>
      <c r="AO648" s="264">
        <f t="shared" si="1553"/>
        <v>0</v>
      </c>
      <c r="AP648" s="640">
        <f t="shared" si="1529"/>
        <v>0</v>
      </c>
      <c r="AQ648" s="264"/>
      <c r="AR648" s="264" t="str">
        <f>VLOOKUP($I648,TableInputsData[],ReadMe!$M$3,FALSE)&amp;"  |  "&amp;VLOOKUP($K648,TableInputsData[],ReadMe!$M$3,FALSE)</f>
        <v>PRODUIT 16  |  CHIFFRE D'AFFAIRES</v>
      </c>
      <c r="AS648" s="264" t="b">
        <f t="shared" si="1554"/>
        <v>1</v>
      </c>
      <c r="AT648" s="294"/>
    </row>
    <row r="649" spans="1:46" ht="13" hidden="1" x14ac:dyDescent="0.2">
      <c r="A649" s="294"/>
      <c r="B649" s="925"/>
      <c r="C649" s="271">
        <v>642</v>
      </c>
      <c r="D649" s="250">
        <f t="shared" si="1536"/>
        <v>0</v>
      </c>
      <c r="E649" s="250"/>
      <c r="F649" s="248" t="str">
        <f t="shared" si="1546"/>
        <v>CURRENT YEAR</v>
      </c>
      <c r="G649" s="250">
        <f>VLOOKUP(F649,TableInputsData[],$G$6,FALSE)</f>
        <v>2025</v>
      </c>
      <c r="H649" s="250" t="str">
        <f t="shared" ref="H649:I649" si="1558">H648</f>
        <v>PRODUCT</v>
      </c>
      <c r="I649" s="248" t="str">
        <f t="shared" si="1558"/>
        <v>PRODUCT 16</v>
      </c>
      <c r="J649" s="248" t="str">
        <f>VLOOKUP(I649,TableInputsData[],$J$6,FALSE)</f>
        <v>-</v>
      </c>
      <c r="K649" s="248" t="str">
        <f t="shared" ref="K649:K654" si="1559">K648</f>
        <v>REVENUE</v>
      </c>
      <c r="L649" s="255"/>
      <c r="M649" s="255"/>
      <c r="N649" s="255"/>
      <c r="O649" s="265"/>
      <c r="P649" s="260"/>
      <c r="Q649" s="260"/>
      <c r="R649" s="260"/>
      <c r="S649" s="630"/>
      <c r="T649" s="630"/>
      <c r="U649" s="630"/>
      <c r="V649" s="630"/>
      <c r="W649" s="260"/>
      <c r="X649" s="260"/>
      <c r="Y649" s="260"/>
      <c r="Z649" s="260"/>
      <c r="AA649" s="260"/>
      <c r="AB649" s="260"/>
      <c r="AC649" s="265"/>
      <c r="AD649" s="634"/>
      <c r="AE649" s="264">
        <f t="shared" ref="AE649:AH649" si="1560">AE641*($L641*$P641+$M641*$Q641+$N641*$R641)</f>
        <v>0</v>
      </c>
      <c r="AF649" s="264">
        <f t="shared" si="1560"/>
        <v>0</v>
      </c>
      <c r="AG649" s="264">
        <f t="shared" si="1560"/>
        <v>0</v>
      </c>
      <c r="AH649" s="264">
        <f t="shared" si="1560"/>
        <v>0</v>
      </c>
      <c r="AI649" s="264">
        <f t="shared" si="1557"/>
        <v>0</v>
      </c>
      <c r="AJ649" s="264">
        <f t="shared" si="1549"/>
        <v>0</v>
      </c>
      <c r="AK649" s="264">
        <f t="shared" si="1550"/>
        <v>0</v>
      </c>
      <c r="AL649" s="264">
        <f t="shared" si="1551"/>
        <v>0</v>
      </c>
      <c r="AM649" s="264">
        <f t="shared" si="1552"/>
        <v>0</v>
      </c>
      <c r="AN649" s="640">
        <f t="shared" si="1535"/>
        <v>0</v>
      </c>
      <c r="AO649" s="264">
        <f t="shared" si="1553"/>
        <v>0</v>
      </c>
      <c r="AP649" s="640">
        <f t="shared" si="1529"/>
        <v>0</v>
      </c>
      <c r="AQ649" s="264"/>
      <c r="AR649" s="264" t="str">
        <f>VLOOKUP($I649,TableInputsData[],ReadMe!$M$3,FALSE)&amp;"  |  "&amp;VLOOKUP($K649,TableInputsData[],ReadMe!$M$3,FALSE)</f>
        <v>PRODUIT 16  |  CHIFFRE D'AFFAIRES</v>
      </c>
      <c r="AS649" s="264" t="b">
        <f t="shared" si="1554"/>
        <v>1</v>
      </c>
      <c r="AT649" s="294"/>
    </row>
    <row r="650" spans="1:46" ht="13" hidden="1" x14ac:dyDescent="0.2">
      <c r="A650" s="294"/>
      <c r="B650" s="925"/>
      <c r="C650" s="271">
        <v>643</v>
      </c>
      <c r="D650" s="250">
        <f t="shared" si="1536"/>
        <v>0</v>
      </c>
      <c r="E650" s="250"/>
      <c r="F650" s="248" t="str">
        <f t="shared" si="1546"/>
        <v>YEAR2</v>
      </c>
      <c r="G650" s="250">
        <f>VLOOKUP(F650,TableInputsData[],$G$6,FALSE)</f>
        <v>2026</v>
      </c>
      <c r="H650" s="250" t="str">
        <f t="shared" ref="H650:I650" si="1561">H649</f>
        <v>PRODUCT</v>
      </c>
      <c r="I650" s="248" t="str">
        <f t="shared" si="1561"/>
        <v>PRODUCT 16</v>
      </c>
      <c r="J650" s="248" t="str">
        <f>VLOOKUP(I650,TableInputsData[],$J$6,FALSE)</f>
        <v>-</v>
      </c>
      <c r="K650" s="248" t="str">
        <f t="shared" si="1559"/>
        <v>REVENUE</v>
      </c>
      <c r="L650" s="255"/>
      <c r="M650" s="255"/>
      <c r="N650" s="255"/>
      <c r="O650" s="265"/>
      <c r="P650" s="260"/>
      <c r="Q650" s="260"/>
      <c r="R650" s="260"/>
      <c r="S650" s="630"/>
      <c r="T650" s="630"/>
      <c r="U650" s="630"/>
      <c r="V650" s="630"/>
      <c r="W650" s="260"/>
      <c r="X650" s="260"/>
      <c r="Y650" s="260"/>
      <c r="Z650" s="260"/>
      <c r="AA650" s="260"/>
      <c r="AB650" s="260"/>
      <c r="AC650" s="265"/>
      <c r="AD650" s="634"/>
      <c r="AE650" s="264">
        <f t="shared" ref="AE650:AH650" si="1562">AE642*($L642*$P642+$M642*$Q642+$N642*$R642)</f>
        <v>0</v>
      </c>
      <c r="AF650" s="264">
        <f t="shared" si="1562"/>
        <v>0</v>
      </c>
      <c r="AG650" s="264">
        <f t="shared" si="1562"/>
        <v>0</v>
      </c>
      <c r="AH650" s="264">
        <f t="shared" si="1562"/>
        <v>0</v>
      </c>
      <c r="AI650" s="264">
        <f t="shared" si="1557"/>
        <v>0</v>
      </c>
      <c r="AJ650" s="264">
        <f t="shared" si="1549"/>
        <v>0</v>
      </c>
      <c r="AK650" s="264">
        <f t="shared" si="1550"/>
        <v>0</v>
      </c>
      <c r="AL650" s="264">
        <f t="shared" si="1551"/>
        <v>0</v>
      </c>
      <c r="AM650" s="264">
        <f t="shared" si="1552"/>
        <v>0</v>
      </c>
      <c r="AN650" s="640">
        <f t="shared" si="1535"/>
        <v>0</v>
      </c>
      <c r="AO650" s="264">
        <f t="shared" si="1553"/>
        <v>0</v>
      </c>
      <c r="AP650" s="640">
        <f t="shared" si="1529"/>
        <v>0</v>
      </c>
      <c r="AQ650" s="264"/>
      <c r="AR650" s="264" t="str">
        <f>VLOOKUP($I650,TableInputsData[],ReadMe!$M$3,FALSE)&amp;"  |  "&amp;VLOOKUP($K650,TableInputsData[],ReadMe!$M$3,FALSE)</f>
        <v>PRODUIT 16  |  CHIFFRE D'AFFAIRES</v>
      </c>
      <c r="AS650" s="264" t="b">
        <f t="shared" si="1554"/>
        <v>1</v>
      </c>
      <c r="AT650" s="294"/>
    </row>
    <row r="651" spans="1:46" ht="13" hidden="1" x14ac:dyDescent="0.2">
      <c r="A651" s="294"/>
      <c r="B651" s="925"/>
      <c r="C651" s="271">
        <v>644</v>
      </c>
      <c r="D651" s="250">
        <f t="shared" si="1536"/>
        <v>0</v>
      </c>
      <c r="E651" s="250"/>
      <c r="F651" s="248" t="str">
        <f t="shared" si="1546"/>
        <v>YEAR3</v>
      </c>
      <c r="G651" s="250">
        <f>VLOOKUP(F651,TableInputsData[],$G$6,FALSE)</f>
        <v>2027</v>
      </c>
      <c r="H651" s="250" t="str">
        <f t="shared" ref="H651:I651" si="1563">H650</f>
        <v>PRODUCT</v>
      </c>
      <c r="I651" s="248" t="str">
        <f t="shared" si="1563"/>
        <v>PRODUCT 16</v>
      </c>
      <c r="J651" s="248" t="str">
        <f>VLOOKUP(I651,TableInputsData[],$J$6,FALSE)</f>
        <v>-</v>
      </c>
      <c r="K651" s="248" t="str">
        <f t="shared" si="1559"/>
        <v>REVENUE</v>
      </c>
      <c r="L651" s="255"/>
      <c r="M651" s="255"/>
      <c r="N651" s="255"/>
      <c r="O651" s="265"/>
      <c r="P651" s="260"/>
      <c r="Q651" s="260"/>
      <c r="R651" s="260"/>
      <c r="S651" s="630"/>
      <c r="T651" s="630"/>
      <c r="U651" s="630"/>
      <c r="V651" s="630"/>
      <c r="W651" s="260"/>
      <c r="X651" s="260"/>
      <c r="Y651" s="260"/>
      <c r="Z651" s="260"/>
      <c r="AA651" s="260"/>
      <c r="AB651" s="260"/>
      <c r="AC651" s="265"/>
      <c r="AD651" s="634"/>
      <c r="AE651" s="264">
        <f t="shared" ref="AE651:AH651" si="1564">AE643*($L643*$P643+$M643*$Q643+$N643*$R643)</f>
        <v>0</v>
      </c>
      <c r="AF651" s="264">
        <f t="shared" si="1564"/>
        <v>0</v>
      </c>
      <c r="AG651" s="264">
        <f t="shared" si="1564"/>
        <v>0</v>
      </c>
      <c r="AH651" s="264">
        <f t="shared" si="1564"/>
        <v>0</v>
      </c>
      <c r="AI651" s="264">
        <f t="shared" si="1557"/>
        <v>0</v>
      </c>
      <c r="AJ651" s="264">
        <f t="shared" si="1549"/>
        <v>0</v>
      </c>
      <c r="AK651" s="264">
        <f t="shared" si="1550"/>
        <v>0</v>
      </c>
      <c r="AL651" s="264">
        <f t="shared" si="1551"/>
        <v>0</v>
      </c>
      <c r="AM651" s="264">
        <f t="shared" si="1552"/>
        <v>0</v>
      </c>
      <c r="AN651" s="640">
        <f t="shared" si="1535"/>
        <v>0</v>
      </c>
      <c r="AO651" s="264">
        <f t="shared" si="1553"/>
        <v>0</v>
      </c>
      <c r="AP651" s="640">
        <f t="shared" si="1529"/>
        <v>0</v>
      </c>
      <c r="AQ651" s="264"/>
      <c r="AR651" s="264" t="str">
        <f>VLOOKUP($I651,TableInputsData[],ReadMe!$M$3,FALSE)&amp;"  |  "&amp;VLOOKUP($K651,TableInputsData[],ReadMe!$M$3,FALSE)</f>
        <v>PRODUIT 16  |  CHIFFRE D'AFFAIRES</v>
      </c>
      <c r="AS651" s="264" t="b">
        <f t="shared" si="1554"/>
        <v>1</v>
      </c>
      <c r="AT651" s="294"/>
    </row>
    <row r="652" spans="1:46" ht="13" hidden="1" x14ac:dyDescent="0.2">
      <c r="A652" s="294"/>
      <c r="B652" s="925"/>
      <c r="C652" s="271">
        <v>645</v>
      </c>
      <c r="D652" s="250">
        <f t="shared" si="1536"/>
        <v>0</v>
      </c>
      <c r="E652" s="250"/>
      <c r="F652" s="248" t="str">
        <f t="shared" si="1546"/>
        <v>YEAR4</v>
      </c>
      <c r="G652" s="250">
        <f>VLOOKUP(F652,TableInputsData[],$G$6,FALSE)</f>
        <v>2028</v>
      </c>
      <c r="H652" s="250" t="str">
        <f t="shared" ref="H652:I652" si="1565">H651</f>
        <v>PRODUCT</v>
      </c>
      <c r="I652" s="248" t="str">
        <f t="shared" si="1565"/>
        <v>PRODUCT 16</v>
      </c>
      <c r="J652" s="248" t="str">
        <f>VLOOKUP(I652,TableInputsData[],$J$6,FALSE)</f>
        <v>-</v>
      </c>
      <c r="K652" s="248" t="str">
        <f t="shared" si="1559"/>
        <v>REVENUE</v>
      </c>
      <c r="L652" s="255"/>
      <c r="M652" s="255"/>
      <c r="N652" s="255"/>
      <c r="O652" s="265"/>
      <c r="P652" s="260"/>
      <c r="Q652" s="260"/>
      <c r="R652" s="260"/>
      <c r="S652" s="630"/>
      <c r="T652" s="630"/>
      <c r="U652" s="630"/>
      <c r="V652" s="630"/>
      <c r="W652" s="260"/>
      <c r="X652" s="260"/>
      <c r="Y652" s="260"/>
      <c r="Z652" s="260"/>
      <c r="AA652" s="260"/>
      <c r="AB652" s="260"/>
      <c r="AC652" s="265"/>
      <c r="AD652" s="634"/>
      <c r="AE652" s="264">
        <f t="shared" ref="AE652:AH652" si="1566">AE644*($L644*$P644+$M644*$Q644+$N644*$R644)</f>
        <v>0</v>
      </c>
      <c r="AF652" s="264">
        <f t="shared" si="1566"/>
        <v>0</v>
      </c>
      <c r="AG652" s="264">
        <f t="shared" si="1566"/>
        <v>0</v>
      </c>
      <c r="AH652" s="264">
        <f t="shared" si="1566"/>
        <v>0</v>
      </c>
      <c r="AI652" s="264">
        <f t="shared" si="1557"/>
        <v>0</v>
      </c>
      <c r="AJ652" s="264">
        <f t="shared" si="1549"/>
        <v>0</v>
      </c>
      <c r="AK652" s="264">
        <f t="shared" si="1550"/>
        <v>0</v>
      </c>
      <c r="AL652" s="264">
        <f t="shared" si="1551"/>
        <v>0</v>
      </c>
      <c r="AM652" s="264">
        <f t="shared" si="1552"/>
        <v>0</v>
      </c>
      <c r="AN652" s="640">
        <f t="shared" si="1535"/>
        <v>0</v>
      </c>
      <c r="AO652" s="264">
        <f t="shared" si="1553"/>
        <v>0</v>
      </c>
      <c r="AP652" s="640">
        <f t="shared" si="1529"/>
        <v>0</v>
      </c>
      <c r="AQ652" s="264"/>
      <c r="AR652" s="264" t="str">
        <f>VLOOKUP($I652,TableInputsData[],ReadMe!$M$3,FALSE)&amp;"  |  "&amp;VLOOKUP($K652,TableInputsData[],ReadMe!$M$3,FALSE)</f>
        <v>PRODUIT 16  |  CHIFFRE D'AFFAIRES</v>
      </c>
      <c r="AS652" s="264" t="b">
        <f t="shared" si="1554"/>
        <v>1</v>
      </c>
      <c r="AT652" s="294"/>
    </row>
    <row r="653" spans="1:46" ht="13" hidden="1" x14ac:dyDescent="0.2">
      <c r="A653" s="294"/>
      <c r="B653" s="925"/>
      <c r="C653" s="271">
        <v>646</v>
      </c>
      <c r="D653" s="250">
        <f t="shared" si="1536"/>
        <v>0</v>
      </c>
      <c r="E653" s="250"/>
      <c r="F653" s="248" t="str">
        <f t="shared" si="1546"/>
        <v>YEAR5</v>
      </c>
      <c r="G653" s="250">
        <f>VLOOKUP(F653,TableInputsData[],$G$6,FALSE)</f>
        <v>2029</v>
      </c>
      <c r="H653" s="250" t="str">
        <f t="shared" ref="H653:I653" si="1567">H652</f>
        <v>PRODUCT</v>
      </c>
      <c r="I653" s="248" t="str">
        <f t="shared" si="1567"/>
        <v>PRODUCT 16</v>
      </c>
      <c r="J653" s="248" t="str">
        <f>VLOOKUP(I653,TableInputsData[],$J$6,FALSE)</f>
        <v>-</v>
      </c>
      <c r="K653" s="248" t="str">
        <f t="shared" si="1559"/>
        <v>REVENUE</v>
      </c>
      <c r="L653" s="255"/>
      <c r="M653" s="255"/>
      <c r="N653" s="255"/>
      <c r="O653" s="265"/>
      <c r="P653" s="260"/>
      <c r="Q653" s="260"/>
      <c r="R653" s="260"/>
      <c r="S653" s="630"/>
      <c r="T653" s="630"/>
      <c r="U653" s="630"/>
      <c r="V653" s="630"/>
      <c r="W653" s="260"/>
      <c r="X653" s="260"/>
      <c r="Y653" s="260"/>
      <c r="Z653" s="260"/>
      <c r="AA653" s="260"/>
      <c r="AB653" s="260"/>
      <c r="AC653" s="265"/>
      <c r="AD653" s="634"/>
      <c r="AE653" s="264">
        <f t="shared" ref="AE653:AH653" si="1568">AE645*($L645*$P645+$M645*$Q645+$N645*$R645)</f>
        <v>0</v>
      </c>
      <c r="AF653" s="264">
        <f t="shared" si="1568"/>
        <v>0</v>
      </c>
      <c r="AG653" s="264">
        <f t="shared" si="1568"/>
        <v>0</v>
      </c>
      <c r="AH653" s="264">
        <f t="shared" si="1568"/>
        <v>0</v>
      </c>
      <c r="AI653" s="264">
        <f t="shared" si="1557"/>
        <v>0</v>
      </c>
      <c r="AJ653" s="264">
        <f t="shared" si="1549"/>
        <v>0</v>
      </c>
      <c r="AK653" s="264">
        <f t="shared" si="1550"/>
        <v>0</v>
      </c>
      <c r="AL653" s="264">
        <f t="shared" si="1551"/>
        <v>0</v>
      </c>
      <c r="AM653" s="264">
        <f t="shared" si="1552"/>
        <v>0</v>
      </c>
      <c r="AN653" s="640">
        <f t="shared" si="1535"/>
        <v>0</v>
      </c>
      <c r="AO653" s="264">
        <f t="shared" si="1553"/>
        <v>0</v>
      </c>
      <c r="AP653" s="640">
        <f t="shared" si="1529"/>
        <v>0</v>
      </c>
      <c r="AQ653" s="264"/>
      <c r="AR653" s="264" t="str">
        <f>VLOOKUP($I653,TableInputsData[],ReadMe!$M$3,FALSE)&amp;"  |  "&amp;VLOOKUP($K653,TableInputsData[],ReadMe!$M$3,FALSE)</f>
        <v>PRODUIT 16  |  CHIFFRE D'AFFAIRES</v>
      </c>
      <c r="AS653" s="264" t="b">
        <f t="shared" si="1554"/>
        <v>1</v>
      </c>
      <c r="AT653" s="294"/>
    </row>
    <row r="654" spans="1:46" ht="13" hidden="1" x14ac:dyDescent="0.2">
      <c r="A654" s="294"/>
      <c r="B654" s="925"/>
      <c r="C654" s="271">
        <v>647</v>
      </c>
      <c r="D654" s="250">
        <f t="shared" si="1536"/>
        <v>0</v>
      </c>
      <c r="E654" s="250"/>
      <c r="F654" s="248" t="str">
        <f t="shared" si="1546"/>
        <v>YEAR6</v>
      </c>
      <c r="G654" s="250">
        <f>VLOOKUP(F654,TableInputsData[],$G$6,FALSE)</f>
        <v>2030</v>
      </c>
      <c r="H654" s="250" t="str">
        <f t="shared" ref="H654:I654" si="1569">H653</f>
        <v>PRODUCT</v>
      </c>
      <c r="I654" s="248" t="str">
        <f t="shared" si="1569"/>
        <v>PRODUCT 16</v>
      </c>
      <c r="J654" s="248" t="str">
        <f>VLOOKUP(I654,TableInputsData[],$J$6,FALSE)</f>
        <v>-</v>
      </c>
      <c r="K654" s="248" t="str">
        <f t="shared" si="1559"/>
        <v>REVENUE</v>
      </c>
      <c r="L654" s="255"/>
      <c r="M654" s="255"/>
      <c r="N654" s="255"/>
      <c r="O654" s="265"/>
      <c r="P654" s="260"/>
      <c r="Q654" s="260"/>
      <c r="R654" s="260"/>
      <c r="S654" s="630"/>
      <c r="T654" s="630"/>
      <c r="U654" s="630"/>
      <c r="V654" s="630"/>
      <c r="W654" s="260"/>
      <c r="X654" s="260"/>
      <c r="Y654" s="260"/>
      <c r="Z654" s="260"/>
      <c r="AA654" s="260"/>
      <c r="AB654" s="260"/>
      <c r="AC654" s="265"/>
      <c r="AD654" s="634"/>
      <c r="AE654" s="264">
        <f t="shared" ref="AE654:AH654" si="1570">AE646*($L646*$P646+$M646*$Q646+$N646*$R646)</f>
        <v>0</v>
      </c>
      <c r="AF654" s="264">
        <f t="shared" si="1570"/>
        <v>0</v>
      </c>
      <c r="AG654" s="264">
        <f t="shared" si="1570"/>
        <v>0</v>
      </c>
      <c r="AH654" s="264">
        <f t="shared" si="1570"/>
        <v>0</v>
      </c>
      <c r="AI654" s="264">
        <f>$AE654+$AF654+$AG654+$AH654</f>
        <v>0</v>
      </c>
      <c r="AJ654" s="264">
        <f t="shared" si="1549"/>
        <v>0</v>
      </c>
      <c r="AK654" s="264">
        <f t="shared" si="1550"/>
        <v>0</v>
      </c>
      <c r="AL654" s="264">
        <f t="shared" si="1551"/>
        <v>0</v>
      </c>
      <c r="AM654" s="264">
        <f t="shared" si="1552"/>
        <v>0</v>
      </c>
      <c r="AN654" s="640">
        <f t="shared" si="1535"/>
        <v>0</v>
      </c>
      <c r="AO654" s="264">
        <f t="shared" si="1553"/>
        <v>0</v>
      </c>
      <c r="AP654" s="640">
        <f t="shared" si="1529"/>
        <v>0</v>
      </c>
      <c r="AQ654" s="264"/>
      <c r="AR654" s="264" t="str">
        <f>VLOOKUP($I654,TableInputsData[],ReadMe!$M$3,FALSE)&amp;"  |  "&amp;VLOOKUP($K654,TableInputsData[],ReadMe!$M$3,FALSE)</f>
        <v>PRODUIT 16  |  CHIFFRE D'AFFAIRES</v>
      </c>
      <c r="AS654" s="264" t="b">
        <f t="shared" si="1554"/>
        <v>1</v>
      </c>
      <c r="AT654" s="294"/>
    </row>
    <row r="655" spans="1:46" ht="13" hidden="1" x14ac:dyDescent="0.2">
      <c r="A655" s="294"/>
      <c r="B655" s="925"/>
      <c r="C655" s="271">
        <v>648</v>
      </c>
      <c r="D655" s="250">
        <f t="shared" si="1536"/>
        <v>0</v>
      </c>
      <c r="E655" s="250"/>
      <c r="F655" s="248" t="str">
        <f t="shared" ref="F655:F662" si="1571">F639</f>
        <v>YEAR-2</v>
      </c>
      <c r="G655" s="250">
        <f>VLOOKUP(F655,TableInputsData[],$G$6,FALSE)</f>
        <v>2023</v>
      </c>
      <c r="H655" s="250" t="str">
        <f t="shared" ref="H655:I655" si="1572">H654</f>
        <v>PRODUCT</v>
      </c>
      <c r="I655" s="248" t="str">
        <f t="shared" si="1572"/>
        <v>PRODUCT 16</v>
      </c>
      <c r="J655" s="248" t="str">
        <f>VLOOKUP(I655,TableInputsData[],$J$6,FALSE)</f>
        <v>-</v>
      </c>
      <c r="K655" s="248" t="s">
        <v>456</v>
      </c>
      <c r="L655" s="255"/>
      <c r="M655" s="255"/>
      <c r="N655" s="255"/>
      <c r="O655" s="265"/>
      <c r="P655" s="260"/>
      <c r="Q655" s="260"/>
      <c r="R655" s="260"/>
      <c r="S655" s="630"/>
      <c r="T655" s="630"/>
      <c r="U655" s="630"/>
      <c r="V655" s="630"/>
      <c r="W655" s="260"/>
      <c r="X655" s="260"/>
      <c r="Y655" s="260"/>
      <c r="Z655" s="260"/>
      <c r="AA655" s="260"/>
      <c r="AB655" s="260"/>
      <c r="AC655" s="265"/>
      <c r="AD655" s="634"/>
      <c r="AE655" s="264">
        <f>IF(AE639=0,0,AE647/AE639)</f>
        <v>0</v>
      </c>
      <c r="AF655" s="264">
        <f t="shared" ref="AF655:AI655" si="1573">IF(AF639=0,0,AF647/AF639)</f>
        <v>0</v>
      </c>
      <c r="AG655" s="264">
        <f t="shared" si="1573"/>
        <v>0</v>
      </c>
      <c r="AH655" s="264">
        <f t="shared" si="1573"/>
        <v>0</v>
      </c>
      <c r="AI655" s="264">
        <f t="shared" si="1573"/>
        <v>0</v>
      </c>
      <c r="AJ655" s="264">
        <f>IF(AJ639=0,0,AJ647/AJ639)</f>
        <v>0</v>
      </c>
      <c r="AK655" s="264">
        <f t="shared" ref="AK655:AL655" si="1574">IF(AK639=0,0,AK647/AK639)</f>
        <v>0</v>
      </c>
      <c r="AL655" s="264">
        <f t="shared" si="1574"/>
        <v>0</v>
      </c>
      <c r="AM655" s="264">
        <f>IF(AM639=0,0,AM647/AM639)</f>
        <v>0</v>
      </c>
      <c r="AN655" s="260"/>
      <c r="AO655" s="264">
        <f t="shared" ref="AO655:AO662" si="1575">IF(AO639=0,0,AO647/AO639)</f>
        <v>0</v>
      </c>
      <c r="AP655" s="260"/>
      <c r="AQ655" s="264"/>
      <c r="AR655" s="264" t="str">
        <f>VLOOKUP($I655,TableInputsData[],ReadMe!$M$3,FALSE)&amp;"  |  "&amp;VLOOKUP($K655,TableInputsData[],ReadMe!$M$3,FALSE)</f>
        <v>PRODUIT 16  |  PRIX MOYEN DE VENTE PAR PRODUIT/SERVICE</v>
      </c>
      <c r="AS655" s="264"/>
      <c r="AT655" s="294"/>
    </row>
    <row r="656" spans="1:46" ht="13" hidden="1" x14ac:dyDescent="0.2">
      <c r="A656" s="294"/>
      <c r="B656" s="925"/>
      <c r="C656" s="271">
        <v>649</v>
      </c>
      <c r="D656" s="250">
        <f t="shared" si="1536"/>
        <v>0</v>
      </c>
      <c r="E656" s="250"/>
      <c r="F656" s="248" t="str">
        <f t="shared" si="1571"/>
        <v>YEAR-1</v>
      </c>
      <c r="G656" s="250">
        <f>VLOOKUP(F656,TableInputsData[],$G$6,FALSE)</f>
        <v>2024</v>
      </c>
      <c r="H656" s="250" t="str">
        <f t="shared" ref="H656:I656" si="1576">H655</f>
        <v>PRODUCT</v>
      </c>
      <c r="I656" s="248" t="str">
        <f t="shared" si="1576"/>
        <v>PRODUCT 16</v>
      </c>
      <c r="J656" s="248" t="str">
        <f>VLOOKUP(I656,TableInputsData[],$J$6,FALSE)</f>
        <v>-</v>
      </c>
      <c r="K656" s="248" t="str">
        <f>K655</f>
        <v>AVERAGE SELLING PRICE PER UNIT</v>
      </c>
      <c r="L656" s="255"/>
      <c r="M656" s="255"/>
      <c r="N656" s="255"/>
      <c r="O656" s="265"/>
      <c r="P656" s="260"/>
      <c r="Q656" s="260"/>
      <c r="R656" s="260"/>
      <c r="S656" s="630"/>
      <c r="T656" s="630"/>
      <c r="U656" s="630"/>
      <c r="V656" s="630"/>
      <c r="W656" s="260"/>
      <c r="X656" s="260"/>
      <c r="Y656" s="260"/>
      <c r="Z656" s="260"/>
      <c r="AA656" s="260"/>
      <c r="AB656" s="260"/>
      <c r="AC656" s="265"/>
      <c r="AD656" s="634"/>
      <c r="AE656" s="264">
        <f>IF(AE640=0,0,AE648/AE640)</f>
        <v>0</v>
      </c>
      <c r="AF656" s="264">
        <f t="shared" ref="AF656:AM656" si="1577">IF(AF640=0,0,AF648/AF640)</f>
        <v>0</v>
      </c>
      <c r="AG656" s="264">
        <f t="shared" si="1577"/>
        <v>0</v>
      </c>
      <c r="AH656" s="264">
        <f t="shared" si="1577"/>
        <v>0</v>
      </c>
      <c r="AI656" s="264">
        <f t="shared" si="1577"/>
        <v>0</v>
      </c>
      <c r="AJ656" s="264">
        <f t="shared" si="1577"/>
        <v>0</v>
      </c>
      <c r="AK656" s="264">
        <f t="shared" si="1577"/>
        <v>0</v>
      </c>
      <c r="AL656" s="264">
        <f t="shared" si="1577"/>
        <v>0</v>
      </c>
      <c r="AM656" s="264">
        <f t="shared" si="1577"/>
        <v>0</v>
      </c>
      <c r="AN656" s="260"/>
      <c r="AO656" s="264">
        <f t="shared" si="1575"/>
        <v>0</v>
      </c>
      <c r="AP656" s="260"/>
      <c r="AQ656" s="264"/>
      <c r="AR656" s="264" t="str">
        <f>VLOOKUP($I656,TableInputsData[],ReadMe!$M$3,FALSE)&amp;"  |  "&amp;VLOOKUP($K656,TableInputsData[],ReadMe!$M$3,FALSE)</f>
        <v>PRODUIT 16  |  PRIX MOYEN DE VENTE PAR PRODUIT/SERVICE</v>
      </c>
      <c r="AS656" s="264"/>
      <c r="AT656" s="294"/>
    </row>
    <row r="657" spans="1:46" ht="13" hidden="1" x14ac:dyDescent="0.2">
      <c r="A657" s="294"/>
      <c r="B657" s="925"/>
      <c r="C657" s="271">
        <v>650</v>
      </c>
      <c r="D657" s="250">
        <f t="shared" si="1536"/>
        <v>0</v>
      </c>
      <c r="E657" s="250"/>
      <c r="F657" s="248" t="str">
        <f t="shared" si="1571"/>
        <v>CURRENT YEAR</v>
      </c>
      <c r="G657" s="250">
        <f>VLOOKUP(F657,TableInputsData[],$G$6,FALSE)</f>
        <v>2025</v>
      </c>
      <c r="H657" s="250" t="str">
        <f t="shared" ref="H657:I657" si="1578">H656</f>
        <v>PRODUCT</v>
      </c>
      <c r="I657" s="248" t="str">
        <f t="shared" si="1578"/>
        <v>PRODUCT 16</v>
      </c>
      <c r="J657" s="248" t="str">
        <f>VLOOKUP(I657,TableInputsData[],$J$6,FALSE)</f>
        <v>-</v>
      </c>
      <c r="K657" s="248" t="str">
        <f t="shared" ref="K657:K662" si="1579">K656</f>
        <v>AVERAGE SELLING PRICE PER UNIT</v>
      </c>
      <c r="L657" s="255"/>
      <c r="M657" s="255"/>
      <c r="N657" s="255"/>
      <c r="O657" s="265"/>
      <c r="P657" s="260"/>
      <c r="Q657" s="260"/>
      <c r="R657" s="260"/>
      <c r="S657" s="630"/>
      <c r="T657" s="630"/>
      <c r="U657" s="630"/>
      <c r="V657" s="630"/>
      <c r="W657" s="260"/>
      <c r="X657" s="260"/>
      <c r="Y657" s="260"/>
      <c r="Z657" s="260"/>
      <c r="AA657" s="260"/>
      <c r="AB657" s="260"/>
      <c r="AC657" s="265"/>
      <c r="AD657" s="634"/>
      <c r="AE657" s="264">
        <f>IF(AE641=0,0,AE649/AE641)</f>
        <v>0</v>
      </c>
      <c r="AF657" s="264">
        <f t="shared" ref="AF657:AM657" si="1580">IF(AF641=0,0,AF649/AF641)</f>
        <v>0</v>
      </c>
      <c r="AG657" s="264">
        <f t="shared" si="1580"/>
        <v>0</v>
      </c>
      <c r="AH657" s="264">
        <f t="shared" si="1580"/>
        <v>0</v>
      </c>
      <c r="AI657" s="264">
        <f t="shared" si="1580"/>
        <v>0</v>
      </c>
      <c r="AJ657" s="264">
        <f t="shared" si="1580"/>
        <v>0</v>
      </c>
      <c r="AK657" s="264">
        <f t="shared" si="1580"/>
        <v>0</v>
      </c>
      <c r="AL657" s="264">
        <f t="shared" si="1580"/>
        <v>0</v>
      </c>
      <c r="AM657" s="264">
        <f t="shared" si="1580"/>
        <v>0</v>
      </c>
      <c r="AN657" s="260"/>
      <c r="AO657" s="264">
        <f t="shared" si="1575"/>
        <v>0</v>
      </c>
      <c r="AP657" s="260"/>
      <c r="AQ657" s="264"/>
      <c r="AR657" s="264" t="str">
        <f>VLOOKUP($I657,TableInputsData[],ReadMe!$M$3,FALSE)&amp;"  |  "&amp;VLOOKUP($K657,TableInputsData[],ReadMe!$M$3,FALSE)</f>
        <v>PRODUIT 16  |  PRIX MOYEN DE VENTE PAR PRODUIT/SERVICE</v>
      </c>
      <c r="AS657" s="264"/>
      <c r="AT657" s="294"/>
    </row>
    <row r="658" spans="1:46" ht="13" hidden="1" x14ac:dyDescent="0.2">
      <c r="A658" s="294"/>
      <c r="B658" s="925"/>
      <c r="C658" s="271">
        <v>651</v>
      </c>
      <c r="D658" s="250">
        <f t="shared" si="1536"/>
        <v>0</v>
      </c>
      <c r="E658" s="250"/>
      <c r="F658" s="248" t="str">
        <f t="shared" si="1571"/>
        <v>YEAR2</v>
      </c>
      <c r="G658" s="250">
        <f>VLOOKUP(F658,TableInputsData[],$G$6,FALSE)</f>
        <v>2026</v>
      </c>
      <c r="H658" s="250" t="str">
        <f t="shared" ref="H658:I658" si="1581">H657</f>
        <v>PRODUCT</v>
      </c>
      <c r="I658" s="248" t="str">
        <f t="shared" si="1581"/>
        <v>PRODUCT 16</v>
      </c>
      <c r="J658" s="248" t="str">
        <f>VLOOKUP(I658,TableInputsData[],$J$6,FALSE)</f>
        <v>-</v>
      </c>
      <c r="K658" s="248" t="str">
        <f t="shared" si="1579"/>
        <v>AVERAGE SELLING PRICE PER UNIT</v>
      </c>
      <c r="L658" s="255"/>
      <c r="M658" s="255"/>
      <c r="N658" s="255"/>
      <c r="O658" s="265"/>
      <c r="P658" s="260"/>
      <c r="Q658" s="260"/>
      <c r="R658" s="260"/>
      <c r="S658" s="630"/>
      <c r="T658" s="630"/>
      <c r="U658" s="630"/>
      <c r="V658" s="630"/>
      <c r="W658" s="260"/>
      <c r="X658" s="260"/>
      <c r="Y658" s="260"/>
      <c r="Z658" s="260"/>
      <c r="AA658" s="260"/>
      <c r="AB658" s="260"/>
      <c r="AC658" s="265"/>
      <c r="AD658" s="634"/>
      <c r="AE658" s="264">
        <f>IF(AE642=0,0,AE650/AE642)</f>
        <v>0</v>
      </c>
      <c r="AF658" s="264">
        <f t="shared" ref="AF658:AM658" si="1582">IF(AF642=0,0,AF650/AF642)</f>
        <v>0</v>
      </c>
      <c r="AG658" s="264">
        <f t="shared" si="1582"/>
        <v>0</v>
      </c>
      <c r="AH658" s="264">
        <f t="shared" si="1582"/>
        <v>0</v>
      </c>
      <c r="AI658" s="264">
        <f t="shared" si="1582"/>
        <v>0</v>
      </c>
      <c r="AJ658" s="264">
        <f t="shared" si="1582"/>
        <v>0</v>
      </c>
      <c r="AK658" s="264">
        <f t="shared" si="1582"/>
        <v>0</v>
      </c>
      <c r="AL658" s="264">
        <f t="shared" si="1582"/>
        <v>0</v>
      </c>
      <c r="AM658" s="264">
        <f t="shared" si="1582"/>
        <v>0</v>
      </c>
      <c r="AN658" s="260"/>
      <c r="AO658" s="264">
        <f t="shared" si="1575"/>
        <v>0</v>
      </c>
      <c r="AP658" s="260"/>
      <c r="AQ658" s="264"/>
      <c r="AR658" s="264" t="str">
        <f>VLOOKUP($I658,TableInputsData[],ReadMe!$M$3,FALSE)&amp;"  |  "&amp;VLOOKUP($K658,TableInputsData[],ReadMe!$M$3,FALSE)</f>
        <v>PRODUIT 16  |  PRIX MOYEN DE VENTE PAR PRODUIT/SERVICE</v>
      </c>
      <c r="AS658" s="264"/>
      <c r="AT658" s="294"/>
    </row>
    <row r="659" spans="1:46" ht="13" hidden="1" x14ac:dyDescent="0.2">
      <c r="A659" s="294"/>
      <c r="B659" s="925"/>
      <c r="C659" s="271">
        <v>652</v>
      </c>
      <c r="D659" s="250">
        <f t="shared" si="1536"/>
        <v>0</v>
      </c>
      <c r="E659" s="250"/>
      <c r="F659" s="248" t="str">
        <f t="shared" si="1571"/>
        <v>YEAR3</v>
      </c>
      <c r="G659" s="250">
        <f>VLOOKUP(F659,TableInputsData[],$G$6,FALSE)</f>
        <v>2027</v>
      </c>
      <c r="H659" s="250" t="str">
        <f t="shared" ref="H659:I659" si="1583">H658</f>
        <v>PRODUCT</v>
      </c>
      <c r="I659" s="248" t="str">
        <f t="shared" si="1583"/>
        <v>PRODUCT 16</v>
      </c>
      <c r="J659" s="248" t="str">
        <f>VLOOKUP(I659,TableInputsData[],$J$6,FALSE)</f>
        <v>-</v>
      </c>
      <c r="K659" s="248" t="str">
        <f t="shared" si="1579"/>
        <v>AVERAGE SELLING PRICE PER UNIT</v>
      </c>
      <c r="L659" s="255"/>
      <c r="M659" s="255"/>
      <c r="N659" s="255"/>
      <c r="O659" s="265"/>
      <c r="P659" s="260"/>
      <c r="Q659" s="260"/>
      <c r="R659" s="260"/>
      <c r="S659" s="630"/>
      <c r="T659" s="630"/>
      <c r="U659" s="630"/>
      <c r="V659" s="630"/>
      <c r="W659" s="260"/>
      <c r="X659" s="260"/>
      <c r="Y659" s="260"/>
      <c r="Z659" s="260"/>
      <c r="AA659" s="260"/>
      <c r="AB659" s="260"/>
      <c r="AC659" s="265"/>
      <c r="AD659" s="634"/>
      <c r="AE659" s="264">
        <f t="shared" ref="AE659:AM659" si="1584">IF(AE643=0,0,AE651/AE643)</f>
        <v>0</v>
      </c>
      <c r="AF659" s="264">
        <f t="shared" si="1584"/>
        <v>0</v>
      </c>
      <c r="AG659" s="264">
        <f t="shared" si="1584"/>
        <v>0</v>
      </c>
      <c r="AH659" s="264">
        <f t="shared" si="1584"/>
        <v>0</v>
      </c>
      <c r="AI659" s="264">
        <f t="shared" si="1584"/>
        <v>0</v>
      </c>
      <c r="AJ659" s="264">
        <f t="shared" si="1584"/>
        <v>0</v>
      </c>
      <c r="AK659" s="264">
        <f t="shared" si="1584"/>
        <v>0</v>
      </c>
      <c r="AL659" s="264">
        <f t="shared" si="1584"/>
        <v>0</v>
      </c>
      <c r="AM659" s="264">
        <f t="shared" si="1584"/>
        <v>0</v>
      </c>
      <c r="AN659" s="260"/>
      <c r="AO659" s="264">
        <f t="shared" si="1575"/>
        <v>0</v>
      </c>
      <c r="AP659" s="260"/>
      <c r="AQ659" s="264"/>
      <c r="AR659" s="264" t="str">
        <f>VLOOKUP($I659,TableInputsData[],ReadMe!$M$3,FALSE)&amp;"  |  "&amp;VLOOKUP($K659,TableInputsData[],ReadMe!$M$3,FALSE)</f>
        <v>PRODUIT 16  |  PRIX MOYEN DE VENTE PAR PRODUIT/SERVICE</v>
      </c>
      <c r="AS659" s="264"/>
      <c r="AT659" s="294"/>
    </row>
    <row r="660" spans="1:46" ht="13" hidden="1" x14ac:dyDescent="0.2">
      <c r="A660" s="294"/>
      <c r="B660" s="925"/>
      <c r="C660" s="272">
        <v>653</v>
      </c>
      <c r="D660" s="250">
        <f t="shared" si="1536"/>
        <v>0</v>
      </c>
      <c r="E660" s="251"/>
      <c r="F660" s="248" t="str">
        <f t="shared" si="1571"/>
        <v>YEAR4</v>
      </c>
      <c r="G660" s="250">
        <f>VLOOKUP(F660,TableInputsData[],$G$6,FALSE)</f>
        <v>2028</v>
      </c>
      <c r="H660" s="250" t="str">
        <f t="shared" ref="H660:I660" si="1585">H659</f>
        <v>PRODUCT</v>
      </c>
      <c r="I660" s="248" t="str">
        <f t="shared" si="1585"/>
        <v>PRODUCT 16</v>
      </c>
      <c r="J660" s="248" t="str">
        <f>VLOOKUP(I660,TableInputsData[],$J$6,FALSE)</f>
        <v>-</v>
      </c>
      <c r="K660" s="248" t="str">
        <f t="shared" si="1579"/>
        <v>AVERAGE SELLING PRICE PER UNIT</v>
      </c>
      <c r="L660" s="256"/>
      <c r="M660" s="256"/>
      <c r="N660" s="256"/>
      <c r="O660" s="266"/>
      <c r="P660" s="261"/>
      <c r="Q660" s="261"/>
      <c r="R660" s="261"/>
      <c r="S660" s="629"/>
      <c r="T660" s="629"/>
      <c r="U660" s="629"/>
      <c r="V660" s="629"/>
      <c r="W660" s="261"/>
      <c r="X660" s="261"/>
      <c r="Y660" s="261"/>
      <c r="Z660" s="261"/>
      <c r="AA660" s="261"/>
      <c r="AB660" s="261"/>
      <c r="AC660" s="266"/>
      <c r="AD660" s="633"/>
      <c r="AE660" s="264">
        <f t="shared" ref="AE660:AM660" si="1586">IF(AE644=0,0,AE652/AE644)</f>
        <v>0</v>
      </c>
      <c r="AF660" s="264">
        <f t="shared" si="1586"/>
        <v>0</v>
      </c>
      <c r="AG660" s="264">
        <f t="shared" si="1586"/>
        <v>0</v>
      </c>
      <c r="AH660" s="264">
        <f t="shared" si="1586"/>
        <v>0</v>
      </c>
      <c r="AI660" s="264">
        <f t="shared" si="1586"/>
        <v>0</v>
      </c>
      <c r="AJ660" s="264">
        <f t="shared" si="1586"/>
        <v>0</v>
      </c>
      <c r="AK660" s="264">
        <f t="shared" si="1586"/>
        <v>0</v>
      </c>
      <c r="AL660" s="264">
        <f t="shared" si="1586"/>
        <v>0</v>
      </c>
      <c r="AM660" s="264">
        <f t="shared" si="1586"/>
        <v>0</v>
      </c>
      <c r="AN660" s="260"/>
      <c r="AO660" s="264">
        <f t="shared" si="1575"/>
        <v>0</v>
      </c>
      <c r="AP660" s="260"/>
      <c r="AQ660" s="264"/>
      <c r="AR660" s="264" t="str">
        <f>VLOOKUP($I660,TableInputsData[],ReadMe!$M$3,FALSE)&amp;"  |  "&amp;VLOOKUP($K660,TableInputsData[],ReadMe!$M$3,FALSE)</f>
        <v>PRODUIT 16  |  PRIX MOYEN DE VENTE PAR PRODUIT/SERVICE</v>
      </c>
      <c r="AS660" s="264"/>
      <c r="AT660" s="294"/>
    </row>
    <row r="661" spans="1:46" ht="13" hidden="1" x14ac:dyDescent="0.2">
      <c r="A661" s="294"/>
      <c r="B661" s="925"/>
      <c r="C661" s="271">
        <v>654</v>
      </c>
      <c r="D661" s="250">
        <f t="shared" si="1536"/>
        <v>0</v>
      </c>
      <c r="E661" s="250"/>
      <c r="F661" s="248" t="str">
        <f t="shared" si="1571"/>
        <v>YEAR5</v>
      </c>
      <c r="G661" s="250">
        <f>VLOOKUP(F661,TableInputsData[],$G$6,FALSE)</f>
        <v>2029</v>
      </c>
      <c r="H661" s="250" t="str">
        <f t="shared" ref="H661:I661" si="1587">H660</f>
        <v>PRODUCT</v>
      </c>
      <c r="I661" s="248" t="str">
        <f t="shared" si="1587"/>
        <v>PRODUCT 16</v>
      </c>
      <c r="J661" s="248" t="str">
        <f>VLOOKUP(I661,TableInputsData[],$J$6,FALSE)</f>
        <v>-</v>
      </c>
      <c r="K661" s="248" t="str">
        <f t="shared" si="1579"/>
        <v>AVERAGE SELLING PRICE PER UNIT</v>
      </c>
      <c r="L661" s="255"/>
      <c r="M661" s="255"/>
      <c r="N661" s="255"/>
      <c r="O661" s="265"/>
      <c r="P661" s="260"/>
      <c r="Q661" s="260"/>
      <c r="R661" s="260"/>
      <c r="S661" s="630"/>
      <c r="T661" s="630"/>
      <c r="U661" s="630"/>
      <c r="V661" s="630"/>
      <c r="W661" s="260"/>
      <c r="X661" s="260"/>
      <c r="Y661" s="260"/>
      <c r="Z661" s="260"/>
      <c r="AA661" s="260"/>
      <c r="AB661" s="260"/>
      <c r="AC661" s="265"/>
      <c r="AD661" s="634"/>
      <c r="AE661" s="264">
        <f t="shared" ref="AE661:AM661" si="1588">IF(AE645=0,0,AE653/AE645)</f>
        <v>0</v>
      </c>
      <c r="AF661" s="264">
        <f t="shared" si="1588"/>
        <v>0</v>
      </c>
      <c r="AG661" s="264">
        <f t="shared" si="1588"/>
        <v>0</v>
      </c>
      <c r="AH661" s="264">
        <f t="shared" si="1588"/>
        <v>0</v>
      </c>
      <c r="AI661" s="264">
        <f t="shared" si="1588"/>
        <v>0</v>
      </c>
      <c r="AJ661" s="264">
        <f t="shared" si="1588"/>
        <v>0</v>
      </c>
      <c r="AK661" s="264">
        <f t="shared" si="1588"/>
        <v>0</v>
      </c>
      <c r="AL661" s="264">
        <f t="shared" si="1588"/>
        <v>0</v>
      </c>
      <c r="AM661" s="264">
        <f t="shared" si="1588"/>
        <v>0</v>
      </c>
      <c r="AN661" s="260"/>
      <c r="AO661" s="264">
        <f t="shared" si="1575"/>
        <v>0</v>
      </c>
      <c r="AP661" s="260"/>
      <c r="AQ661" s="264"/>
      <c r="AR661" s="264" t="str">
        <f>VLOOKUP($I661,TableInputsData[],ReadMe!$M$3,FALSE)&amp;"  |  "&amp;VLOOKUP($K661,TableInputsData[],ReadMe!$M$3,FALSE)</f>
        <v>PRODUIT 16  |  PRIX MOYEN DE VENTE PAR PRODUIT/SERVICE</v>
      </c>
      <c r="AS661" s="264"/>
      <c r="AT661" s="294"/>
    </row>
    <row r="662" spans="1:46" ht="13" hidden="1" x14ac:dyDescent="0.2">
      <c r="A662" s="294"/>
      <c r="B662" s="925"/>
      <c r="C662" s="271">
        <v>655</v>
      </c>
      <c r="D662" s="250">
        <f t="shared" si="1536"/>
        <v>0</v>
      </c>
      <c r="E662" s="250"/>
      <c r="F662" s="248" t="str">
        <f t="shared" si="1571"/>
        <v>YEAR6</v>
      </c>
      <c r="G662" s="250">
        <f>VLOOKUP(F662,TableInputsData[],$G$6,FALSE)</f>
        <v>2030</v>
      </c>
      <c r="H662" s="250" t="str">
        <f t="shared" ref="H662:I662" si="1589">H661</f>
        <v>PRODUCT</v>
      </c>
      <c r="I662" s="248" t="str">
        <f t="shared" si="1589"/>
        <v>PRODUCT 16</v>
      </c>
      <c r="J662" s="248" t="str">
        <f>VLOOKUP(I662,TableInputsData[],$J$6,FALSE)</f>
        <v>-</v>
      </c>
      <c r="K662" s="248" t="str">
        <f t="shared" si="1579"/>
        <v>AVERAGE SELLING PRICE PER UNIT</v>
      </c>
      <c r="L662" s="255"/>
      <c r="M662" s="255"/>
      <c r="N662" s="255"/>
      <c r="O662" s="265"/>
      <c r="P662" s="260"/>
      <c r="Q662" s="260"/>
      <c r="R662" s="260"/>
      <c r="S662" s="630"/>
      <c r="T662" s="630"/>
      <c r="U662" s="630"/>
      <c r="V662" s="630"/>
      <c r="W662" s="260"/>
      <c r="X662" s="260"/>
      <c r="Y662" s="260"/>
      <c r="Z662" s="260"/>
      <c r="AA662" s="260"/>
      <c r="AB662" s="260"/>
      <c r="AC662" s="265"/>
      <c r="AD662" s="634"/>
      <c r="AE662" s="264">
        <f t="shared" ref="AE662:AM662" si="1590">IF(AE646=0,0,AE654/AE646)</f>
        <v>0</v>
      </c>
      <c r="AF662" s="264">
        <f t="shared" si="1590"/>
        <v>0</v>
      </c>
      <c r="AG662" s="264">
        <f t="shared" si="1590"/>
        <v>0</v>
      </c>
      <c r="AH662" s="264">
        <f t="shared" si="1590"/>
        <v>0</v>
      </c>
      <c r="AI662" s="264">
        <f t="shared" si="1590"/>
        <v>0</v>
      </c>
      <c r="AJ662" s="264">
        <f t="shared" si="1590"/>
        <v>0</v>
      </c>
      <c r="AK662" s="264">
        <f t="shared" si="1590"/>
        <v>0</v>
      </c>
      <c r="AL662" s="264">
        <f t="shared" si="1590"/>
        <v>0</v>
      </c>
      <c r="AM662" s="264">
        <f t="shared" si="1590"/>
        <v>0</v>
      </c>
      <c r="AN662" s="260"/>
      <c r="AO662" s="264">
        <f t="shared" si="1575"/>
        <v>0</v>
      </c>
      <c r="AP662" s="260"/>
      <c r="AQ662" s="264"/>
      <c r="AR662" s="264" t="str">
        <f>VLOOKUP($I662,TableInputsData[],ReadMe!$M$3,FALSE)&amp;"  |  "&amp;VLOOKUP($K662,TableInputsData[],ReadMe!$M$3,FALSE)</f>
        <v>PRODUIT 16  |  PRIX MOYEN DE VENTE PAR PRODUIT/SERVICE</v>
      </c>
      <c r="AS662" s="264"/>
      <c r="AT662" s="294"/>
    </row>
    <row r="663" spans="1:46" ht="13" hidden="1" x14ac:dyDescent="0.2">
      <c r="A663" s="294"/>
      <c r="B663" s="925"/>
      <c r="C663" s="272">
        <v>656</v>
      </c>
      <c r="D663" s="250">
        <f t="shared" si="1536"/>
        <v>0</v>
      </c>
      <c r="E663" s="251"/>
      <c r="F663" s="248" t="str">
        <f t="shared" ref="F663:F670" si="1591">F671</f>
        <v>YEAR-2</v>
      </c>
      <c r="G663" s="250">
        <f>VLOOKUP(F663,TableInputsData[],$G$6,FALSE)</f>
        <v>2023</v>
      </c>
      <c r="H663" s="250" t="str">
        <f t="shared" ref="H663:I663" si="1592">H662</f>
        <v>PRODUCT</v>
      </c>
      <c r="I663" s="248" t="str">
        <f t="shared" si="1592"/>
        <v>PRODUCT 16</v>
      </c>
      <c r="J663" s="248" t="str">
        <f>VLOOKUP(I663,TableInputsData[],$J$6,FALSE)</f>
        <v>-</v>
      </c>
      <c r="K663" s="248" t="s">
        <v>531</v>
      </c>
      <c r="L663" s="256"/>
      <c r="M663" s="256"/>
      <c r="N663" s="256"/>
      <c r="O663" s="266"/>
      <c r="P663" s="261"/>
      <c r="Q663" s="261"/>
      <c r="R663" s="261"/>
      <c r="S663" s="629"/>
      <c r="T663" s="629"/>
      <c r="U663" s="629"/>
      <c r="V663" s="629"/>
      <c r="W663" s="261"/>
      <c r="X663" s="261"/>
      <c r="Y663" s="261"/>
      <c r="Z663" s="261"/>
      <c r="AA663" s="261"/>
      <c r="AB663" s="261"/>
      <c r="AC663" s="266"/>
      <c r="AD663" s="633"/>
      <c r="AE663" s="264">
        <f>AE639*($S639*$P639+$T639*$Q639+$U639*$R639)</f>
        <v>0</v>
      </c>
      <c r="AF663" s="264">
        <f t="shared" ref="AF663:AH663" si="1593">AF639*($S639*$P639+$T639*$Q639+$U639*$R639)</f>
        <v>0</v>
      </c>
      <c r="AG663" s="264">
        <f t="shared" si="1593"/>
        <v>0</v>
      </c>
      <c r="AH663" s="264">
        <f t="shared" si="1593"/>
        <v>0</v>
      </c>
      <c r="AI663" s="264">
        <f t="shared" ref="AI663:AI670" si="1594">$AE663+$AF663+$AG663+$AH663</f>
        <v>0</v>
      </c>
      <c r="AJ663" s="264">
        <f t="shared" ref="AJ663:AJ670" si="1595">$AJ639*$S639</f>
        <v>0</v>
      </c>
      <c r="AK663" s="264">
        <f t="shared" ref="AK663:AK670" si="1596">$AK639*$T639</f>
        <v>0</v>
      </c>
      <c r="AL663" s="264">
        <f t="shared" ref="AL663:AL670" si="1597">$AL639*$U639</f>
        <v>0</v>
      </c>
      <c r="AM663" s="264">
        <f t="shared" ref="AM663:AM670" si="1598">$AJ663*$W639+$AK663*$X639+$AL663*$Y639</f>
        <v>0</v>
      </c>
      <c r="AN663" s="640">
        <f t="shared" ref="AN663:AN670" si="1599">IF(AI663=0,0,AM663/AI663)</f>
        <v>0</v>
      </c>
      <c r="AO663" s="264">
        <f t="shared" ref="AO663:AO670" si="1600">$AJ663*$Z639+$AK663*$AA639+$AL663*$AB639</f>
        <v>0</v>
      </c>
      <c r="AP663" s="640">
        <f t="shared" ref="AP663:AP670" si="1601">IF(AI663=0,0,AO663/AI663)</f>
        <v>0</v>
      </c>
      <c r="AQ663" s="264"/>
      <c r="AR663" s="264" t="str">
        <f>VLOOKUP($I663,TableInputsData[],ReadMe!$M$3,FALSE)&amp;"  |  "&amp;VLOOKUP($K663,TableInputsData[],ReadMe!$M$3,FALSE)</f>
        <v>PRODUIT 16  |  DEPENSES SUR ACHATS</v>
      </c>
      <c r="AS663" s="264" t="b">
        <f t="shared" ref="AS663:AS670" si="1602">AND(EXACT(ROUND(AI663,2),ROUND(AJ663+AK663+AL663,2)),EXACT(ROUND(AI663,2),ROUND(AM663+AO663,2)))</f>
        <v>1</v>
      </c>
      <c r="AT663" s="294"/>
    </row>
    <row r="664" spans="1:46" ht="13" hidden="1" x14ac:dyDescent="0.2">
      <c r="A664" s="294"/>
      <c r="B664" s="925"/>
      <c r="C664" s="271">
        <v>657</v>
      </c>
      <c r="D664" s="250">
        <f t="shared" si="1536"/>
        <v>0</v>
      </c>
      <c r="E664" s="250"/>
      <c r="F664" s="248" t="str">
        <f t="shared" si="1591"/>
        <v>YEAR-1</v>
      </c>
      <c r="G664" s="250">
        <f>VLOOKUP(F664,TableInputsData[],$G$6,FALSE)</f>
        <v>2024</v>
      </c>
      <c r="H664" s="250" t="str">
        <f t="shared" ref="H664:I664" si="1603">H663</f>
        <v>PRODUCT</v>
      </c>
      <c r="I664" s="248" t="str">
        <f t="shared" si="1603"/>
        <v>PRODUCT 16</v>
      </c>
      <c r="J664" s="248" t="str">
        <f>VLOOKUP(I664,TableInputsData[],$J$6,FALSE)</f>
        <v>-</v>
      </c>
      <c r="K664" s="248" t="str">
        <f>K663</f>
        <v>COST OF GOODS SOLD</v>
      </c>
      <c r="L664" s="255"/>
      <c r="M664" s="255"/>
      <c r="N664" s="255"/>
      <c r="O664" s="265"/>
      <c r="P664" s="260"/>
      <c r="Q664" s="260"/>
      <c r="R664" s="260"/>
      <c r="S664" s="630"/>
      <c r="T664" s="630"/>
      <c r="U664" s="630"/>
      <c r="V664" s="630"/>
      <c r="W664" s="260"/>
      <c r="X664" s="260"/>
      <c r="Y664" s="260"/>
      <c r="Z664" s="260"/>
      <c r="AA664" s="260"/>
      <c r="AB664" s="260"/>
      <c r="AC664" s="265"/>
      <c r="AD664" s="634"/>
      <c r="AE664" s="264">
        <f t="shared" ref="AE664:AH664" si="1604">AE640*($S640*$P640+$T640*$Q640+$U640*$R640)</f>
        <v>0</v>
      </c>
      <c r="AF664" s="264">
        <f t="shared" si="1604"/>
        <v>0</v>
      </c>
      <c r="AG664" s="264">
        <f t="shared" si="1604"/>
        <v>0</v>
      </c>
      <c r="AH664" s="264">
        <f t="shared" si="1604"/>
        <v>0</v>
      </c>
      <c r="AI664" s="264">
        <f t="shared" si="1594"/>
        <v>0</v>
      </c>
      <c r="AJ664" s="264">
        <f t="shared" si="1595"/>
        <v>0</v>
      </c>
      <c r="AK664" s="264">
        <f t="shared" si="1596"/>
        <v>0</v>
      </c>
      <c r="AL664" s="264">
        <f t="shared" si="1597"/>
        <v>0</v>
      </c>
      <c r="AM664" s="264">
        <f t="shared" si="1598"/>
        <v>0</v>
      </c>
      <c r="AN664" s="640">
        <f t="shared" si="1599"/>
        <v>0</v>
      </c>
      <c r="AO664" s="264">
        <f t="shared" si="1600"/>
        <v>0</v>
      </c>
      <c r="AP664" s="640">
        <f t="shared" si="1601"/>
        <v>0</v>
      </c>
      <c r="AQ664" s="264"/>
      <c r="AR664" s="264" t="str">
        <f>VLOOKUP($I664,TableInputsData[],ReadMe!$M$3,FALSE)&amp;"  |  "&amp;VLOOKUP($K664,TableInputsData[],ReadMe!$M$3,FALSE)</f>
        <v>PRODUIT 16  |  DEPENSES SUR ACHATS</v>
      </c>
      <c r="AS664" s="264" t="b">
        <f t="shared" si="1602"/>
        <v>1</v>
      </c>
      <c r="AT664" s="294"/>
    </row>
    <row r="665" spans="1:46" ht="13" hidden="1" x14ac:dyDescent="0.2">
      <c r="A665" s="294"/>
      <c r="B665" s="925"/>
      <c r="C665" s="271">
        <v>658</v>
      </c>
      <c r="D665" s="250">
        <f t="shared" si="1536"/>
        <v>0</v>
      </c>
      <c r="E665" s="250"/>
      <c r="F665" s="248" t="str">
        <f t="shared" si="1591"/>
        <v>CURRENT YEAR</v>
      </c>
      <c r="G665" s="250">
        <f>VLOOKUP(F665,TableInputsData[],$G$6,FALSE)</f>
        <v>2025</v>
      </c>
      <c r="H665" s="250" t="str">
        <f t="shared" ref="H665:I665" si="1605">H664</f>
        <v>PRODUCT</v>
      </c>
      <c r="I665" s="248" t="str">
        <f t="shared" si="1605"/>
        <v>PRODUCT 16</v>
      </c>
      <c r="J665" s="248" t="str">
        <f>VLOOKUP(I665,TableInputsData[],$J$6,FALSE)</f>
        <v>-</v>
      </c>
      <c r="K665" s="248" t="str">
        <f t="shared" ref="K665:K670" si="1606">K664</f>
        <v>COST OF GOODS SOLD</v>
      </c>
      <c r="L665" s="255"/>
      <c r="M665" s="255"/>
      <c r="N665" s="255"/>
      <c r="O665" s="265"/>
      <c r="P665" s="260"/>
      <c r="Q665" s="260"/>
      <c r="R665" s="260"/>
      <c r="S665" s="630"/>
      <c r="T665" s="630"/>
      <c r="U665" s="630"/>
      <c r="V665" s="630"/>
      <c r="W665" s="260"/>
      <c r="X665" s="260"/>
      <c r="Y665" s="260"/>
      <c r="Z665" s="260"/>
      <c r="AA665" s="260"/>
      <c r="AB665" s="260"/>
      <c r="AC665" s="265"/>
      <c r="AD665" s="634"/>
      <c r="AE665" s="264">
        <f t="shared" ref="AE665:AH665" si="1607">AE641*($S641*$P641+$T641*$Q641+$U641*$R641)</f>
        <v>0</v>
      </c>
      <c r="AF665" s="264">
        <f t="shared" si="1607"/>
        <v>0</v>
      </c>
      <c r="AG665" s="264">
        <f t="shared" si="1607"/>
        <v>0</v>
      </c>
      <c r="AH665" s="264">
        <f t="shared" si="1607"/>
        <v>0</v>
      </c>
      <c r="AI665" s="264">
        <f t="shared" si="1594"/>
        <v>0</v>
      </c>
      <c r="AJ665" s="264">
        <f t="shared" si="1595"/>
        <v>0</v>
      </c>
      <c r="AK665" s="264">
        <f t="shared" si="1596"/>
        <v>0</v>
      </c>
      <c r="AL665" s="264">
        <f t="shared" si="1597"/>
        <v>0</v>
      </c>
      <c r="AM665" s="264">
        <f t="shared" si="1598"/>
        <v>0</v>
      </c>
      <c r="AN665" s="640">
        <f t="shared" si="1599"/>
        <v>0</v>
      </c>
      <c r="AO665" s="264">
        <f t="shared" si="1600"/>
        <v>0</v>
      </c>
      <c r="AP665" s="640">
        <f t="shared" si="1601"/>
        <v>0</v>
      </c>
      <c r="AQ665" s="264"/>
      <c r="AR665" s="264" t="str">
        <f>VLOOKUP($I665,TableInputsData[],ReadMe!$M$3,FALSE)&amp;"  |  "&amp;VLOOKUP($K665,TableInputsData[],ReadMe!$M$3,FALSE)</f>
        <v>PRODUIT 16  |  DEPENSES SUR ACHATS</v>
      </c>
      <c r="AS665" s="264" t="b">
        <f t="shared" si="1602"/>
        <v>1</v>
      </c>
      <c r="AT665" s="294"/>
    </row>
    <row r="666" spans="1:46" ht="13" hidden="1" x14ac:dyDescent="0.2">
      <c r="A666" s="294"/>
      <c r="B666" s="925"/>
      <c r="C666" s="271">
        <v>659</v>
      </c>
      <c r="D666" s="250">
        <f t="shared" si="1536"/>
        <v>0</v>
      </c>
      <c r="E666" s="250"/>
      <c r="F666" s="248" t="str">
        <f t="shared" si="1591"/>
        <v>YEAR2</v>
      </c>
      <c r="G666" s="250">
        <f>VLOOKUP(F666,TableInputsData[],$G$6,FALSE)</f>
        <v>2026</v>
      </c>
      <c r="H666" s="250" t="str">
        <f t="shared" ref="H666:I666" si="1608">H665</f>
        <v>PRODUCT</v>
      </c>
      <c r="I666" s="248" t="str">
        <f t="shared" si="1608"/>
        <v>PRODUCT 16</v>
      </c>
      <c r="J666" s="248" t="str">
        <f>VLOOKUP(I666,TableInputsData[],$J$6,FALSE)</f>
        <v>-</v>
      </c>
      <c r="K666" s="248" t="str">
        <f t="shared" si="1606"/>
        <v>COST OF GOODS SOLD</v>
      </c>
      <c r="L666" s="255"/>
      <c r="M666" s="255"/>
      <c r="N666" s="255"/>
      <c r="O666" s="265"/>
      <c r="P666" s="260"/>
      <c r="Q666" s="260"/>
      <c r="R666" s="260"/>
      <c r="S666" s="630"/>
      <c r="T666" s="630"/>
      <c r="U666" s="630"/>
      <c r="V666" s="630"/>
      <c r="W666" s="260"/>
      <c r="X666" s="260"/>
      <c r="Y666" s="260"/>
      <c r="Z666" s="260"/>
      <c r="AA666" s="260"/>
      <c r="AB666" s="260"/>
      <c r="AC666" s="265"/>
      <c r="AD666" s="634"/>
      <c r="AE666" s="264">
        <f t="shared" ref="AE666:AH666" si="1609">AE642*($S642*$P642+$T642*$Q642+$U642*$R642)</f>
        <v>0</v>
      </c>
      <c r="AF666" s="264">
        <f t="shared" si="1609"/>
        <v>0</v>
      </c>
      <c r="AG666" s="264">
        <f t="shared" si="1609"/>
        <v>0</v>
      </c>
      <c r="AH666" s="264">
        <f t="shared" si="1609"/>
        <v>0</v>
      </c>
      <c r="AI666" s="264">
        <f t="shared" si="1594"/>
        <v>0</v>
      </c>
      <c r="AJ666" s="264">
        <f t="shared" si="1595"/>
        <v>0</v>
      </c>
      <c r="AK666" s="264">
        <f t="shared" si="1596"/>
        <v>0</v>
      </c>
      <c r="AL666" s="264">
        <f t="shared" si="1597"/>
        <v>0</v>
      </c>
      <c r="AM666" s="264">
        <f t="shared" si="1598"/>
        <v>0</v>
      </c>
      <c r="AN666" s="640">
        <f t="shared" si="1599"/>
        <v>0</v>
      </c>
      <c r="AO666" s="264">
        <f t="shared" si="1600"/>
        <v>0</v>
      </c>
      <c r="AP666" s="640">
        <f t="shared" si="1601"/>
        <v>0</v>
      </c>
      <c r="AQ666" s="264"/>
      <c r="AR666" s="264" t="str">
        <f>VLOOKUP($I666,TableInputsData[],ReadMe!$M$3,FALSE)&amp;"  |  "&amp;VLOOKUP($K666,TableInputsData[],ReadMe!$M$3,FALSE)</f>
        <v>PRODUIT 16  |  DEPENSES SUR ACHATS</v>
      </c>
      <c r="AS666" s="264" t="b">
        <f t="shared" si="1602"/>
        <v>1</v>
      </c>
      <c r="AT666" s="294"/>
    </row>
    <row r="667" spans="1:46" ht="13" hidden="1" x14ac:dyDescent="0.2">
      <c r="A667" s="294"/>
      <c r="B667" s="925"/>
      <c r="C667" s="271">
        <v>660</v>
      </c>
      <c r="D667" s="250">
        <f t="shared" si="1536"/>
        <v>0</v>
      </c>
      <c r="E667" s="250"/>
      <c r="F667" s="248" t="str">
        <f t="shared" si="1591"/>
        <v>YEAR3</v>
      </c>
      <c r="G667" s="250">
        <f>VLOOKUP(F667,TableInputsData[],$G$6,FALSE)</f>
        <v>2027</v>
      </c>
      <c r="H667" s="250" t="str">
        <f t="shared" ref="H667:I667" si="1610">H666</f>
        <v>PRODUCT</v>
      </c>
      <c r="I667" s="248" t="str">
        <f t="shared" si="1610"/>
        <v>PRODUCT 16</v>
      </c>
      <c r="J667" s="248" t="str">
        <f>VLOOKUP(I667,TableInputsData[],$J$6,FALSE)</f>
        <v>-</v>
      </c>
      <c r="K667" s="248" t="str">
        <f t="shared" si="1606"/>
        <v>COST OF GOODS SOLD</v>
      </c>
      <c r="L667" s="255"/>
      <c r="M667" s="255"/>
      <c r="N667" s="255"/>
      <c r="O667" s="265"/>
      <c r="P667" s="260"/>
      <c r="Q667" s="260"/>
      <c r="R667" s="260"/>
      <c r="S667" s="630"/>
      <c r="T667" s="630"/>
      <c r="U667" s="630"/>
      <c r="V667" s="630"/>
      <c r="W667" s="260"/>
      <c r="X667" s="260"/>
      <c r="Y667" s="260"/>
      <c r="Z667" s="260"/>
      <c r="AA667" s="260"/>
      <c r="AB667" s="260"/>
      <c r="AC667" s="265"/>
      <c r="AD667" s="634"/>
      <c r="AE667" s="264">
        <f t="shared" ref="AE667:AH667" si="1611">AE643*($S643*$P643+$T643*$Q643+$U643*$R643)</f>
        <v>0</v>
      </c>
      <c r="AF667" s="264">
        <f t="shared" si="1611"/>
        <v>0</v>
      </c>
      <c r="AG667" s="264">
        <f t="shared" si="1611"/>
        <v>0</v>
      </c>
      <c r="AH667" s="264">
        <f t="shared" si="1611"/>
        <v>0</v>
      </c>
      <c r="AI667" s="264">
        <f t="shared" si="1594"/>
        <v>0</v>
      </c>
      <c r="AJ667" s="264">
        <f t="shared" si="1595"/>
        <v>0</v>
      </c>
      <c r="AK667" s="264">
        <f t="shared" si="1596"/>
        <v>0</v>
      </c>
      <c r="AL667" s="264">
        <f t="shared" si="1597"/>
        <v>0</v>
      </c>
      <c r="AM667" s="264">
        <f t="shared" si="1598"/>
        <v>0</v>
      </c>
      <c r="AN667" s="640">
        <f t="shared" si="1599"/>
        <v>0</v>
      </c>
      <c r="AO667" s="264">
        <f t="shared" si="1600"/>
        <v>0</v>
      </c>
      <c r="AP667" s="640">
        <f t="shared" si="1601"/>
        <v>0</v>
      </c>
      <c r="AQ667" s="264"/>
      <c r="AR667" s="264" t="str">
        <f>VLOOKUP($I667,TableInputsData[],ReadMe!$M$3,FALSE)&amp;"  |  "&amp;VLOOKUP($K667,TableInputsData[],ReadMe!$M$3,FALSE)</f>
        <v>PRODUIT 16  |  DEPENSES SUR ACHATS</v>
      </c>
      <c r="AS667" s="264" t="b">
        <f t="shared" si="1602"/>
        <v>1</v>
      </c>
      <c r="AT667" s="294"/>
    </row>
    <row r="668" spans="1:46" ht="13" hidden="1" x14ac:dyDescent="0.2">
      <c r="A668" s="294"/>
      <c r="B668" s="925"/>
      <c r="C668" s="271">
        <v>661</v>
      </c>
      <c r="D668" s="250">
        <f t="shared" si="1536"/>
        <v>0</v>
      </c>
      <c r="E668" s="250"/>
      <c r="F668" s="248" t="str">
        <f t="shared" si="1591"/>
        <v>YEAR4</v>
      </c>
      <c r="G668" s="250">
        <f>VLOOKUP(F668,TableInputsData[],$G$6,FALSE)</f>
        <v>2028</v>
      </c>
      <c r="H668" s="250" t="str">
        <f t="shared" ref="H668:I668" si="1612">H667</f>
        <v>PRODUCT</v>
      </c>
      <c r="I668" s="248" t="str">
        <f t="shared" si="1612"/>
        <v>PRODUCT 16</v>
      </c>
      <c r="J668" s="248" t="str">
        <f>VLOOKUP(I668,TableInputsData[],$J$6,FALSE)</f>
        <v>-</v>
      </c>
      <c r="K668" s="248" t="str">
        <f t="shared" si="1606"/>
        <v>COST OF GOODS SOLD</v>
      </c>
      <c r="L668" s="255"/>
      <c r="M668" s="255"/>
      <c r="N668" s="255"/>
      <c r="O668" s="265"/>
      <c r="P668" s="260"/>
      <c r="Q668" s="260"/>
      <c r="R668" s="260"/>
      <c r="S668" s="630"/>
      <c r="T668" s="630"/>
      <c r="U668" s="630"/>
      <c r="V668" s="630"/>
      <c r="W668" s="260"/>
      <c r="X668" s="260"/>
      <c r="Y668" s="260"/>
      <c r="Z668" s="260"/>
      <c r="AA668" s="260"/>
      <c r="AB668" s="260"/>
      <c r="AC668" s="265"/>
      <c r="AD668" s="634"/>
      <c r="AE668" s="264">
        <f t="shared" ref="AE668:AH668" si="1613">AE644*($S644*$P644+$T644*$Q644+$U644*$R644)</f>
        <v>0</v>
      </c>
      <c r="AF668" s="264">
        <f t="shared" si="1613"/>
        <v>0</v>
      </c>
      <c r="AG668" s="264">
        <f t="shared" si="1613"/>
        <v>0</v>
      </c>
      <c r="AH668" s="264">
        <f t="shared" si="1613"/>
        <v>0</v>
      </c>
      <c r="AI668" s="264">
        <f t="shared" si="1594"/>
        <v>0</v>
      </c>
      <c r="AJ668" s="264">
        <f t="shared" si="1595"/>
        <v>0</v>
      </c>
      <c r="AK668" s="264">
        <f t="shared" si="1596"/>
        <v>0</v>
      </c>
      <c r="AL668" s="264">
        <f t="shared" si="1597"/>
        <v>0</v>
      </c>
      <c r="AM668" s="264">
        <f t="shared" si="1598"/>
        <v>0</v>
      </c>
      <c r="AN668" s="640">
        <f t="shared" si="1599"/>
        <v>0</v>
      </c>
      <c r="AO668" s="264">
        <f t="shared" si="1600"/>
        <v>0</v>
      </c>
      <c r="AP668" s="640">
        <f t="shared" si="1601"/>
        <v>0</v>
      </c>
      <c r="AQ668" s="264"/>
      <c r="AR668" s="264" t="str">
        <f>VLOOKUP($I668,TableInputsData[],ReadMe!$M$3,FALSE)&amp;"  |  "&amp;VLOOKUP($K668,TableInputsData[],ReadMe!$M$3,FALSE)</f>
        <v>PRODUIT 16  |  DEPENSES SUR ACHATS</v>
      </c>
      <c r="AS668" s="264" t="b">
        <f t="shared" si="1602"/>
        <v>1</v>
      </c>
      <c r="AT668" s="294"/>
    </row>
    <row r="669" spans="1:46" ht="13" hidden="1" x14ac:dyDescent="0.2">
      <c r="A669" s="294"/>
      <c r="B669" s="925"/>
      <c r="C669" s="271">
        <v>662</v>
      </c>
      <c r="D669" s="250">
        <f t="shared" si="1536"/>
        <v>0</v>
      </c>
      <c r="E669" s="250"/>
      <c r="F669" s="248" t="str">
        <f t="shared" si="1591"/>
        <v>YEAR5</v>
      </c>
      <c r="G669" s="250">
        <f>VLOOKUP(F669,TableInputsData[],$G$6,FALSE)</f>
        <v>2029</v>
      </c>
      <c r="H669" s="250" t="str">
        <f t="shared" ref="H669:I669" si="1614">H668</f>
        <v>PRODUCT</v>
      </c>
      <c r="I669" s="248" t="str">
        <f t="shared" si="1614"/>
        <v>PRODUCT 16</v>
      </c>
      <c r="J669" s="248" t="str">
        <f>VLOOKUP(I669,TableInputsData[],$J$6,FALSE)</f>
        <v>-</v>
      </c>
      <c r="K669" s="248" t="str">
        <f t="shared" si="1606"/>
        <v>COST OF GOODS SOLD</v>
      </c>
      <c r="L669" s="255"/>
      <c r="M669" s="255"/>
      <c r="N669" s="255"/>
      <c r="O669" s="265"/>
      <c r="P669" s="260"/>
      <c r="Q669" s="260"/>
      <c r="R669" s="260"/>
      <c r="S669" s="630"/>
      <c r="T669" s="630"/>
      <c r="U669" s="630"/>
      <c r="V669" s="630"/>
      <c r="W669" s="260"/>
      <c r="X669" s="260"/>
      <c r="Y669" s="260"/>
      <c r="Z669" s="260"/>
      <c r="AA669" s="260"/>
      <c r="AB669" s="260"/>
      <c r="AC669" s="265"/>
      <c r="AD669" s="634"/>
      <c r="AE669" s="264">
        <f t="shared" ref="AE669:AH669" si="1615">AE645*($S645*$P645+$T645*$Q645+$U645*$R645)</f>
        <v>0</v>
      </c>
      <c r="AF669" s="264">
        <f t="shared" si="1615"/>
        <v>0</v>
      </c>
      <c r="AG669" s="264">
        <f t="shared" si="1615"/>
        <v>0</v>
      </c>
      <c r="AH669" s="264">
        <f t="shared" si="1615"/>
        <v>0</v>
      </c>
      <c r="AI669" s="264">
        <f t="shared" si="1594"/>
        <v>0</v>
      </c>
      <c r="AJ669" s="264">
        <f t="shared" si="1595"/>
        <v>0</v>
      </c>
      <c r="AK669" s="264">
        <f t="shared" si="1596"/>
        <v>0</v>
      </c>
      <c r="AL669" s="264">
        <f t="shared" si="1597"/>
        <v>0</v>
      </c>
      <c r="AM669" s="264">
        <f t="shared" si="1598"/>
        <v>0</v>
      </c>
      <c r="AN669" s="640">
        <f t="shared" si="1599"/>
        <v>0</v>
      </c>
      <c r="AO669" s="264">
        <f t="shared" si="1600"/>
        <v>0</v>
      </c>
      <c r="AP669" s="640">
        <f t="shared" si="1601"/>
        <v>0</v>
      </c>
      <c r="AQ669" s="264"/>
      <c r="AR669" s="264" t="str">
        <f>VLOOKUP($I669,TableInputsData[],ReadMe!$M$3,FALSE)&amp;"  |  "&amp;VLOOKUP($K669,TableInputsData[],ReadMe!$M$3,FALSE)</f>
        <v>PRODUIT 16  |  DEPENSES SUR ACHATS</v>
      </c>
      <c r="AS669" s="264" t="b">
        <f t="shared" si="1602"/>
        <v>1</v>
      </c>
      <c r="AT669" s="294"/>
    </row>
    <row r="670" spans="1:46" ht="13" hidden="1" x14ac:dyDescent="0.2">
      <c r="A670" s="294"/>
      <c r="B670" s="925"/>
      <c r="C670" s="271">
        <v>663</v>
      </c>
      <c r="D670" s="250">
        <f t="shared" si="1536"/>
        <v>0</v>
      </c>
      <c r="E670" s="250"/>
      <c r="F670" s="248" t="str">
        <f t="shared" si="1591"/>
        <v>YEAR6</v>
      </c>
      <c r="G670" s="250">
        <f>VLOOKUP(F670,TableInputsData[],$G$6,FALSE)</f>
        <v>2030</v>
      </c>
      <c r="H670" s="250" t="str">
        <f t="shared" ref="H670:I670" si="1616">H669</f>
        <v>PRODUCT</v>
      </c>
      <c r="I670" s="248" t="str">
        <f t="shared" si="1616"/>
        <v>PRODUCT 16</v>
      </c>
      <c r="J670" s="248" t="str">
        <f>VLOOKUP(I670,TableInputsData[],$J$6,FALSE)</f>
        <v>-</v>
      </c>
      <c r="K670" s="248" t="str">
        <f t="shared" si="1606"/>
        <v>COST OF GOODS SOLD</v>
      </c>
      <c r="L670" s="255"/>
      <c r="M670" s="255"/>
      <c r="N670" s="255"/>
      <c r="O670" s="265"/>
      <c r="P670" s="260"/>
      <c r="Q670" s="260"/>
      <c r="R670" s="260"/>
      <c r="S670" s="630"/>
      <c r="T670" s="630"/>
      <c r="U670" s="630"/>
      <c r="V670" s="630"/>
      <c r="W670" s="260"/>
      <c r="X670" s="260"/>
      <c r="Y670" s="260"/>
      <c r="Z670" s="260"/>
      <c r="AA670" s="260"/>
      <c r="AB670" s="260"/>
      <c r="AC670" s="265"/>
      <c r="AD670" s="634"/>
      <c r="AE670" s="264">
        <f t="shared" ref="AE670:AH670" si="1617">AE646*($S646*$P646+$T646*$Q646+$U646*$R646)</f>
        <v>0</v>
      </c>
      <c r="AF670" s="264">
        <f t="shared" si="1617"/>
        <v>0</v>
      </c>
      <c r="AG670" s="264">
        <f t="shared" si="1617"/>
        <v>0</v>
      </c>
      <c r="AH670" s="264">
        <f t="shared" si="1617"/>
        <v>0</v>
      </c>
      <c r="AI670" s="264">
        <f t="shared" si="1594"/>
        <v>0</v>
      </c>
      <c r="AJ670" s="264">
        <f t="shared" si="1595"/>
        <v>0</v>
      </c>
      <c r="AK670" s="264">
        <f t="shared" si="1596"/>
        <v>0</v>
      </c>
      <c r="AL670" s="264">
        <f t="shared" si="1597"/>
        <v>0</v>
      </c>
      <c r="AM670" s="264">
        <f t="shared" si="1598"/>
        <v>0</v>
      </c>
      <c r="AN670" s="640">
        <f t="shared" si="1599"/>
        <v>0</v>
      </c>
      <c r="AO670" s="264">
        <f t="shared" si="1600"/>
        <v>0</v>
      </c>
      <c r="AP670" s="640">
        <f t="shared" si="1601"/>
        <v>0</v>
      </c>
      <c r="AQ670" s="264"/>
      <c r="AR670" s="264" t="str">
        <f>VLOOKUP($I670,TableInputsData[],ReadMe!$M$3,FALSE)&amp;"  |  "&amp;VLOOKUP($K670,TableInputsData[],ReadMe!$M$3,FALSE)</f>
        <v>PRODUIT 16  |  DEPENSES SUR ACHATS</v>
      </c>
      <c r="AS670" s="264" t="b">
        <f t="shared" si="1602"/>
        <v>1</v>
      </c>
      <c r="AT670" s="294"/>
    </row>
    <row r="671" spans="1:46" ht="13" hidden="1" x14ac:dyDescent="0.2">
      <c r="A671" s="294"/>
      <c r="B671" s="925"/>
      <c r="C671" s="272">
        <v>664</v>
      </c>
      <c r="D671" s="250">
        <f t="shared" si="1536"/>
        <v>0</v>
      </c>
      <c r="E671" s="251"/>
      <c r="F671" s="248" t="str">
        <f t="shared" ref="F671:F678" si="1618">F647</f>
        <v>YEAR-2</v>
      </c>
      <c r="G671" s="250">
        <f>VLOOKUP(F671,TableInputsData[],$G$6,FALSE)</f>
        <v>2023</v>
      </c>
      <c r="H671" s="250" t="str">
        <f t="shared" ref="H671:I671" si="1619">H670</f>
        <v>PRODUCT</v>
      </c>
      <c r="I671" s="248" t="str">
        <f t="shared" si="1619"/>
        <v>PRODUCT 16</v>
      </c>
      <c r="J671" s="248" t="str">
        <f>VLOOKUP(I671,TableInputsData[],$J$6,FALSE)</f>
        <v>-</v>
      </c>
      <c r="K671" s="248" t="s">
        <v>532</v>
      </c>
      <c r="L671" s="256"/>
      <c r="M671" s="256"/>
      <c r="N671" s="256"/>
      <c r="O671" s="266"/>
      <c r="P671" s="261"/>
      <c r="Q671" s="261"/>
      <c r="R671" s="261"/>
      <c r="S671" s="629"/>
      <c r="T671" s="629"/>
      <c r="U671" s="629"/>
      <c r="V671" s="629"/>
      <c r="W671" s="261"/>
      <c r="X671" s="261"/>
      <c r="Y671" s="261"/>
      <c r="Z671" s="261"/>
      <c r="AA671" s="261"/>
      <c r="AB671" s="261"/>
      <c r="AC671" s="266"/>
      <c r="AD671" s="633"/>
      <c r="AE671" s="264">
        <f>IF(AE639=0,0,AE663/AE639)</f>
        <v>0</v>
      </c>
      <c r="AF671" s="264">
        <f t="shared" ref="AF671:AI671" si="1620">IF(AF639=0,0,AF663/AF639)</f>
        <v>0</v>
      </c>
      <c r="AG671" s="264">
        <f t="shared" si="1620"/>
        <v>0</v>
      </c>
      <c r="AH671" s="264">
        <f t="shared" si="1620"/>
        <v>0</v>
      </c>
      <c r="AI671" s="264">
        <f t="shared" si="1620"/>
        <v>0</v>
      </c>
      <c r="AJ671" s="264">
        <f>IF(AJ639=0,0,AJ663/AJ639)</f>
        <v>0</v>
      </c>
      <c r="AK671" s="264">
        <f t="shared" ref="AK671:AL671" si="1621">IF(AK639=0,0,AK663/AK639)</f>
        <v>0</v>
      </c>
      <c r="AL671" s="264">
        <f t="shared" si="1621"/>
        <v>0</v>
      </c>
      <c r="AM671" s="264">
        <f>IF(AM639=0,0,AM663/AM639)</f>
        <v>0</v>
      </c>
      <c r="AN671" s="260"/>
      <c r="AO671" s="264">
        <f t="shared" ref="AO671" si="1622">IF(AO639=0,0,AO663/AO639)</f>
        <v>0</v>
      </c>
      <c r="AP671" s="260"/>
      <c r="AQ671" s="264"/>
      <c r="AR671" s="264" t="str">
        <f>VLOOKUP($I671,TableInputsData[],ReadMe!$M$3,FALSE)&amp;"  |  "&amp;VLOOKUP($K671,TableInputsData[],ReadMe!$M$3,FALSE)</f>
        <v>PRODUIT 16  |  PRIX MOYEN D'ACHAT PAR PRODUIT/SERVICE</v>
      </c>
      <c r="AS671" s="264"/>
      <c r="AT671" s="294"/>
    </row>
    <row r="672" spans="1:46" ht="13" hidden="1" x14ac:dyDescent="0.2">
      <c r="A672" s="294"/>
      <c r="B672" s="925"/>
      <c r="C672" s="272">
        <v>665</v>
      </c>
      <c r="D672" s="250">
        <f t="shared" si="1536"/>
        <v>0</v>
      </c>
      <c r="E672" s="251"/>
      <c r="F672" s="248" t="str">
        <f t="shared" si="1618"/>
        <v>YEAR-1</v>
      </c>
      <c r="G672" s="250">
        <f>VLOOKUP(F672,TableInputsData[],$G$6,FALSE)</f>
        <v>2024</v>
      </c>
      <c r="H672" s="250" t="str">
        <f t="shared" ref="H672:I672" si="1623">H671</f>
        <v>PRODUCT</v>
      </c>
      <c r="I672" s="248" t="str">
        <f t="shared" si="1623"/>
        <v>PRODUCT 16</v>
      </c>
      <c r="J672" s="248" t="str">
        <f>VLOOKUP(I672,TableInputsData[],$J$6,FALSE)</f>
        <v>-</v>
      </c>
      <c r="K672" s="248" t="str">
        <f>K671</f>
        <v>AVERAGE COST OF GOODS SOLD PER UNIT</v>
      </c>
      <c r="L672" s="256"/>
      <c r="M672" s="256"/>
      <c r="N672" s="256"/>
      <c r="O672" s="266"/>
      <c r="P672" s="261"/>
      <c r="Q672" s="261"/>
      <c r="R672" s="261"/>
      <c r="S672" s="629"/>
      <c r="T672" s="629"/>
      <c r="U672" s="629"/>
      <c r="V672" s="629"/>
      <c r="W672" s="261"/>
      <c r="X672" s="261"/>
      <c r="Y672" s="261"/>
      <c r="Z672" s="261"/>
      <c r="AA672" s="261"/>
      <c r="AB672" s="261"/>
      <c r="AC672" s="266"/>
      <c r="AD672" s="633"/>
      <c r="AE672" s="264">
        <f t="shared" ref="AE672:AL672" si="1624">IF(AE640=0,0,AE664/AE640)</f>
        <v>0</v>
      </c>
      <c r="AF672" s="264">
        <f t="shared" si="1624"/>
        <v>0</v>
      </c>
      <c r="AG672" s="264">
        <f t="shared" si="1624"/>
        <v>0</v>
      </c>
      <c r="AH672" s="264">
        <f t="shared" si="1624"/>
        <v>0</v>
      </c>
      <c r="AI672" s="264">
        <f t="shared" si="1624"/>
        <v>0</v>
      </c>
      <c r="AJ672" s="264">
        <f t="shared" si="1624"/>
        <v>0</v>
      </c>
      <c r="AK672" s="264">
        <f t="shared" si="1624"/>
        <v>0</v>
      </c>
      <c r="AL672" s="264">
        <f t="shared" si="1624"/>
        <v>0</v>
      </c>
      <c r="AM672" s="264">
        <f>IF(AM640=0,0,AM664/AM640)</f>
        <v>0</v>
      </c>
      <c r="AN672" s="260"/>
      <c r="AO672" s="264">
        <f>IF(AO640=0,0,AO664/AO640)</f>
        <v>0</v>
      </c>
      <c r="AP672" s="260"/>
      <c r="AQ672" s="264"/>
      <c r="AR672" s="264" t="str">
        <f>VLOOKUP($I672,TableInputsData[],ReadMe!$M$3,FALSE)&amp;"  |  "&amp;VLOOKUP($K672,TableInputsData[],ReadMe!$M$3,FALSE)</f>
        <v>PRODUIT 16  |  PRIX MOYEN D'ACHAT PAR PRODUIT/SERVICE</v>
      </c>
      <c r="AS672" s="264"/>
      <c r="AT672" s="294"/>
    </row>
    <row r="673" spans="1:46" ht="13" hidden="1" x14ac:dyDescent="0.2">
      <c r="A673" s="294"/>
      <c r="B673" s="925"/>
      <c r="C673" s="272">
        <v>666</v>
      </c>
      <c r="D673" s="250">
        <f t="shared" si="1536"/>
        <v>0</v>
      </c>
      <c r="E673" s="251"/>
      <c r="F673" s="248" t="str">
        <f t="shared" si="1618"/>
        <v>CURRENT YEAR</v>
      </c>
      <c r="G673" s="250">
        <f>VLOOKUP(F673,TableInputsData[],$G$6,FALSE)</f>
        <v>2025</v>
      </c>
      <c r="H673" s="250" t="str">
        <f t="shared" ref="H673:I673" si="1625">H672</f>
        <v>PRODUCT</v>
      </c>
      <c r="I673" s="248" t="str">
        <f t="shared" si="1625"/>
        <v>PRODUCT 16</v>
      </c>
      <c r="J673" s="248" t="str">
        <f>VLOOKUP(I673,TableInputsData[],$J$6,FALSE)</f>
        <v>-</v>
      </c>
      <c r="K673" s="248" t="str">
        <f t="shared" ref="K673:K678" si="1626">K672</f>
        <v>AVERAGE COST OF GOODS SOLD PER UNIT</v>
      </c>
      <c r="L673" s="256"/>
      <c r="M673" s="256"/>
      <c r="N673" s="256"/>
      <c r="O673" s="266"/>
      <c r="P673" s="261"/>
      <c r="Q673" s="261"/>
      <c r="R673" s="261"/>
      <c r="S673" s="629"/>
      <c r="T673" s="629"/>
      <c r="U673" s="629"/>
      <c r="V673" s="629"/>
      <c r="W673" s="261"/>
      <c r="X673" s="261"/>
      <c r="Y673" s="261"/>
      <c r="Z673" s="261"/>
      <c r="AA673" s="261"/>
      <c r="AB673" s="261"/>
      <c r="AC673" s="266"/>
      <c r="AD673" s="633"/>
      <c r="AE673" s="264">
        <f t="shared" ref="AE673:AL673" si="1627">IF(AE641=0,0,AE665/AE641)</f>
        <v>0</v>
      </c>
      <c r="AF673" s="264">
        <f t="shared" si="1627"/>
        <v>0</v>
      </c>
      <c r="AG673" s="264">
        <f t="shared" si="1627"/>
        <v>0</v>
      </c>
      <c r="AH673" s="264">
        <f t="shared" si="1627"/>
        <v>0</v>
      </c>
      <c r="AI673" s="264">
        <f t="shared" si="1627"/>
        <v>0</v>
      </c>
      <c r="AJ673" s="264">
        <f t="shared" si="1627"/>
        <v>0</v>
      </c>
      <c r="AK673" s="264">
        <f t="shared" si="1627"/>
        <v>0</v>
      </c>
      <c r="AL673" s="264">
        <f t="shared" si="1627"/>
        <v>0</v>
      </c>
      <c r="AM673" s="264">
        <f>IF(AM641=0,0,AM665/AM641)</f>
        <v>0</v>
      </c>
      <c r="AN673" s="260"/>
      <c r="AO673" s="264">
        <f>IF(AO641=0,0,AO665/AO641)</f>
        <v>0</v>
      </c>
      <c r="AP673" s="260"/>
      <c r="AQ673" s="264"/>
      <c r="AR673" s="264" t="str">
        <f>VLOOKUP($I673,TableInputsData[],ReadMe!$M$3,FALSE)&amp;"  |  "&amp;VLOOKUP($K673,TableInputsData[],ReadMe!$M$3,FALSE)</f>
        <v>PRODUIT 16  |  PRIX MOYEN D'ACHAT PAR PRODUIT/SERVICE</v>
      </c>
      <c r="AS673" s="264"/>
      <c r="AT673" s="294"/>
    </row>
    <row r="674" spans="1:46" ht="13" hidden="1" x14ac:dyDescent="0.2">
      <c r="A674" s="294"/>
      <c r="B674" s="925"/>
      <c r="C674" s="272">
        <v>667</v>
      </c>
      <c r="D674" s="250">
        <f t="shared" si="1536"/>
        <v>0</v>
      </c>
      <c r="E674" s="251"/>
      <c r="F674" s="248" t="str">
        <f t="shared" si="1618"/>
        <v>YEAR2</v>
      </c>
      <c r="G674" s="250">
        <f>VLOOKUP(F674,TableInputsData[],$G$6,FALSE)</f>
        <v>2026</v>
      </c>
      <c r="H674" s="250" t="str">
        <f t="shared" ref="H674:I674" si="1628">H673</f>
        <v>PRODUCT</v>
      </c>
      <c r="I674" s="248" t="str">
        <f t="shared" si="1628"/>
        <v>PRODUCT 16</v>
      </c>
      <c r="J674" s="248" t="str">
        <f>VLOOKUP(I674,TableInputsData[],$J$6,FALSE)</f>
        <v>-</v>
      </c>
      <c r="K674" s="248" t="str">
        <f t="shared" si="1626"/>
        <v>AVERAGE COST OF GOODS SOLD PER UNIT</v>
      </c>
      <c r="L674" s="256"/>
      <c r="M674" s="256"/>
      <c r="N674" s="256"/>
      <c r="O674" s="266"/>
      <c r="P674" s="261"/>
      <c r="Q674" s="261"/>
      <c r="R674" s="261"/>
      <c r="S674" s="629"/>
      <c r="T674" s="629"/>
      <c r="U674" s="629"/>
      <c r="V674" s="629"/>
      <c r="W674" s="261"/>
      <c r="X674" s="261"/>
      <c r="Y674" s="261"/>
      <c r="Z674" s="261"/>
      <c r="AA674" s="261"/>
      <c r="AB674" s="261"/>
      <c r="AC674" s="266"/>
      <c r="AD674" s="633"/>
      <c r="AE674" s="264">
        <f t="shared" ref="AE674:AM674" si="1629">IF(AE642=0,0,AE666/AE642)</f>
        <v>0</v>
      </c>
      <c r="AF674" s="264">
        <f t="shared" si="1629"/>
        <v>0</v>
      </c>
      <c r="AG674" s="264">
        <f t="shared" si="1629"/>
        <v>0</v>
      </c>
      <c r="AH674" s="264">
        <f t="shared" si="1629"/>
        <v>0</v>
      </c>
      <c r="AI674" s="264">
        <f t="shared" si="1629"/>
        <v>0</v>
      </c>
      <c r="AJ674" s="264">
        <f t="shared" si="1629"/>
        <v>0</v>
      </c>
      <c r="AK674" s="264">
        <f t="shared" si="1629"/>
        <v>0</v>
      </c>
      <c r="AL674" s="264">
        <f t="shared" si="1629"/>
        <v>0</v>
      </c>
      <c r="AM674" s="264">
        <f t="shared" si="1629"/>
        <v>0</v>
      </c>
      <c r="AN674" s="260"/>
      <c r="AO674" s="264">
        <f t="shared" ref="AO674:AO678" si="1630">IF(AO642=0,0,AO666/AO642)</f>
        <v>0</v>
      </c>
      <c r="AP674" s="260"/>
      <c r="AQ674" s="264"/>
      <c r="AR674" s="264" t="str">
        <f>VLOOKUP($I674,TableInputsData[],ReadMe!$M$3,FALSE)&amp;"  |  "&amp;VLOOKUP($K674,TableInputsData[],ReadMe!$M$3,FALSE)</f>
        <v>PRODUIT 16  |  PRIX MOYEN D'ACHAT PAR PRODUIT/SERVICE</v>
      </c>
      <c r="AS674" s="264"/>
      <c r="AT674" s="294"/>
    </row>
    <row r="675" spans="1:46" ht="13" hidden="1" x14ac:dyDescent="0.2">
      <c r="A675" s="294"/>
      <c r="B675" s="925"/>
      <c r="C675" s="272">
        <v>668</v>
      </c>
      <c r="D675" s="250">
        <f t="shared" si="1536"/>
        <v>0</v>
      </c>
      <c r="E675" s="251"/>
      <c r="F675" s="248" t="str">
        <f t="shared" si="1618"/>
        <v>YEAR3</v>
      </c>
      <c r="G675" s="250">
        <f>VLOOKUP(F675,TableInputsData[],$G$6,FALSE)</f>
        <v>2027</v>
      </c>
      <c r="H675" s="250" t="str">
        <f t="shared" ref="H675:I675" si="1631">H674</f>
        <v>PRODUCT</v>
      </c>
      <c r="I675" s="248" t="str">
        <f t="shared" si="1631"/>
        <v>PRODUCT 16</v>
      </c>
      <c r="J675" s="248" t="str">
        <f>VLOOKUP(I675,TableInputsData[],$J$6,FALSE)</f>
        <v>-</v>
      </c>
      <c r="K675" s="248" t="str">
        <f t="shared" si="1626"/>
        <v>AVERAGE COST OF GOODS SOLD PER UNIT</v>
      </c>
      <c r="L675" s="256"/>
      <c r="M675" s="256"/>
      <c r="N675" s="256"/>
      <c r="O675" s="266"/>
      <c r="P675" s="261"/>
      <c r="Q675" s="261"/>
      <c r="R675" s="261"/>
      <c r="S675" s="629"/>
      <c r="T675" s="629"/>
      <c r="U675" s="629"/>
      <c r="V675" s="629"/>
      <c r="W675" s="261"/>
      <c r="X675" s="261"/>
      <c r="Y675" s="261"/>
      <c r="Z675" s="261"/>
      <c r="AA675" s="261"/>
      <c r="AB675" s="261"/>
      <c r="AC675" s="266"/>
      <c r="AD675" s="633"/>
      <c r="AE675" s="264">
        <f t="shared" ref="AE675:AM675" si="1632">IF(AE643=0,0,AE667/AE643)</f>
        <v>0</v>
      </c>
      <c r="AF675" s="264">
        <f t="shared" si="1632"/>
        <v>0</v>
      </c>
      <c r="AG675" s="264">
        <f t="shared" si="1632"/>
        <v>0</v>
      </c>
      <c r="AH675" s="264">
        <f t="shared" si="1632"/>
        <v>0</v>
      </c>
      <c r="AI675" s="264">
        <f t="shared" si="1632"/>
        <v>0</v>
      </c>
      <c r="AJ675" s="264">
        <f t="shared" si="1632"/>
        <v>0</v>
      </c>
      <c r="AK675" s="264">
        <f t="shared" si="1632"/>
        <v>0</v>
      </c>
      <c r="AL675" s="264">
        <f t="shared" si="1632"/>
        <v>0</v>
      </c>
      <c r="AM675" s="264">
        <f t="shared" si="1632"/>
        <v>0</v>
      </c>
      <c r="AN675" s="260"/>
      <c r="AO675" s="264">
        <f t="shared" si="1630"/>
        <v>0</v>
      </c>
      <c r="AP675" s="260"/>
      <c r="AQ675" s="264"/>
      <c r="AR675" s="264" t="str">
        <f>VLOOKUP($I675,TableInputsData[],ReadMe!$M$3,FALSE)&amp;"  |  "&amp;VLOOKUP($K675,TableInputsData[],ReadMe!$M$3,FALSE)</f>
        <v>PRODUIT 16  |  PRIX MOYEN D'ACHAT PAR PRODUIT/SERVICE</v>
      </c>
      <c r="AS675" s="264"/>
      <c r="AT675" s="294"/>
    </row>
    <row r="676" spans="1:46" ht="13" hidden="1" x14ac:dyDescent="0.2">
      <c r="A676" s="294"/>
      <c r="B676" s="925"/>
      <c r="C676" s="272">
        <v>669</v>
      </c>
      <c r="D676" s="250">
        <f t="shared" si="1536"/>
        <v>0</v>
      </c>
      <c r="E676" s="251"/>
      <c r="F676" s="248" t="str">
        <f t="shared" si="1618"/>
        <v>YEAR4</v>
      </c>
      <c r="G676" s="250">
        <f>VLOOKUP(F676,TableInputsData[],$G$6,FALSE)</f>
        <v>2028</v>
      </c>
      <c r="H676" s="250" t="str">
        <f t="shared" ref="H676:I676" si="1633">H675</f>
        <v>PRODUCT</v>
      </c>
      <c r="I676" s="248" t="str">
        <f t="shared" si="1633"/>
        <v>PRODUCT 16</v>
      </c>
      <c r="J676" s="248" t="str">
        <f>VLOOKUP(I676,TableInputsData[],$J$6,FALSE)</f>
        <v>-</v>
      </c>
      <c r="K676" s="248" t="str">
        <f t="shared" si="1626"/>
        <v>AVERAGE COST OF GOODS SOLD PER UNIT</v>
      </c>
      <c r="L676" s="256"/>
      <c r="M676" s="256"/>
      <c r="N676" s="256"/>
      <c r="O676" s="266"/>
      <c r="P676" s="261"/>
      <c r="Q676" s="261"/>
      <c r="R676" s="261"/>
      <c r="S676" s="629"/>
      <c r="T676" s="629"/>
      <c r="U676" s="629"/>
      <c r="V676" s="629"/>
      <c r="W676" s="261"/>
      <c r="X676" s="261"/>
      <c r="Y676" s="261"/>
      <c r="Z676" s="261"/>
      <c r="AA676" s="261"/>
      <c r="AB676" s="261"/>
      <c r="AC676" s="266"/>
      <c r="AD676" s="633"/>
      <c r="AE676" s="264">
        <f t="shared" ref="AE676:AM676" si="1634">IF(AE644=0,0,AE668/AE644)</f>
        <v>0</v>
      </c>
      <c r="AF676" s="264">
        <f t="shared" si="1634"/>
        <v>0</v>
      </c>
      <c r="AG676" s="264">
        <f t="shared" si="1634"/>
        <v>0</v>
      </c>
      <c r="AH676" s="264">
        <f t="shared" si="1634"/>
        <v>0</v>
      </c>
      <c r="AI676" s="264">
        <f t="shared" si="1634"/>
        <v>0</v>
      </c>
      <c r="AJ676" s="264">
        <f t="shared" si="1634"/>
        <v>0</v>
      </c>
      <c r="AK676" s="264">
        <f t="shared" si="1634"/>
        <v>0</v>
      </c>
      <c r="AL676" s="264">
        <f t="shared" si="1634"/>
        <v>0</v>
      </c>
      <c r="AM676" s="264">
        <f t="shared" si="1634"/>
        <v>0</v>
      </c>
      <c r="AN676" s="260"/>
      <c r="AO676" s="264">
        <f t="shared" si="1630"/>
        <v>0</v>
      </c>
      <c r="AP676" s="260"/>
      <c r="AQ676" s="264"/>
      <c r="AR676" s="264" t="str">
        <f>VLOOKUP($I676,TableInputsData[],ReadMe!$M$3,FALSE)&amp;"  |  "&amp;VLOOKUP($K676,TableInputsData[],ReadMe!$M$3,FALSE)</f>
        <v>PRODUIT 16  |  PRIX MOYEN D'ACHAT PAR PRODUIT/SERVICE</v>
      </c>
      <c r="AS676" s="264"/>
      <c r="AT676" s="294"/>
    </row>
    <row r="677" spans="1:46" ht="13" hidden="1" x14ac:dyDescent="0.2">
      <c r="A677" s="294"/>
      <c r="B677" s="925"/>
      <c r="C677" s="272">
        <v>670</v>
      </c>
      <c r="D677" s="250">
        <f t="shared" si="1536"/>
        <v>0</v>
      </c>
      <c r="E677" s="251"/>
      <c r="F677" s="248" t="str">
        <f t="shared" si="1618"/>
        <v>YEAR5</v>
      </c>
      <c r="G677" s="250">
        <f>VLOOKUP(F677,TableInputsData[],$G$6,FALSE)</f>
        <v>2029</v>
      </c>
      <c r="H677" s="250" t="str">
        <f t="shared" ref="H677:I677" si="1635">H676</f>
        <v>PRODUCT</v>
      </c>
      <c r="I677" s="248" t="str">
        <f t="shared" si="1635"/>
        <v>PRODUCT 16</v>
      </c>
      <c r="J677" s="248" t="str">
        <f>VLOOKUP(I677,TableInputsData[],$J$6,FALSE)</f>
        <v>-</v>
      </c>
      <c r="K677" s="248" t="str">
        <f t="shared" si="1626"/>
        <v>AVERAGE COST OF GOODS SOLD PER UNIT</v>
      </c>
      <c r="L677" s="256"/>
      <c r="M677" s="256"/>
      <c r="N677" s="256"/>
      <c r="O677" s="266"/>
      <c r="P677" s="261"/>
      <c r="Q677" s="261"/>
      <c r="R677" s="261"/>
      <c r="S677" s="629"/>
      <c r="T677" s="629"/>
      <c r="U677" s="629"/>
      <c r="V677" s="629"/>
      <c r="W677" s="261"/>
      <c r="X677" s="261"/>
      <c r="Y677" s="261"/>
      <c r="Z677" s="261"/>
      <c r="AA677" s="261"/>
      <c r="AB677" s="261"/>
      <c r="AC677" s="266"/>
      <c r="AD677" s="633"/>
      <c r="AE677" s="264">
        <f t="shared" ref="AE677:AM677" si="1636">IF(AE645=0,0,AE669/AE645)</f>
        <v>0</v>
      </c>
      <c r="AF677" s="264">
        <f t="shared" si="1636"/>
        <v>0</v>
      </c>
      <c r="AG677" s="264">
        <f t="shared" si="1636"/>
        <v>0</v>
      </c>
      <c r="AH677" s="264">
        <f t="shared" si="1636"/>
        <v>0</v>
      </c>
      <c r="AI677" s="264">
        <f t="shared" si="1636"/>
        <v>0</v>
      </c>
      <c r="AJ677" s="264">
        <f t="shared" si="1636"/>
        <v>0</v>
      </c>
      <c r="AK677" s="264">
        <f t="shared" si="1636"/>
        <v>0</v>
      </c>
      <c r="AL677" s="264">
        <f t="shared" si="1636"/>
        <v>0</v>
      </c>
      <c r="AM677" s="264">
        <f t="shared" si="1636"/>
        <v>0</v>
      </c>
      <c r="AN677" s="260"/>
      <c r="AO677" s="264">
        <f t="shared" si="1630"/>
        <v>0</v>
      </c>
      <c r="AP677" s="260"/>
      <c r="AQ677" s="264"/>
      <c r="AR677" s="264" t="str">
        <f>VLOOKUP($I677,TableInputsData[],ReadMe!$M$3,FALSE)&amp;"  |  "&amp;VLOOKUP($K677,TableInputsData[],ReadMe!$M$3,FALSE)</f>
        <v>PRODUIT 16  |  PRIX MOYEN D'ACHAT PAR PRODUIT/SERVICE</v>
      </c>
      <c r="AS677" s="264"/>
      <c r="AT677" s="294"/>
    </row>
    <row r="678" spans="1:46" ht="13" hidden="1" x14ac:dyDescent="0.2">
      <c r="A678" s="294"/>
      <c r="B678" s="925"/>
      <c r="C678" s="272">
        <v>671</v>
      </c>
      <c r="D678" s="250">
        <f t="shared" si="1536"/>
        <v>0</v>
      </c>
      <c r="E678" s="251"/>
      <c r="F678" s="248" t="str">
        <f t="shared" si="1618"/>
        <v>YEAR6</v>
      </c>
      <c r="G678" s="250">
        <f>VLOOKUP(F678,TableInputsData[],$G$6,FALSE)</f>
        <v>2030</v>
      </c>
      <c r="H678" s="250" t="str">
        <f t="shared" ref="H678:I678" si="1637">H677</f>
        <v>PRODUCT</v>
      </c>
      <c r="I678" s="248" t="str">
        <f t="shared" si="1637"/>
        <v>PRODUCT 16</v>
      </c>
      <c r="J678" s="248" t="str">
        <f>VLOOKUP(I678,TableInputsData[],$J$6,FALSE)</f>
        <v>-</v>
      </c>
      <c r="K678" s="248" t="str">
        <f t="shared" si="1626"/>
        <v>AVERAGE COST OF GOODS SOLD PER UNIT</v>
      </c>
      <c r="L678" s="256"/>
      <c r="M678" s="256"/>
      <c r="N678" s="256"/>
      <c r="O678" s="266"/>
      <c r="P678" s="261"/>
      <c r="Q678" s="261"/>
      <c r="R678" s="261"/>
      <c r="S678" s="629"/>
      <c r="T678" s="629"/>
      <c r="U678" s="629"/>
      <c r="V678" s="629"/>
      <c r="W678" s="261"/>
      <c r="X678" s="261"/>
      <c r="Y678" s="261"/>
      <c r="Z678" s="261"/>
      <c r="AA678" s="261"/>
      <c r="AB678" s="261"/>
      <c r="AC678" s="266"/>
      <c r="AD678" s="633"/>
      <c r="AE678" s="264">
        <f t="shared" ref="AE678:AM678" si="1638">IF(AE646=0,0,AE670/AE646)</f>
        <v>0</v>
      </c>
      <c r="AF678" s="264">
        <f t="shared" si="1638"/>
        <v>0</v>
      </c>
      <c r="AG678" s="264">
        <f t="shared" si="1638"/>
        <v>0</v>
      </c>
      <c r="AH678" s="264">
        <f t="shared" si="1638"/>
        <v>0</v>
      </c>
      <c r="AI678" s="264">
        <f t="shared" si="1638"/>
        <v>0</v>
      </c>
      <c r="AJ678" s="264">
        <f t="shared" si="1638"/>
        <v>0</v>
      </c>
      <c r="AK678" s="264">
        <f t="shared" si="1638"/>
        <v>0</v>
      </c>
      <c r="AL678" s="264">
        <f t="shared" si="1638"/>
        <v>0</v>
      </c>
      <c r="AM678" s="264">
        <f t="shared" si="1638"/>
        <v>0</v>
      </c>
      <c r="AN678" s="260"/>
      <c r="AO678" s="264">
        <f t="shared" si="1630"/>
        <v>0</v>
      </c>
      <c r="AP678" s="260"/>
      <c r="AQ678" s="264"/>
      <c r="AR678" s="264" t="str">
        <f>VLOOKUP($I678,TableInputsData[],ReadMe!$M$3,FALSE)&amp;"  |  "&amp;VLOOKUP($K678,TableInputsData[],ReadMe!$M$3,FALSE)</f>
        <v>PRODUIT 16  |  PRIX MOYEN D'ACHAT PAR PRODUIT/SERVICE</v>
      </c>
      <c r="AS678" s="264"/>
      <c r="AT678" s="294"/>
    </row>
    <row r="679" spans="1:46" ht="13" x14ac:dyDescent="0.2">
      <c r="A679" s="294"/>
      <c r="B679" s="925"/>
      <c r="C679" s="273">
        <v>672</v>
      </c>
      <c r="D679" s="253">
        <v>0</v>
      </c>
      <c r="E679" s="253">
        <v>1</v>
      </c>
      <c r="F679" s="252"/>
      <c r="G679" s="253"/>
      <c r="H679" s="253"/>
      <c r="I679" s="252"/>
      <c r="J679" s="252"/>
      <c r="K679" s="252"/>
      <c r="L679" s="257"/>
      <c r="M679" s="257"/>
      <c r="N679" s="257"/>
      <c r="O679" s="267"/>
      <c r="P679" s="262"/>
      <c r="Q679" s="262"/>
      <c r="R679" s="262"/>
      <c r="S679" s="631"/>
      <c r="T679" s="631"/>
      <c r="U679" s="631"/>
      <c r="V679" s="631"/>
      <c r="W679" s="262"/>
      <c r="X679" s="262"/>
      <c r="Y679" s="262"/>
      <c r="Z679" s="262"/>
      <c r="AA679" s="262"/>
      <c r="AB679" s="262"/>
      <c r="AC679" s="267"/>
      <c r="AD679" s="635"/>
      <c r="AE679" s="270"/>
      <c r="AF679" s="270"/>
      <c r="AG679" s="270"/>
      <c r="AH679" s="270"/>
      <c r="AI679" s="270"/>
      <c r="AJ679" s="270"/>
      <c r="AK679" s="270"/>
      <c r="AL679" s="270"/>
      <c r="AM679" s="270"/>
      <c r="AN679" s="643"/>
      <c r="AO679" s="270"/>
      <c r="AP679" s="270"/>
      <c r="AQ679" s="270"/>
      <c r="AR679" s="270"/>
      <c r="AS679" s="270"/>
      <c r="AT679" s="294"/>
    </row>
    <row r="680" spans="1:46" ht="13" hidden="1" x14ac:dyDescent="0.2">
      <c r="A680" s="294"/>
      <c r="B680" s="924" t="str">
        <f>I681&amp;"___"</f>
        <v>PRODUCT 17___</v>
      </c>
      <c r="C680" s="271">
        <v>673</v>
      </c>
      <c r="D680" s="250">
        <v>0</v>
      </c>
      <c r="E680" s="250"/>
      <c r="F680" s="248"/>
      <c r="G680" s="250"/>
      <c r="H680" s="250"/>
      <c r="I680" s="248"/>
      <c r="J680" s="248"/>
      <c r="K680" s="248"/>
      <c r="L680" s="254"/>
      <c r="M680" s="254"/>
      <c r="N680" s="254"/>
      <c r="O680" s="264"/>
      <c r="P680" s="259"/>
      <c r="Q680" s="259"/>
      <c r="R680" s="259"/>
      <c r="S680" s="628"/>
      <c r="T680" s="628"/>
      <c r="U680" s="628"/>
      <c r="V680" s="628"/>
      <c r="W680" s="259"/>
      <c r="X680" s="259"/>
      <c r="Y680" s="259"/>
      <c r="Z680" s="259"/>
      <c r="AA680" s="259"/>
      <c r="AB680" s="259"/>
      <c r="AC680" s="264"/>
      <c r="AD680" s="609"/>
      <c r="AE680" s="269"/>
      <c r="AF680" s="269"/>
      <c r="AG680" s="269"/>
      <c r="AH680" s="269"/>
      <c r="AI680" s="269"/>
      <c r="AJ680" s="269"/>
      <c r="AK680" s="269"/>
      <c r="AL680" s="269"/>
      <c r="AM680" s="269"/>
      <c r="AN680" s="642"/>
      <c r="AO680" s="269"/>
      <c r="AP680" s="269"/>
      <c r="AQ680" s="269"/>
      <c r="AR680" s="269"/>
      <c r="AS680" s="269"/>
      <c r="AT680" s="294"/>
    </row>
    <row r="681" spans="1:46" ht="13" x14ac:dyDescent="0.2">
      <c r="A681" s="294"/>
      <c r="B681" s="924"/>
      <c r="C681" s="271">
        <v>674</v>
      </c>
      <c r="D681" s="250">
        <f>VLOOKUP($I681,TableInputsData[],$D$6,FALSE)</f>
        <v>0</v>
      </c>
      <c r="E681" s="250">
        <v>1</v>
      </c>
      <c r="F681" s="248" t="s">
        <v>392</v>
      </c>
      <c r="G681" s="250">
        <f>VLOOKUP(F681,TableInputsData[],$G$6,FALSE)</f>
        <v>2023</v>
      </c>
      <c r="H681" s="250" t="s">
        <v>588</v>
      </c>
      <c r="I681" s="248" t="s">
        <v>1722</v>
      </c>
      <c r="J681" s="248" t="str">
        <f>VLOOKUP(I681,TableInputsData[],$J$6,FALSE)</f>
        <v>-</v>
      </c>
      <c r="K681" s="248" t="s">
        <v>261</v>
      </c>
      <c r="L681" s="499">
        <v>1000</v>
      </c>
      <c r="M681" s="499">
        <v>0</v>
      </c>
      <c r="N681" s="499">
        <v>0</v>
      </c>
      <c r="O681" s="264">
        <f t="shared" ref="O681:O688" si="1639">$L681*$P681+$M681*$Q681+$N681*$R681</f>
        <v>1000</v>
      </c>
      <c r="P681" s="500">
        <v>1</v>
      </c>
      <c r="Q681" s="500">
        <v>0</v>
      </c>
      <c r="R681" s="259">
        <f>1-$P681-$Q681</f>
        <v>0</v>
      </c>
      <c r="S681" s="626">
        <v>500</v>
      </c>
      <c r="T681" s="626">
        <v>0</v>
      </c>
      <c r="U681" s="626">
        <v>0</v>
      </c>
      <c r="V681" s="628">
        <f>($L681*$P681*$S681+$M681*$Q681*$T681+$N681*$R681*$U681)/$O681</f>
        <v>500</v>
      </c>
      <c r="W681" s="500">
        <v>1</v>
      </c>
      <c r="X681" s="500">
        <v>1</v>
      </c>
      <c r="Y681" s="500">
        <v>1</v>
      </c>
      <c r="Z681" s="259">
        <f t="shared" ref="Z681:Z688" si="1640">1-$W681</f>
        <v>0</v>
      </c>
      <c r="AA681" s="259">
        <f t="shared" ref="AA681:AA688" si="1641">1-$X681</f>
        <v>0</v>
      </c>
      <c r="AB681" s="259">
        <f t="shared" ref="AB681:AB688" si="1642">1-$Y681</f>
        <v>0</v>
      </c>
      <c r="AC681" s="628">
        <f>AM713</f>
        <v>0</v>
      </c>
      <c r="AD681" s="628">
        <f>AO713</f>
        <v>0</v>
      </c>
      <c r="AE681" s="501">
        <v>0</v>
      </c>
      <c r="AF681" s="501">
        <v>0</v>
      </c>
      <c r="AG681" s="501">
        <v>0</v>
      </c>
      <c r="AH681" s="501">
        <v>0</v>
      </c>
      <c r="AI681" s="264">
        <f t="shared" ref="AI681:AI684" si="1643">$AE681+$AF681+$AG681+$AH681</f>
        <v>0</v>
      </c>
      <c r="AJ681" s="264">
        <f t="shared" ref="AJ681:AJ688" si="1644">$AI681*$P681</f>
        <v>0</v>
      </c>
      <c r="AK681" s="264">
        <f t="shared" ref="AK681:AK688" si="1645">$AI681*$Q681</f>
        <v>0</v>
      </c>
      <c r="AL681" s="264">
        <f t="shared" ref="AL681:AL688" si="1646">$AI681*$R681</f>
        <v>0</v>
      </c>
      <c r="AM681" s="264">
        <f t="shared" ref="AM681:AM688" si="1647">$AJ681*$W681+$AK681*$X681+$AL681*$Y681</f>
        <v>0</v>
      </c>
      <c r="AN681" s="640">
        <f>IF(AI681=0,0,AM681/AI681)</f>
        <v>0</v>
      </c>
      <c r="AO681" s="264">
        <f t="shared" ref="AO681:AO688" si="1648">$AJ681*$Z681+$AK681*$AA681+$AL681*$AB681</f>
        <v>0</v>
      </c>
      <c r="AP681" s="640">
        <f t="shared" ref="AP681:AP696" si="1649">IF(AI681=0,0,AO681/AI681)</f>
        <v>0</v>
      </c>
      <c r="AQ681" s="264" t="str">
        <f>VLOOKUP(I681,TableInputsData[],$AQ$6,FALSE)</f>
        <v>GAMME # : 1 + CANAL DE DISTRIBUTION # : 1</v>
      </c>
      <c r="AR681" s="264" t="str">
        <f>VLOOKUP($I681,TableInputsData[],ReadMe!$M$3,FALSE)&amp;"  |  "&amp;VLOOKUP($K681,TableInputsData[],ReadMe!$M$3,FALSE)</f>
        <v>PRODUIT 17  |  VOLUME</v>
      </c>
      <c r="AS681" s="264" t="b">
        <f t="shared" ref="AS681:AS688" si="1650">AND(EXACT(ROUND(AI681,2),ROUND(AJ681+AK681+AL681,2)),EXACT(ROUND(AI681,2),ROUND(AM681+AO681,2)),EXACT(SUM(P681:R681),1),IF(R681&lt;0,FALSE,TRUE),EXACT(SUM(W681:AB681),3),MIN(W681:Y681)&gt;=0, MAX(W681:Y681)&lt;=1)</f>
        <v>1</v>
      </c>
      <c r="AT681" s="294"/>
    </row>
    <row r="682" spans="1:46" ht="13" x14ac:dyDescent="0.2">
      <c r="A682" s="294"/>
      <c r="B682" s="924"/>
      <c r="C682" s="271">
        <v>675</v>
      </c>
      <c r="D682" s="250">
        <f>D681</f>
        <v>0</v>
      </c>
      <c r="E682" s="250">
        <v>1</v>
      </c>
      <c r="F682" s="248" t="s">
        <v>391</v>
      </c>
      <c r="G682" s="250">
        <f>VLOOKUP(F682,TableInputsData[],$G$6,FALSE)</f>
        <v>2024</v>
      </c>
      <c r="H682" s="250" t="str">
        <f>H681</f>
        <v>PRODUCT</v>
      </c>
      <c r="I682" s="248" t="str">
        <f>I681</f>
        <v>PRODUCT 17</v>
      </c>
      <c r="J682" s="248" t="str">
        <f>VLOOKUP(I682,TableInputsData[],$J$6,FALSE)</f>
        <v>-</v>
      </c>
      <c r="K682" s="248" t="str">
        <f>K681</f>
        <v>VOLUME</v>
      </c>
      <c r="L682" s="499">
        <v>1000</v>
      </c>
      <c r="M682" s="499">
        <v>0</v>
      </c>
      <c r="N682" s="499">
        <v>0</v>
      </c>
      <c r="O682" s="264">
        <f t="shared" si="1639"/>
        <v>1000</v>
      </c>
      <c r="P682" s="500">
        <v>1</v>
      </c>
      <c r="Q682" s="500">
        <v>0</v>
      </c>
      <c r="R682" s="259">
        <f t="shared" ref="R682:R688" si="1651">1-$P682-$Q682</f>
        <v>0</v>
      </c>
      <c r="S682" s="626">
        <v>500</v>
      </c>
      <c r="T682" s="626">
        <v>0</v>
      </c>
      <c r="U682" s="626">
        <v>0</v>
      </c>
      <c r="V682" s="628">
        <f t="shared" ref="V682:V688" si="1652">($L682*$P682*$S682+$M682*$Q682*$T682+$N682*$R682*$U682)/$O682</f>
        <v>500</v>
      </c>
      <c r="W682" s="500">
        <v>1</v>
      </c>
      <c r="X682" s="500">
        <v>1</v>
      </c>
      <c r="Y682" s="500">
        <v>1</v>
      </c>
      <c r="Z682" s="259">
        <f t="shared" si="1640"/>
        <v>0</v>
      </c>
      <c r="AA682" s="259">
        <f t="shared" si="1641"/>
        <v>0</v>
      </c>
      <c r="AB682" s="259">
        <f t="shared" si="1642"/>
        <v>0</v>
      </c>
      <c r="AC682" s="628">
        <f t="shared" ref="AC682:AC688" si="1653">AM714</f>
        <v>0</v>
      </c>
      <c r="AD682" s="628">
        <f t="shared" ref="AD682:AD688" si="1654">AO714</f>
        <v>0</v>
      </c>
      <c r="AE682" s="501">
        <v>0</v>
      </c>
      <c r="AF682" s="501">
        <v>0</v>
      </c>
      <c r="AG682" s="501">
        <v>0</v>
      </c>
      <c r="AH682" s="501">
        <v>0</v>
      </c>
      <c r="AI682" s="264">
        <f t="shared" si="1643"/>
        <v>0</v>
      </c>
      <c r="AJ682" s="264">
        <f t="shared" si="1644"/>
        <v>0</v>
      </c>
      <c r="AK682" s="264">
        <f t="shared" si="1645"/>
        <v>0</v>
      </c>
      <c r="AL682" s="264">
        <f t="shared" si="1646"/>
        <v>0</v>
      </c>
      <c r="AM682" s="264">
        <f t="shared" si="1647"/>
        <v>0</v>
      </c>
      <c r="AN682" s="640">
        <f t="shared" ref="AN682:AN696" si="1655">IF(AI682=0,0,AM682/AI682)</f>
        <v>0</v>
      </c>
      <c r="AO682" s="264">
        <f t="shared" si="1648"/>
        <v>0</v>
      </c>
      <c r="AP682" s="640">
        <f t="shared" si="1649"/>
        <v>0</v>
      </c>
      <c r="AQ682" s="501"/>
      <c r="AR682" s="264" t="str">
        <f>VLOOKUP($I682,TableInputsData[],ReadMe!$M$3,FALSE)&amp;"  |  "&amp;VLOOKUP($K682,TableInputsData[],ReadMe!$M$3,FALSE)</f>
        <v>PRODUIT 17  |  VOLUME</v>
      </c>
      <c r="AS682" s="264" t="b">
        <f t="shared" si="1650"/>
        <v>1</v>
      </c>
      <c r="AT682" s="294"/>
    </row>
    <row r="683" spans="1:46" ht="13" x14ac:dyDescent="0.2">
      <c r="A683" s="294"/>
      <c r="B683" s="924"/>
      <c r="C683" s="271">
        <v>676</v>
      </c>
      <c r="D683" s="250">
        <f t="shared" ref="D683:D720" si="1656">D682</f>
        <v>0</v>
      </c>
      <c r="E683" s="250">
        <v>1</v>
      </c>
      <c r="F683" s="248" t="s">
        <v>393</v>
      </c>
      <c r="G683" s="250">
        <f>VLOOKUP(F683,TableInputsData[],$G$6,FALSE)</f>
        <v>2025</v>
      </c>
      <c r="H683" s="250" t="str">
        <f t="shared" ref="H683:I683" si="1657">H682</f>
        <v>PRODUCT</v>
      </c>
      <c r="I683" s="248" t="str">
        <f t="shared" si="1657"/>
        <v>PRODUCT 17</v>
      </c>
      <c r="J683" s="248" t="str">
        <f>VLOOKUP(I683,TableInputsData[],$J$6,FALSE)</f>
        <v>-</v>
      </c>
      <c r="K683" s="248" t="str">
        <f t="shared" ref="K683:K688" si="1658">K682</f>
        <v>VOLUME</v>
      </c>
      <c r="L683" s="499">
        <v>1000</v>
      </c>
      <c r="M683" s="499">
        <v>0</v>
      </c>
      <c r="N683" s="499">
        <v>0</v>
      </c>
      <c r="O683" s="264">
        <f t="shared" si="1639"/>
        <v>1000</v>
      </c>
      <c r="P683" s="500">
        <v>1</v>
      </c>
      <c r="Q683" s="500">
        <v>0</v>
      </c>
      <c r="R683" s="259">
        <f t="shared" si="1651"/>
        <v>0</v>
      </c>
      <c r="S683" s="626">
        <v>500</v>
      </c>
      <c r="T683" s="626">
        <v>0</v>
      </c>
      <c r="U683" s="626">
        <v>0</v>
      </c>
      <c r="V683" s="628">
        <f t="shared" si="1652"/>
        <v>500</v>
      </c>
      <c r="W683" s="500">
        <v>1</v>
      </c>
      <c r="X683" s="500">
        <v>1</v>
      </c>
      <c r="Y683" s="500">
        <v>1</v>
      </c>
      <c r="Z683" s="259">
        <f t="shared" si="1640"/>
        <v>0</v>
      </c>
      <c r="AA683" s="259">
        <f t="shared" si="1641"/>
        <v>0</v>
      </c>
      <c r="AB683" s="259">
        <f t="shared" si="1642"/>
        <v>0</v>
      </c>
      <c r="AC683" s="628">
        <f t="shared" si="1653"/>
        <v>0</v>
      </c>
      <c r="AD683" s="628">
        <f t="shared" si="1654"/>
        <v>0</v>
      </c>
      <c r="AE683" s="501">
        <v>0</v>
      </c>
      <c r="AF683" s="501">
        <v>0</v>
      </c>
      <c r="AG683" s="501">
        <v>0</v>
      </c>
      <c r="AH683" s="501">
        <v>0</v>
      </c>
      <c r="AI683" s="264">
        <f t="shared" si="1643"/>
        <v>0</v>
      </c>
      <c r="AJ683" s="264">
        <f t="shared" si="1644"/>
        <v>0</v>
      </c>
      <c r="AK683" s="264">
        <f t="shared" si="1645"/>
        <v>0</v>
      </c>
      <c r="AL683" s="264">
        <f t="shared" si="1646"/>
        <v>0</v>
      </c>
      <c r="AM683" s="264">
        <f t="shared" si="1647"/>
        <v>0</v>
      </c>
      <c r="AN683" s="640">
        <f t="shared" si="1655"/>
        <v>0</v>
      </c>
      <c r="AO683" s="264">
        <f t="shared" si="1648"/>
        <v>0</v>
      </c>
      <c r="AP683" s="640">
        <f t="shared" si="1649"/>
        <v>0</v>
      </c>
      <c r="AQ683" s="501"/>
      <c r="AR683" s="264" t="str">
        <f>VLOOKUP($I683,TableInputsData[],ReadMe!$M$3,FALSE)&amp;"  |  "&amp;VLOOKUP($K683,TableInputsData[],ReadMe!$M$3,FALSE)</f>
        <v>PRODUIT 17  |  VOLUME</v>
      </c>
      <c r="AS683" s="264" t="b">
        <f t="shared" si="1650"/>
        <v>1</v>
      </c>
      <c r="AT683" s="294"/>
    </row>
    <row r="684" spans="1:46" ht="13" x14ac:dyDescent="0.2">
      <c r="A684" s="294"/>
      <c r="B684" s="924"/>
      <c r="C684" s="271">
        <v>677</v>
      </c>
      <c r="D684" s="250">
        <f t="shared" si="1656"/>
        <v>0</v>
      </c>
      <c r="E684" s="250">
        <v>1</v>
      </c>
      <c r="F684" s="248" t="s">
        <v>396</v>
      </c>
      <c r="G684" s="250">
        <f>VLOOKUP(F684,TableInputsData[],$G$6,FALSE)</f>
        <v>2026</v>
      </c>
      <c r="H684" s="250" t="str">
        <f t="shared" ref="H684:I684" si="1659">H683</f>
        <v>PRODUCT</v>
      </c>
      <c r="I684" s="248" t="str">
        <f t="shared" si="1659"/>
        <v>PRODUCT 17</v>
      </c>
      <c r="J684" s="248" t="str">
        <f>VLOOKUP(I684,TableInputsData[],$J$6,FALSE)</f>
        <v>-</v>
      </c>
      <c r="K684" s="248" t="str">
        <f t="shared" si="1658"/>
        <v>VOLUME</v>
      </c>
      <c r="L684" s="499">
        <v>1000</v>
      </c>
      <c r="M684" s="499">
        <v>0</v>
      </c>
      <c r="N684" s="499">
        <v>0</v>
      </c>
      <c r="O684" s="264">
        <f t="shared" si="1639"/>
        <v>1000</v>
      </c>
      <c r="P684" s="500">
        <v>1</v>
      </c>
      <c r="Q684" s="500">
        <v>0</v>
      </c>
      <c r="R684" s="259">
        <f t="shared" si="1651"/>
        <v>0</v>
      </c>
      <c r="S684" s="626">
        <v>500</v>
      </c>
      <c r="T684" s="626">
        <v>0</v>
      </c>
      <c r="U684" s="626">
        <v>0</v>
      </c>
      <c r="V684" s="628">
        <f t="shared" si="1652"/>
        <v>500</v>
      </c>
      <c r="W684" s="500">
        <v>1</v>
      </c>
      <c r="X684" s="500">
        <v>1</v>
      </c>
      <c r="Y684" s="500">
        <v>1</v>
      </c>
      <c r="Z684" s="259">
        <f t="shared" si="1640"/>
        <v>0</v>
      </c>
      <c r="AA684" s="259">
        <f t="shared" si="1641"/>
        <v>0</v>
      </c>
      <c r="AB684" s="259">
        <f t="shared" si="1642"/>
        <v>0</v>
      </c>
      <c r="AC684" s="628">
        <f t="shared" si="1653"/>
        <v>0</v>
      </c>
      <c r="AD684" s="628">
        <f t="shared" si="1654"/>
        <v>0</v>
      </c>
      <c r="AE684" s="501">
        <v>0</v>
      </c>
      <c r="AF684" s="501">
        <v>0</v>
      </c>
      <c r="AG684" s="501">
        <v>0</v>
      </c>
      <c r="AH684" s="501">
        <v>0</v>
      </c>
      <c r="AI684" s="264">
        <f t="shared" si="1643"/>
        <v>0</v>
      </c>
      <c r="AJ684" s="264">
        <f t="shared" si="1644"/>
        <v>0</v>
      </c>
      <c r="AK684" s="264">
        <f t="shared" si="1645"/>
        <v>0</v>
      </c>
      <c r="AL684" s="264">
        <f t="shared" si="1646"/>
        <v>0</v>
      </c>
      <c r="AM684" s="264">
        <f t="shared" si="1647"/>
        <v>0</v>
      </c>
      <c r="AN684" s="640">
        <f t="shared" si="1655"/>
        <v>0</v>
      </c>
      <c r="AO684" s="264">
        <f t="shared" si="1648"/>
        <v>0</v>
      </c>
      <c r="AP684" s="640">
        <f t="shared" si="1649"/>
        <v>0</v>
      </c>
      <c r="AQ684" s="501"/>
      <c r="AR684" s="264" t="str">
        <f>VLOOKUP($I684,TableInputsData[],ReadMe!$M$3,FALSE)&amp;"  |  "&amp;VLOOKUP($K684,TableInputsData[],ReadMe!$M$3,FALSE)</f>
        <v>PRODUIT 17  |  VOLUME</v>
      </c>
      <c r="AS684" s="264" t="b">
        <f t="shared" si="1650"/>
        <v>1</v>
      </c>
      <c r="AT684" s="294"/>
    </row>
    <row r="685" spans="1:46" ht="13" x14ac:dyDescent="0.2">
      <c r="A685" s="294"/>
      <c r="B685" s="924"/>
      <c r="C685" s="271">
        <v>678</v>
      </c>
      <c r="D685" s="250">
        <f t="shared" si="1656"/>
        <v>0</v>
      </c>
      <c r="E685" s="250">
        <v>1</v>
      </c>
      <c r="F685" s="248" t="s">
        <v>397</v>
      </c>
      <c r="G685" s="250">
        <f>VLOOKUP(F685,TableInputsData[],$G$6,FALSE)</f>
        <v>2027</v>
      </c>
      <c r="H685" s="250" t="str">
        <f t="shared" ref="H685:I685" si="1660">H684</f>
        <v>PRODUCT</v>
      </c>
      <c r="I685" s="248" t="str">
        <f t="shared" si="1660"/>
        <v>PRODUCT 17</v>
      </c>
      <c r="J685" s="248" t="str">
        <f>VLOOKUP(I685,TableInputsData[],$J$6,FALSE)</f>
        <v>-</v>
      </c>
      <c r="K685" s="248" t="str">
        <f t="shared" si="1658"/>
        <v>VOLUME</v>
      </c>
      <c r="L685" s="499">
        <v>1000</v>
      </c>
      <c r="M685" s="499">
        <v>0</v>
      </c>
      <c r="N685" s="499">
        <v>0</v>
      </c>
      <c r="O685" s="264">
        <f t="shared" si="1639"/>
        <v>1000</v>
      </c>
      <c r="P685" s="500">
        <v>1</v>
      </c>
      <c r="Q685" s="500">
        <v>0</v>
      </c>
      <c r="R685" s="259">
        <f t="shared" si="1651"/>
        <v>0</v>
      </c>
      <c r="S685" s="626">
        <v>500</v>
      </c>
      <c r="T685" s="626">
        <v>0</v>
      </c>
      <c r="U685" s="626">
        <v>0</v>
      </c>
      <c r="V685" s="628">
        <f t="shared" si="1652"/>
        <v>500</v>
      </c>
      <c r="W685" s="500">
        <v>1</v>
      </c>
      <c r="X685" s="500">
        <v>1</v>
      </c>
      <c r="Y685" s="500">
        <v>1</v>
      </c>
      <c r="Z685" s="259">
        <f t="shared" si="1640"/>
        <v>0</v>
      </c>
      <c r="AA685" s="259">
        <f t="shared" si="1641"/>
        <v>0</v>
      </c>
      <c r="AB685" s="259">
        <f t="shared" si="1642"/>
        <v>0</v>
      </c>
      <c r="AC685" s="628">
        <f t="shared" si="1653"/>
        <v>0</v>
      </c>
      <c r="AD685" s="628">
        <f t="shared" si="1654"/>
        <v>0</v>
      </c>
      <c r="AE685" s="264">
        <f>$AI685/4</f>
        <v>0</v>
      </c>
      <c r="AF685" s="264">
        <f t="shared" ref="AF685:AH688" si="1661">$AI685/4</f>
        <v>0</v>
      </c>
      <c r="AG685" s="264">
        <f t="shared" si="1661"/>
        <v>0</v>
      </c>
      <c r="AH685" s="264">
        <f t="shared" si="1661"/>
        <v>0</v>
      </c>
      <c r="AI685" s="501">
        <v>0</v>
      </c>
      <c r="AJ685" s="264">
        <f t="shared" si="1644"/>
        <v>0</v>
      </c>
      <c r="AK685" s="264">
        <f t="shared" si="1645"/>
        <v>0</v>
      </c>
      <c r="AL685" s="264">
        <f t="shared" si="1646"/>
        <v>0</v>
      </c>
      <c r="AM685" s="264">
        <f t="shared" si="1647"/>
        <v>0</v>
      </c>
      <c r="AN685" s="640">
        <f t="shared" si="1655"/>
        <v>0</v>
      </c>
      <c r="AO685" s="264">
        <f t="shared" si="1648"/>
        <v>0</v>
      </c>
      <c r="AP685" s="640">
        <f t="shared" si="1649"/>
        <v>0</v>
      </c>
      <c r="AQ685" s="501"/>
      <c r="AR685" s="264" t="str">
        <f>VLOOKUP($I685,TableInputsData[],ReadMe!$M$3,FALSE)&amp;"  |  "&amp;VLOOKUP($K685,TableInputsData[],ReadMe!$M$3,FALSE)</f>
        <v>PRODUIT 17  |  VOLUME</v>
      </c>
      <c r="AS685" s="264" t="b">
        <f t="shared" si="1650"/>
        <v>1</v>
      </c>
      <c r="AT685" s="294"/>
    </row>
    <row r="686" spans="1:46" ht="13" x14ac:dyDescent="0.2">
      <c r="A686" s="294"/>
      <c r="B686" s="924"/>
      <c r="C686" s="271">
        <v>679</v>
      </c>
      <c r="D686" s="250">
        <f t="shared" si="1656"/>
        <v>0</v>
      </c>
      <c r="E686" s="250">
        <v>1</v>
      </c>
      <c r="F686" s="248" t="s">
        <v>398</v>
      </c>
      <c r="G686" s="250">
        <f>VLOOKUP(F686,TableInputsData[],$G$6,FALSE)</f>
        <v>2028</v>
      </c>
      <c r="H686" s="250" t="str">
        <f t="shared" ref="H686:I686" si="1662">H685</f>
        <v>PRODUCT</v>
      </c>
      <c r="I686" s="248" t="str">
        <f t="shared" si="1662"/>
        <v>PRODUCT 17</v>
      </c>
      <c r="J686" s="248" t="str">
        <f>VLOOKUP(I686,TableInputsData[],$J$6,FALSE)</f>
        <v>-</v>
      </c>
      <c r="K686" s="248" t="str">
        <f t="shared" si="1658"/>
        <v>VOLUME</v>
      </c>
      <c r="L686" s="499">
        <v>1000</v>
      </c>
      <c r="M686" s="499">
        <v>0</v>
      </c>
      <c r="N686" s="499">
        <v>0</v>
      </c>
      <c r="O686" s="264">
        <f t="shared" si="1639"/>
        <v>1000</v>
      </c>
      <c r="P686" s="500">
        <v>1</v>
      </c>
      <c r="Q686" s="500">
        <v>0</v>
      </c>
      <c r="R686" s="259">
        <f t="shared" si="1651"/>
        <v>0</v>
      </c>
      <c r="S686" s="626">
        <v>500</v>
      </c>
      <c r="T686" s="626">
        <v>0</v>
      </c>
      <c r="U686" s="626">
        <v>0</v>
      </c>
      <c r="V686" s="628">
        <f t="shared" si="1652"/>
        <v>500</v>
      </c>
      <c r="W686" s="500">
        <v>1</v>
      </c>
      <c r="X686" s="500">
        <v>1</v>
      </c>
      <c r="Y686" s="500">
        <v>1</v>
      </c>
      <c r="Z686" s="259">
        <f t="shared" si="1640"/>
        <v>0</v>
      </c>
      <c r="AA686" s="259">
        <f t="shared" si="1641"/>
        <v>0</v>
      </c>
      <c r="AB686" s="259">
        <f t="shared" si="1642"/>
        <v>0</v>
      </c>
      <c r="AC686" s="628">
        <f t="shared" si="1653"/>
        <v>0</v>
      </c>
      <c r="AD686" s="628">
        <f t="shared" si="1654"/>
        <v>0</v>
      </c>
      <c r="AE686" s="264">
        <f t="shared" ref="AE686:AE688" si="1663">$AI686/4</f>
        <v>0</v>
      </c>
      <c r="AF686" s="264">
        <f t="shared" si="1661"/>
        <v>0</v>
      </c>
      <c r="AG686" s="264">
        <f t="shared" si="1661"/>
        <v>0</v>
      </c>
      <c r="AH686" s="264">
        <f t="shared" si="1661"/>
        <v>0</v>
      </c>
      <c r="AI686" s="501">
        <v>0</v>
      </c>
      <c r="AJ686" s="264">
        <f t="shared" si="1644"/>
        <v>0</v>
      </c>
      <c r="AK686" s="264">
        <f t="shared" si="1645"/>
        <v>0</v>
      </c>
      <c r="AL686" s="264">
        <f t="shared" si="1646"/>
        <v>0</v>
      </c>
      <c r="AM686" s="264">
        <f t="shared" si="1647"/>
        <v>0</v>
      </c>
      <c r="AN686" s="640">
        <f t="shared" si="1655"/>
        <v>0</v>
      </c>
      <c r="AO686" s="264">
        <f t="shared" si="1648"/>
        <v>0</v>
      </c>
      <c r="AP686" s="640">
        <f t="shared" si="1649"/>
        <v>0</v>
      </c>
      <c r="AQ686" s="501"/>
      <c r="AR686" s="264" t="str">
        <f>VLOOKUP($I686,TableInputsData[],ReadMe!$M$3,FALSE)&amp;"  |  "&amp;VLOOKUP($K686,TableInputsData[],ReadMe!$M$3,FALSE)</f>
        <v>PRODUIT 17  |  VOLUME</v>
      </c>
      <c r="AS686" s="264" t="b">
        <f t="shared" si="1650"/>
        <v>1</v>
      </c>
      <c r="AT686" s="294"/>
    </row>
    <row r="687" spans="1:46" ht="13" x14ac:dyDescent="0.2">
      <c r="A687" s="294"/>
      <c r="B687" s="924"/>
      <c r="C687" s="271">
        <v>680</v>
      </c>
      <c r="D687" s="250">
        <f t="shared" si="1656"/>
        <v>0</v>
      </c>
      <c r="E687" s="250">
        <v>1</v>
      </c>
      <c r="F687" s="248" t="s">
        <v>399</v>
      </c>
      <c r="G687" s="250">
        <f>VLOOKUP(F687,TableInputsData[],$G$6,FALSE)</f>
        <v>2029</v>
      </c>
      <c r="H687" s="250" t="str">
        <f t="shared" ref="H687:I687" si="1664">H686</f>
        <v>PRODUCT</v>
      </c>
      <c r="I687" s="248" t="str">
        <f t="shared" si="1664"/>
        <v>PRODUCT 17</v>
      </c>
      <c r="J687" s="248" t="str">
        <f>VLOOKUP(I687,TableInputsData[],$J$6,FALSE)</f>
        <v>-</v>
      </c>
      <c r="K687" s="248" t="str">
        <f t="shared" si="1658"/>
        <v>VOLUME</v>
      </c>
      <c r="L687" s="499">
        <v>1000</v>
      </c>
      <c r="M687" s="499">
        <v>0</v>
      </c>
      <c r="N687" s="499">
        <v>0</v>
      </c>
      <c r="O687" s="264">
        <f t="shared" si="1639"/>
        <v>1000</v>
      </c>
      <c r="P687" s="500">
        <v>1</v>
      </c>
      <c r="Q687" s="500">
        <v>0</v>
      </c>
      <c r="R687" s="259">
        <f t="shared" si="1651"/>
        <v>0</v>
      </c>
      <c r="S687" s="626">
        <v>500</v>
      </c>
      <c r="T687" s="626">
        <v>0</v>
      </c>
      <c r="U687" s="626">
        <v>0</v>
      </c>
      <c r="V687" s="628">
        <f t="shared" si="1652"/>
        <v>500</v>
      </c>
      <c r="W687" s="500">
        <v>1</v>
      </c>
      <c r="X687" s="500">
        <v>1</v>
      </c>
      <c r="Y687" s="500">
        <v>1</v>
      </c>
      <c r="Z687" s="259">
        <f t="shared" si="1640"/>
        <v>0</v>
      </c>
      <c r="AA687" s="259">
        <f t="shared" si="1641"/>
        <v>0</v>
      </c>
      <c r="AB687" s="259">
        <f t="shared" si="1642"/>
        <v>0</v>
      </c>
      <c r="AC687" s="628">
        <f t="shared" si="1653"/>
        <v>0</v>
      </c>
      <c r="AD687" s="628">
        <f t="shared" si="1654"/>
        <v>0</v>
      </c>
      <c r="AE687" s="264">
        <f t="shared" si="1663"/>
        <v>0</v>
      </c>
      <c r="AF687" s="264">
        <f t="shared" si="1661"/>
        <v>0</v>
      </c>
      <c r="AG687" s="264">
        <f t="shared" si="1661"/>
        <v>0</v>
      </c>
      <c r="AH687" s="264">
        <f t="shared" si="1661"/>
        <v>0</v>
      </c>
      <c r="AI687" s="501">
        <v>0</v>
      </c>
      <c r="AJ687" s="264">
        <f t="shared" si="1644"/>
        <v>0</v>
      </c>
      <c r="AK687" s="264">
        <f t="shared" si="1645"/>
        <v>0</v>
      </c>
      <c r="AL687" s="264">
        <f t="shared" si="1646"/>
        <v>0</v>
      </c>
      <c r="AM687" s="264">
        <f t="shared" si="1647"/>
        <v>0</v>
      </c>
      <c r="AN687" s="640">
        <f t="shared" si="1655"/>
        <v>0</v>
      </c>
      <c r="AO687" s="264">
        <f t="shared" si="1648"/>
        <v>0</v>
      </c>
      <c r="AP687" s="640">
        <f t="shared" si="1649"/>
        <v>0</v>
      </c>
      <c r="AQ687" s="501"/>
      <c r="AR687" s="264" t="str">
        <f>VLOOKUP($I687,TableInputsData[],ReadMe!$M$3,FALSE)&amp;"  |  "&amp;VLOOKUP($K687,TableInputsData[],ReadMe!$M$3,FALSE)</f>
        <v>PRODUIT 17  |  VOLUME</v>
      </c>
      <c r="AS687" s="264" t="b">
        <f t="shared" si="1650"/>
        <v>1</v>
      </c>
      <c r="AT687" s="294"/>
    </row>
    <row r="688" spans="1:46" ht="13" x14ac:dyDescent="0.2">
      <c r="A688" s="294"/>
      <c r="B688" s="924"/>
      <c r="C688" s="271">
        <v>681</v>
      </c>
      <c r="D688" s="250">
        <f t="shared" si="1656"/>
        <v>0</v>
      </c>
      <c r="E688" s="250">
        <v>1</v>
      </c>
      <c r="F688" s="248" t="s">
        <v>400</v>
      </c>
      <c r="G688" s="250">
        <f>VLOOKUP(F688,TableInputsData[],$G$6,FALSE)</f>
        <v>2030</v>
      </c>
      <c r="H688" s="250" t="str">
        <f t="shared" ref="H688:I688" si="1665">H687</f>
        <v>PRODUCT</v>
      </c>
      <c r="I688" s="248" t="str">
        <f t="shared" si="1665"/>
        <v>PRODUCT 17</v>
      </c>
      <c r="J688" s="248" t="str">
        <f>VLOOKUP(I688,TableInputsData[],$J$6,FALSE)</f>
        <v>-</v>
      </c>
      <c r="K688" s="248" t="str">
        <f t="shared" si="1658"/>
        <v>VOLUME</v>
      </c>
      <c r="L688" s="499">
        <v>1000</v>
      </c>
      <c r="M688" s="499">
        <v>0</v>
      </c>
      <c r="N688" s="499">
        <v>0</v>
      </c>
      <c r="O688" s="264">
        <f t="shared" si="1639"/>
        <v>1000</v>
      </c>
      <c r="P688" s="500">
        <v>1</v>
      </c>
      <c r="Q688" s="500">
        <v>0</v>
      </c>
      <c r="R688" s="259">
        <f t="shared" si="1651"/>
        <v>0</v>
      </c>
      <c r="S688" s="626">
        <v>500</v>
      </c>
      <c r="T688" s="626">
        <v>0</v>
      </c>
      <c r="U688" s="626">
        <v>0</v>
      </c>
      <c r="V688" s="628">
        <f t="shared" si="1652"/>
        <v>500</v>
      </c>
      <c r="W688" s="500">
        <v>1</v>
      </c>
      <c r="X688" s="500">
        <v>1</v>
      </c>
      <c r="Y688" s="500">
        <v>1</v>
      </c>
      <c r="Z688" s="259">
        <f t="shared" si="1640"/>
        <v>0</v>
      </c>
      <c r="AA688" s="259">
        <f t="shared" si="1641"/>
        <v>0</v>
      </c>
      <c r="AB688" s="259">
        <f t="shared" si="1642"/>
        <v>0</v>
      </c>
      <c r="AC688" s="628">
        <f t="shared" si="1653"/>
        <v>0</v>
      </c>
      <c r="AD688" s="628">
        <f t="shared" si="1654"/>
        <v>0</v>
      </c>
      <c r="AE688" s="264">
        <f t="shared" si="1663"/>
        <v>0</v>
      </c>
      <c r="AF688" s="264">
        <f t="shared" si="1661"/>
        <v>0</v>
      </c>
      <c r="AG688" s="264">
        <f t="shared" si="1661"/>
        <v>0</v>
      </c>
      <c r="AH688" s="264">
        <f t="shared" si="1661"/>
        <v>0</v>
      </c>
      <c r="AI688" s="501">
        <v>0</v>
      </c>
      <c r="AJ688" s="264">
        <f t="shared" si="1644"/>
        <v>0</v>
      </c>
      <c r="AK688" s="264">
        <f t="shared" si="1645"/>
        <v>0</v>
      </c>
      <c r="AL688" s="264">
        <f t="shared" si="1646"/>
        <v>0</v>
      </c>
      <c r="AM688" s="264">
        <f t="shared" si="1647"/>
        <v>0</v>
      </c>
      <c r="AN688" s="640">
        <f t="shared" si="1655"/>
        <v>0</v>
      </c>
      <c r="AO688" s="264">
        <f t="shared" si="1648"/>
        <v>0</v>
      </c>
      <c r="AP688" s="640">
        <f t="shared" si="1649"/>
        <v>0</v>
      </c>
      <c r="AQ688" s="501"/>
      <c r="AR688" s="264" t="str">
        <f>VLOOKUP($I688,TableInputsData[],ReadMe!$M$3,FALSE)&amp;"  |  "&amp;VLOOKUP($K688,TableInputsData[],ReadMe!$M$3,FALSE)</f>
        <v>PRODUIT 17  |  VOLUME</v>
      </c>
      <c r="AS688" s="264" t="b">
        <f t="shared" si="1650"/>
        <v>1</v>
      </c>
      <c r="AT688" s="294"/>
    </row>
    <row r="689" spans="1:46" ht="13" hidden="1" x14ac:dyDescent="0.2">
      <c r="A689" s="294"/>
      <c r="B689" s="924"/>
      <c r="C689" s="272">
        <v>682</v>
      </c>
      <c r="D689" s="250">
        <f t="shared" si="1656"/>
        <v>0</v>
      </c>
      <c r="E689" s="251"/>
      <c r="F689" s="248" t="str">
        <f t="shared" ref="F689:F696" si="1666">F697</f>
        <v>YEAR-2</v>
      </c>
      <c r="G689" s="250">
        <f>VLOOKUP(F689,TableInputsData[],$G$6,FALSE)</f>
        <v>2023</v>
      </c>
      <c r="H689" s="250" t="str">
        <f t="shared" ref="H689:I689" si="1667">H688</f>
        <v>PRODUCT</v>
      </c>
      <c r="I689" s="248" t="str">
        <f t="shared" si="1667"/>
        <v>PRODUCT 17</v>
      </c>
      <c r="J689" s="248" t="str">
        <f>VLOOKUP(I689,TableInputsData[],$J$6,FALSE)</f>
        <v>-</v>
      </c>
      <c r="K689" s="248" t="s">
        <v>457</v>
      </c>
      <c r="L689" s="256"/>
      <c r="M689" s="256"/>
      <c r="N689" s="256"/>
      <c r="O689" s="266"/>
      <c r="P689" s="261"/>
      <c r="Q689" s="261"/>
      <c r="R689" s="261"/>
      <c r="S689" s="629"/>
      <c r="T689" s="629"/>
      <c r="U689" s="629"/>
      <c r="V689" s="629"/>
      <c r="W689" s="261"/>
      <c r="X689" s="261"/>
      <c r="Y689" s="261"/>
      <c r="Z689" s="261"/>
      <c r="AA689" s="261"/>
      <c r="AB689" s="261"/>
      <c r="AC689" s="266"/>
      <c r="AD689" s="633"/>
      <c r="AE689" s="264">
        <f>AE681*($L681*$P681+$M681*$Q681+$N681*$R681)</f>
        <v>0</v>
      </c>
      <c r="AF689" s="264">
        <f t="shared" ref="AF689:AH689" si="1668">AF681*($L681*$P681+$M681*$Q681+$N681*$R681)</f>
        <v>0</v>
      </c>
      <c r="AG689" s="264">
        <f t="shared" si="1668"/>
        <v>0</v>
      </c>
      <c r="AH689" s="264">
        <f t="shared" si="1668"/>
        <v>0</v>
      </c>
      <c r="AI689" s="264">
        <f>$AE689+$AF689+$AG689+$AH689</f>
        <v>0</v>
      </c>
      <c r="AJ689" s="264">
        <f t="shared" ref="AJ689:AJ696" si="1669">$AJ681*$L681</f>
        <v>0</v>
      </c>
      <c r="AK689" s="264">
        <f t="shared" ref="AK689:AK696" si="1670">$AK681*$M681</f>
        <v>0</v>
      </c>
      <c r="AL689" s="264">
        <f t="shared" ref="AL689:AL696" si="1671">$AL681*$N681</f>
        <v>0</v>
      </c>
      <c r="AM689" s="264">
        <f t="shared" ref="AM689:AM696" si="1672">$AJ689*$W681+$AK689*$X681+$AL689*$Y681</f>
        <v>0</v>
      </c>
      <c r="AN689" s="640">
        <f t="shared" si="1655"/>
        <v>0</v>
      </c>
      <c r="AO689" s="264">
        <f t="shared" ref="AO689:AO696" si="1673">$AJ689*$Z681+$AK689*$AA681+$AL689*$AB681</f>
        <v>0</v>
      </c>
      <c r="AP689" s="640">
        <f t="shared" si="1649"/>
        <v>0</v>
      </c>
      <c r="AQ689" s="264"/>
      <c r="AR689" s="264" t="str">
        <f>VLOOKUP($I689,TableInputsData[],ReadMe!$M$3,FALSE)&amp;"  |  "&amp;VLOOKUP($K689,TableInputsData[],ReadMe!$M$3,FALSE)</f>
        <v>PRODUIT 17  |  CHIFFRE D'AFFAIRES</v>
      </c>
      <c r="AS689" s="264" t="b">
        <f t="shared" ref="AS689:AS696" si="1674">AND(EXACT(ROUND(AI689,2),ROUND(AJ689+AK689+AL689,2)),EXACT(ROUND(AI689,2),ROUND(AM689+AO689,2)))</f>
        <v>1</v>
      </c>
      <c r="AT689" s="294"/>
    </row>
    <row r="690" spans="1:46" ht="13" hidden="1" x14ac:dyDescent="0.2">
      <c r="A690" s="294"/>
      <c r="B690" s="924"/>
      <c r="C690" s="271">
        <v>683</v>
      </c>
      <c r="D690" s="250">
        <f t="shared" si="1656"/>
        <v>0</v>
      </c>
      <c r="E690" s="250"/>
      <c r="F690" s="248" t="str">
        <f t="shared" si="1666"/>
        <v>YEAR-1</v>
      </c>
      <c r="G690" s="250">
        <f>VLOOKUP(F690,TableInputsData[],$G$6,FALSE)</f>
        <v>2024</v>
      </c>
      <c r="H690" s="250" t="str">
        <f t="shared" ref="H690:I690" si="1675">H689</f>
        <v>PRODUCT</v>
      </c>
      <c r="I690" s="248" t="str">
        <f t="shared" si="1675"/>
        <v>PRODUCT 17</v>
      </c>
      <c r="J690" s="248" t="str">
        <f>VLOOKUP(I690,TableInputsData[],$J$6,FALSE)</f>
        <v>-</v>
      </c>
      <c r="K690" s="248" t="str">
        <f>K689</f>
        <v>REVENUE</v>
      </c>
      <c r="L690" s="255"/>
      <c r="M690" s="255"/>
      <c r="N690" s="255"/>
      <c r="O690" s="265"/>
      <c r="P690" s="260"/>
      <c r="Q690" s="260"/>
      <c r="R690" s="260"/>
      <c r="S690" s="630"/>
      <c r="T690" s="630"/>
      <c r="U690" s="630"/>
      <c r="V690" s="630"/>
      <c r="W690" s="260"/>
      <c r="X690" s="260"/>
      <c r="Y690" s="260"/>
      <c r="Z690" s="260"/>
      <c r="AA690" s="260"/>
      <c r="AB690" s="260"/>
      <c r="AC690" s="265"/>
      <c r="AD690" s="634"/>
      <c r="AE690" s="264">
        <f t="shared" ref="AE690:AH690" si="1676">AE682*($L682*$P682+$M682*$Q682+$N682*$R682)</f>
        <v>0</v>
      </c>
      <c r="AF690" s="264">
        <f t="shared" si="1676"/>
        <v>0</v>
      </c>
      <c r="AG690" s="264">
        <f t="shared" si="1676"/>
        <v>0</v>
      </c>
      <c r="AH690" s="264">
        <f t="shared" si="1676"/>
        <v>0</v>
      </c>
      <c r="AI690" s="264">
        <f t="shared" ref="AI690:AI695" si="1677">$AE690+$AF690+$AG690+$AH690</f>
        <v>0</v>
      </c>
      <c r="AJ690" s="264">
        <f t="shared" si="1669"/>
        <v>0</v>
      </c>
      <c r="AK690" s="264">
        <f t="shared" si="1670"/>
        <v>0</v>
      </c>
      <c r="AL690" s="264">
        <f t="shared" si="1671"/>
        <v>0</v>
      </c>
      <c r="AM690" s="264">
        <f t="shared" si="1672"/>
        <v>0</v>
      </c>
      <c r="AN690" s="640">
        <f t="shared" si="1655"/>
        <v>0</v>
      </c>
      <c r="AO690" s="264">
        <f t="shared" si="1673"/>
        <v>0</v>
      </c>
      <c r="AP690" s="640">
        <f t="shared" si="1649"/>
        <v>0</v>
      </c>
      <c r="AQ690" s="264"/>
      <c r="AR690" s="264" t="str">
        <f>VLOOKUP($I690,TableInputsData[],ReadMe!$M$3,FALSE)&amp;"  |  "&amp;VLOOKUP($K690,TableInputsData[],ReadMe!$M$3,FALSE)</f>
        <v>PRODUIT 17  |  CHIFFRE D'AFFAIRES</v>
      </c>
      <c r="AS690" s="264" t="b">
        <f t="shared" si="1674"/>
        <v>1</v>
      </c>
      <c r="AT690" s="294"/>
    </row>
    <row r="691" spans="1:46" ht="13" hidden="1" x14ac:dyDescent="0.2">
      <c r="A691" s="294"/>
      <c r="B691" s="924"/>
      <c r="C691" s="271">
        <v>684</v>
      </c>
      <c r="D691" s="250">
        <f t="shared" si="1656"/>
        <v>0</v>
      </c>
      <c r="E691" s="250"/>
      <c r="F691" s="248" t="str">
        <f t="shared" si="1666"/>
        <v>CURRENT YEAR</v>
      </c>
      <c r="G691" s="250">
        <f>VLOOKUP(F691,TableInputsData[],$G$6,FALSE)</f>
        <v>2025</v>
      </c>
      <c r="H691" s="250" t="str">
        <f t="shared" ref="H691:I691" si="1678">H690</f>
        <v>PRODUCT</v>
      </c>
      <c r="I691" s="248" t="str">
        <f t="shared" si="1678"/>
        <v>PRODUCT 17</v>
      </c>
      <c r="J691" s="248" t="str">
        <f>VLOOKUP(I691,TableInputsData[],$J$6,FALSE)</f>
        <v>-</v>
      </c>
      <c r="K691" s="248" t="str">
        <f t="shared" ref="K691:K696" si="1679">K690</f>
        <v>REVENUE</v>
      </c>
      <c r="L691" s="255"/>
      <c r="M691" s="255"/>
      <c r="N691" s="255"/>
      <c r="O691" s="265"/>
      <c r="P691" s="260"/>
      <c r="Q691" s="260"/>
      <c r="R691" s="260"/>
      <c r="S691" s="630"/>
      <c r="T691" s="630"/>
      <c r="U691" s="630"/>
      <c r="V691" s="630"/>
      <c r="W691" s="260"/>
      <c r="X691" s="260"/>
      <c r="Y691" s="260"/>
      <c r="Z691" s="260"/>
      <c r="AA691" s="260"/>
      <c r="AB691" s="260"/>
      <c r="AC691" s="265"/>
      <c r="AD691" s="634"/>
      <c r="AE691" s="264">
        <f t="shared" ref="AE691:AH691" si="1680">AE683*($L683*$P683+$M683*$Q683+$N683*$R683)</f>
        <v>0</v>
      </c>
      <c r="AF691" s="264">
        <f t="shared" si="1680"/>
        <v>0</v>
      </c>
      <c r="AG691" s="264">
        <f t="shared" si="1680"/>
        <v>0</v>
      </c>
      <c r="AH691" s="264">
        <f t="shared" si="1680"/>
        <v>0</v>
      </c>
      <c r="AI691" s="264">
        <f t="shared" si="1677"/>
        <v>0</v>
      </c>
      <c r="AJ691" s="264">
        <f t="shared" si="1669"/>
        <v>0</v>
      </c>
      <c r="AK691" s="264">
        <f t="shared" si="1670"/>
        <v>0</v>
      </c>
      <c r="AL691" s="264">
        <f t="shared" si="1671"/>
        <v>0</v>
      </c>
      <c r="AM691" s="264">
        <f t="shared" si="1672"/>
        <v>0</v>
      </c>
      <c r="AN691" s="640">
        <f t="shared" si="1655"/>
        <v>0</v>
      </c>
      <c r="AO691" s="264">
        <f t="shared" si="1673"/>
        <v>0</v>
      </c>
      <c r="AP691" s="640">
        <f t="shared" si="1649"/>
        <v>0</v>
      </c>
      <c r="AQ691" s="264"/>
      <c r="AR691" s="264" t="str">
        <f>VLOOKUP($I691,TableInputsData[],ReadMe!$M$3,FALSE)&amp;"  |  "&amp;VLOOKUP($K691,TableInputsData[],ReadMe!$M$3,FALSE)</f>
        <v>PRODUIT 17  |  CHIFFRE D'AFFAIRES</v>
      </c>
      <c r="AS691" s="264" t="b">
        <f t="shared" si="1674"/>
        <v>1</v>
      </c>
      <c r="AT691" s="294"/>
    </row>
    <row r="692" spans="1:46" ht="13" hidden="1" x14ac:dyDescent="0.2">
      <c r="A692" s="294"/>
      <c r="B692" s="924"/>
      <c r="C692" s="271">
        <v>685</v>
      </c>
      <c r="D692" s="250">
        <f t="shared" si="1656"/>
        <v>0</v>
      </c>
      <c r="E692" s="250"/>
      <c r="F692" s="248" t="str">
        <f t="shared" si="1666"/>
        <v>YEAR2</v>
      </c>
      <c r="G692" s="250">
        <f>VLOOKUP(F692,TableInputsData[],$G$6,FALSE)</f>
        <v>2026</v>
      </c>
      <c r="H692" s="250" t="str">
        <f t="shared" ref="H692:I692" si="1681">H691</f>
        <v>PRODUCT</v>
      </c>
      <c r="I692" s="248" t="str">
        <f t="shared" si="1681"/>
        <v>PRODUCT 17</v>
      </c>
      <c r="J692" s="248" t="str">
        <f>VLOOKUP(I692,TableInputsData[],$J$6,FALSE)</f>
        <v>-</v>
      </c>
      <c r="K692" s="248" t="str">
        <f t="shared" si="1679"/>
        <v>REVENUE</v>
      </c>
      <c r="L692" s="255"/>
      <c r="M692" s="255"/>
      <c r="N692" s="255"/>
      <c r="O692" s="265"/>
      <c r="P692" s="260"/>
      <c r="Q692" s="260"/>
      <c r="R692" s="260"/>
      <c r="S692" s="630"/>
      <c r="T692" s="630"/>
      <c r="U692" s="630"/>
      <c r="V692" s="630"/>
      <c r="W692" s="260"/>
      <c r="X692" s="260"/>
      <c r="Y692" s="260"/>
      <c r="Z692" s="260"/>
      <c r="AA692" s="260"/>
      <c r="AB692" s="260"/>
      <c r="AC692" s="265"/>
      <c r="AD692" s="634"/>
      <c r="AE692" s="264">
        <f t="shared" ref="AE692:AH692" si="1682">AE684*($L684*$P684+$M684*$Q684+$N684*$R684)</f>
        <v>0</v>
      </c>
      <c r="AF692" s="264">
        <f t="shared" si="1682"/>
        <v>0</v>
      </c>
      <c r="AG692" s="264">
        <f t="shared" si="1682"/>
        <v>0</v>
      </c>
      <c r="AH692" s="264">
        <f t="shared" si="1682"/>
        <v>0</v>
      </c>
      <c r="AI692" s="264">
        <f t="shared" si="1677"/>
        <v>0</v>
      </c>
      <c r="AJ692" s="264">
        <f t="shared" si="1669"/>
        <v>0</v>
      </c>
      <c r="AK692" s="264">
        <f t="shared" si="1670"/>
        <v>0</v>
      </c>
      <c r="AL692" s="264">
        <f t="shared" si="1671"/>
        <v>0</v>
      </c>
      <c r="AM692" s="264">
        <f t="shared" si="1672"/>
        <v>0</v>
      </c>
      <c r="AN692" s="640">
        <f t="shared" si="1655"/>
        <v>0</v>
      </c>
      <c r="AO692" s="264">
        <f t="shared" si="1673"/>
        <v>0</v>
      </c>
      <c r="AP692" s="640">
        <f t="shared" si="1649"/>
        <v>0</v>
      </c>
      <c r="AQ692" s="264"/>
      <c r="AR692" s="264" t="str">
        <f>VLOOKUP($I692,TableInputsData[],ReadMe!$M$3,FALSE)&amp;"  |  "&amp;VLOOKUP($K692,TableInputsData[],ReadMe!$M$3,FALSE)</f>
        <v>PRODUIT 17  |  CHIFFRE D'AFFAIRES</v>
      </c>
      <c r="AS692" s="264" t="b">
        <f t="shared" si="1674"/>
        <v>1</v>
      </c>
      <c r="AT692" s="294"/>
    </row>
    <row r="693" spans="1:46" ht="13" hidden="1" x14ac:dyDescent="0.2">
      <c r="A693" s="294"/>
      <c r="B693" s="924"/>
      <c r="C693" s="271">
        <v>686</v>
      </c>
      <c r="D693" s="250">
        <f t="shared" si="1656"/>
        <v>0</v>
      </c>
      <c r="E693" s="250"/>
      <c r="F693" s="248" t="str">
        <f t="shared" si="1666"/>
        <v>YEAR3</v>
      </c>
      <c r="G693" s="250">
        <f>VLOOKUP(F693,TableInputsData[],$G$6,FALSE)</f>
        <v>2027</v>
      </c>
      <c r="H693" s="250" t="str">
        <f t="shared" ref="H693:I693" si="1683">H692</f>
        <v>PRODUCT</v>
      </c>
      <c r="I693" s="248" t="str">
        <f t="shared" si="1683"/>
        <v>PRODUCT 17</v>
      </c>
      <c r="J693" s="248" t="str">
        <f>VLOOKUP(I693,TableInputsData[],$J$6,FALSE)</f>
        <v>-</v>
      </c>
      <c r="K693" s="248" t="str">
        <f t="shared" si="1679"/>
        <v>REVENUE</v>
      </c>
      <c r="L693" s="255"/>
      <c r="M693" s="255"/>
      <c r="N693" s="255"/>
      <c r="O693" s="265"/>
      <c r="P693" s="260"/>
      <c r="Q693" s="260"/>
      <c r="R693" s="260"/>
      <c r="S693" s="630"/>
      <c r="T693" s="630"/>
      <c r="U693" s="630"/>
      <c r="V693" s="630"/>
      <c r="W693" s="260"/>
      <c r="X693" s="260"/>
      <c r="Y693" s="260"/>
      <c r="Z693" s="260"/>
      <c r="AA693" s="260"/>
      <c r="AB693" s="260"/>
      <c r="AC693" s="265"/>
      <c r="AD693" s="634"/>
      <c r="AE693" s="264">
        <f t="shared" ref="AE693:AH693" si="1684">AE685*($L685*$P685+$M685*$Q685+$N685*$R685)</f>
        <v>0</v>
      </c>
      <c r="AF693" s="264">
        <f t="shared" si="1684"/>
        <v>0</v>
      </c>
      <c r="AG693" s="264">
        <f t="shared" si="1684"/>
        <v>0</v>
      </c>
      <c r="AH693" s="264">
        <f t="shared" si="1684"/>
        <v>0</v>
      </c>
      <c r="AI693" s="264">
        <f t="shared" si="1677"/>
        <v>0</v>
      </c>
      <c r="AJ693" s="264">
        <f t="shared" si="1669"/>
        <v>0</v>
      </c>
      <c r="AK693" s="264">
        <f t="shared" si="1670"/>
        <v>0</v>
      </c>
      <c r="AL693" s="264">
        <f t="shared" si="1671"/>
        <v>0</v>
      </c>
      <c r="AM693" s="264">
        <f t="shared" si="1672"/>
        <v>0</v>
      </c>
      <c r="AN693" s="640">
        <f t="shared" si="1655"/>
        <v>0</v>
      </c>
      <c r="AO693" s="264">
        <f t="shared" si="1673"/>
        <v>0</v>
      </c>
      <c r="AP693" s="640">
        <f t="shared" si="1649"/>
        <v>0</v>
      </c>
      <c r="AQ693" s="264"/>
      <c r="AR693" s="264" t="str">
        <f>VLOOKUP($I693,TableInputsData[],ReadMe!$M$3,FALSE)&amp;"  |  "&amp;VLOOKUP($K693,TableInputsData[],ReadMe!$M$3,FALSE)</f>
        <v>PRODUIT 17  |  CHIFFRE D'AFFAIRES</v>
      </c>
      <c r="AS693" s="264" t="b">
        <f t="shared" si="1674"/>
        <v>1</v>
      </c>
      <c r="AT693" s="294"/>
    </row>
    <row r="694" spans="1:46" ht="13" hidden="1" x14ac:dyDescent="0.2">
      <c r="A694" s="294"/>
      <c r="B694" s="924"/>
      <c r="C694" s="271">
        <v>687</v>
      </c>
      <c r="D694" s="250">
        <f t="shared" si="1656"/>
        <v>0</v>
      </c>
      <c r="E694" s="250"/>
      <c r="F694" s="248" t="str">
        <f t="shared" si="1666"/>
        <v>YEAR4</v>
      </c>
      <c r="G694" s="250">
        <f>VLOOKUP(F694,TableInputsData[],$G$6,FALSE)</f>
        <v>2028</v>
      </c>
      <c r="H694" s="250" t="str">
        <f t="shared" ref="H694:I694" si="1685">H693</f>
        <v>PRODUCT</v>
      </c>
      <c r="I694" s="248" t="str">
        <f t="shared" si="1685"/>
        <v>PRODUCT 17</v>
      </c>
      <c r="J694" s="248" t="str">
        <f>VLOOKUP(I694,TableInputsData[],$J$6,FALSE)</f>
        <v>-</v>
      </c>
      <c r="K694" s="248" t="str">
        <f t="shared" si="1679"/>
        <v>REVENUE</v>
      </c>
      <c r="L694" s="255"/>
      <c r="M694" s="255"/>
      <c r="N694" s="255"/>
      <c r="O694" s="265"/>
      <c r="P694" s="260"/>
      <c r="Q694" s="260"/>
      <c r="R694" s="260"/>
      <c r="S694" s="630"/>
      <c r="T694" s="630"/>
      <c r="U694" s="630"/>
      <c r="V694" s="630"/>
      <c r="W694" s="260"/>
      <c r="X694" s="260"/>
      <c r="Y694" s="260"/>
      <c r="Z694" s="260"/>
      <c r="AA694" s="260"/>
      <c r="AB694" s="260"/>
      <c r="AC694" s="265"/>
      <c r="AD694" s="634"/>
      <c r="AE694" s="264">
        <f t="shared" ref="AE694:AH694" si="1686">AE686*($L686*$P686+$M686*$Q686+$N686*$R686)</f>
        <v>0</v>
      </c>
      <c r="AF694" s="264">
        <f t="shared" si="1686"/>
        <v>0</v>
      </c>
      <c r="AG694" s="264">
        <f t="shared" si="1686"/>
        <v>0</v>
      </c>
      <c r="AH694" s="264">
        <f t="shared" si="1686"/>
        <v>0</v>
      </c>
      <c r="AI694" s="264">
        <f t="shared" si="1677"/>
        <v>0</v>
      </c>
      <c r="AJ694" s="264">
        <f t="shared" si="1669"/>
        <v>0</v>
      </c>
      <c r="AK694" s="264">
        <f t="shared" si="1670"/>
        <v>0</v>
      </c>
      <c r="AL694" s="264">
        <f t="shared" si="1671"/>
        <v>0</v>
      </c>
      <c r="AM694" s="264">
        <f t="shared" si="1672"/>
        <v>0</v>
      </c>
      <c r="AN694" s="640">
        <f t="shared" si="1655"/>
        <v>0</v>
      </c>
      <c r="AO694" s="264">
        <f t="shared" si="1673"/>
        <v>0</v>
      </c>
      <c r="AP694" s="640">
        <f t="shared" si="1649"/>
        <v>0</v>
      </c>
      <c r="AQ694" s="264"/>
      <c r="AR694" s="264" t="str">
        <f>VLOOKUP($I694,TableInputsData[],ReadMe!$M$3,FALSE)&amp;"  |  "&amp;VLOOKUP($K694,TableInputsData[],ReadMe!$M$3,FALSE)</f>
        <v>PRODUIT 17  |  CHIFFRE D'AFFAIRES</v>
      </c>
      <c r="AS694" s="264" t="b">
        <f t="shared" si="1674"/>
        <v>1</v>
      </c>
      <c r="AT694" s="294"/>
    </row>
    <row r="695" spans="1:46" ht="13" hidden="1" x14ac:dyDescent="0.2">
      <c r="A695" s="294"/>
      <c r="B695" s="924"/>
      <c r="C695" s="271">
        <v>688</v>
      </c>
      <c r="D695" s="250">
        <f t="shared" si="1656"/>
        <v>0</v>
      </c>
      <c r="E695" s="250"/>
      <c r="F695" s="248" t="str">
        <f t="shared" si="1666"/>
        <v>YEAR5</v>
      </c>
      <c r="G695" s="250">
        <f>VLOOKUP(F695,TableInputsData[],$G$6,FALSE)</f>
        <v>2029</v>
      </c>
      <c r="H695" s="250" t="str">
        <f t="shared" ref="H695:I695" si="1687">H694</f>
        <v>PRODUCT</v>
      </c>
      <c r="I695" s="248" t="str">
        <f t="shared" si="1687"/>
        <v>PRODUCT 17</v>
      </c>
      <c r="J695" s="248" t="str">
        <f>VLOOKUP(I695,TableInputsData[],$J$6,FALSE)</f>
        <v>-</v>
      </c>
      <c r="K695" s="248" t="str">
        <f t="shared" si="1679"/>
        <v>REVENUE</v>
      </c>
      <c r="L695" s="255"/>
      <c r="M695" s="255"/>
      <c r="N695" s="255"/>
      <c r="O695" s="265"/>
      <c r="P695" s="260"/>
      <c r="Q695" s="260"/>
      <c r="R695" s="260"/>
      <c r="S695" s="630"/>
      <c r="T695" s="630"/>
      <c r="U695" s="630"/>
      <c r="V695" s="630"/>
      <c r="W695" s="260"/>
      <c r="X695" s="260"/>
      <c r="Y695" s="260"/>
      <c r="Z695" s="260"/>
      <c r="AA695" s="260"/>
      <c r="AB695" s="260"/>
      <c r="AC695" s="265"/>
      <c r="AD695" s="634"/>
      <c r="AE695" s="264">
        <f t="shared" ref="AE695:AH695" si="1688">AE687*($L687*$P687+$M687*$Q687+$N687*$R687)</f>
        <v>0</v>
      </c>
      <c r="AF695" s="264">
        <f t="shared" si="1688"/>
        <v>0</v>
      </c>
      <c r="AG695" s="264">
        <f t="shared" si="1688"/>
        <v>0</v>
      </c>
      <c r="AH695" s="264">
        <f t="shared" si="1688"/>
        <v>0</v>
      </c>
      <c r="AI695" s="264">
        <f t="shared" si="1677"/>
        <v>0</v>
      </c>
      <c r="AJ695" s="264">
        <f t="shared" si="1669"/>
        <v>0</v>
      </c>
      <c r="AK695" s="264">
        <f t="shared" si="1670"/>
        <v>0</v>
      </c>
      <c r="AL695" s="264">
        <f t="shared" si="1671"/>
        <v>0</v>
      </c>
      <c r="AM695" s="264">
        <f t="shared" si="1672"/>
        <v>0</v>
      </c>
      <c r="AN695" s="640">
        <f t="shared" si="1655"/>
        <v>0</v>
      </c>
      <c r="AO695" s="264">
        <f t="shared" si="1673"/>
        <v>0</v>
      </c>
      <c r="AP695" s="640">
        <f t="shared" si="1649"/>
        <v>0</v>
      </c>
      <c r="AQ695" s="264"/>
      <c r="AR695" s="264" t="str">
        <f>VLOOKUP($I695,TableInputsData[],ReadMe!$M$3,FALSE)&amp;"  |  "&amp;VLOOKUP($K695,TableInputsData[],ReadMe!$M$3,FALSE)</f>
        <v>PRODUIT 17  |  CHIFFRE D'AFFAIRES</v>
      </c>
      <c r="AS695" s="264" t="b">
        <f t="shared" si="1674"/>
        <v>1</v>
      </c>
      <c r="AT695" s="294"/>
    </row>
    <row r="696" spans="1:46" ht="13" hidden="1" x14ac:dyDescent="0.2">
      <c r="A696" s="294"/>
      <c r="B696" s="924"/>
      <c r="C696" s="271">
        <v>689</v>
      </c>
      <c r="D696" s="250">
        <f t="shared" si="1656"/>
        <v>0</v>
      </c>
      <c r="E696" s="250"/>
      <c r="F696" s="248" t="str">
        <f t="shared" si="1666"/>
        <v>YEAR6</v>
      </c>
      <c r="G696" s="250">
        <f>VLOOKUP(F696,TableInputsData[],$G$6,FALSE)</f>
        <v>2030</v>
      </c>
      <c r="H696" s="250" t="str">
        <f t="shared" ref="H696:I696" si="1689">H695</f>
        <v>PRODUCT</v>
      </c>
      <c r="I696" s="248" t="str">
        <f t="shared" si="1689"/>
        <v>PRODUCT 17</v>
      </c>
      <c r="J696" s="248" t="str">
        <f>VLOOKUP(I696,TableInputsData[],$J$6,FALSE)</f>
        <v>-</v>
      </c>
      <c r="K696" s="248" t="str">
        <f t="shared" si="1679"/>
        <v>REVENUE</v>
      </c>
      <c r="L696" s="255"/>
      <c r="M696" s="255"/>
      <c r="N696" s="255"/>
      <c r="O696" s="265"/>
      <c r="P696" s="260"/>
      <c r="Q696" s="260"/>
      <c r="R696" s="260"/>
      <c r="S696" s="630"/>
      <c r="T696" s="630"/>
      <c r="U696" s="630"/>
      <c r="V696" s="630"/>
      <c r="W696" s="260"/>
      <c r="X696" s="260"/>
      <c r="Y696" s="260"/>
      <c r="Z696" s="260"/>
      <c r="AA696" s="260"/>
      <c r="AB696" s="260"/>
      <c r="AC696" s="265"/>
      <c r="AD696" s="634"/>
      <c r="AE696" s="264">
        <f t="shared" ref="AE696:AH696" si="1690">AE688*($L688*$P688+$M688*$Q688+$N688*$R688)</f>
        <v>0</v>
      </c>
      <c r="AF696" s="264">
        <f t="shared" si="1690"/>
        <v>0</v>
      </c>
      <c r="AG696" s="264">
        <f t="shared" si="1690"/>
        <v>0</v>
      </c>
      <c r="AH696" s="264">
        <f t="shared" si="1690"/>
        <v>0</v>
      </c>
      <c r="AI696" s="264">
        <f>$AE696+$AF696+$AG696+$AH696</f>
        <v>0</v>
      </c>
      <c r="AJ696" s="264">
        <f t="shared" si="1669"/>
        <v>0</v>
      </c>
      <c r="AK696" s="264">
        <f t="shared" si="1670"/>
        <v>0</v>
      </c>
      <c r="AL696" s="264">
        <f t="shared" si="1671"/>
        <v>0</v>
      </c>
      <c r="AM696" s="264">
        <f t="shared" si="1672"/>
        <v>0</v>
      </c>
      <c r="AN696" s="640">
        <f t="shared" si="1655"/>
        <v>0</v>
      </c>
      <c r="AO696" s="264">
        <f t="shared" si="1673"/>
        <v>0</v>
      </c>
      <c r="AP696" s="640">
        <f t="shared" si="1649"/>
        <v>0</v>
      </c>
      <c r="AQ696" s="264"/>
      <c r="AR696" s="264" t="str">
        <f>VLOOKUP($I696,TableInputsData[],ReadMe!$M$3,FALSE)&amp;"  |  "&amp;VLOOKUP($K696,TableInputsData[],ReadMe!$M$3,FALSE)</f>
        <v>PRODUIT 17  |  CHIFFRE D'AFFAIRES</v>
      </c>
      <c r="AS696" s="264" t="b">
        <f t="shared" si="1674"/>
        <v>1</v>
      </c>
      <c r="AT696" s="294"/>
    </row>
    <row r="697" spans="1:46" ht="13" hidden="1" x14ac:dyDescent="0.2">
      <c r="A697" s="294"/>
      <c r="B697" s="924"/>
      <c r="C697" s="271">
        <v>690</v>
      </c>
      <c r="D697" s="250">
        <f t="shared" si="1656"/>
        <v>0</v>
      </c>
      <c r="E697" s="250"/>
      <c r="F697" s="248" t="str">
        <f t="shared" ref="F697:F704" si="1691">F681</f>
        <v>YEAR-2</v>
      </c>
      <c r="G697" s="250">
        <f>VLOOKUP(F697,TableInputsData[],$G$6,FALSE)</f>
        <v>2023</v>
      </c>
      <c r="H697" s="250" t="str">
        <f t="shared" ref="H697:I697" si="1692">H696</f>
        <v>PRODUCT</v>
      </c>
      <c r="I697" s="248" t="str">
        <f t="shared" si="1692"/>
        <v>PRODUCT 17</v>
      </c>
      <c r="J697" s="248" t="str">
        <f>VLOOKUP(I697,TableInputsData[],$J$6,FALSE)</f>
        <v>-</v>
      </c>
      <c r="K697" s="248" t="s">
        <v>456</v>
      </c>
      <c r="L697" s="255"/>
      <c r="M697" s="255"/>
      <c r="N697" s="255"/>
      <c r="O697" s="265"/>
      <c r="P697" s="260"/>
      <c r="Q697" s="260"/>
      <c r="R697" s="260"/>
      <c r="S697" s="630"/>
      <c r="T697" s="630"/>
      <c r="U697" s="630"/>
      <c r="V697" s="630"/>
      <c r="W697" s="260"/>
      <c r="X697" s="260"/>
      <c r="Y697" s="260"/>
      <c r="Z697" s="260"/>
      <c r="AA697" s="260"/>
      <c r="AB697" s="260"/>
      <c r="AC697" s="265"/>
      <c r="AD697" s="634"/>
      <c r="AE697" s="264">
        <f>IF(AE681=0,0,AE689/AE681)</f>
        <v>0</v>
      </c>
      <c r="AF697" s="264">
        <f t="shared" ref="AF697:AI697" si="1693">IF(AF681=0,0,AF689/AF681)</f>
        <v>0</v>
      </c>
      <c r="AG697" s="264">
        <f t="shared" si="1693"/>
        <v>0</v>
      </c>
      <c r="AH697" s="264">
        <f t="shared" si="1693"/>
        <v>0</v>
      </c>
      <c r="AI697" s="264">
        <f t="shared" si="1693"/>
        <v>0</v>
      </c>
      <c r="AJ697" s="264">
        <f>IF(AJ681=0,0,AJ689/AJ681)</f>
        <v>0</v>
      </c>
      <c r="AK697" s="264">
        <f t="shared" ref="AK697:AL697" si="1694">IF(AK681=0,0,AK689/AK681)</f>
        <v>0</v>
      </c>
      <c r="AL697" s="264">
        <f t="shared" si="1694"/>
        <v>0</v>
      </c>
      <c r="AM697" s="264">
        <f>IF(AM681=0,0,AM689/AM681)</f>
        <v>0</v>
      </c>
      <c r="AN697" s="260"/>
      <c r="AO697" s="264">
        <f t="shared" ref="AO697:AO704" si="1695">IF(AO681=0,0,AO689/AO681)</f>
        <v>0</v>
      </c>
      <c r="AP697" s="260"/>
      <c r="AQ697" s="264"/>
      <c r="AR697" s="264" t="str">
        <f>VLOOKUP($I697,TableInputsData[],ReadMe!$M$3,FALSE)&amp;"  |  "&amp;VLOOKUP($K697,TableInputsData[],ReadMe!$M$3,FALSE)</f>
        <v>PRODUIT 17  |  PRIX MOYEN DE VENTE PAR PRODUIT/SERVICE</v>
      </c>
      <c r="AS697" s="264"/>
      <c r="AT697" s="294"/>
    </row>
    <row r="698" spans="1:46" ht="13" hidden="1" x14ac:dyDescent="0.2">
      <c r="A698" s="294"/>
      <c r="B698" s="924"/>
      <c r="C698" s="271">
        <v>691</v>
      </c>
      <c r="D698" s="250">
        <f t="shared" si="1656"/>
        <v>0</v>
      </c>
      <c r="E698" s="250"/>
      <c r="F698" s="248" t="str">
        <f t="shared" si="1691"/>
        <v>YEAR-1</v>
      </c>
      <c r="G698" s="250">
        <f>VLOOKUP(F698,TableInputsData[],$G$6,FALSE)</f>
        <v>2024</v>
      </c>
      <c r="H698" s="250" t="str">
        <f t="shared" ref="H698:I698" si="1696">H697</f>
        <v>PRODUCT</v>
      </c>
      <c r="I698" s="248" t="str">
        <f t="shared" si="1696"/>
        <v>PRODUCT 17</v>
      </c>
      <c r="J698" s="248" t="str">
        <f>VLOOKUP(I698,TableInputsData[],$J$6,FALSE)</f>
        <v>-</v>
      </c>
      <c r="K698" s="248" t="str">
        <f>K697</f>
        <v>AVERAGE SELLING PRICE PER UNIT</v>
      </c>
      <c r="L698" s="255"/>
      <c r="M698" s="255"/>
      <c r="N698" s="255"/>
      <c r="O698" s="265"/>
      <c r="P698" s="260"/>
      <c r="Q698" s="260"/>
      <c r="R698" s="260"/>
      <c r="S698" s="630"/>
      <c r="T698" s="630"/>
      <c r="U698" s="630"/>
      <c r="V698" s="630"/>
      <c r="W698" s="260"/>
      <c r="X698" s="260"/>
      <c r="Y698" s="260"/>
      <c r="Z698" s="260"/>
      <c r="AA698" s="260"/>
      <c r="AB698" s="260"/>
      <c r="AC698" s="265"/>
      <c r="AD698" s="634"/>
      <c r="AE698" s="264">
        <f>IF(AE682=0,0,AE690/AE682)</f>
        <v>0</v>
      </c>
      <c r="AF698" s="264">
        <f t="shared" ref="AF698:AM698" si="1697">IF(AF682=0,0,AF690/AF682)</f>
        <v>0</v>
      </c>
      <c r="AG698" s="264">
        <f t="shared" si="1697"/>
        <v>0</v>
      </c>
      <c r="AH698" s="264">
        <f t="shared" si="1697"/>
        <v>0</v>
      </c>
      <c r="AI698" s="264">
        <f t="shared" si="1697"/>
        <v>0</v>
      </c>
      <c r="AJ698" s="264">
        <f t="shared" si="1697"/>
        <v>0</v>
      </c>
      <c r="AK698" s="264">
        <f t="shared" si="1697"/>
        <v>0</v>
      </c>
      <c r="AL698" s="264">
        <f t="shared" si="1697"/>
        <v>0</v>
      </c>
      <c r="AM698" s="264">
        <f t="shared" si="1697"/>
        <v>0</v>
      </c>
      <c r="AN698" s="260"/>
      <c r="AO698" s="264">
        <f t="shared" si="1695"/>
        <v>0</v>
      </c>
      <c r="AP698" s="260"/>
      <c r="AQ698" s="264"/>
      <c r="AR698" s="264" t="str">
        <f>VLOOKUP($I698,TableInputsData[],ReadMe!$M$3,FALSE)&amp;"  |  "&amp;VLOOKUP($K698,TableInputsData[],ReadMe!$M$3,FALSE)</f>
        <v>PRODUIT 17  |  PRIX MOYEN DE VENTE PAR PRODUIT/SERVICE</v>
      </c>
      <c r="AS698" s="264"/>
      <c r="AT698" s="294"/>
    </row>
    <row r="699" spans="1:46" ht="13" hidden="1" x14ac:dyDescent="0.2">
      <c r="A699" s="294"/>
      <c r="B699" s="924"/>
      <c r="C699" s="271">
        <v>692</v>
      </c>
      <c r="D699" s="250">
        <f t="shared" si="1656"/>
        <v>0</v>
      </c>
      <c r="E699" s="250"/>
      <c r="F699" s="248" t="str">
        <f t="shared" si="1691"/>
        <v>CURRENT YEAR</v>
      </c>
      <c r="G699" s="250">
        <f>VLOOKUP(F699,TableInputsData[],$G$6,FALSE)</f>
        <v>2025</v>
      </c>
      <c r="H699" s="250" t="str">
        <f t="shared" ref="H699:I699" si="1698">H698</f>
        <v>PRODUCT</v>
      </c>
      <c r="I699" s="248" t="str">
        <f t="shared" si="1698"/>
        <v>PRODUCT 17</v>
      </c>
      <c r="J699" s="248" t="str">
        <f>VLOOKUP(I699,TableInputsData[],$J$6,FALSE)</f>
        <v>-</v>
      </c>
      <c r="K699" s="248" t="str">
        <f t="shared" ref="K699:K704" si="1699">K698</f>
        <v>AVERAGE SELLING PRICE PER UNIT</v>
      </c>
      <c r="L699" s="255"/>
      <c r="M699" s="255"/>
      <c r="N699" s="255"/>
      <c r="O699" s="265"/>
      <c r="P699" s="260"/>
      <c r="Q699" s="260"/>
      <c r="R699" s="260"/>
      <c r="S699" s="630"/>
      <c r="T699" s="630"/>
      <c r="U699" s="630"/>
      <c r="V699" s="630"/>
      <c r="W699" s="260"/>
      <c r="X699" s="260"/>
      <c r="Y699" s="260"/>
      <c r="Z699" s="260"/>
      <c r="AA699" s="260"/>
      <c r="AB699" s="260"/>
      <c r="AC699" s="265"/>
      <c r="AD699" s="634"/>
      <c r="AE699" s="264">
        <f>IF(AE683=0,0,AE691/AE683)</f>
        <v>0</v>
      </c>
      <c r="AF699" s="264">
        <f t="shared" ref="AF699:AM699" si="1700">IF(AF683=0,0,AF691/AF683)</f>
        <v>0</v>
      </c>
      <c r="AG699" s="264">
        <f t="shared" si="1700"/>
        <v>0</v>
      </c>
      <c r="AH699" s="264">
        <f t="shared" si="1700"/>
        <v>0</v>
      </c>
      <c r="AI699" s="264">
        <f t="shared" si="1700"/>
        <v>0</v>
      </c>
      <c r="AJ699" s="264">
        <f t="shared" si="1700"/>
        <v>0</v>
      </c>
      <c r="AK699" s="264">
        <f t="shared" si="1700"/>
        <v>0</v>
      </c>
      <c r="AL699" s="264">
        <f t="shared" si="1700"/>
        <v>0</v>
      </c>
      <c r="AM699" s="264">
        <f t="shared" si="1700"/>
        <v>0</v>
      </c>
      <c r="AN699" s="260"/>
      <c r="AO699" s="264">
        <f t="shared" si="1695"/>
        <v>0</v>
      </c>
      <c r="AP699" s="260"/>
      <c r="AQ699" s="264"/>
      <c r="AR699" s="264" t="str">
        <f>VLOOKUP($I699,TableInputsData[],ReadMe!$M$3,FALSE)&amp;"  |  "&amp;VLOOKUP($K699,TableInputsData[],ReadMe!$M$3,FALSE)</f>
        <v>PRODUIT 17  |  PRIX MOYEN DE VENTE PAR PRODUIT/SERVICE</v>
      </c>
      <c r="AS699" s="264"/>
      <c r="AT699" s="294"/>
    </row>
    <row r="700" spans="1:46" ht="13" hidden="1" x14ac:dyDescent="0.2">
      <c r="A700" s="294"/>
      <c r="B700" s="924"/>
      <c r="C700" s="271">
        <v>693</v>
      </c>
      <c r="D700" s="250">
        <f t="shared" si="1656"/>
        <v>0</v>
      </c>
      <c r="E700" s="250"/>
      <c r="F700" s="248" t="str">
        <f t="shared" si="1691"/>
        <v>YEAR2</v>
      </c>
      <c r="G700" s="250">
        <f>VLOOKUP(F700,TableInputsData[],$G$6,FALSE)</f>
        <v>2026</v>
      </c>
      <c r="H700" s="250" t="str">
        <f t="shared" ref="H700:I700" si="1701">H699</f>
        <v>PRODUCT</v>
      </c>
      <c r="I700" s="248" t="str">
        <f t="shared" si="1701"/>
        <v>PRODUCT 17</v>
      </c>
      <c r="J700" s="248" t="str">
        <f>VLOOKUP(I700,TableInputsData[],$J$6,FALSE)</f>
        <v>-</v>
      </c>
      <c r="K700" s="248" t="str">
        <f t="shared" si="1699"/>
        <v>AVERAGE SELLING PRICE PER UNIT</v>
      </c>
      <c r="L700" s="255"/>
      <c r="M700" s="255"/>
      <c r="N700" s="255"/>
      <c r="O700" s="265"/>
      <c r="P700" s="260"/>
      <c r="Q700" s="260"/>
      <c r="R700" s="260"/>
      <c r="S700" s="630"/>
      <c r="T700" s="630"/>
      <c r="U700" s="630"/>
      <c r="V700" s="630"/>
      <c r="W700" s="260"/>
      <c r="X700" s="260"/>
      <c r="Y700" s="260"/>
      <c r="Z700" s="260"/>
      <c r="AA700" s="260"/>
      <c r="AB700" s="260"/>
      <c r="AC700" s="265"/>
      <c r="AD700" s="634"/>
      <c r="AE700" s="264">
        <f>IF(AE684=0,0,AE692/AE684)</f>
        <v>0</v>
      </c>
      <c r="AF700" s="264">
        <f t="shared" ref="AF700:AM700" si="1702">IF(AF684=0,0,AF692/AF684)</f>
        <v>0</v>
      </c>
      <c r="AG700" s="264">
        <f t="shared" si="1702"/>
        <v>0</v>
      </c>
      <c r="AH700" s="264">
        <f t="shared" si="1702"/>
        <v>0</v>
      </c>
      <c r="AI700" s="264">
        <f t="shared" si="1702"/>
        <v>0</v>
      </c>
      <c r="AJ700" s="264">
        <f t="shared" si="1702"/>
        <v>0</v>
      </c>
      <c r="AK700" s="264">
        <f t="shared" si="1702"/>
        <v>0</v>
      </c>
      <c r="AL700" s="264">
        <f t="shared" si="1702"/>
        <v>0</v>
      </c>
      <c r="AM700" s="264">
        <f t="shared" si="1702"/>
        <v>0</v>
      </c>
      <c r="AN700" s="260"/>
      <c r="AO700" s="264">
        <f t="shared" si="1695"/>
        <v>0</v>
      </c>
      <c r="AP700" s="260"/>
      <c r="AQ700" s="264"/>
      <c r="AR700" s="264" t="str">
        <f>VLOOKUP($I700,TableInputsData[],ReadMe!$M$3,FALSE)&amp;"  |  "&amp;VLOOKUP($K700,TableInputsData[],ReadMe!$M$3,FALSE)</f>
        <v>PRODUIT 17  |  PRIX MOYEN DE VENTE PAR PRODUIT/SERVICE</v>
      </c>
      <c r="AS700" s="264"/>
      <c r="AT700" s="294"/>
    </row>
    <row r="701" spans="1:46" ht="13" hidden="1" x14ac:dyDescent="0.2">
      <c r="A701" s="294"/>
      <c r="B701" s="924"/>
      <c r="C701" s="271">
        <v>694</v>
      </c>
      <c r="D701" s="250">
        <f t="shared" si="1656"/>
        <v>0</v>
      </c>
      <c r="E701" s="250"/>
      <c r="F701" s="248" t="str">
        <f t="shared" si="1691"/>
        <v>YEAR3</v>
      </c>
      <c r="G701" s="250">
        <f>VLOOKUP(F701,TableInputsData[],$G$6,FALSE)</f>
        <v>2027</v>
      </c>
      <c r="H701" s="250" t="str">
        <f t="shared" ref="H701:I701" si="1703">H700</f>
        <v>PRODUCT</v>
      </c>
      <c r="I701" s="248" t="str">
        <f t="shared" si="1703"/>
        <v>PRODUCT 17</v>
      </c>
      <c r="J701" s="248" t="str">
        <f>VLOOKUP(I701,TableInputsData[],$J$6,FALSE)</f>
        <v>-</v>
      </c>
      <c r="K701" s="248" t="str">
        <f t="shared" si="1699"/>
        <v>AVERAGE SELLING PRICE PER UNIT</v>
      </c>
      <c r="L701" s="255"/>
      <c r="M701" s="255"/>
      <c r="N701" s="255"/>
      <c r="O701" s="265"/>
      <c r="P701" s="260"/>
      <c r="Q701" s="260"/>
      <c r="R701" s="260"/>
      <c r="S701" s="630"/>
      <c r="T701" s="630"/>
      <c r="U701" s="630"/>
      <c r="V701" s="630"/>
      <c r="W701" s="260"/>
      <c r="X701" s="260"/>
      <c r="Y701" s="260"/>
      <c r="Z701" s="260"/>
      <c r="AA701" s="260"/>
      <c r="AB701" s="260"/>
      <c r="AC701" s="265"/>
      <c r="AD701" s="634"/>
      <c r="AE701" s="264">
        <f t="shared" ref="AE701:AM701" si="1704">IF(AE685=0,0,AE693/AE685)</f>
        <v>0</v>
      </c>
      <c r="AF701" s="264">
        <f t="shared" si="1704"/>
        <v>0</v>
      </c>
      <c r="AG701" s="264">
        <f t="shared" si="1704"/>
        <v>0</v>
      </c>
      <c r="AH701" s="264">
        <f t="shared" si="1704"/>
        <v>0</v>
      </c>
      <c r="AI701" s="264">
        <f t="shared" si="1704"/>
        <v>0</v>
      </c>
      <c r="AJ701" s="264">
        <f t="shared" si="1704"/>
        <v>0</v>
      </c>
      <c r="AK701" s="264">
        <f t="shared" si="1704"/>
        <v>0</v>
      </c>
      <c r="AL701" s="264">
        <f t="shared" si="1704"/>
        <v>0</v>
      </c>
      <c r="AM701" s="264">
        <f t="shared" si="1704"/>
        <v>0</v>
      </c>
      <c r="AN701" s="260"/>
      <c r="AO701" s="264">
        <f t="shared" si="1695"/>
        <v>0</v>
      </c>
      <c r="AP701" s="260"/>
      <c r="AQ701" s="264"/>
      <c r="AR701" s="264" t="str">
        <f>VLOOKUP($I701,TableInputsData[],ReadMe!$M$3,FALSE)&amp;"  |  "&amp;VLOOKUP($K701,TableInputsData[],ReadMe!$M$3,FALSE)</f>
        <v>PRODUIT 17  |  PRIX MOYEN DE VENTE PAR PRODUIT/SERVICE</v>
      </c>
      <c r="AS701" s="264"/>
      <c r="AT701" s="294"/>
    </row>
    <row r="702" spans="1:46" ht="13" hidden="1" x14ac:dyDescent="0.2">
      <c r="A702" s="294"/>
      <c r="B702" s="924"/>
      <c r="C702" s="272">
        <v>695</v>
      </c>
      <c r="D702" s="250">
        <f t="shared" si="1656"/>
        <v>0</v>
      </c>
      <c r="E702" s="251"/>
      <c r="F702" s="248" t="str">
        <f t="shared" si="1691"/>
        <v>YEAR4</v>
      </c>
      <c r="G702" s="250">
        <f>VLOOKUP(F702,TableInputsData[],$G$6,FALSE)</f>
        <v>2028</v>
      </c>
      <c r="H702" s="250" t="str">
        <f t="shared" ref="H702:I702" si="1705">H701</f>
        <v>PRODUCT</v>
      </c>
      <c r="I702" s="248" t="str">
        <f t="shared" si="1705"/>
        <v>PRODUCT 17</v>
      </c>
      <c r="J702" s="248" t="str">
        <f>VLOOKUP(I702,TableInputsData[],$J$6,FALSE)</f>
        <v>-</v>
      </c>
      <c r="K702" s="248" t="str">
        <f t="shared" si="1699"/>
        <v>AVERAGE SELLING PRICE PER UNIT</v>
      </c>
      <c r="L702" s="256"/>
      <c r="M702" s="256"/>
      <c r="N702" s="256"/>
      <c r="O702" s="266"/>
      <c r="P702" s="261"/>
      <c r="Q702" s="261"/>
      <c r="R702" s="261"/>
      <c r="S702" s="629"/>
      <c r="T702" s="629"/>
      <c r="U702" s="629"/>
      <c r="V702" s="629"/>
      <c r="W702" s="261"/>
      <c r="X702" s="261"/>
      <c r="Y702" s="261"/>
      <c r="Z702" s="261"/>
      <c r="AA702" s="261"/>
      <c r="AB702" s="261"/>
      <c r="AC702" s="266"/>
      <c r="AD702" s="633"/>
      <c r="AE702" s="264">
        <f t="shared" ref="AE702:AM702" si="1706">IF(AE686=0,0,AE694/AE686)</f>
        <v>0</v>
      </c>
      <c r="AF702" s="264">
        <f t="shared" si="1706"/>
        <v>0</v>
      </c>
      <c r="AG702" s="264">
        <f t="shared" si="1706"/>
        <v>0</v>
      </c>
      <c r="AH702" s="264">
        <f t="shared" si="1706"/>
        <v>0</v>
      </c>
      <c r="AI702" s="264">
        <f t="shared" si="1706"/>
        <v>0</v>
      </c>
      <c r="AJ702" s="264">
        <f t="shared" si="1706"/>
        <v>0</v>
      </c>
      <c r="AK702" s="264">
        <f t="shared" si="1706"/>
        <v>0</v>
      </c>
      <c r="AL702" s="264">
        <f t="shared" si="1706"/>
        <v>0</v>
      </c>
      <c r="AM702" s="264">
        <f t="shared" si="1706"/>
        <v>0</v>
      </c>
      <c r="AN702" s="260"/>
      <c r="AO702" s="264">
        <f t="shared" si="1695"/>
        <v>0</v>
      </c>
      <c r="AP702" s="260"/>
      <c r="AQ702" s="264"/>
      <c r="AR702" s="264" t="str">
        <f>VLOOKUP($I702,TableInputsData[],ReadMe!$M$3,FALSE)&amp;"  |  "&amp;VLOOKUP($K702,TableInputsData[],ReadMe!$M$3,FALSE)</f>
        <v>PRODUIT 17  |  PRIX MOYEN DE VENTE PAR PRODUIT/SERVICE</v>
      </c>
      <c r="AS702" s="264"/>
      <c r="AT702" s="294"/>
    </row>
    <row r="703" spans="1:46" ht="13" hidden="1" x14ac:dyDescent="0.2">
      <c r="A703" s="294"/>
      <c r="B703" s="924"/>
      <c r="C703" s="271">
        <v>696</v>
      </c>
      <c r="D703" s="250">
        <f t="shared" si="1656"/>
        <v>0</v>
      </c>
      <c r="E703" s="250"/>
      <c r="F703" s="248" t="str">
        <f t="shared" si="1691"/>
        <v>YEAR5</v>
      </c>
      <c r="G703" s="250">
        <f>VLOOKUP(F703,TableInputsData[],$G$6,FALSE)</f>
        <v>2029</v>
      </c>
      <c r="H703" s="250" t="str">
        <f t="shared" ref="H703:I703" si="1707">H702</f>
        <v>PRODUCT</v>
      </c>
      <c r="I703" s="248" t="str">
        <f t="shared" si="1707"/>
        <v>PRODUCT 17</v>
      </c>
      <c r="J703" s="248" t="str">
        <f>VLOOKUP(I703,TableInputsData[],$J$6,FALSE)</f>
        <v>-</v>
      </c>
      <c r="K703" s="248" t="str">
        <f t="shared" si="1699"/>
        <v>AVERAGE SELLING PRICE PER UNIT</v>
      </c>
      <c r="L703" s="255"/>
      <c r="M703" s="255"/>
      <c r="N703" s="255"/>
      <c r="O703" s="265"/>
      <c r="P703" s="260"/>
      <c r="Q703" s="260"/>
      <c r="R703" s="260"/>
      <c r="S703" s="630"/>
      <c r="T703" s="630"/>
      <c r="U703" s="630"/>
      <c r="V703" s="630"/>
      <c r="W703" s="260"/>
      <c r="X703" s="260"/>
      <c r="Y703" s="260"/>
      <c r="Z703" s="260"/>
      <c r="AA703" s="260"/>
      <c r="AB703" s="260"/>
      <c r="AC703" s="265"/>
      <c r="AD703" s="634"/>
      <c r="AE703" s="264">
        <f t="shared" ref="AE703:AM703" si="1708">IF(AE687=0,0,AE695/AE687)</f>
        <v>0</v>
      </c>
      <c r="AF703" s="264">
        <f t="shared" si="1708"/>
        <v>0</v>
      </c>
      <c r="AG703" s="264">
        <f t="shared" si="1708"/>
        <v>0</v>
      </c>
      <c r="AH703" s="264">
        <f t="shared" si="1708"/>
        <v>0</v>
      </c>
      <c r="AI703" s="264">
        <f t="shared" si="1708"/>
        <v>0</v>
      </c>
      <c r="AJ703" s="264">
        <f t="shared" si="1708"/>
        <v>0</v>
      </c>
      <c r="AK703" s="264">
        <f t="shared" si="1708"/>
        <v>0</v>
      </c>
      <c r="AL703" s="264">
        <f t="shared" si="1708"/>
        <v>0</v>
      </c>
      <c r="AM703" s="264">
        <f t="shared" si="1708"/>
        <v>0</v>
      </c>
      <c r="AN703" s="260"/>
      <c r="AO703" s="264">
        <f t="shared" si="1695"/>
        <v>0</v>
      </c>
      <c r="AP703" s="260"/>
      <c r="AQ703" s="264"/>
      <c r="AR703" s="264" t="str">
        <f>VLOOKUP($I703,TableInputsData[],ReadMe!$M$3,FALSE)&amp;"  |  "&amp;VLOOKUP($K703,TableInputsData[],ReadMe!$M$3,FALSE)</f>
        <v>PRODUIT 17  |  PRIX MOYEN DE VENTE PAR PRODUIT/SERVICE</v>
      </c>
      <c r="AS703" s="264"/>
      <c r="AT703" s="294"/>
    </row>
    <row r="704" spans="1:46" ht="13" hidden="1" x14ac:dyDescent="0.2">
      <c r="A704" s="294"/>
      <c r="B704" s="924"/>
      <c r="C704" s="271">
        <v>697</v>
      </c>
      <c r="D704" s="250">
        <f t="shared" si="1656"/>
        <v>0</v>
      </c>
      <c r="E704" s="250"/>
      <c r="F704" s="248" t="str">
        <f t="shared" si="1691"/>
        <v>YEAR6</v>
      </c>
      <c r="G704" s="250">
        <f>VLOOKUP(F704,TableInputsData[],$G$6,FALSE)</f>
        <v>2030</v>
      </c>
      <c r="H704" s="250" t="str">
        <f t="shared" ref="H704:I704" si="1709">H703</f>
        <v>PRODUCT</v>
      </c>
      <c r="I704" s="248" t="str">
        <f t="shared" si="1709"/>
        <v>PRODUCT 17</v>
      </c>
      <c r="J704" s="248" t="str">
        <f>VLOOKUP(I704,TableInputsData[],$J$6,FALSE)</f>
        <v>-</v>
      </c>
      <c r="K704" s="248" t="str">
        <f t="shared" si="1699"/>
        <v>AVERAGE SELLING PRICE PER UNIT</v>
      </c>
      <c r="L704" s="255"/>
      <c r="M704" s="255"/>
      <c r="N704" s="255"/>
      <c r="O704" s="265"/>
      <c r="P704" s="260"/>
      <c r="Q704" s="260"/>
      <c r="R704" s="260"/>
      <c r="S704" s="630"/>
      <c r="T704" s="630"/>
      <c r="U704" s="630"/>
      <c r="V704" s="630"/>
      <c r="W704" s="260"/>
      <c r="X704" s="260"/>
      <c r="Y704" s="260"/>
      <c r="Z704" s="260"/>
      <c r="AA704" s="260"/>
      <c r="AB704" s="260"/>
      <c r="AC704" s="265"/>
      <c r="AD704" s="634"/>
      <c r="AE704" s="264">
        <f t="shared" ref="AE704:AM704" si="1710">IF(AE688=0,0,AE696/AE688)</f>
        <v>0</v>
      </c>
      <c r="AF704" s="264">
        <f t="shared" si="1710"/>
        <v>0</v>
      </c>
      <c r="AG704" s="264">
        <f t="shared" si="1710"/>
        <v>0</v>
      </c>
      <c r="AH704" s="264">
        <f t="shared" si="1710"/>
        <v>0</v>
      </c>
      <c r="AI704" s="264">
        <f t="shared" si="1710"/>
        <v>0</v>
      </c>
      <c r="AJ704" s="264">
        <f t="shared" si="1710"/>
        <v>0</v>
      </c>
      <c r="AK704" s="264">
        <f t="shared" si="1710"/>
        <v>0</v>
      </c>
      <c r="AL704" s="264">
        <f t="shared" si="1710"/>
        <v>0</v>
      </c>
      <c r="AM704" s="264">
        <f t="shared" si="1710"/>
        <v>0</v>
      </c>
      <c r="AN704" s="260"/>
      <c r="AO704" s="264">
        <f t="shared" si="1695"/>
        <v>0</v>
      </c>
      <c r="AP704" s="260"/>
      <c r="AQ704" s="264"/>
      <c r="AR704" s="264" t="str">
        <f>VLOOKUP($I704,TableInputsData[],ReadMe!$M$3,FALSE)&amp;"  |  "&amp;VLOOKUP($K704,TableInputsData[],ReadMe!$M$3,FALSE)</f>
        <v>PRODUIT 17  |  PRIX MOYEN DE VENTE PAR PRODUIT/SERVICE</v>
      </c>
      <c r="AS704" s="264"/>
      <c r="AT704" s="294"/>
    </row>
    <row r="705" spans="1:46" ht="13" hidden="1" x14ac:dyDescent="0.2">
      <c r="A705" s="294"/>
      <c r="B705" s="924"/>
      <c r="C705" s="272">
        <v>698</v>
      </c>
      <c r="D705" s="250">
        <f t="shared" si="1656"/>
        <v>0</v>
      </c>
      <c r="E705" s="251"/>
      <c r="F705" s="248" t="str">
        <f t="shared" ref="F705:F712" si="1711">F713</f>
        <v>YEAR-2</v>
      </c>
      <c r="G705" s="250">
        <f>VLOOKUP(F705,TableInputsData[],$G$6,FALSE)</f>
        <v>2023</v>
      </c>
      <c r="H705" s="250" t="str">
        <f t="shared" ref="H705:I705" si="1712">H704</f>
        <v>PRODUCT</v>
      </c>
      <c r="I705" s="248" t="str">
        <f t="shared" si="1712"/>
        <v>PRODUCT 17</v>
      </c>
      <c r="J705" s="248" t="str">
        <f>VLOOKUP(I705,TableInputsData[],$J$6,FALSE)</f>
        <v>-</v>
      </c>
      <c r="K705" s="248" t="s">
        <v>531</v>
      </c>
      <c r="L705" s="256"/>
      <c r="M705" s="256"/>
      <c r="N705" s="256"/>
      <c r="O705" s="266"/>
      <c r="P705" s="261"/>
      <c r="Q705" s="261"/>
      <c r="R705" s="261"/>
      <c r="S705" s="629"/>
      <c r="T705" s="629"/>
      <c r="U705" s="629"/>
      <c r="V705" s="629"/>
      <c r="W705" s="261"/>
      <c r="X705" s="261"/>
      <c r="Y705" s="261"/>
      <c r="Z705" s="261"/>
      <c r="AA705" s="261"/>
      <c r="AB705" s="261"/>
      <c r="AC705" s="266"/>
      <c r="AD705" s="633"/>
      <c r="AE705" s="264">
        <f>AE681*($S681*$P681+$T681*$Q681+$U681*$R681)</f>
        <v>0</v>
      </c>
      <c r="AF705" s="264">
        <f t="shared" ref="AF705:AH705" si="1713">AF681*($S681*$P681+$T681*$Q681+$U681*$R681)</f>
        <v>0</v>
      </c>
      <c r="AG705" s="264">
        <f t="shared" si="1713"/>
        <v>0</v>
      </c>
      <c r="AH705" s="264">
        <f t="shared" si="1713"/>
        <v>0</v>
      </c>
      <c r="AI705" s="264">
        <f t="shared" ref="AI705:AI712" si="1714">$AE705+$AF705+$AG705+$AH705</f>
        <v>0</v>
      </c>
      <c r="AJ705" s="264">
        <f t="shared" ref="AJ705:AJ712" si="1715">$AJ681*$S681</f>
        <v>0</v>
      </c>
      <c r="AK705" s="264">
        <f t="shared" ref="AK705:AK712" si="1716">$AK681*$T681</f>
        <v>0</v>
      </c>
      <c r="AL705" s="264">
        <f t="shared" ref="AL705:AL712" si="1717">$AL681*$U681</f>
        <v>0</v>
      </c>
      <c r="AM705" s="264">
        <f t="shared" ref="AM705:AM712" si="1718">$AJ705*$W681+$AK705*$X681+$AL705*$Y681</f>
        <v>0</v>
      </c>
      <c r="AN705" s="640">
        <f t="shared" ref="AN705:AN712" si="1719">IF(AI705=0,0,AM705/AI705)</f>
        <v>0</v>
      </c>
      <c r="AO705" s="264">
        <f t="shared" ref="AO705:AO712" si="1720">$AJ705*$Z681+$AK705*$AA681+$AL705*$AB681</f>
        <v>0</v>
      </c>
      <c r="AP705" s="640">
        <f t="shared" ref="AP705:AP712" si="1721">IF(AI705=0,0,AO705/AI705)</f>
        <v>0</v>
      </c>
      <c r="AQ705" s="264"/>
      <c r="AR705" s="264" t="str">
        <f>VLOOKUP($I705,TableInputsData[],ReadMe!$M$3,FALSE)&amp;"  |  "&amp;VLOOKUP($K705,TableInputsData[],ReadMe!$M$3,FALSE)</f>
        <v>PRODUIT 17  |  DEPENSES SUR ACHATS</v>
      </c>
      <c r="AS705" s="264" t="b">
        <f t="shared" ref="AS705:AS712" si="1722">AND(EXACT(ROUND(AI705,2),ROUND(AJ705+AK705+AL705,2)),EXACT(ROUND(AI705,2),ROUND(AM705+AO705,2)))</f>
        <v>1</v>
      </c>
      <c r="AT705" s="294"/>
    </row>
    <row r="706" spans="1:46" ht="13" hidden="1" x14ac:dyDescent="0.2">
      <c r="A706" s="294"/>
      <c r="B706" s="924"/>
      <c r="C706" s="271">
        <v>699</v>
      </c>
      <c r="D706" s="250">
        <f t="shared" si="1656"/>
        <v>0</v>
      </c>
      <c r="E706" s="250"/>
      <c r="F706" s="248" t="str">
        <f t="shared" si="1711"/>
        <v>YEAR-1</v>
      </c>
      <c r="G706" s="250">
        <f>VLOOKUP(F706,TableInputsData[],$G$6,FALSE)</f>
        <v>2024</v>
      </c>
      <c r="H706" s="250" t="str">
        <f t="shared" ref="H706:I706" si="1723">H705</f>
        <v>PRODUCT</v>
      </c>
      <c r="I706" s="248" t="str">
        <f t="shared" si="1723"/>
        <v>PRODUCT 17</v>
      </c>
      <c r="J706" s="248" t="str">
        <f>VLOOKUP(I706,TableInputsData[],$J$6,FALSE)</f>
        <v>-</v>
      </c>
      <c r="K706" s="248" t="str">
        <f>K705</f>
        <v>COST OF GOODS SOLD</v>
      </c>
      <c r="L706" s="255"/>
      <c r="M706" s="255"/>
      <c r="N706" s="255"/>
      <c r="O706" s="265"/>
      <c r="P706" s="260"/>
      <c r="Q706" s="260"/>
      <c r="R706" s="260"/>
      <c r="S706" s="630"/>
      <c r="T706" s="630"/>
      <c r="U706" s="630"/>
      <c r="V706" s="630"/>
      <c r="W706" s="260"/>
      <c r="X706" s="260"/>
      <c r="Y706" s="260"/>
      <c r="Z706" s="260"/>
      <c r="AA706" s="260"/>
      <c r="AB706" s="260"/>
      <c r="AC706" s="265"/>
      <c r="AD706" s="634"/>
      <c r="AE706" s="264">
        <f t="shared" ref="AE706:AH706" si="1724">AE682*($S682*$P682+$T682*$Q682+$U682*$R682)</f>
        <v>0</v>
      </c>
      <c r="AF706" s="264">
        <f t="shared" si="1724"/>
        <v>0</v>
      </c>
      <c r="AG706" s="264">
        <f t="shared" si="1724"/>
        <v>0</v>
      </c>
      <c r="AH706" s="264">
        <f t="shared" si="1724"/>
        <v>0</v>
      </c>
      <c r="AI706" s="264">
        <f t="shared" si="1714"/>
        <v>0</v>
      </c>
      <c r="AJ706" s="264">
        <f t="shared" si="1715"/>
        <v>0</v>
      </c>
      <c r="AK706" s="264">
        <f t="shared" si="1716"/>
        <v>0</v>
      </c>
      <c r="AL706" s="264">
        <f t="shared" si="1717"/>
        <v>0</v>
      </c>
      <c r="AM706" s="264">
        <f t="shared" si="1718"/>
        <v>0</v>
      </c>
      <c r="AN706" s="640">
        <f t="shared" si="1719"/>
        <v>0</v>
      </c>
      <c r="AO706" s="264">
        <f t="shared" si="1720"/>
        <v>0</v>
      </c>
      <c r="AP706" s="640">
        <f t="shared" si="1721"/>
        <v>0</v>
      </c>
      <c r="AQ706" s="264"/>
      <c r="AR706" s="264" t="str">
        <f>VLOOKUP($I706,TableInputsData[],ReadMe!$M$3,FALSE)&amp;"  |  "&amp;VLOOKUP($K706,TableInputsData[],ReadMe!$M$3,FALSE)</f>
        <v>PRODUIT 17  |  DEPENSES SUR ACHATS</v>
      </c>
      <c r="AS706" s="264" t="b">
        <f t="shared" si="1722"/>
        <v>1</v>
      </c>
      <c r="AT706" s="294"/>
    </row>
    <row r="707" spans="1:46" ht="13" hidden="1" x14ac:dyDescent="0.2">
      <c r="A707" s="294"/>
      <c r="B707" s="924"/>
      <c r="C707" s="271">
        <v>700</v>
      </c>
      <c r="D707" s="250">
        <f t="shared" si="1656"/>
        <v>0</v>
      </c>
      <c r="E707" s="250"/>
      <c r="F707" s="248" t="str">
        <f t="shared" si="1711"/>
        <v>CURRENT YEAR</v>
      </c>
      <c r="G707" s="250">
        <f>VLOOKUP(F707,TableInputsData[],$G$6,FALSE)</f>
        <v>2025</v>
      </c>
      <c r="H707" s="250" t="str">
        <f t="shared" ref="H707:I707" si="1725">H706</f>
        <v>PRODUCT</v>
      </c>
      <c r="I707" s="248" t="str">
        <f t="shared" si="1725"/>
        <v>PRODUCT 17</v>
      </c>
      <c r="J707" s="248" t="str">
        <f>VLOOKUP(I707,TableInputsData[],$J$6,FALSE)</f>
        <v>-</v>
      </c>
      <c r="K707" s="248" t="str">
        <f t="shared" ref="K707:K712" si="1726">K706</f>
        <v>COST OF GOODS SOLD</v>
      </c>
      <c r="L707" s="255"/>
      <c r="M707" s="255"/>
      <c r="N707" s="255"/>
      <c r="O707" s="265"/>
      <c r="P707" s="260"/>
      <c r="Q707" s="260"/>
      <c r="R707" s="260"/>
      <c r="S707" s="630"/>
      <c r="T707" s="630"/>
      <c r="U707" s="630"/>
      <c r="V707" s="630"/>
      <c r="W707" s="260"/>
      <c r="X707" s="260"/>
      <c r="Y707" s="260"/>
      <c r="Z707" s="260"/>
      <c r="AA707" s="260"/>
      <c r="AB707" s="260"/>
      <c r="AC707" s="265"/>
      <c r="AD707" s="634"/>
      <c r="AE707" s="264">
        <f t="shared" ref="AE707:AH707" si="1727">AE683*($S683*$P683+$T683*$Q683+$U683*$R683)</f>
        <v>0</v>
      </c>
      <c r="AF707" s="264">
        <f t="shared" si="1727"/>
        <v>0</v>
      </c>
      <c r="AG707" s="264">
        <f t="shared" si="1727"/>
        <v>0</v>
      </c>
      <c r="AH707" s="264">
        <f t="shared" si="1727"/>
        <v>0</v>
      </c>
      <c r="AI707" s="264">
        <f t="shared" si="1714"/>
        <v>0</v>
      </c>
      <c r="AJ707" s="264">
        <f t="shared" si="1715"/>
        <v>0</v>
      </c>
      <c r="AK707" s="264">
        <f t="shared" si="1716"/>
        <v>0</v>
      </c>
      <c r="AL707" s="264">
        <f t="shared" si="1717"/>
        <v>0</v>
      </c>
      <c r="AM707" s="264">
        <f t="shared" si="1718"/>
        <v>0</v>
      </c>
      <c r="AN707" s="640">
        <f t="shared" si="1719"/>
        <v>0</v>
      </c>
      <c r="AO707" s="264">
        <f t="shared" si="1720"/>
        <v>0</v>
      </c>
      <c r="AP707" s="640">
        <f t="shared" si="1721"/>
        <v>0</v>
      </c>
      <c r="AQ707" s="264"/>
      <c r="AR707" s="264" t="str">
        <f>VLOOKUP($I707,TableInputsData[],ReadMe!$M$3,FALSE)&amp;"  |  "&amp;VLOOKUP($K707,TableInputsData[],ReadMe!$M$3,FALSE)</f>
        <v>PRODUIT 17  |  DEPENSES SUR ACHATS</v>
      </c>
      <c r="AS707" s="264" t="b">
        <f t="shared" si="1722"/>
        <v>1</v>
      </c>
      <c r="AT707" s="294"/>
    </row>
    <row r="708" spans="1:46" ht="13" hidden="1" x14ac:dyDescent="0.2">
      <c r="A708" s="294"/>
      <c r="B708" s="924"/>
      <c r="C708" s="271">
        <v>701</v>
      </c>
      <c r="D708" s="250">
        <f t="shared" si="1656"/>
        <v>0</v>
      </c>
      <c r="E708" s="250"/>
      <c r="F708" s="248" t="str">
        <f t="shared" si="1711"/>
        <v>YEAR2</v>
      </c>
      <c r="G708" s="250">
        <f>VLOOKUP(F708,TableInputsData[],$G$6,FALSE)</f>
        <v>2026</v>
      </c>
      <c r="H708" s="250" t="str">
        <f t="shared" ref="H708:I708" si="1728">H707</f>
        <v>PRODUCT</v>
      </c>
      <c r="I708" s="248" t="str">
        <f t="shared" si="1728"/>
        <v>PRODUCT 17</v>
      </c>
      <c r="J708" s="248" t="str">
        <f>VLOOKUP(I708,TableInputsData[],$J$6,FALSE)</f>
        <v>-</v>
      </c>
      <c r="K708" s="248" t="str">
        <f t="shared" si="1726"/>
        <v>COST OF GOODS SOLD</v>
      </c>
      <c r="L708" s="255"/>
      <c r="M708" s="255"/>
      <c r="N708" s="255"/>
      <c r="O708" s="265"/>
      <c r="P708" s="260"/>
      <c r="Q708" s="260"/>
      <c r="R708" s="260"/>
      <c r="S708" s="630"/>
      <c r="T708" s="630"/>
      <c r="U708" s="630"/>
      <c r="V708" s="630"/>
      <c r="W708" s="260"/>
      <c r="X708" s="260"/>
      <c r="Y708" s="260"/>
      <c r="Z708" s="260"/>
      <c r="AA708" s="260"/>
      <c r="AB708" s="260"/>
      <c r="AC708" s="265"/>
      <c r="AD708" s="634"/>
      <c r="AE708" s="264">
        <f t="shared" ref="AE708:AH708" si="1729">AE684*($S684*$P684+$T684*$Q684+$U684*$R684)</f>
        <v>0</v>
      </c>
      <c r="AF708" s="264">
        <f t="shared" si="1729"/>
        <v>0</v>
      </c>
      <c r="AG708" s="264">
        <f t="shared" si="1729"/>
        <v>0</v>
      </c>
      <c r="AH708" s="264">
        <f t="shared" si="1729"/>
        <v>0</v>
      </c>
      <c r="AI708" s="264">
        <f t="shared" si="1714"/>
        <v>0</v>
      </c>
      <c r="AJ708" s="264">
        <f t="shared" si="1715"/>
        <v>0</v>
      </c>
      <c r="AK708" s="264">
        <f t="shared" si="1716"/>
        <v>0</v>
      </c>
      <c r="AL708" s="264">
        <f t="shared" si="1717"/>
        <v>0</v>
      </c>
      <c r="AM708" s="264">
        <f t="shared" si="1718"/>
        <v>0</v>
      </c>
      <c r="AN708" s="640">
        <f t="shared" si="1719"/>
        <v>0</v>
      </c>
      <c r="AO708" s="264">
        <f t="shared" si="1720"/>
        <v>0</v>
      </c>
      <c r="AP708" s="640">
        <f t="shared" si="1721"/>
        <v>0</v>
      </c>
      <c r="AQ708" s="264"/>
      <c r="AR708" s="264" t="str">
        <f>VLOOKUP($I708,TableInputsData[],ReadMe!$M$3,FALSE)&amp;"  |  "&amp;VLOOKUP($K708,TableInputsData[],ReadMe!$M$3,FALSE)</f>
        <v>PRODUIT 17  |  DEPENSES SUR ACHATS</v>
      </c>
      <c r="AS708" s="264" t="b">
        <f t="shared" si="1722"/>
        <v>1</v>
      </c>
      <c r="AT708" s="294"/>
    </row>
    <row r="709" spans="1:46" ht="13" hidden="1" x14ac:dyDescent="0.2">
      <c r="A709" s="294"/>
      <c r="B709" s="924"/>
      <c r="C709" s="271">
        <v>702</v>
      </c>
      <c r="D709" s="250">
        <f t="shared" si="1656"/>
        <v>0</v>
      </c>
      <c r="E709" s="250"/>
      <c r="F709" s="248" t="str">
        <f t="shared" si="1711"/>
        <v>YEAR3</v>
      </c>
      <c r="G709" s="250">
        <f>VLOOKUP(F709,TableInputsData[],$G$6,FALSE)</f>
        <v>2027</v>
      </c>
      <c r="H709" s="250" t="str">
        <f t="shared" ref="H709:I709" si="1730">H708</f>
        <v>PRODUCT</v>
      </c>
      <c r="I709" s="248" t="str">
        <f t="shared" si="1730"/>
        <v>PRODUCT 17</v>
      </c>
      <c r="J709" s="248" t="str">
        <f>VLOOKUP(I709,TableInputsData[],$J$6,FALSE)</f>
        <v>-</v>
      </c>
      <c r="K709" s="248" t="str">
        <f t="shared" si="1726"/>
        <v>COST OF GOODS SOLD</v>
      </c>
      <c r="L709" s="255"/>
      <c r="M709" s="255"/>
      <c r="N709" s="255"/>
      <c r="O709" s="265"/>
      <c r="P709" s="260"/>
      <c r="Q709" s="260"/>
      <c r="R709" s="260"/>
      <c r="S709" s="630"/>
      <c r="T709" s="630"/>
      <c r="U709" s="630"/>
      <c r="V709" s="630"/>
      <c r="W709" s="260"/>
      <c r="X709" s="260"/>
      <c r="Y709" s="260"/>
      <c r="Z709" s="260"/>
      <c r="AA709" s="260"/>
      <c r="AB709" s="260"/>
      <c r="AC709" s="265"/>
      <c r="AD709" s="634"/>
      <c r="AE709" s="264">
        <f t="shared" ref="AE709:AH709" si="1731">AE685*($S685*$P685+$T685*$Q685+$U685*$R685)</f>
        <v>0</v>
      </c>
      <c r="AF709" s="264">
        <f t="shared" si="1731"/>
        <v>0</v>
      </c>
      <c r="AG709" s="264">
        <f t="shared" si="1731"/>
        <v>0</v>
      </c>
      <c r="AH709" s="264">
        <f t="shared" si="1731"/>
        <v>0</v>
      </c>
      <c r="AI709" s="264">
        <f t="shared" si="1714"/>
        <v>0</v>
      </c>
      <c r="AJ709" s="264">
        <f t="shared" si="1715"/>
        <v>0</v>
      </c>
      <c r="AK709" s="264">
        <f t="shared" si="1716"/>
        <v>0</v>
      </c>
      <c r="AL709" s="264">
        <f t="shared" si="1717"/>
        <v>0</v>
      </c>
      <c r="AM709" s="264">
        <f t="shared" si="1718"/>
        <v>0</v>
      </c>
      <c r="AN709" s="640">
        <f t="shared" si="1719"/>
        <v>0</v>
      </c>
      <c r="AO709" s="264">
        <f t="shared" si="1720"/>
        <v>0</v>
      </c>
      <c r="AP709" s="640">
        <f t="shared" si="1721"/>
        <v>0</v>
      </c>
      <c r="AQ709" s="264"/>
      <c r="AR709" s="264" t="str">
        <f>VLOOKUP($I709,TableInputsData[],ReadMe!$M$3,FALSE)&amp;"  |  "&amp;VLOOKUP($K709,TableInputsData[],ReadMe!$M$3,FALSE)</f>
        <v>PRODUIT 17  |  DEPENSES SUR ACHATS</v>
      </c>
      <c r="AS709" s="264" t="b">
        <f t="shared" si="1722"/>
        <v>1</v>
      </c>
      <c r="AT709" s="294"/>
    </row>
    <row r="710" spans="1:46" ht="13" hidden="1" x14ac:dyDescent="0.2">
      <c r="A710" s="294"/>
      <c r="B710" s="924"/>
      <c r="C710" s="271">
        <v>703</v>
      </c>
      <c r="D710" s="250">
        <f t="shared" si="1656"/>
        <v>0</v>
      </c>
      <c r="E710" s="250"/>
      <c r="F710" s="248" t="str">
        <f t="shared" si="1711"/>
        <v>YEAR4</v>
      </c>
      <c r="G710" s="250">
        <f>VLOOKUP(F710,TableInputsData[],$G$6,FALSE)</f>
        <v>2028</v>
      </c>
      <c r="H710" s="250" t="str">
        <f t="shared" ref="H710:I710" si="1732">H709</f>
        <v>PRODUCT</v>
      </c>
      <c r="I710" s="248" t="str">
        <f t="shared" si="1732"/>
        <v>PRODUCT 17</v>
      </c>
      <c r="J710" s="248" t="str">
        <f>VLOOKUP(I710,TableInputsData[],$J$6,FALSE)</f>
        <v>-</v>
      </c>
      <c r="K710" s="248" t="str">
        <f t="shared" si="1726"/>
        <v>COST OF GOODS SOLD</v>
      </c>
      <c r="L710" s="255"/>
      <c r="M710" s="255"/>
      <c r="N710" s="255"/>
      <c r="O710" s="265"/>
      <c r="P710" s="260"/>
      <c r="Q710" s="260"/>
      <c r="R710" s="260"/>
      <c r="S710" s="630"/>
      <c r="T710" s="630"/>
      <c r="U710" s="630"/>
      <c r="V710" s="630"/>
      <c r="W710" s="260"/>
      <c r="X710" s="260"/>
      <c r="Y710" s="260"/>
      <c r="Z710" s="260"/>
      <c r="AA710" s="260"/>
      <c r="AB710" s="260"/>
      <c r="AC710" s="265"/>
      <c r="AD710" s="634"/>
      <c r="AE710" s="264">
        <f t="shared" ref="AE710:AH710" si="1733">AE686*($S686*$P686+$T686*$Q686+$U686*$R686)</f>
        <v>0</v>
      </c>
      <c r="AF710" s="264">
        <f t="shared" si="1733"/>
        <v>0</v>
      </c>
      <c r="AG710" s="264">
        <f t="shared" si="1733"/>
        <v>0</v>
      </c>
      <c r="AH710" s="264">
        <f t="shared" si="1733"/>
        <v>0</v>
      </c>
      <c r="AI710" s="264">
        <f t="shared" si="1714"/>
        <v>0</v>
      </c>
      <c r="AJ710" s="264">
        <f t="shared" si="1715"/>
        <v>0</v>
      </c>
      <c r="AK710" s="264">
        <f t="shared" si="1716"/>
        <v>0</v>
      </c>
      <c r="AL710" s="264">
        <f t="shared" si="1717"/>
        <v>0</v>
      </c>
      <c r="AM710" s="264">
        <f t="shared" si="1718"/>
        <v>0</v>
      </c>
      <c r="AN710" s="640">
        <f t="shared" si="1719"/>
        <v>0</v>
      </c>
      <c r="AO710" s="264">
        <f t="shared" si="1720"/>
        <v>0</v>
      </c>
      <c r="AP710" s="640">
        <f t="shared" si="1721"/>
        <v>0</v>
      </c>
      <c r="AQ710" s="264"/>
      <c r="AR710" s="264" t="str">
        <f>VLOOKUP($I710,TableInputsData[],ReadMe!$M$3,FALSE)&amp;"  |  "&amp;VLOOKUP($K710,TableInputsData[],ReadMe!$M$3,FALSE)</f>
        <v>PRODUIT 17  |  DEPENSES SUR ACHATS</v>
      </c>
      <c r="AS710" s="264" t="b">
        <f t="shared" si="1722"/>
        <v>1</v>
      </c>
      <c r="AT710" s="294"/>
    </row>
    <row r="711" spans="1:46" ht="13" hidden="1" x14ac:dyDescent="0.2">
      <c r="A711" s="294"/>
      <c r="B711" s="924"/>
      <c r="C711" s="271">
        <v>704</v>
      </c>
      <c r="D711" s="250">
        <f t="shared" si="1656"/>
        <v>0</v>
      </c>
      <c r="E711" s="250"/>
      <c r="F711" s="248" t="str">
        <f t="shared" si="1711"/>
        <v>YEAR5</v>
      </c>
      <c r="G711" s="250">
        <f>VLOOKUP(F711,TableInputsData[],$G$6,FALSE)</f>
        <v>2029</v>
      </c>
      <c r="H711" s="250" t="str">
        <f t="shared" ref="H711:I711" si="1734">H710</f>
        <v>PRODUCT</v>
      </c>
      <c r="I711" s="248" t="str">
        <f t="shared" si="1734"/>
        <v>PRODUCT 17</v>
      </c>
      <c r="J711" s="248" t="str">
        <f>VLOOKUP(I711,TableInputsData[],$J$6,FALSE)</f>
        <v>-</v>
      </c>
      <c r="K711" s="248" t="str">
        <f t="shared" si="1726"/>
        <v>COST OF GOODS SOLD</v>
      </c>
      <c r="L711" s="255"/>
      <c r="M711" s="255"/>
      <c r="N711" s="255"/>
      <c r="O711" s="265"/>
      <c r="P711" s="260"/>
      <c r="Q711" s="260"/>
      <c r="R711" s="260"/>
      <c r="S711" s="630"/>
      <c r="T711" s="630"/>
      <c r="U711" s="630"/>
      <c r="V711" s="630"/>
      <c r="W711" s="260"/>
      <c r="X711" s="260"/>
      <c r="Y711" s="260"/>
      <c r="Z711" s="260"/>
      <c r="AA711" s="260"/>
      <c r="AB711" s="260"/>
      <c r="AC711" s="265"/>
      <c r="AD711" s="634"/>
      <c r="AE711" s="264">
        <f t="shared" ref="AE711:AH711" si="1735">AE687*($S687*$P687+$T687*$Q687+$U687*$R687)</f>
        <v>0</v>
      </c>
      <c r="AF711" s="264">
        <f t="shared" si="1735"/>
        <v>0</v>
      </c>
      <c r="AG711" s="264">
        <f t="shared" si="1735"/>
        <v>0</v>
      </c>
      <c r="AH711" s="264">
        <f t="shared" si="1735"/>
        <v>0</v>
      </c>
      <c r="AI711" s="264">
        <f t="shared" si="1714"/>
        <v>0</v>
      </c>
      <c r="AJ711" s="264">
        <f t="shared" si="1715"/>
        <v>0</v>
      </c>
      <c r="AK711" s="264">
        <f t="shared" si="1716"/>
        <v>0</v>
      </c>
      <c r="AL711" s="264">
        <f t="shared" si="1717"/>
        <v>0</v>
      </c>
      <c r="AM711" s="264">
        <f t="shared" si="1718"/>
        <v>0</v>
      </c>
      <c r="AN711" s="640">
        <f t="shared" si="1719"/>
        <v>0</v>
      </c>
      <c r="AO711" s="264">
        <f t="shared" si="1720"/>
        <v>0</v>
      </c>
      <c r="AP711" s="640">
        <f t="shared" si="1721"/>
        <v>0</v>
      </c>
      <c r="AQ711" s="264"/>
      <c r="AR711" s="264" t="str">
        <f>VLOOKUP($I711,TableInputsData[],ReadMe!$M$3,FALSE)&amp;"  |  "&amp;VLOOKUP($K711,TableInputsData[],ReadMe!$M$3,FALSE)</f>
        <v>PRODUIT 17  |  DEPENSES SUR ACHATS</v>
      </c>
      <c r="AS711" s="264" t="b">
        <f t="shared" si="1722"/>
        <v>1</v>
      </c>
      <c r="AT711" s="294"/>
    </row>
    <row r="712" spans="1:46" ht="13" hidden="1" x14ac:dyDescent="0.2">
      <c r="A712" s="294"/>
      <c r="B712" s="924"/>
      <c r="C712" s="271">
        <v>705</v>
      </c>
      <c r="D712" s="250">
        <f t="shared" si="1656"/>
        <v>0</v>
      </c>
      <c r="E712" s="250"/>
      <c r="F712" s="248" t="str">
        <f t="shared" si="1711"/>
        <v>YEAR6</v>
      </c>
      <c r="G712" s="250">
        <f>VLOOKUP(F712,TableInputsData[],$G$6,FALSE)</f>
        <v>2030</v>
      </c>
      <c r="H712" s="250" t="str">
        <f t="shared" ref="H712:I712" si="1736">H711</f>
        <v>PRODUCT</v>
      </c>
      <c r="I712" s="248" t="str">
        <f t="shared" si="1736"/>
        <v>PRODUCT 17</v>
      </c>
      <c r="J712" s="248" t="str">
        <f>VLOOKUP(I712,TableInputsData[],$J$6,FALSE)</f>
        <v>-</v>
      </c>
      <c r="K712" s="248" t="str">
        <f t="shared" si="1726"/>
        <v>COST OF GOODS SOLD</v>
      </c>
      <c r="L712" s="255"/>
      <c r="M712" s="255"/>
      <c r="N712" s="255"/>
      <c r="O712" s="265"/>
      <c r="P712" s="260"/>
      <c r="Q712" s="260"/>
      <c r="R712" s="260"/>
      <c r="S712" s="630"/>
      <c r="T712" s="630"/>
      <c r="U712" s="630"/>
      <c r="V712" s="630"/>
      <c r="W712" s="260"/>
      <c r="X712" s="260"/>
      <c r="Y712" s="260"/>
      <c r="Z712" s="260"/>
      <c r="AA712" s="260"/>
      <c r="AB712" s="260"/>
      <c r="AC712" s="265"/>
      <c r="AD712" s="634"/>
      <c r="AE712" s="264">
        <f t="shared" ref="AE712:AH712" si="1737">AE688*($S688*$P688+$T688*$Q688+$U688*$R688)</f>
        <v>0</v>
      </c>
      <c r="AF712" s="264">
        <f t="shared" si="1737"/>
        <v>0</v>
      </c>
      <c r="AG712" s="264">
        <f t="shared" si="1737"/>
        <v>0</v>
      </c>
      <c r="AH712" s="264">
        <f t="shared" si="1737"/>
        <v>0</v>
      </c>
      <c r="AI712" s="264">
        <f t="shared" si="1714"/>
        <v>0</v>
      </c>
      <c r="AJ712" s="264">
        <f t="shared" si="1715"/>
        <v>0</v>
      </c>
      <c r="AK712" s="264">
        <f t="shared" si="1716"/>
        <v>0</v>
      </c>
      <c r="AL712" s="264">
        <f t="shared" si="1717"/>
        <v>0</v>
      </c>
      <c r="AM712" s="264">
        <f t="shared" si="1718"/>
        <v>0</v>
      </c>
      <c r="AN712" s="640">
        <f t="shared" si="1719"/>
        <v>0</v>
      </c>
      <c r="AO712" s="264">
        <f t="shared" si="1720"/>
        <v>0</v>
      </c>
      <c r="AP712" s="640">
        <f t="shared" si="1721"/>
        <v>0</v>
      </c>
      <c r="AQ712" s="264"/>
      <c r="AR712" s="264" t="str">
        <f>VLOOKUP($I712,TableInputsData[],ReadMe!$M$3,FALSE)&amp;"  |  "&amp;VLOOKUP($K712,TableInputsData[],ReadMe!$M$3,FALSE)</f>
        <v>PRODUIT 17  |  DEPENSES SUR ACHATS</v>
      </c>
      <c r="AS712" s="264" t="b">
        <f t="shared" si="1722"/>
        <v>1</v>
      </c>
      <c r="AT712" s="294"/>
    </row>
    <row r="713" spans="1:46" ht="13" hidden="1" x14ac:dyDescent="0.2">
      <c r="A713" s="294"/>
      <c r="B713" s="924"/>
      <c r="C713" s="272">
        <v>706</v>
      </c>
      <c r="D713" s="250">
        <f t="shared" si="1656"/>
        <v>0</v>
      </c>
      <c r="E713" s="251"/>
      <c r="F713" s="248" t="str">
        <f t="shared" ref="F713:F720" si="1738">F689</f>
        <v>YEAR-2</v>
      </c>
      <c r="G713" s="250">
        <f>VLOOKUP(F713,TableInputsData[],$G$6,FALSE)</f>
        <v>2023</v>
      </c>
      <c r="H713" s="250" t="str">
        <f t="shared" ref="H713:I713" si="1739">H712</f>
        <v>PRODUCT</v>
      </c>
      <c r="I713" s="248" t="str">
        <f t="shared" si="1739"/>
        <v>PRODUCT 17</v>
      </c>
      <c r="J713" s="248" t="str">
        <f>VLOOKUP(I713,TableInputsData[],$J$6,FALSE)</f>
        <v>-</v>
      </c>
      <c r="K713" s="248" t="s">
        <v>532</v>
      </c>
      <c r="L713" s="256"/>
      <c r="M713" s="256"/>
      <c r="N713" s="256"/>
      <c r="O713" s="266"/>
      <c r="P713" s="261"/>
      <c r="Q713" s="261"/>
      <c r="R713" s="261"/>
      <c r="S713" s="629"/>
      <c r="T713" s="629"/>
      <c r="U713" s="629"/>
      <c r="V713" s="629"/>
      <c r="W713" s="261"/>
      <c r="X713" s="261"/>
      <c r="Y713" s="261"/>
      <c r="Z713" s="261"/>
      <c r="AA713" s="261"/>
      <c r="AB713" s="261"/>
      <c r="AC713" s="266"/>
      <c r="AD713" s="633"/>
      <c r="AE713" s="264">
        <f>IF(AE681=0,0,AE705/AE681)</f>
        <v>0</v>
      </c>
      <c r="AF713" s="264">
        <f t="shared" ref="AF713:AI713" si="1740">IF(AF681=0,0,AF705/AF681)</f>
        <v>0</v>
      </c>
      <c r="AG713" s="264">
        <f t="shared" si="1740"/>
        <v>0</v>
      </c>
      <c r="AH713" s="264">
        <f t="shared" si="1740"/>
        <v>0</v>
      </c>
      <c r="AI713" s="264">
        <f t="shared" si="1740"/>
        <v>0</v>
      </c>
      <c r="AJ713" s="264">
        <f>IF(AJ681=0,0,AJ705/AJ681)</f>
        <v>0</v>
      </c>
      <c r="AK713" s="264">
        <f t="shared" ref="AK713:AL713" si="1741">IF(AK681=0,0,AK705/AK681)</f>
        <v>0</v>
      </c>
      <c r="AL713" s="264">
        <f t="shared" si="1741"/>
        <v>0</v>
      </c>
      <c r="AM713" s="264">
        <f>IF(AM681=0,0,AM705/AM681)</f>
        <v>0</v>
      </c>
      <c r="AN713" s="260"/>
      <c r="AO713" s="264">
        <f t="shared" ref="AO713" si="1742">IF(AO681=0,0,AO705/AO681)</f>
        <v>0</v>
      </c>
      <c r="AP713" s="260"/>
      <c r="AQ713" s="264"/>
      <c r="AR713" s="264" t="str">
        <f>VLOOKUP($I713,TableInputsData[],ReadMe!$M$3,FALSE)&amp;"  |  "&amp;VLOOKUP($K713,TableInputsData[],ReadMe!$M$3,FALSE)</f>
        <v>PRODUIT 17  |  PRIX MOYEN D'ACHAT PAR PRODUIT/SERVICE</v>
      </c>
      <c r="AS713" s="264"/>
      <c r="AT713" s="294"/>
    </row>
    <row r="714" spans="1:46" ht="13" hidden="1" x14ac:dyDescent="0.2">
      <c r="A714" s="294"/>
      <c r="B714" s="924"/>
      <c r="C714" s="272">
        <v>707</v>
      </c>
      <c r="D714" s="250">
        <f t="shared" si="1656"/>
        <v>0</v>
      </c>
      <c r="E714" s="251"/>
      <c r="F714" s="248" t="str">
        <f t="shared" si="1738"/>
        <v>YEAR-1</v>
      </c>
      <c r="G714" s="250">
        <f>VLOOKUP(F714,TableInputsData[],$G$6,FALSE)</f>
        <v>2024</v>
      </c>
      <c r="H714" s="250" t="str">
        <f t="shared" ref="H714:I714" si="1743">H713</f>
        <v>PRODUCT</v>
      </c>
      <c r="I714" s="248" t="str">
        <f t="shared" si="1743"/>
        <v>PRODUCT 17</v>
      </c>
      <c r="J714" s="248" t="str">
        <f>VLOOKUP(I714,TableInputsData[],$J$6,FALSE)</f>
        <v>-</v>
      </c>
      <c r="K714" s="248" t="str">
        <f>K713</f>
        <v>AVERAGE COST OF GOODS SOLD PER UNIT</v>
      </c>
      <c r="L714" s="256"/>
      <c r="M714" s="256"/>
      <c r="N714" s="256"/>
      <c r="O714" s="266"/>
      <c r="P714" s="261"/>
      <c r="Q714" s="261"/>
      <c r="R714" s="261"/>
      <c r="S714" s="629"/>
      <c r="T714" s="629"/>
      <c r="U714" s="629"/>
      <c r="V714" s="629"/>
      <c r="W714" s="261"/>
      <c r="X714" s="261"/>
      <c r="Y714" s="261"/>
      <c r="Z714" s="261"/>
      <c r="AA714" s="261"/>
      <c r="AB714" s="261"/>
      <c r="AC714" s="266"/>
      <c r="AD714" s="633"/>
      <c r="AE714" s="264">
        <f t="shared" ref="AE714:AL714" si="1744">IF(AE682=0,0,AE706/AE682)</f>
        <v>0</v>
      </c>
      <c r="AF714" s="264">
        <f t="shared" si="1744"/>
        <v>0</v>
      </c>
      <c r="AG714" s="264">
        <f t="shared" si="1744"/>
        <v>0</v>
      </c>
      <c r="AH714" s="264">
        <f t="shared" si="1744"/>
        <v>0</v>
      </c>
      <c r="AI714" s="264">
        <f t="shared" si="1744"/>
        <v>0</v>
      </c>
      <c r="AJ714" s="264">
        <f t="shared" si="1744"/>
        <v>0</v>
      </c>
      <c r="AK714" s="264">
        <f t="shared" si="1744"/>
        <v>0</v>
      </c>
      <c r="AL714" s="264">
        <f t="shared" si="1744"/>
        <v>0</v>
      </c>
      <c r="AM714" s="264">
        <f>IF(AM682=0,0,AM706/AM682)</f>
        <v>0</v>
      </c>
      <c r="AN714" s="260"/>
      <c r="AO714" s="264">
        <f>IF(AO682=0,0,AO706/AO682)</f>
        <v>0</v>
      </c>
      <c r="AP714" s="260"/>
      <c r="AQ714" s="264"/>
      <c r="AR714" s="264" t="str">
        <f>VLOOKUP($I714,TableInputsData[],ReadMe!$M$3,FALSE)&amp;"  |  "&amp;VLOOKUP($K714,TableInputsData[],ReadMe!$M$3,FALSE)</f>
        <v>PRODUIT 17  |  PRIX MOYEN D'ACHAT PAR PRODUIT/SERVICE</v>
      </c>
      <c r="AS714" s="264"/>
      <c r="AT714" s="294"/>
    </row>
    <row r="715" spans="1:46" ht="13" hidden="1" x14ac:dyDescent="0.2">
      <c r="A715" s="294"/>
      <c r="B715" s="924"/>
      <c r="C715" s="272">
        <v>708</v>
      </c>
      <c r="D715" s="250">
        <f t="shared" si="1656"/>
        <v>0</v>
      </c>
      <c r="E715" s="251"/>
      <c r="F715" s="248" t="str">
        <f t="shared" si="1738"/>
        <v>CURRENT YEAR</v>
      </c>
      <c r="G715" s="250">
        <f>VLOOKUP(F715,TableInputsData[],$G$6,FALSE)</f>
        <v>2025</v>
      </c>
      <c r="H715" s="250" t="str">
        <f t="shared" ref="H715:I715" si="1745">H714</f>
        <v>PRODUCT</v>
      </c>
      <c r="I715" s="248" t="str">
        <f t="shared" si="1745"/>
        <v>PRODUCT 17</v>
      </c>
      <c r="J715" s="248" t="str">
        <f>VLOOKUP(I715,TableInputsData[],$J$6,FALSE)</f>
        <v>-</v>
      </c>
      <c r="K715" s="248" t="str">
        <f t="shared" ref="K715:K720" si="1746">K714</f>
        <v>AVERAGE COST OF GOODS SOLD PER UNIT</v>
      </c>
      <c r="L715" s="256"/>
      <c r="M715" s="256"/>
      <c r="N715" s="256"/>
      <c r="O715" s="266"/>
      <c r="P715" s="261"/>
      <c r="Q715" s="261"/>
      <c r="R715" s="261"/>
      <c r="S715" s="629"/>
      <c r="T715" s="629"/>
      <c r="U715" s="629"/>
      <c r="V715" s="629"/>
      <c r="W715" s="261"/>
      <c r="X715" s="261"/>
      <c r="Y715" s="261"/>
      <c r="Z715" s="261"/>
      <c r="AA715" s="261"/>
      <c r="AB715" s="261"/>
      <c r="AC715" s="266"/>
      <c r="AD715" s="633"/>
      <c r="AE715" s="264">
        <f t="shared" ref="AE715:AL715" si="1747">IF(AE683=0,0,AE707/AE683)</f>
        <v>0</v>
      </c>
      <c r="AF715" s="264">
        <f t="shared" si="1747"/>
        <v>0</v>
      </c>
      <c r="AG715" s="264">
        <f t="shared" si="1747"/>
        <v>0</v>
      </c>
      <c r="AH715" s="264">
        <f t="shared" si="1747"/>
        <v>0</v>
      </c>
      <c r="AI715" s="264">
        <f t="shared" si="1747"/>
        <v>0</v>
      </c>
      <c r="AJ715" s="264">
        <f t="shared" si="1747"/>
        <v>0</v>
      </c>
      <c r="AK715" s="264">
        <f t="shared" si="1747"/>
        <v>0</v>
      </c>
      <c r="AL715" s="264">
        <f t="shared" si="1747"/>
        <v>0</v>
      </c>
      <c r="AM715" s="264">
        <f>IF(AM683=0,0,AM707/AM683)</f>
        <v>0</v>
      </c>
      <c r="AN715" s="260"/>
      <c r="AO715" s="264">
        <f>IF(AO683=0,0,AO707/AO683)</f>
        <v>0</v>
      </c>
      <c r="AP715" s="260"/>
      <c r="AQ715" s="264"/>
      <c r="AR715" s="264" t="str">
        <f>VLOOKUP($I715,TableInputsData[],ReadMe!$M$3,FALSE)&amp;"  |  "&amp;VLOOKUP($K715,TableInputsData[],ReadMe!$M$3,FALSE)</f>
        <v>PRODUIT 17  |  PRIX MOYEN D'ACHAT PAR PRODUIT/SERVICE</v>
      </c>
      <c r="AS715" s="264"/>
      <c r="AT715" s="294"/>
    </row>
    <row r="716" spans="1:46" ht="13" hidden="1" x14ac:dyDescent="0.2">
      <c r="A716" s="294"/>
      <c r="B716" s="924"/>
      <c r="C716" s="272">
        <v>709</v>
      </c>
      <c r="D716" s="250">
        <f t="shared" si="1656"/>
        <v>0</v>
      </c>
      <c r="E716" s="251"/>
      <c r="F716" s="248" t="str">
        <f t="shared" si="1738"/>
        <v>YEAR2</v>
      </c>
      <c r="G716" s="250">
        <f>VLOOKUP(F716,TableInputsData[],$G$6,FALSE)</f>
        <v>2026</v>
      </c>
      <c r="H716" s="250" t="str">
        <f t="shared" ref="H716:I716" si="1748">H715</f>
        <v>PRODUCT</v>
      </c>
      <c r="I716" s="248" t="str">
        <f t="shared" si="1748"/>
        <v>PRODUCT 17</v>
      </c>
      <c r="J716" s="248" t="str">
        <f>VLOOKUP(I716,TableInputsData[],$J$6,FALSE)</f>
        <v>-</v>
      </c>
      <c r="K716" s="248" t="str">
        <f t="shared" si="1746"/>
        <v>AVERAGE COST OF GOODS SOLD PER UNIT</v>
      </c>
      <c r="L716" s="256"/>
      <c r="M716" s="256"/>
      <c r="N716" s="256"/>
      <c r="O716" s="266"/>
      <c r="P716" s="261"/>
      <c r="Q716" s="261"/>
      <c r="R716" s="261"/>
      <c r="S716" s="629"/>
      <c r="T716" s="629"/>
      <c r="U716" s="629"/>
      <c r="V716" s="629"/>
      <c r="W716" s="261"/>
      <c r="X716" s="261"/>
      <c r="Y716" s="261"/>
      <c r="Z716" s="261"/>
      <c r="AA716" s="261"/>
      <c r="AB716" s="261"/>
      <c r="AC716" s="266"/>
      <c r="AD716" s="633"/>
      <c r="AE716" s="264">
        <f t="shared" ref="AE716:AM716" si="1749">IF(AE684=0,0,AE708/AE684)</f>
        <v>0</v>
      </c>
      <c r="AF716" s="264">
        <f t="shared" si="1749"/>
        <v>0</v>
      </c>
      <c r="AG716" s="264">
        <f t="shared" si="1749"/>
        <v>0</v>
      </c>
      <c r="AH716" s="264">
        <f t="shared" si="1749"/>
        <v>0</v>
      </c>
      <c r="AI716" s="264">
        <f t="shared" si="1749"/>
        <v>0</v>
      </c>
      <c r="AJ716" s="264">
        <f t="shared" si="1749"/>
        <v>0</v>
      </c>
      <c r="AK716" s="264">
        <f t="shared" si="1749"/>
        <v>0</v>
      </c>
      <c r="AL716" s="264">
        <f t="shared" si="1749"/>
        <v>0</v>
      </c>
      <c r="AM716" s="264">
        <f t="shared" si="1749"/>
        <v>0</v>
      </c>
      <c r="AN716" s="260"/>
      <c r="AO716" s="264">
        <f t="shared" ref="AO716:AO720" si="1750">IF(AO684=0,0,AO708/AO684)</f>
        <v>0</v>
      </c>
      <c r="AP716" s="260"/>
      <c r="AQ716" s="264"/>
      <c r="AR716" s="264" t="str">
        <f>VLOOKUP($I716,TableInputsData[],ReadMe!$M$3,FALSE)&amp;"  |  "&amp;VLOOKUP($K716,TableInputsData[],ReadMe!$M$3,FALSE)</f>
        <v>PRODUIT 17  |  PRIX MOYEN D'ACHAT PAR PRODUIT/SERVICE</v>
      </c>
      <c r="AS716" s="264"/>
      <c r="AT716" s="294"/>
    </row>
    <row r="717" spans="1:46" ht="13" hidden="1" x14ac:dyDescent="0.2">
      <c r="A717" s="294"/>
      <c r="B717" s="924"/>
      <c r="C717" s="272">
        <v>710</v>
      </c>
      <c r="D717" s="250">
        <f t="shared" si="1656"/>
        <v>0</v>
      </c>
      <c r="E717" s="251"/>
      <c r="F717" s="248" t="str">
        <f t="shared" si="1738"/>
        <v>YEAR3</v>
      </c>
      <c r="G717" s="250">
        <f>VLOOKUP(F717,TableInputsData[],$G$6,FALSE)</f>
        <v>2027</v>
      </c>
      <c r="H717" s="250" t="str">
        <f t="shared" ref="H717:I717" si="1751">H716</f>
        <v>PRODUCT</v>
      </c>
      <c r="I717" s="248" t="str">
        <f t="shared" si="1751"/>
        <v>PRODUCT 17</v>
      </c>
      <c r="J717" s="248" t="str">
        <f>VLOOKUP(I717,TableInputsData[],$J$6,FALSE)</f>
        <v>-</v>
      </c>
      <c r="K717" s="248" t="str">
        <f t="shared" si="1746"/>
        <v>AVERAGE COST OF GOODS SOLD PER UNIT</v>
      </c>
      <c r="L717" s="256"/>
      <c r="M717" s="256"/>
      <c r="N717" s="256"/>
      <c r="O717" s="266"/>
      <c r="P717" s="261"/>
      <c r="Q717" s="261"/>
      <c r="R717" s="261"/>
      <c r="S717" s="629"/>
      <c r="T717" s="629"/>
      <c r="U717" s="629"/>
      <c r="V717" s="629"/>
      <c r="W717" s="261"/>
      <c r="X717" s="261"/>
      <c r="Y717" s="261"/>
      <c r="Z717" s="261"/>
      <c r="AA717" s="261"/>
      <c r="AB717" s="261"/>
      <c r="AC717" s="266"/>
      <c r="AD717" s="633"/>
      <c r="AE717" s="264">
        <f t="shared" ref="AE717:AM717" si="1752">IF(AE685=0,0,AE709/AE685)</f>
        <v>0</v>
      </c>
      <c r="AF717" s="264">
        <f t="shared" si="1752"/>
        <v>0</v>
      </c>
      <c r="AG717" s="264">
        <f t="shared" si="1752"/>
        <v>0</v>
      </c>
      <c r="AH717" s="264">
        <f t="shared" si="1752"/>
        <v>0</v>
      </c>
      <c r="AI717" s="264">
        <f t="shared" si="1752"/>
        <v>0</v>
      </c>
      <c r="AJ717" s="264">
        <f t="shared" si="1752"/>
        <v>0</v>
      </c>
      <c r="AK717" s="264">
        <f t="shared" si="1752"/>
        <v>0</v>
      </c>
      <c r="AL717" s="264">
        <f t="shared" si="1752"/>
        <v>0</v>
      </c>
      <c r="AM717" s="264">
        <f t="shared" si="1752"/>
        <v>0</v>
      </c>
      <c r="AN717" s="260"/>
      <c r="AO717" s="264">
        <f t="shared" si="1750"/>
        <v>0</v>
      </c>
      <c r="AP717" s="260"/>
      <c r="AQ717" s="264"/>
      <c r="AR717" s="264" t="str">
        <f>VLOOKUP($I717,TableInputsData[],ReadMe!$M$3,FALSE)&amp;"  |  "&amp;VLOOKUP($K717,TableInputsData[],ReadMe!$M$3,FALSE)</f>
        <v>PRODUIT 17  |  PRIX MOYEN D'ACHAT PAR PRODUIT/SERVICE</v>
      </c>
      <c r="AS717" s="264"/>
      <c r="AT717" s="294"/>
    </row>
    <row r="718" spans="1:46" ht="13" hidden="1" x14ac:dyDescent="0.2">
      <c r="A718" s="294"/>
      <c r="B718" s="924"/>
      <c r="C718" s="272">
        <v>711</v>
      </c>
      <c r="D718" s="250">
        <f t="shared" si="1656"/>
        <v>0</v>
      </c>
      <c r="E718" s="251"/>
      <c r="F718" s="248" t="str">
        <f t="shared" si="1738"/>
        <v>YEAR4</v>
      </c>
      <c r="G718" s="250">
        <f>VLOOKUP(F718,TableInputsData[],$G$6,FALSE)</f>
        <v>2028</v>
      </c>
      <c r="H718" s="250" t="str">
        <f t="shared" ref="H718:I718" si="1753">H717</f>
        <v>PRODUCT</v>
      </c>
      <c r="I718" s="248" t="str">
        <f t="shared" si="1753"/>
        <v>PRODUCT 17</v>
      </c>
      <c r="J718" s="248" t="str">
        <f>VLOOKUP(I718,TableInputsData[],$J$6,FALSE)</f>
        <v>-</v>
      </c>
      <c r="K718" s="248" t="str">
        <f t="shared" si="1746"/>
        <v>AVERAGE COST OF GOODS SOLD PER UNIT</v>
      </c>
      <c r="L718" s="256"/>
      <c r="M718" s="256"/>
      <c r="N718" s="256"/>
      <c r="O718" s="266"/>
      <c r="P718" s="261"/>
      <c r="Q718" s="261"/>
      <c r="R718" s="261"/>
      <c r="S718" s="629"/>
      <c r="T718" s="629"/>
      <c r="U718" s="629"/>
      <c r="V718" s="629"/>
      <c r="W718" s="261"/>
      <c r="X718" s="261"/>
      <c r="Y718" s="261"/>
      <c r="Z718" s="261"/>
      <c r="AA718" s="261"/>
      <c r="AB718" s="261"/>
      <c r="AC718" s="266"/>
      <c r="AD718" s="633"/>
      <c r="AE718" s="264">
        <f t="shared" ref="AE718:AM718" si="1754">IF(AE686=0,0,AE710/AE686)</f>
        <v>0</v>
      </c>
      <c r="AF718" s="264">
        <f t="shared" si="1754"/>
        <v>0</v>
      </c>
      <c r="AG718" s="264">
        <f t="shared" si="1754"/>
        <v>0</v>
      </c>
      <c r="AH718" s="264">
        <f t="shared" si="1754"/>
        <v>0</v>
      </c>
      <c r="AI718" s="264">
        <f t="shared" si="1754"/>
        <v>0</v>
      </c>
      <c r="AJ718" s="264">
        <f t="shared" si="1754"/>
        <v>0</v>
      </c>
      <c r="AK718" s="264">
        <f t="shared" si="1754"/>
        <v>0</v>
      </c>
      <c r="AL718" s="264">
        <f t="shared" si="1754"/>
        <v>0</v>
      </c>
      <c r="AM718" s="264">
        <f t="shared" si="1754"/>
        <v>0</v>
      </c>
      <c r="AN718" s="260"/>
      <c r="AO718" s="264">
        <f t="shared" si="1750"/>
        <v>0</v>
      </c>
      <c r="AP718" s="260"/>
      <c r="AQ718" s="264"/>
      <c r="AR718" s="264" t="str">
        <f>VLOOKUP($I718,TableInputsData[],ReadMe!$M$3,FALSE)&amp;"  |  "&amp;VLOOKUP($K718,TableInputsData[],ReadMe!$M$3,FALSE)</f>
        <v>PRODUIT 17  |  PRIX MOYEN D'ACHAT PAR PRODUIT/SERVICE</v>
      </c>
      <c r="AS718" s="264"/>
      <c r="AT718" s="294"/>
    </row>
    <row r="719" spans="1:46" ht="13" hidden="1" x14ac:dyDescent="0.2">
      <c r="A719" s="294"/>
      <c r="B719" s="924"/>
      <c r="C719" s="272">
        <v>712</v>
      </c>
      <c r="D719" s="250">
        <f t="shared" si="1656"/>
        <v>0</v>
      </c>
      <c r="E719" s="251"/>
      <c r="F719" s="248" t="str">
        <f t="shared" si="1738"/>
        <v>YEAR5</v>
      </c>
      <c r="G719" s="250">
        <f>VLOOKUP(F719,TableInputsData[],$G$6,FALSE)</f>
        <v>2029</v>
      </c>
      <c r="H719" s="250" t="str">
        <f t="shared" ref="H719:I719" si="1755">H718</f>
        <v>PRODUCT</v>
      </c>
      <c r="I719" s="248" t="str">
        <f t="shared" si="1755"/>
        <v>PRODUCT 17</v>
      </c>
      <c r="J719" s="248" t="str">
        <f>VLOOKUP(I719,TableInputsData[],$J$6,FALSE)</f>
        <v>-</v>
      </c>
      <c r="K719" s="248" t="str">
        <f t="shared" si="1746"/>
        <v>AVERAGE COST OF GOODS SOLD PER UNIT</v>
      </c>
      <c r="L719" s="256"/>
      <c r="M719" s="256"/>
      <c r="N719" s="256"/>
      <c r="O719" s="266"/>
      <c r="P719" s="261"/>
      <c r="Q719" s="261"/>
      <c r="R719" s="261"/>
      <c r="S719" s="629"/>
      <c r="T719" s="629"/>
      <c r="U719" s="629"/>
      <c r="V719" s="629"/>
      <c r="W719" s="261"/>
      <c r="X719" s="261"/>
      <c r="Y719" s="261"/>
      <c r="Z719" s="261"/>
      <c r="AA719" s="261"/>
      <c r="AB719" s="261"/>
      <c r="AC719" s="266"/>
      <c r="AD719" s="633"/>
      <c r="AE719" s="264">
        <f t="shared" ref="AE719:AM719" si="1756">IF(AE687=0,0,AE711/AE687)</f>
        <v>0</v>
      </c>
      <c r="AF719" s="264">
        <f t="shared" si="1756"/>
        <v>0</v>
      </c>
      <c r="AG719" s="264">
        <f t="shared" si="1756"/>
        <v>0</v>
      </c>
      <c r="AH719" s="264">
        <f t="shared" si="1756"/>
        <v>0</v>
      </c>
      <c r="AI719" s="264">
        <f t="shared" si="1756"/>
        <v>0</v>
      </c>
      <c r="AJ719" s="264">
        <f t="shared" si="1756"/>
        <v>0</v>
      </c>
      <c r="AK719" s="264">
        <f t="shared" si="1756"/>
        <v>0</v>
      </c>
      <c r="AL719" s="264">
        <f t="shared" si="1756"/>
        <v>0</v>
      </c>
      <c r="AM719" s="264">
        <f t="shared" si="1756"/>
        <v>0</v>
      </c>
      <c r="AN719" s="260"/>
      <c r="AO719" s="264">
        <f t="shared" si="1750"/>
        <v>0</v>
      </c>
      <c r="AP719" s="260"/>
      <c r="AQ719" s="264"/>
      <c r="AR719" s="264" t="str">
        <f>VLOOKUP($I719,TableInputsData[],ReadMe!$M$3,FALSE)&amp;"  |  "&amp;VLOOKUP($K719,TableInputsData[],ReadMe!$M$3,FALSE)</f>
        <v>PRODUIT 17  |  PRIX MOYEN D'ACHAT PAR PRODUIT/SERVICE</v>
      </c>
      <c r="AS719" s="264"/>
      <c r="AT719" s="294"/>
    </row>
    <row r="720" spans="1:46" ht="13" hidden="1" x14ac:dyDescent="0.2">
      <c r="A720" s="294"/>
      <c r="B720" s="924"/>
      <c r="C720" s="272">
        <v>713</v>
      </c>
      <c r="D720" s="250">
        <f t="shared" si="1656"/>
        <v>0</v>
      </c>
      <c r="E720" s="251"/>
      <c r="F720" s="248" t="str">
        <f t="shared" si="1738"/>
        <v>YEAR6</v>
      </c>
      <c r="G720" s="250">
        <f>VLOOKUP(F720,TableInputsData[],$G$6,FALSE)</f>
        <v>2030</v>
      </c>
      <c r="H720" s="250" t="str">
        <f t="shared" ref="H720:I720" si="1757">H719</f>
        <v>PRODUCT</v>
      </c>
      <c r="I720" s="248" t="str">
        <f t="shared" si="1757"/>
        <v>PRODUCT 17</v>
      </c>
      <c r="J720" s="248" t="str">
        <f>VLOOKUP(I720,TableInputsData[],$J$6,FALSE)</f>
        <v>-</v>
      </c>
      <c r="K720" s="248" t="str">
        <f t="shared" si="1746"/>
        <v>AVERAGE COST OF GOODS SOLD PER UNIT</v>
      </c>
      <c r="L720" s="256"/>
      <c r="M720" s="256"/>
      <c r="N720" s="256"/>
      <c r="O720" s="266"/>
      <c r="P720" s="261"/>
      <c r="Q720" s="261"/>
      <c r="R720" s="261"/>
      <c r="S720" s="629"/>
      <c r="T720" s="629"/>
      <c r="U720" s="629"/>
      <c r="V720" s="629"/>
      <c r="W720" s="261"/>
      <c r="X720" s="261"/>
      <c r="Y720" s="261"/>
      <c r="Z720" s="261"/>
      <c r="AA720" s="261"/>
      <c r="AB720" s="261"/>
      <c r="AC720" s="266"/>
      <c r="AD720" s="633"/>
      <c r="AE720" s="264">
        <f t="shared" ref="AE720:AM720" si="1758">IF(AE688=0,0,AE712/AE688)</f>
        <v>0</v>
      </c>
      <c r="AF720" s="264">
        <f t="shared" si="1758"/>
        <v>0</v>
      </c>
      <c r="AG720" s="264">
        <f t="shared" si="1758"/>
        <v>0</v>
      </c>
      <c r="AH720" s="264">
        <f t="shared" si="1758"/>
        <v>0</v>
      </c>
      <c r="AI720" s="264">
        <f t="shared" si="1758"/>
        <v>0</v>
      </c>
      <c r="AJ720" s="264">
        <f t="shared" si="1758"/>
        <v>0</v>
      </c>
      <c r="AK720" s="264">
        <f t="shared" si="1758"/>
        <v>0</v>
      </c>
      <c r="AL720" s="264">
        <f t="shared" si="1758"/>
        <v>0</v>
      </c>
      <c r="AM720" s="264">
        <f t="shared" si="1758"/>
        <v>0</v>
      </c>
      <c r="AN720" s="260"/>
      <c r="AO720" s="264">
        <f t="shared" si="1750"/>
        <v>0</v>
      </c>
      <c r="AP720" s="260"/>
      <c r="AQ720" s="264"/>
      <c r="AR720" s="264" t="str">
        <f>VLOOKUP($I720,TableInputsData[],ReadMe!$M$3,FALSE)&amp;"  |  "&amp;VLOOKUP($K720,TableInputsData[],ReadMe!$M$3,FALSE)</f>
        <v>PRODUIT 17  |  PRIX MOYEN D'ACHAT PAR PRODUIT/SERVICE</v>
      </c>
      <c r="AS720" s="264"/>
      <c r="AT720" s="294"/>
    </row>
    <row r="721" spans="1:46" ht="13" x14ac:dyDescent="0.2">
      <c r="A721" s="294"/>
      <c r="B721" s="924"/>
      <c r="C721" s="273">
        <v>714</v>
      </c>
      <c r="D721" s="253">
        <v>0</v>
      </c>
      <c r="E721" s="253">
        <v>1</v>
      </c>
      <c r="F721" s="252"/>
      <c r="G721" s="253"/>
      <c r="H721" s="253"/>
      <c r="I721" s="252"/>
      <c r="J721" s="252"/>
      <c r="K721" s="252"/>
      <c r="L721" s="257"/>
      <c r="M721" s="257"/>
      <c r="N721" s="257"/>
      <c r="O721" s="267"/>
      <c r="P721" s="262"/>
      <c r="Q721" s="262"/>
      <c r="R721" s="262"/>
      <c r="S721" s="631"/>
      <c r="T721" s="631"/>
      <c r="U721" s="631"/>
      <c r="V721" s="631"/>
      <c r="W721" s="262"/>
      <c r="X721" s="262"/>
      <c r="Y721" s="262"/>
      <c r="Z721" s="262"/>
      <c r="AA721" s="262"/>
      <c r="AB721" s="262"/>
      <c r="AC721" s="267"/>
      <c r="AD721" s="635"/>
      <c r="AE721" s="270"/>
      <c r="AF721" s="270"/>
      <c r="AG721" s="270"/>
      <c r="AH721" s="270"/>
      <c r="AI721" s="270"/>
      <c r="AJ721" s="270"/>
      <c r="AK721" s="270"/>
      <c r="AL721" s="270"/>
      <c r="AM721" s="270"/>
      <c r="AN721" s="643"/>
      <c r="AO721" s="270"/>
      <c r="AP721" s="270"/>
      <c r="AQ721" s="270"/>
      <c r="AR721" s="270"/>
      <c r="AS721" s="270"/>
      <c r="AT721" s="294"/>
    </row>
    <row r="722" spans="1:46" ht="13" hidden="1" x14ac:dyDescent="0.2">
      <c r="A722" s="294"/>
      <c r="B722" s="925" t="str">
        <f>I723&amp;"___"</f>
        <v>PRODUCT 18___</v>
      </c>
      <c r="C722" s="271">
        <v>715</v>
      </c>
      <c r="D722" s="250">
        <v>0</v>
      </c>
      <c r="E722" s="250"/>
      <c r="F722" s="248"/>
      <c r="G722" s="250"/>
      <c r="H722" s="250"/>
      <c r="I722" s="248"/>
      <c r="J722" s="248"/>
      <c r="K722" s="248"/>
      <c r="L722" s="254"/>
      <c r="M722" s="254"/>
      <c r="N722" s="254"/>
      <c r="O722" s="264"/>
      <c r="P722" s="259"/>
      <c r="Q722" s="259"/>
      <c r="R722" s="259"/>
      <c r="S722" s="628"/>
      <c r="T722" s="628"/>
      <c r="U722" s="628"/>
      <c r="V722" s="628"/>
      <c r="W722" s="259"/>
      <c r="X722" s="259"/>
      <c r="Y722" s="259"/>
      <c r="Z722" s="259"/>
      <c r="AA722" s="259"/>
      <c r="AB722" s="259"/>
      <c r="AC722" s="264"/>
      <c r="AD722" s="609"/>
      <c r="AE722" s="269"/>
      <c r="AF722" s="269"/>
      <c r="AG722" s="269"/>
      <c r="AH722" s="269"/>
      <c r="AI722" s="269"/>
      <c r="AJ722" s="269"/>
      <c r="AK722" s="269"/>
      <c r="AL722" s="269"/>
      <c r="AM722" s="269"/>
      <c r="AN722" s="642"/>
      <c r="AO722" s="269"/>
      <c r="AP722" s="269"/>
      <c r="AQ722" s="269"/>
      <c r="AR722" s="269"/>
      <c r="AS722" s="269"/>
      <c r="AT722" s="294"/>
    </row>
    <row r="723" spans="1:46" ht="13" x14ac:dyDescent="0.2">
      <c r="A723" s="294"/>
      <c r="B723" s="925"/>
      <c r="C723" s="271">
        <v>716</v>
      </c>
      <c r="D723" s="250">
        <f>VLOOKUP($I723,TableInputsData[],$D$6,FALSE)</f>
        <v>0</v>
      </c>
      <c r="E723" s="250">
        <v>1</v>
      </c>
      <c r="F723" s="248" t="s">
        <v>392</v>
      </c>
      <c r="G723" s="250">
        <f>VLOOKUP(F723,TableInputsData[],$G$6,FALSE)</f>
        <v>2023</v>
      </c>
      <c r="H723" s="250" t="s">
        <v>588</v>
      </c>
      <c r="I723" s="248" t="s">
        <v>1724</v>
      </c>
      <c r="J723" s="248" t="str">
        <f>VLOOKUP(I723,TableInputsData[],$J$6,FALSE)</f>
        <v>-</v>
      </c>
      <c r="K723" s="248" t="s">
        <v>261</v>
      </c>
      <c r="L723" s="499">
        <v>1000</v>
      </c>
      <c r="M723" s="499">
        <v>0</v>
      </c>
      <c r="N723" s="499">
        <v>0</v>
      </c>
      <c r="O723" s="264">
        <f t="shared" ref="O723:O730" si="1759">$L723*$P723+$M723*$Q723+$N723*$R723</f>
        <v>1000</v>
      </c>
      <c r="P723" s="500">
        <v>1</v>
      </c>
      <c r="Q723" s="500">
        <v>0</v>
      </c>
      <c r="R723" s="259">
        <f>1-$P723-$Q723</f>
        <v>0</v>
      </c>
      <c r="S723" s="626">
        <v>500</v>
      </c>
      <c r="T723" s="626">
        <v>0</v>
      </c>
      <c r="U723" s="626">
        <v>0</v>
      </c>
      <c r="V723" s="628">
        <f>($L723*$P723*$S723+$M723*$Q723*$T723+$N723*$R723*$U723)/$O723</f>
        <v>500</v>
      </c>
      <c r="W723" s="500">
        <v>1</v>
      </c>
      <c r="X723" s="500">
        <v>1</v>
      </c>
      <c r="Y723" s="500">
        <v>1</v>
      </c>
      <c r="Z723" s="259">
        <f t="shared" ref="Z723:Z730" si="1760">1-$W723</f>
        <v>0</v>
      </c>
      <c r="AA723" s="259">
        <f t="shared" ref="AA723:AA730" si="1761">1-$X723</f>
        <v>0</v>
      </c>
      <c r="AB723" s="259">
        <f t="shared" ref="AB723:AB730" si="1762">1-$Y723</f>
        <v>0</v>
      </c>
      <c r="AC723" s="628">
        <f>AM755</f>
        <v>0</v>
      </c>
      <c r="AD723" s="628">
        <f>AO755</f>
        <v>0</v>
      </c>
      <c r="AE723" s="501">
        <v>0</v>
      </c>
      <c r="AF723" s="501">
        <v>0</v>
      </c>
      <c r="AG723" s="501">
        <v>0</v>
      </c>
      <c r="AH723" s="501">
        <v>0</v>
      </c>
      <c r="AI723" s="264">
        <f t="shared" ref="AI723:AI726" si="1763">$AE723+$AF723+$AG723+$AH723</f>
        <v>0</v>
      </c>
      <c r="AJ723" s="264">
        <f t="shared" ref="AJ723:AJ730" si="1764">$AI723*$P723</f>
        <v>0</v>
      </c>
      <c r="AK723" s="264">
        <f t="shared" ref="AK723:AK730" si="1765">$AI723*$Q723</f>
        <v>0</v>
      </c>
      <c r="AL723" s="264">
        <f t="shared" ref="AL723:AL730" si="1766">$AI723*$R723</f>
        <v>0</v>
      </c>
      <c r="AM723" s="264">
        <f t="shared" ref="AM723:AM730" si="1767">$AJ723*$W723+$AK723*$X723+$AL723*$Y723</f>
        <v>0</v>
      </c>
      <c r="AN723" s="640">
        <f>IF(AI723=0,0,AM723/AI723)</f>
        <v>0</v>
      </c>
      <c r="AO723" s="264">
        <f t="shared" ref="AO723:AO730" si="1768">$AJ723*$Z723+$AK723*$AA723+$AL723*$AB723</f>
        <v>0</v>
      </c>
      <c r="AP723" s="640">
        <f t="shared" ref="AP723:AP738" si="1769">IF(AI723=0,0,AO723/AI723)</f>
        <v>0</v>
      </c>
      <c r="AQ723" s="264" t="str">
        <f>VLOOKUP(I723,TableInputsData[],$AQ$6,FALSE)</f>
        <v>GAMME # : 1 + CANAL DE DISTRIBUTION # : 1</v>
      </c>
      <c r="AR723" s="264" t="str">
        <f>VLOOKUP($I723,TableInputsData[],ReadMe!$M$3,FALSE)&amp;"  |  "&amp;VLOOKUP($K723,TableInputsData[],ReadMe!$M$3,FALSE)</f>
        <v>PRODUIT 18  |  VOLUME</v>
      </c>
      <c r="AS723" s="264" t="b">
        <f t="shared" ref="AS723:AS730" si="1770">AND(EXACT(ROUND(AI723,2),ROUND(AJ723+AK723+AL723,2)),EXACT(ROUND(AI723,2),ROUND(AM723+AO723,2)),EXACT(SUM(P723:R723),1),IF(R723&lt;0,FALSE,TRUE),EXACT(SUM(W723:AB723),3),MIN(W723:Y723)&gt;=0, MAX(W723:Y723)&lt;=1)</f>
        <v>1</v>
      </c>
      <c r="AT723" s="294"/>
    </row>
    <row r="724" spans="1:46" ht="13" x14ac:dyDescent="0.2">
      <c r="A724" s="294"/>
      <c r="B724" s="925"/>
      <c r="C724" s="271">
        <v>717</v>
      </c>
      <c r="D724" s="250">
        <f>D723</f>
        <v>0</v>
      </c>
      <c r="E724" s="250">
        <v>1</v>
      </c>
      <c r="F724" s="248" t="s">
        <v>391</v>
      </c>
      <c r="G724" s="250">
        <f>VLOOKUP(F724,TableInputsData[],$G$6,FALSE)</f>
        <v>2024</v>
      </c>
      <c r="H724" s="250" t="str">
        <f>H723</f>
        <v>PRODUCT</v>
      </c>
      <c r="I724" s="248" t="str">
        <f>I723</f>
        <v>PRODUCT 18</v>
      </c>
      <c r="J724" s="248" t="str">
        <f>VLOOKUP(I724,TableInputsData[],$J$6,FALSE)</f>
        <v>-</v>
      </c>
      <c r="K724" s="248" t="str">
        <f>K723</f>
        <v>VOLUME</v>
      </c>
      <c r="L724" s="499">
        <v>1000</v>
      </c>
      <c r="M724" s="499">
        <v>0</v>
      </c>
      <c r="N724" s="499">
        <v>0</v>
      </c>
      <c r="O724" s="264">
        <f t="shared" si="1759"/>
        <v>1000</v>
      </c>
      <c r="P724" s="500">
        <v>1</v>
      </c>
      <c r="Q724" s="500">
        <v>0</v>
      </c>
      <c r="R724" s="259">
        <f t="shared" ref="R724:R730" si="1771">1-$P724-$Q724</f>
        <v>0</v>
      </c>
      <c r="S724" s="626">
        <v>500</v>
      </c>
      <c r="T724" s="626">
        <v>0</v>
      </c>
      <c r="U724" s="626">
        <v>0</v>
      </c>
      <c r="V724" s="628">
        <f t="shared" ref="V724:V730" si="1772">($L724*$P724*$S724+$M724*$Q724*$T724+$N724*$R724*$U724)/$O724</f>
        <v>500</v>
      </c>
      <c r="W724" s="500">
        <v>1</v>
      </c>
      <c r="X724" s="500">
        <v>1</v>
      </c>
      <c r="Y724" s="500">
        <v>1</v>
      </c>
      <c r="Z724" s="259">
        <f t="shared" si="1760"/>
        <v>0</v>
      </c>
      <c r="AA724" s="259">
        <f t="shared" si="1761"/>
        <v>0</v>
      </c>
      <c r="AB724" s="259">
        <f t="shared" si="1762"/>
        <v>0</v>
      </c>
      <c r="AC724" s="628">
        <f t="shared" ref="AC724:AC730" si="1773">AM756</f>
        <v>0</v>
      </c>
      <c r="AD724" s="628">
        <f t="shared" ref="AD724:AD730" si="1774">AO756</f>
        <v>0</v>
      </c>
      <c r="AE724" s="501">
        <v>0</v>
      </c>
      <c r="AF724" s="501">
        <v>0</v>
      </c>
      <c r="AG724" s="501">
        <v>0</v>
      </c>
      <c r="AH724" s="501">
        <v>0</v>
      </c>
      <c r="AI724" s="264">
        <f t="shared" si="1763"/>
        <v>0</v>
      </c>
      <c r="AJ724" s="264">
        <f t="shared" si="1764"/>
        <v>0</v>
      </c>
      <c r="AK724" s="264">
        <f t="shared" si="1765"/>
        <v>0</v>
      </c>
      <c r="AL724" s="264">
        <f t="shared" si="1766"/>
        <v>0</v>
      </c>
      <c r="AM724" s="264">
        <f t="shared" si="1767"/>
        <v>0</v>
      </c>
      <c r="AN724" s="640">
        <f t="shared" ref="AN724:AN738" si="1775">IF(AI724=0,0,AM724/AI724)</f>
        <v>0</v>
      </c>
      <c r="AO724" s="264">
        <f t="shared" si="1768"/>
        <v>0</v>
      </c>
      <c r="AP724" s="640">
        <f t="shared" si="1769"/>
        <v>0</v>
      </c>
      <c r="AQ724" s="501"/>
      <c r="AR724" s="264" t="str">
        <f>VLOOKUP($I724,TableInputsData[],ReadMe!$M$3,FALSE)&amp;"  |  "&amp;VLOOKUP($K724,TableInputsData[],ReadMe!$M$3,FALSE)</f>
        <v>PRODUIT 18  |  VOLUME</v>
      </c>
      <c r="AS724" s="264" t="b">
        <f t="shared" si="1770"/>
        <v>1</v>
      </c>
      <c r="AT724" s="294"/>
    </row>
    <row r="725" spans="1:46" ht="13" x14ac:dyDescent="0.2">
      <c r="A725" s="294"/>
      <c r="B725" s="925"/>
      <c r="C725" s="271">
        <v>718</v>
      </c>
      <c r="D725" s="250">
        <f t="shared" ref="D725:D762" si="1776">D724</f>
        <v>0</v>
      </c>
      <c r="E725" s="250">
        <v>1</v>
      </c>
      <c r="F725" s="248" t="s">
        <v>393</v>
      </c>
      <c r="G725" s="250">
        <f>VLOOKUP(F725,TableInputsData[],$G$6,FALSE)</f>
        <v>2025</v>
      </c>
      <c r="H725" s="250" t="str">
        <f t="shared" ref="H725:I725" si="1777">H724</f>
        <v>PRODUCT</v>
      </c>
      <c r="I725" s="248" t="str">
        <f t="shared" si="1777"/>
        <v>PRODUCT 18</v>
      </c>
      <c r="J725" s="248" t="str">
        <f>VLOOKUP(I725,TableInputsData[],$J$6,FALSE)</f>
        <v>-</v>
      </c>
      <c r="K725" s="248" t="str">
        <f t="shared" ref="K725:K730" si="1778">K724</f>
        <v>VOLUME</v>
      </c>
      <c r="L725" s="499">
        <v>1000</v>
      </c>
      <c r="M725" s="499">
        <v>0</v>
      </c>
      <c r="N725" s="499">
        <v>0</v>
      </c>
      <c r="O725" s="264">
        <f t="shared" si="1759"/>
        <v>1000</v>
      </c>
      <c r="P725" s="500">
        <v>1</v>
      </c>
      <c r="Q725" s="500">
        <v>0</v>
      </c>
      <c r="R725" s="259">
        <f t="shared" si="1771"/>
        <v>0</v>
      </c>
      <c r="S725" s="626">
        <v>500</v>
      </c>
      <c r="T725" s="626">
        <v>0</v>
      </c>
      <c r="U725" s="626">
        <v>0</v>
      </c>
      <c r="V725" s="628">
        <f t="shared" si="1772"/>
        <v>500</v>
      </c>
      <c r="W725" s="500">
        <v>1</v>
      </c>
      <c r="X725" s="500">
        <v>1</v>
      </c>
      <c r="Y725" s="500">
        <v>1</v>
      </c>
      <c r="Z725" s="259">
        <f t="shared" si="1760"/>
        <v>0</v>
      </c>
      <c r="AA725" s="259">
        <f t="shared" si="1761"/>
        <v>0</v>
      </c>
      <c r="AB725" s="259">
        <f t="shared" si="1762"/>
        <v>0</v>
      </c>
      <c r="AC725" s="628">
        <f t="shared" si="1773"/>
        <v>0</v>
      </c>
      <c r="AD725" s="628">
        <f t="shared" si="1774"/>
        <v>0</v>
      </c>
      <c r="AE725" s="501">
        <v>0</v>
      </c>
      <c r="AF725" s="501">
        <v>0</v>
      </c>
      <c r="AG725" s="501">
        <v>0</v>
      </c>
      <c r="AH725" s="501">
        <v>0</v>
      </c>
      <c r="AI725" s="264">
        <f t="shared" si="1763"/>
        <v>0</v>
      </c>
      <c r="AJ725" s="264">
        <f t="shared" si="1764"/>
        <v>0</v>
      </c>
      <c r="AK725" s="264">
        <f t="shared" si="1765"/>
        <v>0</v>
      </c>
      <c r="AL725" s="264">
        <f t="shared" si="1766"/>
        <v>0</v>
      </c>
      <c r="AM725" s="264">
        <f t="shared" si="1767"/>
        <v>0</v>
      </c>
      <c r="AN725" s="640">
        <f t="shared" si="1775"/>
        <v>0</v>
      </c>
      <c r="AO725" s="264">
        <f t="shared" si="1768"/>
        <v>0</v>
      </c>
      <c r="AP725" s="640">
        <f t="shared" si="1769"/>
        <v>0</v>
      </c>
      <c r="AQ725" s="501"/>
      <c r="AR725" s="264" t="str">
        <f>VLOOKUP($I725,TableInputsData[],ReadMe!$M$3,FALSE)&amp;"  |  "&amp;VLOOKUP($K725,TableInputsData[],ReadMe!$M$3,FALSE)</f>
        <v>PRODUIT 18  |  VOLUME</v>
      </c>
      <c r="AS725" s="264" t="b">
        <f t="shared" si="1770"/>
        <v>1</v>
      </c>
      <c r="AT725" s="294"/>
    </row>
    <row r="726" spans="1:46" ht="13" x14ac:dyDescent="0.2">
      <c r="A726" s="294"/>
      <c r="B726" s="925"/>
      <c r="C726" s="271">
        <v>719</v>
      </c>
      <c r="D726" s="250">
        <f t="shared" si="1776"/>
        <v>0</v>
      </c>
      <c r="E726" s="250">
        <v>1</v>
      </c>
      <c r="F726" s="248" t="s">
        <v>396</v>
      </c>
      <c r="G726" s="250">
        <f>VLOOKUP(F726,TableInputsData[],$G$6,FALSE)</f>
        <v>2026</v>
      </c>
      <c r="H726" s="250" t="str">
        <f t="shared" ref="H726:I726" si="1779">H725</f>
        <v>PRODUCT</v>
      </c>
      <c r="I726" s="248" t="str">
        <f t="shared" si="1779"/>
        <v>PRODUCT 18</v>
      </c>
      <c r="J726" s="248" t="str">
        <f>VLOOKUP(I726,TableInputsData[],$J$6,FALSE)</f>
        <v>-</v>
      </c>
      <c r="K726" s="248" t="str">
        <f t="shared" si="1778"/>
        <v>VOLUME</v>
      </c>
      <c r="L726" s="499">
        <v>1000</v>
      </c>
      <c r="M726" s="499">
        <v>0</v>
      </c>
      <c r="N726" s="499">
        <v>0</v>
      </c>
      <c r="O726" s="264">
        <f t="shared" si="1759"/>
        <v>1000</v>
      </c>
      <c r="P726" s="500">
        <v>1</v>
      </c>
      <c r="Q726" s="500">
        <v>0</v>
      </c>
      <c r="R726" s="259">
        <f t="shared" si="1771"/>
        <v>0</v>
      </c>
      <c r="S726" s="626">
        <v>500</v>
      </c>
      <c r="T726" s="626">
        <v>0</v>
      </c>
      <c r="U726" s="626">
        <v>0</v>
      </c>
      <c r="V726" s="628">
        <f t="shared" si="1772"/>
        <v>500</v>
      </c>
      <c r="W726" s="500">
        <v>1</v>
      </c>
      <c r="X726" s="500">
        <v>1</v>
      </c>
      <c r="Y726" s="500">
        <v>1</v>
      </c>
      <c r="Z726" s="259">
        <f t="shared" si="1760"/>
        <v>0</v>
      </c>
      <c r="AA726" s="259">
        <f t="shared" si="1761"/>
        <v>0</v>
      </c>
      <c r="AB726" s="259">
        <f t="shared" si="1762"/>
        <v>0</v>
      </c>
      <c r="AC726" s="628">
        <f t="shared" si="1773"/>
        <v>0</v>
      </c>
      <c r="AD726" s="628">
        <f t="shared" si="1774"/>
        <v>0</v>
      </c>
      <c r="AE726" s="501">
        <v>0</v>
      </c>
      <c r="AF726" s="501">
        <v>0</v>
      </c>
      <c r="AG726" s="501">
        <v>0</v>
      </c>
      <c r="AH726" s="501">
        <v>0</v>
      </c>
      <c r="AI726" s="264">
        <f t="shared" si="1763"/>
        <v>0</v>
      </c>
      <c r="AJ726" s="264">
        <f t="shared" si="1764"/>
        <v>0</v>
      </c>
      <c r="AK726" s="264">
        <f t="shared" si="1765"/>
        <v>0</v>
      </c>
      <c r="AL726" s="264">
        <f t="shared" si="1766"/>
        <v>0</v>
      </c>
      <c r="AM726" s="264">
        <f t="shared" si="1767"/>
        <v>0</v>
      </c>
      <c r="AN726" s="640">
        <f t="shared" si="1775"/>
        <v>0</v>
      </c>
      <c r="AO726" s="264">
        <f t="shared" si="1768"/>
        <v>0</v>
      </c>
      <c r="AP726" s="640">
        <f t="shared" si="1769"/>
        <v>0</v>
      </c>
      <c r="AQ726" s="501"/>
      <c r="AR726" s="264" t="str">
        <f>VLOOKUP($I726,TableInputsData[],ReadMe!$M$3,FALSE)&amp;"  |  "&amp;VLOOKUP($K726,TableInputsData[],ReadMe!$M$3,FALSE)</f>
        <v>PRODUIT 18  |  VOLUME</v>
      </c>
      <c r="AS726" s="264" t="b">
        <f t="shared" si="1770"/>
        <v>1</v>
      </c>
      <c r="AT726" s="294"/>
    </row>
    <row r="727" spans="1:46" ht="13" x14ac:dyDescent="0.2">
      <c r="A727" s="294"/>
      <c r="B727" s="925"/>
      <c r="C727" s="271">
        <v>720</v>
      </c>
      <c r="D727" s="250">
        <f t="shared" si="1776"/>
        <v>0</v>
      </c>
      <c r="E727" s="250">
        <v>1</v>
      </c>
      <c r="F727" s="248" t="s">
        <v>397</v>
      </c>
      <c r="G727" s="250">
        <f>VLOOKUP(F727,TableInputsData[],$G$6,FALSE)</f>
        <v>2027</v>
      </c>
      <c r="H727" s="250" t="str">
        <f t="shared" ref="H727:I727" si="1780">H726</f>
        <v>PRODUCT</v>
      </c>
      <c r="I727" s="248" t="str">
        <f t="shared" si="1780"/>
        <v>PRODUCT 18</v>
      </c>
      <c r="J727" s="248" t="str">
        <f>VLOOKUP(I727,TableInputsData[],$J$6,FALSE)</f>
        <v>-</v>
      </c>
      <c r="K727" s="248" t="str">
        <f t="shared" si="1778"/>
        <v>VOLUME</v>
      </c>
      <c r="L727" s="499">
        <v>1000</v>
      </c>
      <c r="M727" s="499">
        <v>0</v>
      </c>
      <c r="N727" s="499">
        <v>0</v>
      </c>
      <c r="O727" s="264">
        <f t="shared" si="1759"/>
        <v>1000</v>
      </c>
      <c r="P727" s="500">
        <v>1</v>
      </c>
      <c r="Q727" s="500">
        <v>0</v>
      </c>
      <c r="R727" s="259">
        <f t="shared" si="1771"/>
        <v>0</v>
      </c>
      <c r="S727" s="626">
        <v>500</v>
      </c>
      <c r="T727" s="626">
        <v>0</v>
      </c>
      <c r="U727" s="626">
        <v>0</v>
      </c>
      <c r="V727" s="628">
        <f t="shared" si="1772"/>
        <v>500</v>
      </c>
      <c r="W727" s="500">
        <v>1</v>
      </c>
      <c r="X727" s="500">
        <v>1</v>
      </c>
      <c r="Y727" s="500">
        <v>1</v>
      </c>
      <c r="Z727" s="259">
        <f t="shared" si="1760"/>
        <v>0</v>
      </c>
      <c r="AA727" s="259">
        <f t="shared" si="1761"/>
        <v>0</v>
      </c>
      <c r="AB727" s="259">
        <f t="shared" si="1762"/>
        <v>0</v>
      </c>
      <c r="AC727" s="628">
        <f t="shared" si="1773"/>
        <v>0</v>
      </c>
      <c r="AD727" s="628">
        <f t="shared" si="1774"/>
        <v>0</v>
      </c>
      <c r="AE727" s="264">
        <f>$AI727/4</f>
        <v>0</v>
      </c>
      <c r="AF727" s="264">
        <f t="shared" ref="AF727:AH730" si="1781">$AI727/4</f>
        <v>0</v>
      </c>
      <c r="AG727" s="264">
        <f t="shared" si="1781"/>
        <v>0</v>
      </c>
      <c r="AH727" s="264">
        <f t="shared" si="1781"/>
        <v>0</v>
      </c>
      <c r="AI727" s="501">
        <v>0</v>
      </c>
      <c r="AJ727" s="264">
        <f t="shared" si="1764"/>
        <v>0</v>
      </c>
      <c r="AK727" s="264">
        <f t="shared" si="1765"/>
        <v>0</v>
      </c>
      <c r="AL727" s="264">
        <f t="shared" si="1766"/>
        <v>0</v>
      </c>
      <c r="AM727" s="264">
        <f t="shared" si="1767"/>
        <v>0</v>
      </c>
      <c r="AN727" s="640">
        <f t="shared" si="1775"/>
        <v>0</v>
      </c>
      <c r="AO727" s="264">
        <f t="shared" si="1768"/>
        <v>0</v>
      </c>
      <c r="AP727" s="640">
        <f t="shared" si="1769"/>
        <v>0</v>
      </c>
      <c r="AQ727" s="501"/>
      <c r="AR727" s="264" t="str">
        <f>VLOOKUP($I727,TableInputsData[],ReadMe!$M$3,FALSE)&amp;"  |  "&amp;VLOOKUP($K727,TableInputsData[],ReadMe!$M$3,FALSE)</f>
        <v>PRODUIT 18  |  VOLUME</v>
      </c>
      <c r="AS727" s="264" t="b">
        <f t="shared" si="1770"/>
        <v>1</v>
      </c>
      <c r="AT727" s="294"/>
    </row>
    <row r="728" spans="1:46" ht="13" x14ac:dyDescent="0.2">
      <c r="A728" s="294"/>
      <c r="B728" s="925"/>
      <c r="C728" s="271">
        <v>721</v>
      </c>
      <c r="D728" s="250">
        <f t="shared" si="1776"/>
        <v>0</v>
      </c>
      <c r="E728" s="250">
        <v>1</v>
      </c>
      <c r="F728" s="248" t="s">
        <v>398</v>
      </c>
      <c r="G728" s="250">
        <f>VLOOKUP(F728,TableInputsData[],$G$6,FALSE)</f>
        <v>2028</v>
      </c>
      <c r="H728" s="250" t="str">
        <f t="shared" ref="H728:I728" si="1782">H727</f>
        <v>PRODUCT</v>
      </c>
      <c r="I728" s="248" t="str">
        <f t="shared" si="1782"/>
        <v>PRODUCT 18</v>
      </c>
      <c r="J728" s="248" t="str">
        <f>VLOOKUP(I728,TableInputsData[],$J$6,FALSE)</f>
        <v>-</v>
      </c>
      <c r="K728" s="248" t="str">
        <f t="shared" si="1778"/>
        <v>VOLUME</v>
      </c>
      <c r="L728" s="499">
        <v>1000</v>
      </c>
      <c r="M728" s="499">
        <v>0</v>
      </c>
      <c r="N728" s="499">
        <v>0</v>
      </c>
      <c r="O728" s="264">
        <f t="shared" si="1759"/>
        <v>1000</v>
      </c>
      <c r="P728" s="500">
        <v>1</v>
      </c>
      <c r="Q728" s="500">
        <v>0</v>
      </c>
      <c r="R728" s="259">
        <f t="shared" si="1771"/>
        <v>0</v>
      </c>
      <c r="S728" s="626">
        <v>500</v>
      </c>
      <c r="T728" s="626">
        <v>0</v>
      </c>
      <c r="U728" s="626">
        <v>0</v>
      </c>
      <c r="V728" s="628">
        <f t="shared" si="1772"/>
        <v>500</v>
      </c>
      <c r="W728" s="500">
        <v>1</v>
      </c>
      <c r="X728" s="500">
        <v>1</v>
      </c>
      <c r="Y728" s="500">
        <v>1</v>
      </c>
      <c r="Z728" s="259">
        <f t="shared" si="1760"/>
        <v>0</v>
      </c>
      <c r="AA728" s="259">
        <f t="shared" si="1761"/>
        <v>0</v>
      </c>
      <c r="AB728" s="259">
        <f t="shared" si="1762"/>
        <v>0</v>
      </c>
      <c r="AC728" s="628">
        <f t="shared" si="1773"/>
        <v>0</v>
      </c>
      <c r="AD728" s="628">
        <f t="shared" si="1774"/>
        <v>0</v>
      </c>
      <c r="AE728" s="264">
        <f t="shared" ref="AE728:AE730" si="1783">$AI728/4</f>
        <v>0</v>
      </c>
      <c r="AF728" s="264">
        <f t="shared" si="1781"/>
        <v>0</v>
      </c>
      <c r="AG728" s="264">
        <f t="shared" si="1781"/>
        <v>0</v>
      </c>
      <c r="AH728" s="264">
        <f t="shared" si="1781"/>
        <v>0</v>
      </c>
      <c r="AI728" s="501">
        <v>0</v>
      </c>
      <c r="AJ728" s="264">
        <f t="shared" si="1764"/>
        <v>0</v>
      </c>
      <c r="AK728" s="264">
        <f t="shared" si="1765"/>
        <v>0</v>
      </c>
      <c r="AL728" s="264">
        <f t="shared" si="1766"/>
        <v>0</v>
      </c>
      <c r="AM728" s="264">
        <f t="shared" si="1767"/>
        <v>0</v>
      </c>
      <c r="AN728" s="640">
        <f t="shared" si="1775"/>
        <v>0</v>
      </c>
      <c r="AO728" s="264">
        <f t="shared" si="1768"/>
        <v>0</v>
      </c>
      <c r="AP728" s="640">
        <f t="shared" si="1769"/>
        <v>0</v>
      </c>
      <c r="AQ728" s="501"/>
      <c r="AR728" s="264" t="str">
        <f>VLOOKUP($I728,TableInputsData[],ReadMe!$M$3,FALSE)&amp;"  |  "&amp;VLOOKUP($K728,TableInputsData[],ReadMe!$M$3,FALSE)</f>
        <v>PRODUIT 18  |  VOLUME</v>
      </c>
      <c r="AS728" s="264" t="b">
        <f t="shared" si="1770"/>
        <v>1</v>
      </c>
      <c r="AT728" s="294"/>
    </row>
    <row r="729" spans="1:46" ht="13" x14ac:dyDescent="0.2">
      <c r="A729" s="294"/>
      <c r="B729" s="925"/>
      <c r="C729" s="271">
        <v>722</v>
      </c>
      <c r="D729" s="250">
        <f t="shared" si="1776"/>
        <v>0</v>
      </c>
      <c r="E729" s="250">
        <v>1</v>
      </c>
      <c r="F729" s="248" t="s">
        <v>399</v>
      </c>
      <c r="G729" s="250">
        <f>VLOOKUP(F729,TableInputsData[],$G$6,FALSE)</f>
        <v>2029</v>
      </c>
      <c r="H729" s="250" t="str">
        <f t="shared" ref="H729:I729" si="1784">H728</f>
        <v>PRODUCT</v>
      </c>
      <c r="I729" s="248" t="str">
        <f t="shared" si="1784"/>
        <v>PRODUCT 18</v>
      </c>
      <c r="J729" s="248" t="str">
        <f>VLOOKUP(I729,TableInputsData[],$J$6,FALSE)</f>
        <v>-</v>
      </c>
      <c r="K729" s="248" t="str">
        <f t="shared" si="1778"/>
        <v>VOLUME</v>
      </c>
      <c r="L729" s="499">
        <v>1000</v>
      </c>
      <c r="M729" s="499">
        <v>0</v>
      </c>
      <c r="N729" s="499">
        <v>0</v>
      </c>
      <c r="O729" s="264">
        <f t="shared" si="1759"/>
        <v>1000</v>
      </c>
      <c r="P729" s="500">
        <v>1</v>
      </c>
      <c r="Q729" s="500">
        <v>0</v>
      </c>
      <c r="R729" s="259">
        <f t="shared" si="1771"/>
        <v>0</v>
      </c>
      <c r="S729" s="626">
        <v>500</v>
      </c>
      <c r="T729" s="626">
        <v>0</v>
      </c>
      <c r="U729" s="626">
        <v>0</v>
      </c>
      <c r="V729" s="628">
        <f t="shared" si="1772"/>
        <v>500</v>
      </c>
      <c r="W729" s="500">
        <v>1</v>
      </c>
      <c r="X729" s="500">
        <v>1</v>
      </c>
      <c r="Y729" s="500">
        <v>1</v>
      </c>
      <c r="Z729" s="259">
        <f t="shared" si="1760"/>
        <v>0</v>
      </c>
      <c r="AA729" s="259">
        <f t="shared" si="1761"/>
        <v>0</v>
      </c>
      <c r="AB729" s="259">
        <f t="shared" si="1762"/>
        <v>0</v>
      </c>
      <c r="AC729" s="628">
        <f t="shared" si="1773"/>
        <v>0</v>
      </c>
      <c r="AD729" s="628">
        <f t="shared" si="1774"/>
        <v>0</v>
      </c>
      <c r="AE729" s="264">
        <f t="shared" si="1783"/>
        <v>0</v>
      </c>
      <c r="AF729" s="264">
        <f t="shared" si="1781"/>
        <v>0</v>
      </c>
      <c r="AG729" s="264">
        <f t="shared" si="1781"/>
        <v>0</v>
      </c>
      <c r="AH729" s="264">
        <f t="shared" si="1781"/>
        <v>0</v>
      </c>
      <c r="AI729" s="501">
        <v>0</v>
      </c>
      <c r="AJ729" s="264">
        <f t="shared" si="1764"/>
        <v>0</v>
      </c>
      <c r="AK729" s="264">
        <f t="shared" si="1765"/>
        <v>0</v>
      </c>
      <c r="AL729" s="264">
        <f t="shared" si="1766"/>
        <v>0</v>
      </c>
      <c r="AM729" s="264">
        <f t="shared" si="1767"/>
        <v>0</v>
      </c>
      <c r="AN729" s="640">
        <f t="shared" si="1775"/>
        <v>0</v>
      </c>
      <c r="AO729" s="264">
        <f t="shared" si="1768"/>
        <v>0</v>
      </c>
      <c r="AP729" s="640">
        <f t="shared" si="1769"/>
        <v>0</v>
      </c>
      <c r="AQ729" s="501"/>
      <c r="AR729" s="264" t="str">
        <f>VLOOKUP($I729,TableInputsData[],ReadMe!$M$3,FALSE)&amp;"  |  "&amp;VLOOKUP($K729,TableInputsData[],ReadMe!$M$3,FALSE)</f>
        <v>PRODUIT 18  |  VOLUME</v>
      </c>
      <c r="AS729" s="264" t="b">
        <f t="shared" si="1770"/>
        <v>1</v>
      </c>
      <c r="AT729" s="294"/>
    </row>
    <row r="730" spans="1:46" ht="13" x14ac:dyDescent="0.2">
      <c r="A730" s="294"/>
      <c r="B730" s="925"/>
      <c r="C730" s="271">
        <v>723</v>
      </c>
      <c r="D730" s="250">
        <f t="shared" si="1776"/>
        <v>0</v>
      </c>
      <c r="E730" s="250">
        <v>1</v>
      </c>
      <c r="F730" s="248" t="s">
        <v>400</v>
      </c>
      <c r="G730" s="250">
        <f>VLOOKUP(F730,TableInputsData[],$G$6,FALSE)</f>
        <v>2030</v>
      </c>
      <c r="H730" s="250" t="str">
        <f t="shared" ref="H730:I730" si="1785">H729</f>
        <v>PRODUCT</v>
      </c>
      <c r="I730" s="248" t="str">
        <f t="shared" si="1785"/>
        <v>PRODUCT 18</v>
      </c>
      <c r="J730" s="248" t="str">
        <f>VLOOKUP(I730,TableInputsData[],$J$6,FALSE)</f>
        <v>-</v>
      </c>
      <c r="K730" s="248" t="str">
        <f t="shared" si="1778"/>
        <v>VOLUME</v>
      </c>
      <c r="L730" s="499">
        <v>1000</v>
      </c>
      <c r="M730" s="499">
        <v>0</v>
      </c>
      <c r="N730" s="499">
        <v>0</v>
      </c>
      <c r="O730" s="264">
        <f t="shared" si="1759"/>
        <v>1000</v>
      </c>
      <c r="P730" s="500">
        <v>1</v>
      </c>
      <c r="Q730" s="500">
        <v>0</v>
      </c>
      <c r="R730" s="259">
        <f t="shared" si="1771"/>
        <v>0</v>
      </c>
      <c r="S730" s="626">
        <v>500</v>
      </c>
      <c r="T730" s="626">
        <v>0</v>
      </c>
      <c r="U730" s="626">
        <v>0</v>
      </c>
      <c r="V730" s="628">
        <f t="shared" si="1772"/>
        <v>500</v>
      </c>
      <c r="W730" s="500">
        <v>1</v>
      </c>
      <c r="X730" s="500">
        <v>1</v>
      </c>
      <c r="Y730" s="500">
        <v>1</v>
      </c>
      <c r="Z730" s="259">
        <f t="shared" si="1760"/>
        <v>0</v>
      </c>
      <c r="AA730" s="259">
        <f t="shared" si="1761"/>
        <v>0</v>
      </c>
      <c r="AB730" s="259">
        <f t="shared" si="1762"/>
        <v>0</v>
      </c>
      <c r="AC730" s="628">
        <f t="shared" si="1773"/>
        <v>0</v>
      </c>
      <c r="AD730" s="628">
        <f t="shared" si="1774"/>
        <v>0</v>
      </c>
      <c r="AE730" s="264">
        <f t="shared" si="1783"/>
        <v>0</v>
      </c>
      <c r="AF730" s="264">
        <f t="shared" si="1781"/>
        <v>0</v>
      </c>
      <c r="AG730" s="264">
        <f t="shared" si="1781"/>
        <v>0</v>
      </c>
      <c r="AH730" s="264">
        <f t="shared" si="1781"/>
        <v>0</v>
      </c>
      <c r="AI730" s="501">
        <v>0</v>
      </c>
      <c r="AJ730" s="264">
        <f t="shared" si="1764"/>
        <v>0</v>
      </c>
      <c r="AK730" s="264">
        <f t="shared" si="1765"/>
        <v>0</v>
      </c>
      <c r="AL730" s="264">
        <f t="shared" si="1766"/>
        <v>0</v>
      </c>
      <c r="AM730" s="264">
        <f t="shared" si="1767"/>
        <v>0</v>
      </c>
      <c r="AN730" s="640">
        <f t="shared" si="1775"/>
        <v>0</v>
      </c>
      <c r="AO730" s="264">
        <f t="shared" si="1768"/>
        <v>0</v>
      </c>
      <c r="AP730" s="640">
        <f t="shared" si="1769"/>
        <v>0</v>
      </c>
      <c r="AQ730" s="501"/>
      <c r="AR730" s="264" t="str">
        <f>VLOOKUP($I730,TableInputsData[],ReadMe!$M$3,FALSE)&amp;"  |  "&amp;VLOOKUP($K730,TableInputsData[],ReadMe!$M$3,FALSE)</f>
        <v>PRODUIT 18  |  VOLUME</v>
      </c>
      <c r="AS730" s="264" t="b">
        <f t="shared" si="1770"/>
        <v>1</v>
      </c>
      <c r="AT730" s="294"/>
    </row>
    <row r="731" spans="1:46" ht="13" hidden="1" x14ac:dyDescent="0.2">
      <c r="A731" s="294"/>
      <c r="B731" s="925"/>
      <c r="C731" s="272">
        <v>724</v>
      </c>
      <c r="D731" s="250">
        <f t="shared" si="1776"/>
        <v>0</v>
      </c>
      <c r="E731" s="251"/>
      <c r="F731" s="248" t="str">
        <f t="shared" ref="F731:F738" si="1786">F739</f>
        <v>YEAR-2</v>
      </c>
      <c r="G731" s="250">
        <f>VLOOKUP(F731,TableInputsData[],$G$6,FALSE)</f>
        <v>2023</v>
      </c>
      <c r="H731" s="250" t="str">
        <f t="shared" ref="H731:I731" si="1787">H730</f>
        <v>PRODUCT</v>
      </c>
      <c r="I731" s="248" t="str">
        <f t="shared" si="1787"/>
        <v>PRODUCT 18</v>
      </c>
      <c r="J731" s="248" t="str">
        <f>VLOOKUP(I731,TableInputsData[],$J$6,FALSE)</f>
        <v>-</v>
      </c>
      <c r="K731" s="248" t="s">
        <v>457</v>
      </c>
      <c r="L731" s="256"/>
      <c r="M731" s="256"/>
      <c r="N731" s="256"/>
      <c r="O731" s="266"/>
      <c r="P731" s="261"/>
      <c r="Q731" s="261"/>
      <c r="R731" s="261"/>
      <c r="S731" s="629"/>
      <c r="T731" s="629"/>
      <c r="U731" s="629"/>
      <c r="V731" s="629"/>
      <c r="W731" s="261"/>
      <c r="X731" s="261"/>
      <c r="Y731" s="261"/>
      <c r="Z731" s="261"/>
      <c r="AA731" s="261"/>
      <c r="AB731" s="261"/>
      <c r="AC731" s="266"/>
      <c r="AD731" s="633"/>
      <c r="AE731" s="264">
        <f>AE723*($L723*$P723+$M723*$Q723+$N723*$R723)</f>
        <v>0</v>
      </c>
      <c r="AF731" s="264">
        <f t="shared" ref="AF731:AH731" si="1788">AF723*($L723*$P723+$M723*$Q723+$N723*$R723)</f>
        <v>0</v>
      </c>
      <c r="AG731" s="264">
        <f t="shared" si="1788"/>
        <v>0</v>
      </c>
      <c r="AH731" s="264">
        <f t="shared" si="1788"/>
        <v>0</v>
      </c>
      <c r="AI731" s="264">
        <f>$AE731+$AF731+$AG731+$AH731</f>
        <v>0</v>
      </c>
      <c r="AJ731" s="264">
        <f t="shared" ref="AJ731:AJ738" si="1789">$AJ723*$L723</f>
        <v>0</v>
      </c>
      <c r="AK731" s="264">
        <f t="shared" ref="AK731:AK738" si="1790">$AK723*$M723</f>
        <v>0</v>
      </c>
      <c r="AL731" s="264">
        <f t="shared" ref="AL731:AL738" si="1791">$AL723*$N723</f>
        <v>0</v>
      </c>
      <c r="AM731" s="264">
        <f t="shared" ref="AM731:AM738" si="1792">$AJ731*$W723+$AK731*$X723+$AL731*$Y723</f>
        <v>0</v>
      </c>
      <c r="AN731" s="640">
        <f t="shared" si="1775"/>
        <v>0</v>
      </c>
      <c r="AO731" s="264">
        <f t="shared" ref="AO731:AO738" si="1793">$AJ731*$Z723+$AK731*$AA723+$AL731*$AB723</f>
        <v>0</v>
      </c>
      <c r="AP731" s="640">
        <f t="shared" si="1769"/>
        <v>0</v>
      </c>
      <c r="AQ731" s="264"/>
      <c r="AR731" s="264" t="str">
        <f>VLOOKUP($I731,TableInputsData[],ReadMe!$M$3,FALSE)&amp;"  |  "&amp;VLOOKUP($K731,TableInputsData[],ReadMe!$M$3,FALSE)</f>
        <v>PRODUIT 18  |  CHIFFRE D'AFFAIRES</v>
      </c>
      <c r="AS731" s="264" t="b">
        <f t="shared" ref="AS731:AS738" si="1794">AND(EXACT(ROUND(AI731,2),ROUND(AJ731+AK731+AL731,2)),EXACT(ROUND(AI731,2),ROUND(AM731+AO731,2)))</f>
        <v>1</v>
      </c>
      <c r="AT731" s="294"/>
    </row>
    <row r="732" spans="1:46" ht="13" hidden="1" x14ac:dyDescent="0.2">
      <c r="A732" s="294"/>
      <c r="B732" s="925"/>
      <c r="C732" s="271">
        <v>725</v>
      </c>
      <c r="D732" s="250">
        <f t="shared" si="1776"/>
        <v>0</v>
      </c>
      <c r="E732" s="250"/>
      <c r="F732" s="248" t="str">
        <f t="shared" si="1786"/>
        <v>YEAR-1</v>
      </c>
      <c r="G732" s="250">
        <f>VLOOKUP(F732,TableInputsData[],$G$6,FALSE)</f>
        <v>2024</v>
      </c>
      <c r="H732" s="250" t="str">
        <f t="shared" ref="H732:I732" si="1795">H731</f>
        <v>PRODUCT</v>
      </c>
      <c r="I732" s="248" t="str">
        <f t="shared" si="1795"/>
        <v>PRODUCT 18</v>
      </c>
      <c r="J732" s="248" t="str">
        <f>VLOOKUP(I732,TableInputsData[],$J$6,FALSE)</f>
        <v>-</v>
      </c>
      <c r="K732" s="248" t="str">
        <f>K731</f>
        <v>REVENUE</v>
      </c>
      <c r="L732" s="255"/>
      <c r="M732" s="255"/>
      <c r="N732" s="255"/>
      <c r="O732" s="265"/>
      <c r="P732" s="260"/>
      <c r="Q732" s="260"/>
      <c r="R732" s="260"/>
      <c r="S732" s="630"/>
      <c r="T732" s="630"/>
      <c r="U732" s="630"/>
      <c r="V732" s="630"/>
      <c r="W732" s="260"/>
      <c r="X732" s="260"/>
      <c r="Y732" s="260"/>
      <c r="Z732" s="260"/>
      <c r="AA732" s="260"/>
      <c r="AB732" s="260"/>
      <c r="AC732" s="265"/>
      <c r="AD732" s="634"/>
      <c r="AE732" s="264">
        <f t="shared" ref="AE732:AH732" si="1796">AE724*($L724*$P724+$M724*$Q724+$N724*$R724)</f>
        <v>0</v>
      </c>
      <c r="AF732" s="264">
        <f t="shared" si="1796"/>
        <v>0</v>
      </c>
      <c r="AG732" s="264">
        <f t="shared" si="1796"/>
        <v>0</v>
      </c>
      <c r="AH732" s="264">
        <f t="shared" si="1796"/>
        <v>0</v>
      </c>
      <c r="AI732" s="264">
        <f t="shared" ref="AI732:AI737" si="1797">$AE732+$AF732+$AG732+$AH732</f>
        <v>0</v>
      </c>
      <c r="AJ732" s="264">
        <f t="shared" si="1789"/>
        <v>0</v>
      </c>
      <c r="AK732" s="264">
        <f t="shared" si="1790"/>
        <v>0</v>
      </c>
      <c r="AL732" s="264">
        <f t="shared" si="1791"/>
        <v>0</v>
      </c>
      <c r="AM732" s="264">
        <f t="shared" si="1792"/>
        <v>0</v>
      </c>
      <c r="AN732" s="640">
        <f t="shared" si="1775"/>
        <v>0</v>
      </c>
      <c r="AO732" s="264">
        <f t="shared" si="1793"/>
        <v>0</v>
      </c>
      <c r="AP732" s="640">
        <f t="shared" si="1769"/>
        <v>0</v>
      </c>
      <c r="AQ732" s="264"/>
      <c r="AR732" s="264" t="str">
        <f>VLOOKUP($I732,TableInputsData[],ReadMe!$M$3,FALSE)&amp;"  |  "&amp;VLOOKUP($K732,TableInputsData[],ReadMe!$M$3,FALSE)</f>
        <v>PRODUIT 18  |  CHIFFRE D'AFFAIRES</v>
      </c>
      <c r="AS732" s="264" t="b">
        <f t="shared" si="1794"/>
        <v>1</v>
      </c>
      <c r="AT732" s="294"/>
    </row>
    <row r="733" spans="1:46" ht="13" hidden="1" x14ac:dyDescent="0.2">
      <c r="A733" s="294"/>
      <c r="B733" s="925"/>
      <c r="C733" s="271">
        <v>726</v>
      </c>
      <c r="D733" s="250">
        <f t="shared" si="1776"/>
        <v>0</v>
      </c>
      <c r="E733" s="250"/>
      <c r="F733" s="248" t="str">
        <f t="shared" si="1786"/>
        <v>CURRENT YEAR</v>
      </c>
      <c r="G733" s="250">
        <f>VLOOKUP(F733,TableInputsData[],$G$6,FALSE)</f>
        <v>2025</v>
      </c>
      <c r="H733" s="250" t="str">
        <f t="shared" ref="H733:I733" si="1798">H732</f>
        <v>PRODUCT</v>
      </c>
      <c r="I733" s="248" t="str">
        <f t="shared" si="1798"/>
        <v>PRODUCT 18</v>
      </c>
      <c r="J733" s="248" t="str">
        <f>VLOOKUP(I733,TableInputsData[],$J$6,FALSE)</f>
        <v>-</v>
      </c>
      <c r="K733" s="248" t="str">
        <f t="shared" ref="K733:K738" si="1799">K732</f>
        <v>REVENUE</v>
      </c>
      <c r="L733" s="255"/>
      <c r="M733" s="255"/>
      <c r="N733" s="255"/>
      <c r="O733" s="265"/>
      <c r="P733" s="260"/>
      <c r="Q733" s="260"/>
      <c r="R733" s="260"/>
      <c r="S733" s="630"/>
      <c r="T733" s="630"/>
      <c r="U733" s="630"/>
      <c r="V733" s="630"/>
      <c r="W733" s="260"/>
      <c r="X733" s="260"/>
      <c r="Y733" s="260"/>
      <c r="Z733" s="260"/>
      <c r="AA733" s="260"/>
      <c r="AB733" s="260"/>
      <c r="AC733" s="265"/>
      <c r="AD733" s="634"/>
      <c r="AE733" s="264">
        <f t="shared" ref="AE733:AH733" si="1800">AE725*($L725*$P725+$M725*$Q725+$N725*$R725)</f>
        <v>0</v>
      </c>
      <c r="AF733" s="264">
        <f t="shared" si="1800"/>
        <v>0</v>
      </c>
      <c r="AG733" s="264">
        <f t="shared" si="1800"/>
        <v>0</v>
      </c>
      <c r="AH733" s="264">
        <f t="shared" si="1800"/>
        <v>0</v>
      </c>
      <c r="AI733" s="264">
        <f t="shared" si="1797"/>
        <v>0</v>
      </c>
      <c r="AJ733" s="264">
        <f t="shared" si="1789"/>
        <v>0</v>
      </c>
      <c r="AK733" s="264">
        <f t="shared" si="1790"/>
        <v>0</v>
      </c>
      <c r="AL733" s="264">
        <f t="shared" si="1791"/>
        <v>0</v>
      </c>
      <c r="AM733" s="264">
        <f t="shared" si="1792"/>
        <v>0</v>
      </c>
      <c r="AN733" s="640">
        <f t="shared" si="1775"/>
        <v>0</v>
      </c>
      <c r="AO733" s="264">
        <f t="shared" si="1793"/>
        <v>0</v>
      </c>
      <c r="AP733" s="640">
        <f t="shared" si="1769"/>
        <v>0</v>
      </c>
      <c r="AQ733" s="264"/>
      <c r="AR733" s="264" t="str">
        <f>VLOOKUP($I733,TableInputsData[],ReadMe!$M$3,FALSE)&amp;"  |  "&amp;VLOOKUP($K733,TableInputsData[],ReadMe!$M$3,FALSE)</f>
        <v>PRODUIT 18  |  CHIFFRE D'AFFAIRES</v>
      </c>
      <c r="AS733" s="264" t="b">
        <f t="shared" si="1794"/>
        <v>1</v>
      </c>
      <c r="AT733" s="294"/>
    </row>
    <row r="734" spans="1:46" ht="13" hidden="1" x14ac:dyDescent="0.2">
      <c r="A734" s="294"/>
      <c r="B734" s="925"/>
      <c r="C734" s="271">
        <v>727</v>
      </c>
      <c r="D734" s="250">
        <f t="shared" si="1776"/>
        <v>0</v>
      </c>
      <c r="E734" s="250"/>
      <c r="F734" s="248" t="str">
        <f t="shared" si="1786"/>
        <v>YEAR2</v>
      </c>
      <c r="G734" s="250">
        <f>VLOOKUP(F734,TableInputsData[],$G$6,FALSE)</f>
        <v>2026</v>
      </c>
      <c r="H734" s="250" t="str">
        <f t="shared" ref="H734:I734" si="1801">H733</f>
        <v>PRODUCT</v>
      </c>
      <c r="I734" s="248" t="str">
        <f t="shared" si="1801"/>
        <v>PRODUCT 18</v>
      </c>
      <c r="J734" s="248" t="str">
        <f>VLOOKUP(I734,TableInputsData[],$J$6,FALSE)</f>
        <v>-</v>
      </c>
      <c r="K734" s="248" t="str">
        <f t="shared" si="1799"/>
        <v>REVENUE</v>
      </c>
      <c r="L734" s="255"/>
      <c r="M734" s="255"/>
      <c r="N734" s="255"/>
      <c r="O734" s="265"/>
      <c r="P734" s="260"/>
      <c r="Q734" s="260"/>
      <c r="R734" s="260"/>
      <c r="S734" s="630"/>
      <c r="T734" s="630"/>
      <c r="U734" s="630"/>
      <c r="V734" s="630"/>
      <c r="W734" s="260"/>
      <c r="X734" s="260"/>
      <c r="Y734" s="260"/>
      <c r="Z734" s="260"/>
      <c r="AA734" s="260"/>
      <c r="AB734" s="260"/>
      <c r="AC734" s="265"/>
      <c r="AD734" s="634"/>
      <c r="AE734" s="264">
        <f t="shared" ref="AE734:AH734" si="1802">AE726*($L726*$P726+$M726*$Q726+$N726*$R726)</f>
        <v>0</v>
      </c>
      <c r="AF734" s="264">
        <f t="shared" si="1802"/>
        <v>0</v>
      </c>
      <c r="AG734" s="264">
        <f t="shared" si="1802"/>
        <v>0</v>
      </c>
      <c r="AH734" s="264">
        <f t="shared" si="1802"/>
        <v>0</v>
      </c>
      <c r="AI734" s="264">
        <f t="shared" si="1797"/>
        <v>0</v>
      </c>
      <c r="AJ734" s="264">
        <f t="shared" si="1789"/>
        <v>0</v>
      </c>
      <c r="AK734" s="264">
        <f t="shared" si="1790"/>
        <v>0</v>
      </c>
      <c r="AL734" s="264">
        <f t="shared" si="1791"/>
        <v>0</v>
      </c>
      <c r="AM734" s="264">
        <f t="shared" si="1792"/>
        <v>0</v>
      </c>
      <c r="AN734" s="640">
        <f t="shared" si="1775"/>
        <v>0</v>
      </c>
      <c r="AO734" s="264">
        <f t="shared" si="1793"/>
        <v>0</v>
      </c>
      <c r="AP734" s="640">
        <f t="shared" si="1769"/>
        <v>0</v>
      </c>
      <c r="AQ734" s="264"/>
      <c r="AR734" s="264" t="str">
        <f>VLOOKUP($I734,TableInputsData[],ReadMe!$M$3,FALSE)&amp;"  |  "&amp;VLOOKUP($K734,TableInputsData[],ReadMe!$M$3,FALSE)</f>
        <v>PRODUIT 18  |  CHIFFRE D'AFFAIRES</v>
      </c>
      <c r="AS734" s="264" t="b">
        <f t="shared" si="1794"/>
        <v>1</v>
      </c>
      <c r="AT734" s="294"/>
    </row>
    <row r="735" spans="1:46" ht="13" hidden="1" x14ac:dyDescent="0.2">
      <c r="A735" s="294"/>
      <c r="B735" s="925"/>
      <c r="C735" s="271">
        <v>728</v>
      </c>
      <c r="D735" s="250">
        <f t="shared" si="1776"/>
        <v>0</v>
      </c>
      <c r="E735" s="250"/>
      <c r="F735" s="248" t="str">
        <f t="shared" si="1786"/>
        <v>YEAR3</v>
      </c>
      <c r="G735" s="250">
        <f>VLOOKUP(F735,TableInputsData[],$G$6,FALSE)</f>
        <v>2027</v>
      </c>
      <c r="H735" s="250" t="str">
        <f t="shared" ref="H735:I735" si="1803">H734</f>
        <v>PRODUCT</v>
      </c>
      <c r="I735" s="248" t="str">
        <f t="shared" si="1803"/>
        <v>PRODUCT 18</v>
      </c>
      <c r="J735" s="248" t="str">
        <f>VLOOKUP(I735,TableInputsData[],$J$6,FALSE)</f>
        <v>-</v>
      </c>
      <c r="K735" s="248" t="str">
        <f t="shared" si="1799"/>
        <v>REVENUE</v>
      </c>
      <c r="L735" s="255"/>
      <c r="M735" s="255"/>
      <c r="N735" s="255"/>
      <c r="O735" s="265"/>
      <c r="P735" s="260"/>
      <c r="Q735" s="260"/>
      <c r="R735" s="260"/>
      <c r="S735" s="630"/>
      <c r="T735" s="630"/>
      <c r="U735" s="630"/>
      <c r="V735" s="630"/>
      <c r="W735" s="260"/>
      <c r="X735" s="260"/>
      <c r="Y735" s="260"/>
      <c r="Z735" s="260"/>
      <c r="AA735" s="260"/>
      <c r="AB735" s="260"/>
      <c r="AC735" s="265"/>
      <c r="AD735" s="634"/>
      <c r="AE735" s="264">
        <f t="shared" ref="AE735:AH735" si="1804">AE727*($L727*$P727+$M727*$Q727+$N727*$R727)</f>
        <v>0</v>
      </c>
      <c r="AF735" s="264">
        <f t="shared" si="1804"/>
        <v>0</v>
      </c>
      <c r="AG735" s="264">
        <f t="shared" si="1804"/>
        <v>0</v>
      </c>
      <c r="AH735" s="264">
        <f t="shared" si="1804"/>
        <v>0</v>
      </c>
      <c r="AI735" s="264">
        <f t="shared" si="1797"/>
        <v>0</v>
      </c>
      <c r="AJ735" s="264">
        <f t="shared" si="1789"/>
        <v>0</v>
      </c>
      <c r="AK735" s="264">
        <f t="shared" si="1790"/>
        <v>0</v>
      </c>
      <c r="AL735" s="264">
        <f t="shared" si="1791"/>
        <v>0</v>
      </c>
      <c r="AM735" s="264">
        <f t="shared" si="1792"/>
        <v>0</v>
      </c>
      <c r="AN735" s="640">
        <f t="shared" si="1775"/>
        <v>0</v>
      </c>
      <c r="AO735" s="264">
        <f t="shared" si="1793"/>
        <v>0</v>
      </c>
      <c r="AP735" s="640">
        <f t="shared" si="1769"/>
        <v>0</v>
      </c>
      <c r="AQ735" s="264"/>
      <c r="AR735" s="264" t="str">
        <f>VLOOKUP($I735,TableInputsData[],ReadMe!$M$3,FALSE)&amp;"  |  "&amp;VLOOKUP($K735,TableInputsData[],ReadMe!$M$3,FALSE)</f>
        <v>PRODUIT 18  |  CHIFFRE D'AFFAIRES</v>
      </c>
      <c r="AS735" s="264" t="b">
        <f t="shared" si="1794"/>
        <v>1</v>
      </c>
      <c r="AT735" s="294"/>
    </row>
    <row r="736" spans="1:46" ht="13" hidden="1" x14ac:dyDescent="0.2">
      <c r="A736" s="294"/>
      <c r="B736" s="925"/>
      <c r="C736" s="271">
        <v>729</v>
      </c>
      <c r="D736" s="250">
        <f t="shared" si="1776"/>
        <v>0</v>
      </c>
      <c r="E736" s="250"/>
      <c r="F736" s="248" t="str">
        <f t="shared" si="1786"/>
        <v>YEAR4</v>
      </c>
      <c r="G736" s="250">
        <f>VLOOKUP(F736,TableInputsData[],$G$6,FALSE)</f>
        <v>2028</v>
      </c>
      <c r="H736" s="250" t="str">
        <f t="shared" ref="H736:I736" si="1805">H735</f>
        <v>PRODUCT</v>
      </c>
      <c r="I736" s="248" t="str">
        <f t="shared" si="1805"/>
        <v>PRODUCT 18</v>
      </c>
      <c r="J736" s="248" t="str">
        <f>VLOOKUP(I736,TableInputsData[],$J$6,FALSE)</f>
        <v>-</v>
      </c>
      <c r="K736" s="248" t="str">
        <f t="shared" si="1799"/>
        <v>REVENUE</v>
      </c>
      <c r="L736" s="255"/>
      <c r="M736" s="255"/>
      <c r="N736" s="255"/>
      <c r="O736" s="265"/>
      <c r="P736" s="260"/>
      <c r="Q736" s="260"/>
      <c r="R736" s="260"/>
      <c r="S736" s="630"/>
      <c r="T736" s="630"/>
      <c r="U736" s="630"/>
      <c r="V736" s="630"/>
      <c r="W736" s="260"/>
      <c r="X736" s="260"/>
      <c r="Y736" s="260"/>
      <c r="Z736" s="260"/>
      <c r="AA736" s="260"/>
      <c r="AB736" s="260"/>
      <c r="AC736" s="265"/>
      <c r="AD736" s="634"/>
      <c r="AE736" s="264">
        <f t="shared" ref="AE736:AH736" si="1806">AE728*($L728*$P728+$M728*$Q728+$N728*$R728)</f>
        <v>0</v>
      </c>
      <c r="AF736" s="264">
        <f t="shared" si="1806"/>
        <v>0</v>
      </c>
      <c r="AG736" s="264">
        <f t="shared" si="1806"/>
        <v>0</v>
      </c>
      <c r="AH736" s="264">
        <f t="shared" si="1806"/>
        <v>0</v>
      </c>
      <c r="AI736" s="264">
        <f t="shared" si="1797"/>
        <v>0</v>
      </c>
      <c r="AJ736" s="264">
        <f t="shared" si="1789"/>
        <v>0</v>
      </c>
      <c r="AK736" s="264">
        <f t="shared" si="1790"/>
        <v>0</v>
      </c>
      <c r="AL736" s="264">
        <f t="shared" si="1791"/>
        <v>0</v>
      </c>
      <c r="AM736" s="264">
        <f t="shared" si="1792"/>
        <v>0</v>
      </c>
      <c r="AN736" s="640">
        <f t="shared" si="1775"/>
        <v>0</v>
      </c>
      <c r="AO736" s="264">
        <f t="shared" si="1793"/>
        <v>0</v>
      </c>
      <c r="AP736" s="640">
        <f t="shared" si="1769"/>
        <v>0</v>
      </c>
      <c r="AQ736" s="264"/>
      <c r="AR736" s="264" t="str">
        <f>VLOOKUP($I736,TableInputsData[],ReadMe!$M$3,FALSE)&amp;"  |  "&amp;VLOOKUP($K736,TableInputsData[],ReadMe!$M$3,FALSE)</f>
        <v>PRODUIT 18  |  CHIFFRE D'AFFAIRES</v>
      </c>
      <c r="AS736" s="264" t="b">
        <f t="shared" si="1794"/>
        <v>1</v>
      </c>
      <c r="AT736" s="294"/>
    </row>
    <row r="737" spans="1:46" ht="13" hidden="1" x14ac:dyDescent="0.2">
      <c r="A737" s="294"/>
      <c r="B737" s="925"/>
      <c r="C737" s="271">
        <v>730</v>
      </c>
      <c r="D737" s="250">
        <f t="shared" si="1776"/>
        <v>0</v>
      </c>
      <c r="E737" s="250"/>
      <c r="F737" s="248" t="str">
        <f t="shared" si="1786"/>
        <v>YEAR5</v>
      </c>
      <c r="G737" s="250">
        <f>VLOOKUP(F737,TableInputsData[],$G$6,FALSE)</f>
        <v>2029</v>
      </c>
      <c r="H737" s="250" t="str">
        <f t="shared" ref="H737:I737" si="1807">H736</f>
        <v>PRODUCT</v>
      </c>
      <c r="I737" s="248" t="str">
        <f t="shared" si="1807"/>
        <v>PRODUCT 18</v>
      </c>
      <c r="J737" s="248" t="str">
        <f>VLOOKUP(I737,TableInputsData[],$J$6,FALSE)</f>
        <v>-</v>
      </c>
      <c r="K737" s="248" t="str">
        <f t="shared" si="1799"/>
        <v>REVENUE</v>
      </c>
      <c r="L737" s="255"/>
      <c r="M737" s="255"/>
      <c r="N737" s="255"/>
      <c r="O737" s="265"/>
      <c r="P737" s="260"/>
      <c r="Q737" s="260"/>
      <c r="R737" s="260"/>
      <c r="S737" s="630"/>
      <c r="T737" s="630"/>
      <c r="U737" s="630"/>
      <c r="V737" s="630"/>
      <c r="W737" s="260"/>
      <c r="X737" s="260"/>
      <c r="Y737" s="260"/>
      <c r="Z737" s="260"/>
      <c r="AA737" s="260"/>
      <c r="AB737" s="260"/>
      <c r="AC737" s="265"/>
      <c r="AD737" s="634"/>
      <c r="AE737" s="264">
        <f t="shared" ref="AE737:AH737" si="1808">AE729*($L729*$P729+$M729*$Q729+$N729*$R729)</f>
        <v>0</v>
      </c>
      <c r="AF737" s="264">
        <f t="shared" si="1808"/>
        <v>0</v>
      </c>
      <c r="AG737" s="264">
        <f t="shared" si="1808"/>
        <v>0</v>
      </c>
      <c r="AH737" s="264">
        <f t="shared" si="1808"/>
        <v>0</v>
      </c>
      <c r="AI737" s="264">
        <f t="shared" si="1797"/>
        <v>0</v>
      </c>
      <c r="AJ737" s="264">
        <f t="shared" si="1789"/>
        <v>0</v>
      </c>
      <c r="AK737" s="264">
        <f t="shared" si="1790"/>
        <v>0</v>
      </c>
      <c r="AL737" s="264">
        <f t="shared" si="1791"/>
        <v>0</v>
      </c>
      <c r="AM737" s="264">
        <f t="shared" si="1792"/>
        <v>0</v>
      </c>
      <c r="AN737" s="640">
        <f t="shared" si="1775"/>
        <v>0</v>
      </c>
      <c r="AO737" s="264">
        <f t="shared" si="1793"/>
        <v>0</v>
      </c>
      <c r="AP737" s="640">
        <f t="shared" si="1769"/>
        <v>0</v>
      </c>
      <c r="AQ737" s="264"/>
      <c r="AR737" s="264" t="str">
        <f>VLOOKUP($I737,TableInputsData[],ReadMe!$M$3,FALSE)&amp;"  |  "&amp;VLOOKUP($K737,TableInputsData[],ReadMe!$M$3,FALSE)</f>
        <v>PRODUIT 18  |  CHIFFRE D'AFFAIRES</v>
      </c>
      <c r="AS737" s="264" t="b">
        <f t="shared" si="1794"/>
        <v>1</v>
      </c>
      <c r="AT737" s="294"/>
    </row>
    <row r="738" spans="1:46" ht="13" hidden="1" x14ac:dyDescent="0.2">
      <c r="A738" s="294"/>
      <c r="B738" s="925"/>
      <c r="C738" s="271">
        <v>731</v>
      </c>
      <c r="D738" s="250">
        <f t="shared" si="1776"/>
        <v>0</v>
      </c>
      <c r="E738" s="250"/>
      <c r="F738" s="248" t="str">
        <f t="shared" si="1786"/>
        <v>YEAR6</v>
      </c>
      <c r="G738" s="250">
        <f>VLOOKUP(F738,TableInputsData[],$G$6,FALSE)</f>
        <v>2030</v>
      </c>
      <c r="H738" s="250" t="str">
        <f t="shared" ref="H738:I738" si="1809">H737</f>
        <v>PRODUCT</v>
      </c>
      <c r="I738" s="248" t="str">
        <f t="shared" si="1809"/>
        <v>PRODUCT 18</v>
      </c>
      <c r="J738" s="248" t="str">
        <f>VLOOKUP(I738,TableInputsData[],$J$6,FALSE)</f>
        <v>-</v>
      </c>
      <c r="K738" s="248" t="str">
        <f t="shared" si="1799"/>
        <v>REVENUE</v>
      </c>
      <c r="L738" s="255"/>
      <c r="M738" s="255"/>
      <c r="N738" s="255"/>
      <c r="O738" s="265"/>
      <c r="P738" s="260"/>
      <c r="Q738" s="260"/>
      <c r="R738" s="260"/>
      <c r="S738" s="630"/>
      <c r="T738" s="630"/>
      <c r="U738" s="630"/>
      <c r="V738" s="630"/>
      <c r="W738" s="260"/>
      <c r="X738" s="260"/>
      <c r="Y738" s="260"/>
      <c r="Z738" s="260"/>
      <c r="AA738" s="260"/>
      <c r="AB738" s="260"/>
      <c r="AC738" s="265"/>
      <c r="AD738" s="634"/>
      <c r="AE738" s="264">
        <f t="shared" ref="AE738:AH738" si="1810">AE730*($L730*$P730+$M730*$Q730+$N730*$R730)</f>
        <v>0</v>
      </c>
      <c r="AF738" s="264">
        <f t="shared" si="1810"/>
        <v>0</v>
      </c>
      <c r="AG738" s="264">
        <f t="shared" si="1810"/>
        <v>0</v>
      </c>
      <c r="AH738" s="264">
        <f t="shared" si="1810"/>
        <v>0</v>
      </c>
      <c r="AI738" s="264">
        <f>$AE738+$AF738+$AG738+$AH738</f>
        <v>0</v>
      </c>
      <c r="AJ738" s="264">
        <f t="shared" si="1789"/>
        <v>0</v>
      </c>
      <c r="AK738" s="264">
        <f t="shared" si="1790"/>
        <v>0</v>
      </c>
      <c r="AL738" s="264">
        <f t="shared" si="1791"/>
        <v>0</v>
      </c>
      <c r="AM738" s="264">
        <f t="shared" si="1792"/>
        <v>0</v>
      </c>
      <c r="AN738" s="640">
        <f t="shared" si="1775"/>
        <v>0</v>
      </c>
      <c r="AO738" s="264">
        <f t="shared" si="1793"/>
        <v>0</v>
      </c>
      <c r="AP738" s="640">
        <f t="shared" si="1769"/>
        <v>0</v>
      </c>
      <c r="AQ738" s="264"/>
      <c r="AR738" s="264" t="str">
        <f>VLOOKUP($I738,TableInputsData[],ReadMe!$M$3,FALSE)&amp;"  |  "&amp;VLOOKUP($K738,TableInputsData[],ReadMe!$M$3,FALSE)</f>
        <v>PRODUIT 18  |  CHIFFRE D'AFFAIRES</v>
      </c>
      <c r="AS738" s="264" t="b">
        <f t="shared" si="1794"/>
        <v>1</v>
      </c>
      <c r="AT738" s="294"/>
    </row>
    <row r="739" spans="1:46" ht="13" hidden="1" x14ac:dyDescent="0.2">
      <c r="A739" s="294"/>
      <c r="B739" s="925"/>
      <c r="C739" s="271">
        <v>732</v>
      </c>
      <c r="D739" s="250">
        <f t="shared" si="1776"/>
        <v>0</v>
      </c>
      <c r="E739" s="250"/>
      <c r="F739" s="248" t="str">
        <f t="shared" ref="F739:F746" si="1811">F723</f>
        <v>YEAR-2</v>
      </c>
      <c r="G739" s="250">
        <f>VLOOKUP(F739,TableInputsData[],$G$6,FALSE)</f>
        <v>2023</v>
      </c>
      <c r="H739" s="250" t="str">
        <f t="shared" ref="H739:I739" si="1812">H738</f>
        <v>PRODUCT</v>
      </c>
      <c r="I739" s="248" t="str">
        <f t="shared" si="1812"/>
        <v>PRODUCT 18</v>
      </c>
      <c r="J739" s="248" t="str">
        <f>VLOOKUP(I739,TableInputsData[],$J$6,FALSE)</f>
        <v>-</v>
      </c>
      <c r="K739" s="248" t="s">
        <v>456</v>
      </c>
      <c r="L739" s="255"/>
      <c r="M739" s="255"/>
      <c r="N739" s="255"/>
      <c r="O739" s="265"/>
      <c r="P739" s="260"/>
      <c r="Q739" s="260"/>
      <c r="R739" s="260"/>
      <c r="S739" s="630"/>
      <c r="T739" s="630"/>
      <c r="U739" s="630"/>
      <c r="V739" s="630"/>
      <c r="W739" s="260"/>
      <c r="X739" s="260"/>
      <c r="Y739" s="260"/>
      <c r="Z739" s="260"/>
      <c r="AA739" s="260"/>
      <c r="AB739" s="260"/>
      <c r="AC739" s="265"/>
      <c r="AD739" s="634"/>
      <c r="AE739" s="264">
        <f>IF(AE723=0,0,AE731/AE723)</f>
        <v>0</v>
      </c>
      <c r="AF739" s="264">
        <f t="shared" ref="AF739:AI739" si="1813">IF(AF723=0,0,AF731/AF723)</f>
        <v>0</v>
      </c>
      <c r="AG739" s="264">
        <f t="shared" si="1813"/>
        <v>0</v>
      </c>
      <c r="AH739" s="264">
        <f t="shared" si="1813"/>
        <v>0</v>
      </c>
      <c r="AI739" s="264">
        <f t="shared" si="1813"/>
        <v>0</v>
      </c>
      <c r="AJ739" s="264">
        <f>IF(AJ723=0,0,AJ731/AJ723)</f>
        <v>0</v>
      </c>
      <c r="AK739" s="264">
        <f t="shared" ref="AK739:AL739" si="1814">IF(AK723=0,0,AK731/AK723)</f>
        <v>0</v>
      </c>
      <c r="AL739" s="264">
        <f t="shared" si="1814"/>
        <v>0</v>
      </c>
      <c r="AM739" s="264">
        <f>IF(AM723=0,0,AM731/AM723)</f>
        <v>0</v>
      </c>
      <c r="AN739" s="260"/>
      <c r="AO739" s="264">
        <f t="shared" ref="AO739:AO746" si="1815">IF(AO723=0,0,AO731/AO723)</f>
        <v>0</v>
      </c>
      <c r="AP739" s="260"/>
      <c r="AQ739" s="264"/>
      <c r="AR739" s="264" t="str">
        <f>VLOOKUP($I739,TableInputsData[],ReadMe!$M$3,FALSE)&amp;"  |  "&amp;VLOOKUP($K739,TableInputsData[],ReadMe!$M$3,FALSE)</f>
        <v>PRODUIT 18  |  PRIX MOYEN DE VENTE PAR PRODUIT/SERVICE</v>
      </c>
      <c r="AS739" s="264"/>
      <c r="AT739" s="294"/>
    </row>
    <row r="740" spans="1:46" ht="13" hidden="1" x14ac:dyDescent="0.2">
      <c r="A740" s="294"/>
      <c r="B740" s="925"/>
      <c r="C740" s="271">
        <v>733</v>
      </c>
      <c r="D740" s="250">
        <f t="shared" si="1776"/>
        <v>0</v>
      </c>
      <c r="E740" s="250"/>
      <c r="F740" s="248" t="str">
        <f t="shared" si="1811"/>
        <v>YEAR-1</v>
      </c>
      <c r="G740" s="250">
        <f>VLOOKUP(F740,TableInputsData[],$G$6,FALSE)</f>
        <v>2024</v>
      </c>
      <c r="H740" s="250" t="str">
        <f t="shared" ref="H740:I740" si="1816">H739</f>
        <v>PRODUCT</v>
      </c>
      <c r="I740" s="248" t="str">
        <f t="shared" si="1816"/>
        <v>PRODUCT 18</v>
      </c>
      <c r="J740" s="248" t="str">
        <f>VLOOKUP(I740,TableInputsData[],$J$6,FALSE)</f>
        <v>-</v>
      </c>
      <c r="K740" s="248" t="str">
        <f>K739</f>
        <v>AVERAGE SELLING PRICE PER UNIT</v>
      </c>
      <c r="L740" s="255"/>
      <c r="M740" s="255"/>
      <c r="N740" s="255"/>
      <c r="O740" s="265"/>
      <c r="P740" s="260"/>
      <c r="Q740" s="260"/>
      <c r="R740" s="260"/>
      <c r="S740" s="630"/>
      <c r="T740" s="630"/>
      <c r="U740" s="630"/>
      <c r="V740" s="630"/>
      <c r="W740" s="260"/>
      <c r="X740" s="260"/>
      <c r="Y740" s="260"/>
      <c r="Z740" s="260"/>
      <c r="AA740" s="260"/>
      <c r="AB740" s="260"/>
      <c r="AC740" s="265"/>
      <c r="AD740" s="634"/>
      <c r="AE740" s="264">
        <f>IF(AE724=0,0,AE732/AE724)</f>
        <v>0</v>
      </c>
      <c r="AF740" s="264">
        <f t="shared" ref="AF740:AM740" si="1817">IF(AF724=0,0,AF732/AF724)</f>
        <v>0</v>
      </c>
      <c r="AG740" s="264">
        <f t="shared" si="1817"/>
        <v>0</v>
      </c>
      <c r="AH740" s="264">
        <f t="shared" si="1817"/>
        <v>0</v>
      </c>
      <c r="AI740" s="264">
        <f t="shared" si="1817"/>
        <v>0</v>
      </c>
      <c r="AJ740" s="264">
        <f t="shared" si="1817"/>
        <v>0</v>
      </c>
      <c r="AK740" s="264">
        <f t="shared" si="1817"/>
        <v>0</v>
      </c>
      <c r="AL740" s="264">
        <f t="shared" si="1817"/>
        <v>0</v>
      </c>
      <c r="AM740" s="264">
        <f t="shared" si="1817"/>
        <v>0</v>
      </c>
      <c r="AN740" s="260"/>
      <c r="AO740" s="264">
        <f t="shared" si="1815"/>
        <v>0</v>
      </c>
      <c r="AP740" s="260"/>
      <c r="AQ740" s="264"/>
      <c r="AR740" s="264" t="str">
        <f>VLOOKUP($I740,TableInputsData[],ReadMe!$M$3,FALSE)&amp;"  |  "&amp;VLOOKUP($K740,TableInputsData[],ReadMe!$M$3,FALSE)</f>
        <v>PRODUIT 18  |  PRIX MOYEN DE VENTE PAR PRODUIT/SERVICE</v>
      </c>
      <c r="AS740" s="264"/>
      <c r="AT740" s="294"/>
    </row>
    <row r="741" spans="1:46" ht="13" hidden="1" x14ac:dyDescent="0.2">
      <c r="A741" s="294"/>
      <c r="B741" s="925"/>
      <c r="C741" s="271">
        <v>734</v>
      </c>
      <c r="D741" s="250">
        <f t="shared" si="1776"/>
        <v>0</v>
      </c>
      <c r="E741" s="250"/>
      <c r="F741" s="248" t="str">
        <f t="shared" si="1811"/>
        <v>CURRENT YEAR</v>
      </c>
      <c r="G741" s="250">
        <f>VLOOKUP(F741,TableInputsData[],$G$6,FALSE)</f>
        <v>2025</v>
      </c>
      <c r="H741" s="250" t="str">
        <f t="shared" ref="H741:I741" si="1818">H740</f>
        <v>PRODUCT</v>
      </c>
      <c r="I741" s="248" t="str">
        <f t="shared" si="1818"/>
        <v>PRODUCT 18</v>
      </c>
      <c r="J741" s="248" t="str">
        <f>VLOOKUP(I741,TableInputsData[],$J$6,FALSE)</f>
        <v>-</v>
      </c>
      <c r="K741" s="248" t="str">
        <f t="shared" ref="K741:K746" si="1819">K740</f>
        <v>AVERAGE SELLING PRICE PER UNIT</v>
      </c>
      <c r="L741" s="255"/>
      <c r="M741" s="255"/>
      <c r="N741" s="255"/>
      <c r="O741" s="265"/>
      <c r="P741" s="260"/>
      <c r="Q741" s="260"/>
      <c r="R741" s="260"/>
      <c r="S741" s="630"/>
      <c r="T741" s="630"/>
      <c r="U741" s="630"/>
      <c r="V741" s="630"/>
      <c r="W741" s="260"/>
      <c r="X741" s="260"/>
      <c r="Y741" s="260"/>
      <c r="Z741" s="260"/>
      <c r="AA741" s="260"/>
      <c r="AB741" s="260"/>
      <c r="AC741" s="265"/>
      <c r="AD741" s="634"/>
      <c r="AE741" s="264">
        <f>IF(AE725=0,0,AE733/AE725)</f>
        <v>0</v>
      </c>
      <c r="AF741" s="264">
        <f t="shared" ref="AF741:AM741" si="1820">IF(AF725=0,0,AF733/AF725)</f>
        <v>0</v>
      </c>
      <c r="AG741" s="264">
        <f t="shared" si="1820"/>
        <v>0</v>
      </c>
      <c r="AH741" s="264">
        <f t="shared" si="1820"/>
        <v>0</v>
      </c>
      <c r="AI741" s="264">
        <f t="shared" si="1820"/>
        <v>0</v>
      </c>
      <c r="AJ741" s="264">
        <f t="shared" si="1820"/>
        <v>0</v>
      </c>
      <c r="AK741" s="264">
        <f t="shared" si="1820"/>
        <v>0</v>
      </c>
      <c r="AL741" s="264">
        <f t="shared" si="1820"/>
        <v>0</v>
      </c>
      <c r="AM741" s="264">
        <f t="shared" si="1820"/>
        <v>0</v>
      </c>
      <c r="AN741" s="260"/>
      <c r="AO741" s="264">
        <f t="shared" si="1815"/>
        <v>0</v>
      </c>
      <c r="AP741" s="260"/>
      <c r="AQ741" s="264"/>
      <c r="AR741" s="264" t="str">
        <f>VLOOKUP($I741,TableInputsData[],ReadMe!$M$3,FALSE)&amp;"  |  "&amp;VLOOKUP($K741,TableInputsData[],ReadMe!$M$3,FALSE)</f>
        <v>PRODUIT 18  |  PRIX MOYEN DE VENTE PAR PRODUIT/SERVICE</v>
      </c>
      <c r="AS741" s="264"/>
      <c r="AT741" s="294"/>
    </row>
    <row r="742" spans="1:46" ht="13" hidden="1" x14ac:dyDescent="0.2">
      <c r="A742" s="294"/>
      <c r="B742" s="925"/>
      <c r="C742" s="271">
        <v>735</v>
      </c>
      <c r="D742" s="250">
        <f t="shared" si="1776"/>
        <v>0</v>
      </c>
      <c r="E742" s="250"/>
      <c r="F742" s="248" t="str">
        <f t="shared" si="1811"/>
        <v>YEAR2</v>
      </c>
      <c r="G742" s="250">
        <f>VLOOKUP(F742,TableInputsData[],$G$6,FALSE)</f>
        <v>2026</v>
      </c>
      <c r="H742" s="250" t="str">
        <f t="shared" ref="H742:I742" si="1821">H741</f>
        <v>PRODUCT</v>
      </c>
      <c r="I742" s="248" t="str">
        <f t="shared" si="1821"/>
        <v>PRODUCT 18</v>
      </c>
      <c r="J742" s="248" t="str">
        <f>VLOOKUP(I742,TableInputsData[],$J$6,FALSE)</f>
        <v>-</v>
      </c>
      <c r="K742" s="248" t="str">
        <f t="shared" si="1819"/>
        <v>AVERAGE SELLING PRICE PER UNIT</v>
      </c>
      <c r="L742" s="255"/>
      <c r="M742" s="255"/>
      <c r="N742" s="255"/>
      <c r="O742" s="265"/>
      <c r="P742" s="260"/>
      <c r="Q742" s="260"/>
      <c r="R742" s="260"/>
      <c r="S742" s="630"/>
      <c r="T742" s="630"/>
      <c r="U742" s="630"/>
      <c r="V742" s="630"/>
      <c r="W742" s="260"/>
      <c r="X742" s="260"/>
      <c r="Y742" s="260"/>
      <c r="Z742" s="260"/>
      <c r="AA742" s="260"/>
      <c r="AB742" s="260"/>
      <c r="AC742" s="265"/>
      <c r="AD742" s="634"/>
      <c r="AE742" s="264">
        <f>IF(AE726=0,0,AE734/AE726)</f>
        <v>0</v>
      </c>
      <c r="AF742" s="264">
        <f t="shared" ref="AF742:AM742" si="1822">IF(AF726=0,0,AF734/AF726)</f>
        <v>0</v>
      </c>
      <c r="AG742" s="264">
        <f t="shared" si="1822"/>
        <v>0</v>
      </c>
      <c r="AH742" s="264">
        <f t="shared" si="1822"/>
        <v>0</v>
      </c>
      <c r="AI742" s="264">
        <f t="shared" si="1822"/>
        <v>0</v>
      </c>
      <c r="AJ742" s="264">
        <f t="shared" si="1822"/>
        <v>0</v>
      </c>
      <c r="AK742" s="264">
        <f t="shared" si="1822"/>
        <v>0</v>
      </c>
      <c r="AL742" s="264">
        <f t="shared" si="1822"/>
        <v>0</v>
      </c>
      <c r="AM742" s="264">
        <f t="shared" si="1822"/>
        <v>0</v>
      </c>
      <c r="AN742" s="260"/>
      <c r="AO742" s="264">
        <f t="shared" si="1815"/>
        <v>0</v>
      </c>
      <c r="AP742" s="260"/>
      <c r="AQ742" s="264"/>
      <c r="AR742" s="264" t="str">
        <f>VLOOKUP($I742,TableInputsData[],ReadMe!$M$3,FALSE)&amp;"  |  "&amp;VLOOKUP($K742,TableInputsData[],ReadMe!$M$3,FALSE)</f>
        <v>PRODUIT 18  |  PRIX MOYEN DE VENTE PAR PRODUIT/SERVICE</v>
      </c>
      <c r="AS742" s="264"/>
      <c r="AT742" s="294"/>
    </row>
    <row r="743" spans="1:46" ht="13" hidden="1" x14ac:dyDescent="0.2">
      <c r="A743" s="294"/>
      <c r="B743" s="925"/>
      <c r="C743" s="271">
        <v>736</v>
      </c>
      <c r="D743" s="250">
        <f t="shared" si="1776"/>
        <v>0</v>
      </c>
      <c r="E743" s="250"/>
      <c r="F743" s="248" t="str">
        <f t="shared" si="1811"/>
        <v>YEAR3</v>
      </c>
      <c r="G743" s="250">
        <f>VLOOKUP(F743,TableInputsData[],$G$6,FALSE)</f>
        <v>2027</v>
      </c>
      <c r="H743" s="250" t="str">
        <f t="shared" ref="H743:I743" si="1823">H742</f>
        <v>PRODUCT</v>
      </c>
      <c r="I743" s="248" t="str">
        <f t="shared" si="1823"/>
        <v>PRODUCT 18</v>
      </c>
      <c r="J743" s="248" t="str">
        <f>VLOOKUP(I743,TableInputsData[],$J$6,FALSE)</f>
        <v>-</v>
      </c>
      <c r="K743" s="248" t="str">
        <f t="shared" si="1819"/>
        <v>AVERAGE SELLING PRICE PER UNIT</v>
      </c>
      <c r="L743" s="255"/>
      <c r="M743" s="255"/>
      <c r="N743" s="255"/>
      <c r="O743" s="265"/>
      <c r="P743" s="260"/>
      <c r="Q743" s="260"/>
      <c r="R743" s="260"/>
      <c r="S743" s="630"/>
      <c r="T743" s="630"/>
      <c r="U743" s="630"/>
      <c r="V743" s="630"/>
      <c r="W743" s="260"/>
      <c r="X743" s="260"/>
      <c r="Y743" s="260"/>
      <c r="Z743" s="260"/>
      <c r="AA743" s="260"/>
      <c r="AB743" s="260"/>
      <c r="AC743" s="265"/>
      <c r="AD743" s="634"/>
      <c r="AE743" s="264">
        <f t="shared" ref="AE743:AM743" si="1824">IF(AE727=0,0,AE735/AE727)</f>
        <v>0</v>
      </c>
      <c r="AF743" s="264">
        <f t="shared" si="1824"/>
        <v>0</v>
      </c>
      <c r="AG743" s="264">
        <f t="shared" si="1824"/>
        <v>0</v>
      </c>
      <c r="AH743" s="264">
        <f t="shared" si="1824"/>
        <v>0</v>
      </c>
      <c r="AI743" s="264">
        <f t="shared" si="1824"/>
        <v>0</v>
      </c>
      <c r="AJ743" s="264">
        <f t="shared" si="1824"/>
        <v>0</v>
      </c>
      <c r="AK743" s="264">
        <f t="shared" si="1824"/>
        <v>0</v>
      </c>
      <c r="AL743" s="264">
        <f t="shared" si="1824"/>
        <v>0</v>
      </c>
      <c r="AM743" s="264">
        <f t="shared" si="1824"/>
        <v>0</v>
      </c>
      <c r="AN743" s="260"/>
      <c r="AO743" s="264">
        <f t="shared" si="1815"/>
        <v>0</v>
      </c>
      <c r="AP743" s="260"/>
      <c r="AQ743" s="264"/>
      <c r="AR743" s="264" t="str">
        <f>VLOOKUP($I743,TableInputsData[],ReadMe!$M$3,FALSE)&amp;"  |  "&amp;VLOOKUP($K743,TableInputsData[],ReadMe!$M$3,FALSE)</f>
        <v>PRODUIT 18  |  PRIX MOYEN DE VENTE PAR PRODUIT/SERVICE</v>
      </c>
      <c r="AS743" s="264"/>
      <c r="AT743" s="294"/>
    </row>
    <row r="744" spans="1:46" ht="13" hidden="1" x14ac:dyDescent="0.2">
      <c r="A744" s="294"/>
      <c r="B744" s="925"/>
      <c r="C744" s="272">
        <v>737</v>
      </c>
      <c r="D744" s="250">
        <f t="shared" si="1776"/>
        <v>0</v>
      </c>
      <c r="E744" s="251"/>
      <c r="F744" s="248" t="str">
        <f t="shared" si="1811"/>
        <v>YEAR4</v>
      </c>
      <c r="G744" s="250">
        <f>VLOOKUP(F744,TableInputsData[],$G$6,FALSE)</f>
        <v>2028</v>
      </c>
      <c r="H744" s="250" t="str">
        <f t="shared" ref="H744:I744" si="1825">H743</f>
        <v>PRODUCT</v>
      </c>
      <c r="I744" s="248" t="str">
        <f t="shared" si="1825"/>
        <v>PRODUCT 18</v>
      </c>
      <c r="J744" s="248" t="str">
        <f>VLOOKUP(I744,TableInputsData[],$J$6,FALSE)</f>
        <v>-</v>
      </c>
      <c r="K744" s="248" t="str">
        <f t="shared" si="1819"/>
        <v>AVERAGE SELLING PRICE PER UNIT</v>
      </c>
      <c r="L744" s="256"/>
      <c r="M744" s="256"/>
      <c r="N744" s="256"/>
      <c r="O744" s="266"/>
      <c r="P744" s="261"/>
      <c r="Q744" s="261"/>
      <c r="R744" s="261"/>
      <c r="S744" s="629"/>
      <c r="T744" s="629"/>
      <c r="U744" s="629"/>
      <c r="V744" s="629"/>
      <c r="W744" s="261"/>
      <c r="X744" s="261"/>
      <c r="Y744" s="261"/>
      <c r="Z744" s="261"/>
      <c r="AA744" s="261"/>
      <c r="AB744" s="261"/>
      <c r="AC744" s="266"/>
      <c r="AD744" s="633"/>
      <c r="AE744" s="264">
        <f t="shared" ref="AE744:AM744" si="1826">IF(AE728=0,0,AE736/AE728)</f>
        <v>0</v>
      </c>
      <c r="AF744" s="264">
        <f t="shared" si="1826"/>
        <v>0</v>
      </c>
      <c r="AG744" s="264">
        <f t="shared" si="1826"/>
        <v>0</v>
      </c>
      <c r="AH744" s="264">
        <f t="shared" si="1826"/>
        <v>0</v>
      </c>
      <c r="AI744" s="264">
        <f t="shared" si="1826"/>
        <v>0</v>
      </c>
      <c r="AJ744" s="264">
        <f t="shared" si="1826"/>
        <v>0</v>
      </c>
      <c r="AK744" s="264">
        <f t="shared" si="1826"/>
        <v>0</v>
      </c>
      <c r="AL744" s="264">
        <f t="shared" si="1826"/>
        <v>0</v>
      </c>
      <c r="AM744" s="264">
        <f t="shared" si="1826"/>
        <v>0</v>
      </c>
      <c r="AN744" s="260"/>
      <c r="AO744" s="264">
        <f t="shared" si="1815"/>
        <v>0</v>
      </c>
      <c r="AP744" s="260"/>
      <c r="AQ744" s="264"/>
      <c r="AR744" s="264" t="str">
        <f>VLOOKUP($I744,TableInputsData[],ReadMe!$M$3,FALSE)&amp;"  |  "&amp;VLOOKUP($K744,TableInputsData[],ReadMe!$M$3,FALSE)</f>
        <v>PRODUIT 18  |  PRIX MOYEN DE VENTE PAR PRODUIT/SERVICE</v>
      </c>
      <c r="AS744" s="264"/>
      <c r="AT744" s="294"/>
    </row>
    <row r="745" spans="1:46" ht="13" hidden="1" x14ac:dyDescent="0.2">
      <c r="A745" s="294"/>
      <c r="B745" s="925"/>
      <c r="C745" s="271">
        <v>738</v>
      </c>
      <c r="D745" s="250">
        <f t="shared" si="1776"/>
        <v>0</v>
      </c>
      <c r="E745" s="250"/>
      <c r="F745" s="248" t="str">
        <f t="shared" si="1811"/>
        <v>YEAR5</v>
      </c>
      <c r="G745" s="250">
        <f>VLOOKUP(F745,TableInputsData[],$G$6,FALSE)</f>
        <v>2029</v>
      </c>
      <c r="H745" s="250" t="str">
        <f t="shared" ref="H745:I745" si="1827">H744</f>
        <v>PRODUCT</v>
      </c>
      <c r="I745" s="248" t="str">
        <f t="shared" si="1827"/>
        <v>PRODUCT 18</v>
      </c>
      <c r="J745" s="248" t="str">
        <f>VLOOKUP(I745,TableInputsData[],$J$6,FALSE)</f>
        <v>-</v>
      </c>
      <c r="K745" s="248" t="str">
        <f t="shared" si="1819"/>
        <v>AVERAGE SELLING PRICE PER UNIT</v>
      </c>
      <c r="L745" s="255"/>
      <c r="M745" s="255"/>
      <c r="N745" s="255"/>
      <c r="O745" s="265"/>
      <c r="P745" s="260"/>
      <c r="Q745" s="260"/>
      <c r="R745" s="260"/>
      <c r="S745" s="630"/>
      <c r="T745" s="630"/>
      <c r="U745" s="630"/>
      <c r="V745" s="630"/>
      <c r="W745" s="260"/>
      <c r="X745" s="260"/>
      <c r="Y745" s="260"/>
      <c r="Z745" s="260"/>
      <c r="AA745" s="260"/>
      <c r="AB745" s="260"/>
      <c r="AC745" s="265"/>
      <c r="AD745" s="634"/>
      <c r="AE745" s="264">
        <f t="shared" ref="AE745:AM745" si="1828">IF(AE729=0,0,AE737/AE729)</f>
        <v>0</v>
      </c>
      <c r="AF745" s="264">
        <f t="shared" si="1828"/>
        <v>0</v>
      </c>
      <c r="AG745" s="264">
        <f t="shared" si="1828"/>
        <v>0</v>
      </c>
      <c r="AH745" s="264">
        <f t="shared" si="1828"/>
        <v>0</v>
      </c>
      <c r="AI745" s="264">
        <f t="shared" si="1828"/>
        <v>0</v>
      </c>
      <c r="AJ745" s="264">
        <f t="shared" si="1828"/>
        <v>0</v>
      </c>
      <c r="AK745" s="264">
        <f t="shared" si="1828"/>
        <v>0</v>
      </c>
      <c r="AL745" s="264">
        <f t="shared" si="1828"/>
        <v>0</v>
      </c>
      <c r="AM745" s="264">
        <f t="shared" si="1828"/>
        <v>0</v>
      </c>
      <c r="AN745" s="260"/>
      <c r="AO745" s="264">
        <f t="shared" si="1815"/>
        <v>0</v>
      </c>
      <c r="AP745" s="260"/>
      <c r="AQ745" s="264"/>
      <c r="AR745" s="264" t="str">
        <f>VLOOKUP($I745,TableInputsData[],ReadMe!$M$3,FALSE)&amp;"  |  "&amp;VLOOKUP($K745,TableInputsData[],ReadMe!$M$3,FALSE)</f>
        <v>PRODUIT 18  |  PRIX MOYEN DE VENTE PAR PRODUIT/SERVICE</v>
      </c>
      <c r="AS745" s="264"/>
      <c r="AT745" s="294"/>
    </row>
    <row r="746" spans="1:46" ht="13" hidden="1" x14ac:dyDescent="0.2">
      <c r="A746" s="294"/>
      <c r="B746" s="925"/>
      <c r="C746" s="271">
        <v>739</v>
      </c>
      <c r="D746" s="250">
        <f t="shared" si="1776"/>
        <v>0</v>
      </c>
      <c r="E746" s="250"/>
      <c r="F746" s="248" t="str">
        <f t="shared" si="1811"/>
        <v>YEAR6</v>
      </c>
      <c r="G746" s="250">
        <f>VLOOKUP(F746,TableInputsData[],$G$6,FALSE)</f>
        <v>2030</v>
      </c>
      <c r="H746" s="250" t="str">
        <f t="shared" ref="H746:I746" si="1829">H745</f>
        <v>PRODUCT</v>
      </c>
      <c r="I746" s="248" t="str">
        <f t="shared" si="1829"/>
        <v>PRODUCT 18</v>
      </c>
      <c r="J746" s="248" t="str">
        <f>VLOOKUP(I746,TableInputsData[],$J$6,FALSE)</f>
        <v>-</v>
      </c>
      <c r="K746" s="248" t="str">
        <f t="shared" si="1819"/>
        <v>AVERAGE SELLING PRICE PER UNIT</v>
      </c>
      <c r="L746" s="255"/>
      <c r="M746" s="255"/>
      <c r="N746" s="255"/>
      <c r="O746" s="265"/>
      <c r="P746" s="260"/>
      <c r="Q746" s="260"/>
      <c r="R746" s="260"/>
      <c r="S746" s="630"/>
      <c r="T746" s="630"/>
      <c r="U746" s="630"/>
      <c r="V746" s="630"/>
      <c r="W746" s="260"/>
      <c r="X746" s="260"/>
      <c r="Y746" s="260"/>
      <c r="Z746" s="260"/>
      <c r="AA746" s="260"/>
      <c r="AB746" s="260"/>
      <c r="AC746" s="265"/>
      <c r="AD746" s="634"/>
      <c r="AE746" s="264">
        <f t="shared" ref="AE746:AM746" si="1830">IF(AE730=0,0,AE738/AE730)</f>
        <v>0</v>
      </c>
      <c r="AF746" s="264">
        <f t="shared" si="1830"/>
        <v>0</v>
      </c>
      <c r="AG746" s="264">
        <f t="shared" si="1830"/>
        <v>0</v>
      </c>
      <c r="AH746" s="264">
        <f t="shared" si="1830"/>
        <v>0</v>
      </c>
      <c r="AI746" s="264">
        <f t="shared" si="1830"/>
        <v>0</v>
      </c>
      <c r="AJ746" s="264">
        <f t="shared" si="1830"/>
        <v>0</v>
      </c>
      <c r="AK746" s="264">
        <f t="shared" si="1830"/>
        <v>0</v>
      </c>
      <c r="AL746" s="264">
        <f t="shared" si="1830"/>
        <v>0</v>
      </c>
      <c r="AM746" s="264">
        <f t="shared" si="1830"/>
        <v>0</v>
      </c>
      <c r="AN746" s="260"/>
      <c r="AO746" s="264">
        <f t="shared" si="1815"/>
        <v>0</v>
      </c>
      <c r="AP746" s="260"/>
      <c r="AQ746" s="264"/>
      <c r="AR746" s="264" t="str">
        <f>VLOOKUP($I746,TableInputsData[],ReadMe!$M$3,FALSE)&amp;"  |  "&amp;VLOOKUP($K746,TableInputsData[],ReadMe!$M$3,FALSE)</f>
        <v>PRODUIT 18  |  PRIX MOYEN DE VENTE PAR PRODUIT/SERVICE</v>
      </c>
      <c r="AS746" s="264"/>
      <c r="AT746" s="294"/>
    </row>
    <row r="747" spans="1:46" ht="13" hidden="1" x14ac:dyDescent="0.2">
      <c r="A747" s="294"/>
      <c r="B747" s="925"/>
      <c r="C747" s="272">
        <v>740</v>
      </c>
      <c r="D747" s="250">
        <f t="shared" si="1776"/>
        <v>0</v>
      </c>
      <c r="E747" s="251"/>
      <c r="F747" s="248" t="str">
        <f t="shared" ref="F747:F754" si="1831">F755</f>
        <v>YEAR-2</v>
      </c>
      <c r="G747" s="250">
        <f>VLOOKUP(F747,TableInputsData[],$G$6,FALSE)</f>
        <v>2023</v>
      </c>
      <c r="H747" s="250" t="str">
        <f t="shared" ref="H747:I747" si="1832">H746</f>
        <v>PRODUCT</v>
      </c>
      <c r="I747" s="248" t="str">
        <f t="shared" si="1832"/>
        <v>PRODUCT 18</v>
      </c>
      <c r="J747" s="248" t="str">
        <f>VLOOKUP(I747,TableInputsData[],$J$6,FALSE)</f>
        <v>-</v>
      </c>
      <c r="K747" s="248" t="s">
        <v>531</v>
      </c>
      <c r="L747" s="256"/>
      <c r="M747" s="256"/>
      <c r="N747" s="256"/>
      <c r="O747" s="266"/>
      <c r="P747" s="261"/>
      <c r="Q747" s="261"/>
      <c r="R747" s="261"/>
      <c r="S747" s="629"/>
      <c r="T747" s="629"/>
      <c r="U747" s="629"/>
      <c r="V747" s="629"/>
      <c r="W747" s="261"/>
      <c r="X747" s="261"/>
      <c r="Y747" s="261"/>
      <c r="Z747" s="261"/>
      <c r="AA747" s="261"/>
      <c r="AB747" s="261"/>
      <c r="AC747" s="266"/>
      <c r="AD747" s="633"/>
      <c r="AE747" s="264">
        <f>AE723*($S723*$P723+$T723*$Q723+$U723*$R723)</f>
        <v>0</v>
      </c>
      <c r="AF747" s="264">
        <f t="shared" ref="AF747:AH747" si="1833">AF723*($S723*$P723+$T723*$Q723+$U723*$R723)</f>
        <v>0</v>
      </c>
      <c r="AG747" s="264">
        <f t="shared" si="1833"/>
        <v>0</v>
      </c>
      <c r="AH747" s="264">
        <f t="shared" si="1833"/>
        <v>0</v>
      </c>
      <c r="AI747" s="264">
        <f t="shared" ref="AI747:AI754" si="1834">$AE747+$AF747+$AG747+$AH747</f>
        <v>0</v>
      </c>
      <c r="AJ747" s="264">
        <f t="shared" ref="AJ747:AJ754" si="1835">$AJ723*$S723</f>
        <v>0</v>
      </c>
      <c r="AK747" s="264">
        <f t="shared" ref="AK747:AK754" si="1836">$AK723*$T723</f>
        <v>0</v>
      </c>
      <c r="AL747" s="264">
        <f t="shared" ref="AL747:AL754" si="1837">$AL723*$U723</f>
        <v>0</v>
      </c>
      <c r="AM747" s="264">
        <f t="shared" ref="AM747:AM754" si="1838">$AJ747*$W723+$AK747*$X723+$AL747*$Y723</f>
        <v>0</v>
      </c>
      <c r="AN747" s="640">
        <f t="shared" ref="AN747:AN754" si="1839">IF(AI747=0,0,AM747/AI747)</f>
        <v>0</v>
      </c>
      <c r="AO747" s="264">
        <f t="shared" ref="AO747:AO754" si="1840">$AJ747*$Z723+$AK747*$AA723+$AL747*$AB723</f>
        <v>0</v>
      </c>
      <c r="AP747" s="640">
        <f t="shared" ref="AP747:AP754" si="1841">IF(AI747=0,0,AO747/AI747)</f>
        <v>0</v>
      </c>
      <c r="AQ747" s="264"/>
      <c r="AR747" s="264" t="str">
        <f>VLOOKUP($I747,TableInputsData[],ReadMe!$M$3,FALSE)&amp;"  |  "&amp;VLOOKUP($K747,TableInputsData[],ReadMe!$M$3,FALSE)</f>
        <v>PRODUIT 18  |  DEPENSES SUR ACHATS</v>
      </c>
      <c r="AS747" s="264" t="b">
        <f t="shared" ref="AS747:AS754" si="1842">AND(EXACT(ROUND(AI747,2),ROUND(AJ747+AK747+AL747,2)),EXACT(ROUND(AI747,2),ROUND(AM747+AO747,2)))</f>
        <v>1</v>
      </c>
      <c r="AT747" s="294"/>
    </row>
    <row r="748" spans="1:46" ht="13" hidden="1" x14ac:dyDescent="0.2">
      <c r="A748" s="294"/>
      <c r="B748" s="925"/>
      <c r="C748" s="271">
        <v>741</v>
      </c>
      <c r="D748" s="250">
        <f t="shared" si="1776"/>
        <v>0</v>
      </c>
      <c r="E748" s="250"/>
      <c r="F748" s="248" t="str">
        <f t="shared" si="1831"/>
        <v>YEAR-1</v>
      </c>
      <c r="G748" s="250">
        <f>VLOOKUP(F748,TableInputsData[],$G$6,FALSE)</f>
        <v>2024</v>
      </c>
      <c r="H748" s="250" t="str">
        <f t="shared" ref="H748:I748" si="1843">H747</f>
        <v>PRODUCT</v>
      </c>
      <c r="I748" s="248" t="str">
        <f t="shared" si="1843"/>
        <v>PRODUCT 18</v>
      </c>
      <c r="J748" s="248" t="str">
        <f>VLOOKUP(I748,TableInputsData[],$J$6,FALSE)</f>
        <v>-</v>
      </c>
      <c r="K748" s="248" t="str">
        <f>K747</f>
        <v>COST OF GOODS SOLD</v>
      </c>
      <c r="L748" s="255"/>
      <c r="M748" s="255"/>
      <c r="N748" s="255"/>
      <c r="O748" s="265"/>
      <c r="P748" s="260"/>
      <c r="Q748" s="260"/>
      <c r="R748" s="260"/>
      <c r="S748" s="630"/>
      <c r="T748" s="630"/>
      <c r="U748" s="630"/>
      <c r="V748" s="630"/>
      <c r="W748" s="260"/>
      <c r="X748" s="260"/>
      <c r="Y748" s="260"/>
      <c r="Z748" s="260"/>
      <c r="AA748" s="260"/>
      <c r="AB748" s="260"/>
      <c r="AC748" s="265"/>
      <c r="AD748" s="634"/>
      <c r="AE748" s="264">
        <f t="shared" ref="AE748:AH748" si="1844">AE724*($S724*$P724+$T724*$Q724+$U724*$R724)</f>
        <v>0</v>
      </c>
      <c r="AF748" s="264">
        <f t="shared" si="1844"/>
        <v>0</v>
      </c>
      <c r="AG748" s="264">
        <f t="shared" si="1844"/>
        <v>0</v>
      </c>
      <c r="AH748" s="264">
        <f t="shared" si="1844"/>
        <v>0</v>
      </c>
      <c r="AI748" s="264">
        <f t="shared" si="1834"/>
        <v>0</v>
      </c>
      <c r="AJ748" s="264">
        <f t="shared" si="1835"/>
        <v>0</v>
      </c>
      <c r="AK748" s="264">
        <f t="shared" si="1836"/>
        <v>0</v>
      </c>
      <c r="AL748" s="264">
        <f t="shared" si="1837"/>
        <v>0</v>
      </c>
      <c r="AM748" s="264">
        <f t="shared" si="1838"/>
        <v>0</v>
      </c>
      <c r="AN748" s="640">
        <f t="shared" si="1839"/>
        <v>0</v>
      </c>
      <c r="AO748" s="264">
        <f t="shared" si="1840"/>
        <v>0</v>
      </c>
      <c r="AP748" s="640">
        <f t="shared" si="1841"/>
        <v>0</v>
      </c>
      <c r="AQ748" s="264"/>
      <c r="AR748" s="264" t="str">
        <f>VLOOKUP($I748,TableInputsData[],ReadMe!$M$3,FALSE)&amp;"  |  "&amp;VLOOKUP($K748,TableInputsData[],ReadMe!$M$3,FALSE)</f>
        <v>PRODUIT 18  |  DEPENSES SUR ACHATS</v>
      </c>
      <c r="AS748" s="264" t="b">
        <f t="shared" si="1842"/>
        <v>1</v>
      </c>
      <c r="AT748" s="294"/>
    </row>
    <row r="749" spans="1:46" ht="13" hidden="1" x14ac:dyDescent="0.2">
      <c r="A749" s="294"/>
      <c r="B749" s="925"/>
      <c r="C749" s="271">
        <v>742</v>
      </c>
      <c r="D749" s="250">
        <f t="shared" si="1776"/>
        <v>0</v>
      </c>
      <c r="E749" s="250"/>
      <c r="F749" s="248" t="str">
        <f t="shared" si="1831"/>
        <v>CURRENT YEAR</v>
      </c>
      <c r="G749" s="250">
        <f>VLOOKUP(F749,TableInputsData[],$G$6,FALSE)</f>
        <v>2025</v>
      </c>
      <c r="H749" s="250" t="str">
        <f t="shared" ref="H749:I749" si="1845">H748</f>
        <v>PRODUCT</v>
      </c>
      <c r="I749" s="248" t="str">
        <f t="shared" si="1845"/>
        <v>PRODUCT 18</v>
      </c>
      <c r="J749" s="248" t="str">
        <f>VLOOKUP(I749,TableInputsData[],$J$6,FALSE)</f>
        <v>-</v>
      </c>
      <c r="K749" s="248" t="str">
        <f t="shared" ref="K749:K754" si="1846">K748</f>
        <v>COST OF GOODS SOLD</v>
      </c>
      <c r="L749" s="255"/>
      <c r="M749" s="255"/>
      <c r="N749" s="255"/>
      <c r="O749" s="265"/>
      <c r="P749" s="260"/>
      <c r="Q749" s="260"/>
      <c r="R749" s="260"/>
      <c r="S749" s="630"/>
      <c r="T749" s="630"/>
      <c r="U749" s="630"/>
      <c r="V749" s="630"/>
      <c r="W749" s="260"/>
      <c r="X749" s="260"/>
      <c r="Y749" s="260"/>
      <c r="Z749" s="260"/>
      <c r="AA749" s="260"/>
      <c r="AB749" s="260"/>
      <c r="AC749" s="265"/>
      <c r="AD749" s="634"/>
      <c r="AE749" s="264">
        <f t="shared" ref="AE749:AH749" si="1847">AE725*($S725*$P725+$T725*$Q725+$U725*$R725)</f>
        <v>0</v>
      </c>
      <c r="AF749" s="264">
        <f t="shared" si="1847"/>
        <v>0</v>
      </c>
      <c r="AG749" s="264">
        <f t="shared" si="1847"/>
        <v>0</v>
      </c>
      <c r="AH749" s="264">
        <f t="shared" si="1847"/>
        <v>0</v>
      </c>
      <c r="AI749" s="264">
        <f t="shared" si="1834"/>
        <v>0</v>
      </c>
      <c r="AJ749" s="264">
        <f t="shared" si="1835"/>
        <v>0</v>
      </c>
      <c r="AK749" s="264">
        <f t="shared" si="1836"/>
        <v>0</v>
      </c>
      <c r="AL749" s="264">
        <f t="shared" si="1837"/>
        <v>0</v>
      </c>
      <c r="AM749" s="264">
        <f t="shared" si="1838"/>
        <v>0</v>
      </c>
      <c r="AN749" s="640">
        <f t="shared" si="1839"/>
        <v>0</v>
      </c>
      <c r="AO749" s="264">
        <f t="shared" si="1840"/>
        <v>0</v>
      </c>
      <c r="AP749" s="640">
        <f t="shared" si="1841"/>
        <v>0</v>
      </c>
      <c r="AQ749" s="264"/>
      <c r="AR749" s="264" t="str">
        <f>VLOOKUP($I749,TableInputsData[],ReadMe!$M$3,FALSE)&amp;"  |  "&amp;VLOOKUP($K749,TableInputsData[],ReadMe!$M$3,FALSE)</f>
        <v>PRODUIT 18  |  DEPENSES SUR ACHATS</v>
      </c>
      <c r="AS749" s="264" t="b">
        <f t="shared" si="1842"/>
        <v>1</v>
      </c>
      <c r="AT749" s="294"/>
    </row>
    <row r="750" spans="1:46" ht="13" hidden="1" x14ac:dyDescent="0.2">
      <c r="A750" s="294"/>
      <c r="B750" s="925"/>
      <c r="C750" s="271">
        <v>743</v>
      </c>
      <c r="D750" s="250">
        <f t="shared" si="1776"/>
        <v>0</v>
      </c>
      <c r="E750" s="250"/>
      <c r="F750" s="248" t="str">
        <f t="shared" si="1831"/>
        <v>YEAR2</v>
      </c>
      <c r="G750" s="250">
        <f>VLOOKUP(F750,TableInputsData[],$G$6,FALSE)</f>
        <v>2026</v>
      </c>
      <c r="H750" s="250" t="str">
        <f t="shared" ref="H750:I750" si="1848">H749</f>
        <v>PRODUCT</v>
      </c>
      <c r="I750" s="248" t="str">
        <f t="shared" si="1848"/>
        <v>PRODUCT 18</v>
      </c>
      <c r="J750" s="248" t="str">
        <f>VLOOKUP(I750,TableInputsData[],$J$6,FALSE)</f>
        <v>-</v>
      </c>
      <c r="K750" s="248" t="str">
        <f t="shared" si="1846"/>
        <v>COST OF GOODS SOLD</v>
      </c>
      <c r="L750" s="255"/>
      <c r="M750" s="255"/>
      <c r="N750" s="255"/>
      <c r="O750" s="265"/>
      <c r="P750" s="260"/>
      <c r="Q750" s="260"/>
      <c r="R750" s="260"/>
      <c r="S750" s="630"/>
      <c r="T750" s="630"/>
      <c r="U750" s="630"/>
      <c r="V750" s="630"/>
      <c r="W750" s="260"/>
      <c r="X750" s="260"/>
      <c r="Y750" s="260"/>
      <c r="Z750" s="260"/>
      <c r="AA750" s="260"/>
      <c r="AB750" s="260"/>
      <c r="AC750" s="265"/>
      <c r="AD750" s="634"/>
      <c r="AE750" s="264">
        <f t="shared" ref="AE750:AH750" si="1849">AE726*($S726*$P726+$T726*$Q726+$U726*$R726)</f>
        <v>0</v>
      </c>
      <c r="AF750" s="264">
        <f t="shared" si="1849"/>
        <v>0</v>
      </c>
      <c r="AG750" s="264">
        <f t="shared" si="1849"/>
        <v>0</v>
      </c>
      <c r="AH750" s="264">
        <f t="shared" si="1849"/>
        <v>0</v>
      </c>
      <c r="AI750" s="264">
        <f t="shared" si="1834"/>
        <v>0</v>
      </c>
      <c r="AJ750" s="264">
        <f t="shared" si="1835"/>
        <v>0</v>
      </c>
      <c r="AK750" s="264">
        <f t="shared" si="1836"/>
        <v>0</v>
      </c>
      <c r="AL750" s="264">
        <f t="shared" si="1837"/>
        <v>0</v>
      </c>
      <c r="AM750" s="264">
        <f t="shared" si="1838"/>
        <v>0</v>
      </c>
      <c r="AN750" s="640">
        <f t="shared" si="1839"/>
        <v>0</v>
      </c>
      <c r="AO750" s="264">
        <f t="shared" si="1840"/>
        <v>0</v>
      </c>
      <c r="AP750" s="640">
        <f t="shared" si="1841"/>
        <v>0</v>
      </c>
      <c r="AQ750" s="264"/>
      <c r="AR750" s="264" t="str">
        <f>VLOOKUP($I750,TableInputsData[],ReadMe!$M$3,FALSE)&amp;"  |  "&amp;VLOOKUP($K750,TableInputsData[],ReadMe!$M$3,FALSE)</f>
        <v>PRODUIT 18  |  DEPENSES SUR ACHATS</v>
      </c>
      <c r="AS750" s="264" t="b">
        <f t="shared" si="1842"/>
        <v>1</v>
      </c>
      <c r="AT750" s="294"/>
    </row>
    <row r="751" spans="1:46" ht="13" hidden="1" x14ac:dyDescent="0.2">
      <c r="A751" s="294"/>
      <c r="B751" s="925"/>
      <c r="C751" s="271">
        <v>744</v>
      </c>
      <c r="D751" s="250">
        <f t="shared" si="1776"/>
        <v>0</v>
      </c>
      <c r="E751" s="250"/>
      <c r="F751" s="248" t="str">
        <f t="shared" si="1831"/>
        <v>YEAR3</v>
      </c>
      <c r="G751" s="250">
        <f>VLOOKUP(F751,TableInputsData[],$G$6,FALSE)</f>
        <v>2027</v>
      </c>
      <c r="H751" s="250" t="str">
        <f t="shared" ref="H751:I751" si="1850">H750</f>
        <v>PRODUCT</v>
      </c>
      <c r="I751" s="248" t="str">
        <f t="shared" si="1850"/>
        <v>PRODUCT 18</v>
      </c>
      <c r="J751" s="248" t="str">
        <f>VLOOKUP(I751,TableInputsData[],$J$6,FALSE)</f>
        <v>-</v>
      </c>
      <c r="K751" s="248" t="str">
        <f t="shared" si="1846"/>
        <v>COST OF GOODS SOLD</v>
      </c>
      <c r="L751" s="255"/>
      <c r="M751" s="255"/>
      <c r="N751" s="255"/>
      <c r="O751" s="265"/>
      <c r="P751" s="260"/>
      <c r="Q751" s="260"/>
      <c r="R751" s="260"/>
      <c r="S751" s="630"/>
      <c r="T751" s="630"/>
      <c r="U751" s="630"/>
      <c r="V751" s="630"/>
      <c r="W751" s="260"/>
      <c r="X751" s="260"/>
      <c r="Y751" s="260"/>
      <c r="Z751" s="260"/>
      <c r="AA751" s="260"/>
      <c r="AB751" s="260"/>
      <c r="AC751" s="265"/>
      <c r="AD751" s="634"/>
      <c r="AE751" s="264">
        <f t="shared" ref="AE751:AH751" si="1851">AE727*($S727*$P727+$T727*$Q727+$U727*$R727)</f>
        <v>0</v>
      </c>
      <c r="AF751" s="264">
        <f t="shared" si="1851"/>
        <v>0</v>
      </c>
      <c r="AG751" s="264">
        <f t="shared" si="1851"/>
        <v>0</v>
      </c>
      <c r="AH751" s="264">
        <f t="shared" si="1851"/>
        <v>0</v>
      </c>
      <c r="AI751" s="264">
        <f t="shared" si="1834"/>
        <v>0</v>
      </c>
      <c r="AJ751" s="264">
        <f t="shared" si="1835"/>
        <v>0</v>
      </c>
      <c r="AK751" s="264">
        <f t="shared" si="1836"/>
        <v>0</v>
      </c>
      <c r="AL751" s="264">
        <f t="shared" si="1837"/>
        <v>0</v>
      </c>
      <c r="AM751" s="264">
        <f t="shared" si="1838"/>
        <v>0</v>
      </c>
      <c r="AN751" s="640">
        <f t="shared" si="1839"/>
        <v>0</v>
      </c>
      <c r="AO751" s="264">
        <f t="shared" si="1840"/>
        <v>0</v>
      </c>
      <c r="AP751" s="640">
        <f t="shared" si="1841"/>
        <v>0</v>
      </c>
      <c r="AQ751" s="264"/>
      <c r="AR751" s="264" t="str">
        <f>VLOOKUP($I751,TableInputsData[],ReadMe!$M$3,FALSE)&amp;"  |  "&amp;VLOOKUP($K751,TableInputsData[],ReadMe!$M$3,FALSE)</f>
        <v>PRODUIT 18  |  DEPENSES SUR ACHATS</v>
      </c>
      <c r="AS751" s="264" t="b">
        <f t="shared" si="1842"/>
        <v>1</v>
      </c>
      <c r="AT751" s="294"/>
    </row>
    <row r="752" spans="1:46" ht="13" hidden="1" x14ac:dyDescent="0.2">
      <c r="A752" s="294"/>
      <c r="B752" s="925"/>
      <c r="C752" s="271">
        <v>745</v>
      </c>
      <c r="D752" s="250">
        <f t="shared" si="1776"/>
        <v>0</v>
      </c>
      <c r="E752" s="250"/>
      <c r="F752" s="248" t="str">
        <f t="shared" si="1831"/>
        <v>YEAR4</v>
      </c>
      <c r="G752" s="250">
        <f>VLOOKUP(F752,TableInputsData[],$G$6,FALSE)</f>
        <v>2028</v>
      </c>
      <c r="H752" s="250" t="str">
        <f t="shared" ref="H752:I752" si="1852">H751</f>
        <v>PRODUCT</v>
      </c>
      <c r="I752" s="248" t="str">
        <f t="shared" si="1852"/>
        <v>PRODUCT 18</v>
      </c>
      <c r="J752" s="248" t="str">
        <f>VLOOKUP(I752,TableInputsData[],$J$6,FALSE)</f>
        <v>-</v>
      </c>
      <c r="K752" s="248" t="str">
        <f t="shared" si="1846"/>
        <v>COST OF GOODS SOLD</v>
      </c>
      <c r="L752" s="255"/>
      <c r="M752" s="255"/>
      <c r="N752" s="255"/>
      <c r="O752" s="265"/>
      <c r="P752" s="260"/>
      <c r="Q752" s="260"/>
      <c r="R752" s="260"/>
      <c r="S752" s="630"/>
      <c r="T752" s="630"/>
      <c r="U752" s="630"/>
      <c r="V752" s="630"/>
      <c r="W752" s="260"/>
      <c r="X752" s="260"/>
      <c r="Y752" s="260"/>
      <c r="Z752" s="260"/>
      <c r="AA752" s="260"/>
      <c r="AB752" s="260"/>
      <c r="AC752" s="265"/>
      <c r="AD752" s="634"/>
      <c r="AE752" s="264">
        <f t="shared" ref="AE752:AH752" si="1853">AE728*($S728*$P728+$T728*$Q728+$U728*$R728)</f>
        <v>0</v>
      </c>
      <c r="AF752" s="264">
        <f t="shared" si="1853"/>
        <v>0</v>
      </c>
      <c r="AG752" s="264">
        <f t="shared" si="1853"/>
        <v>0</v>
      </c>
      <c r="AH752" s="264">
        <f t="shared" si="1853"/>
        <v>0</v>
      </c>
      <c r="AI752" s="264">
        <f t="shared" si="1834"/>
        <v>0</v>
      </c>
      <c r="AJ752" s="264">
        <f t="shared" si="1835"/>
        <v>0</v>
      </c>
      <c r="AK752" s="264">
        <f t="shared" si="1836"/>
        <v>0</v>
      </c>
      <c r="AL752" s="264">
        <f t="shared" si="1837"/>
        <v>0</v>
      </c>
      <c r="AM752" s="264">
        <f t="shared" si="1838"/>
        <v>0</v>
      </c>
      <c r="AN752" s="640">
        <f t="shared" si="1839"/>
        <v>0</v>
      </c>
      <c r="AO752" s="264">
        <f t="shared" si="1840"/>
        <v>0</v>
      </c>
      <c r="AP752" s="640">
        <f t="shared" si="1841"/>
        <v>0</v>
      </c>
      <c r="AQ752" s="264"/>
      <c r="AR752" s="264" t="str">
        <f>VLOOKUP($I752,TableInputsData[],ReadMe!$M$3,FALSE)&amp;"  |  "&amp;VLOOKUP($K752,TableInputsData[],ReadMe!$M$3,FALSE)</f>
        <v>PRODUIT 18  |  DEPENSES SUR ACHATS</v>
      </c>
      <c r="AS752" s="264" t="b">
        <f t="shared" si="1842"/>
        <v>1</v>
      </c>
      <c r="AT752" s="294"/>
    </row>
    <row r="753" spans="1:46" ht="13" hidden="1" x14ac:dyDescent="0.2">
      <c r="A753" s="294"/>
      <c r="B753" s="925"/>
      <c r="C753" s="271">
        <v>746</v>
      </c>
      <c r="D753" s="250">
        <f t="shared" si="1776"/>
        <v>0</v>
      </c>
      <c r="E753" s="250"/>
      <c r="F753" s="248" t="str">
        <f t="shared" si="1831"/>
        <v>YEAR5</v>
      </c>
      <c r="G753" s="250">
        <f>VLOOKUP(F753,TableInputsData[],$G$6,FALSE)</f>
        <v>2029</v>
      </c>
      <c r="H753" s="250" t="str">
        <f t="shared" ref="H753:I753" si="1854">H752</f>
        <v>PRODUCT</v>
      </c>
      <c r="I753" s="248" t="str">
        <f t="shared" si="1854"/>
        <v>PRODUCT 18</v>
      </c>
      <c r="J753" s="248" t="str">
        <f>VLOOKUP(I753,TableInputsData[],$J$6,FALSE)</f>
        <v>-</v>
      </c>
      <c r="K753" s="248" t="str">
        <f t="shared" si="1846"/>
        <v>COST OF GOODS SOLD</v>
      </c>
      <c r="L753" s="255"/>
      <c r="M753" s="255"/>
      <c r="N753" s="255"/>
      <c r="O753" s="265"/>
      <c r="P753" s="260"/>
      <c r="Q753" s="260"/>
      <c r="R753" s="260"/>
      <c r="S753" s="630"/>
      <c r="T753" s="630"/>
      <c r="U753" s="630"/>
      <c r="V753" s="630"/>
      <c r="W753" s="260"/>
      <c r="X753" s="260"/>
      <c r="Y753" s="260"/>
      <c r="Z753" s="260"/>
      <c r="AA753" s="260"/>
      <c r="AB753" s="260"/>
      <c r="AC753" s="265"/>
      <c r="AD753" s="634"/>
      <c r="AE753" s="264">
        <f t="shared" ref="AE753:AH753" si="1855">AE729*($S729*$P729+$T729*$Q729+$U729*$R729)</f>
        <v>0</v>
      </c>
      <c r="AF753" s="264">
        <f t="shared" si="1855"/>
        <v>0</v>
      </c>
      <c r="AG753" s="264">
        <f t="shared" si="1855"/>
        <v>0</v>
      </c>
      <c r="AH753" s="264">
        <f t="shared" si="1855"/>
        <v>0</v>
      </c>
      <c r="AI753" s="264">
        <f t="shared" si="1834"/>
        <v>0</v>
      </c>
      <c r="AJ753" s="264">
        <f t="shared" si="1835"/>
        <v>0</v>
      </c>
      <c r="AK753" s="264">
        <f t="shared" si="1836"/>
        <v>0</v>
      </c>
      <c r="AL753" s="264">
        <f t="shared" si="1837"/>
        <v>0</v>
      </c>
      <c r="AM753" s="264">
        <f t="shared" si="1838"/>
        <v>0</v>
      </c>
      <c r="AN753" s="640">
        <f t="shared" si="1839"/>
        <v>0</v>
      </c>
      <c r="AO753" s="264">
        <f t="shared" si="1840"/>
        <v>0</v>
      </c>
      <c r="AP753" s="640">
        <f t="shared" si="1841"/>
        <v>0</v>
      </c>
      <c r="AQ753" s="264"/>
      <c r="AR753" s="264" t="str">
        <f>VLOOKUP($I753,TableInputsData[],ReadMe!$M$3,FALSE)&amp;"  |  "&amp;VLOOKUP($K753,TableInputsData[],ReadMe!$M$3,FALSE)</f>
        <v>PRODUIT 18  |  DEPENSES SUR ACHATS</v>
      </c>
      <c r="AS753" s="264" t="b">
        <f t="shared" si="1842"/>
        <v>1</v>
      </c>
      <c r="AT753" s="294"/>
    </row>
    <row r="754" spans="1:46" ht="13" hidden="1" x14ac:dyDescent="0.2">
      <c r="A754" s="294"/>
      <c r="B754" s="925"/>
      <c r="C754" s="271">
        <v>747</v>
      </c>
      <c r="D754" s="250">
        <f t="shared" si="1776"/>
        <v>0</v>
      </c>
      <c r="E754" s="250"/>
      <c r="F754" s="248" t="str">
        <f t="shared" si="1831"/>
        <v>YEAR6</v>
      </c>
      <c r="G754" s="250">
        <f>VLOOKUP(F754,TableInputsData[],$G$6,FALSE)</f>
        <v>2030</v>
      </c>
      <c r="H754" s="250" t="str">
        <f t="shared" ref="H754:I754" si="1856">H753</f>
        <v>PRODUCT</v>
      </c>
      <c r="I754" s="248" t="str">
        <f t="shared" si="1856"/>
        <v>PRODUCT 18</v>
      </c>
      <c r="J754" s="248" t="str">
        <f>VLOOKUP(I754,TableInputsData[],$J$6,FALSE)</f>
        <v>-</v>
      </c>
      <c r="K754" s="248" t="str">
        <f t="shared" si="1846"/>
        <v>COST OF GOODS SOLD</v>
      </c>
      <c r="L754" s="255"/>
      <c r="M754" s="255"/>
      <c r="N754" s="255"/>
      <c r="O754" s="265"/>
      <c r="P754" s="260"/>
      <c r="Q754" s="260"/>
      <c r="R754" s="260"/>
      <c r="S754" s="630"/>
      <c r="T754" s="630"/>
      <c r="U754" s="630"/>
      <c r="V754" s="630"/>
      <c r="W754" s="260"/>
      <c r="X754" s="260"/>
      <c r="Y754" s="260"/>
      <c r="Z754" s="260"/>
      <c r="AA754" s="260"/>
      <c r="AB754" s="260"/>
      <c r="AC754" s="265"/>
      <c r="AD754" s="634"/>
      <c r="AE754" s="264">
        <f t="shared" ref="AE754:AH754" si="1857">AE730*($S730*$P730+$T730*$Q730+$U730*$R730)</f>
        <v>0</v>
      </c>
      <c r="AF754" s="264">
        <f t="shared" si="1857"/>
        <v>0</v>
      </c>
      <c r="AG754" s="264">
        <f t="shared" si="1857"/>
        <v>0</v>
      </c>
      <c r="AH754" s="264">
        <f t="shared" si="1857"/>
        <v>0</v>
      </c>
      <c r="AI754" s="264">
        <f t="shared" si="1834"/>
        <v>0</v>
      </c>
      <c r="AJ754" s="264">
        <f t="shared" si="1835"/>
        <v>0</v>
      </c>
      <c r="AK754" s="264">
        <f t="shared" si="1836"/>
        <v>0</v>
      </c>
      <c r="AL754" s="264">
        <f t="shared" si="1837"/>
        <v>0</v>
      </c>
      <c r="AM754" s="264">
        <f t="shared" si="1838"/>
        <v>0</v>
      </c>
      <c r="AN754" s="640">
        <f t="shared" si="1839"/>
        <v>0</v>
      </c>
      <c r="AO754" s="264">
        <f t="shared" si="1840"/>
        <v>0</v>
      </c>
      <c r="AP754" s="640">
        <f t="shared" si="1841"/>
        <v>0</v>
      </c>
      <c r="AQ754" s="264"/>
      <c r="AR754" s="264" t="str">
        <f>VLOOKUP($I754,TableInputsData[],ReadMe!$M$3,FALSE)&amp;"  |  "&amp;VLOOKUP($K754,TableInputsData[],ReadMe!$M$3,FALSE)</f>
        <v>PRODUIT 18  |  DEPENSES SUR ACHATS</v>
      </c>
      <c r="AS754" s="264" t="b">
        <f t="shared" si="1842"/>
        <v>1</v>
      </c>
      <c r="AT754" s="294"/>
    </row>
    <row r="755" spans="1:46" ht="13" hidden="1" x14ac:dyDescent="0.2">
      <c r="A755" s="294"/>
      <c r="B755" s="925"/>
      <c r="C755" s="272">
        <v>748</v>
      </c>
      <c r="D755" s="250">
        <f t="shared" si="1776"/>
        <v>0</v>
      </c>
      <c r="E755" s="251"/>
      <c r="F755" s="248" t="str">
        <f t="shared" ref="F755:F762" si="1858">F731</f>
        <v>YEAR-2</v>
      </c>
      <c r="G755" s="250">
        <f>VLOOKUP(F755,TableInputsData[],$G$6,FALSE)</f>
        <v>2023</v>
      </c>
      <c r="H755" s="250" t="str">
        <f t="shared" ref="H755:I755" si="1859">H754</f>
        <v>PRODUCT</v>
      </c>
      <c r="I755" s="248" t="str">
        <f t="shared" si="1859"/>
        <v>PRODUCT 18</v>
      </c>
      <c r="J755" s="248" t="str">
        <f>VLOOKUP(I755,TableInputsData[],$J$6,FALSE)</f>
        <v>-</v>
      </c>
      <c r="K755" s="248" t="s">
        <v>532</v>
      </c>
      <c r="L755" s="256"/>
      <c r="M755" s="256"/>
      <c r="N755" s="256"/>
      <c r="O755" s="266"/>
      <c r="P755" s="261"/>
      <c r="Q755" s="261"/>
      <c r="R755" s="261"/>
      <c r="S755" s="629"/>
      <c r="T755" s="629"/>
      <c r="U755" s="629"/>
      <c r="V755" s="629"/>
      <c r="W755" s="261"/>
      <c r="X755" s="261"/>
      <c r="Y755" s="261"/>
      <c r="Z755" s="261"/>
      <c r="AA755" s="261"/>
      <c r="AB755" s="261"/>
      <c r="AC755" s="266"/>
      <c r="AD755" s="633"/>
      <c r="AE755" s="264">
        <f>IF(AE723=0,0,AE747/AE723)</f>
        <v>0</v>
      </c>
      <c r="AF755" s="264">
        <f t="shared" ref="AF755:AI755" si="1860">IF(AF723=0,0,AF747/AF723)</f>
        <v>0</v>
      </c>
      <c r="AG755" s="264">
        <f t="shared" si="1860"/>
        <v>0</v>
      </c>
      <c r="AH755" s="264">
        <f t="shared" si="1860"/>
        <v>0</v>
      </c>
      <c r="AI755" s="264">
        <f t="shared" si="1860"/>
        <v>0</v>
      </c>
      <c r="AJ755" s="264">
        <f>IF(AJ723=0,0,AJ747/AJ723)</f>
        <v>0</v>
      </c>
      <c r="AK755" s="264">
        <f t="shared" ref="AK755:AL755" si="1861">IF(AK723=0,0,AK747/AK723)</f>
        <v>0</v>
      </c>
      <c r="AL755" s="264">
        <f t="shared" si="1861"/>
        <v>0</v>
      </c>
      <c r="AM755" s="264">
        <f>IF(AM723=0,0,AM747/AM723)</f>
        <v>0</v>
      </c>
      <c r="AN755" s="260"/>
      <c r="AO755" s="264">
        <f t="shared" ref="AO755" si="1862">IF(AO723=0,0,AO747/AO723)</f>
        <v>0</v>
      </c>
      <c r="AP755" s="260"/>
      <c r="AQ755" s="264"/>
      <c r="AR755" s="264" t="str">
        <f>VLOOKUP($I755,TableInputsData[],ReadMe!$M$3,FALSE)&amp;"  |  "&amp;VLOOKUP($K755,TableInputsData[],ReadMe!$M$3,FALSE)</f>
        <v>PRODUIT 18  |  PRIX MOYEN D'ACHAT PAR PRODUIT/SERVICE</v>
      </c>
      <c r="AS755" s="264"/>
      <c r="AT755" s="294"/>
    </row>
    <row r="756" spans="1:46" ht="13" hidden="1" x14ac:dyDescent="0.2">
      <c r="A756" s="294"/>
      <c r="B756" s="925"/>
      <c r="C756" s="272">
        <v>749</v>
      </c>
      <c r="D756" s="250">
        <f t="shared" si="1776"/>
        <v>0</v>
      </c>
      <c r="E756" s="251"/>
      <c r="F756" s="248" t="str">
        <f t="shared" si="1858"/>
        <v>YEAR-1</v>
      </c>
      <c r="G756" s="250">
        <f>VLOOKUP(F756,TableInputsData[],$G$6,FALSE)</f>
        <v>2024</v>
      </c>
      <c r="H756" s="250" t="str">
        <f t="shared" ref="H756:I756" si="1863">H755</f>
        <v>PRODUCT</v>
      </c>
      <c r="I756" s="248" t="str">
        <f t="shared" si="1863"/>
        <v>PRODUCT 18</v>
      </c>
      <c r="J756" s="248" t="str">
        <f>VLOOKUP(I756,TableInputsData[],$J$6,FALSE)</f>
        <v>-</v>
      </c>
      <c r="K756" s="248" t="str">
        <f>K755</f>
        <v>AVERAGE COST OF GOODS SOLD PER UNIT</v>
      </c>
      <c r="L756" s="256"/>
      <c r="M756" s="256"/>
      <c r="N756" s="256"/>
      <c r="O756" s="266"/>
      <c r="P756" s="261"/>
      <c r="Q756" s="261"/>
      <c r="R756" s="261"/>
      <c r="S756" s="629"/>
      <c r="T756" s="629"/>
      <c r="U756" s="629"/>
      <c r="V756" s="629"/>
      <c r="W756" s="261"/>
      <c r="X756" s="261"/>
      <c r="Y756" s="261"/>
      <c r="Z756" s="261"/>
      <c r="AA756" s="261"/>
      <c r="AB756" s="261"/>
      <c r="AC756" s="266"/>
      <c r="AD756" s="633"/>
      <c r="AE756" s="264">
        <f t="shared" ref="AE756:AL756" si="1864">IF(AE724=0,0,AE748/AE724)</f>
        <v>0</v>
      </c>
      <c r="AF756" s="264">
        <f t="shared" si="1864"/>
        <v>0</v>
      </c>
      <c r="AG756" s="264">
        <f t="shared" si="1864"/>
        <v>0</v>
      </c>
      <c r="AH756" s="264">
        <f t="shared" si="1864"/>
        <v>0</v>
      </c>
      <c r="AI756" s="264">
        <f t="shared" si="1864"/>
        <v>0</v>
      </c>
      <c r="AJ756" s="264">
        <f t="shared" si="1864"/>
        <v>0</v>
      </c>
      <c r="AK756" s="264">
        <f t="shared" si="1864"/>
        <v>0</v>
      </c>
      <c r="AL756" s="264">
        <f t="shared" si="1864"/>
        <v>0</v>
      </c>
      <c r="AM756" s="264">
        <f>IF(AM724=0,0,AM748/AM724)</f>
        <v>0</v>
      </c>
      <c r="AN756" s="260"/>
      <c r="AO756" s="264">
        <f>IF(AO724=0,0,AO748/AO724)</f>
        <v>0</v>
      </c>
      <c r="AP756" s="260"/>
      <c r="AQ756" s="264"/>
      <c r="AR756" s="264" t="str">
        <f>VLOOKUP($I756,TableInputsData[],ReadMe!$M$3,FALSE)&amp;"  |  "&amp;VLOOKUP($K756,TableInputsData[],ReadMe!$M$3,FALSE)</f>
        <v>PRODUIT 18  |  PRIX MOYEN D'ACHAT PAR PRODUIT/SERVICE</v>
      </c>
      <c r="AS756" s="264"/>
      <c r="AT756" s="294"/>
    </row>
    <row r="757" spans="1:46" ht="13" hidden="1" x14ac:dyDescent="0.2">
      <c r="A757" s="294"/>
      <c r="B757" s="925"/>
      <c r="C757" s="272">
        <v>750</v>
      </c>
      <c r="D757" s="250">
        <f t="shared" si="1776"/>
        <v>0</v>
      </c>
      <c r="E757" s="251"/>
      <c r="F757" s="248" t="str">
        <f t="shared" si="1858"/>
        <v>CURRENT YEAR</v>
      </c>
      <c r="G757" s="250">
        <f>VLOOKUP(F757,TableInputsData[],$G$6,FALSE)</f>
        <v>2025</v>
      </c>
      <c r="H757" s="250" t="str">
        <f t="shared" ref="H757:I757" si="1865">H756</f>
        <v>PRODUCT</v>
      </c>
      <c r="I757" s="248" t="str">
        <f t="shared" si="1865"/>
        <v>PRODUCT 18</v>
      </c>
      <c r="J757" s="248" t="str">
        <f>VLOOKUP(I757,TableInputsData[],$J$6,FALSE)</f>
        <v>-</v>
      </c>
      <c r="K757" s="248" t="str">
        <f t="shared" ref="K757:K762" si="1866">K756</f>
        <v>AVERAGE COST OF GOODS SOLD PER UNIT</v>
      </c>
      <c r="L757" s="256"/>
      <c r="M757" s="256"/>
      <c r="N757" s="256"/>
      <c r="O757" s="266"/>
      <c r="P757" s="261"/>
      <c r="Q757" s="261"/>
      <c r="R757" s="261"/>
      <c r="S757" s="629"/>
      <c r="T757" s="629"/>
      <c r="U757" s="629"/>
      <c r="V757" s="629"/>
      <c r="W757" s="261"/>
      <c r="X757" s="261"/>
      <c r="Y757" s="261"/>
      <c r="Z757" s="261"/>
      <c r="AA757" s="261"/>
      <c r="AB757" s="261"/>
      <c r="AC757" s="266"/>
      <c r="AD757" s="633"/>
      <c r="AE757" s="264">
        <f t="shared" ref="AE757:AL757" si="1867">IF(AE725=0,0,AE749/AE725)</f>
        <v>0</v>
      </c>
      <c r="AF757" s="264">
        <f t="shared" si="1867"/>
        <v>0</v>
      </c>
      <c r="AG757" s="264">
        <f t="shared" si="1867"/>
        <v>0</v>
      </c>
      <c r="AH757" s="264">
        <f t="shared" si="1867"/>
        <v>0</v>
      </c>
      <c r="AI757" s="264">
        <f t="shared" si="1867"/>
        <v>0</v>
      </c>
      <c r="AJ757" s="264">
        <f t="shared" si="1867"/>
        <v>0</v>
      </c>
      <c r="AK757" s="264">
        <f t="shared" si="1867"/>
        <v>0</v>
      </c>
      <c r="AL757" s="264">
        <f t="shared" si="1867"/>
        <v>0</v>
      </c>
      <c r="AM757" s="264">
        <f>IF(AM725=0,0,AM749/AM725)</f>
        <v>0</v>
      </c>
      <c r="AN757" s="260"/>
      <c r="AO757" s="264">
        <f>IF(AO725=0,0,AO749/AO725)</f>
        <v>0</v>
      </c>
      <c r="AP757" s="260"/>
      <c r="AQ757" s="264"/>
      <c r="AR757" s="264" t="str">
        <f>VLOOKUP($I757,TableInputsData[],ReadMe!$M$3,FALSE)&amp;"  |  "&amp;VLOOKUP($K757,TableInputsData[],ReadMe!$M$3,FALSE)</f>
        <v>PRODUIT 18  |  PRIX MOYEN D'ACHAT PAR PRODUIT/SERVICE</v>
      </c>
      <c r="AS757" s="264"/>
      <c r="AT757" s="294"/>
    </row>
    <row r="758" spans="1:46" ht="13" hidden="1" x14ac:dyDescent="0.2">
      <c r="A758" s="294"/>
      <c r="B758" s="925"/>
      <c r="C758" s="272">
        <v>751</v>
      </c>
      <c r="D758" s="250">
        <f t="shared" si="1776"/>
        <v>0</v>
      </c>
      <c r="E758" s="251"/>
      <c r="F758" s="248" t="str">
        <f t="shared" si="1858"/>
        <v>YEAR2</v>
      </c>
      <c r="G758" s="250">
        <f>VLOOKUP(F758,TableInputsData[],$G$6,FALSE)</f>
        <v>2026</v>
      </c>
      <c r="H758" s="250" t="str">
        <f t="shared" ref="H758:I758" si="1868">H757</f>
        <v>PRODUCT</v>
      </c>
      <c r="I758" s="248" t="str">
        <f t="shared" si="1868"/>
        <v>PRODUCT 18</v>
      </c>
      <c r="J758" s="248" t="str">
        <f>VLOOKUP(I758,TableInputsData[],$J$6,FALSE)</f>
        <v>-</v>
      </c>
      <c r="K758" s="248" t="str">
        <f t="shared" si="1866"/>
        <v>AVERAGE COST OF GOODS SOLD PER UNIT</v>
      </c>
      <c r="L758" s="256"/>
      <c r="M758" s="256"/>
      <c r="N758" s="256"/>
      <c r="O758" s="266"/>
      <c r="P758" s="261"/>
      <c r="Q758" s="261"/>
      <c r="R758" s="261"/>
      <c r="S758" s="629"/>
      <c r="T758" s="629"/>
      <c r="U758" s="629"/>
      <c r="V758" s="629"/>
      <c r="W758" s="261"/>
      <c r="X758" s="261"/>
      <c r="Y758" s="261"/>
      <c r="Z758" s="261"/>
      <c r="AA758" s="261"/>
      <c r="AB758" s="261"/>
      <c r="AC758" s="266"/>
      <c r="AD758" s="633"/>
      <c r="AE758" s="264">
        <f t="shared" ref="AE758:AM758" si="1869">IF(AE726=0,0,AE750/AE726)</f>
        <v>0</v>
      </c>
      <c r="AF758" s="264">
        <f t="shared" si="1869"/>
        <v>0</v>
      </c>
      <c r="AG758" s="264">
        <f t="shared" si="1869"/>
        <v>0</v>
      </c>
      <c r="AH758" s="264">
        <f t="shared" si="1869"/>
        <v>0</v>
      </c>
      <c r="AI758" s="264">
        <f t="shared" si="1869"/>
        <v>0</v>
      </c>
      <c r="AJ758" s="264">
        <f t="shared" si="1869"/>
        <v>0</v>
      </c>
      <c r="AK758" s="264">
        <f t="shared" si="1869"/>
        <v>0</v>
      </c>
      <c r="AL758" s="264">
        <f t="shared" si="1869"/>
        <v>0</v>
      </c>
      <c r="AM758" s="264">
        <f t="shared" si="1869"/>
        <v>0</v>
      </c>
      <c r="AN758" s="260"/>
      <c r="AO758" s="264">
        <f t="shared" ref="AO758:AO762" si="1870">IF(AO726=0,0,AO750/AO726)</f>
        <v>0</v>
      </c>
      <c r="AP758" s="260"/>
      <c r="AQ758" s="264"/>
      <c r="AR758" s="264" t="str">
        <f>VLOOKUP($I758,TableInputsData[],ReadMe!$M$3,FALSE)&amp;"  |  "&amp;VLOOKUP($K758,TableInputsData[],ReadMe!$M$3,FALSE)</f>
        <v>PRODUIT 18  |  PRIX MOYEN D'ACHAT PAR PRODUIT/SERVICE</v>
      </c>
      <c r="AS758" s="264"/>
      <c r="AT758" s="294"/>
    </row>
    <row r="759" spans="1:46" ht="13" hidden="1" x14ac:dyDescent="0.2">
      <c r="A759" s="294"/>
      <c r="B759" s="925"/>
      <c r="C759" s="272">
        <v>752</v>
      </c>
      <c r="D759" s="250">
        <f t="shared" si="1776"/>
        <v>0</v>
      </c>
      <c r="E759" s="251"/>
      <c r="F759" s="248" t="str">
        <f t="shared" si="1858"/>
        <v>YEAR3</v>
      </c>
      <c r="G759" s="250">
        <f>VLOOKUP(F759,TableInputsData[],$G$6,FALSE)</f>
        <v>2027</v>
      </c>
      <c r="H759" s="250" t="str">
        <f t="shared" ref="H759:I759" si="1871">H758</f>
        <v>PRODUCT</v>
      </c>
      <c r="I759" s="248" t="str">
        <f t="shared" si="1871"/>
        <v>PRODUCT 18</v>
      </c>
      <c r="J759" s="248" t="str">
        <f>VLOOKUP(I759,TableInputsData[],$J$6,FALSE)</f>
        <v>-</v>
      </c>
      <c r="K759" s="248" t="str">
        <f t="shared" si="1866"/>
        <v>AVERAGE COST OF GOODS SOLD PER UNIT</v>
      </c>
      <c r="L759" s="256"/>
      <c r="M759" s="256"/>
      <c r="N759" s="256"/>
      <c r="O759" s="266"/>
      <c r="P759" s="261"/>
      <c r="Q759" s="261"/>
      <c r="R759" s="261"/>
      <c r="S759" s="629"/>
      <c r="T759" s="629"/>
      <c r="U759" s="629"/>
      <c r="V759" s="629"/>
      <c r="W759" s="261"/>
      <c r="X759" s="261"/>
      <c r="Y759" s="261"/>
      <c r="Z759" s="261"/>
      <c r="AA759" s="261"/>
      <c r="AB759" s="261"/>
      <c r="AC759" s="266"/>
      <c r="AD759" s="633"/>
      <c r="AE759" s="264">
        <f t="shared" ref="AE759:AM759" si="1872">IF(AE727=0,0,AE751/AE727)</f>
        <v>0</v>
      </c>
      <c r="AF759" s="264">
        <f t="shared" si="1872"/>
        <v>0</v>
      </c>
      <c r="AG759" s="264">
        <f t="shared" si="1872"/>
        <v>0</v>
      </c>
      <c r="AH759" s="264">
        <f t="shared" si="1872"/>
        <v>0</v>
      </c>
      <c r="AI759" s="264">
        <f t="shared" si="1872"/>
        <v>0</v>
      </c>
      <c r="AJ759" s="264">
        <f t="shared" si="1872"/>
        <v>0</v>
      </c>
      <c r="AK759" s="264">
        <f t="shared" si="1872"/>
        <v>0</v>
      </c>
      <c r="AL759" s="264">
        <f t="shared" si="1872"/>
        <v>0</v>
      </c>
      <c r="AM759" s="264">
        <f t="shared" si="1872"/>
        <v>0</v>
      </c>
      <c r="AN759" s="260"/>
      <c r="AO759" s="264">
        <f t="shared" si="1870"/>
        <v>0</v>
      </c>
      <c r="AP759" s="260"/>
      <c r="AQ759" s="264"/>
      <c r="AR759" s="264" t="str">
        <f>VLOOKUP($I759,TableInputsData[],ReadMe!$M$3,FALSE)&amp;"  |  "&amp;VLOOKUP($K759,TableInputsData[],ReadMe!$M$3,FALSE)</f>
        <v>PRODUIT 18  |  PRIX MOYEN D'ACHAT PAR PRODUIT/SERVICE</v>
      </c>
      <c r="AS759" s="264"/>
      <c r="AT759" s="294"/>
    </row>
    <row r="760" spans="1:46" ht="13" hidden="1" x14ac:dyDescent="0.2">
      <c r="A760" s="294"/>
      <c r="B760" s="925"/>
      <c r="C760" s="272">
        <v>753</v>
      </c>
      <c r="D760" s="250">
        <f t="shared" si="1776"/>
        <v>0</v>
      </c>
      <c r="E760" s="251"/>
      <c r="F760" s="248" t="str">
        <f t="shared" si="1858"/>
        <v>YEAR4</v>
      </c>
      <c r="G760" s="250">
        <f>VLOOKUP(F760,TableInputsData[],$G$6,FALSE)</f>
        <v>2028</v>
      </c>
      <c r="H760" s="250" t="str">
        <f t="shared" ref="H760:I760" si="1873">H759</f>
        <v>PRODUCT</v>
      </c>
      <c r="I760" s="248" t="str">
        <f t="shared" si="1873"/>
        <v>PRODUCT 18</v>
      </c>
      <c r="J760" s="248" t="str">
        <f>VLOOKUP(I760,TableInputsData[],$J$6,FALSE)</f>
        <v>-</v>
      </c>
      <c r="K760" s="248" t="str">
        <f t="shared" si="1866"/>
        <v>AVERAGE COST OF GOODS SOLD PER UNIT</v>
      </c>
      <c r="L760" s="256"/>
      <c r="M760" s="256"/>
      <c r="N760" s="256"/>
      <c r="O760" s="266"/>
      <c r="P760" s="261"/>
      <c r="Q760" s="261"/>
      <c r="R760" s="261"/>
      <c r="S760" s="629"/>
      <c r="T760" s="629"/>
      <c r="U760" s="629"/>
      <c r="V760" s="629"/>
      <c r="W760" s="261"/>
      <c r="X760" s="261"/>
      <c r="Y760" s="261"/>
      <c r="Z760" s="261"/>
      <c r="AA760" s="261"/>
      <c r="AB760" s="261"/>
      <c r="AC760" s="266"/>
      <c r="AD760" s="633"/>
      <c r="AE760" s="264">
        <f t="shared" ref="AE760:AM760" si="1874">IF(AE728=0,0,AE752/AE728)</f>
        <v>0</v>
      </c>
      <c r="AF760" s="264">
        <f t="shared" si="1874"/>
        <v>0</v>
      </c>
      <c r="AG760" s="264">
        <f t="shared" si="1874"/>
        <v>0</v>
      </c>
      <c r="AH760" s="264">
        <f t="shared" si="1874"/>
        <v>0</v>
      </c>
      <c r="AI760" s="264">
        <f t="shared" si="1874"/>
        <v>0</v>
      </c>
      <c r="AJ760" s="264">
        <f t="shared" si="1874"/>
        <v>0</v>
      </c>
      <c r="AK760" s="264">
        <f t="shared" si="1874"/>
        <v>0</v>
      </c>
      <c r="AL760" s="264">
        <f t="shared" si="1874"/>
        <v>0</v>
      </c>
      <c r="AM760" s="264">
        <f t="shared" si="1874"/>
        <v>0</v>
      </c>
      <c r="AN760" s="260"/>
      <c r="AO760" s="264">
        <f t="shared" si="1870"/>
        <v>0</v>
      </c>
      <c r="AP760" s="260"/>
      <c r="AQ760" s="264"/>
      <c r="AR760" s="264" t="str">
        <f>VLOOKUP($I760,TableInputsData[],ReadMe!$M$3,FALSE)&amp;"  |  "&amp;VLOOKUP($K760,TableInputsData[],ReadMe!$M$3,FALSE)</f>
        <v>PRODUIT 18  |  PRIX MOYEN D'ACHAT PAR PRODUIT/SERVICE</v>
      </c>
      <c r="AS760" s="264"/>
      <c r="AT760" s="294"/>
    </row>
    <row r="761" spans="1:46" ht="13" hidden="1" x14ac:dyDescent="0.2">
      <c r="A761" s="294"/>
      <c r="B761" s="925"/>
      <c r="C761" s="272">
        <v>754</v>
      </c>
      <c r="D761" s="250">
        <f t="shared" si="1776"/>
        <v>0</v>
      </c>
      <c r="E761" s="251"/>
      <c r="F761" s="248" t="str">
        <f t="shared" si="1858"/>
        <v>YEAR5</v>
      </c>
      <c r="G761" s="250">
        <f>VLOOKUP(F761,TableInputsData[],$G$6,FALSE)</f>
        <v>2029</v>
      </c>
      <c r="H761" s="250" t="str">
        <f t="shared" ref="H761:I761" si="1875">H760</f>
        <v>PRODUCT</v>
      </c>
      <c r="I761" s="248" t="str">
        <f t="shared" si="1875"/>
        <v>PRODUCT 18</v>
      </c>
      <c r="J761" s="248" t="str">
        <f>VLOOKUP(I761,TableInputsData[],$J$6,FALSE)</f>
        <v>-</v>
      </c>
      <c r="K761" s="248" t="str">
        <f t="shared" si="1866"/>
        <v>AVERAGE COST OF GOODS SOLD PER UNIT</v>
      </c>
      <c r="L761" s="256"/>
      <c r="M761" s="256"/>
      <c r="N761" s="256"/>
      <c r="O761" s="266"/>
      <c r="P761" s="261"/>
      <c r="Q761" s="261"/>
      <c r="R761" s="261"/>
      <c r="S761" s="629"/>
      <c r="T761" s="629"/>
      <c r="U761" s="629"/>
      <c r="V761" s="629"/>
      <c r="W761" s="261"/>
      <c r="X761" s="261"/>
      <c r="Y761" s="261"/>
      <c r="Z761" s="261"/>
      <c r="AA761" s="261"/>
      <c r="AB761" s="261"/>
      <c r="AC761" s="266"/>
      <c r="AD761" s="633"/>
      <c r="AE761" s="264">
        <f t="shared" ref="AE761:AM761" si="1876">IF(AE729=0,0,AE753/AE729)</f>
        <v>0</v>
      </c>
      <c r="AF761" s="264">
        <f t="shared" si="1876"/>
        <v>0</v>
      </c>
      <c r="AG761" s="264">
        <f t="shared" si="1876"/>
        <v>0</v>
      </c>
      <c r="AH761" s="264">
        <f t="shared" si="1876"/>
        <v>0</v>
      </c>
      <c r="AI761" s="264">
        <f t="shared" si="1876"/>
        <v>0</v>
      </c>
      <c r="AJ761" s="264">
        <f t="shared" si="1876"/>
        <v>0</v>
      </c>
      <c r="AK761" s="264">
        <f t="shared" si="1876"/>
        <v>0</v>
      </c>
      <c r="AL761" s="264">
        <f t="shared" si="1876"/>
        <v>0</v>
      </c>
      <c r="AM761" s="264">
        <f t="shared" si="1876"/>
        <v>0</v>
      </c>
      <c r="AN761" s="260"/>
      <c r="AO761" s="264">
        <f t="shared" si="1870"/>
        <v>0</v>
      </c>
      <c r="AP761" s="260"/>
      <c r="AQ761" s="264"/>
      <c r="AR761" s="264" t="str">
        <f>VLOOKUP($I761,TableInputsData[],ReadMe!$M$3,FALSE)&amp;"  |  "&amp;VLOOKUP($K761,TableInputsData[],ReadMe!$M$3,FALSE)</f>
        <v>PRODUIT 18  |  PRIX MOYEN D'ACHAT PAR PRODUIT/SERVICE</v>
      </c>
      <c r="AS761" s="264"/>
      <c r="AT761" s="294"/>
    </row>
    <row r="762" spans="1:46" ht="13" hidden="1" x14ac:dyDescent="0.2">
      <c r="A762" s="294"/>
      <c r="B762" s="925"/>
      <c r="C762" s="272">
        <v>755</v>
      </c>
      <c r="D762" s="250">
        <f t="shared" si="1776"/>
        <v>0</v>
      </c>
      <c r="E762" s="251"/>
      <c r="F762" s="248" t="str">
        <f t="shared" si="1858"/>
        <v>YEAR6</v>
      </c>
      <c r="G762" s="250">
        <f>VLOOKUP(F762,TableInputsData[],$G$6,FALSE)</f>
        <v>2030</v>
      </c>
      <c r="H762" s="250" t="str">
        <f t="shared" ref="H762:I762" si="1877">H761</f>
        <v>PRODUCT</v>
      </c>
      <c r="I762" s="248" t="str">
        <f t="shared" si="1877"/>
        <v>PRODUCT 18</v>
      </c>
      <c r="J762" s="248" t="str">
        <f>VLOOKUP(I762,TableInputsData[],$J$6,FALSE)</f>
        <v>-</v>
      </c>
      <c r="K762" s="248" t="str">
        <f t="shared" si="1866"/>
        <v>AVERAGE COST OF GOODS SOLD PER UNIT</v>
      </c>
      <c r="L762" s="256"/>
      <c r="M762" s="256"/>
      <c r="N762" s="256"/>
      <c r="O762" s="266"/>
      <c r="P762" s="261"/>
      <c r="Q762" s="261"/>
      <c r="R762" s="261"/>
      <c r="S762" s="629"/>
      <c r="T762" s="629"/>
      <c r="U762" s="629"/>
      <c r="V762" s="629"/>
      <c r="W762" s="261"/>
      <c r="X762" s="261"/>
      <c r="Y762" s="261"/>
      <c r="Z762" s="261"/>
      <c r="AA762" s="261"/>
      <c r="AB762" s="261"/>
      <c r="AC762" s="266"/>
      <c r="AD762" s="633"/>
      <c r="AE762" s="264">
        <f t="shared" ref="AE762:AM762" si="1878">IF(AE730=0,0,AE754/AE730)</f>
        <v>0</v>
      </c>
      <c r="AF762" s="264">
        <f t="shared" si="1878"/>
        <v>0</v>
      </c>
      <c r="AG762" s="264">
        <f t="shared" si="1878"/>
        <v>0</v>
      </c>
      <c r="AH762" s="264">
        <f t="shared" si="1878"/>
        <v>0</v>
      </c>
      <c r="AI762" s="264">
        <f t="shared" si="1878"/>
        <v>0</v>
      </c>
      <c r="AJ762" s="264">
        <f t="shared" si="1878"/>
        <v>0</v>
      </c>
      <c r="AK762" s="264">
        <f t="shared" si="1878"/>
        <v>0</v>
      </c>
      <c r="AL762" s="264">
        <f t="shared" si="1878"/>
        <v>0</v>
      </c>
      <c r="AM762" s="264">
        <f t="shared" si="1878"/>
        <v>0</v>
      </c>
      <c r="AN762" s="260"/>
      <c r="AO762" s="264">
        <f t="shared" si="1870"/>
        <v>0</v>
      </c>
      <c r="AP762" s="260"/>
      <c r="AQ762" s="264"/>
      <c r="AR762" s="264" t="str">
        <f>VLOOKUP($I762,TableInputsData[],ReadMe!$M$3,FALSE)&amp;"  |  "&amp;VLOOKUP($K762,TableInputsData[],ReadMe!$M$3,FALSE)</f>
        <v>PRODUIT 18  |  PRIX MOYEN D'ACHAT PAR PRODUIT/SERVICE</v>
      </c>
      <c r="AS762" s="264"/>
      <c r="AT762" s="294"/>
    </row>
    <row r="763" spans="1:46" ht="13" x14ac:dyDescent="0.2">
      <c r="A763" s="294"/>
      <c r="B763" s="925"/>
      <c r="C763" s="273">
        <v>756</v>
      </c>
      <c r="D763" s="253">
        <v>0</v>
      </c>
      <c r="E763" s="253">
        <v>1</v>
      </c>
      <c r="F763" s="252"/>
      <c r="G763" s="253"/>
      <c r="H763" s="253"/>
      <c r="I763" s="252"/>
      <c r="J763" s="252"/>
      <c r="K763" s="252"/>
      <c r="L763" s="257"/>
      <c r="M763" s="257"/>
      <c r="N763" s="257"/>
      <c r="O763" s="267"/>
      <c r="P763" s="262"/>
      <c r="Q763" s="262"/>
      <c r="R763" s="262"/>
      <c r="S763" s="631"/>
      <c r="T763" s="631"/>
      <c r="U763" s="631"/>
      <c r="V763" s="631"/>
      <c r="W763" s="262"/>
      <c r="X763" s="262"/>
      <c r="Y763" s="262"/>
      <c r="Z763" s="262"/>
      <c r="AA763" s="262"/>
      <c r="AB763" s="262"/>
      <c r="AC763" s="267"/>
      <c r="AD763" s="635"/>
      <c r="AE763" s="270"/>
      <c r="AF763" s="270"/>
      <c r="AG763" s="270"/>
      <c r="AH763" s="270"/>
      <c r="AI763" s="270"/>
      <c r="AJ763" s="270"/>
      <c r="AK763" s="270"/>
      <c r="AL763" s="270"/>
      <c r="AM763" s="270"/>
      <c r="AN763" s="643"/>
      <c r="AO763" s="270"/>
      <c r="AP763" s="270"/>
      <c r="AQ763" s="270"/>
      <c r="AR763" s="270"/>
      <c r="AS763" s="270"/>
      <c r="AT763" s="294"/>
    </row>
    <row r="764" spans="1:46" ht="13" hidden="1" x14ac:dyDescent="0.2">
      <c r="A764" s="294"/>
      <c r="B764" s="924" t="str">
        <f>I765&amp;"___"</f>
        <v>PRODUCT 19___</v>
      </c>
      <c r="C764" s="271">
        <v>757</v>
      </c>
      <c r="D764" s="250">
        <v>0</v>
      </c>
      <c r="E764" s="250"/>
      <c r="F764" s="248"/>
      <c r="G764" s="250"/>
      <c r="H764" s="250"/>
      <c r="I764" s="248"/>
      <c r="J764" s="248"/>
      <c r="K764" s="248"/>
      <c r="L764" s="254"/>
      <c r="M764" s="254"/>
      <c r="N764" s="254"/>
      <c r="O764" s="264"/>
      <c r="P764" s="259"/>
      <c r="Q764" s="259"/>
      <c r="R764" s="259"/>
      <c r="S764" s="628"/>
      <c r="T764" s="628"/>
      <c r="U764" s="628"/>
      <c r="V764" s="628"/>
      <c r="W764" s="259"/>
      <c r="X764" s="259"/>
      <c r="Y764" s="259"/>
      <c r="Z764" s="259"/>
      <c r="AA764" s="259"/>
      <c r="AB764" s="259"/>
      <c r="AC764" s="264"/>
      <c r="AD764" s="609"/>
      <c r="AE764" s="269"/>
      <c r="AF764" s="269"/>
      <c r="AG764" s="269"/>
      <c r="AH764" s="269"/>
      <c r="AI764" s="269"/>
      <c r="AJ764" s="269"/>
      <c r="AK764" s="269"/>
      <c r="AL764" s="269"/>
      <c r="AM764" s="269"/>
      <c r="AN764" s="642"/>
      <c r="AO764" s="269"/>
      <c r="AP764" s="269"/>
      <c r="AQ764" s="269"/>
      <c r="AR764" s="269"/>
      <c r="AS764" s="269"/>
      <c r="AT764" s="294"/>
    </row>
    <row r="765" spans="1:46" ht="13" x14ac:dyDescent="0.2">
      <c r="A765" s="294"/>
      <c r="B765" s="924"/>
      <c r="C765" s="271">
        <v>758</v>
      </c>
      <c r="D765" s="250">
        <f>VLOOKUP($I765,TableInputsData[],$D$6,FALSE)</f>
        <v>0</v>
      </c>
      <c r="E765" s="250">
        <v>1</v>
      </c>
      <c r="F765" s="248" t="s">
        <v>392</v>
      </c>
      <c r="G765" s="250">
        <f>VLOOKUP(F765,TableInputsData[],$G$6,FALSE)</f>
        <v>2023</v>
      </c>
      <c r="H765" s="250" t="s">
        <v>588</v>
      </c>
      <c r="I765" s="248" t="s">
        <v>1726</v>
      </c>
      <c r="J765" s="248" t="str">
        <f>VLOOKUP(I765,TableInputsData[],$J$6,FALSE)</f>
        <v>-</v>
      </c>
      <c r="K765" s="248" t="s">
        <v>261</v>
      </c>
      <c r="L765" s="499">
        <v>1000</v>
      </c>
      <c r="M765" s="499">
        <v>0</v>
      </c>
      <c r="N765" s="499">
        <v>0</v>
      </c>
      <c r="O765" s="264">
        <f t="shared" ref="O765:O772" si="1879">$L765*$P765+$M765*$Q765+$N765*$R765</f>
        <v>1000</v>
      </c>
      <c r="P765" s="500">
        <v>1</v>
      </c>
      <c r="Q765" s="500">
        <v>0</v>
      </c>
      <c r="R765" s="259">
        <f>1-$P765-$Q765</f>
        <v>0</v>
      </c>
      <c r="S765" s="626">
        <v>500</v>
      </c>
      <c r="T765" s="626">
        <v>0</v>
      </c>
      <c r="U765" s="626">
        <v>0</v>
      </c>
      <c r="V765" s="628">
        <f>($L765*$P765*$S765+$M765*$Q765*$T765+$N765*$R765*$U765)/$O765</f>
        <v>500</v>
      </c>
      <c r="W765" s="500">
        <v>1</v>
      </c>
      <c r="X765" s="500">
        <v>1</v>
      </c>
      <c r="Y765" s="500">
        <v>1</v>
      </c>
      <c r="Z765" s="259">
        <f t="shared" ref="Z765:Z772" si="1880">1-$W765</f>
        <v>0</v>
      </c>
      <c r="AA765" s="259">
        <f t="shared" ref="AA765:AA772" si="1881">1-$X765</f>
        <v>0</v>
      </c>
      <c r="AB765" s="259">
        <f t="shared" ref="AB765:AB772" si="1882">1-$Y765</f>
        <v>0</v>
      </c>
      <c r="AC765" s="628">
        <f>AM797</f>
        <v>0</v>
      </c>
      <c r="AD765" s="628">
        <f>AO797</f>
        <v>0</v>
      </c>
      <c r="AE765" s="501">
        <v>0</v>
      </c>
      <c r="AF765" s="501">
        <v>0</v>
      </c>
      <c r="AG765" s="501">
        <v>0</v>
      </c>
      <c r="AH765" s="501">
        <v>0</v>
      </c>
      <c r="AI765" s="264">
        <f t="shared" ref="AI765:AI768" si="1883">$AE765+$AF765+$AG765+$AH765</f>
        <v>0</v>
      </c>
      <c r="AJ765" s="264">
        <f t="shared" ref="AJ765:AJ772" si="1884">$AI765*$P765</f>
        <v>0</v>
      </c>
      <c r="AK765" s="264">
        <f t="shared" ref="AK765:AK772" si="1885">$AI765*$Q765</f>
        <v>0</v>
      </c>
      <c r="AL765" s="264">
        <f t="shared" ref="AL765:AL772" si="1886">$AI765*$R765</f>
        <v>0</v>
      </c>
      <c r="AM765" s="264">
        <f t="shared" ref="AM765:AM772" si="1887">$AJ765*$W765+$AK765*$X765+$AL765*$Y765</f>
        <v>0</v>
      </c>
      <c r="AN765" s="640">
        <f>IF(AI765=0,0,AM765/AI765)</f>
        <v>0</v>
      </c>
      <c r="AO765" s="264">
        <f t="shared" ref="AO765:AO772" si="1888">$AJ765*$Z765+$AK765*$AA765+$AL765*$AB765</f>
        <v>0</v>
      </c>
      <c r="AP765" s="640">
        <f t="shared" ref="AP765:AP780" si="1889">IF(AI765=0,0,AO765/AI765)</f>
        <v>0</v>
      </c>
      <c r="AQ765" s="264" t="str">
        <f>VLOOKUP(I765,TableInputsData[],$AQ$6,FALSE)</f>
        <v>GAMME # : 1 + CANAL DE DISTRIBUTION # : 1</v>
      </c>
      <c r="AR765" s="264" t="str">
        <f>VLOOKUP($I765,TableInputsData[],ReadMe!$M$3,FALSE)&amp;"  |  "&amp;VLOOKUP($K765,TableInputsData[],ReadMe!$M$3,FALSE)</f>
        <v>PRODUIT 19  |  VOLUME</v>
      </c>
      <c r="AS765" s="264" t="b">
        <f t="shared" ref="AS765:AS772" si="1890">AND(EXACT(ROUND(AI765,2),ROUND(AJ765+AK765+AL765,2)),EXACT(ROUND(AI765,2),ROUND(AM765+AO765,2)),EXACT(SUM(P765:R765),1),IF(R765&lt;0,FALSE,TRUE),EXACT(SUM(W765:AB765),3),MIN(W765:Y765)&gt;=0, MAX(W765:Y765)&lt;=1)</f>
        <v>1</v>
      </c>
      <c r="AT765" s="294"/>
    </row>
    <row r="766" spans="1:46" ht="13" x14ac:dyDescent="0.2">
      <c r="A766" s="294"/>
      <c r="B766" s="924"/>
      <c r="C766" s="271">
        <v>759</v>
      </c>
      <c r="D766" s="250">
        <f>D765</f>
        <v>0</v>
      </c>
      <c r="E766" s="250">
        <v>1</v>
      </c>
      <c r="F766" s="248" t="s">
        <v>391</v>
      </c>
      <c r="G766" s="250">
        <f>VLOOKUP(F766,TableInputsData[],$G$6,FALSE)</f>
        <v>2024</v>
      </c>
      <c r="H766" s="250" t="str">
        <f>H765</f>
        <v>PRODUCT</v>
      </c>
      <c r="I766" s="248" t="str">
        <f>I765</f>
        <v>PRODUCT 19</v>
      </c>
      <c r="J766" s="248" t="str">
        <f>VLOOKUP(I766,TableInputsData[],$J$6,FALSE)</f>
        <v>-</v>
      </c>
      <c r="K766" s="248" t="str">
        <f>K765</f>
        <v>VOLUME</v>
      </c>
      <c r="L766" s="499">
        <v>1000</v>
      </c>
      <c r="M766" s="499">
        <v>0</v>
      </c>
      <c r="N766" s="499">
        <v>0</v>
      </c>
      <c r="O766" s="264">
        <f t="shared" si="1879"/>
        <v>1000</v>
      </c>
      <c r="P766" s="500">
        <v>1</v>
      </c>
      <c r="Q766" s="500">
        <v>0</v>
      </c>
      <c r="R766" s="259">
        <f t="shared" ref="R766:R772" si="1891">1-$P766-$Q766</f>
        <v>0</v>
      </c>
      <c r="S766" s="626">
        <v>500</v>
      </c>
      <c r="T766" s="626">
        <v>0</v>
      </c>
      <c r="U766" s="626">
        <v>0</v>
      </c>
      <c r="V766" s="628">
        <f t="shared" ref="V766:V772" si="1892">($L766*$P766*$S766+$M766*$Q766*$T766+$N766*$R766*$U766)/$O766</f>
        <v>500</v>
      </c>
      <c r="W766" s="500">
        <v>1</v>
      </c>
      <c r="X766" s="500">
        <v>1</v>
      </c>
      <c r="Y766" s="500">
        <v>1</v>
      </c>
      <c r="Z766" s="259">
        <f t="shared" si="1880"/>
        <v>0</v>
      </c>
      <c r="AA766" s="259">
        <f t="shared" si="1881"/>
        <v>0</v>
      </c>
      <c r="AB766" s="259">
        <f t="shared" si="1882"/>
        <v>0</v>
      </c>
      <c r="AC766" s="628">
        <f t="shared" ref="AC766:AC772" si="1893">AM798</f>
        <v>0</v>
      </c>
      <c r="AD766" s="628">
        <f t="shared" ref="AD766:AD772" si="1894">AO798</f>
        <v>0</v>
      </c>
      <c r="AE766" s="501">
        <v>0</v>
      </c>
      <c r="AF766" s="501">
        <v>0</v>
      </c>
      <c r="AG766" s="501">
        <v>0</v>
      </c>
      <c r="AH766" s="501">
        <v>0</v>
      </c>
      <c r="AI766" s="264">
        <f t="shared" si="1883"/>
        <v>0</v>
      </c>
      <c r="AJ766" s="264">
        <f t="shared" si="1884"/>
        <v>0</v>
      </c>
      <c r="AK766" s="264">
        <f t="shared" si="1885"/>
        <v>0</v>
      </c>
      <c r="AL766" s="264">
        <f t="shared" si="1886"/>
        <v>0</v>
      </c>
      <c r="AM766" s="264">
        <f t="shared" si="1887"/>
        <v>0</v>
      </c>
      <c r="AN766" s="640">
        <f t="shared" ref="AN766:AN780" si="1895">IF(AI766=0,0,AM766/AI766)</f>
        <v>0</v>
      </c>
      <c r="AO766" s="264">
        <f t="shared" si="1888"/>
        <v>0</v>
      </c>
      <c r="AP766" s="640">
        <f t="shared" si="1889"/>
        <v>0</v>
      </c>
      <c r="AQ766" s="501"/>
      <c r="AR766" s="264" t="str">
        <f>VLOOKUP($I766,TableInputsData[],ReadMe!$M$3,FALSE)&amp;"  |  "&amp;VLOOKUP($K766,TableInputsData[],ReadMe!$M$3,FALSE)</f>
        <v>PRODUIT 19  |  VOLUME</v>
      </c>
      <c r="AS766" s="264" t="b">
        <f t="shared" si="1890"/>
        <v>1</v>
      </c>
      <c r="AT766" s="294"/>
    </row>
    <row r="767" spans="1:46" ht="13" x14ac:dyDescent="0.2">
      <c r="A767" s="294"/>
      <c r="B767" s="924"/>
      <c r="C767" s="271">
        <v>760</v>
      </c>
      <c r="D767" s="250">
        <f t="shared" ref="D767:D804" si="1896">D766</f>
        <v>0</v>
      </c>
      <c r="E767" s="250">
        <v>1</v>
      </c>
      <c r="F767" s="248" t="s">
        <v>393</v>
      </c>
      <c r="G767" s="250">
        <f>VLOOKUP(F767,TableInputsData[],$G$6,FALSE)</f>
        <v>2025</v>
      </c>
      <c r="H767" s="250" t="str">
        <f t="shared" ref="H767:I767" si="1897">H766</f>
        <v>PRODUCT</v>
      </c>
      <c r="I767" s="248" t="str">
        <f t="shared" si="1897"/>
        <v>PRODUCT 19</v>
      </c>
      <c r="J767" s="248" t="str">
        <f>VLOOKUP(I767,TableInputsData[],$J$6,FALSE)</f>
        <v>-</v>
      </c>
      <c r="K767" s="248" t="str">
        <f t="shared" ref="K767:K772" si="1898">K766</f>
        <v>VOLUME</v>
      </c>
      <c r="L767" s="499">
        <v>1000</v>
      </c>
      <c r="M767" s="499">
        <v>0</v>
      </c>
      <c r="N767" s="499">
        <v>0</v>
      </c>
      <c r="O767" s="264">
        <f t="shared" si="1879"/>
        <v>1000</v>
      </c>
      <c r="P767" s="500">
        <v>1</v>
      </c>
      <c r="Q767" s="500">
        <v>0</v>
      </c>
      <c r="R767" s="259">
        <f t="shared" si="1891"/>
        <v>0</v>
      </c>
      <c r="S767" s="626">
        <v>500</v>
      </c>
      <c r="T767" s="626">
        <v>0</v>
      </c>
      <c r="U767" s="626">
        <v>0</v>
      </c>
      <c r="V767" s="628">
        <f t="shared" si="1892"/>
        <v>500</v>
      </c>
      <c r="W767" s="500">
        <v>1</v>
      </c>
      <c r="X767" s="500">
        <v>1</v>
      </c>
      <c r="Y767" s="500">
        <v>1</v>
      </c>
      <c r="Z767" s="259">
        <f t="shared" si="1880"/>
        <v>0</v>
      </c>
      <c r="AA767" s="259">
        <f t="shared" si="1881"/>
        <v>0</v>
      </c>
      <c r="AB767" s="259">
        <f t="shared" si="1882"/>
        <v>0</v>
      </c>
      <c r="AC767" s="628">
        <f t="shared" si="1893"/>
        <v>0</v>
      </c>
      <c r="AD767" s="628">
        <f t="shared" si="1894"/>
        <v>0</v>
      </c>
      <c r="AE767" s="501">
        <v>0</v>
      </c>
      <c r="AF767" s="501">
        <v>0</v>
      </c>
      <c r="AG767" s="501">
        <v>0</v>
      </c>
      <c r="AH767" s="501">
        <v>0</v>
      </c>
      <c r="AI767" s="264">
        <f t="shared" si="1883"/>
        <v>0</v>
      </c>
      <c r="AJ767" s="264">
        <f t="shared" si="1884"/>
        <v>0</v>
      </c>
      <c r="AK767" s="264">
        <f t="shared" si="1885"/>
        <v>0</v>
      </c>
      <c r="AL767" s="264">
        <f t="shared" si="1886"/>
        <v>0</v>
      </c>
      <c r="AM767" s="264">
        <f t="shared" si="1887"/>
        <v>0</v>
      </c>
      <c r="AN767" s="640">
        <f t="shared" si="1895"/>
        <v>0</v>
      </c>
      <c r="AO767" s="264">
        <f t="shared" si="1888"/>
        <v>0</v>
      </c>
      <c r="AP767" s="640">
        <f t="shared" si="1889"/>
        <v>0</v>
      </c>
      <c r="AQ767" s="501"/>
      <c r="AR767" s="264" t="str">
        <f>VLOOKUP($I767,TableInputsData[],ReadMe!$M$3,FALSE)&amp;"  |  "&amp;VLOOKUP($K767,TableInputsData[],ReadMe!$M$3,FALSE)</f>
        <v>PRODUIT 19  |  VOLUME</v>
      </c>
      <c r="AS767" s="264" t="b">
        <f t="shared" si="1890"/>
        <v>1</v>
      </c>
      <c r="AT767" s="294"/>
    </row>
    <row r="768" spans="1:46" ht="13" x14ac:dyDescent="0.2">
      <c r="A768" s="294"/>
      <c r="B768" s="924"/>
      <c r="C768" s="271">
        <v>761</v>
      </c>
      <c r="D768" s="250">
        <f t="shared" si="1896"/>
        <v>0</v>
      </c>
      <c r="E768" s="250">
        <v>1</v>
      </c>
      <c r="F768" s="248" t="s">
        <v>396</v>
      </c>
      <c r="G768" s="250">
        <f>VLOOKUP(F768,TableInputsData[],$G$6,FALSE)</f>
        <v>2026</v>
      </c>
      <c r="H768" s="250" t="str">
        <f t="shared" ref="H768:I768" si="1899">H767</f>
        <v>PRODUCT</v>
      </c>
      <c r="I768" s="248" t="str">
        <f t="shared" si="1899"/>
        <v>PRODUCT 19</v>
      </c>
      <c r="J768" s="248" t="str">
        <f>VLOOKUP(I768,TableInputsData[],$J$6,FALSE)</f>
        <v>-</v>
      </c>
      <c r="K768" s="248" t="str">
        <f t="shared" si="1898"/>
        <v>VOLUME</v>
      </c>
      <c r="L768" s="499">
        <v>1000</v>
      </c>
      <c r="M768" s="499">
        <v>0</v>
      </c>
      <c r="N768" s="499">
        <v>0</v>
      </c>
      <c r="O768" s="264">
        <f t="shared" si="1879"/>
        <v>1000</v>
      </c>
      <c r="P768" s="500">
        <v>1</v>
      </c>
      <c r="Q768" s="500">
        <v>0</v>
      </c>
      <c r="R768" s="259">
        <f t="shared" si="1891"/>
        <v>0</v>
      </c>
      <c r="S768" s="626">
        <v>500</v>
      </c>
      <c r="T768" s="626">
        <v>0</v>
      </c>
      <c r="U768" s="626">
        <v>0</v>
      </c>
      <c r="V768" s="628">
        <f t="shared" si="1892"/>
        <v>500</v>
      </c>
      <c r="W768" s="500">
        <v>1</v>
      </c>
      <c r="X768" s="500">
        <v>1</v>
      </c>
      <c r="Y768" s="500">
        <v>1</v>
      </c>
      <c r="Z768" s="259">
        <f t="shared" si="1880"/>
        <v>0</v>
      </c>
      <c r="AA768" s="259">
        <f t="shared" si="1881"/>
        <v>0</v>
      </c>
      <c r="AB768" s="259">
        <f t="shared" si="1882"/>
        <v>0</v>
      </c>
      <c r="AC768" s="628">
        <f t="shared" si="1893"/>
        <v>0</v>
      </c>
      <c r="AD768" s="628">
        <f t="shared" si="1894"/>
        <v>0</v>
      </c>
      <c r="AE768" s="501">
        <v>0</v>
      </c>
      <c r="AF768" s="501">
        <v>0</v>
      </c>
      <c r="AG768" s="501">
        <v>0</v>
      </c>
      <c r="AH768" s="501">
        <v>0</v>
      </c>
      <c r="AI768" s="264">
        <f t="shared" si="1883"/>
        <v>0</v>
      </c>
      <c r="AJ768" s="264">
        <f t="shared" si="1884"/>
        <v>0</v>
      </c>
      <c r="AK768" s="264">
        <f t="shared" si="1885"/>
        <v>0</v>
      </c>
      <c r="AL768" s="264">
        <f t="shared" si="1886"/>
        <v>0</v>
      </c>
      <c r="AM768" s="264">
        <f t="shared" si="1887"/>
        <v>0</v>
      </c>
      <c r="AN768" s="640">
        <f t="shared" si="1895"/>
        <v>0</v>
      </c>
      <c r="AO768" s="264">
        <f t="shared" si="1888"/>
        <v>0</v>
      </c>
      <c r="AP768" s="640">
        <f t="shared" si="1889"/>
        <v>0</v>
      </c>
      <c r="AQ768" s="501"/>
      <c r="AR768" s="264" t="str">
        <f>VLOOKUP($I768,TableInputsData[],ReadMe!$M$3,FALSE)&amp;"  |  "&amp;VLOOKUP($K768,TableInputsData[],ReadMe!$M$3,FALSE)</f>
        <v>PRODUIT 19  |  VOLUME</v>
      </c>
      <c r="AS768" s="264" t="b">
        <f t="shared" si="1890"/>
        <v>1</v>
      </c>
      <c r="AT768" s="294"/>
    </row>
    <row r="769" spans="1:46" ht="13" x14ac:dyDescent="0.2">
      <c r="A769" s="294"/>
      <c r="B769" s="924"/>
      <c r="C769" s="271">
        <v>762</v>
      </c>
      <c r="D769" s="250">
        <f t="shared" si="1896"/>
        <v>0</v>
      </c>
      <c r="E769" s="250">
        <v>1</v>
      </c>
      <c r="F769" s="248" t="s">
        <v>397</v>
      </c>
      <c r="G769" s="250">
        <f>VLOOKUP(F769,TableInputsData[],$G$6,FALSE)</f>
        <v>2027</v>
      </c>
      <c r="H769" s="250" t="str">
        <f t="shared" ref="H769:I769" si="1900">H768</f>
        <v>PRODUCT</v>
      </c>
      <c r="I769" s="248" t="str">
        <f t="shared" si="1900"/>
        <v>PRODUCT 19</v>
      </c>
      <c r="J769" s="248" t="str">
        <f>VLOOKUP(I769,TableInputsData[],$J$6,FALSE)</f>
        <v>-</v>
      </c>
      <c r="K769" s="248" t="str">
        <f t="shared" si="1898"/>
        <v>VOLUME</v>
      </c>
      <c r="L769" s="499">
        <v>1000</v>
      </c>
      <c r="M769" s="499">
        <v>0</v>
      </c>
      <c r="N769" s="499">
        <v>0</v>
      </c>
      <c r="O769" s="264">
        <f t="shared" si="1879"/>
        <v>1000</v>
      </c>
      <c r="P769" s="500">
        <v>1</v>
      </c>
      <c r="Q769" s="500">
        <v>0</v>
      </c>
      <c r="R769" s="259">
        <f t="shared" si="1891"/>
        <v>0</v>
      </c>
      <c r="S769" s="626">
        <v>500</v>
      </c>
      <c r="T769" s="626">
        <v>0</v>
      </c>
      <c r="U769" s="626">
        <v>0</v>
      </c>
      <c r="V769" s="628">
        <f t="shared" si="1892"/>
        <v>500</v>
      </c>
      <c r="W769" s="500">
        <v>1</v>
      </c>
      <c r="X769" s="500">
        <v>1</v>
      </c>
      <c r="Y769" s="500">
        <v>1</v>
      </c>
      <c r="Z769" s="259">
        <f t="shared" si="1880"/>
        <v>0</v>
      </c>
      <c r="AA769" s="259">
        <f t="shared" si="1881"/>
        <v>0</v>
      </c>
      <c r="AB769" s="259">
        <f t="shared" si="1882"/>
        <v>0</v>
      </c>
      <c r="AC769" s="628">
        <f t="shared" si="1893"/>
        <v>0</v>
      </c>
      <c r="AD769" s="628">
        <f t="shared" si="1894"/>
        <v>0</v>
      </c>
      <c r="AE769" s="264">
        <f>$AI769/4</f>
        <v>0</v>
      </c>
      <c r="AF769" s="264">
        <f t="shared" ref="AF769:AH772" si="1901">$AI769/4</f>
        <v>0</v>
      </c>
      <c r="AG769" s="264">
        <f t="shared" si="1901"/>
        <v>0</v>
      </c>
      <c r="AH769" s="264">
        <f t="shared" si="1901"/>
        <v>0</v>
      </c>
      <c r="AI769" s="501">
        <v>0</v>
      </c>
      <c r="AJ769" s="264">
        <f t="shared" si="1884"/>
        <v>0</v>
      </c>
      <c r="AK769" s="264">
        <f t="shared" si="1885"/>
        <v>0</v>
      </c>
      <c r="AL769" s="264">
        <f t="shared" si="1886"/>
        <v>0</v>
      </c>
      <c r="AM769" s="264">
        <f t="shared" si="1887"/>
        <v>0</v>
      </c>
      <c r="AN769" s="640">
        <f t="shared" si="1895"/>
        <v>0</v>
      </c>
      <c r="AO769" s="264">
        <f t="shared" si="1888"/>
        <v>0</v>
      </c>
      <c r="AP769" s="640">
        <f t="shared" si="1889"/>
        <v>0</v>
      </c>
      <c r="AQ769" s="501"/>
      <c r="AR769" s="264" t="str">
        <f>VLOOKUP($I769,TableInputsData[],ReadMe!$M$3,FALSE)&amp;"  |  "&amp;VLOOKUP($K769,TableInputsData[],ReadMe!$M$3,FALSE)</f>
        <v>PRODUIT 19  |  VOLUME</v>
      </c>
      <c r="AS769" s="264" t="b">
        <f t="shared" si="1890"/>
        <v>1</v>
      </c>
      <c r="AT769" s="294"/>
    </row>
    <row r="770" spans="1:46" ht="13" x14ac:dyDescent="0.2">
      <c r="A770" s="294"/>
      <c r="B770" s="924"/>
      <c r="C770" s="271">
        <v>763</v>
      </c>
      <c r="D770" s="250">
        <f t="shared" si="1896"/>
        <v>0</v>
      </c>
      <c r="E770" s="250">
        <v>1</v>
      </c>
      <c r="F770" s="248" t="s">
        <v>398</v>
      </c>
      <c r="G770" s="250">
        <f>VLOOKUP(F770,TableInputsData[],$G$6,FALSE)</f>
        <v>2028</v>
      </c>
      <c r="H770" s="250" t="str">
        <f t="shared" ref="H770:I770" si="1902">H769</f>
        <v>PRODUCT</v>
      </c>
      <c r="I770" s="248" t="str">
        <f t="shared" si="1902"/>
        <v>PRODUCT 19</v>
      </c>
      <c r="J770" s="248" t="str">
        <f>VLOOKUP(I770,TableInputsData[],$J$6,FALSE)</f>
        <v>-</v>
      </c>
      <c r="K770" s="248" t="str">
        <f t="shared" si="1898"/>
        <v>VOLUME</v>
      </c>
      <c r="L770" s="499">
        <v>1000</v>
      </c>
      <c r="M770" s="499">
        <v>0</v>
      </c>
      <c r="N770" s="499">
        <v>0</v>
      </c>
      <c r="O770" s="264">
        <f t="shared" si="1879"/>
        <v>1000</v>
      </c>
      <c r="P770" s="500">
        <v>1</v>
      </c>
      <c r="Q770" s="500">
        <v>0</v>
      </c>
      <c r="R770" s="259">
        <f t="shared" si="1891"/>
        <v>0</v>
      </c>
      <c r="S770" s="626">
        <v>500</v>
      </c>
      <c r="T770" s="626">
        <v>0</v>
      </c>
      <c r="U770" s="626">
        <v>0</v>
      </c>
      <c r="V770" s="628">
        <f t="shared" si="1892"/>
        <v>500</v>
      </c>
      <c r="W770" s="500">
        <v>1</v>
      </c>
      <c r="X770" s="500">
        <v>1</v>
      </c>
      <c r="Y770" s="500">
        <v>1</v>
      </c>
      <c r="Z770" s="259">
        <f t="shared" si="1880"/>
        <v>0</v>
      </c>
      <c r="AA770" s="259">
        <f t="shared" si="1881"/>
        <v>0</v>
      </c>
      <c r="AB770" s="259">
        <f t="shared" si="1882"/>
        <v>0</v>
      </c>
      <c r="AC770" s="628">
        <f t="shared" si="1893"/>
        <v>0</v>
      </c>
      <c r="AD770" s="628">
        <f t="shared" si="1894"/>
        <v>0</v>
      </c>
      <c r="AE770" s="264">
        <f t="shared" ref="AE770:AE772" si="1903">$AI770/4</f>
        <v>0</v>
      </c>
      <c r="AF770" s="264">
        <f t="shared" si="1901"/>
        <v>0</v>
      </c>
      <c r="AG770" s="264">
        <f t="shared" si="1901"/>
        <v>0</v>
      </c>
      <c r="AH770" s="264">
        <f t="shared" si="1901"/>
        <v>0</v>
      </c>
      <c r="AI770" s="501">
        <v>0</v>
      </c>
      <c r="AJ770" s="264">
        <f t="shared" si="1884"/>
        <v>0</v>
      </c>
      <c r="AK770" s="264">
        <f t="shared" si="1885"/>
        <v>0</v>
      </c>
      <c r="AL770" s="264">
        <f t="shared" si="1886"/>
        <v>0</v>
      </c>
      <c r="AM770" s="264">
        <f t="shared" si="1887"/>
        <v>0</v>
      </c>
      <c r="AN770" s="640">
        <f t="shared" si="1895"/>
        <v>0</v>
      </c>
      <c r="AO770" s="264">
        <f t="shared" si="1888"/>
        <v>0</v>
      </c>
      <c r="AP770" s="640">
        <f t="shared" si="1889"/>
        <v>0</v>
      </c>
      <c r="AQ770" s="501"/>
      <c r="AR770" s="264" t="str">
        <f>VLOOKUP($I770,TableInputsData[],ReadMe!$M$3,FALSE)&amp;"  |  "&amp;VLOOKUP($K770,TableInputsData[],ReadMe!$M$3,FALSE)</f>
        <v>PRODUIT 19  |  VOLUME</v>
      </c>
      <c r="AS770" s="264" t="b">
        <f t="shared" si="1890"/>
        <v>1</v>
      </c>
      <c r="AT770" s="294"/>
    </row>
    <row r="771" spans="1:46" ht="13" x14ac:dyDescent="0.2">
      <c r="A771" s="294"/>
      <c r="B771" s="924"/>
      <c r="C771" s="271">
        <v>764</v>
      </c>
      <c r="D771" s="250">
        <f t="shared" si="1896"/>
        <v>0</v>
      </c>
      <c r="E771" s="250">
        <v>1</v>
      </c>
      <c r="F771" s="248" t="s">
        <v>399</v>
      </c>
      <c r="G771" s="250">
        <f>VLOOKUP(F771,TableInputsData[],$G$6,FALSE)</f>
        <v>2029</v>
      </c>
      <c r="H771" s="250" t="str">
        <f t="shared" ref="H771:I771" si="1904">H770</f>
        <v>PRODUCT</v>
      </c>
      <c r="I771" s="248" t="str">
        <f t="shared" si="1904"/>
        <v>PRODUCT 19</v>
      </c>
      <c r="J771" s="248" t="str">
        <f>VLOOKUP(I771,TableInputsData[],$J$6,FALSE)</f>
        <v>-</v>
      </c>
      <c r="K771" s="248" t="str">
        <f t="shared" si="1898"/>
        <v>VOLUME</v>
      </c>
      <c r="L771" s="499">
        <v>1000</v>
      </c>
      <c r="M771" s="499">
        <v>0</v>
      </c>
      <c r="N771" s="499">
        <v>0</v>
      </c>
      <c r="O771" s="264">
        <f t="shared" si="1879"/>
        <v>1000</v>
      </c>
      <c r="P771" s="500">
        <v>1</v>
      </c>
      <c r="Q771" s="500">
        <v>0</v>
      </c>
      <c r="R771" s="259">
        <f t="shared" si="1891"/>
        <v>0</v>
      </c>
      <c r="S771" s="626">
        <v>500</v>
      </c>
      <c r="T771" s="626">
        <v>0</v>
      </c>
      <c r="U771" s="626">
        <v>0</v>
      </c>
      <c r="V771" s="628">
        <f t="shared" si="1892"/>
        <v>500</v>
      </c>
      <c r="W771" s="500">
        <v>1</v>
      </c>
      <c r="X771" s="500">
        <v>1</v>
      </c>
      <c r="Y771" s="500">
        <v>1</v>
      </c>
      <c r="Z771" s="259">
        <f t="shared" si="1880"/>
        <v>0</v>
      </c>
      <c r="AA771" s="259">
        <f t="shared" si="1881"/>
        <v>0</v>
      </c>
      <c r="AB771" s="259">
        <f t="shared" si="1882"/>
        <v>0</v>
      </c>
      <c r="AC771" s="628">
        <f t="shared" si="1893"/>
        <v>0</v>
      </c>
      <c r="AD771" s="628">
        <f t="shared" si="1894"/>
        <v>0</v>
      </c>
      <c r="AE771" s="264">
        <f t="shared" si="1903"/>
        <v>0</v>
      </c>
      <c r="AF771" s="264">
        <f t="shared" si="1901"/>
        <v>0</v>
      </c>
      <c r="AG771" s="264">
        <f t="shared" si="1901"/>
        <v>0</v>
      </c>
      <c r="AH771" s="264">
        <f t="shared" si="1901"/>
        <v>0</v>
      </c>
      <c r="AI771" s="501">
        <v>0</v>
      </c>
      <c r="AJ771" s="264">
        <f t="shared" si="1884"/>
        <v>0</v>
      </c>
      <c r="AK771" s="264">
        <f t="shared" si="1885"/>
        <v>0</v>
      </c>
      <c r="AL771" s="264">
        <f t="shared" si="1886"/>
        <v>0</v>
      </c>
      <c r="AM771" s="264">
        <f t="shared" si="1887"/>
        <v>0</v>
      </c>
      <c r="AN771" s="640">
        <f t="shared" si="1895"/>
        <v>0</v>
      </c>
      <c r="AO771" s="264">
        <f t="shared" si="1888"/>
        <v>0</v>
      </c>
      <c r="AP771" s="640">
        <f t="shared" si="1889"/>
        <v>0</v>
      </c>
      <c r="AQ771" s="501"/>
      <c r="AR771" s="264" t="str">
        <f>VLOOKUP($I771,TableInputsData[],ReadMe!$M$3,FALSE)&amp;"  |  "&amp;VLOOKUP($K771,TableInputsData[],ReadMe!$M$3,FALSE)</f>
        <v>PRODUIT 19  |  VOLUME</v>
      </c>
      <c r="AS771" s="264" t="b">
        <f t="shared" si="1890"/>
        <v>1</v>
      </c>
      <c r="AT771" s="294"/>
    </row>
    <row r="772" spans="1:46" ht="13" x14ac:dyDescent="0.2">
      <c r="A772" s="294"/>
      <c r="B772" s="924"/>
      <c r="C772" s="271">
        <v>765</v>
      </c>
      <c r="D772" s="250">
        <f t="shared" si="1896"/>
        <v>0</v>
      </c>
      <c r="E772" s="250">
        <v>1</v>
      </c>
      <c r="F772" s="248" t="s">
        <v>400</v>
      </c>
      <c r="G772" s="250">
        <f>VLOOKUP(F772,TableInputsData[],$G$6,FALSE)</f>
        <v>2030</v>
      </c>
      <c r="H772" s="250" t="str">
        <f t="shared" ref="H772:I772" si="1905">H771</f>
        <v>PRODUCT</v>
      </c>
      <c r="I772" s="248" t="str">
        <f t="shared" si="1905"/>
        <v>PRODUCT 19</v>
      </c>
      <c r="J772" s="248" t="str">
        <f>VLOOKUP(I772,TableInputsData[],$J$6,FALSE)</f>
        <v>-</v>
      </c>
      <c r="K772" s="248" t="str">
        <f t="shared" si="1898"/>
        <v>VOLUME</v>
      </c>
      <c r="L772" s="499">
        <v>1000</v>
      </c>
      <c r="M772" s="499">
        <v>0</v>
      </c>
      <c r="N772" s="499">
        <v>0</v>
      </c>
      <c r="O772" s="264">
        <f t="shared" si="1879"/>
        <v>1000</v>
      </c>
      <c r="P772" s="500">
        <v>1</v>
      </c>
      <c r="Q772" s="500">
        <v>0</v>
      </c>
      <c r="R772" s="259">
        <f t="shared" si="1891"/>
        <v>0</v>
      </c>
      <c r="S772" s="626">
        <v>500</v>
      </c>
      <c r="T772" s="626">
        <v>0</v>
      </c>
      <c r="U772" s="626">
        <v>0</v>
      </c>
      <c r="V772" s="628">
        <f t="shared" si="1892"/>
        <v>500</v>
      </c>
      <c r="W772" s="500">
        <v>1</v>
      </c>
      <c r="X772" s="500">
        <v>1</v>
      </c>
      <c r="Y772" s="500">
        <v>1</v>
      </c>
      <c r="Z772" s="259">
        <f t="shared" si="1880"/>
        <v>0</v>
      </c>
      <c r="AA772" s="259">
        <f t="shared" si="1881"/>
        <v>0</v>
      </c>
      <c r="AB772" s="259">
        <f t="shared" si="1882"/>
        <v>0</v>
      </c>
      <c r="AC772" s="628">
        <f t="shared" si="1893"/>
        <v>0</v>
      </c>
      <c r="AD772" s="628">
        <f t="shared" si="1894"/>
        <v>0</v>
      </c>
      <c r="AE772" s="264">
        <f t="shared" si="1903"/>
        <v>0</v>
      </c>
      <c r="AF772" s="264">
        <f t="shared" si="1901"/>
        <v>0</v>
      </c>
      <c r="AG772" s="264">
        <f t="shared" si="1901"/>
        <v>0</v>
      </c>
      <c r="AH772" s="264">
        <f t="shared" si="1901"/>
        <v>0</v>
      </c>
      <c r="AI772" s="501">
        <v>0</v>
      </c>
      <c r="AJ772" s="264">
        <f t="shared" si="1884"/>
        <v>0</v>
      </c>
      <c r="AK772" s="264">
        <f t="shared" si="1885"/>
        <v>0</v>
      </c>
      <c r="AL772" s="264">
        <f t="shared" si="1886"/>
        <v>0</v>
      </c>
      <c r="AM772" s="264">
        <f t="shared" si="1887"/>
        <v>0</v>
      </c>
      <c r="AN772" s="640">
        <f t="shared" si="1895"/>
        <v>0</v>
      </c>
      <c r="AO772" s="264">
        <f t="shared" si="1888"/>
        <v>0</v>
      </c>
      <c r="AP772" s="640">
        <f t="shared" si="1889"/>
        <v>0</v>
      </c>
      <c r="AQ772" s="501"/>
      <c r="AR772" s="264" t="str">
        <f>VLOOKUP($I772,TableInputsData[],ReadMe!$M$3,FALSE)&amp;"  |  "&amp;VLOOKUP($K772,TableInputsData[],ReadMe!$M$3,FALSE)</f>
        <v>PRODUIT 19  |  VOLUME</v>
      </c>
      <c r="AS772" s="264" t="b">
        <f t="shared" si="1890"/>
        <v>1</v>
      </c>
      <c r="AT772" s="294"/>
    </row>
    <row r="773" spans="1:46" ht="13" hidden="1" x14ac:dyDescent="0.2">
      <c r="A773" s="294"/>
      <c r="B773" s="924"/>
      <c r="C773" s="272">
        <v>766</v>
      </c>
      <c r="D773" s="250">
        <f t="shared" si="1896"/>
        <v>0</v>
      </c>
      <c r="E773" s="251"/>
      <c r="F773" s="248" t="str">
        <f t="shared" ref="F773:F780" si="1906">F781</f>
        <v>YEAR-2</v>
      </c>
      <c r="G773" s="250">
        <f>VLOOKUP(F773,TableInputsData[],$G$6,FALSE)</f>
        <v>2023</v>
      </c>
      <c r="H773" s="250" t="str">
        <f t="shared" ref="H773:I773" si="1907">H772</f>
        <v>PRODUCT</v>
      </c>
      <c r="I773" s="248" t="str">
        <f t="shared" si="1907"/>
        <v>PRODUCT 19</v>
      </c>
      <c r="J773" s="248" t="str">
        <f>VLOOKUP(I773,TableInputsData[],$J$6,FALSE)</f>
        <v>-</v>
      </c>
      <c r="K773" s="248" t="s">
        <v>457</v>
      </c>
      <c r="L773" s="256"/>
      <c r="M773" s="256"/>
      <c r="N773" s="256"/>
      <c r="O773" s="266"/>
      <c r="P773" s="261"/>
      <c r="Q773" s="261"/>
      <c r="R773" s="261"/>
      <c r="S773" s="629"/>
      <c r="T773" s="629"/>
      <c r="U773" s="629"/>
      <c r="V773" s="629"/>
      <c r="W773" s="261"/>
      <c r="X773" s="261"/>
      <c r="Y773" s="261"/>
      <c r="Z773" s="261"/>
      <c r="AA773" s="261"/>
      <c r="AB773" s="261"/>
      <c r="AC773" s="266"/>
      <c r="AD773" s="633"/>
      <c r="AE773" s="264">
        <f>AE765*($L765*$P765+$M765*$Q765+$N765*$R765)</f>
        <v>0</v>
      </c>
      <c r="AF773" s="264">
        <f t="shared" ref="AF773:AH773" si="1908">AF765*($L765*$P765+$M765*$Q765+$N765*$R765)</f>
        <v>0</v>
      </c>
      <c r="AG773" s="264">
        <f t="shared" si="1908"/>
        <v>0</v>
      </c>
      <c r="AH773" s="264">
        <f t="shared" si="1908"/>
        <v>0</v>
      </c>
      <c r="AI773" s="264">
        <f>$AE773+$AF773+$AG773+$AH773</f>
        <v>0</v>
      </c>
      <c r="AJ773" s="264">
        <f t="shared" ref="AJ773:AJ780" si="1909">$AJ765*$L765</f>
        <v>0</v>
      </c>
      <c r="AK773" s="264">
        <f t="shared" ref="AK773:AK780" si="1910">$AK765*$M765</f>
        <v>0</v>
      </c>
      <c r="AL773" s="264">
        <f t="shared" ref="AL773:AL780" si="1911">$AL765*$N765</f>
        <v>0</v>
      </c>
      <c r="AM773" s="264">
        <f t="shared" ref="AM773:AM780" si="1912">$AJ773*$W765+$AK773*$X765+$AL773*$Y765</f>
        <v>0</v>
      </c>
      <c r="AN773" s="640">
        <f t="shared" si="1895"/>
        <v>0</v>
      </c>
      <c r="AO773" s="264">
        <f t="shared" ref="AO773:AO780" si="1913">$AJ773*$Z765+$AK773*$AA765+$AL773*$AB765</f>
        <v>0</v>
      </c>
      <c r="AP773" s="640">
        <f t="shared" si="1889"/>
        <v>0</v>
      </c>
      <c r="AQ773" s="264"/>
      <c r="AR773" s="264" t="str">
        <f>VLOOKUP($I773,TableInputsData[],ReadMe!$M$3,FALSE)&amp;"  |  "&amp;VLOOKUP($K773,TableInputsData[],ReadMe!$M$3,FALSE)</f>
        <v>PRODUIT 19  |  CHIFFRE D'AFFAIRES</v>
      </c>
      <c r="AS773" s="264" t="b">
        <f t="shared" ref="AS773:AS780" si="1914">AND(EXACT(ROUND(AI773,2),ROUND(AJ773+AK773+AL773,2)),EXACT(ROUND(AI773,2),ROUND(AM773+AO773,2)))</f>
        <v>1</v>
      </c>
      <c r="AT773" s="294"/>
    </row>
    <row r="774" spans="1:46" ht="13" hidden="1" x14ac:dyDescent="0.2">
      <c r="A774" s="294"/>
      <c r="B774" s="924"/>
      <c r="C774" s="271">
        <v>767</v>
      </c>
      <c r="D774" s="250">
        <f t="shared" si="1896"/>
        <v>0</v>
      </c>
      <c r="E774" s="250"/>
      <c r="F774" s="248" t="str">
        <f t="shared" si="1906"/>
        <v>YEAR-1</v>
      </c>
      <c r="G774" s="250">
        <f>VLOOKUP(F774,TableInputsData[],$G$6,FALSE)</f>
        <v>2024</v>
      </c>
      <c r="H774" s="250" t="str">
        <f t="shared" ref="H774:I774" si="1915">H773</f>
        <v>PRODUCT</v>
      </c>
      <c r="I774" s="248" t="str">
        <f t="shared" si="1915"/>
        <v>PRODUCT 19</v>
      </c>
      <c r="J774" s="248" t="str">
        <f>VLOOKUP(I774,TableInputsData[],$J$6,FALSE)</f>
        <v>-</v>
      </c>
      <c r="K774" s="248" t="str">
        <f>K773</f>
        <v>REVENUE</v>
      </c>
      <c r="L774" s="255"/>
      <c r="M774" s="255"/>
      <c r="N774" s="255"/>
      <c r="O774" s="265"/>
      <c r="P774" s="260"/>
      <c r="Q774" s="260"/>
      <c r="R774" s="260"/>
      <c r="S774" s="630"/>
      <c r="T774" s="630"/>
      <c r="U774" s="630"/>
      <c r="V774" s="630"/>
      <c r="W774" s="260"/>
      <c r="X774" s="260"/>
      <c r="Y774" s="260"/>
      <c r="Z774" s="260"/>
      <c r="AA774" s="260"/>
      <c r="AB774" s="260"/>
      <c r="AC774" s="265"/>
      <c r="AD774" s="634"/>
      <c r="AE774" s="264">
        <f t="shared" ref="AE774:AH774" si="1916">AE766*($L766*$P766+$M766*$Q766+$N766*$R766)</f>
        <v>0</v>
      </c>
      <c r="AF774" s="264">
        <f t="shared" si="1916"/>
        <v>0</v>
      </c>
      <c r="AG774" s="264">
        <f t="shared" si="1916"/>
        <v>0</v>
      </c>
      <c r="AH774" s="264">
        <f t="shared" si="1916"/>
        <v>0</v>
      </c>
      <c r="AI774" s="264">
        <f t="shared" ref="AI774:AI779" si="1917">$AE774+$AF774+$AG774+$AH774</f>
        <v>0</v>
      </c>
      <c r="AJ774" s="264">
        <f t="shared" si="1909"/>
        <v>0</v>
      </c>
      <c r="AK774" s="264">
        <f t="shared" si="1910"/>
        <v>0</v>
      </c>
      <c r="AL774" s="264">
        <f t="shared" si="1911"/>
        <v>0</v>
      </c>
      <c r="AM774" s="264">
        <f t="shared" si="1912"/>
        <v>0</v>
      </c>
      <c r="AN774" s="640">
        <f t="shared" si="1895"/>
        <v>0</v>
      </c>
      <c r="AO774" s="264">
        <f t="shared" si="1913"/>
        <v>0</v>
      </c>
      <c r="AP774" s="640">
        <f t="shared" si="1889"/>
        <v>0</v>
      </c>
      <c r="AQ774" s="264"/>
      <c r="AR774" s="264" t="str">
        <f>VLOOKUP($I774,TableInputsData[],ReadMe!$M$3,FALSE)&amp;"  |  "&amp;VLOOKUP($K774,TableInputsData[],ReadMe!$M$3,FALSE)</f>
        <v>PRODUIT 19  |  CHIFFRE D'AFFAIRES</v>
      </c>
      <c r="AS774" s="264" t="b">
        <f t="shared" si="1914"/>
        <v>1</v>
      </c>
      <c r="AT774" s="294"/>
    </row>
    <row r="775" spans="1:46" ht="13" hidden="1" x14ac:dyDescent="0.2">
      <c r="A775" s="294"/>
      <c r="B775" s="924"/>
      <c r="C775" s="271">
        <v>768</v>
      </c>
      <c r="D775" s="250">
        <f t="shared" si="1896"/>
        <v>0</v>
      </c>
      <c r="E775" s="250"/>
      <c r="F775" s="248" t="str">
        <f t="shared" si="1906"/>
        <v>CURRENT YEAR</v>
      </c>
      <c r="G775" s="250">
        <f>VLOOKUP(F775,TableInputsData[],$G$6,FALSE)</f>
        <v>2025</v>
      </c>
      <c r="H775" s="250" t="str">
        <f t="shared" ref="H775:I775" si="1918">H774</f>
        <v>PRODUCT</v>
      </c>
      <c r="I775" s="248" t="str">
        <f t="shared" si="1918"/>
        <v>PRODUCT 19</v>
      </c>
      <c r="J775" s="248" t="str">
        <f>VLOOKUP(I775,TableInputsData[],$J$6,FALSE)</f>
        <v>-</v>
      </c>
      <c r="K775" s="248" t="str">
        <f t="shared" ref="K775:K780" si="1919">K774</f>
        <v>REVENUE</v>
      </c>
      <c r="L775" s="255"/>
      <c r="M775" s="255"/>
      <c r="N775" s="255"/>
      <c r="O775" s="265"/>
      <c r="P775" s="260"/>
      <c r="Q775" s="260"/>
      <c r="R775" s="260"/>
      <c r="S775" s="630"/>
      <c r="T775" s="630"/>
      <c r="U775" s="630"/>
      <c r="V775" s="630"/>
      <c r="W775" s="260"/>
      <c r="X775" s="260"/>
      <c r="Y775" s="260"/>
      <c r="Z775" s="260"/>
      <c r="AA775" s="260"/>
      <c r="AB775" s="260"/>
      <c r="AC775" s="265"/>
      <c r="AD775" s="634"/>
      <c r="AE775" s="264">
        <f t="shared" ref="AE775:AH775" si="1920">AE767*($L767*$P767+$M767*$Q767+$N767*$R767)</f>
        <v>0</v>
      </c>
      <c r="AF775" s="264">
        <f t="shared" si="1920"/>
        <v>0</v>
      </c>
      <c r="AG775" s="264">
        <f t="shared" si="1920"/>
        <v>0</v>
      </c>
      <c r="AH775" s="264">
        <f t="shared" si="1920"/>
        <v>0</v>
      </c>
      <c r="AI775" s="264">
        <f t="shared" si="1917"/>
        <v>0</v>
      </c>
      <c r="AJ775" s="264">
        <f t="shared" si="1909"/>
        <v>0</v>
      </c>
      <c r="AK775" s="264">
        <f t="shared" si="1910"/>
        <v>0</v>
      </c>
      <c r="AL775" s="264">
        <f t="shared" si="1911"/>
        <v>0</v>
      </c>
      <c r="AM775" s="264">
        <f t="shared" si="1912"/>
        <v>0</v>
      </c>
      <c r="AN775" s="640">
        <f t="shared" si="1895"/>
        <v>0</v>
      </c>
      <c r="AO775" s="264">
        <f t="shared" si="1913"/>
        <v>0</v>
      </c>
      <c r="AP775" s="640">
        <f t="shared" si="1889"/>
        <v>0</v>
      </c>
      <c r="AQ775" s="264"/>
      <c r="AR775" s="264" t="str">
        <f>VLOOKUP($I775,TableInputsData[],ReadMe!$M$3,FALSE)&amp;"  |  "&amp;VLOOKUP($K775,TableInputsData[],ReadMe!$M$3,FALSE)</f>
        <v>PRODUIT 19  |  CHIFFRE D'AFFAIRES</v>
      </c>
      <c r="AS775" s="264" t="b">
        <f t="shared" si="1914"/>
        <v>1</v>
      </c>
      <c r="AT775" s="294"/>
    </row>
    <row r="776" spans="1:46" ht="13" hidden="1" x14ac:dyDescent="0.2">
      <c r="A776" s="294"/>
      <c r="B776" s="924"/>
      <c r="C776" s="271">
        <v>769</v>
      </c>
      <c r="D776" s="250">
        <f t="shared" si="1896"/>
        <v>0</v>
      </c>
      <c r="E776" s="250"/>
      <c r="F776" s="248" t="str">
        <f t="shared" si="1906"/>
        <v>YEAR2</v>
      </c>
      <c r="G776" s="250">
        <f>VLOOKUP(F776,TableInputsData[],$G$6,FALSE)</f>
        <v>2026</v>
      </c>
      <c r="H776" s="250" t="str">
        <f t="shared" ref="H776:I776" si="1921">H775</f>
        <v>PRODUCT</v>
      </c>
      <c r="I776" s="248" t="str">
        <f t="shared" si="1921"/>
        <v>PRODUCT 19</v>
      </c>
      <c r="J776" s="248" t="str">
        <f>VLOOKUP(I776,TableInputsData[],$J$6,FALSE)</f>
        <v>-</v>
      </c>
      <c r="K776" s="248" t="str">
        <f t="shared" si="1919"/>
        <v>REVENUE</v>
      </c>
      <c r="L776" s="255"/>
      <c r="M776" s="255"/>
      <c r="N776" s="255"/>
      <c r="O776" s="265"/>
      <c r="P776" s="260"/>
      <c r="Q776" s="260"/>
      <c r="R776" s="260"/>
      <c r="S776" s="630"/>
      <c r="T776" s="630"/>
      <c r="U776" s="630"/>
      <c r="V776" s="630"/>
      <c r="W776" s="260"/>
      <c r="X776" s="260"/>
      <c r="Y776" s="260"/>
      <c r="Z776" s="260"/>
      <c r="AA776" s="260"/>
      <c r="AB776" s="260"/>
      <c r="AC776" s="265"/>
      <c r="AD776" s="634"/>
      <c r="AE776" s="264">
        <f t="shared" ref="AE776:AH776" si="1922">AE768*($L768*$P768+$M768*$Q768+$N768*$R768)</f>
        <v>0</v>
      </c>
      <c r="AF776" s="264">
        <f t="shared" si="1922"/>
        <v>0</v>
      </c>
      <c r="AG776" s="264">
        <f t="shared" si="1922"/>
        <v>0</v>
      </c>
      <c r="AH776" s="264">
        <f t="shared" si="1922"/>
        <v>0</v>
      </c>
      <c r="AI776" s="264">
        <f t="shared" si="1917"/>
        <v>0</v>
      </c>
      <c r="AJ776" s="264">
        <f t="shared" si="1909"/>
        <v>0</v>
      </c>
      <c r="AK776" s="264">
        <f t="shared" si="1910"/>
        <v>0</v>
      </c>
      <c r="AL776" s="264">
        <f t="shared" si="1911"/>
        <v>0</v>
      </c>
      <c r="AM776" s="264">
        <f t="shared" si="1912"/>
        <v>0</v>
      </c>
      <c r="AN776" s="640">
        <f t="shared" si="1895"/>
        <v>0</v>
      </c>
      <c r="AO776" s="264">
        <f t="shared" si="1913"/>
        <v>0</v>
      </c>
      <c r="AP776" s="640">
        <f t="shared" si="1889"/>
        <v>0</v>
      </c>
      <c r="AQ776" s="264"/>
      <c r="AR776" s="264" t="str">
        <f>VLOOKUP($I776,TableInputsData[],ReadMe!$M$3,FALSE)&amp;"  |  "&amp;VLOOKUP($K776,TableInputsData[],ReadMe!$M$3,FALSE)</f>
        <v>PRODUIT 19  |  CHIFFRE D'AFFAIRES</v>
      </c>
      <c r="AS776" s="264" t="b">
        <f t="shared" si="1914"/>
        <v>1</v>
      </c>
      <c r="AT776" s="294"/>
    </row>
    <row r="777" spans="1:46" ht="13" hidden="1" x14ac:dyDescent="0.2">
      <c r="A777" s="294"/>
      <c r="B777" s="924"/>
      <c r="C777" s="271">
        <v>770</v>
      </c>
      <c r="D777" s="250">
        <f t="shared" si="1896"/>
        <v>0</v>
      </c>
      <c r="E777" s="250"/>
      <c r="F777" s="248" t="str">
        <f t="shared" si="1906"/>
        <v>YEAR3</v>
      </c>
      <c r="G777" s="250">
        <f>VLOOKUP(F777,TableInputsData[],$G$6,FALSE)</f>
        <v>2027</v>
      </c>
      <c r="H777" s="250" t="str">
        <f t="shared" ref="H777:I777" si="1923">H776</f>
        <v>PRODUCT</v>
      </c>
      <c r="I777" s="248" t="str">
        <f t="shared" si="1923"/>
        <v>PRODUCT 19</v>
      </c>
      <c r="J777" s="248" t="str">
        <f>VLOOKUP(I777,TableInputsData[],$J$6,FALSE)</f>
        <v>-</v>
      </c>
      <c r="K777" s="248" t="str">
        <f t="shared" si="1919"/>
        <v>REVENUE</v>
      </c>
      <c r="L777" s="255"/>
      <c r="M777" s="255"/>
      <c r="N777" s="255"/>
      <c r="O777" s="265"/>
      <c r="P777" s="260"/>
      <c r="Q777" s="260"/>
      <c r="R777" s="260"/>
      <c r="S777" s="630"/>
      <c r="T777" s="630"/>
      <c r="U777" s="630"/>
      <c r="V777" s="630"/>
      <c r="W777" s="260"/>
      <c r="X777" s="260"/>
      <c r="Y777" s="260"/>
      <c r="Z777" s="260"/>
      <c r="AA777" s="260"/>
      <c r="AB777" s="260"/>
      <c r="AC777" s="265"/>
      <c r="AD777" s="634"/>
      <c r="AE777" s="264">
        <f t="shared" ref="AE777:AH777" si="1924">AE769*($L769*$P769+$M769*$Q769+$N769*$R769)</f>
        <v>0</v>
      </c>
      <c r="AF777" s="264">
        <f t="shared" si="1924"/>
        <v>0</v>
      </c>
      <c r="AG777" s="264">
        <f t="shared" si="1924"/>
        <v>0</v>
      </c>
      <c r="AH777" s="264">
        <f t="shared" si="1924"/>
        <v>0</v>
      </c>
      <c r="AI777" s="264">
        <f t="shared" si="1917"/>
        <v>0</v>
      </c>
      <c r="AJ777" s="264">
        <f t="shared" si="1909"/>
        <v>0</v>
      </c>
      <c r="AK777" s="264">
        <f t="shared" si="1910"/>
        <v>0</v>
      </c>
      <c r="AL777" s="264">
        <f t="shared" si="1911"/>
        <v>0</v>
      </c>
      <c r="AM777" s="264">
        <f t="shared" si="1912"/>
        <v>0</v>
      </c>
      <c r="AN777" s="640">
        <f t="shared" si="1895"/>
        <v>0</v>
      </c>
      <c r="AO777" s="264">
        <f t="shared" si="1913"/>
        <v>0</v>
      </c>
      <c r="AP777" s="640">
        <f t="shared" si="1889"/>
        <v>0</v>
      </c>
      <c r="AQ777" s="264"/>
      <c r="AR777" s="264" t="str">
        <f>VLOOKUP($I777,TableInputsData[],ReadMe!$M$3,FALSE)&amp;"  |  "&amp;VLOOKUP($K777,TableInputsData[],ReadMe!$M$3,FALSE)</f>
        <v>PRODUIT 19  |  CHIFFRE D'AFFAIRES</v>
      </c>
      <c r="AS777" s="264" t="b">
        <f t="shared" si="1914"/>
        <v>1</v>
      </c>
      <c r="AT777" s="294"/>
    </row>
    <row r="778" spans="1:46" ht="13" hidden="1" x14ac:dyDescent="0.2">
      <c r="A778" s="294"/>
      <c r="B778" s="924"/>
      <c r="C778" s="271">
        <v>771</v>
      </c>
      <c r="D778" s="250">
        <f t="shared" si="1896"/>
        <v>0</v>
      </c>
      <c r="E778" s="250"/>
      <c r="F778" s="248" t="str">
        <f t="shared" si="1906"/>
        <v>YEAR4</v>
      </c>
      <c r="G778" s="250">
        <f>VLOOKUP(F778,TableInputsData[],$G$6,FALSE)</f>
        <v>2028</v>
      </c>
      <c r="H778" s="250" t="str">
        <f t="shared" ref="H778:I778" si="1925">H777</f>
        <v>PRODUCT</v>
      </c>
      <c r="I778" s="248" t="str">
        <f t="shared" si="1925"/>
        <v>PRODUCT 19</v>
      </c>
      <c r="J778" s="248" t="str">
        <f>VLOOKUP(I778,TableInputsData[],$J$6,FALSE)</f>
        <v>-</v>
      </c>
      <c r="K778" s="248" t="str">
        <f t="shared" si="1919"/>
        <v>REVENUE</v>
      </c>
      <c r="L778" s="255"/>
      <c r="M778" s="255"/>
      <c r="N778" s="255"/>
      <c r="O778" s="265"/>
      <c r="P778" s="260"/>
      <c r="Q778" s="260"/>
      <c r="R778" s="260"/>
      <c r="S778" s="630"/>
      <c r="T778" s="630"/>
      <c r="U778" s="630"/>
      <c r="V778" s="630"/>
      <c r="W778" s="260"/>
      <c r="X778" s="260"/>
      <c r="Y778" s="260"/>
      <c r="Z778" s="260"/>
      <c r="AA778" s="260"/>
      <c r="AB778" s="260"/>
      <c r="AC778" s="265"/>
      <c r="AD778" s="634"/>
      <c r="AE778" s="264">
        <f t="shared" ref="AE778:AH778" si="1926">AE770*($L770*$P770+$M770*$Q770+$N770*$R770)</f>
        <v>0</v>
      </c>
      <c r="AF778" s="264">
        <f t="shared" si="1926"/>
        <v>0</v>
      </c>
      <c r="AG778" s="264">
        <f t="shared" si="1926"/>
        <v>0</v>
      </c>
      <c r="AH778" s="264">
        <f t="shared" si="1926"/>
        <v>0</v>
      </c>
      <c r="AI778" s="264">
        <f t="shared" si="1917"/>
        <v>0</v>
      </c>
      <c r="AJ778" s="264">
        <f t="shared" si="1909"/>
        <v>0</v>
      </c>
      <c r="AK778" s="264">
        <f t="shared" si="1910"/>
        <v>0</v>
      </c>
      <c r="AL778" s="264">
        <f t="shared" si="1911"/>
        <v>0</v>
      </c>
      <c r="AM778" s="264">
        <f t="shared" si="1912"/>
        <v>0</v>
      </c>
      <c r="AN778" s="640">
        <f t="shared" si="1895"/>
        <v>0</v>
      </c>
      <c r="AO778" s="264">
        <f t="shared" si="1913"/>
        <v>0</v>
      </c>
      <c r="AP778" s="640">
        <f t="shared" si="1889"/>
        <v>0</v>
      </c>
      <c r="AQ778" s="264"/>
      <c r="AR778" s="264" t="str">
        <f>VLOOKUP($I778,TableInputsData[],ReadMe!$M$3,FALSE)&amp;"  |  "&amp;VLOOKUP($K778,TableInputsData[],ReadMe!$M$3,FALSE)</f>
        <v>PRODUIT 19  |  CHIFFRE D'AFFAIRES</v>
      </c>
      <c r="AS778" s="264" t="b">
        <f t="shared" si="1914"/>
        <v>1</v>
      </c>
      <c r="AT778" s="294"/>
    </row>
    <row r="779" spans="1:46" ht="13" hidden="1" x14ac:dyDescent="0.2">
      <c r="A779" s="294"/>
      <c r="B779" s="924"/>
      <c r="C779" s="271">
        <v>772</v>
      </c>
      <c r="D779" s="250">
        <f t="shared" si="1896"/>
        <v>0</v>
      </c>
      <c r="E779" s="250"/>
      <c r="F779" s="248" t="str">
        <f t="shared" si="1906"/>
        <v>YEAR5</v>
      </c>
      <c r="G779" s="250">
        <f>VLOOKUP(F779,TableInputsData[],$G$6,FALSE)</f>
        <v>2029</v>
      </c>
      <c r="H779" s="250" t="str">
        <f t="shared" ref="H779:I779" si="1927">H778</f>
        <v>PRODUCT</v>
      </c>
      <c r="I779" s="248" t="str">
        <f t="shared" si="1927"/>
        <v>PRODUCT 19</v>
      </c>
      <c r="J779" s="248" t="str">
        <f>VLOOKUP(I779,TableInputsData[],$J$6,FALSE)</f>
        <v>-</v>
      </c>
      <c r="K779" s="248" t="str">
        <f t="shared" si="1919"/>
        <v>REVENUE</v>
      </c>
      <c r="L779" s="255"/>
      <c r="M779" s="255"/>
      <c r="N779" s="255"/>
      <c r="O779" s="265"/>
      <c r="P779" s="260"/>
      <c r="Q779" s="260"/>
      <c r="R779" s="260"/>
      <c r="S779" s="630"/>
      <c r="T779" s="630"/>
      <c r="U779" s="630"/>
      <c r="V779" s="630"/>
      <c r="W779" s="260"/>
      <c r="X779" s="260"/>
      <c r="Y779" s="260"/>
      <c r="Z779" s="260"/>
      <c r="AA779" s="260"/>
      <c r="AB779" s="260"/>
      <c r="AC779" s="265"/>
      <c r="AD779" s="634"/>
      <c r="AE779" s="264">
        <f t="shared" ref="AE779:AH779" si="1928">AE771*($L771*$P771+$M771*$Q771+$N771*$R771)</f>
        <v>0</v>
      </c>
      <c r="AF779" s="264">
        <f t="shared" si="1928"/>
        <v>0</v>
      </c>
      <c r="AG779" s="264">
        <f t="shared" si="1928"/>
        <v>0</v>
      </c>
      <c r="AH779" s="264">
        <f t="shared" si="1928"/>
        <v>0</v>
      </c>
      <c r="AI779" s="264">
        <f t="shared" si="1917"/>
        <v>0</v>
      </c>
      <c r="AJ779" s="264">
        <f t="shared" si="1909"/>
        <v>0</v>
      </c>
      <c r="AK779" s="264">
        <f t="shared" si="1910"/>
        <v>0</v>
      </c>
      <c r="AL779" s="264">
        <f t="shared" si="1911"/>
        <v>0</v>
      </c>
      <c r="AM779" s="264">
        <f t="shared" si="1912"/>
        <v>0</v>
      </c>
      <c r="AN779" s="640">
        <f t="shared" si="1895"/>
        <v>0</v>
      </c>
      <c r="AO779" s="264">
        <f t="shared" si="1913"/>
        <v>0</v>
      </c>
      <c r="AP779" s="640">
        <f t="shared" si="1889"/>
        <v>0</v>
      </c>
      <c r="AQ779" s="264"/>
      <c r="AR779" s="264" t="str">
        <f>VLOOKUP($I779,TableInputsData[],ReadMe!$M$3,FALSE)&amp;"  |  "&amp;VLOOKUP($K779,TableInputsData[],ReadMe!$M$3,FALSE)</f>
        <v>PRODUIT 19  |  CHIFFRE D'AFFAIRES</v>
      </c>
      <c r="AS779" s="264" t="b">
        <f t="shared" si="1914"/>
        <v>1</v>
      </c>
      <c r="AT779" s="294"/>
    </row>
    <row r="780" spans="1:46" ht="13" hidden="1" x14ac:dyDescent="0.2">
      <c r="A780" s="294"/>
      <c r="B780" s="924"/>
      <c r="C780" s="271">
        <v>773</v>
      </c>
      <c r="D780" s="250">
        <f t="shared" si="1896"/>
        <v>0</v>
      </c>
      <c r="E780" s="250"/>
      <c r="F780" s="248" t="str">
        <f t="shared" si="1906"/>
        <v>YEAR6</v>
      </c>
      <c r="G780" s="250">
        <f>VLOOKUP(F780,TableInputsData[],$G$6,FALSE)</f>
        <v>2030</v>
      </c>
      <c r="H780" s="250" t="str">
        <f t="shared" ref="H780:I780" si="1929">H779</f>
        <v>PRODUCT</v>
      </c>
      <c r="I780" s="248" t="str">
        <f t="shared" si="1929"/>
        <v>PRODUCT 19</v>
      </c>
      <c r="J780" s="248" t="str">
        <f>VLOOKUP(I780,TableInputsData[],$J$6,FALSE)</f>
        <v>-</v>
      </c>
      <c r="K780" s="248" t="str">
        <f t="shared" si="1919"/>
        <v>REVENUE</v>
      </c>
      <c r="L780" s="255"/>
      <c r="M780" s="255"/>
      <c r="N780" s="255"/>
      <c r="O780" s="265"/>
      <c r="P780" s="260"/>
      <c r="Q780" s="260"/>
      <c r="R780" s="260"/>
      <c r="S780" s="630"/>
      <c r="T780" s="630"/>
      <c r="U780" s="630"/>
      <c r="V780" s="630"/>
      <c r="W780" s="260"/>
      <c r="X780" s="260"/>
      <c r="Y780" s="260"/>
      <c r="Z780" s="260"/>
      <c r="AA780" s="260"/>
      <c r="AB780" s="260"/>
      <c r="AC780" s="265"/>
      <c r="AD780" s="634"/>
      <c r="AE780" s="264">
        <f t="shared" ref="AE780:AH780" si="1930">AE772*($L772*$P772+$M772*$Q772+$N772*$R772)</f>
        <v>0</v>
      </c>
      <c r="AF780" s="264">
        <f t="shared" si="1930"/>
        <v>0</v>
      </c>
      <c r="AG780" s="264">
        <f t="shared" si="1930"/>
        <v>0</v>
      </c>
      <c r="AH780" s="264">
        <f t="shared" si="1930"/>
        <v>0</v>
      </c>
      <c r="AI780" s="264">
        <f>$AE780+$AF780+$AG780+$AH780</f>
        <v>0</v>
      </c>
      <c r="AJ780" s="264">
        <f t="shared" si="1909"/>
        <v>0</v>
      </c>
      <c r="AK780" s="264">
        <f t="shared" si="1910"/>
        <v>0</v>
      </c>
      <c r="AL780" s="264">
        <f t="shared" si="1911"/>
        <v>0</v>
      </c>
      <c r="AM780" s="264">
        <f t="shared" si="1912"/>
        <v>0</v>
      </c>
      <c r="AN780" s="640">
        <f t="shared" si="1895"/>
        <v>0</v>
      </c>
      <c r="AO780" s="264">
        <f t="shared" si="1913"/>
        <v>0</v>
      </c>
      <c r="AP780" s="640">
        <f t="shared" si="1889"/>
        <v>0</v>
      </c>
      <c r="AQ780" s="264"/>
      <c r="AR780" s="264" t="str">
        <f>VLOOKUP($I780,TableInputsData[],ReadMe!$M$3,FALSE)&amp;"  |  "&amp;VLOOKUP($K780,TableInputsData[],ReadMe!$M$3,FALSE)</f>
        <v>PRODUIT 19  |  CHIFFRE D'AFFAIRES</v>
      </c>
      <c r="AS780" s="264" t="b">
        <f t="shared" si="1914"/>
        <v>1</v>
      </c>
      <c r="AT780" s="294"/>
    </row>
    <row r="781" spans="1:46" ht="13" hidden="1" x14ac:dyDescent="0.2">
      <c r="A781" s="294"/>
      <c r="B781" s="924"/>
      <c r="C781" s="271">
        <v>774</v>
      </c>
      <c r="D781" s="250">
        <f t="shared" si="1896"/>
        <v>0</v>
      </c>
      <c r="E781" s="250"/>
      <c r="F781" s="248" t="str">
        <f t="shared" ref="F781:F788" si="1931">F765</f>
        <v>YEAR-2</v>
      </c>
      <c r="G781" s="250">
        <f>VLOOKUP(F781,TableInputsData[],$G$6,FALSE)</f>
        <v>2023</v>
      </c>
      <c r="H781" s="250" t="str">
        <f t="shared" ref="H781:I781" si="1932">H780</f>
        <v>PRODUCT</v>
      </c>
      <c r="I781" s="248" t="str">
        <f t="shared" si="1932"/>
        <v>PRODUCT 19</v>
      </c>
      <c r="J781" s="248" t="str">
        <f>VLOOKUP(I781,TableInputsData[],$J$6,FALSE)</f>
        <v>-</v>
      </c>
      <c r="K781" s="248" t="s">
        <v>456</v>
      </c>
      <c r="L781" s="255"/>
      <c r="M781" s="255"/>
      <c r="N781" s="255"/>
      <c r="O781" s="265"/>
      <c r="P781" s="260"/>
      <c r="Q781" s="260"/>
      <c r="R781" s="260"/>
      <c r="S781" s="630"/>
      <c r="T781" s="630"/>
      <c r="U781" s="630"/>
      <c r="V781" s="630"/>
      <c r="W781" s="260"/>
      <c r="X781" s="260"/>
      <c r="Y781" s="260"/>
      <c r="Z781" s="260"/>
      <c r="AA781" s="260"/>
      <c r="AB781" s="260"/>
      <c r="AC781" s="265"/>
      <c r="AD781" s="634"/>
      <c r="AE781" s="264">
        <f>IF(AE765=0,0,AE773/AE765)</f>
        <v>0</v>
      </c>
      <c r="AF781" s="264">
        <f t="shared" ref="AF781:AI781" si="1933">IF(AF765=0,0,AF773/AF765)</f>
        <v>0</v>
      </c>
      <c r="AG781" s="264">
        <f t="shared" si="1933"/>
        <v>0</v>
      </c>
      <c r="AH781" s="264">
        <f t="shared" si="1933"/>
        <v>0</v>
      </c>
      <c r="AI781" s="264">
        <f t="shared" si="1933"/>
        <v>0</v>
      </c>
      <c r="AJ781" s="264">
        <f>IF(AJ765=0,0,AJ773/AJ765)</f>
        <v>0</v>
      </c>
      <c r="AK781" s="264">
        <f t="shared" ref="AK781:AL781" si="1934">IF(AK765=0,0,AK773/AK765)</f>
        <v>0</v>
      </c>
      <c r="AL781" s="264">
        <f t="shared" si="1934"/>
        <v>0</v>
      </c>
      <c r="AM781" s="264">
        <f>IF(AM765=0,0,AM773/AM765)</f>
        <v>0</v>
      </c>
      <c r="AN781" s="260"/>
      <c r="AO781" s="264">
        <f t="shared" ref="AO781:AO788" si="1935">IF(AO765=0,0,AO773/AO765)</f>
        <v>0</v>
      </c>
      <c r="AP781" s="260"/>
      <c r="AQ781" s="264"/>
      <c r="AR781" s="264" t="str">
        <f>VLOOKUP($I781,TableInputsData[],ReadMe!$M$3,FALSE)&amp;"  |  "&amp;VLOOKUP($K781,TableInputsData[],ReadMe!$M$3,FALSE)</f>
        <v>PRODUIT 19  |  PRIX MOYEN DE VENTE PAR PRODUIT/SERVICE</v>
      </c>
      <c r="AS781" s="264"/>
      <c r="AT781" s="294"/>
    </row>
    <row r="782" spans="1:46" ht="13" hidden="1" x14ac:dyDescent="0.2">
      <c r="A782" s="294"/>
      <c r="B782" s="924"/>
      <c r="C782" s="271">
        <v>775</v>
      </c>
      <c r="D782" s="250">
        <f t="shared" si="1896"/>
        <v>0</v>
      </c>
      <c r="E782" s="250"/>
      <c r="F782" s="248" t="str">
        <f t="shared" si="1931"/>
        <v>YEAR-1</v>
      </c>
      <c r="G782" s="250">
        <f>VLOOKUP(F782,TableInputsData[],$G$6,FALSE)</f>
        <v>2024</v>
      </c>
      <c r="H782" s="250" t="str">
        <f t="shared" ref="H782:I782" si="1936">H781</f>
        <v>PRODUCT</v>
      </c>
      <c r="I782" s="248" t="str">
        <f t="shared" si="1936"/>
        <v>PRODUCT 19</v>
      </c>
      <c r="J782" s="248" t="str">
        <f>VLOOKUP(I782,TableInputsData[],$J$6,FALSE)</f>
        <v>-</v>
      </c>
      <c r="K782" s="248" t="str">
        <f>K781</f>
        <v>AVERAGE SELLING PRICE PER UNIT</v>
      </c>
      <c r="L782" s="255"/>
      <c r="M782" s="255"/>
      <c r="N782" s="255"/>
      <c r="O782" s="265"/>
      <c r="P782" s="260"/>
      <c r="Q782" s="260"/>
      <c r="R782" s="260"/>
      <c r="S782" s="630"/>
      <c r="T782" s="630"/>
      <c r="U782" s="630"/>
      <c r="V782" s="630"/>
      <c r="W782" s="260"/>
      <c r="X782" s="260"/>
      <c r="Y782" s="260"/>
      <c r="Z782" s="260"/>
      <c r="AA782" s="260"/>
      <c r="AB782" s="260"/>
      <c r="AC782" s="265"/>
      <c r="AD782" s="634"/>
      <c r="AE782" s="264">
        <f>IF(AE766=0,0,AE774/AE766)</f>
        <v>0</v>
      </c>
      <c r="AF782" s="264">
        <f t="shared" ref="AF782:AM782" si="1937">IF(AF766=0,0,AF774/AF766)</f>
        <v>0</v>
      </c>
      <c r="AG782" s="264">
        <f t="shared" si="1937"/>
        <v>0</v>
      </c>
      <c r="AH782" s="264">
        <f t="shared" si="1937"/>
        <v>0</v>
      </c>
      <c r="AI782" s="264">
        <f t="shared" si="1937"/>
        <v>0</v>
      </c>
      <c r="AJ782" s="264">
        <f t="shared" si="1937"/>
        <v>0</v>
      </c>
      <c r="AK782" s="264">
        <f t="shared" si="1937"/>
        <v>0</v>
      </c>
      <c r="AL782" s="264">
        <f t="shared" si="1937"/>
        <v>0</v>
      </c>
      <c r="AM782" s="264">
        <f t="shared" si="1937"/>
        <v>0</v>
      </c>
      <c r="AN782" s="260"/>
      <c r="AO782" s="264">
        <f t="shared" si="1935"/>
        <v>0</v>
      </c>
      <c r="AP782" s="260"/>
      <c r="AQ782" s="264"/>
      <c r="AR782" s="264" t="str">
        <f>VLOOKUP($I782,TableInputsData[],ReadMe!$M$3,FALSE)&amp;"  |  "&amp;VLOOKUP($K782,TableInputsData[],ReadMe!$M$3,FALSE)</f>
        <v>PRODUIT 19  |  PRIX MOYEN DE VENTE PAR PRODUIT/SERVICE</v>
      </c>
      <c r="AS782" s="264"/>
      <c r="AT782" s="294"/>
    </row>
    <row r="783" spans="1:46" ht="13" hidden="1" x14ac:dyDescent="0.2">
      <c r="A783" s="294"/>
      <c r="B783" s="924"/>
      <c r="C783" s="271">
        <v>776</v>
      </c>
      <c r="D783" s="250">
        <f t="shared" si="1896"/>
        <v>0</v>
      </c>
      <c r="E783" s="250"/>
      <c r="F783" s="248" t="str">
        <f t="shared" si="1931"/>
        <v>CURRENT YEAR</v>
      </c>
      <c r="G783" s="250">
        <f>VLOOKUP(F783,TableInputsData[],$G$6,FALSE)</f>
        <v>2025</v>
      </c>
      <c r="H783" s="250" t="str">
        <f t="shared" ref="H783:I783" si="1938">H782</f>
        <v>PRODUCT</v>
      </c>
      <c r="I783" s="248" t="str">
        <f t="shared" si="1938"/>
        <v>PRODUCT 19</v>
      </c>
      <c r="J783" s="248" t="str">
        <f>VLOOKUP(I783,TableInputsData[],$J$6,FALSE)</f>
        <v>-</v>
      </c>
      <c r="K783" s="248" t="str">
        <f t="shared" ref="K783:K788" si="1939">K782</f>
        <v>AVERAGE SELLING PRICE PER UNIT</v>
      </c>
      <c r="L783" s="255"/>
      <c r="M783" s="255"/>
      <c r="N783" s="255"/>
      <c r="O783" s="265"/>
      <c r="P783" s="260"/>
      <c r="Q783" s="260"/>
      <c r="R783" s="260"/>
      <c r="S783" s="630"/>
      <c r="T783" s="630"/>
      <c r="U783" s="630"/>
      <c r="V783" s="630"/>
      <c r="W783" s="260"/>
      <c r="X783" s="260"/>
      <c r="Y783" s="260"/>
      <c r="Z783" s="260"/>
      <c r="AA783" s="260"/>
      <c r="AB783" s="260"/>
      <c r="AC783" s="265"/>
      <c r="AD783" s="634"/>
      <c r="AE783" s="264">
        <f>IF(AE767=0,0,AE775/AE767)</f>
        <v>0</v>
      </c>
      <c r="AF783" s="264">
        <f t="shared" ref="AF783:AM783" si="1940">IF(AF767=0,0,AF775/AF767)</f>
        <v>0</v>
      </c>
      <c r="AG783" s="264">
        <f t="shared" si="1940"/>
        <v>0</v>
      </c>
      <c r="AH783" s="264">
        <f t="shared" si="1940"/>
        <v>0</v>
      </c>
      <c r="AI783" s="264">
        <f t="shared" si="1940"/>
        <v>0</v>
      </c>
      <c r="AJ783" s="264">
        <f t="shared" si="1940"/>
        <v>0</v>
      </c>
      <c r="AK783" s="264">
        <f t="shared" si="1940"/>
        <v>0</v>
      </c>
      <c r="AL783" s="264">
        <f t="shared" si="1940"/>
        <v>0</v>
      </c>
      <c r="AM783" s="264">
        <f t="shared" si="1940"/>
        <v>0</v>
      </c>
      <c r="AN783" s="260"/>
      <c r="AO783" s="264">
        <f t="shared" si="1935"/>
        <v>0</v>
      </c>
      <c r="AP783" s="260"/>
      <c r="AQ783" s="264"/>
      <c r="AR783" s="264" t="str">
        <f>VLOOKUP($I783,TableInputsData[],ReadMe!$M$3,FALSE)&amp;"  |  "&amp;VLOOKUP($K783,TableInputsData[],ReadMe!$M$3,FALSE)</f>
        <v>PRODUIT 19  |  PRIX MOYEN DE VENTE PAR PRODUIT/SERVICE</v>
      </c>
      <c r="AS783" s="264"/>
      <c r="AT783" s="294"/>
    </row>
    <row r="784" spans="1:46" ht="13" hidden="1" x14ac:dyDescent="0.2">
      <c r="A784" s="294"/>
      <c r="B784" s="924"/>
      <c r="C784" s="271">
        <v>777</v>
      </c>
      <c r="D784" s="250">
        <f t="shared" si="1896"/>
        <v>0</v>
      </c>
      <c r="E784" s="250"/>
      <c r="F784" s="248" t="str">
        <f t="shared" si="1931"/>
        <v>YEAR2</v>
      </c>
      <c r="G784" s="250">
        <f>VLOOKUP(F784,TableInputsData[],$G$6,FALSE)</f>
        <v>2026</v>
      </c>
      <c r="H784" s="250" t="str">
        <f t="shared" ref="H784:I784" si="1941">H783</f>
        <v>PRODUCT</v>
      </c>
      <c r="I784" s="248" t="str">
        <f t="shared" si="1941"/>
        <v>PRODUCT 19</v>
      </c>
      <c r="J784" s="248" t="str">
        <f>VLOOKUP(I784,TableInputsData[],$J$6,FALSE)</f>
        <v>-</v>
      </c>
      <c r="K784" s="248" t="str">
        <f t="shared" si="1939"/>
        <v>AVERAGE SELLING PRICE PER UNIT</v>
      </c>
      <c r="L784" s="255"/>
      <c r="M784" s="255"/>
      <c r="N784" s="255"/>
      <c r="O784" s="265"/>
      <c r="P784" s="260"/>
      <c r="Q784" s="260"/>
      <c r="R784" s="260"/>
      <c r="S784" s="630"/>
      <c r="T784" s="630"/>
      <c r="U784" s="630"/>
      <c r="V784" s="630"/>
      <c r="W784" s="260"/>
      <c r="X784" s="260"/>
      <c r="Y784" s="260"/>
      <c r="Z784" s="260"/>
      <c r="AA784" s="260"/>
      <c r="AB784" s="260"/>
      <c r="AC784" s="265"/>
      <c r="AD784" s="634"/>
      <c r="AE784" s="264">
        <f>IF(AE768=0,0,AE776/AE768)</f>
        <v>0</v>
      </c>
      <c r="AF784" s="264">
        <f t="shared" ref="AF784:AM784" si="1942">IF(AF768=0,0,AF776/AF768)</f>
        <v>0</v>
      </c>
      <c r="AG784" s="264">
        <f t="shared" si="1942"/>
        <v>0</v>
      </c>
      <c r="AH784" s="264">
        <f t="shared" si="1942"/>
        <v>0</v>
      </c>
      <c r="AI784" s="264">
        <f t="shared" si="1942"/>
        <v>0</v>
      </c>
      <c r="AJ784" s="264">
        <f t="shared" si="1942"/>
        <v>0</v>
      </c>
      <c r="AK784" s="264">
        <f t="shared" si="1942"/>
        <v>0</v>
      </c>
      <c r="AL784" s="264">
        <f t="shared" si="1942"/>
        <v>0</v>
      </c>
      <c r="AM784" s="264">
        <f t="shared" si="1942"/>
        <v>0</v>
      </c>
      <c r="AN784" s="260"/>
      <c r="AO784" s="264">
        <f t="shared" si="1935"/>
        <v>0</v>
      </c>
      <c r="AP784" s="260"/>
      <c r="AQ784" s="264"/>
      <c r="AR784" s="264" t="str">
        <f>VLOOKUP($I784,TableInputsData[],ReadMe!$M$3,FALSE)&amp;"  |  "&amp;VLOOKUP($K784,TableInputsData[],ReadMe!$M$3,FALSE)</f>
        <v>PRODUIT 19  |  PRIX MOYEN DE VENTE PAR PRODUIT/SERVICE</v>
      </c>
      <c r="AS784" s="264"/>
      <c r="AT784" s="294"/>
    </row>
    <row r="785" spans="1:46" ht="13" hidden="1" x14ac:dyDescent="0.2">
      <c r="A785" s="294"/>
      <c r="B785" s="924"/>
      <c r="C785" s="271">
        <v>778</v>
      </c>
      <c r="D785" s="250">
        <f t="shared" si="1896"/>
        <v>0</v>
      </c>
      <c r="E785" s="250"/>
      <c r="F785" s="248" t="str">
        <f t="shared" si="1931"/>
        <v>YEAR3</v>
      </c>
      <c r="G785" s="250">
        <f>VLOOKUP(F785,TableInputsData[],$G$6,FALSE)</f>
        <v>2027</v>
      </c>
      <c r="H785" s="250" t="str">
        <f t="shared" ref="H785:I785" si="1943">H784</f>
        <v>PRODUCT</v>
      </c>
      <c r="I785" s="248" t="str">
        <f t="shared" si="1943"/>
        <v>PRODUCT 19</v>
      </c>
      <c r="J785" s="248" t="str">
        <f>VLOOKUP(I785,TableInputsData[],$J$6,FALSE)</f>
        <v>-</v>
      </c>
      <c r="K785" s="248" t="str">
        <f t="shared" si="1939"/>
        <v>AVERAGE SELLING PRICE PER UNIT</v>
      </c>
      <c r="L785" s="255"/>
      <c r="M785" s="255"/>
      <c r="N785" s="255"/>
      <c r="O785" s="265"/>
      <c r="P785" s="260"/>
      <c r="Q785" s="260"/>
      <c r="R785" s="260"/>
      <c r="S785" s="630"/>
      <c r="T785" s="630"/>
      <c r="U785" s="630"/>
      <c r="V785" s="630"/>
      <c r="W785" s="260"/>
      <c r="X785" s="260"/>
      <c r="Y785" s="260"/>
      <c r="Z785" s="260"/>
      <c r="AA785" s="260"/>
      <c r="AB785" s="260"/>
      <c r="AC785" s="265"/>
      <c r="AD785" s="634"/>
      <c r="AE785" s="264">
        <f t="shared" ref="AE785:AM785" si="1944">IF(AE769=0,0,AE777/AE769)</f>
        <v>0</v>
      </c>
      <c r="AF785" s="264">
        <f t="shared" si="1944"/>
        <v>0</v>
      </c>
      <c r="AG785" s="264">
        <f t="shared" si="1944"/>
        <v>0</v>
      </c>
      <c r="AH785" s="264">
        <f t="shared" si="1944"/>
        <v>0</v>
      </c>
      <c r="AI785" s="264">
        <f t="shared" si="1944"/>
        <v>0</v>
      </c>
      <c r="AJ785" s="264">
        <f t="shared" si="1944"/>
        <v>0</v>
      </c>
      <c r="AK785" s="264">
        <f t="shared" si="1944"/>
        <v>0</v>
      </c>
      <c r="AL785" s="264">
        <f t="shared" si="1944"/>
        <v>0</v>
      </c>
      <c r="AM785" s="264">
        <f t="shared" si="1944"/>
        <v>0</v>
      </c>
      <c r="AN785" s="260"/>
      <c r="AO785" s="264">
        <f t="shared" si="1935"/>
        <v>0</v>
      </c>
      <c r="AP785" s="260"/>
      <c r="AQ785" s="264"/>
      <c r="AR785" s="264" t="str">
        <f>VLOOKUP($I785,TableInputsData[],ReadMe!$M$3,FALSE)&amp;"  |  "&amp;VLOOKUP($K785,TableInputsData[],ReadMe!$M$3,FALSE)</f>
        <v>PRODUIT 19  |  PRIX MOYEN DE VENTE PAR PRODUIT/SERVICE</v>
      </c>
      <c r="AS785" s="264"/>
      <c r="AT785" s="294"/>
    </row>
    <row r="786" spans="1:46" ht="13" hidden="1" x14ac:dyDescent="0.2">
      <c r="A786" s="294"/>
      <c r="B786" s="924"/>
      <c r="C786" s="272">
        <v>779</v>
      </c>
      <c r="D786" s="250">
        <f t="shared" si="1896"/>
        <v>0</v>
      </c>
      <c r="E786" s="251"/>
      <c r="F786" s="248" t="str">
        <f t="shared" si="1931"/>
        <v>YEAR4</v>
      </c>
      <c r="G786" s="250">
        <f>VLOOKUP(F786,TableInputsData[],$G$6,FALSE)</f>
        <v>2028</v>
      </c>
      <c r="H786" s="250" t="str">
        <f t="shared" ref="H786:I786" si="1945">H785</f>
        <v>PRODUCT</v>
      </c>
      <c r="I786" s="248" t="str">
        <f t="shared" si="1945"/>
        <v>PRODUCT 19</v>
      </c>
      <c r="J786" s="248" t="str">
        <f>VLOOKUP(I786,TableInputsData[],$J$6,FALSE)</f>
        <v>-</v>
      </c>
      <c r="K786" s="248" t="str">
        <f t="shared" si="1939"/>
        <v>AVERAGE SELLING PRICE PER UNIT</v>
      </c>
      <c r="L786" s="256"/>
      <c r="M786" s="256"/>
      <c r="N786" s="256"/>
      <c r="O786" s="266"/>
      <c r="P786" s="261"/>
      <c r="Q786" s="261"/>
      <c r="R786" s="261"/>
      <c r="S786" s="629"/>
      <c r="T786" s="629"/>
      <c r="U786" s="629"/>
      <c r="V786" s="629"/>
      <c r="W786" s="261"/>
      <c r="X786" s="261"/>
      <c r="Y786" s="261"/>
      <c r="Z786" s="261"/>
      <c r="AA786" s="261"/>
      <c r="AB786" s="261"/>
      <c r="AC786" s="266"/>
      <c r="AD786" s="633"/>
      <c r="AE786" s="264">
        <f t="shared" ref="AE786:AM786" si="1946">IF(AE770=0,0,AE778/AE770)</f>
        <v>0</v>
      </c>
      <c r="AF786" s="264">
        <f t="shared" si="1946"/>
        <v>0</v>
      </c>
      <c r="AG786" s="264">
        <f t="shared" si="1946"/>
        <v>0</v>
      </c>
      <c r="AH786" s="264">
        <f t="shared" si="1946"/>
        <v>0</v>
      </c>
      <c r="AI786" s="264">
        <f t="shared" si="1946"/>
        <v>0</v>
      </c>
      <c r="AJ786" s="264">
        <f t="shared" si="1946"/>
        <v>0</v>
      </c>
      <c r="AK786" s="264">
        <f t="shared" si="1946"/>
        <v>0</v>
      </c>
      <c r="AL786" s="264">
        <f t="shared" si="1946"/>
        <v>0</v>
      </c>
      <c r="AM786" s="264">
        <f t="shared" si="1946"/>
        <v>0</v>
      </c>
      <c r="AN786" s="260"/>
      <c r="AO786" s="264">
        <f t="shared" si="1935"/>
        <v>0</v>
      </c>
      <c r="AP786" s="260"/>
      <c r="AQ786" s="264"/>
      <c r="AR786" s="264" t="str">
        <f>VLOOKUP($I786,TableInputsData[],ReadMe!$M$3,FALSE)&amp;"  |  "&amp;VLOOKUP($K786,TableInputsData[],ReadMe!$M$3,FALSE)</f>
        <v>PRODUIT 19  |  PRIX MOYEN DE VENTE PAR PRODUIT/SERVICE</v>
      </c>
      <c r="AS786" s="264"/>
      <c r="AT786" s="294"/>
    </row>
    <row r="787" spans="1:46" ht="13" hidden="1" x14ac:dyDescent="0.2">
      <c r="A787" s="294"/>
      <c r="B787" s="924"/>
      <c r="C787" s="271">
        <v>780</v>
      </c>
      <c r="D787" s="250">
        <f t="shared" si="1896"/>
        <v>0</v>
      </c>
      <c r="E787" s="250"/>
      <c r="F787" s="248" t="str">
        <f t="shared" si="1931"/>
        <v>YEAR5</v>
      </c>
      <c r="G787" s="250">
        <f>VLOOKUP(F787,TableInputsData[],$G$6,FALSE)</f>
        <v>2029</v>
      </c>
      <c r="H787" s="250" t="str">
        <f t="shared" ref="H787:I787" si="1947">H786</f>
        <v>PRODUCT</v>
      </c>
      <c r="I787" s="248" t="str">
        <f t="shared" si="1947"/>
        <v>PRODUCT 19</v>
      </c>
      <c r="J787" s="248" t="str">
        <f>VLOOKUP(I787,TableInputsData[],$J$6,FALSE)</f>
        <v>-</v>
      </c>
      <c r="K787" s="248" t="str">
        <f t="shared" si="1939"/>
        <v>AVERAGE SELLING PRICE PER UNIT</v>
      </c>
      <c r="L787" s="255"/>
      <c r="M787" s="255"/>
      <c r="N787" s="255"/>
      <c r="O787" s="265"/>
      <c r="P787" s="260"/>
      <c r="Q787" s="260"/>
      <c r="R787" s="260"/>
      <c r="S787" s="630"/>
      <c r="T787" s="630"/>
      <c r="U787" s="630"/>
      <c r="V787" s="630"/>
      <c r="W787" s="260"/>
      <c r="X787" s="260"/>
      <c r="Y787" s="260"/>
      <c r="Z787" s="260"/>
      <c r="AA787" s="260"/>
      <c r="AB787" s="260"/>
      <c r="AC787" s="265"/>
      <c r="AD787" s="634"/>
      <c r="AE787" s="264">
        <f t="shared" ref="AE787:AM787" si="1948">IF(AE771=0,0,AE779/AE771)</f>
        <v>0</v>
      </c>
      <c r="AF787" s="264">
        <f t="shared" si="1948"/>
        <v>0</v>
      </c>
      <c r="AG787" s="264">
        <f t="shared" si="1948"/>
        <v>0</v>
      </c>
      <c r="AH787" s="264">
        <f t="shared" si="1948"/>
        <v>0</v>
      </c>
      <c r="AI787" s="264">
        <f t="shared" si="1948"/>
        <v>0</v>
      </c>
      <c r="AJ787" s="264">
        <f t="shared" si="1948"/>
        <v>0</v>
      </c>
      <c r="AK787" s="264">
        <f t="shared" si="1948"/>
        <v>0</v>
      </c>
      <c r="AL787" s="264">
        <f t="shared" si="1948"/>
        <v>0</v>
      </c>
      <c r="AM787" s="264">
        <f t="shared" si="1948"/>
        <v>0</v>
      </c>
      <c r="AN787" s="260"/>
      <c r="AO787" s="264">
        <f t="shared" si="1935"/>
        <v>0</v>
      </c>
      <c r="AP787" s="260"/>
      <c r="AQ787" s="264"/>
      <c r="AR787" s="264" t="str">
        <f>VLOOKUP($I787,TableInputsData[],ReadMe!$M$3,FALSE)&amp;"  |  "&amp;VLOOKUP($K787,TableInputsData[],ReadMe!$M$3,FALSE)</f>
        <v>PRODUIT 19  |  PRIX MOYEN DE VENTE PAR PRODUIT/SERVICE</v>
      </c>
      <c r="AS787" s="264"/>
      <c r="AT787" s="294"/>
    </row>
    <row r="788" spans="1:46" ht="13" hidden="1" x14ac:dyDescent="0.2">
      <c r="A788" s="294"/>
      <c r="B788" s="924"/>
      <c r="C788" s="271">
        <v>781</v>
      </c>
      <c r="D788" s="250">
        <f t="shared" si="1896"/>
        <v>0</v>
      </c>
      <c r="E788" s="250"/>
      <c r="F788" s="248" t="str">
        <f t="shared" si="1931"/>
        <v>YEAR6</v>
      </c>
      <c r="G788" s="250">
        <f>VLOOKUP(F788,TableInputsData[],$G$6,FALSE)</f>
        <v>2030</v>
      </c>
      <c r="H788" s="250" t="str">
        <f t="shared" ref="H788:I788" si="1949">H787</f>
        <v>PRODUCT</v>
      </c>
      <c r="I788" s="248" t="str">
        <f t="shared" si="1949"/>
        <v>PRODUCT 19</v>
      </c>
      <c r="J788" s="248" t="str">
        <f>VLOOKUP(I788,TableInputsData[],$J$6,FALSE)</f>
        <v>-</v>
      </c>
      <c r="K788" s="248" t="str">
        <f t="shared" si="1939"/>
        <v>AVERAGE SELLING PRICE PER UNIT</v>
      </c>
      <c r="L788" s="255"/>
      <c r="M788" s="255"/>
      <c r="N788" s="255"/>
      <c r="O788" s="265"/>
      <c r="P788" s="260"/>
      <c r="Q788" s="260"/>
      <c r="R788" s="260"/>
      <c r="S788" s="630"/>
      <c r="T788" s="630"/>
      <c r="U788" s="630"/>
      <c r="V788" s="630"/>
      <c r="W788" s="260"/>
      <c r="X788" s="260"/>
      <c r="Y788" s="260"/>
      <c r="Z788" s="260"/>
      <c r="AA788" s="260"/>
      <c r="AB788" s="260"/>
      <c r="AC788" s="265"/>
      <c r="AD788" s="634"/>
      <c r="AE788" s="264">
        <f t="shared" ref="AE788:AM788" si="1950">IF(AE772=0,0,AE780/AE772)</f>
        <v>0</v>
      </c>
      <c r="AF788" s="264">
        <f t="shared" si="1950"/>
        <v>0</v>
      </c>
      <c r="AG788" s="264">
        <f t="shared" si="1950"/>
        <v>0</v>
      </c>
      <c r="AH788" s="264">
        <f t="shared" si="1950"/>
        <v>0</v>
      </c>
      <c r="AI788" s="264">
        <f t="shared" si="1950"/>
        <v>0</v>
      </c>
      <c r="AJ788" s="264">
        <f t="shared" si="1950"/>
        <v>0</v>
      </c>
      <c r="AK788" s="264">
        <f t="shared" si="1950"/>
        <v>0</v>
      </c>
      <c r="AL788" s="264">
        <f t="shared" si="1950"/>
        <v>0</v>
      </c>
      <c r="AM788" s="264">
        <f t="shared" si="1950"/>
        <v>0</v>
      </c>
      <c r="AN788" s="260"/>
      <c r="AO788" s="264">
        <f t="shared" si="1935"/>
        <v>0</v>
      </c>
      <c r="AP788" s="260"/>
      <c r="AQ788" s="264"/>
      <c r="AR788" s="264" t="str">
        <f>VLOOKUP($I788,TableInputsData[],ReadMe!$M$3,FALSE)&amp;"  |  "&amp;VLOOKUP($K788,TableInputsData[],ReadMe!$M$3,FALSE)</f>
        <v>PRODUIT 19  |  PRIX MOYEN DE VENTE PAR PRODUIT/SERVICE</v>
      </c>
      <c r="AS788" s="264"/>
      <c r="AT788" s="294"/>
    </row>
    <row r="789" spans="1:46" ht="13" hidden="1" x14ac:dyDescent="0.2">
      <c r="A789" s="294"/>
      <c r="B789" s="924"/>
      <c r="C789" s="272">
        <v>782</v>
      </c>
      <c r="D789" s="250">
        <f t="shared" si="1896"/>
        <v>0</v>
      </c>
      <c r="E789" s="251"/>
      <c r="F789" s="248" t="str">
        <f t="shared" ref="F789:F796" si="1951">F797</f>
        <v>YEAR-2</v>
      </c>
      <c r="G789" s="250">
        <f>VLOOKUP(F789,TableInputsData[],$G$6,FALSE)</f>
        <v>2023</v>
      </c>
      <c r="H789" s="250" t="str">
        <f t="shared" ref="H789:I789" si="1952">H788</f>
        <v>PRODUCT</v>
      </c>
      <c r="I789" s="248" t="str">
        <f t="shared" si="1952"/>
        <v>PRODUCT 19</v>
      </c>
      <c r="J789" s="248" t="str">
        <f>VLOOKUP(I789,TableInputsData[],$J$6,FALSE)</f>
        <v>-</v>
      </c>
      <c r="K789" s="248" t="s">
        <v>531</v>
      </c>
      <c r="L789" s="256"/>
      <c r="M789" s="256"/>
      <c r="N789" s="256"/>
      <c r="O789" s="266"/>
      <c r="P789" s="261"/>
      <c r="Q789" s="261"/>
      <c r="R789" s="261"/>
      <c r="S789" s="629"/>
      <c r="T789" s="629"/>
      <c r="U789" s="629"/>
      <c r="V789" s="629"/>
      <c r="W789" s="261"/>
      <c r="X789" s="261"/>
      <c r="Y789" s="261"/>
      <c r="Z789" s="261"/>
      <c r="AA789" s="261"/>
      <c r="AB789" s="261"/>
      <c r="AC789" s="266"/>
      <c r="AD789" s="633"/>
      <c r="AE789" s="264">
        <f>AE765*($S765*$P765+$T765*$Q765+$U765*$R765)</f>
        <v>0</v>
      </c>
      <c r="AF789" s="264">
        <f t="shared" ref="AF789:AH789" si="1953">AF765*($S765*$P765+$T765*$Q765+$U765*$R765)</f>
        <v>0</v>
      </c>
      <c r="AG789" s="264">
        <f t="shared" si="1953"/>
        <v>0</v>
      </c>
      <c r="AH789" s="264">
        <f t="shared" si="1953"/>
        <v>0</v>
      </c>
      <c r="AI789" s="264">
        <f t="shared" ref="AI789:AI796" si="1954">$AE789+$AF789+$AG789+$AH789</f>
        <v>0</v>
      </c>
      <c r="AJ789" s="264">
        <f t="shared" ref="AJ789:AJ796" si="1955">$AJ765*$S765</f>
        <v>0</v>
      </c>
      <c r="AK789" s="264">
        <f t="shared" ref="AK789:AK796" si="1956">$AK765*$T765</f>
        <v>0</v>
      </c>
      <c r="AL789" s="264">
        <f t="shared" ref="AL789:AL796" si="1957">$AL765*$U765</f>
        <v>0</v>
      </c>
      <c r="AM789" s="264">
        <f t="shared" ref="AM789:AM796" si="1958">$AJ789*$W765+$AK789*$X765+$AL789*$Y765</f>
        <v>0</v>
      </c>
      <c r="AN789" s="640">
        <f t="shared" ref="AN789:AN796" si="1959">IF(AI789=0,0,AM789/AI789)</f>
        <v>0</v>
      </c>
      <c r="AO789" s="264">
        <f t="shared" ref="AO789:AO796" si="1960">$AJ789*$Z765+$AK789*$AA765+$AL789*$AB765</f>
        <v>0</v>
      </c>
      <c r="AP789" s="640">
        <f t="shared" ref="AP789:AP796" si="1961">IF(AI789=0,0,AO789/AI789)</f>
        <v>0</v>
      </c>
      <c r="AQ789" s="264"/>
      <c r="AR789" s="264" t="str">
        <f>VLOOKUP($I789,TableInputsData[],ReadMe!$M$3,FALSE)&amp;"  |  "&amp;VLOOKUP($K789,TableInputsData[],ReadMe!$M$3,FALSE)</f>
        <v>PRODUIT 19  |  DEPENSES SUR ACHATS</v>
      </c>
      <c r="AS789" s="264" t="b">
        <f t="shared" ref="AS789:AS796" si="1962">AND(EXACT(ROUND(AI789,2),ROUND(AJ789+AK789+AL789,2)),EXACT(ROUND(AI789,2),ROUND(AM789+AO789,2)))</f>
        <v>1</v>
      </c>
      <c r="AT789" s="294"/>
    </row>
    <row r="790" spans="1:46" ht="13" hidden="1" x14ac:dyDescent="0.2">
      <c r="A790" s="294"/>
      <c r="B790" s="924"/>
      <c r="C790" s="271">
        <v>783</v>
      </c>
      <c r="D790" s="250">
        <f t="shared" si="1896"/>
        <v>0</v>
      </c>
      <c r="E790" s="250"/>
      <c r="F790" s="248" t="str">
        <f t="shared" si="1951"/>
        <v>YEAR-1</v>
      </c>
      <c r="G790" s="250">
        <f>VLOOKUP(F790,TableInputsData[],$G$6,FALSE)</f>
        <v>2024</v>
      </c>
      <c r="H790" s="250" t="str">
        <f t="shared" ref="H790:I790" si="1963">H789</f>
        <v>PRODUCT</v>
      </c>
      <c r="I790" s="248" t="str">
        <f t="shared" si="1963"/>
        <v>PRODUCT 19</v>
      </c>
      <c r="J790" s="248" t="str">
        <f>VLOOKUP(I790,TableInputsData[],$J$6,FALSE)</f>
        <v>-</v>
      </c>
      <c r="K790" s="248" t="str">
        <f>K789</f>
        <v>COST OF GOODS SOLD</v>
      </c>
      <c r="L790" s="255"/>
      <c r="M790" s="255"/>
      <c r="N790" s="255"/>
      <c r="O790" s="265"/>
      <c r="P790" s="260"/>
      <c r="Q790" s="260"/>
      <c r="R790" s="260"/>
      <c r="S790" s="630"/>
      <c r="T790" s="630"/>
      <c r="U790" s="630"/>
      <c r="V790" s="630"/>
      <c r="W790" s="260"/>
      <c r="X790" s="260"/>
      <c r="Y790" s="260"/>
      <c r="Z790" s="260"/>
      <c r="AA790" s="260"/>
      <c r="AB790" s="260"/>
      <c r="AC790" s="265"/>
      <c r="AD790" s="634"/>
      <c r="AE790" s="264">
        <f t="shared" ref="AE790:AH790" si="1964">AE766*($S766*$P766+$T766*$Q766+$U766*$R766)</f>
        <v>0</v>
      </c>
      <c r="AF790" s="264">
        <f t="shared" si="1964"/>
        <v>0</v>
      </c>
      <c r="AG790" s="264">
        <f t="shared" si="1964"/>
        <v>0</v>
      </c>
      <c r="AH790" s="264">
        <f t="shared" si="1964"/>
        <v>0</v>
      </c>
      <c r="AI790" s="264">
        <f t="shared" si="1954"/>
        <v>0</v>
      </c>
      <c r="AJ790" s="264">
        <f t="shared" si="1955"/>
        <v>0</v>
      </c>
      <c r="AK790" s="264">
        <f t="shared" si="1956"/>
        <v>0</v>
      </c>
      <c r="AL790" s="264">
        <f t="shared" si="1957"/>
        <v>0</v>
      </c>
      <c r="AM790" s="264">
        <f t="shared" si="1958"/>
        <v>0</v>
      </c>
      <c r="AN790" s="640">
        <f t="shared" si="1959"/>
        <v>0</v>
      </c>
      <c r="AO790" s="264">
        <f t="shared" si="1960"/>
        <v>0</v>
      </c>
      <c r="AP790" s="640">
        <f t="shared" si="1961"/>
        <v>0</v>
      </c>
      <c r="AQ790" s="264"/>
      <c r="AR790" s="264" t="str">
        <f>VLOOKUP($I790,TableInputsData[],ReadMe!$M$3,FALSE)&amp;"  |  "&amp;VLOOKUP($K790,TableInputsData[],ReadMe!$M$3,FALSE)</f>
        <v>PRODUIT 19  |  DEPENSES SUR ACHATS</v>
      </c>
      <c r="AS790" s="264" t="b">
        <f t="shared" si="1962"/>
        <v>1</v>
      </c>
      <c r="AT790" s="294"/>
    </row>
    <row r="791" spans="1:46" ht="13" hidden="1" x14ac:dyDescent="0.2">
      <c r="A791" s="294"/>
      <c r="B791" s="924"/>
      <c r="C791" s="271">
        <v>784</v>
      </c>
      <c r="D791" s="250">
        <f t="shared" si="1896"/>
        <v>0</v>
      </c>
      <c r="E791" s="250"/>
      <c r="F791" s="248" t="str">
        <f t="shared" si="1951"/>
        <v>CURRENT YEAR</v>
      </c>
      <c r="G791" s="250">
        <f>VLOOKUP(F791,TableInputsData[],$G$6,FALSE)</f>
        <v>2025</v>
      </c>
      <c r="H791" s="250" t="str">
        <f t="shared" ref="H791:I791" si="1965">H790</f>
        <v>PRODUCT</v>
      </c>
      <c r="I791" s="248" t="str">
        <f t="shared" si="1965"/>
        <v>PRODUCT 19</v>
      </c>
      <c r="J791" s="248" t="str">
        <f>VLOOKUP(I791,TableInputsData[],$J$6,FALSE)</f>
        <v>-</v>
      </c>
      <c r="K791" s="248" t="str">
        <f t="shared" ref="K791:K796" si="1966">K790</f>
        <v>COST OF GOODS SOLD</v>
      </c>
      <c r="L791" s="255"/>
      <c r="M791" s="255"/>
      <c r="N791" s="255"/>
      <c r="O791" s="265"/>
      <c r="P791" s="260"/>
      <c r="Q791" s="260"/>
      <c r="R791" s="260"/>
      <c r="S791" s="630"/>
      <c r="T791" s="630"/>
      <c r="U791" s="630"/>
      <c r="V791" s="630"/>
      <c r="W791" s="260"/>
      <c r="X791" s="260"/>
      <c r="Y791" s="260"/>
      <c r="Z791" s="260"/>
      <c r="AA791" s="260"/>
      <c r="AB791" s="260"/>
      <c r="AC791" s="265"/>
      <c r="AD791" s="634"/>
      <c r="AE791" s="264">
        <f t="shared" ref="AE791:AH791" si="1967">AE767*($S767*$P767+$T767*$Q767+$U767*$R767)</f>
        <v>0</v>
      </c>
      <c r="AF791" s="264">
        <f t="shared" si="1967"/>
        <v>0</v>
      </c>
      <c r="AG791" s="264">
        <f t="shared" si="1967"/>
        <v>0</v>
      </c>
      <c r="AH791" s="264">
        <f t="shared" si="1967"/>
        <v>0</v>
      </c>
      <c r="AI791" s="264">
        <f t="shared" si="1954"/>
        <v>0</v>
      </c>
      <c r="AJ791" s="264">
        <f t="shared" si="1955"/>
        <v>0</v>
      </c>
      <c r="AK791" s="264">
        <f t="shared" si="1956"/>
        <v>0</v>
      </c>
      <c r="AL791" s="264">
        <f t="shared" si="1957"/>
        <v>0</v>
      </c>
      <c r="AM791" s="264">
        <f t="shared" si="1958"/>
        <v>0</v>
      </c>
      <c r="AN791" s="640">
        <f t="shared" si="1959"/>
        <v>0</v>
      </c>
      <c r="AO791" s="264">
        <f t="shared" si="1960"/>
        <v>0</v>
      </c>
      <c r="AP791" s="640">
        <f t="shared" si="1961"/>
        <v>0</v>
      </c>
      <c r="AQ791" s="264"/>
      <c r="AR791" s="264" t="str">
        <f>VLOOKUP($I791,TableInputsData[],ReadMe!$M$3,FALSE)&amp;"  |  "&amp;VLOOKUP($K791,TableInputsData[],ReadMe!$M$3,FALSE)</f>
        <v>PRODUIT 19  |  DEPENSES SUR ACHATS</v>
      </c>
      <c r="AS791" s="264" t="b">
        <f t="shared" si="1962"/>
        <v>1</v>
      </c>
      <c r="AT791" s="294"/>
    </row>
    <row r="792" spans="1:46" ht="13" hidden="1" x14ac:dyDescent="0.2">
      <c r="A792" s="294"/>
      <c r="B792" s="924"/>
      <c r="C792" s="271">
        <v>785</v>
      </c>
      <c r="D792" s="250">
        <f t="shared" si="1896"/>
        <v>0</v>
      </c>
      <c r="E792" s="250"/>
      <c r="F792" s="248" t="str">
        <f t="shared" si="1951"/>
        <v>YEAR2</v>
      </c>
      <c r="G792" s="250">
        <f>VLOOKUP(F792,TableInputsData[],$G$6,FALSE)</f>
        <v>2026</v>
      </c>
      <c r="H792" s="250" t="str">
        <f t="shared" ref="H792:I792" si="1968">H791</f>
        <v>PRODUCT</v>
      </c>
      <c r="I792" s="248" t="str">
        <f t="shared" si="1968"/>
        <v>PRODUCT 19</v>
      </c>
      <c r="J792" s="248" t="str">
        <f>VLOOKUP(I792,TableInputsData[],$J$6,FALSE)</f>
        <v>-</v>
      </c>
      <c r="K792" s="248" t="str">
        <f t="shared" si="1966"/>
        <v>COST OF GOODS SOLD</v>
      </c>
      <c r="L792" s="255"/>
      <c r="M792" s="255"/>
      <c r="N792" s="255"/>
      <c r="O792" s="265"/>
      <c r="P792" s="260"/>
      <c r="Q792" s="260"/>
      <c r="R792" s="260"/>
      <c r="S792" s="630"/>
      <c r="T792" s="630"/>
      <c r="U792" s="630"/>
      <c r="V792" s="630"/>
      <c r="W792" s="260"/>
      <c r="X792" s="260"/>
      <c r="Y792" s="260"/>
      <c r="Z792" s="260"/>
      <c r="AA792" s="260"/>
      <c r="AB792" s="260"/>
      <c r="AC792" s="265"/>
      <c r="AD792" s="634"/>
      <c r="AE792" s="264">
        <f t="shared" ref="AE792:AH792" si="1969">AE768*($S768*$P768+$T768*$Q768+$U768*$R768)</f>
        <v>0</v>
      </c>
      <c r="AF792" s="264">
        <f t="shared" si="1969"/>
        <v>0</v>
      </c>
      <c r="AG792" s="264">
        <f t="shared" si="1969"/>
        <v>0</v>
      </c>
      <c r="AH792" s="264">
        <f t="shared" si="1969"/>
        <v>0</v>
      </c>
      <c r="AI792" s="264">
        <f t="shared" si="1954"/>
        <v>0</v>
      </c>
      <c r="AJ792" s="264">
        <f t="shared" si="1955"/>
        <v>0</v>
      </c>
      <c r="AK792" s="264">
        <f t="shared" si="1956"/>
        <v>0</v>
      </c>
      <c r="AL792" s="264">
        <f t="shared" si="1957"/>
        <v>0</v>
      </c>
      <c r="AM792" s="264">
        <f t="shared" si="1958"/>
        <v>0</v>
      </c>
      <c r="AN792" s="640">
        <f t="shared" si="1959"/>
        <v>0</v>
      </c>
      <c r="AO792" s="264">
        <f t="shared" si="1960"/>
        <v>0</v>
      </c>
      <c r="AP792" s="640">
        <f t="shared" si="1961"/>
        <v>0</v>
      </c>
      <c r="AQ792" s="264"/>
      <c r="AR792" s="264" t="str">
        <f>VLOOKUP($I792,TableInputsData[],ReadMe!$M$3,FALSE)&amp;"  |  "&amp;VLOOKUP($K792,TableInputsData[],ReadMe!$M$3,FALSE)</f>
        <v>PRODUIT 19  |  DEPENSES SUR ACHATS</v>
      </c>
      <c r="AS792" s="264" t="b">
        <f t="shared" si="1962"/>
        <v>1</v>
      </c>
      <c r="AT792" s="294"/>
    </row>
    <row r="793" spans="1:46" ht="13" hidden="1" x14ac:dyDescent="0.2">
      <c r="A793" s="294"/>
      <c r="B793" s="924"/>
      <c r="C793" s="271">
        <v>786</v>
      </c>
      <c r="D793" s="250">
        <f t="shared" si="1896"/>
        <v>0</v>
      </c>
      <c r="E793" s="250"/>
      <c r="F793" s="248" t="str">
        <f t="shared" si="1951"/>
        <v>YEAR3</v>
      </c>
      <c r="G793" s="250">
        <f>VLOOKUP(F793,TableInputsData[],$G$6,FALSE)</f>
        <v>2027</v>
      </c>
      <c r="H793" s="250" t="str">
        <f t="shared" ref="H793:I793" si="1970">H792</f>
        <v>PRODUCT</v>
      </c>
      <c r="I793" s="248" t="str">
        <f t="shared" si="1970"/>
        <v>PRODUCT 19</v>
      </c>
      <c r="J793" s="248" t="str">
        <f>VLOOKUP(I793,TableInputsData[],$J$6,FALSE)</f>
        <v>-</v>
      </c>
      <c r="K793" s="248" t="str">
        <f t="shared" si="1966"/>
        <v>COST OF GOODS SOLD</v>
      </c>
      <c r="L793" s="255"/>
      <c r="M793" s="255"/>
      <c r="N793" s="255"/>
      <c r="O793" s="265"/>
      <c r="P793" s="260"/>
      <c r="Q793" s="260"/>
      <c r="R793" s="260"/>
      <c r="S793" s="630"/>
      <c r="T793" s="630"/>
      <c r="U793" s="630"/>
      <c r="V793" s="630"/>
      <c r="W793" s="260"/>
      <c r="X793" s="260"/>
      <c r="Y793" s="260"/>
      <c r="Z793" s="260"/>
      <c r="AA793" s="260"/>
      <c r="AB793" s="260"/>
      <c r="AC793" s="265"/>
      <c r="AD793" s="634"/>
      <c r="AE793" s="264">
        <f t="shared" ref="AE793:AH793" si="1971">AE769*($S769*$P769+$T769*$Q769+$U769*$R769)</f>
        <v>0</v>
      </c>
      <c r="AF793" s="264">
        <f t="shared" si="1971"/>
        <v>0</v>
      </c>
      <c r="AG793" s="264">
        <f t="shared" si="1971"/>
        <v>0</v>
      </c>
      <c r="AH793" s="264">
        <f t="shared" si="1971"/>
        <v>0</v>
      </c>
      <c r="AI793" s="264">
        <f t="shared" si="1954"/>
        <v>0</v>
      </c>
      <c r="AJ793" s="264">
        <f t="shared" si="1955"/>
        <v>0</v>
      </c>
      <c r="AK793" s="264">
        <f t="shared" si="1956"/>
        <v>0</v>
      </c>
      <c r="AL793" s="264">
        <f t="shared" si="1957"/>
        <v>0</v>
      </c>
      <c r="AM793" s="264">
        <f t="shared" si="1958"/>
        <v>0</v>
      </c>
      <c r="AN793" s="640">
        <f t="shared" si="1959"/>
        <v>0</v>
      </c>
      <c r="AO793" s="264">
        <f t="shared" si="1960"/>
        <v>0</v>
      </c>
      <c r="AP793" s="640">
        <f t="shared" si="1961"/>
        <v>0</v>
      </c>
      <c r="AQ793" s="264"/>
      <c r="AR793" s="264" t="str">
        <f>VLOOKUP($I793,TableInputsData[],ReadMe!$M$3,FALSE)&amp;"  |  "&amp;VLOOKUP($K793,TableInputsData[],ReadMe!$M$3,FALSE)</f>
        <v>PRODUIT 19  |  DEPENSES SUR ACHATS</v>
      </c>
      <c r="AS793" s="264" t="b">
        <f t="shared" si="1962"/>
        <v>1</v>
      </c>
      <c r="AT793" s="294"/>
    </row>
    <row r="794" spans="1:46" ht="13" hidden="1" x14ac:dyDescent="0.2">
      <c r="A794" s="294"/>
      <c r="B794" s="924"/>
      <c r="C794" s="271">
        <v>787</v>
      </c>
      <c r="D794" s="250">
        <f t="shared" si="1896"/>
        <v>0</v>
      </c>
      <c r="E794" s="250"/>
      <c r="F794" s="248" t="str">
        <f t="shared" si="1951"/>
        <v>YEAR4</v>
      </c>
      <c r="G794" s="250">
        <f>VLOOKUP(F794,TableInputsData[],$G$6,FALSE)</f>
        <v>2028</v>
      </c>
      <c r="H794" s="250" t="str">
        <f t="shared" ref="H794:I794" si="1972">H793</f>
        <v>PRODUCT</v>
      </c>
      <c r="I794" s="248" t="str">
        <f t="shared" si="1972"/>
        <v>PRODUCT 19</v>
      </c>
      <c r="J794" s="248" t="str">
        <f>VLOOKUP(I794,TableInputsData[],$J$6,FALSE)</f>
        <v>-</v>
      </c>
      <c r="K794" s="248" t="str">
        <f t="shared" si="1966"/>
        <v>COST OF GOODS SOLD</v>
      </c>
      <c r="L794" s="255"/>
      <c r="M794" s="255"/>
      <c r="N794" s="255"/>
      <c r="O794" s="265"/>
      <c r="P794" s="260"/>
      <c r="Q794" s="260"/>
      <c r="R794" s="260"/>
      <c r="S794" s="630"/>
      <c r="T794" s="630"/>
      <c r="U794" s="630"/>
      <c r="V794" s="630"/>
      <c r="W794" s="260"/>
      <c r="X794" s="260"/>
      <c r="Y794" s="260"/>
      <c r="Z794" s="260"/>
      <c r="AA794" s="260"/>
      <c r="AB794" s="260"/>
      <c r="AC794" s="265"/>
      <c r="AD794" s="634"/>
      <c r="AE794" s="264">
        <f t="shared" ref="AE794:AH794" si="1973">AE770*($S770*$P770+$T770*$Q770+$U770*$R770)</f>
        <v>0</v>
      </c>
      <c r="AF794" s="264">
        <f t="shared" si="1973"/>
        <v>0</v>
      </c>
      <c r="AG794" s="264">
        <f t="shared" si="1973"/>
        <v>0</v>
      </c>
      <c r="AH794" s="264">
        <f t="shared" si="1973"/>
        <v>0</v>
      </c>
      <c r="AI794" s="264">
        <f t="shared" si="1954"/>
        <v>0</v>
      </c>
      <c r="AJ794" s="264">
        <f t="shared" si="1955"/>
        <v>0</v>
      </c>
      <c r="AK794" s="264">
        <f t="shared" si="1956"/>
        <v>0</v>
      </c>
      <c r="AL794" s="264">
        <f t="shared" si="1957"/>
        <v>0</v>
      </c>
      <c r="AM794" s="264">
        <f t="shared" si="1958"/>
        <v>0</v>
      </c>
      <c r="AN794" s="640">
        <f t="shared" si="1959"/>
        <v>0</v>
      </c>
      <c r="AO794" s="264">
        <f t="shared" si="1960"/>
        <v>0</v>
      </c>
      <c r="AP794" s="640">
        <f t="shared" si="1961"/>
        <v>0</v>
      </c>
      <c r="AQ794" s="264"/>
      <c r="AR794" s="264" t="str">
        <f>VLOOKUP($I794,TableInputsData[],ReadMe!$M$3,FALSE)&amp;"  |  "&amp;VLOOKUP($K794,TableInputsData[],ReadMe!$M$3,FALSE)</f>
        <v>PRODUIT 19  |  DEPENSES SUR ACHATS</v>
      </c>
      <c r="AS794" s="264" t="b">
        <f t="shared" si="1962"/>
        <v>1</v>
      </c>
      <c r="AT794" s="294"/>
    </row>
    <row r="795" spans="1:46" ht="13" hidden="1" x14ac:dyDescent="0.2">
      <c r="A795" s="294"/>
      <c r="B795" s="924"/>
      <c r="C795" s="271">
        <v>788</v>
      </c>
      <c r="D795" s="250">
        <f t="shared" si="1896"/>
        <v>0</v>
      </c>
      <c r="E795" s="250"/>
      <c r="F795" s="248" t="str">
        <f t="shared" si="1951"/>
        <v>YEAR5</v>
      </c>
      <c r="G795" s="250">
        <f>VLOOKUP(F795,TableInputsData[],$G$6,FALSE)</f>
        <v>2029</v>
      </c>
      <c r="H795" s="250" t="str">
        <f t="shared" ref="H795:I795" si="1974">H794</f>
        <v>PRODUCT</v>
      </c>
      <c r="I795" s="248" t="str">
        <f t="shared" si="1974"/>
        <v>PRODUCT 19</v>
      </c>
      <c r="J795" s="248" t="str">
        <f>VLOOKUP(I795,TableInputsData[],$J$6,FALSE)</f>
        <v>-</v>
      </c>
      <c r="K795" s="248" t="str">
        <f t="shared" si="1966"/>
        <v>COST OF GOODS SOLD</v>
      </c>
      <c r="L795" s="255"/>
      <c r="M795" s="255"/>
      <c r="N795" s="255"/>
      <c r="O795" s="265"/>
      <c r="P795" s="260"/>
      <c r="Q795" s="260"/>
      <c r="R795" s="260"/>
      <c r="S795" s="630"/>
      <c r="T795" s="630"/>
      <c r="U795" s="630"/>
      <c r="V795" s="630"/>
      <c r="W795" s="260"/>
      <c r="X795" s="260"/>
      <c r="Y795" s="260"/>
      <c r="Z795" s="260"/>
      <c r="AA795" s="260"/>
      <c r="AB795" s="260"/>
      <c r="AC795" s="265"/>
      <c r="AD795" s="634"/>
      <c r="AE795" s="264">
        <f t="shared" ref="AE795:AH795" si="1975">AE771*($S771*$P771+$T771*$Q771+$U771*$R771)</f>
        <v>0</v>
      </c>
      <c r="AF795" s="264">
        <f t="shared" si="1975"/>
        <v>0</v>
      </c>
      <c r="AG795" s="264">
        <f t="shared" si="1975"/>
        <v>0</v>
      </c>
      <c r="AH795" s="264">
        <f t="shared" si="1975"/>
        <v>0</v>
      </c>
      <c r="AI795" s="264">
        <f t="shared" si="1954"/>
        <v>0</v>
      </c>
      <c r="AJ795" s="264">
        <f t="shared" si="1955"/>
        <v>0</v>
      </c>
      <c r="AK795" s="264">
        <f t="shared" si="1956"/>
        <v>0</v>
      </c>
      <c r="AL795" s="264">
        <f t="shared" si="1957"/>
        <v>0</v>
      </c>
      <c r="AM795" s="264">
        <f t="shared" si="1958"/>
        <v>0</v>
      </c>
      <c r="AN795" s="640">
        <f t="shared" si="1959"/>
        <v>0</v>
      </c>
      <c r="AO795" s="264">
        <f t="shared" si="1960"/>
        <v>0</v>
      </c>
      <c r="AP795" s="640">
        <f t="shared" si="1961"/>
        <v>0</v>
      </c>
      <c r="AQ795" s="264"/>
      <c r="AR795" s="264" t="str">
        <f>VLOOKUP($I795,TableInputsData[],ReadMe!$M$3,FALSE)&amp;"  |  "&amp;VLOOKUP($K795,TableInputsData[],ReadMe!$M$3,FALSE)</f>
        <v>PRODUIT 19  |  DEPENSES SUR ACHATS</v>
      </c>
      <c r="AS795" s="264" t="b">
        <f t="shared" si="1962"/>
        <v>1</v>
      </c>
      <c r="AT795" s="294"/>
    </row>
    <row r="796" spans="1:46" ht="13" hidden="1" x14ac:dyDescent="0.2">
      <c r="A796" s="294"/>
      <c r="B796" s="924"/>
      <c r="C796" s="271">
        <v>789</v>
      </c>
      <c r="D796" s="250">
        <f t="shared" si="1896"/>
        <v>0</v>
      </c>
      <c r="E796" s="250"/>
      <c r="F796" s="248" t="str">
        <f t="shared" si="1951"/>
        <v>YEAR6</v>
      </c>
      <c r="G796" s="250">
        <f>VLOOKUP(F796,TableInputsData[],$G$6,FALSE)</f>
        <v>2030</v>
      </c>
      <c r="H796" s="250" t="str">
        <f t="shared" ref="H796:I796" si="1976">H795</f>
        <v>PRODUCT</v>
      </c>
      <c r="I796" s="248" t="str">
        <f t="shared" si="1976"/>
        <v>PRODUCT 19</v>
      </c>
      <c r="J796" s="248" t="str">
        <f>VLOOKUP(I796,TableInputsData[],$J$6,FALSE)</f>
        <v>-</v>
      </c>
      <c r="K796" s="248" t="str">
        <f t="shared" si="1966"/>
        <v>COST OF GOODS SOLD</v>
      </c>
      <c r="L796" s="255"/>
      <c r="M796" s="255"/>
      <c r="N796" s="255"/>
      <c r="O796" s="265"/>
      <c r="P796" s="260"/>
      <c r="Q796" s="260"/>
      <c r="R796" s="260"/>
      <c r="S796" s="630"/>
      <c r="T796" s="630"/>
      <c r="U796" s="630"/>
      <c r="V796" s="630"/>
      <c r="W796" s="260"/>
      <c r="X796" s="260"/>
      <c r="Y796" s="260"/>
      <c r="Z796" s="260"/>
      <c r="AA796" s="260"/>
      <c r="AB796" s="260"/>
      <c r="AC796" s="265"/>
      <c r="AD796" s="634"/>
      <c r="AE796" s="264">
        <f t="shared" ref="AE796:AH796" si="1977">AE772*($S772*$P772+$T772*$Q772+$U772*$R772)</f>
        <v>0</v>
      </c>
      <c r="AF796" s="264">
        <f t="shared" si="1977"/>
        <v>0</v>
      </c>
      <c r="AG796" s="264">
        <f t="shared" si="1977"/>
        <v>0</v>
      </c>
      <c r="AH796" s="264">
        <f t="shared" si="1977"/>
        <v>0</v>
      </c>
      <c r="AI796" s="264">
        <f t="shared" si="1954"/>
        <v>0</v>
      </c>
      <c r="AJ796" s="264">
        <f t="shared" si="1955"/>
        <v>0</v>
      </c>
      <c r="AK796" s="264">
        <f t="shared" si="1956"/>
        <v>0</v>
      </c>
      <c r="AL796" s="264">
        <f t="shared" si="1957"/>
        <v>0</v>
      </c>
      <c r="AM796" s="264">
        <f t="shared" si="1958"/>
        <v>0</v>
      </c>
      <c r="AN796" s="640">
        <f t="shared" si="1959"/>
        <v>0</v>
      </c>
      <c r="AO796" s="264">
        <f t="shared" si="1960"/>
        <v>0</v>
      </c>
      <c r="AP796" s="640">
        <f t="shared" si="1961"/>
        <v>0</v>
      </c>
      <c r="AQ796" s="264"/>
      <c r="AR796" s="264" t="str">
        <f>VLOOKUP($I796,TableInputsData[],ReadMe!$M$3,FALSE)&amp;"  |  "&amp;VLOOKUP($K796,TableInputsData[],ReadMe!$M$3,FALSE)</f>
        <v>PRODUIT 19  |  DEPENSES SUR ACHATS</v>
      </c>
      <c r="AS796" s="264" t="b">
        <f t="shared" si="1962"/>
        <v>1</v>
      </c>
      <c r="AT796" s="294"/>
    </row>
    <row r="797" spans="1:46" ht="13" hidden="1" x14ac:dyDescent="0.2">
      <c r="A797" s="294"/>
      <c r="B797" s="924"/>
      <c r="C797" s="272">
        <v>790</v>
      </c>
      <c r="D797" s="250">
        <f t="shared" si="1896"/>
        <v>0</v>
      </c>
      <c r="E797" s="251"/>
      <c r="F797" s="248" t="str">
        <f t="shared" ref="F797:F804" si="1978">F773</f>
        <v>YEAR-2</v>
      </c>
      <c r="G797" s="250">
        <f>VLOOKUP(F797,TableInputsData[],$G$6,FALSE)</f>
        <v>2023</v>
      </c>
      <c r="H797" s="250" t="str">
        <f t="shared" ref="H797:I797" si="1979">H796</f>
        <v>PRODUCT</v>
      </c>
      <c r="I797" s="248" t="str">
        <f t="shared" si="1979"/>
        <v>PRODUCT 19</v>
      </c>
      <c r="J797" s="248" t="str">
        <f>VLOOKUP(I797,TableInputsData[],$J$6,FALSE)</f>
        <v>-</v>
      </c>
      <c r="K797" s="248" t="s">
        <v>532</v>
      </c>
      <c r="L797" s="256"/>
      <c r="M797" s="256"/>
      <c r="N797" s="256"/>
      <c r="O797" s="266"/>
      <c r="P797" s="261"/>
      <c r="Q797" s="261"/>
      <c r="R797" s="261"/>
      <c r="S797" s="629"/>
      <c r="T797" s="629"/>
      <c r="U797" s="629"/>
      <c r="V797" s="629"/>
      <c r="W797" s="261"/>
      <c r="X797" s="261"/>
      <c r="Y797" s="261"/>
      <c r="Z797" s="261"/>
      <c r="AA797" s="261"/>
      <c r="AB797" s="261"/>
      <c r="AC797" s="266"/>
      <c r="AD797" s="633"/>
      <c r="AE797" s="264">
        <f>IF(AE765=0,0,AE789/AE765)</f>
        <v>0</v>
      </c>
      <c r="AF797" s="264">
        <f t="shared" ref="AF797:AI797" si="1980">IF(AF765=0,0,AF789/AF765)</f>
        <v>0</v>
      </c>
      <c r="AG797" s="264">
        <f t="shared" si="1980"/>
        <v>0</v>
      </c>
      <c r="AH797" s="264">
        <f t="shared" si="1980"/>
        <v>0</v>
      </c>
      <c r="AI797" s="264">
        <f t="shared" si="1980"/>
        <v>0</v>
      </c>
      <c r="AJ797" s="264">
        <f>IF(AJ765=0,0,AJ789/AJ765)</f>
        <v>0</v>
      </c>
      <c r="AK797" s="264">
        <f t="shared" ref="AK797:AL797" si="1981">IF(AK765=0,0,AK789/AK765)</f>
        <v>0</v>
      </c>
      <c r="AL797" s="264">
        <f t="shared" si="1981"/>
        <v>0</v>
      </c>
      <c r="AM797" s="264">
        <f>IF(AM765=0,0,AM789/AM765)</f>
        <v>0</v>
      </c>
      <c r="AN797" s="260"/>
      <c r="AO797" s="264">
        <f t="shared" ref="AO797" si="1982">IF(AO765=0,0,AO789/AO765)</f>
        <v>0</v>
      </c>
      <c r="AP797" s="260"/>
      <c r="AQ797" s="264"/>
      <c r="AR797" s="264" t="str">
        <f>VLOOKUP($I797,TableInputsData[],ReadMe!$M$3,FALSE)&amp;"  |  "&amp;VLOOKUP($K797,TableInputsData[],ReadMe!$M$3,FALSE)</f>
        <v>PRODUIT 19  |  PRIX MOYEN D'ACHAT PAR PRODUIT/SERVICE</v>
      </c>
      <c r="AS797" s="264"/>
      <c r="AT797" s="294"/>
    </row>
    <row r="798" spans="1:46" ht="13" hidden="1" x14ac:dyDescent="0.2">
      <c r="A798" s="294"/>
      <c r="B798" s="924"/>
      <c r="C798" s="272">
        <v>791</v>
      </c>
      <c r="D798" s="250">
        <f t="shared" si="1896"/>
        <v>0</v>
      </c>
      <c r="E798" s="251"/>
      <c r="F798" s="248" t="str">
        <f t="shared" si="1978"/>
        <v>YEAR-1</v>
      </c>
      <c r="G798" s="250">
        <f>VLOOKUP(F798,TableInputsData[],$G$6,FALSE)</f>
        <v>2024</v>
      </c>
      <c r="H798" s="250" t="str">
        <f t="shared" ref="H798:I798" si="1983">H797</f>
        <v>PRODUCT</v>
      </c>
      <c r="I798" s="248" t="str">
        <f t="shared" si="1983"/>
        <v>PRODUCT 19</v>
      </c>
      <c r="J798" s="248" t="str">
        <f>VLOOKUP(I798,TableInputsData[],$J$6,FALSE)</f>
        <v>-</v>
      </c>
      <c r="K798" s="248" t="str">
        <f>K797</f>
        <v>AVERAGE COST OF GOODS SOLD PER UNIT</v>
      </c>
      <c r="L798" s="256"/>
      <c r="M798" s="256"/>
      <c r="N798" s="256"/>
      <c r="O798" s="266"/>
      <c r="P798" s="261"/>
      <c r="Q798" s="261"/>
      <c r="R798" s="261"/>
      <c r="S798" s="629"/>
      <c r="T798" s="629"/>
      <c r="U798" s="629"/>
      <c r="V798" s="629"/>
      <c r="W798" s="261"/>
      <c r="X798" s="261"/>
      <c r="Y798" s="261"/>
      <c r="Z798" s="261"/>
      <c r="AA798" s="261"/>
      <c r="AB798" s="261"/>
      <c r="AC798" s="266"/>
      <c r="AD798" s="633"/>
      <c r="AE798" s="264">
        <f t="shared" ref="AE798:AL798" si="1984">IF(AE766=0,0,AE790/AE766)</f>
        <v>0</v>
      </c>
      <c r="AF798" s="264">
        <f t="shared" si="1984"/>
        <v>0</v>
      </c>
      <c r="AG798" s="264">
        <f t="shared" si="1984"/>
        <v>0</v>
      </c>
      <c r="AH798" s="264">
        <f t="shared" si="1984"/>
        <v>0</v>
      </c>
      <c r="AI798" s="264">
        <f t="shared" si="1984"/>
        <v>0</v>
      </c>
      <c r="AJ798" s="264">
        <f t="shared" si="1984"/>
        <v>0</v>
      </c>
      <c r="AK798" s="264">
        <f t="shared" si="1984"/>
        <v>0</v>
      </c>
      <c r="AL798" s="264">
        <f t="shared" si="1984"/>
        <v>0</v>
      </c>
      <c r="AM798" s="264">
        <f>IF(AM766=0,0,AM790/AM766)</f>
        <v>0</v>
      </c>
      <c r="AN798" s="260"/>
      <c r="AO798" s="264">
        <f>IF(AO766=0,0,AO790/AO766)</f>
        <v>0</v>
      </c>
      <c r="AP798" s="260"/>
      <c r="AQ798" s="264"/>
      <c r="AR798" s="264" t="str">
        <f>VLOOKUP($I798,TableInputsData[],ReadMe!$M$3,FALSE)&amp;"  |  "&amp;VLOOKUP($K798,TableInputsData[],ReadMe!$M$3,FALSE)</f>
        <v>PRODUIT 19  |  PRIX MOYEN D'ACHAT PAR PRODUIT/SERVICE</v>
      </c>
      <c r="AS798" s="264"/>
      <c r="AT798" s="294"/>
    </row>
    <row r="799" spans="1:46" ht="13" hidden="1" x14ac:dyDescent="0.2">
      <c r="A799" s="294"/>
      <c r="B799" s="924"/>
      <c r="C799" s="272">
        <v>792</v>
      </c>
      <c r="D799" s="250">
        <f t="shared" si="1896"/>
        <v>0</v>
      </c>
      <c r="E799" s="251"/>
      <c r="F799" s="248" t="str">
        <f t="shared" si="1978"/>
        <v>CURRENT YEAR</v>
      </c>
      <c r="G799" s="250">
        <f>VLOOKUP(F799,TableInputsData[],$G$6,FALSE)</f>
        <v>2025</v>
      </c>
      <c r="H799" s="250" t="str">
        <f t="shared" ref="H799:I799" si="1985">H798</f>
        <v>PRODUCT</v>
      </c>
      <c r="I799" s="248" t="str">
        <f t="shared" si="1985"/>
        <v>PRODUCT 19</v>
      </c>
      <c r="J799" s="248" t="str">
        <f>VLOOKUP(I799,TableInputsData[],$J$6,FALSE)</f>
        <v>-</v>
      </c>
      <c r="K799" s="248" t="str">
        <f t="shared" ref="K799:K804" si="1986">K798</f>
        <v>AVERAGE COST OF GOODS SOLD PER UNIT</v>
      </c>
      <c r="L799" s="256"/>
      <c r="M799" s="256"/>
      <c r="N799" s="256"/>
      <c r="O799" s="266"/>
      <c r="P799" s="261"/>
      <c r="Q799" s="261"/>
      <c r="R799" s="261"/>
      <c r="S799" s="629"/>
      <c r="T799" s="629"/>
      <c r="U799" s="629"/>
      <c r="V799" s="629"/>
      <c r="W799" s="261"/>
      <c r="X799" s="261"/>
      <c r="Y799" s="261"/>
      <c r="Z799" s="261"/>
      <c r="AA799" s="261"/>
      <c r="AB799" s="261"/>
      <c r="AC799" s="266"/>
      <c r="AD799" s="633"/>
      <c r="AE799" s="264">
        <f t="shared" ref="AE799:AL799" si="1987">IF(AE767=0,0,AE791/AE767)</f>
        <v>0</v>
      </c>
      <c r="AF799" s="264">
        <f t="shared" si="1987"/>
        <v>0</v>
      </c>
      <c r="AG799" s="264">
        <f t="shared" si="1987"/>
        <v>0</v>
      </c>
      <c r="AH799" s="264">
        <f t="shared" si="1987"/>
        <v>0</v>
      </c>
      <c r="AI799" s="264">
        <f t="shared" si="1987"/>
        <v>0</v>
      </c>
      <c r="AJ799" s="264">
        <f t="shared" si="1987"/>
        <v>0</v>
      </c>
      <c r="AK799" s="264">
        <f t="shared" si="1987"/>
        <v>0</v>
      </c>
      <c r="AL799" s="264">
        <f t="shared" si="1987"/>
        <v>0</v>
      </c>
      <c r="AM799" s="264">
        <f>IF(AM767=0,0,AM791/AM767)</f>
        <v>0</v>
      </c>
      <c r="AN799" s="260"/>
      <c r="AO799" s="264">
        <f>IF(AO767=0,0,AO791/AO767)</f>
        <v>0</v>
      </c>
      <c r="AP799" s="260"/>
      <c r="AQ799" s="264"/>
      <c r="AR799" s="264" t="str">
        <f>VLOOKUP($I799,TableInputsData[],ReadMe!$M$3,FALSE)&amp;"  |  "&amp;VLOOKUP($K799,TableInputsData[],ReadMe!$M$3,FALSE)</f>
        <v>PRODUIT 19  |  PRIX MOYEN D'ACHAT PAR PRODUIT/SERVICE</v>
      </c>
      <c r="AS799" s="264"/>
      <c r="AT799" s="294"/>
    </row>
    <row r="800" spans="1:46" ht="13" hidden="1" x14ac:dyDescent="0.2">
      <c r="A800" s="294"/>
      <c r="B800" s="924"/>
      <c r="C800" s="272">
        <v>793</v>
      </c>
      <c r="D800" s="250">
        <f t="shared" si="1896"/>
        <v>0</v>
      </c>
      <c r="E800" s="251"/>
      <c r="F800" s="248" t="str">
        <f t="shared" si="1978"/>
        <v>YEAR2</v>
      </c>
      <c r="G800" s="250">
        <f>VLOOKUP(F800,TableInputsData[],$G$6,FALSE)</f>
        <v>2026</v>
      </c>
      <c r="H800" s="250" t="str">
        <f t="shared" ref="H800:I800" si="1988">H799</f>
        <v>PRODUCT</v>
      </c>
      <c r="I800" s="248" t="str">
        <f t="shared" si="1988"/>
        <v>PRODUCT 19</v>
      </c>
      <c r="J800" s="248" t="str">
        <f>VLOOKUP(I800,TableInputsData[],$J$6,FALSE)</f>
        <v>-</v>
      </c>
      <c r="K800" s="248" t="str">
        <f t="shared" si="1986"/>
        <v>AVERAGE COST OF GOODS SOLD PER UNIT</v>
      </c>
      <c r="L800" s="256"/>
      <c r="M800" s="256"/>
      <c r="N800" s="256"/>
      <c r="O800" s="266"/>
      <c r="P800" s="261"/>
      <c r="Q800" s="261"/>
      <c r="R800" s="261"/>
      <c r="S800" s="629"/>
      <c r="T800" s="629"/>
      <c r="U800" s="629"/>
      <c r="V800" s="629"/>
      <c r="W800" s="261"/>
      <c r="X800" s="261"/>
      <c r="Y800" s="261"/>
      <c r="Z800" s="261"/>
      <c r="AA800" s="261"/>
      <c r="AB800" s="261"/>
      <c r="AC800" s="266"/>
      <c r="AD800" s="633"/>
      <c r="AE800" s="264">
        <f t="shared" ref="AE800:AM800" si="1989">IF(AE768=0,0,AE792/AE768)</f>
        <v>0</v>
      </c>
      <c r="AF800" s="264">
        <f t="shared" si="1989"/>
        <v>0</v>
      </c>
      <c r="AG800" s="264">
        <f t="shared" si="1989"/>
        <v>0</v>
      </c>
      <c r="AH800" s="264">
        <f t="shared" si="1989"/>
        <v>0</v>
      </c>
      <c r="AI800" s="264">
        <f t="shared" si="1989"/>
        <v>0</v>
      </c>
      <c r="AJ800" s="264">
        <f t="shared" si="1989"/>
        <v>0</v>
      </c>
      <c r="AK800" s="264">
        <f t="shared" si="1989"/>
        <v>0</v>
      </c>
      <c r="AL800" s="264">
        <f t="shared" si="1989"/>
        <v>0</v>
      </c>
      <c r="AM800" s="264">
        <f t="shared" si="1989"/>
        <v>0</v>
      </c>
      <c r="AN800" s="260"/>
      <c r="AO800" s="264">
        <f t="shared" ref="AO800:AO804" si="1990">IF(AO768=0,0,AO792/AO768)</f>
        <v>0</v>
      </c>
      <c r="AP800" s="260"/>
      <c r="AQ800" s="264"/>
      <c r="AR800" s="264" t="str">
        <f>VLOOKUP($I800,TableInputsData[],ReadMe!$M$3,FALSE)&amp;"  |  "&amp;VLOOKUP($K800,TableInputsData[],ReadMe!$M$3,FALSE)</f>
        <v>PRODUIT 19  |  PRIX MOYEN D'ACHAT PAR PRODUIT/SERVICE</v>
      </c>
      <c r="AS800" s="264"/>
      <c r="AT800" s="294"/>
    </row>
    <row r="801" spans="1:46" ht="13" hidden="1" x14ac:dyDescent="0.2">
      <c r="A801" s="294"/>
      <c r="B801" s="924"/>
      <c r="C801" s="272">
        <v>794</v>
      </c>
      <c r="D801" s="250">
        <f t="shared" si="1896"/>
        <v>0</v>
      </c>
      <c r="E801" s="251"/>
      <c r="F801" s="248" t="str">
        <f t="shared" si="1978"/>
        <v>YEAR3</v>
      </c>
      <c r="G801" s="250">
        <f>VLOOKUP(F801,TableInputsData[],$G$6,FALSE)</f>
        <v>2027</v>
      </c>
      <c r="H801" s="250" t="str">
        <f t="shared" ref="H801:I801" si="1991">H800</f>
        <v>PRODUCT</v>
      </c>
      <c r="I801" s="248" t="str">
        <f t="shared" si="1991"/>
        <v>PRODUCT 19</v>
      </c>
      <c r="J801" s="248" t="str">
        <f>VLOOKUP(I801,TableInputsData[],$J$6,FALSE)</f>
        <v>-</v>
      </c>
      <c r="K801" s="248" t="str">
        <f t="shared" si="1986"/>
        <v>AVERAGE COST OF GOODS SOLD PER UNIT</v>
      </c>
      <c r="L801" s="256"/>
      <c r="M801" s="256"/>
      <c r="N801" s="256"/>
      <c r="O801" s="266"/>
      <c r="P801" s="261"/>
      <c r="Q801" s="261"/>
      <c r="R801" s="261"/>
      <c r="S801" s="629"/>
      <c r="T801" s="629"/>
      <c r="U801" s="629"/>
      <c r="V801" s="629"/>
      <c r="W801" s="261"/>
      <c r="X801" s="261"/>
      <c r="Y801" s="261"/>
      <c r="Z801" s="261"/>
      <c r="AA801" s="261"/>
      <c r="AB801" s="261"/>
      <c r="AC801" s="266"/>
      <c r="AD801" s="633"/>
      <c r="AE801" s="264">
        <f t="shared" ref="AE801:AM801" si="1992">IF(AE769=0,0,AE793/AE769)</f>
        <v>0</v>
      </c>
      <c r="AF801" s="264">
        <f t="shared" si="1992"/>
        <v>0</v>
      </c>
      <c r="AG801" s="264">
        <f t="shared" si="1992"/>
        <v>0</v>
      </c>
      <c r="AH801" s="264">
        <f t="shared" si="1992"/>
        <v>0</v>
      </c>
      <c r="AI801" s="264">
        <f t="shared" si="1992"/>
        <v>0</v>
      </c>
      <c r="AJ801" s="264">
        <f t="shared" si="1992"/>
        <v>0</v>
      </c>
      <c r="AK801" s="264">
        <f t="shared" si="1992"/>
        <v>0</v>
      </c>
      <c r="AL801" s="264">
        <f t="shared" si="1992"/>
        <v>0</v>
      </c>
      <c r="AM801" s="264">
        <f t="shared" si="1992"/>
        <v>0</v>
      </c>
      <c r="AN801" s="260"/>
      <c r="AO801" s="264">
        <f t="shared" si="1990"/>
        <v>0</v>
      </c>
      <c r="AP801" s="260"/>
      <c r="AQ801" s="264"/>
      <c r="AR801" s="264" t="str">
        <f>VLOOKUP($I801,TableInputsData[],ReadMe!$M$3,FALSE)&amp;"  |  "&amp;VLOOKUP($K801,TableInputsData[],ReadMe!$M$3,FALSE)</f>
        <v>PRODUIT 19  |  PRIX MOYEN D'ACHAT PAR PRODUIT/SERVICE</v>
      </c>
      <c r="AS801" s="264"/>
      <c r="AT801" s="294"/>
    </row>
    <row r="802" spans="1:46" ht="13" hidden="1" x14ac:dyDescent="0.2">
      <c r="A802" s="294"/>
      <c r="B802" s="924"/>
      <c r="C802" s="272">
        <v>795</v>
      </c>
      <c r="D802" s="250">
        <f t="shared" si="1896"/>
        <v>0</v>
      </c>
      <c r="E802" s="251"/>
      <c r="F802" s="248" t="str">
        <f t="shared" si="1978"/>
        <v>YEAR4</v>
      </c>
      <c r="G802" s="250">
        <f>VLOOKUP(F802,TableInputsData[],$G$6,FALSE)</f>
        <v>2028</v>
      </c>
      <c r="H802" s="250" t="str">
        <f t="shared" ref="H802:I802" si="1993">H801</f>
        <v>PRODUCT</v>
      </c>
      <c r="I802" s="248" t="str">
        <f t="shared" si="1993"/>
        <v>PRODUCT 19</v>
      </c>
      <c r="J802" s="248" t="str">
        <f>VLOOKUP(I802,TableInputsData[],$J$6,FALSE)</f>
        <v>-</v>
      </c>
      <c r="K802" s="248" t="str">
        <f t="shared" si="1986"/>
        <v>AVERAGE COST OF GOODS SOLD PER UNIT</v>
      </c>
      <c r="L802" s="256"/>
      <c r="M802" s="256"/>
      <c r="N802" s="256"/>
      <c r="O802" s="266"/>
      <c r="P802" s="261"/>
      <c r="Q802" s="261"/>
      <c r="R802" s="261"/>
      <c r="S802" s="629"/>
      <c r="T802" s="629"/>
      <c r="U802" s="629"/>
      <c r="V802" s="629"/>
      <c r="W802" s="261"/>
      <c r="X802" s="261"/>
      <c r="Y802" s="261"/>
      <c r="Z802" s="261"/>
      <c r="AA802" s="261"/>
      <c r="AB802" s="261"/>
      <c r="AC802" s="266"/>
      <c r="AD802" s="633"/>
      <c r="AE802" s="264">
        <f t="shared" ref="AE802:AM802" si="1994">IF(AE770=0,0,AE794/AE770)</f>
        <v>0</v>
      </c>
      <c r="AF802" s="264">
        <f t="shared" si="1994"/>
        <v>0</v>
      </c>
      <c r="AG802" s="264">
        <f t="shared" si="1994"/>
        <v>0</v>
      </c>
      <c r="AH802" s="264">
        <f t="shared" si="1994"/>
        <v>0</v>
      </c>
      <c r="AI802" s="264">
        <f t="shared" si="1994"/>
        <v>0</v>
      </c>
      <c r="AJ802" s="264">
        <f t="shared" si="1994"/>
        <v>0</v>
      </c>
      <c r="AK802" s="264">
        <f t="shared" si="1994"/>
        <v>0</v>
      </c>
      <c r="AL802" s="264">
        <f t="shared" si="1994"/>
        <v>0</v>
      </c>
      <c r="AM802" s="264">
        <f t="shared" si="1994"/>
        <v>0</v>
      </c>
      <c r="AN802" s="260"/>
      <c r="AO802" s="264">
        <f t="shared" si="1990"/>
        <v>0</v>
      </c>
      <c r="AP802" s="260"/>
      <c r="AQ802" s="264"/>
      <c r="AR802" s="264" t="str">
        <f>VLOOKUP($I802,TableInputsData[],ReadMe!$M$3,FALSE)&amp;"  |  "&amp;VLOOKUP($K802,TableInputsData[],ReadMe!$M$3,FALSE)</f>
        <v>PRODUIT 19  |  PRIX MOYEN D'ACHAT PAR PRODUIT/SERVICE</v>
      </c>
      <c r="AS802" s="264"/>
      <c r="AT802" s="294"/>
    </row>
    <row r="803" spans="1:46" ht="13" hidden="1" x14ac:dyDescent="0.2">
      <c r="A803" s="294"/>
      <c r="B803" s="924"/>
      <c r="C803" s="272">
        <v>796</v>
      </c>
      <c r="D803" s="250">
        <f t="shared" si="1896"/>
        <v>0</v>
      </c>
      <c r="E803" s="251"/>
      <c r="F803" s="248" t="str">
        <f t="shared" si="1978"/>
        <v>YEAR5</v>
      </c>
      <c r="G803" s="250">
        <f>VLOOKUP(F803,TableInputsData[],$G$6,FALSE)</f>
        <v>2029</v>
      </c>
      <c r="H803" s="250" t="str">
        <f t="shared" ref="H803:I803" si="1995">H802</f>
        <v>PRODUCT</v>
      </c>
      <c r="I803" s="248" t="str">
        <f t="shared" si="1995"/>
        <v>PRODUCT 19</v>
      </c>
      <c r="J803" s="248" t="str">
        <f>VLOOKUP(I803,TableInputsData[],$J$6,FALSE)</f>
        <v>-</v>
      </c>
      <c r="K803" s="248" t="str">
        <f t="shared" si="1986"/>
        <v>AVERAGE COST OF GOODS SOLD PER UNIT</v>
      </c>
      <c r="L803" s="256"/>
      <c r="M803" s="256"/>
      <c r="N803" s="256"/>
      <c r="O803" s="266"/>
      <c r="P803" s="261"/>
      <c r="Q803" s="261"/>
      <c r="R803" s="261"/>
      <c r="S803" s="629"/>
      <c r="T803" s="629"/>
      <c r="U803" s="629"/>
      <c r="V803" s="629"/>
      <c r="W803" s="261"/>
      <c r="X803" s="261"/>
      <c r="Y803" s="261"/>
      <c r="Z803" s="261"/>
      <c r="AA803" s="261"/>
      <c r="AB803" s="261"/>
      <c r="AC803" s="266"/>
      <c r="AD803" s="633"/>
      <c r="AE803" s="264">
        <f t="shared" ref="AE803:AM803" si="1996">IF(AE771=0,0,AE795/AE771)</f>
        <v>0</v>
      </c>
      <c r="AF803" s="264">
        <f t="shared" si="1996"/>
        <v>0</v>
      </c>
      <c r="AG803" s="264">
        <f t="shared" si="1996"/>
        <v>0</v>
      </c>
      <c r="AH803" s="264">
        <f t="shared" si="1996"/>
        <v>0</v>
      </c>
      <c r="AI803" s="264">
        <f t="shared" si="1996"/>
        <v>0</v>
      </c>
      <c r="AJ803" s="264">
        <f t="shared" si="1996"/>
        <v>0</v>
      </c>
      <c r="AK803" s="264">
        <f t="shared" si="1996"/>
        <v>0</v>
      </c>
      <c r="AL803" s="264">
        <f t="shared" si="1996"/>
        <v>0</v>
      </c>
      <c r="AM803" s="264">
        <f t="shared" si="1996"/>
        <v>0</v>
      </c>
      <c r="AN803" s="260"/>
      <c r="AO803" s="264">
        <f t="shared" si="1990"/>
        <v>0</v>
      </c>
      <c r="AP803" s="260"/>
      <c r="AQ803" s="264"/>
      <c r="AR803" s="264" t="str">
        <f>VLOOKUP($I803,TableInputsData[],ReadMe!$M$3,FALSE)&amp;"  |  "&amp;VLOOKUP($K803,TableInputsData[],ReadMe!$M$3,FALSE)</f>
        <v>PRODUIT 19  |  PRIX MOYEN D'ACHAT PAR PRODUIT/SERVICE</v>
      </c>
      <c r="AS803" s="264"/>
      <c r="AT803" s="294"/>
    </row>
    <row r="804" spans="1:46" ht="13" hidden="1" x14ac:dyDescent="0.2">
      <c r="A804" s="294"/>
      <c r="B804" s="924"/>
      <c r="C804" s="272">
        <v>797</v>
      </c>
      <c r="D804" s="250">
        <f t="shared" si="1896"/>
        <v>0</v>
      </c>
      <c r="E804" s="251"/>
      <c r="F804" s="248" t="str">
        <f t="shared" si="1978"/>
        <v>YEAR6</v>
      </c>
      <c r="G804" s="250">
        <f>VLOOKUP(F804,TableInputsData[],$G$6,FALSE)</f>
        <v>2030</v>
      </c>
      <c r="H804" s="250" t="str">
        <f t="shared" ref="H804:I804" si="1997">H803</f>
        <v>PRODUCT</v>
      </c>
      <c r="I804" s="248" t="str">
        <f t="shared" si="1997"/>
        <v>PRODUCT 19</v>
      </c>
      <c r="J804" s="248" t="str">
        <f>VLOOKUP(I804,TableInputsData[],$J$6,FALSE)</f>
        <v>-</v>
      </c>
      <c r="K804" s="248" t="str">
        <f t="shared" si="1986"/>
        <v>AVERAGE COST OF GOODS SOLD PER UNIT</v>
      </c>
      <c r="L804" s="256"/>
      <c r="M804" s="256"/>
      <c r="N804" s="256"/>
      <c r="O804" s="266"/>
      <c r="P804" s="261"/>
      <c r="Q804" s="261"/>
      <c r="R804" s="261"/>
      <c r="S804" s="629"/>
      <c r="T804" s="629"/>
      <c r="U804" s="629"/>
      <c r="V804" s="629"/>
      <c r="W804" s="261"/>
      <c r="X804" s="261"/>
      <c r="Y804" s="261"/>
      <c r="Z804" s="261"/>
      <c r="AA804" s="261"/>
      <c r="AB804" s="261"/>
      <c r="AC804" s="266"/>
      <c r="AD804" s="633"/>
      <c r="AE804" s="264">
        <f t="shared" ref="AE804:AM804" si="1998">IF(AE772=0,0,AE796/AE772)</f>
        <v>0</v>
      </c>
      <c r="AF804" s="264">
        <f t="shared" si="1998"/>
        <v>0</v>
      </c>
      <c r="AG804" s="264">
        <f t="shared" si="1998"/>
        <v>0</v>
      </c>
      <c r="AH804" s="264">
        <f t="shared" si="1998"/>
        <v>0</v>
      </c>
      <c r="AI804" s="264">
        <f t="shared" si="1998"/>
        <v>0</v>
      </c>
      <c r="AJ804" s="264">
        <f t="shared" si="1998"/>
        <v>0</v>
      </c>
      <c r="AK804" s="264">
        <f t="shared" si="1998"/>
        <v>0</v>
      </c>
      <c r="AL804" s="264">
        <f t="shared" si="1998"/>
        <v>0</v>
      </c>
      <c r="AM804" s="264">
        <f t="shared" si="1998"/>
        <v>0</v>
      </c>
      <c r="AN804" s="260"/>
      <c r="AO804" s="264">
        <f t="shared" si="1990"/>
        <v>0</v>
      </c>
      <c r="AP804" s="260"/>
      <c r="AQ804" s="264"/>
      <c r="AR804" s="264" t="str">
        <f>VLOOKUP($I804,TableInputsData[],ReadMe!$M$3,FALSE)&amp;"  |  "&amp;VLOOKUP($K804,TableInputsData[],ReadMe!$M$3,FALSE)</f>
        <v>PRODUIT 19  |  PRIX MOYEN D'ACHAT PAR PRODUIT/SERVICE</v>
      </c>
      <c r="AS804" s="264"/>
      <c r="AT804" s="294"/>
    </row>
    <row r="805" spans="1:46" ht="13" x14ac:dyDescent="0.2">
      <c r="A805" s="294"/>
      <c r="B805" s="924"/>
      <c r="C805" s="273">
        <v>798</v>
      </c>
      <c r="D805" s="253">
        <v>0</v>
      </c>
      <c r="E805" s="253">
        <v>1</v>
      </c>
      <c r="F805" s="252"/>
      <c r="G805" s="253"/>
      <c r="H805" s="253"/>
      <c r="I805" s="252"/>
      <c r="J805" s="252"/>
      <c r="K805" s="252"/>
      <c r="L805" s="257"/>
      <c r="M805" s="257"/>
      <c r="N805" s="257"/>
      <c r="O805" s="267"/>
      <c r="P805" s="262"/>
      <c r="Q805" s="262"/>
      <c r="R805" s="262"/>
      <c r="S805" s="631"/>
      <c r="T805" s="631"/>
      <c r="U805" s="631"/>
      <c r="V805" s="631"/>
      <c r="W805" s="262"/>
      <c r="X805" s="262"/>
      <c r="Y805" s="262"/>
      <c r="Z805" s="262"/>
      <c r="AA805" s="262"/>
      <c r="AB805" s="262"/>
      <c r="AC805" s="267"/>
      <c r="AD805" s="635"/>
      <c r="AE805" s="270"/>
      <c r="AF805" s="270"/>
      <c r="AG805" s="270"/>
      <c r="AH805" s="270"/>
      <c r="AI805" s="270"/>
      <c r="AJ805" s="270"/>
      <c r="AK805" s="270"/>
      <c r="AL805" s="270"/>
      <c r="AM805" s="270"/>
      <c r="AN805" s="643"/>
      <c r="AO805" s="270"/>
      <c r="AP805" s="270"/>
      <c r="AQ805" s="270"/>
      <c r="AR805" s="270"/>
      <c r="AS805" s="270"/>
      <c r="AT805" s="294"/>
    </row>
    <row r="806" spans="1:46" ht="13" hidden="1" x14ac:dyDescent="0.2">
      <c r="A806" s="294"/>
      <c r="B806" s="925" t="str">
        <f>I807&amp;"___"</f>
        <v>PRODUCT 20___</v>
      </c>
      <c r="C806" s="271">
        <v>799</v>
      </c>
      <c r="D806" s="250">
        <v>0</v>
      </c>
      <c r="E806" s="250"/>
      <c r="F806" s="248"/>
      <c r="G806" s="250"/>
      <c r="H806" s="250"/>
      <c r="I806" s="248"/>
      <c r="J806" s="248"/>
      <c r="K806" s="248"/>
      <c r="L806" s="254"/>
      <c r="M806" s="254"/>
      <c r="N806" s="254"/>
      <c r="O806" s="264"/>
      <c r="P806" s="259"/>
      <c r="Q806" s="259"/>
      <c r="R806" s="259"/>
      <c r="S806" s="628"/>
      <c r="T806" s="628"/>
      <c r="U806" s="628"/>
      <c r="V806" s="628"/>
      <c r="W806" s="259"/>
      <c r="X806" s="259"/>
      <c r="Y806" s="259"/>
      <c r="Z806" s="259"/>
      <c r="AA806" s="259"/>
      <c r="AB806" s="259"/>
      <c r="AC806" s="264"/>
      <c r="AD806" s="609"/>
      <c r="AE806" s="269"/>
      <c r="AF806" s="269"/>
      <c r="AG806" s="269"/>
      <c r="AH806" s="269"/>
      <c r="AI806" s="269"/>
      <c r="AJ806" s="269"/>
      <c r="AK806" s="269"/>
      <c r="AL806" s="269"/>
      <c r="AM806" s="269"/>
      <c r="AN806" s="642"/>
      <c r="AO806" s="269"/>
      <c r="AP806" s="269"/>
      <c r="AQ806" s="269"/>
      <c r="AR806" s="269"/>
      <c r="AS806" s="269"/>
      <c r="AT806" s="294"/>
    </row>
    <row r="807" spans="1:46" ht="13" x14ac:dyDescent="0.2">
      <c r="A807" s="294"/>
      <c r="B807" s="925"/>
      <c r="C807" s="271">
        <v>800</v>
      </c>
      <c r="D807" s="250">
        <f>VLOOKUP($I807,TableInputsData[],$D$6,FALSE)</f>
        <v>0</v>
      </c>
      <c r="E807" s="250">
        <v>1</v>
      </c>
      <c r="F807" s="248" t="s">
        <v>392</v>
      </c>
      <c r="G807" s="250">
        <f>VLOOKUP(F807,TableInputsData[],$G$6,FALSE)</f>
        <v>2023</v>
      </c>
      <c r="H807" s="250" t="s">
        <v>588</v>
      </c>
      <c r="I807" s="248" t="s">
        <v>1728</v>
      </c>
      <c r="J807" s="248" t="str">
        <f>VLOOKUP(I807,TableInputsData[],$J$6,FALSE)</f>
        <v>-</v>
      </c>
      <c r="K807" s="248" t="s">
        <v>261</v>
      </c>
      <c r="L807" s="499">
        <v>1000</v>
      </c>
      <c r="M807" s="499">
        <v>0</v>
      </c>
      <c r="N807" s="499">
        <v>0</v>
      </c>
      <c r="O807" s="264">
        <f t="shared" ref="O807:O814" si="1999">$L807*$P807+$M807*$Q807+$N807*$R807</f>
        <v>1000</v>
      </c>
      <c r="P807" s="500">
        <v>1</v>
      </c>
      <c r="Q807" s="500">
        <v>0</v>
      </c>
      <c r="R807" s="259">
        <f>1-$P807-$Q807</f>
        <v>0</v>
      </c>
      <c r="S807" s="626">
        <v>500</v>
      </c>
      <c r="T807" s="626">
        <v>0</v>
      </c>
      <c r="U807" s="626">
        <v>0</v>
      </c>
      <c r="V807" s="628">
        <f>($L807*$P807*$S807+$M807*$Q807*$T807+$N807*$R807*$U807)/$O807</f>
        <v>500</v>
      </c>
      <c r="W807" s="500">
        <v>1</v>
      </c>
      <c r="X807" s="500">
        <v>1</v>
      </c>
      <c r="Y807" s="500">
        <v>1</v>
      </c>
      <c r="Z807" s="259">
        <f t="shared" ref="Z807:Z814" si="2000">1-$W807</f>
        <v>0</v>
      </c>
      <c r="AA807" s="259">
        <f t="shared" ref="AA807:AA814" si="2001">1-$X807</f>
        <v>0</v>
      </c>
      <c r="AB807" s="259">
        <f t="shared" ref="AB807:AB814" si="2002">1-$Y807</f>
        <v>0</v>
      </c>
      <c r="AC807" s="628">
        <f>AM839</f>
        <v>0</v>
      </c>
      <c r="AD807" s="628">
        <f>AO839</f>
        <v>0</v>
      </c>
      <c r="AE807" s="501">
        <v>0</v>
      </c>
      <c r="AF807" s="501">
        <v>0</v>
      </c>
      <c r="AG807" s="501">
        <v>0</v>
      </c>
      <c r="AH807" s="501">
        <v>0</v>
      </c>
      <c r="AI807" s="264">
        <f t="shared" ref="AI807:AI810" si="2003">$AE807+$AF807+$AG807+$AH807</f>
        <v>0</v>
      </c>
      <c r="AJ807" s="264">
        <f t="shared" ref="AJ807:AJ814" si="2004">$AI807*$P807</f>
        <v>0</v>
      </c>
      <c r="AK807" s="264">
        <f t="shared" ref="AK807:AK814" si="2005">$AI807*$Q807</f>
        <v>0</v>
      </c>
      <c r="AL807" s="264">
        <f t="shared" ref="AL807:AL814" si="2006">$AI807*$R807</f>
        <v>0</v>
      </c>
      <c r="AM807" s="264">
        <f t="shared" ref="AM807:AM814" si="2007">$AJ807*$W807+$AK807*$X807+$AL807*$Y807</f>
        <v>0</v>
      </c>
      <c r="AN807" s="640">
        <f>IF(AI807=0,0,AM807/AI807)</f>
        <v>0</v>
      </c>
      <c r="AO807" s="264">
        <f t="shared" ref="AO807:AO814" si="2008">$AJ807*$Z807+$AK807*$AA807+$AL807*$AB807</f>
        <v>0</v>
      </c>
      <c r="AP807" s="640">
        <f t="shared" ref="AP807:AP822" si="2009">IF(AI807=0,0,AO807/AI807)</f>
        <v>0</v>
      </c>
      <c r="AQ807" s="264" t="str">
        <f>VLOOKUP(I807,TableInputsData[],$AQ$6,FALSE)</f>
        <v>GAMME # : 1 + CANAL DE DISTRIBUTION # : 1</v>
      </c>
      <c r="AR807" s="264" t="str">
        <f>VLOOKUP($I807,TableInputsData[],ReadMe!$M$3,FALSE)&amp;"  |  "&amp;VLOOKUP($K807,TableInputsData[],ReadMe!$M$3,FALSE)</f>
        <v>PRODUIT 20  |  VOLUME</v>
      </c>
      <c r="AS807" s="264" t="b">
        <f t="shared" ref="AS807:AS814" si="2010">AND(EXACT(ROUND(AI807,2),ROUND(AJ807+AK807+AL807,2)),EXACT(ROUND(AI807,2),ROUND(AM807+AO807,2)),EXACT(SUM(P807:R807),1),IF(R807&lt;0,FALSE,TRUE),EXACT(SUM(W807:AB807),3),MIN(W807:Y807)&gt;=0, MAX(W807:Y807)&lt;=1)</f>
        <v>1</v>
      </c>
      <c r="AT807" s="294"/>
    </row>
    <row r="808" spans="1:46" ht="13" x14ac:dyDescent="0.2">
      <c r="A808" s="294"/>
      <c r="B808" s="925"/>
      <c r="C808" s="271">
        <v>801</v>
      </c>
      <c r="D808" s="250">
        <f>D807</f>
        <v>0</v>
      </c>
      <c r="E808" s="250">
        <v>1</v>
      </c>
      <c r="F808" s="248" t="s">
        <v>391</v>
      </c>
      <c r="G808" s="250">
        <f>VLOOKUP(F808,TableInputsData[],$G$6,FALSE)</f>
        <v>2024</v>
      </c>
      <c r="H808" s="250" t="str">
        <f>H807</f>
        <v>PRODUCT</v>
      </c>
      <c r="I808" s="248" t="str">
        <f>I807</f>
        <v>PRODUCT 20</v>
      </c>
      <c r="J808" s="248" t="str">
        <f>VLOOKUP(I808,TableInputsData[],$J$6,FALSE)</f>
        <v>-</v>
      </c>
      <c r="K808" s="248" t="str">
        <f>K807</f>
        <v>VOLUME</v>
      </c>
      <c r="L808" s="499">
        <v>1000</v>
      </c>
      <c r="M808" s="499">
        <v>0</v>
      </c>
      <c r="N808" s="499">
        <v>0</v>
      </c>
      <c r="O808" s="264">
        <f t="shared" si="1999"/>
        <v>1000</v>
      </c>
      <c r="P808" s="500">
        <v>1</v>
      </c>
      <c r="Q808" s="500">
        <v>0</v>
      </c>
      <c r="R808" s="259">
        <f t="shared" ref="R808:R814" si="2011">1-$P808-$Q808</f>
        <v>0</v>
      </c>
      <c r="S808" s="626">
        <v>500</v>
      </c>
      <c r="T808" s="626">
        <v>0</v>
      </c>
      <c r="U808" s="626">
        <v>0</v>
      </c>
      <c r="V808" s="628">
        <f t="shared" ref="V808:V814" si="2012">($L808*$P808*$S808+$M808*$Q808*$T808+$N808*$R808*$U808)/$O808</f>
        <v>500</v>
      </c>
      <c r="W808" s="500">
        <v>1</v>
      </c>
      <c r="X808" s="500">
        <v>1</v>
      </c>
      <c r="Y808" s="500">
        <v>1</v>
      </c>
      <c r="Z808" s="259">
        <f t="shared" si="2000"/>
        <v>0</v>
      </c>
      <c r="AA808" s="259">
        <f t="shared" si="2001"/>
        <v>0</v>
      </c>
      <c r="AB808" s="259">
        <f t="shared" si="2002"/>
        <v>0</v>
      </c>
      <c r="AC808" s="628">
        <f t="shared" ref="AC808:AC814" si="2013">AM840</f>
        <v>0</v>
      </c>
      <c r="AD808" s="628">
        <f t="shared" ref="AD808:AD814" si="2014">AO840</f>
        <v>0</v>
      </c>
      <c r="AE808" s="501">
        <v>0</v>
      </c>
      <c r="AF808" s="501">
        <v>0</v>
      </c>
      <c r="AG808" s="501">
        <v>0</v>
      </c>
      <c r="AH808" s="501">
        <v>0</v>
      </c>
      <c r="AI808" s="264">
        <f t="shared" si="2003"/>
        <v>0</v>
      </c>
      <c r="AJ808" s="264">
        <f t="shared" si="2004"/>
        <v>0</v>
      </c>
      <c r="AK808" s="264">
        <f t="shared" si="2005"/>
        <v>0</v>
      </c>
      <c r="AL808" s="264">
        <f t="shared" si="2006"/>
        <v>0</v>
      </c>
      <c r="AM808" s="264">
        <f t="shared" si="2007"/>
        <v>0</v>
      </c>
      <c r="AN808" s="640">
        <f t="shared" ref="AN808:AN822" si="2015">IF(AI808=0,0,AM808/AI808)</f>
        <v>0</v>
      </c>
      <c r="AO808" s="264">
        <f t="shared" si="2008"/>
        <v>0</v>
      </c>
      <c r="AP808" s="640">
        <f t="shared" si="2009"/>
        <v>0</v>
      </c>
      <c r="AQ808" s="501"/>
      <c r="AR808" s="264" t="str">
        <f>VLOOKUP($I808,TableInputsData[],ReadMe!$M$3,FALSE)&amp;"  |  "&amp;VLOOKUP($K808,TableInputsData[],ReadMe!$M$3,FALSE)</f>
        <v>PRODUIT 20  |  VOLUME</v>
      </c>
      <c r="AS808" s="264" t="b">
        <f t="shared" si="2010"/>
        <v>1</v>
      </c>
      <c r="AT808" s="294"/>
    </row>
    <row r="809" spans="1:46" ht="13" x14ac:dyDescent="0.2">
      <c r="A809" s="294"/>
      <c r="B809" s="925"/>
      <c r="C809" s="271">
        <v>802</v>
      </c>
      <c r="D809" s="250">
        <f t="shared" ref="D809:D846" si="2016">D808</f>
        <v>0</v>
      </c>
      <c r="E809" s="250">
        <v>1</v>
      </c>
      <c r="F809" s="248" t="s">
        <v>393</v>
      </c>
      <c r="G809" s="250">
        <f>VLOOKUP(F809,TableInputsData[],$G$6,FALSE)</f>
        <v>2025</v>
      </c>
      <c r="H809" s="250" t="str">
        <f t="shared" ref="H809:I809" si="2017">H808</f>
        <v>PRODUCT</v>
      </c>
      <c r="I809" s="248" t="str">
        <f t="shared" si="2017"/>
        <v>PRODUCT 20</v>
      </c>
      <c r="J809" s="248" t="str">
        <f>VLOOKUP(I809,TableInputsData[],$J$6,FALSE)</f>
        <v>-</v>
      </c>
      <c r="K809" s="248" t="str">
        <f t="shared" ref="K809:K814" si="2018">K808</f>
        <v>VOLUME</v>
      </c>
      <c r="L809" s="499">
        <v>1000</v>
      </c>
      <c r="M809" s="499">
        <v>0</v>
      </c>
      <c r="N809" s="499">
        <v>0</v>
      </c>
      <c r="O809" s="264">
        <f t="shared" si="1999"/>
        <v>1000</v>
      </c>
      <c r="P809" s="500">
        <v>1</v>
      </c>
      <c r="Q809" s="500">
        <v>0</v>
      </c>
      <c r="R809" s="259">
        <f t="shared" si="2011"/>
        <v>0</v>
      </c>
      <c r="S809" s="626">
        <v>500</v>
      </c>
      <c r="T809" s="626">
        <v>0</v>
      </c>
      <c r="U809" s="626">
        <v>0</v>
      </c>
      <c r="V809" s="628">
        <f t="shared" si="2012"/>
        <v>500</v>
      </c>
      <c r="W809" s="500">
        <v>1</v>
      </c>
      <c r="X809" s="500">
        <v>1</v>
      </c>
      <c r="Y809" s="500">
        <v>1</v>
      </c>
      <c r="Z809" s="259">
        <f t="shared" si="2000"/>
        <v>0</v>
      </c>
      <c r="AA809" s="259">
        <f t="shared" si="2001"/>
        <v>0</v>
      </c>
      <c r="AB809" s="259">
        <f t="shared" si="2002"/>
        <v>0</v>
      </c>
      <c r="AC809" s="628">
        <f t="shared" si="2013"/>
        <v>0</v>
      </c>
      <c r="AD809" s="628">
        <f t="shared" si="2014"/>
        <v>0</v>
      </c>
      <c r="AE809" s="501">
        <v>0</v>
      </c>
      <c r="AF809" s="501">
        <v>0</v>
      </c>
      <c r="AG809" s="501">
        <v>0</v>
      </c>
      <c r="AH809" s="501">
        <v>0</v>
      </c>
      <c r="AI809" s="264">
        <f t="shared" si="2003"/>
        <v>0</v>
      </c>
      <c r="AJ809" s="264">
        <f t="shared" si="2004"/>
        <v>0</v>
      </c>
      <c r="AK809" s="264">
        <f t="shared" si="2005"/>
        <v>0</v>
      </c>
      <c r="AL809" s="264">
        <f t="shared" si="2006"/>
        <v>0</v>
      </c>
      <c r="AM809" s="264">
        <f t="shared" si="2007"/>
        <v>0</v>
      </c>
      <c r="AN809" s="640">
        <f t="shared" si="2015"/>
        <v>0</v>
      </c>
      <c r="AO809" s="264">
        <f t="shared" si="2008"/>
        <v>0</v>
      </c>
      <c r="AP809" s="640">
        <f t="shared" si="2009"/>
        <v>0</v>
      </c>
      <c r="AQ809" s="501"/>
      <c r="AR809" s="264" t="str">
        <f>VLOOKUP($I809,TableInputsData[],ReadMe!$M$3,FALSE)&amp;"  |  "&amp;VLOOKUP($K809,TableInputsData[],ReadMe!$M$3,FALSE)</f>
        <v>PRODUIT 20  |  VOLUME</v>
      </c>
      <c r="AS809" s="264" t="b">
        <f t="shared" si="2010"/>
        <v>1</v>
      </c>
      <c r="AT809" s="294"/>
    </row>
    <row r="810" spans="1:46" ht="13" x14ac:dyDescent="0.2">
      <c r="A810" s="294"/>
      <c r="B810" s="925"/>
      <c r="C810" s="271">
        <v>803</v>
      </c>
      <c r="D810" s="250">
        <f t="shared" si="2016"/>
        <v>0</v>
      </c>
      <c r="E810" s="250">
        <v>1</v>
      </c>
      <c r="F810" s="248" t="s">
        <v>396</v>
      </c>
      <c r="G810" s="250">
        <f>VLOOKUP(F810,TableInputsData[],$G$6,FALSE)</f>
        <v>2026</v>
      </c>
      <c r="H810" s="250" t="str">
        <f t="shared" ref="H810:I810" si="2019">H809</f>
        <v>PRODUCT</v>
      </c>
      <c r="I810" s="248" t="str">
        <f t="shared" si="2019"/>
        <v>PRODUCT 20</v>
      </c>
      <c r="J810" s="248" t="str">
        <f>VLOOKUP(I810,TableInputsData[],$J$6,FALSE)</f>
        <v>-</v>
      </c>
      <c r="K810" s="248" t="str">
        <f t="shared" si="2018"/>
        <v>VOLUME</v>
      </c>
      <c r="L810" s="499">
        <v>1000</v>
      </c>
      <c r="M810" s="499">
        <v>0</v>
      </c>
      <c r="N810" s="499">
        <v>0</v>
      </c>
      <c r="O810" s="264">
        <f t="shared" si="1999"/>
        <v>1000</v>
      </c>
      <c r="P810" s="500">
        <v>1</v>
      </c>
      <c r="Q810" s="500">
        <v>0</v>
      </c>
      <c r="R810" s="259">
        <f t="shared" si="2011"/>
        <v>0</v>
      </c>
      <c r="S810" s="626">
        <v>500</v>
      </c>
      <c r="T810" s="626">
        <v>0</v>
      </c>
      <c r="U810" s="626">
        <v>0</v>
      </c>
      <c r="V810" s="628">
        <f t="shared" si="2012"/>
        <v>500</v>
      </c>
      <c r="W810" s="500">
        <v>1</v>
      </c>
      <c r="X810" s="500">
        <v>1</v>
      </c>
      <c r="Y810" s="500">
        <v>1</v>
      </c>
      <c r="Z810" s="259">
        <f t="shared" si="2000"/>
        <v>0</v>
      </c>
      <c r="AA810" s="259">
        <f t="shared" si="2001"/>
        <v>0</v>
      </c>
      <c r="AB810" s="259">
        <f t="shared" si="2002"/>
        <v>0</v>
      </c>
      <c r="AC810" s="628">
        <f t="shared" si="2013"/>
        <v>0</v>
      </c>
      <c r="AD810" s="628">
        <f t="shared" si="2014"/>
        <v>0</v>
      </c>
      <c r="AE810" s="501">
        <v>0</v>
      </c>
      <c r="AF810" s="501">
        <v>0</v>
      </c>
      <c r="AG810" s="501">
        <v>0</v>
      </c>
      <c r="AH810" s="501">
        <v>0</v>
      </c>
      <c r="AI810" s="264">
        <f t="shared" si="2003"/>
        <v>0</v>
      </c>
      <c r="AJ810" s="264">
        <f t="shared" si="2004"/>
        <v>0</v>
      </c>
      <c r="AK810" s="264">
        <f t="shared" si="2005"/>
        <v>0</v>
      </c>
      <c r="AL810" s="264">
        <f t="shared" si="2006"/>
        <v>0</v>
      </c>
      <c r="AM810" s="264">
        <f t="shared" si="2007"/>
        <v>0</v>
      </c>
      <c r="AN810" s="640">
        <f t="shared" si="2015"/>
        <v>0</v>
      </c>
      <c r="AO810" s="264">
        <f t="shared" si="2008"/>
        <v>0</v>
      </c>
      <c r="AP810" s="640">
        <f t="shared" si="2009"/>
        <v>0</v>
      </c>
      <c r="AQ810" s="501"/>
      <c r="AR810" s="264" t="str">
        <f>VLOOKUP($I810,TableInputsData[],ReadMe!$M$3,FALSE)&amp;"  |  "&amp;VLOOKUP($K810,TableInputsData[],ReadMe!$M$3,FALSE)</f>
        <v>PRODUIT 20  |  VOLUME</v>
      </c>
      <c r="AS810" s="264" t="b">
        <f t="shared" si="2010"/>
        <v>1</v>
      </c>
      <c r="AT810" s="294"/>
    </row>
    <row r="811" spans="1:46" ht="13" x14ac:dyDescent="0.2">
      <c r="A811" s="294"/>
      <c r="B811" s="925"/>
      <c r="C811" s="271">
        <v>804</v>
      </c>
      <c r="D811" s="250">
        <f t="shared" si="2016"/>
        <v>0</v>
      </c>
      <c r="E811" s="250">
        <v>1</v>
      </c>
      <c r="F811" s="248" t="s">
        <v>397</v>
      </c>
      <c r="G811" s="250">
        <f>VLOOKUP(F811,TableInputsData[],$G$6,FALSE)</f>
        <v>2027</v>
      </c>
      <c r="H811" s="250" t="str">
        <f t="shared" ref="H811:I811" si="2020">H810</f>
        <v>PRODUCT</v>
      </c>
      <c r="I811" s="248" t="str">
        <f t="shared" si="2020"/>
        <v>PRODUCT 20</v>
      </c>
      <c r="J811" s="248" t="str">
        <f>VLOOKUP(I811,TableInputsData[],$J$6,FALSE)</f>
        <v>-</v>
      </c>
      <c r="K811" s="248" t="str">
        <f t="shared" si="2018"/>
        <v>VOLUME</v>
      </c>
      <c r="L811" s="499">
        <v>1000</v>
      </c>
      <c r="M811" s="499">
        <v>0</v>
      </c>
      <c r="N811" s="499">
        <v>0</v>
      </c>
      <c r="O811" s="264">
        <f t="shared" si="1999"/>
        <v>1000</v>
      </c>
      <c r="P811" s="500">
        <v>1</v>
      </c>
      <c r="Q811" s="500">
        <v>0</v>
      </c>
      <c r="R811" s="259">
        <f t="shared" si="2011"/>
        <v>0</v>
      </c>
      <c r="S811" s="626">
        <v>500</v>
      </c>
      <c r="T811" s="626">
        <v>0</v>
      </c>
      <c r="U811" s="626">
        <v>0</v>
      </c>
      <c r="V811" s="628">
        <f t="shared" si="2012"/>
        <v>500</v>
      </c>
      <c r="W811" s="500">
        <v>1</v>
      </c>
      <c r="X811" s="500">
        <v>1</v>
      </c>
      <c r="Y811" s="500">
        <v>1</v>
      </c>
      <c r="Z811" s="259">
        <f t="shared" si="2000"/>
        <v>0</v>
      </c>
      <c r="AA811" s="259">
        <f t="shared" si="2001"/>
        <v>0</v>
      </c>
      <c r="AB811" s="259">
        <f t="shared" si="2002"/>
        <v>0</v>
      </c>
      <c r="AC811" s="628">
        <f t="shared" si="2013"/>
        <v>0</v>
      </c>
      <c r="AD811" s="628">
        <f t="shared" si="2014"/>
        <v>0</v>
      </c>
      <c r="AE811" s="264">
        <f>$AI811/4</f>
        <v>0</v>
      </c>
      <c r="AF811" s="264">
        <f t="shared" ref="AF811:AH814" si="2021">$AI811/4</f>
        <v>0</v>
      </c>
      <c r="AG811" s="264">
        <f t="shared" si="2021"/>
        <v>0</v>
      </c>
      <c r="AH811" s="264">
        <f t="shared" si="2021"/>
        <v>0</v>
      </c>
      <c r="AI811" s="501">
        <v>0</v>
      </c>
      <c r="AJ811" s="264">
        <f t="shared" si="2004"/>
        <v>0</v>
      </c>
      <c r="AK811" s="264">
        <f t="shared" si="2005"/>
        <v>0</v>
      </c>
      <c r="AL811" s="264">
        <f t="shared" si="2006"/>
        <v>0</v>
      </c>
      <c r="AM811" s="264">
        <f t="shared" si="2007"/>
        <v>0</v>
      </c>
      <c r="AN811" s="640">
        <f t="shared" si="2015"/>
        <v>0</v>
      </c>
      <c r="AO811" s="264">
        <f t="shared" si="2008"/>
        <v>0</v>
      </c>
      <c r="AP811" s="640">
        <f t="shared" si="2009"/>
        <v>0</v>
      </c>
      <c r="AQ811" s="501"/>
      <c r="AR811" s="264" t="str">
        <f>VLOOKUP($I811,TableInputsData[],ReadMe!$M$3,FALSE)&amp;"  |  "&amp;VLOOKUP($K811,TableInputsData[],ReadMe!$M$3,FALSE)</f>
        <v>PRODUIT 20  |  VOLUME</v>
      </c>
      <c r="AS811" s="264" t="b">
        <f t="shared" si="2010"/>
        <v>1</v>
      </c>
      <c r="AT811" s="294"/>
    </row>
    <row r="812" spans="1:46" ht="13" x14ac:dyDescent="0.2">
      <c r="A812" s="294"/>
      <c r="B812" s="925"/>
      <c r="C812" s="271">
        <v>805</v>
      </c>
      <c r="D812" s="250">
        <f t="shared" si="2016"/>
        <v>0</v>
      </c>
      <c r="E812" s="250">
        <v>1</v>
      </c>
      <c r="F812" s="248" t="s">
        <v>398</v>
      </c>
      <c r="G812" s="250">
        <f>VLOOKUP(F812,TableInputsData[],$G$6,FALSE)</f>
        <v>2028</v>
      </c>
      <c r="H812" s="250" t="str">
        <f t="shared" ref="H812:I812" si="2022">H811</f>
        <v>PRODUCT</v>
      </c>
      <c r="I812" s="248" t="str">
        <f t="shared" si="2022"/>
        <v>PRODUCT 20</v>
      </c>
      <c r="J812" s="248" t="str">
        <f>VLOOKUP(I812,TableInputsData[],$J$6,FALSE)</f>
        <v>-</v>
      </c>
      <c r="K812" s="248" t="str">
        <f t="shared" si="2018"/>
        <v>VOLUME</v>
      </c>
      <c r="L812" s="499">
        <v>1000</v>
      </c>
      <c r="M812" s="499">
        <v>0</v>
      </c>
      <c r="N812" s="499">
        <v>0</v>
      </c>
      <c r="O812" s="264">
        <f t="shared" si="1999"/>
        <v>1000</v>
      </c>
      <c r="P812" s="500">
        <v>1</v>
      </c>
      <c r="Q812" s="500">
        <v>0</v>
      </c>
      <c r="R812" s="259">
        <f t="shared" si="2011"/>
        <v>0</v>
      </c>
      <c r="S812" s="626">
        <v>500</v>
      </c>
      <c r="T812" s="626">
        <v>0</v>
      </c>
      <c r="U812" s="626">
        <v>0</v>
      </c>
      <c r="V812" s="628">
        <f t="shared" si="2012"/>
        <v>500</v>
      </c>
      <c r="W812" s="500">
        <v>1</v>
      </c>
      <c r="X812" s="500">
        <v>1</v>
      </c>
      <c r="Y812" s="500">
        <v>1</v>
      </c>
      <c r="Z812" s="259">
        <f t="shared" si="2000"/>
        <v>0</v>
      </c>
      <c r="AA812" s="259">
        <f t="shared" si="2001"/>
        <v>0</v>
      </c>
      <c r="AB812" s="259">
        <f t="shared" si="2002"/>
        <v>0</v>
      </c>
      <c r="AC812" s="628">
        <f t="shared" si="2013"/>
        <v>0</v>
      </c>
      <c r="AD812" s="628">
        <f t="shared" si="2014"/>
        <v>0</v>
      </c>
      <c r="AE812" s="264">
        <f t="shared" ref="AE812:AE814" si="2023">$AI812/4</f>
        <v>0</v>
      </c>
      <c r="AF812" s="264">
        <f t="shared" si="2021"/>
        <v>0</v>
      </c>
      <c r="AG812" s="264">
        <f t="shared" si="2021"/>
        <v>0</v>
      </c>
      <c r="AH812" s="264">
        <f t="shared" si="2021"/>
        <v>0</v>
      </c>
      <c r="AI812" s="501">
        <v>0</v>
      </c>
      <c r="AJ812" s="264">
        <f t="shared" si="2004"/>
        <v>0</v>
      </c>
      <c r="AK812" s="264">
        <f t="shared" si="2005"/>
        <v>0</v>
      </c>
      <c r="AL812" s="264">
        <f t="shared" si="2006"/>
        <v>0</v>
      </c>
      <c r="AM812" s="264">
        <f t="shared" si="2007"/>
        <v>0</v>
      </c>
      <c r="AN812" s="640">
        <f t="shared" si="2015"/>
        <v>0</v>
      </c>
      <c r="AO812" s="264">
        <f t="shared" si="2008"/>
        <v>0</v>
      </c>
      <c r="AP812" s="640">
        <f t="shared" si="2009"/>
        <v>0</v>
      </c>
      <c r="AQ812" s="501"/>
      <c r="AR812" s="264" t="str">
        <f>VLOOKUP($I812,TableInputsData[],ReadMe!$M$3,FALSE)&amp;"  |  "&amp;VLOOKUP($K812,TableInputsData[],ReadMe!$M$3,FALSE)</f>
        <v>PRODUIT 20  |  VOLUME</v>
      </c>
      <c r="AS812" s="264" t="b">
        <f t="shared" si="2010"/>
        <v>1</v>
      </c>
      <c r="AT812" s="294"/>
    </row>
    <row r="813" spans="1:46" ht="13" x14ac:dyDescent="0.2">
      <c r="A813" s="294"/>
      <c r="B813" s="925"/>
      <c r="C813" s="271">
        <v>806</v>
      </c>
      <c r="D813" s="250">
        <f t="shared" si="2016"/>
        <v>0</v>
      </c>
      <c r="E813" s="250">
        <v>1</v>
      </c>
      <c r="F813" s="248" t="s">
        <v>399</v>
      </c>
      <c r="G813" s="250">
        <f>VLOOKUP(F813,TableInputsData[],$G$6,FALSE)</f>
        <v>2029</v>
      </c>
      <c r="H813" s="250" t="str">
        <f t="shared" ref="H813:I813" si="2024">H812</f>
        <v>PRODUCT</v>
      </c>
      <c r="I813" s="248" t="str">
        <f t="shared" si="2024"/>
        <v>PRODUCT 20</v>
      </c>
      <c r="J813" s="248" t="str">
        <f>VLOOKUP(I813,TableInputsData[],$J$6,FALSE)</f>
        <v>-</v>
      </c>
      <c r="K813" s="248" t="str">
        <f t="shared" si="2018"/>
        <v>VOLUME</v>
      </c>
      <c r="L813" s="499">
        <v>1000</v>
      </c>
      <c r="M813" s="499">
        <v>0</v>
      </c>
      <c r="N813" s="499">
        <v>0</v>
      </c>
      <c r="O813" s="264">
        <f t="shared" si="1999"/>
        <v>1000</v>
      </c>
      <c r="P813" s="500">
        <v>1</v>
      </c>
      <c r="Q813" s="500">
        <v>0</v>
      </c>
      <c r="R813" s="259">
        <f t="shared" si="2011"/>
        <v>0</v>
      </c>
      <c r="S813" s="626">
        <v>500</v>
      </c>
      <c r="T813" s="626">
        <v>0</v>
      </c>
      <c r="U813" s="626">
        <v>0</v>
      </c>
      <c r="V813" s="628">
        <f t="shared" si="2012"/>
        <v>500</v>
      </c>
      <c r="W813" s="500">
        <v>1</v>
      </c>
      <c r="X813" s="500">
        <v>1</v>
      </c>
      <c r="Y813" s="500">
        <v>1</v>
      </c>
      <c r="Z813" s="259">
        <f t="shared" si="2000"/>
        <v>0</v>
      </c>
      <c r="AA813" s="259">
        <f t="shared" si="2001"/>
        <v>0</v>
      </c>
      <c r="AB813" s="259">
        <f t="shared" si="2002"/>
        <v>0</v>
      </c>
      <c r="AC813" s="628">
        <f t="shared" si="2013"/>
        <v>0</v>
      </c>
      <c r="AD813" s="628">
        <f t="shared" si="2014"/>
        <v>0</v>
      </c>
      <c r="AE813" s="264">
        <f t="shared" si="2023"/>
        <v>0</v>
      </c>
      <c r="AF813" s="264">
        <f t="shared" si="2021"/>
        <v>0</v>
      </c>
      <c r="AG813" s="264">
        <f t="shared" si="2021"/>
        <v>0</v>
      </c>
      <c r="AH813" s="264">
        <f t="shared" si="2021"/>
        <v>0</v>
      </c>
      <c r="AI813" s="501">
        <v>0</v>
      </c>
      <c r="AJ813" s="264">
        <f t="shared" si="2004"/>
        <v>0</v>
      </c>
      <c r="AK813" s="264">
        <f t="shared" si="2005"/>
        <v>0</v>
      </c>
      <c r="AL813" s="264">
        <f t="shared" si="2006"/>
        <v>0</v>
      </c>
      <c r="AM813" s="264">
        <f t="shared" si="2007"/>
        <v>0</v>
      </c>
      <c r="AN813" s="640">
        <f t="shared" si="2015"/>
        <v>0</v>
      </c>
      <c r="AO813" s="264">
        <f t="shared" si="2008"/>
        <v>0</v>
      </c>
      <c r="AP813" s="640">
        <f t="shared" si="2009"/>
        <v>0</v>
      </c>
      <c r="AQ813" s="501"/>
      <c r="AR813" s="264" t="str">
        <f>VLOOKUP($I813,TableInputsData[],ReadMe!$M$3,FALSE)&amp;"  |  "&amp;VLOOKUP($K813,TableInputsData[],ReadMe!$M$3,FALSE)</f>
        <v>PRODUIT 20  |  VOLUME</v>
      </c>
      <c r="AS813" s="264" t="b">
        <f t="shared" si="2010"/>
        <v>1</v>
      </c>
      <c r="AT813" s="294"/>
    </row>
    <row r="814" spans="1:46" ht="13" x14ac:dyDescent="0.2">
      <c r="A814" s="294"/>
      <c r="B814" s="925"/>
      <c r="C814" s="271">
        <v>807</v>
      </c>
      <c r="D814" s="250">
        <f t="shared" si="2016"/>
        <v>0</v>
      </c>
      <c r="E814" s="250">
        <v>1</v>
      </c>
      <c r="F814" s="248" t="s">
        <v>400</v>
      </c>
      <c r="G814" s="250">
        <f>VLOOKUP(F814,TableInputsData[],$G$6,FALSE)</f>
        <v>2030</v>
      </c>
      <c r="H814" s="250" t="str">
        <f t="shared" ref="H814:I814" si="2025">H813</f>
        <v>PRODUCT</v>
      </c>
      <c r="I814" s="248" t="str">
        <f t="shared" si="2025"/>
        <v>PRODUCT 20</v>
      </c>
      <c r="J814" s="248" t="str">
        <f>VLOOKUP(I814,TableInputsData[],$J$6,FALSE)</f>
        <v>-</v>
      </c>
      <c r="K814" s="248" t="str">
        <f t="shared" si="2018"/>
        <v>VOLUME</v>
      </c>
      <c r="L814" s="499">
        <v>1000</v>
      </c>
      <c r="M814" s="499">
        <v>0</v>
      </c>
      <c r="N814" s="499">
        <v>0</v>
      </c>
      <c r="O814" s="264">
        <f t="shared" si="1999"/>
        <v>1000</v>
      </c>
      <c r="P814" s="500">
        <v>1</v>
      </c>
      <c r="Q814" s="500">
        <v>0</v>
      </c>
      <c r="R814" s="259">
        <f t="shared" si="2011"/>
        <v>0</v>
      </c>
      <c r="S814" s="626">
        <v>500</v>
      </c>
      <c r="T814" s="626">
        <v>0</v>
      </c>
      <c r="U814" s="626">
        <v>0</v>
      </c>
      <c r="V814" s="628">
        <f t="shared" si="2012"/>
        <v>500</v>
      </c>
      <c r="W814" s="500">
        <v>1</v>
      </c>
      <c r="X814" s="500">
        <v>1</v>
      </c>
      <c r="Y814" s="500">
        <v>1</v>
      </c>
      <c r="Z814" s="259">
        <f t="shared" si="2000"/>
        <v>0</v>
      </c>
      <c r="AA814" s="259">
        <f t="shared" si="2001"/>
        <v>0</v>
      </c>
      <c r="AB814" s="259">
        <f t="shared" si="2002"/>
        <v>0</v>
      </c>
      <c r="AC814" s="628">
        <f t="shared" si="2013"/>
        <v>0</v>
      </c>
      <c r="AD814" s="628">
        <f t="shared" si="2014"/>
        <v>0</v>
      </c>
      <c r="AE814" s="264">
        <f t="shared" si="2023"/>
        <v>0</v>
      </c>
      <c r="AF814" s="264">
        <f t="shared" si="2021"/>
        <v>0</v>
      </c>
      <c r="AG814" s="264">
        <f t="shared" si="2021"/>
        <v>0</v>
      </c>
      <c r="AH814" s="264">
        <f t="shared" si="2021"/>
        <v>0</v>
      </c>
      <c r="AI814" s="501">
        <v>0</v>
      </c>
      <c r="AJ814" s="264">
        <f t="shared" si="2004"/>
        <v>0</v>
      </c>
      <c r="AK814" s="264">
        <f t="shared" si="2005"/>
        <v>0</v>
      </c>
      <c r="AL814" s="264">
        <f t="shared" si="2006"/>
        <v>0</v>
      </c>
      <c r="AM814" s="264">
        <f t="shared" si="2007"/>
        <v>0</v>
      </c>
      <c r="AN814" s="640">
        <f t="shared" si="2015"/>
        <v>0</v>
      </c>
      <c r="AO814" s="264">
        <f t="shared" si="2008"/>
        <v>0</v>
      </c>
      <c r="AP814" s="640">
        <f t="shared" si="2009"/>
        <v>0</v>
      </c>
      <c r="AQ814" s="501"/>
      <c r="AR814" s="264" t="str">
        <f>VLOOKUP($I814,TableInputsData[],ReadMe!$M$3,FALSE)&amp;"  |  "&amp;VLOOKUP($K814,TableInputsData[],ReadMe!$M$3,FALSE)</f>
        <v>PRODUIT 20  |  VOLUME</v>
      </c>
      <c r="AS814" s="264" t="b">
        <f t="shared" si="2010"/>
        <v>1</v>
      </c>
      <c r="AT814" s="294"/>
    </row>
    <row r="815" spans="1:46" ht="13" hidden="1" x14ac:dyDescent="0.2">
      <c r="A815" s="294"/>
      <c r="B815" s="925"/>
      <c r="C815" s="272">
        <v>808</v>
      </c>
      <c r="D815" s="250">
        <f t="shared" si="2016"/>
        <v>0</v>
      </c>
      <c r="E815" s="251"/>
      <c r="F815" s="248" t="str">
        <f t="shared" ref="F815:F822" si="2026">F823</f>
        <v>YEAR-2</v>
      </c>
      <c r="G815" s="250">
        <f>VLOOKUP(F815,TableInputsData[],$G$6,FALSE)</f>
        <v>2023</v>
      </c>
      <c r="H815" s="250" t="str">
        <f t="shared" ref="H815:I815" si="2027">H814</f>
        <v>PRODUCT</v>
      </c>
      <c r="I815" s="248" t="str">
        <f t="shared" si="2027"/>
        <v>PRODUCT 20</v>
      </c>
      <c r="J815" s="248" t="str">
        <f>VLOOKUP(I815,TableInputsData[],$J$6,FALSE)</f>
        <v>-</v>
      </c>
      <c r="K815" s="248" t="s">
        <v>457</v>
      </c>
      <c r="L815" s="256"/>
      <c r="M815" s="256"/>
      <c r="N815" s="256"/>
      <c r="O815" s="266"/>
      <c r="P815" s="261"/>
      <c r="Q815" s="261"/>
      <c r="R815" s="261"/>
      <c r="S815" s="629"/>
      <c r="T815" s="629"/>
      <c r="U815" s="629"/>
      <c r="V815" s="629"/>
      <c r="W815" s="261"/>
      <c r="X815" s="261"/>
      <c r="Y815" s="261"/>
      <c r="Z815" s="261"/>
      <c r="AA815" s="261"/>
      <c r="AB815" s="261"/>
      <c r="AC815" s="266"/>
      <c r="AD815" s="633"/>
      <c r="AE815" s="264">
        <f>AE807*($L807*$P807+$M807*$Q807+$N807*$R807)</f>
        <v>0</v>
      </c>
      <c r="AF815" s="264">
        <f t="shared" ref="AF815:AH815" si="2028">AF807*($L807*$P807+$M807*$Q807+$N807*$R807)</f>
        <v>0</v>
      </c>
      <c r="AG815" s="264">
        <f t="shared" si="2028"/>
        <v>0</v>
      </c>
      <c r="AH815" s="264">
        <f t="shared" si="2028"/>
        <v>0</v>
      </c>
      <c r="AI815" s="264">
        <f>$AE815+$AF815+$AG815+$AH815</f>
        <v>0</v>
      </c>
      <c r="AJ815" s="264">
        <f t="shared" ref="AJ815:AJ822" si="2029">$AJ807*$L807</f>
        <v>0</v>
      </c>
      <c r="AK815" s="264">
        <f t="shared" ref="AK815:AK822" si="2030">$AK807*$M807</f>
        <v>0</v>
      </c>
      <c r="AL815" s="264">
        <f t="shared" ref="AL815:AL822" si="2031">$AL807*$N807</f>
        <v>0</v>
      </c>
      <c r="AM815" s="264">
        <f t="shared" ref="AM815:AM822" si="2032">$AJ815*$W807+$AK815*$X807+$AL815*$Y807</f>
        <v>0</v>
      </c>
      <c r="AN815" s="640">
        <f t="shared" si="2015"/>
        <v>0</v>
      </c>
      <c r="AO815" s="264">
        <f t="shared" ref="AO815:AO822" si="2033">$AJ815*$Z807+$AK815*$AA807+$AL815*$AB807</f>
        <v>0</v>
      </c>
      <c r="AP815" s="640">
        <f t="shared" si="2009"/>
        <v>0</v>
      </c>
      <c r="AQ815" s="264"/>
      <c r="AR815" s="264" t="str">
        <f>VLOOKUP($I815,TableInputsData[],ReadMe!$M$3,FALSE)&amp;"  |  "&amp;VLOOKUP($K815,TableInputsData[],ReadMe!$M$3,FALSE)</f>
        <v>PRODUIT 20  |  CHIFFRE D'AFFAIRES</v>
      </c>
      <c r="AS815" s="264" t="b">
        <f t="shared" ref="AS815:AS822" si="2034">AND(EXACT(ROUND(AI815,2),ROUND(AJ815+AK815+AL815,2)),EXACT(ROUND(AI815,2),ROUND(AM815+AO815,2)))</f>
        <v>1</v>
      </c>
      <c r="AT815" s="294"/>
    </row>
    <row r="816" spans="1:46" ht="13" hidden="1" x14ac:dyDescent="0.2">
      <c r="A816" s="294"/>
      <c r="B816" s="925"/>
      <c r="C816" s="271">
        <v>809</v>
      </c>
      <c r="D816" s="250">
        <f t="shared" si="2016"/>
        <v>0</v>
      </c>
      <c r="E816" s="250"/>
      <c r="F816" s="248" t="str">
        <f t="shared" si="2026"/>
        <v>YEAR-1</v>
      </c>
      <c r="G816" s="250">
        <f>VLOOKUP(F816,TableInputsData[],$G$6,FALSE)</f>
        <v>2024</v>
      </c>
      <c r="H816" s="250" t="str">
        <f t="shared" ref="H816:I816" si="2035">H815</f>
        <v>PRODUCT</v>
      </c>
      <c r="I816" s="248" t="str">
        <f t="shared" si="2035"/>
        <v>PRODUCT 20</v>
      </c>
      <c r="J816" s="248" t="str">
        <f>VLOOKUP(I816,TableInputsData[],$J$6,FALSE)</f>
        <v>-</v>
      </c>
      <c r="K816" s="248" t="str">
        <f>K815</f>
        <v>REVENUE</v>
      </c>
      <c r="L816" s="255"/>
      <c r="M816" s="255"/>
      <c r="N816" s="255"/>
      <c r="O816" s="265"/>
      <c r="P816" s="260"/>
      <c r="Q816" s="260"/>
      <c r="R816" s="260"/>
      <c r="S816" s="630"/>
      <c r="T816" s="630"/>
      <c r="U816" s="630"/>
      <c r="V816" s="630"/>
      <c r="W816" s="260"/>
      <c r="X816" s="260"/>
      <c r="Y816" s="260"/>
      <c r="Z816" s="260"/>
      <c r="AA816" s="260"/>
      <c r="AB816" s="260"/>
      <c r="AC816" s="265"/>
      <c r="AD816" s="634"/>
      <c r="AE816" s="264">
        <f t="shared" ref="AE816:AH816" si="2036">AE808*($L808*$P808+$M808*$Q808+$N808*$R808)</f>
        <v>0</v>
      </c>
      <c r="AF816" s="264">
        <f t="shared" si="2036"/>
        <v>0</v>
      </c>
      <c r="AG816" s="264">
        <f t="shared" si="2036"/>
        <v>0</v>
      </c>
      <c r="AH816" s="264">
        <f t="shared" si="2036"/>
        <v>0</v>
      </c>
      <c r="AI816" s="264">
        <f t="shared" ref="AI816:AI821" si="2037">$AE816+$AF816+$AG816+$AH816</f>
        <v>0</v>
      </c>
      <c r="AJ816" s="264">
        <f t="shared" si="2029"/>
        <v>0</v>
      </c>
      <c r="AK816" s="264">
        <f t="shared" si="2030"/>
        <v>0</v>
      </c>
      <c r="AL816" s="264">
        <f t="shared" si="2031"/>
        <v>0</v>
      </c>
      <c r="AM816" s="264">
        <f t="shared" si="2032"/>
        <v>0</v>
      </c>
      <c r="AN816" s="640">
        <f t="shared" si="2015"/>
        <v>0</v>
      </c>
      <c r="AO816" s="264">
        <f t="shared" si="2033"/>
        <v>0</v>
      </c>
      <c r="AP816" s="640">
        <f t="shared" si="2009"/>
        <v>0</v>
      </c>
      <c r="AQ816" s="264"/>
      <c r="AR816" s="264" t="str">
        <f>VLOOKUP($I816,TableInputsData[],ReadMe!$M$3,FALSE)&amp;"  |  "&amp;VLOOKUP($K816,TableInputsData[],ReadMe!$M$3,FALSE)</f>
        <v>PRODUIT 20  |  CHIFFRE D'AFFAIRES</v>
      </c>
      <c r="AS816" s="264" t="b">
        <f t="shared" si="2034"/>
        <v>1</v>
      </c>
      <c r="AT816" s="294"/>
    </row>
    <row r="817" spans="1:46" ht="13" hidden="1" x14ac:dyDescent="0.2">
      <c r="A817" s="294"/>
      <c r="B817" s="925"/>
      <c r="C817" s="271">
        <v>810</v>
      </c>
      <c r="D817" s="250">
        <f t="shared" si="2016"/>
        <v>0</v>
      </c>
      <c r="E817" s="250"/>
      <c r="F817" s="248" t="str">
        <f t="shared" si="2026"/>
        <v>CURRENT YEAR</v>
      </c>
      <c r="G817" s="250">
        <f>VLOOKUP(F817,TableInputsData[],$G$6,FALSE)</f>
        <v>2025</v>
      </c>
      <c r="H817" s="250" t="str">
        <f t="shared" ref="H817:I817" si="2038">H816</f>
        <v>PRODUCT</v>
      </c>
      <c r="I817" s="248" t="str">
        <f t="shared" si="2038"/>
        <v>PRODUCT 20</v>
      </c>
      <c r="J817" s="248" t="str">
        <f>VLOOKUP(I817,TableInputsData[],$J$6,FALSE)</f>
        <v>-</v>
      </c>
      <c r="K817" s="248" t="str">
        <f t="shared" ref="K817:K822" si="2039">K816</f>
        <v>REVENUE</v>
      </c>
      <c r="L817" s="255"/>
      <c r="M817" s="255"/>
      <c r="N817" s="255"/>
      <c r="O817" s="265"/>
      <c r="P817" s="260"/>
      <c r="Q817" s="260"/>
      <c r="R817" s="260"/>
      <c r="S817" s="630"/>
      <c r="T817" s="630"/>
      <c r="U817" s="630"/>
      <c r="V817" s="630"/>
      <c r="W817" s="260"/>
      <c r="X817" s="260"/>
      <c r="Y817" s="260"/>
      <c r="Z817" s="260"/>
      <c r="AA817" s="260"/>
      <c r="AB817" s="260"/>
      <c r="AC817" s="265"/>
      <c r="AD817" s="634"/>
      <c r="AE817" s="264">
        <f t="shared" ref="AE817:AH817" si="2040">AE809*($L809*$P809+$M809*$Q809+$N809*$R809)</f>
        <v>0</v>
      </c>
      <c r="AF817" s="264">
        <f t="shared" si="2040"/>
        <v>0</v>
      </c>
      <c r="AG817" s="264">
        <f t="shared" si="2040"/>
        <v>0</v>
      </c>
      <c r="AH817" s="264">
        <f t="shared" si="2040"/>
        <v>0</v>
      </c>
      <c r="AI817" s="264">
        <f t="shared" si="2037"/>
        <v>0</v>
      </c>
      <c r="AJ817" s="264">
        <f t="shared" si="2029"/>
        <v>0</v>
      </c>
      <c r="AK817" s="264">
        <f t="shared" si="2030"/>
        <v>0</v>
      </c>
      <c r="AL817" s="264">
        <f t="shared" si="2031"/>
        <v>0</v>
      </c>
      <c r="AM817" s="264">
        <f t="shared" si="2032"/>
        <v>0</v>
      </c>
      <c r="AN817" s="640">
        <f t="shared" si="2015"/>
        <v>0</v>
      </c>
      <c r="AO817" s="264">
        <f t="shared" si="2033"/>
        <v>0</v>
      </c>
      <c r="AP817" s="640">
        <f t="shared" si="2009"/>
        <v>0</v>
      </c>
      <c r="AQ817" s="264"/>
      <c r="AR817" s="264" t="str">
        <f>VLOOKUP($I817,TableInputsData[],ReadMe!$M$3,FALSE)&amp;"  |  "&amp;VLOOKUP($K817,TableInputsData[],ReadMe!$M$3,FALSE)</f>
        <v>PRODUIT 20  |  CHIFFRE D'AFFAIRES</v>
      </c>
      <c r="AS817" s="264" t="b">
        <f t="shared" si="2034"/>
        <v>1</v>
      </c>
      <c r="AT817" s="294"/>
    </row>
    <row r="818" spans="1:46" ht="13" hidden="1" x14ac:dyDescent="0.2">
      <c r="A818" s="294"/>
      <c r="B818" s="925"/>
      <c r="C818" s="271">
        <v>811</v>
      </c>
      <c r="D818" s="250">
        <f t="shared" si="2016"/>
        <v>0</v>
      </c>
      <c r="E818" s="250"/>
      <c r="F818" s="248" t="str">
        <f t="shared" si="2026"/>
        <v>YEAR2</v>
      </c>
      <c r="G818" s="250">
        <f>VLOOKUP(F818,TableInputsData[],$G$6,FALSE)</f>
        <v>2026</v>
      </c>
      <c r="H818" s="250" t="str">
        <f t="shared" ref="H818:I818" si="2041">H817</f>
        <v>PRODUCT</v>
      </c>
      <c r="I818" s="248" t="str">
        <f t="shared" si="2041"/>
        <v>PRODUCT 20</v>
      </c>
      <c r="J818" s="248" t="str">
        <f>VLOOKUP(I818,TableInputsData[],$J$6,FALSE)</f>
        <v>-</v>
      </c>
      <c r="K818" s="248" t="str">
        <f t="shared" si="2039"/>
        <v>REVENUE</v>
      </c>
      <c r="L818" s="255"/>
      <c r="M818" s="255"/>
      <c r="N818" s="255"/>
      <c r="O818" s="265"/>
      <c r="P818" s="260"/>
      <c r="Q818" s="260"/>
      <c r="R818" s="260"/>
      <c r="S818" s="630"/>
      <c r="T818" s="630"/>
      <c r="U818" s="630"/>
      <c r="V818" s="630"/>
      <c r="W818" s="260"/>
      <c r="X818" s="260"/>
      <c r="Y818" s="260"/>
      <c r="Z818" s="260"/>
      <c r="AA818" s="260"/>
      <c r="AB818" s="260"/>
      <c r="AC818" s="265"/>
      <c r="AD818" s="634"/>
      <c r="AE818" s="264">
        <f t="shared" ref="AE818:AH818" si="2042">AE810*($L810*$P810+$M810*$Q810+$N810*$R810)</f>
        <v>0</v>
      </c>
      <c r="AF818" s="264">
        <f t="shared" si="2042"/>
        <v>0</v>
      </c>
      <c r="AG818" s="264">
        <f t="shared" si="2042"/>
        <v>0</v>
      </c>
      <c r="AH818" s="264">
        <f t="shared" si="2042"/>
        <v>0</v>
      </c>
      <c r="AI818" s="264">
        <f t="shared" si="2037"/>
        <v>0</v>
      </c>
      <c r="AJ818" s="264">
        <f t="shared" si="2029"/>
        <v>0</v>
      </c>
      <c r="AK818" s="264">
        <f t="shared" si="2030"/>
        <v>0</v>
      </c>
      <c r="AL818" s="264">
        <f t="shared" si="2031"/>
        <v>0</v>
      </c>
      <c r="AM818" s="264">
        <f t="shared" si="2032"/>
        <v>0</v>
      </c>
      <c r="AN818" s="640">
        <f t="shared" si="2015"/>
        <v>0</v>
      </c>
      <c r="AO818" s="264">
        <f t="shared" si="2033"/>
        <v>0</v>
      </c>
      <c r="AP818" s="640">
        <f t="shared" si="2009"/>
        <v>0</v>
      </c>
      <c r="AQ818" s="264"/>
      <c r="AR818" s="264" t="str">
        <f>VLOOKUP($I818,TableInputsData[],ReadMe!$M$3,FALSE)&amp;"  |  "&amp;VLOOKUP($K818,TableInputsData[],ReadMe!$M$3,FALSE)</f>
        <v>PRODUIT 20  |  CHIFFRE D'AFFAIRES</v>
      </c>
      <c r="AS818" s="264" t="b">
        <f t="shared" si="2034"/>
        <v>1</v>
      </c>
      <c r="AT818" s="294"/>
    </row>
    <row r="819" spans="1:46" ht="13" hidden="1" x14ac:dyDescent="0.2">
      <c r="A819" s="294"/>
      <c r="B819" s="925"/>
      <c r="C819" s="271">
        <v>812</v>
      </c>
      <c r="D819" s="250">
        <f t="shared" si="2016"/>
        <v>0</v>
      </c>
      <c r="E819" s="250"/>
      <c r="F819" s="248" t="str">
        <f t="shared" si="2026"/>
        <v>YEAR3</v>
      </c>
      <c r="G819" s="250">
        <f>VLOOKUP(F819,TableInputsData[],$G$6,FALSE)</f>
        <v>2027</v>
      </c>
      <c r="H819" s="250" t="str">
        <f t="shared" ref="H819:I819" si="2043">H818</f>
        <v>PRODUCT</v>
      </c>
      <c r="I819" s="248" t="str">
        <f t="shared" si="2043"/>
        <v>PRODUCT 20</v>
      </c>
      <c r="J819" s="248" t="str">
        <f>VLOOKUP(I819,TableInputsData[],$J$6,FALSE)</f>
        <v>-</v>
      </c>
      <c r="K819" s="248" t="str">
        <f t="shared" si="2039"/>
        <v>REVENUE</v>
      </c>
      <c r="L819" s="255"/>
      <c r="M819" s="255"/>
      <c r="N819" s="255"/>
      <c r="O819" s="265"/>
      <c r="P819" s="260"/>
      <c r="Q819" s="260"/>
      <c r="R819" s="260"/>
      <c r="S819" s="630"/>
      <c r="T819" s="630"/>
      <c r="U819" s="630"/>
      <c r="V819" s="630"/>
      <c r="W819" s="260"/>
      <c r="X819" s="260"/>
      <c r="Y819" s="260"/>
      <c r="Z819" s="260"/>
      <c r="AA819" s="260"/>
      <c r="AB819" s="260"/>
      <c r="AC819" s="265"/>
      <c r="AD819" s="634"/>
      <c r="AE819" s="264">
        <f t="shared" ref="AE819:AH819" si="2044">AE811*($L811*$P811+$M811*$Q811+$N811*$R811)</f>
        <v>0</v>
      </c>
      <c r="AF819" s="264">
        <f t="shared" si="2044"/>
        <v>0</v>
      </c>
      <c r="AG819" s="264">
        <f t="shared" si="2044"/>
        <v>0</v>
      </c>
      <c r="AH819" s="264">
        <f t="shared" si="2044"/>
        <v>0</v>
      </c>
      <c r="AI819" s="264">
        <f t="shared" si="2037"/>
        <v>0</v>
      </c>
      <c r="AJ819" s="264">
        <f t="shared" si="2029"/>
        <v>0</v>
      </c>
      <c r="AK819" s="264">
        <f t="shared" si="2030"/>
        <v>0</v>
      </c>
      <c r="AL819" s="264">
        <f t="shared" si="2031"/>
        <v>0</v>
      </c>
      <c r="AM819" s="264">
        <f t="shared" si="2032"/>
        <v>0</v>
      </c>
      <c r="AN819" s="640">
        <f t="shared" si="2015"/>
        <v>0</v>
      </c>
      <c r="AO819" s="264">
        <f t="shared" si="2033"/>
        <v>0</v>
      </c>
      <c r="AP819" s="640">
        <f t="shared" si="2009"/>
        <v>0</v>
      </c>
      <c r="AQ819" s="264"/>
      <c r="AR819" s="264" t="str">
        <f>VLOOKUP($I819,TableInputsData[],ReadMe!$M$3,FALSE)&amp;"  |  "&amp;VLOOKUP($K819,TableInputsData[],ReadMe!$M$3,FALSE)</f>
        <v>PRODUIT 20  |  CHIFFRE D'AFFAIRES</v>
      </c>
      <c r="AS819" s="264" t="b">
        <f t="shared" si="2034"/>
        <v>1</v>
      </c>
      <c r="AT819" s="294"/>
    </row>
    <row r="820" spans="1:46" ht="13" hidden="1" x14ac:dyDescent="0.2">
      <c r="A820" s="294"/>
      <c r="B820" s="925"/>
      <c r="C820" s="271">
        <v>813</v>
      </c>
      <c r="D820" s="250">
        <f t="shared" si="2016"/>
        <v>0</v>
      </c>
      <c r="E820" s="250"/>
      <c r="F820" s="248" t="str">
        <f t="shared" si="2026"/>
        <v>YEAR4</v>
      </c>
      <c r="G820" s="250">
        <f>VLOOKUP(F820,TableInputsData[],$G$6,FALSE)</f>
        <v>2028</v>
      </c>
      <c r="H820" s="250" t="str">
        <f t="shared" ref="H820:I820" si="2045">H819</f>
        <v>PRODUCT</v>
      </c>
      <c r="I820" s="248" t="str">
        <f t="shared" si="2045"/>
        <v>PRODUCT 20</v>
      </c>
      <c r="J820" s="248" t="str">
        <f>VLOOKUP(I820,TableInputsData[],$J$6,FALSE)</f>
        <v>-</v>
      </c>
      <c r="K820" s="248" t="str">
        <f t="shared" si="2039"/>
        <v>REVENUE</v>
      </c>
      <c r="L820" s="255"/>
      <c r="M820" s="255"/>
      <c r="N820" s="255"/>
      <c r="O820" s="265"/>
      <c r="P820" s="260"/>
      <c r="Q820" s="260"/>
      <c r="R820" s="260"/>
      <c r="S820" s="630"/>
      <c r="T820" s="630"/>
      <c r="U820" s="630"/>
      <c r="V820" s="630"/>
      <c r="W820" s="260"/>
      <c r="X820" s="260"/>
      <c r="Y820" s="260"/>
      <c r="Z820" s="260"/>
      <c r="AA820" s="260"/>
      <c r="AB820" s="260"/>
      <c r="AC820" s="265"/>
      <c r="AD820" s="634"/>
      <c r="AE820" s="264">
        <f t="shared" ref="AE820:AH820" si="2046">AE812*($L812*$P812+$M812*$Q812+$N812*$R812)</f>
        <v>0</v>
      </c>
      <c r="AF820" s="264">
        <f t="shared" si="2046"/>
        <v>0</v>
      </c>
      <c r="AG820" s="264">
        <f t="shared" si="2046"/>
        <v>0</v>
      </c>
      <c r="AH820" s="264">
        <f t="shared" si="2046"/>
        <v>0</v>
      </c>
      <c r="AI820" s="264">
        <f t="shared" si="2037"/>
        <v>0</v>
      </c>
      <c r="AJ820" s="264">
        <f t="shared" si="2029"/>
        <v>0</v>
      </c>
      <c r="AK820" s="264">
        <f t="shared" si="2030"/>
        <v>0</v>
      </c>
      <c r="AL820" s="264">
        <f t="shared" si="2031"/>
        <v>0</v>
      </c>
      <c r="AM820" s="264">
        <f t="shared" si="2032"/>
        <v>0</v>
      </c>
      <c r="AN820" s="640">
        <f t="shared" si="2015"/>
        <v>0</v>
      </c>
      <c r="AO820" s="264">
        <f t="shared" si="2033"/>
        <v>0</v>
      </c>
      <c r="AP820" s="640">
        <f t="shared" si="2009"/>
        <v>0</v>
      </c>
      <c r="AQ820" s="264"/>
      <c r="AR820" s="264" t="str">
        <f>VLOOKUP($I820,TableInputsData[],ReadMe!$M$3,FALSE)&amp;"  |  "&amp;VLOOKUP($K820,TableInputsData[],ReadMe!$M$3,FALSE)</f>
        <v>PRODUIT 20  |  CHIFFRE D'AFFAIRES</v>
      </c>
      <c r="AS820" s="264" t="b">
        <f t="shared" si="2034"/>
        <v>1</v>
      </c>
      <c r="AT820" s="294"/>
    </row>
    <row r="821" spans="1:46" ht="13" hidden="1" x14ac:dyDescent="0.2">
      <c r="A821" s="294"/>
      <c r="B821" s="925"/>
      <c r="C821" s="271">
        <v>814</v>
      </c>
      <c r="D821" s="250">
        <f t="shared" si="2016"/>
        <v>0</v>
      </c>
      <c r="E821" s="250"/>
      <c r="F821" s="248" t="str">
        <f t="shared" si="2026"/>
        <v>YEAR5</v>
      </c>
      <c r="G821" s="250">
        <f>VLOOKUP(F821,TableInputsData[],$G$6,FALSE)</f>
        <v>2029</v>
      </c>
      <c r="H821" s="250" t="str">
        <f t="shared" ref="H821:I821" si="2047">H820</f>
        <v>PRODUCT</v>
      </c>
      <c r="I821" s="248" t="str">
        <f t="shared" si="2047"/>
        <v>PRODUCT 20</v>
      </c>
      <c r="J821" s="248" t="str">
        <f>VLOOKUP(I821,TableInputsData[],$J$6,FALSE)</f>
        <v>-</v>
      </c>
      <c r="K821" s="248" t="str">
        <f t="shared" si="2039"/>
        <v>REVENUE</v>
      </c>
      <c r="L821" s="255"/>
      <c r="M821" s="255"/>
      <c r="N821" s="255"/>
      <c r="O821" s="265"/>
      <c r="P821" s="260"/>
      <c r="Q821" s="260"/>
      <c r="R821" s="260"/>
      <c r="S821" s="630"/>
      <c r="T821" s="630"/>
      <c r="U821" s="630"/>
      <c r="V821" s="630"/>
      <c r="W821" s="260"/>
      <c r="X821" s="260"/>
      <c r="Y821" s="260"/>
      <c r="Z821" s="260"/>
      <c r="AA821" s="260"/>
      <c r="AB821" s="260"/>
      <c r="AC821" s="265"/>
      <c r="AD821" s="634"/>
      <c r="AE821" s="264">
        <f t="shared" ref="AE821:AH821" si="2048">AE813*($L813*$P813+$M813*$Q813+$N813*$R813)</f>
        <v>0</v>
      </c>
      <c r="AF821" s="264">
        <f t="shared" si="2048"/>
        <v>0</v>
      </c>
      <c r="AG821" s="264">
        <f t="shared" si="2048"/>
        <v>0</v>
      </c>
      <c r="AH821" s="264">
        <f t="shared" si="2048"/>
        <v>0</v>
      </c>
      <c r="AI821" s="264">
        <f t="shared" si="2037"/>
        <v>0</v>
      </c>
      <c r="AJ821" s="264">
        <f t="shared" si="2029"/>
        <v>0</v>
      </c>
      <c r="AK821" s="264">
        <f t="shared" si="2030"/>
        <v>0</v>
      </c>
      <c r="AL821" s="264">
        <f t="shared" si="2031"/>
        <v>0</v>
      </c>
      <c r="AM821" s="264">
        <f t="shared" si="2032"/>
        <v>0</v>
      </c>
      <c r="AN821" s="640">
        <f t="shared" si="2015"/>
        <v>0</v>
      </c>
      <c r="AO821" s="264">
        <f t="shared" si="2033"/>
        <v>0</v>
      </c>
      <c r="AP821" s="640">
        <f t="shared" si="2009"/>
        <v>0</v>
      </c>
      <c r="AQ821" s="264"/>
      <c r="AR821" s="264" t="str">
        <f>VLOOKUP($I821,TableInputsData[],ReadMe!$M$3,FALSE)&amp;"  |  "&amp;VLOOKUP($K821,TableInputsData[],ReadMe!$M$3,FALSE)</f>
        <v>PRODUIT 20  |  CHIFFRE D'AFFAIRES</v>
      </c>
      <c r="AS821" s="264" t="b">
        <f t="shared" si="2034"/>
        <v>1</v>
      </c>
      <c r="AT821" s="294"/>
    </row>
    <row r="822" spans="1:46" ht="13" hidden="1" x14ac:dyDescent="0.2">
      <c r="A822" s="294"/>
      <c r="B822" s="925"/>
      <c r="C822" s="271">
        <v>815</v>
      </c>
      <c r="D822" s="250">
        <f t="shared" si="2016"/>
        <v>0</v>
      </c>
      <c r="E822" s="250"/>
      <c r="F822" s="248" t="str">
        <f t="shared" si="2026"/>
        <v>YEAR6</v>
      </c>
      <c r="G822" s="250">
        <f>VLOOKUP(F822,TableInputsData[],$G$6,FALSE)</f>
        <v>2030</v>
      </c>
      <c r="H822" s="250" t="str">
        <f t="shared" ref="H822:I822" si="2049">H821</f>
        <v>PRODUCT</v>
      </c>
      <c r="I822" s="248" t="str">
        <f t="shared" si="2049"/>
        <v>PRODUCT 20</v>
      </c>
      <c r="J822" s="248" t="str">
        <f>VLOOKUP(I822,TableInputsData[],$J$6,FALSE)</f>
        <v>-</v>
      </c>
      <c r="K822" s="248" t="str">
        <f t="shared" si="2039"/>
        <v>REVENUE</v>
      </c>
      <c r="L822" s="255"/>
      <c r="M822" s="255"/>
      <c r="N822" s="255"/>
      <c r="O822" s="265"/>
      <c r="P822" s="260"/>
      <c r="Q822" s="260"/>
      <c r="R822" s="260"/>
      <c r="S822" s="630"/>
      <c r="T822" s="630"/>
      <c r="U822" s="630"/>
      <c r="V822" s="630"/>
      <c r="W822" s="260"/>
      <c r="X822" s="260"/>
      <c r="Y822" s="260"/>
      <c r="Z822" s="260"/>
      <c r="AA822" s="260"/>
      <c r="AB822" s="260"/>
      <c r="AC822" s="265"/>
      <c r="AD822" s="634"/>
      <c r="AE822" s="264">
        <f t="shared" ref="AE822:AH822" si="2050">AE814*($L814*$P814+$M814*$Q814+$N814*$R814)</f>
        <v>0</v>
      </c>
      <c r="AF822" s="264">
        <f t="shared" si="2050"/>
        <v>0</v>
      </c>
      <c r="AG822" s="264">
        <f t="shared" si="2050"/>
        <v>0</v>
      </c>
      <c r="AH822" s="264">
        <f t="shared" si="2050"/>
        <v>0</v>
      </c>
      <c r="AI822" s="264">
        <f>$AE822+$AF822+$AG822+$AH822</f>
        <v>0</v>
      </c>
      <c r="AJ822" s="264">
        <f t="shared" si="2029"/>
        <v>0</v>
      </c>
      <c r="AK822" s="264">
        <f t="shared" si="2030"/>
        <v>0</v>
      </c>
      <c r="AL822" s="264">
        <f t="shared" si="2031"/>
        <v>0</v>
      </c>
      <c r="AM822" s="264">
        <f t="shared" si="2032"/>
        <v>0</v>
      </c>
      <c r="AN822" s="640">
        <f t="shared" si="2015"/>
        <v>0</v>
      </c>
      <c r="AO822" s="264">
        <f t="shared" si="2033"/>
        <v>0</v>
      </c>
      <c r="AP822" s="640">
        <f t="shared" si="2009"/>
        <v>0</v>
      </c>
      <c r="AQ822" s="264"/>
      <c r="AR822" s="264" t="str">
        <f>VLOOKUP($I822,TableInputsData[],ReadMe!$M$3,FALSE)&amp;"  |  "&amp;VLOOKUP($K822,TableInputsData[],ReadMe!$M$3,FALSE)</f>
        <v>PRODUIT 20  |  CHIFFRE D'AFFAIRES</v>
      </c>
      <c r="AS822" s="264" t="b">
        <f t="shared" si="2034"/>
        <v>1</v>
      </c>
      <c r="AT822" s="294"/>
    </row>
    <row r="823" spans="1:46" ht="13" hidden="1" x14ac:dyDescent="0.2">
      <c r="A823" s="294"/>
      <c r="B823" s="925"/>
      <c r="C823" s="271">
        <v>816</v>
      </c>
      <c r="D823" s="250">
        <f t="shared" si="2016"/>
        <v>0</v>
      </c>
      <c r="E823" s="250"/>
      <c r="F823" s="248" t="str">
        <f t="shared" ref="F823:F830" si="2051">F807</f>
        <v>YEAR-2</v>
      </c>
      <c r="G823" s="250">
        <f>VLOOKUP(F823,TableInputsData[],$G$6,FALSE)</f>
        <v>2023</v>
      </c>
      <c r="H823" s="250" t="str">
        <f t="shared" ref="H823:I823" si="2052">H822</f>
        <v>PRODUCT</v>
      </c>
      <c r="I823" s="248" t="str">
        <f t="shared" si="2052"/>
        <v>PRODUCT 20</v>
      </c>
      <c r="J823" s="248" t="str">
        <f>VLOOKUP(I823,TableInputsData[],$J$6,FALSE)</f>
        <v>-</v>
      </c>
      <c r="K823" s="248" t="s">
        <v>456</v>
      </c>
      <c r="L823" s="255"/>
      <c r="M823" s="255"/>
      <c r="N823" s="255"/>
      <c r="O823" s="265"/>
      <c r="P823" s="260"/>
      <c r="Q823" s="260"/>
      <c r="R823" s="260"/>
      <c r="S823" s="630"/>
      <c r="T823" s="630"/>
      <c r="U823" s="630"/>
      <c r="V823" s="630"/>
      <c r="W823" s="260"/>
      <c r="X823" s="260"/>
      <c r="Y823" s="260"/>
      <c r="Z823" s="260"/>
      <c r="AA823" s="260"/>
      <c r="AB823" s="260"/>
      <c r="AC823" s="265"/>
      <c r="AD823" s="634"/>
      <c r="AE823" s="264">
        <f>IF(AE807=0,0,AE815/AE807)</f>
        <v>0</v>
      </c>
      <c r="AF823" s="264">
        <f t="shared" ref="AF823:AI823" si="2053">IF(AF807=0,0,AF815/AF807)</f>
        <v>0</v>
      </c>
      <c r="AG823" s="264">
        <f t="shared" si="2053"/>
        <v>0</v>
      </c>
      <c r="AH823" s="264">
        <f t="shared" si="2053"/>
        <v>0</v>
      </c>
      <c r="AI823" s="264">
        <f t="shared" si="2053"/>
        <v>0</v>
      </c>
      <c r="AJ823" s="264">
        <f>IF(AJ807=0,0,AJ815/AJ807)</f>
        <v>0</v>
      </c>
      <c r="AK823" s="264">
        <f t="shared" ref="AK823:AL823" si="2054">IF(AK807=0,0,AK815/AK807)</f>
        <v>0</v>
      </c>
      <c r="AL823" s="264">
        <f t="shared" si="2054"/>
        <v>0</v>
      </c>
      <c r="AM823" s="264">
        <f>IF(AM807=0,0,AM815/AM807)</f>
        <v>0</v>
      </c>
      <c r="AN823" s="260"/>
      <c r="AO823" s="264">
        <f t="shared" ref="AO823:AO830" si="2055">IF(AO807=0,0,AO815/AO807)</f>
        <v>0</v>
      </c>
      <c r="AP823" s="260"/>
      <c r="AQ823" s="264"/>
      <c r="AR823" s="264" t="str">
        <f>VLOOKUP($I823,TableInputsData[],ReadMe!$M$3,FALSE)&amp;"  |  "&amp;VLOOKUP($K823,TableInputsData[],ReadMe!$M$3,FALSE)</f>
        <v>PRODUIT 20  |  PRIX MOYEN DE VENTE PAR PRODUIT/SERVICE</v>
      </c>
      <c r="AS823" s="264"/>
      <c r="AT823" s="294"/>
    </row>
    <row r="824" spans="1:46" ht="13" hidden="1" x14ac:dyDescent="0.2">
      <c r="A824" s="294"/>
      <c r="B824" s="925"/>
      <c r="C824" s="271">
        <v>817</v>
      </c>
      <c r="D824" s="250">
        <f t="shared" si="2016"/>
        <v>0</v>
      </c>
      <c r="E824" s="250"/>
      <c r="F824" s="248" t="str">
        <f t="shared" si="2051"/>
        <v>YEAR-1</v>
      </c>
      <c r="G824" s="250">
        <f>VLOOKUP(F824,TableInputsData[],$G$6,FALSE)</f>
        <v>2024</v>
      </c>
      <c r="H824" s="250" t="str">
        <f t="shared" ref="H824:I824" si="2056">H823</f>
        <v>PRODUCT</v>
      </c>
      <c r="I824" s="248" t="str">
        <f t="shared" si="2056"/>
        <v>PRODUCT 20</v>
      </c>
      <c r="J824" s="248" t="str">
        <f>VLOOKUP(I824,TableInputsData[],$J$6,FALSE)</f>
        <v>-</v>
      </c>
      <c r="K824" s="248" t="str">
        <f>K823</f>
        <v>AVERAGE SELLING PRICE PER UNIT</v>
      </c>
      <c r="L824" s="255"/>
      <c r="M824" s="255"/>
      <c r="N824" s="255"/>
      <c r="O824" s="265"/>
      <c r="P824" s="260"/>
      <c r="Q824" s="260"/>
      <c r="R824" s="260"/>
      <c r="S824" s="630"/>
      <c r="T824" s="630"/>
      <c r="U824" s="630"/>
      <c r="V824" s="630"/>
      <c r="W824" s="260"/>
      <c r="X824" s="260"/>
      <c r="Y824" s="260"/>
      <c r="Z824" s="260"/>
      <c r="AA824" s="260"/>
      <c r="AB824" s="260"/>
      <c r="AC824" s="265"/>
      <c r="AD824" s="634"/>
      <c r="AE824" s="264">
        <f>IF(AE808=0,0,AE816/AE808)</f>
        <v>0</v>
      </c>
      <c r="AF824" s="264">
        <f t="shared" ref="AF824:AM824" si="2057">IF(AF808=0,0,AF816/AF808)</f>
        <v>0</v>
      </c>
      <c r="AG824" s="264">
        <f t="shared" si="2057"/>
        <v>0</v>
      </c>
      <c r="AH824" s="264">
        <f t="shared" si="2057"/>
        <v>0</v>
      </c>
      <c r="AI824" s="264">
        <f t="shared" si="2057"/>
        <v>0</v>
      </c>
      <c r="AJ824" s="264">
        <f t="shared" si="2057"/>
        <v>0</v>
      </c>
      <c r="AK824" s="264">
        <f t="shared" si="2057"/>
        <v>0</v>
      </c>
      <c r="AL824" s="264">
        <f t="shared" si="2057"/>
        <v>0</v>
      </c>
      <c r="AM824" s="264">
        <f t="shared" si="2057"/>
        <v>0</v>
      </c>
      <c r="AN824" s="260"/>
      <c r="AO824" s="264">
        <f t="shared" si="2055"/>
        <v>0</v>
      </c>
      <c r="AP824" s="260"/>
      <c r="AQ824" s="264"/>
      <c r="AR824" s="264" t="str">
        <f>VLOOKUP($I824,TableInputsData[],ReadMe!$M$3,FALSE)&amp;"  |  "&amp;VLOOKUP($K824,TableInputsData[],ReadMe!$M$3,FALSE)</f>
        <v>PRODUIT 20  |  PRIX MOYEN DE VENTE PAR PRODUIT/SERVICE</v>
      </c>
      <c r="AS824" s="264"/>
      <c r="AT824" s="294"/>
    </row>
    <row r="825" spans="1:46" ht="13" hidden="1" x14ac:dyDescent="0.2">
      <c r="A825" s="294"/>
      <c r="B825" s="925"/>
      <c r="C825" s="271">
        <v>818</v>
      </c>
      <c r="D825" s="250">
        <f t="shared" si="2016"/>
        <v>0</v>
      </c>
      <c r="E825" s="250"/>
      <c r="F825" s="248" t="str">
        <f t="shared" si="2051"/>
        <v>CURRENT YEAR</v>
      </c>
      <c r="G825" s="250">
        <f>VLOOKUP(F825,TableInputsData[],$G$6,FALSE)</f>
        <v>2025</v>
      </c>
      <c r="H825" s="250" t="str">
        <f t="shared" ref="H825:I825" si="2058">H824</f>
        <v>PRODUCT</v>
      </c>
      <c r="I825" s="248" t="str">
        <f t="shared" si="2058"/>
        <v>PRODUCT 20</v>
      </c>
      <c r="J825" s="248" t="str">
        <f>VLOOKUP(I825,TableInputsData[],$J$6,FALSE)</f>
        <v>-</v>
      </c>
      <c r="K825" s="248" t="str">
        <f t="shared" ref="K825:K830" si="2059">K824</f>
        <v>AVERAGE SELLING PRICE PER UNIT</v>
      </c>
      <c r="L825" s="255"/>
      <c r="M825" s="255"/>
      <c r="N825" s="255"/>
      <c r="O825" s="265"/>
      <c r="P825" s="260"/>
      <c r="Q825" s="260"/>
      <c r="R825" s="260"/>
      <c r="S825" s="630"/>
      <c r="T825" s="630"/>
      <c r="U825" s="630"/>
      <c r="V825" s="630"/>
      <c r="W825" s="260"/>
      <c r="X825" s="260"/>
      <c r="Y825" s="260"/>
      <c r="Z825" s="260"/>
      <c r="AA825" s="260"/>
      <c r="AB825" s="260"/>
      <c r="AC825" s="265"/>
      <c r="AD825" s="634"/>
      <c r="AE825" s="264">
        <f>IF(AE809=0,0,AE817/AE809)</f>
        <v>0</v>
      </c>
      <c r="AF825" s="264">
        <f t="shared" ref="AF825:AM825" si="2060">IF(AF809=0,0,AF817/AF809)</f>
        <v>0</v>
      </c>
      <c r="AG825" s="264">
        <f t="shared" si="2060"/>
        <v>0</v>
      </c>
      <c r="AH825" s="264">
        <f t="shared" si="2060"/>
        <v>0</v>
      </c>
      <c r="AI825" s="264">
        <f t="shared" si="2060"/>
        <v>0</v>
      </c>
      <c r="AJ825" s="264">
        <f t="shared" si="2060"/>
        <v>0</v>
      </c>
      <c r="AK825" s="264">
        <f t="shared" si="2060"/>
        <v>0</v>
      </c>
      <c r="AL825" s="264">
        <f t="shared" si="2060"/>
        <v>0</v>
      </c>
      <c r="AM825" s="264">
        <f t="shared" si="2060"/>
        <v>0</v>
      </c>
      <c r="AN825" s="260"/>
      <c r="AO825" s="264">
        <f t="shared" si="2055"/>
        <v>0</v>
      </c>
      <c r="AP825" s="260"/>
      <c r="AQ825" s="264"/>
      <c r="AR825" s="264" t="str">
        <f>VLOOKUP($I825,TableInputsData[],ReadMe!$M$3,FALSE)&amp;"  |  "&amp;VLOOKUP($K825,TableInputsData[],ReadMe!$M$3,FALSE)</f>
        <v>PRODUIT 20  |  PRIX MOYEN DE VENTE PAR PRODUIT/SERVICE</v>
      </c>
      <c r="AS825" s="264"/>
      <c r="AT825" s="294"/>
    </row>
    <row r="826" spans="1:46" ht="13" hidden="1" x14ac:dyDescent="0.2">
      <c r="A826" s="294"/>
      <c r="B826" s="925"/>
      <c r="C826" s="271">
        <v>819</v>
      </c>
      <c r="D826" s="250">
        <f t="shared" si="2016"/>
        <v>0</v>
      </c>
      <c r="E826" s="250"/>
      <c r="F826" s="248" t="str">
        <f t="shared" si="2051"/>
        <v>YEAR2</v>
      </c>
      <c r="G826" s="250">
        <f>VLOOKUP(F826,TableInputsData[],$G$6,FALSE)</f>
        <v>2026</v>
      </c>
      <c r="H826" s="250" t="str">
        <f t="shared" ref="H826:I826" si="2061">H825</f>
        <v>PRODUCT</v>
      </c>
      <c r="I826" s="248" t="str">
        <f t="shared" si="2061"/>
        <v>PRODUCT 20</v>
      </c>
      <c r="J826" s="248" t="str">
        <f>VLOOKUP(I826,TableInputsData[],$J$6,FALSE)</f>
        <v>-</v>
      </c>
      <c r="K826" s="248" t="str">
        <f t="shared" si="2059"/>
        <v>AVERAGE SELLING PRICE PER UNIT</v>
      </c>
      <c r="L826" s="255"/>
      <c r="M826" s="255"/>
      <c r="N826" s="255"/>
      <c r="O826" s="265"/>
      <c r="P826" s="260"/>
      <c r="Q826" s="260"/>
      <c r="R826" s="260"/>
      <c r="S826" s="630"/>
      <c r="T826" s="630"/>
      <c r="U826" s="630"/>
      <c r="V826" s="630"/>
      <c r="W826" s="260"/>
      <c r="X826" s="260"/>
      <c r="Y826" s="260"/>
      <c r="Z826" s="260"/>
      <c r="AA826" s="260"/>
      <c r="AB826" s="260"/>
      <c r="AC826" s="265"/>
      <c r="AD826" s="634"/>
      <c r="AE826" s="264">
        <f>IF(AE810=0,0,AE818/AE810)</f>
        <v>0</v>
      </c>
      <c r="AF826" s="264">
        <f t="shared" ref="AF826:AM826" si="2062">IF(AF810=0,0,AF818/AF810)</f>
        <v>0</v>
      </c>
      <c r="AG826" s="264">
        <f t="shared" si="2062"/>
        <v>0</v>
      </c>
      <c r="AH826" s="264">
        <f t="shared" si="2062"/>
        <v>0</v>
      </c>
      <c r="AI826" s="264">
        <f t="shared" si="2062"/>
        <v>0</v>
      </c>
      <c r="AJ826" s="264">
        <f t="shared" si="2062"/>
        <v>0</v>
      </c>
      <c r="AK826" s="264">
        <f t="shared" si="2062"/>
        <v>0</v>
      </c>
      <c r="AL826" s="264">
        <f t="shared" si="2062"/>
        <v>0</v>
      </c>
      <c r="AM826" s="264">
        <f t="shared" si="2062"/>
        <v>0</v>
      </c>
      <c r="AN826" s="260"/>
      <c r="AO826" s="264">
        <f t="shared" si="2055"/>
        <v>0</v>
      </c>
      <c r="AP826" s="260"/>
      <c r="AQ826" s="264"/>
      <c r="AR826" s="264" t="str">
        <f>VLOOKUP($I826,TableInputsData[],ReadMe!$M$3,FALSE)&amp;"  |  "&amp;VLOOKUP($K826,TableInputsData[],ReadMe!$M$3,FALSE)</f>
        <v>PRODUIT 20  |  PRIX MOYEN DE VENTE PAR PRODUIT/SERVICE</v>
      </c>
      <c r="AS826" s="264"/>
      <c r="AT826" s="294"/>
    </row>
    <row r="827" spans="1:46" ht="13" hidden="1" x14ac:dyDescent="0.2">
      <c r="A827" s="294"/>
      <c r="B827" s="925"/>
      <c r="C827" s="271">
        <v>820</v>
      </c>
      <c r="D827" s="250">
        <f t="shared" si="2016"/>
        <v>0</v>
      </c>
      <c r="E827" s="250"/>
      <c r="F827" s="248" t="str">
        <f t="shared" si="2051"/>
        <v>YEAR3</v>
      </c>
      <c r="G827" s="250">
        <f>VLOOKUP(F827,TableInputsData[],$G$6,FALSE)</f>
        <v>2027</v>
      </c>
      <c r="H827" s="250" t="str">
        <f t="shared" ref="H827:I827" si="2063">H826</f>
        <v>PRODUCT</v>
      </c>
      <c r="I827" s="248" t="str">
        <f t="shared" si="2063"/>
        <v>PRODUCT 20</v>
      </c>
      <c r="J827" s="248" t="str">
        <f>VLOOKUP(I827,TableInputsData[],$J$6,FALSE)</f>
        <v>-</v>
      </c>
      <c r="K827" s="248" t="str">
        <f t="shared" si="2059"/>
        <v>AVERAGE SELLING PRICE PER UNIT</v>
      </c>
      <c r="L827" s="255"/>
      <c r="M827" s="255"/>
      <c r="N827" s="255"/>
      <c r="O827" s="265"/>
      <c r="P827" s="260"/>
      <c r="Q827" s="260"/>
      <c r="R827" s="260"/>
      <c r="S827" s="630"/>
      <c r="T827" s="630"/>
      <c r="U827" s="630"/>
      <c r="V827" s="630"/>
      <c r="W827" s="260"/>
      <c r="X827" s="260"/>
      <c r="Y827" s="260"/>
      <c r="Z827" s="260"/>
      <c r="AA827" s="260"/>
      <c r="AB827" s="260"/>
      <c r="AC827" s="265"/>
      <c r="AD827" s="634"/>
      <c r="AE827" s="264">
        <f t="shared" ref="AE827:AM827" si="2064">IF(AE811=0,0,AE819/AE811)</f>
        <v>0</v>
      </c>
      <c r="AF827" s="264">
        <f t="shared" si="2064"/>
        <v>0</v>
      </c>
      <c r="AG827" s="264">
        <f t="shared" si="2064"/>
        <v>0</v>
      </c>
      <c r="AH827" s="264">
        <f t="shared" si="2064"/>
        <v>0</v>
      </c>
      <c r="AI827" s="264">
        <f t="shared" si="2064"/>
        <v>0</v>
      </c>
      <c r="AJ827" s="264">
        <f t="shared" si="2064"/>
        <v>0</v>
      </c>
      <c r="AK827" s="264">
        <f t="shared" si="2064"/>
        <v>0</v>
      </c>
      <c r="AL827" s="264">
        <f t="shared" si="2064"/>
        <v>0</v>
      </c>
      <c r="AM827" s="264">
        <f t="shared" si="2064"/>
        <v>0</v>
      </c>
      <c r="AN827" s="260"/>
      <c r="AO827" s="264">
        <f t="shared" si="2055"/>
        <v>0</v>
      </c>
      <c r="AP827" s="260"/>
      <c r="AQ827" s="264"/>
      <c r="AR827" s="264" t="str">
        <f>VLOOKUP($I827,TableInputsData[],ReadMe!$M$3,FALSE)&amp;"  |  "&amp;VLOOKUP($K827,TableInputsData[],ReadMe!$M$3,FALSE)</f>
        <v>PRODUIT 20  |  PRIX MOYEN DE VENTE PAR PRODUIT/SERVICE</v>
      </c>
      <c r="AS827" s="264"/>
      <c r="AT827" s="294"/>
    </row>
    <row r="828" spans="1:46" ht="13" hidden="1" x14ac:dyDescent="0.2">
      <c r="A828" s="294"/>
      <c r="B828" s="925"/>
      <c r="C828" s="272">
        <v>821</v>
      </c>
      <c r="D828" s="250">
        <f t="shared" si="2016"/>
        <v>0</v>
      </c>
      <c r="E828" s="251"/>
      <c r="F828" s="248" t="str">
        <f t="shared" si="2051"/>
        <v>YEAR4</v>
      </c>
      <c r="G828" s="250">
        <f>VLOOKUP(F828,TableInputsData[],$G$6,FALSE)</f>
        <v>2028</v>
      </c>
      <c r="H828" s="250" t="str">
        <f t="shared" ref="H828:I828" si="2065">H827</f>
        <v>PRODUCT</v>
      </c>
      <c r="I828" s="248" t="str">
        <f t="shared" si="2065"/>
        <v>PRODUCT 20</v>
      </c>
      <c r="J828" s="248" t="str">
        <f>VLOOKUP(I828,TableInputsData[],$J$6,FALSE)</f>
        <v>-</v>
      </c>
      <c r="K828" s="248" t="str">
        <f t="shared" si="2059"/>
        <v>AVERAGE SELLING PRICE PER UNIT</v>
      </c>
      <c r="L828" s="256"/>
      <c r="M828" s="256"/>
      <c r="N828" s="256"/>
      <c r="O828" s="266"/>
      <c r="P828" s="261"/>
      <c r="Q828" s="261"/>
      <c r="R828" s="261"/>
      <c r="S828" s="629"/>
      <c r="T828" s="629"/>
      <c r="U828" s="629"/>
      <c r="V828" s="629"/>
      <c r="W828" s="261"/>
      <c r="X828" s="261"/>
      <c r="Y828" s="261"/>
      <c r="Z828" s="261"/>
      <c r="AA828" s="261"/>
      <c r="AB828" s="261"/>
      <c r="AC828" s="266"/>
      <c r="AD828" s="633"/>
      <c r="AE828" s="264">
        <f t="shared" ref="AE828:AM828" si="2066">IF(AE812=0,0,AE820/AE812)</f>
        <v>0</v>
      </c>
      <c r="AF828" s="264">
        <f t="shared" si="2066"/>
        <v>0</v>
      </c>
      <c r="AG828" s="264">
        <f t="shared" si="2066"/>
        <v>0</v>
      </c>
      <c r="AH828" s="264">
        <f t="shared" si="2066"/>
        <v>0</v>
      </c>
      <c r="AI828" s="264">
        <f t="shared" si="2066"/>
        <v>0</v>
      </c>
      <c r="AJ828" s="264">
        <f t="shared" si="2066"/>
        <v>0</v>
      </c>
      <c r="AK828" s="264">
        <f t="shared" si="2066"/>
        <v>0</v>
      </c>
      <c r="AL828" s="264">
        <f t="shared" si="2066"/>
        <v>0</v>
      </c>
      <c r="AM828" s="264">
        <f t="shared" si="2066"/>
        <v>0</v>
      </c>
      <c r="AN828" s="260"/>
      <c r="AO828" s="264">
        <f t="shared" si="2055"/>
        <v>0</v>
      </c>
      <c r="AP828" s="260"/>
      <c r="AQ828" s="264"/>
      <c r="AR828" s="264" t="str">
        <f>VLOOKUP($I828,TableInputsData[],ReadMe!$M$3,FALSE)&amp;"  |  "&amp;VLOOKUP($K828,TableInputsData[],ReadMe!$M$3,FALSE)</f>
        <v>PRODUIT 20  |  PRIX MOYEN DE VENTE PAR PRODUIT/SERVICE</v>
      </c>
      <c r="AS828" s="264"/>
      <c r="AT828" s="294"/>
    </row>
    <row r="829" spans="1:46" ht="13" hidden="1" x14ac:dyDescent="0.2">
      <c r="A829" s="294"/>
      <c r="B829" s="925"/>
      <c r="C829" s="271">
        <v>822</v>
      </c>
      <c r="D829" s="250">
        <f t="shared" si="2016"/>
        <v>0</v>
      </c>
      <c r="E829" s="250"/>
      <c r="F829" s="248" t="str">
        <f t="shared" si="2051"/>
        <v>YEAR5</v>
      </c>
      <c r="G829" s="250">
        <f>VLOOKUP(F829,TableInputsData[],$G$6,FALSE)</f>
        <v>2029</v>
      </c>
      <c r="H829" s="250" t="str">
        <f t="shared" ref="H829:I829" si="2067">H828</f>
        <v>PRODUCT</v>
      </c>
      <c r="I829" s="248" t="str">
        <f t="shared" si="2067"/>
        <v>PRODUCT 20</v>
      </c>
      <c r="J829" s="248" t="str">
        <f>VLOOKUP(I829,TableInputsData[],$J$6,FALSE)</f>
        <v>-</v>
      </c>
      <c r="K829" s="248" t="str">
        <f t="shared" si="2059"/>
        <v>AVERAGE SELLING PRICE PER UNIT</v>
      </c>
      <c r="L829" s="255"/>
      <c r="M829" s="255"/>
      <c r="N829" s="255"/>
      <c r="O829" s="265"/>
      <c r="P829" s="260"/>
      <c r="Q829" s="260"/>
      <c r="R829" s="260"/>
      <c r="S829" s="630"/>
      <c r="T829" s="630"/>
      <c r="U829" s="630"/>
      <c r="V829" s="630"/>
      <c r="W829" s="260"/>
      <c r="X829" s="260"/>
      <c r="Y829" s="260"/>
      <c r="Z829" s="260"/>
      <c r="AA829" s="260"/>
      <c r="AB829" s="260"/>
      <c r="AC829" s="265"/>
      <c r="AD829" s="634"/>
      <c r="AE829" s="264">
        <f t="shared" ref="AE829:AM829" si="2068">IF(AE813=0,0,AE821/AE813)</f>
        <v>0</v>
      </c>
      <c r="AF829" s="264">
        <f t="shared" si="2068"/>
        <v>0</v>
      </c>
      <c r="AG829" s="264">
        <f t="shared" si="2068"/>
        <v>0</v>
      </c>
      <c r="AH829" s="264">
        <f t="shared" si="2068"/>
        <v>0</v>
      </c>
      <c r="AI829" s="264">
        <f t="shared" si="2068"/>
        <v>0</v>
      </c>
      <c r="AJ829" s="264">
        <f t="shared" si="2068"/>
        <v>0</v>
      </c>
      <c r="AK829" s="264">
        <f t="shared" si="2068"/>
        <v>0</v>
      </c>
      <c r="AL829" s="264">
        <f t="shared" si="2068"/>
        <v>0</v>
      </c>
      <c r="AM829" s="264">
        <f t="shared" si="2068"/>
        <v>0</v>
      </c>
      <c r="AN829" s="260"/>
      <c r="AO829" s="264">
        <f t="shared" si="2055"/>
        <v>0</v>
      </c>
      <c r="AP829" s="260"/>
      <c r="AQ829" s="264"/>
      <c r="AR829" s="264" t="str">
        <f>VLOOKUP($I829,TableInputsData[],ReadMe!$M$3,FALSE)&amp;"  |  "&amp;VLOOKUP($K829,TableInputsData[],ReadMe!$M$3,FALSE)</f>
        <v>PRODUIT 20  |  PRIX MOYEN DE VENTE PAR PRODUIT/SERVICE</v>
      </c>
      <c r="AS829" s="264"/>
      <c r="AT829" s="294"/>
    </row>
    <row r="830" spans="1:46" ht="13" hidden="1" x14ac:dyDescent="0.2">
      <c r="A830" s="294"/>
      <c r="B830" s="925"/>
      <c r="C830" s="271">
        <v>823</v>
      </c>
      <c r="D830" s="250">
        <f t="shared" si="2016"/>
        <v>0</v>
      </c>
      <c r="E830" s="250"/>
      <c r="F830" s="248" t="str">
        <f t="shared" si="2051"/>
        <v>YEAR6</v>
      </c>
      <c r="G830" s="250">
        <f>VLOOKUP(F830,TableInputsData[],$G$6,FALSE)</f>
        <v>2030</v>
      </c>
      <c r="H830" s="250" t="str">
        <f t="shared" ref="H830:I830" si="2069">H829</f>
        <v>PRODUCT</v>
      </c>
      <c r="I830" s="248" t="str">
        <f t="shared" si="2069"/>
        <v>PRODUCT 20</v>
      </c>
      <c r="J830" s="248" t="str">
        <f>VLOOKUP(I830,TableInputsData[],$J$6,FALSE)</f>
        <v>-</v>
      </c>
      <c r="K830" s="248" t="str">
        <f t="shared" si="2059"/>
        <v>AVERAGE SELLING PRICE PER UNIT</v>
      </c>
      <c r="L830" s="255"/>
      <c r="M830" s="255"/>
      <c r="N830" s="255"/>
      <c r="O830" s="265"/>
      <c r="P830" s="260"/>
      <c r="Q830" s="260"/>
      <c r="R830" s="260"/>
      <c r="S830" s="630"/>
      <c r="T830" s="630"/>
      <c r="U830" s="630"/>
      <c r="V830" s="630"/>
      <c r="W830" s="260"/>
      <c r="X830" s="260"/>
      <c r="Y830" s="260"/>
      <c r="Z830" s="260"/>
      <c r="AA830" s="260"/>
      <c r="AB830" s="260"/>
      <c r="AC830" s="265"/>
      <c r="AD830" s="634"/>
      <c r="AE830" s="264">
        <f t="shared" ref="AE830:AM830" si="2070">IF(AE814=0,0,AE822/AE814)</f>
        <v>0</v>
      </c>
      <c r="AF830" s="264">
        <f t="shared" si="2070"/>
        <v>0</v>
      </c>
      <c r="AG830" s="264">
        <f t="shared" si="2070"/>
        <v>0</v>
      </c>
      <c r="AH830" s="264">
        <f t="shared" si="2070"/>
        <v>0</v>
      </c>
      <c r="AI830" s="264">
        <f t="shared" si="2070"/>
        <v>0</v>
      </c>
      <c r="AJ830" s="264">
        <f t="shared" si="2070"/>
        <v>0</v>
      </c>
      <c r="AK830" s="264">
        <f t="shared" si="2070"/>
        <v>0</v>
      </c>
      <c r="AL830" s="264">
        <f t="shared" si="2070"/>
        <v>0</v>
      </c>
      <c r="AM830" s="264">
        <f t="shared" si="2070"/>
        <v>0</v>
      </c>
      <c r="AN830" s="260"/>
      <c r="AO830" s="264">
        <f t="shared" si="2055"/>
        <v>0</v>
      </c>
      <c r="AP830" s="260"/>
      <c r="AQ830" s="264"/>
      <c r="AR830" s="264" t="str">
        <f>VLOOKUP($I830,TableInputsData[],ReadMe!$M$3,FALSE)&amp;"  |  "&amp;VLOOKUP($K830,TableInputsData[],ReadMe!$M$3,FALSE)</f>
        <v>PRODUIT 20  |  PRIX MOYEN DE VENTE PAR PRODUIT/SERVICE</v>
      </c>
      <c r="AS830" s="264"/>
      <c r="AT830" s="294"/>
    </row>
    <row r="831" spans="1:46" ht="13" hidden="1" x14ac:dyDescent="0.2">
      <c r="A831" s="294"/>
      <c r="B831" s="925"/>
      <c r="C831" s="272">
        <v>824</v>
      </c>
      <c r="D831" s="250">
        <f t="shared" si="2016"/>
        <v>0</v>
      </c>
      <c r="E831" s="251"/>
      <c r="F831" s="248" t="str">
        <f t="shared" ref="F831:F838" si="2071">F839</f>
        <v>YEAR-2</v>
      </c>
      <c r="G831" s="250">
        <f>VLOOKUP(F831,TableInputsData[],$G$6,FALSE)</f>
        <v>2023</v>
      </c>
      <c r="H831" s="250" t="str">
        <f t="shared" ref="H831:I831" si="2072">H830</f>
        <v>PRODUCT</v>
      </c>
      <c r="I831" s="248" t="str">
        <f t="shared" si="2072"/>
        <v>PRODUCT 20</v>
      </c>
      <c r="J831" s="248" t="str">
        <f>VLOOKUP(I831,TableInputsData[],$J$6,FALSE)</f>
        <v>-</v>
      </c>
      <c r="K831" s="248" t="s">
        <v>531</v>
      </c>
      <c r="L831" s="256"/>
      <c r="M831" s="256"/>
      <c r="N831" s="256"/>
      <c r="O831" s="266"/>
      <c r="P831" s="261"/>
      <c r="Q831" s="261"/>
      <c r="R831" s="261"/>
      <c r="S831" s="629"/>
      <c r="T831" s="629"/>
      <c r="U831" s="629"/>
      <c r="V831" s="629"/>
      <c r="W831" s="261"/>
      <c r="X831" s="261"/>
      <c r="Y831" s="261"/>
      <c r="Z831" s="261"/>
      <c r="AA831" s="261"/>
      <c r="AB831" s="261"/>
      <c r="AC831" s="266"/>
      <c r="AD831" s="633"/>
      <c r="AE831" s="264">
        <f>AE807*($S807*$P807+$T807*$Q807+$U807*$R807)</f>
        <v>0</v>
      </c>
      <c r="AF831" s="264">
        <f t="shared" ref="AF831:AH831" si="2073">AF807*($S807*$P807+$T807*$Q807+$U807*$R807)</f>
        <v>0</v>
      </c>
      <c r="AG831" s="264">
        <f t="shared" si="2073"/>
        <v>0</v>
      </c>
      <c r="AH831" s="264">
        <f t="shared" si="2073"/>
        <v>0</v>
      </c>
      <c r="AI831" s="264">
        <f t="shared" ref="AI831:AI838" si="2074">$AE831+$AF831+$AG831+$AH831</f>
        <v>0</v>
      </c>
      <c r="AJ831" s="264">
        <f t="shared" ref="AJ831:AJ838" si="2075">$AJ807*$S807</f>
        <v>0</v>
      </c>
      <c r="AK831" s="264">
        <f t="shared" ref="AK831:AK838" si="2076">$AK807*$T807</f>
        <v>0</v>
      </c>
      <c r="AL831" s="264">
        <f t="shared" ref="AL831:AL838" si="2077">$AL807*$U807</f>
        <v>0</v>
      </c>
      <c r="AM831" s="264">
        <f t="shared" ref="AM831:AM838" si="2078">$AJ831*$W807+$AK831*$X807+$AL831*$Y807</f>
        <v>0</v>
      </c>
      <c r="AN831" s="640">
        <f t="shared" ref="AN831:AN838" si="2079">IF(AI831=0,0,AM831/AI831)</f>
        <v>0</v>
      </c>
      <c r="AO831" s="264">
        <f t="shared" ref="AO831:AO838" si="2080">$AJ831*$Z807+$AK831*$AA807+$AL831*$AB807</f>
        <v>0</v>
      </c>
      <c r="AP831" s="640">
        <f t="shared" ref="AP831:AP838" si="2081">IF(AI831=0,0,AO831/AI831)</f>
        <v>0</v>
      </c>
      <c r="AQ831" s="264"/>
      <c r="AR831" s="264" t="str">
        <f>VLOOKUP($I831,TableInputsData[],ReadMe!$M$3,FALSE)&amp;"  |  "&amp;VLOOKUP($K831,TableInputsData[],ReadMe!$M$3,FALSE)</f>
        <v>PRODUIT 20  |  DEPENSES SUR ACHATS</v>
      </c>
      <c r="AS831" s="264" t="b">
        <f t="shared" ref="AS831:AS838" si="2082">AND(EXACT(ROUND(AI831,2),ROUND(AJ831+AK831+AL831,2)),EXACT(ROUND(AI831,2),ROUND(AM831+AO831,2)))</f>
        <v>1</v>
      </c>
      <c r="AT831" s="294"/>
    </row>
    <row r="832" spans="1:46" ht="13" hidden="1" x14ac:dyDescent="0.2">
      <c r="A832" s="294"/>
      <c r="B832" s="925"/>
      <c r="C832" s="271">
        <v>825</v>
      </c>
      <c r="D832" s="250">
        <f t="shared" si="2016"/>
        <v>0</v>
      </c>
      <c r="E832" s="250"/>
      <c r="F832" s="248" t="str">
        <f t="shared" si="2071"/>
        <v>YEAR-1</v>
      </c>
      <c r="G832" s="250">
        <f>VLOOKUP(F832,TableInputsData[],$G$6,FALSE)</f>
        <v>2024</v>
      </c>
      <c r="H832" s="250" t="str">
        <f t="shared" ref="H832:I832" si="2083">H831</f>
        <v>PRODUCT</v>
      </c>
      <c r="I832" s="248" t="str">
        <f t="shared" si="2083"/>
        <v>PRODUCT 20</v>
      </c>
      <c r="J832" s="248" t="str">
        <f>VLOOKUP(I832,TableInputsData[],$J$6,FALSE)</f>
        <v>-</v>
      </c>
      <c r="K832" s="248" t="str">
        <f>K831</f>
        <v>COST OF GOODS SOLD</v>
      </c>
      <c r="L832" s="255"/>
      <c r="M832" s="255"/>
      <c r="N832" s="255"/>
      <c r="O832" s="265"/>
      <c r="P832" s="260"/>
      <c r="Q832" s="260"/>
      <c r="R832" s="260"/>
      <c r="S832" s="630"/>
      <c r="T832" s="630"/>
      <c r="U832" s="630"/>
      <c r="V832" s="630"/>
      <c r="W832" s="260"/>
      <c r="X832" s="260"/>
      <c r="Y832" s="260"/>
      <c r="Z832" s="260"/>
      <c r="AA832" s="260"/>
      <c r="AB832" s="260"/>
      <c r="AC832" s="265"/>
      <c r="AD832" s="634"/>
      <c r="AE832" s="264">
        <f t="shared" ref="AE832:AH832" si="2084">AE808*($S808*$P808+$T808*$Q808+$U808*$R808)</f>
        <v>0</v>
      </c>
      <c r="AF832" s="264">
        <f t="shared" si="2084"/>
        <v>0</v>
      </c>
      <c r="AG832" s="264">
        <f t="shared" si="2084"/>
        <v>0</v>
      </c>
      <c r="AH832" s="264">
        <f t="shared" si="2084"/>
        <v>0</v>
      </c>
      <c r="AI832" s="264">
        <f t="shared" si="2074"/>
        <v>0</v>
      </c>
      <c r="AJ832" s="264">
        <f t="shared" si="2075"/>
        <v>0</v>
      </c>
      <c r="AK832" s="264">
        <f t="shared" si="2076"/>
        <v>0</v>
      </c>
      <c r="AL832" s="264">
        <f t="shared" si="2077"/>
        <v>0</v>
      </c>
      <c r="AM832" s="264">
        <f t="shared" si="2078"/>
        <v>0</v>
      </c>
      <c r="AN832" s="640">
        <f t="shared" si="2079"/>
        <v>0</v>
      </c>
      <c r="AO832" s="264">
        <f t="shared" si="2080"/>
        <v>0</v>
      </c>
      <c r="AP832" s="640">
        <f t="shared" si="2081"/>
        <v>0</v>
      </c>
      <c r="AQ832" s="264"/>
      <c r="AR832" s="264" t="str">
        <f>VLOOKUP($I832,TableInputsData[],ReadMe!$M$3,FALSE)&amp;"  |  "&amp;VLOOKUP($K832,TableInputsData[],ReadMe!$M$3,FALSE)</f>
        <v>PRODUIT 20  |  DEPENSES SUR ACHATS</v>
      </c>
      <c r="AS832" s="264" t="b">
        <f t="shared" si="2082"/>
        <v>1</v>
      </c>
      <c r="AT832" s="294"/>
    </row>
    <row r="833" spans="1:46" ht="13" hidden="1" x14ac:dyDescent="0.2">
      <c r="A833" s="294"/>
      <c r="B833" s="925"/>
      <c r="C833" s="271">
        <v>826</v>
      </c>
      <c r="D833" s="250">
        <f t="shared" si="2016"/>
        <v>0</v>
      </c>
      <c r="E833" s="250"/>
      <c r="F833" s="248" t="str">
        <f t="shared" si="2071"/>
        <v>CURRENT YEAR</v>
      </c>
      <c r="G833" s="250">
        <f>VLOOKUP(F833,TableInputsData[],$G$6,FALSE)</f>
        <v>2025</v>
      </c>
      <c r="H833" s="250" t="str">
        <f t="shared" ref="H833:I833" si="2085">H832</f>
        <v>PRODUCT</v>
      </c>
      <c r="I833" s="248" t="str">
        <f t="shared" si="2085"/>
        <v>PRODUCT 20</v>
      </c>
      <c r="J833" s="248" t="str">
        <f>VLOOKUP(I833,TableInputsData[],$J$6,FALSE)</f>
        <v>-</v>
      </c>
      <c r="K833" s="248" t="str">
        <f t="shared" ref="K833:K838" si="2086">K832</f>
        <v>COST OF GOODS SOLD</v>
      </c>
      <c r="L833" s="255"/>
      <c r="M833" s="255"/>
      <c r="N833" s="255"/>
      <c r="O833" s="265"/>
      <c r="P833" s="260"/>
      <c r="Q833" s="260"/>
      <c r="R833" s="260"/>
      <c r="S833" s="630"/>
      <c r="T833" s="630"/>
      <c r="U833" s="630"/>
      <c r="V833" s="630"/>
      <c r="W833" s="260"/>
      <c r="X833" s="260"/>
      <c r="Y833" s="260"/>
      <c r="Z833" s="260"/>
      <c r="AA833" s="260"/>
      <c r="AB833" s="260"/>
      <c r="AC833" s="265"/>
      <c r="AD833" s="634"/>
      <c r="AE833" s="264">
        <f t="shared" ref="AE833:AH833" si="2087">AE809*($S809*$P809+$T809*$Q809+$U809*$R809)</f>
        <v>0</v>
      </c>
      <c r="AF833" s="264">
        <f t="shared" si="2087"/>
        <v>0</v>
      </c>
      <c r="AG833" s="264">
        <f t="shared" si="2087"/>
        <v>0</v>
      </c>
      <c r="AH833" s="264">
        <f t="shared" si="2087"/>
        <v>0</v>
      </c>
      <c r="AI833" s="264">
        <f t="shared" si="2074"/>
        <v>0</v>
      </c>
      <c r="AJ833" s="264">
        <f t="shared" si="2075"/>
        <v>0</v>
      </c>
      <c r="AK833" s="264">
        <f t="shared" si="2076"/>
        <v>0</v>
      </c>
      <c r="AL833" s="264">
        <f t="shared" si="2077"/>
        <v>0</v>
      </c>
      <c r="AM833" s="264">
        <f t="shared" si="2078"/>
        <v>0</v>
      </c>
      <c r="AN833" s="640">
        <f t="shared" si="2079"/>
        <v>0</v>
      </c>
      <c r="AO833" s="264">
        <f t="shared" si="2080"/>
        <v>0</v>
      </c>
      <c r="AP833" s="640">
        <f t="shared" si="2081"/>
        <v>0</v>
      </c>
      <c r="AQ833" s="264"/>
      <c r="AR833" s="264" t="str">
        <f>VLOOKUP($I833,TableInputsData[],ReadMe!$M$3,FALSE)&amp;"  |  "&amp;VLOOKUP($K833,TableInputsData[],ReadMe!$M$3,FALSE)</f>
        <v>PRODUIT 20  |  DEPENSES SUR ACHATS</v>
      </c>
      <c r="AS833" s="264" t="b">
        <f t="shared" si="2082"/>
        <v>1</v>
      </c>
      <c r="AT833" s="294"/>
    </row>
    <row r="834" spans="1:46" ht="13" hidden="1" x14ac:dyDescent="0.2">
      <c r="A834" s="294"/>
      <c r="B834" s="925"/>
      <c r="C834" s="271">
        <v>827</v>
      </c>
      <c r="D834" s="250">
        <f t="shared" si="2016"/>
        <v>0</v>
      </c>
      <c r="E834" s="250"/>
      <c r="F834" s="248" t="str">
        <f t="shared" si="2071"/>
        <v>YEAR2</v>
      </c>
      <c r="G834" s="250">
        <f>VLOOKUP(F834,TableInputsData[],$G$6,FALSE)</f>
        <v>2026</v>
      </c>
      <c r="H834" s="250" t="str">
        <f t="shared" ref="H834:I834" si="2088">H833</f>
        <v>PRODUCT</v>
      </c>
      <c r="I834" s="248" t="str">
        <f t="shared" si="2088"/>
        <v>PRODUCT 20</v>
      </c>
      <c r="J834" s="248" t="str">
        <f>VLOOKUP(I834,TableInputsData[],$J$6,FALSE)</f>
        <v>-</v>
      </c>
      <c r="K834" s="248" t="str">
        <f t="shared" si="2086"/>
        <v>COST OF GOODS SOLD</v>
      </c>
      <c r="L834" s="255"/>
      <c r="M834" s="255"/>
      <c r="N834" s="255"/>
      <c r="O834" s="265"/>
      <c r="P834" s="260"/>
      <c r="Q834" s="260"/>
      <c r="R834" s="260"/>
      <c r="S834" s="630"/>
      <c r="T834" s="630"/>
      <c r="U834" s="630"/>
      <c r="V834" s="630"/>
      <c r="W834" s="260"/>
      <c r="X834" s="260"/>
      <c r="Y834" s="260"/>
      <c r="Z834" s="260"/>
      <c r="AA834" s="260"/>
      <c r="AB834" s="260"/>
      <c r="AC834" s="265"/>
      <c r="AD834" s="634"/>
      <c r="AE834" s="264">
        <f t="shared" ref="AE834:AH834" si="2089">AE810*($S810*$P810+$T810*$Q810+$U810*$R810)</f>
        <v>0</v>
      </c>
      <c r="AF834" s="264">
        <f t="shared" si="2089"/>
        <v>0</v>
      </c>
      <c r="AG834" s="264">
        <f t="shared" si="2089"/>
        <v>0</v>
      </c>
      <c r="AH834" s="264">
        <f t="shared" si="2089"/>
        <v>0</v>
      </c>
      <c r="AI834" s="264">
        <f t="shared" si="2074"/>
        <v>0</v>
      </c>
      <c r="AJ834" s="264">
        <f t="shared" si="2075"/>
        <v>0</v>
      </c>
      <c r="AK834" s="264">
        <f t="shared" si="2076"/>
        <v>0</v>
      </c>
      <c r="AL834" s="264">
        <f t="shared" si="2077"/>
        <v>0</v>
      </c>
      <c r="AM834" s="264">
        <f t="shared" si="2078"/>
        <v>0</v>
      </c>
      <c r="AN834" s="640">
        <f t="shared" si="2079"/>
        <v>0</v>
      </c>
      <c r="AO834" s="264">
        <f t="shared" si="2080"/>
        <v>0</v>
      </c>
      <c r="AP834" s="640">
        <f t="shared" si="2081"/>
        <v>0</v>
      </c>
      <c r="AQ834" s="264"/>
      <c r="AR834" s="264" t="str">
        <f>VLOOKUP($I834,TableInputsData[],ReadMe!$M$3,FALSE)&amp;"  |  "&amp;VLOOKUP($K834,TableInputsData[],ReadMe!$M$3,FALSE)</f>
        <v>PRODUIT 20  |  DEPENSES SUR ACHATS</v>
      </c>
      <c r="AS834" s="264" t="b">
        <f t="shared" si="2082"/>
        <v>1</v>
      </c>
      <c r="AT834" s="294"/>
    </row>
    <row r="835" spans="1:46" ht="13" hidden="1" x14ac:dyDescent="0.2">
      <c r="A835" s="294"/>
      <c r="B835" s="925"/>
      <c r="C835" s="271">
        <v>828</v>
      </c>
      <c r="D835" s="250">
        <f t="shared" si="2016"/>
        <v>0</v>
      </c>
      <c r="E835" s="250"/>
      <c r="F835" s="248" t="str">
        <f t="shared" si="2071"/>
        <v>YEAR3</v>
      </c>
      <c r="G835" s="250">
        <f>VLOOKUP(F835,TableInputsData[],$G$6,FALSE)</f>
        <v>2027</v>
      </c>
      <c r="H835" s="250" t="str">
        <f t="shared" ref="H835:I835" si="2090">H834</f>
        <v>PRODUCT</v>
      </c>
      <c r="I835" s="248" t="str">
        <f t="shared" si="2090"/>
        <v>PRODUCT 20</v>
      </c>
      <c r="J835" s="248" t="str">
        <f>VLOOKUP(I835,TableInputsData[],$J$6,FALSE)</f>
        <v>-</v>
      </c>
      <c r="K835" s="248" t="str">
        <f t="shared" si="2086"/>
        <v>COST OF GOODS SOLD</v>
      </c>
      <c r="L835" s="255"/>
      <c r="M835" s="255"/>
      <c r="N835" s="255"/>
      <c r="O835" s="265"/>
      <c r="P835" s="260"/>
      <c r="Q835" s="260"/>
      <c r="R835" s="260"/>
      <c r="S835" s="630"/>
      <c r="T835" s="630"/>
      <c r="U835" s="630"/>
      <c r="V835" s="630"/>
      <c r="W835" s="260"/>
      <c r="X835" s="260"/>
      <c r="Y835" s="260"/>
      <c r="Z835" s="260"/>
      <c r="AA835" s="260"/>
      <c r="AB835" s="260"/>
      <c r="AC835" s="265"/>
      <c r="AD835" s="634"/>
      <c r="AE835" s="264">
        <f t="shared" ref="AE835:AH835" si="2091">AE811*($S811*$P811+$T811*$Q811+$U811*$R811)</f>
        <v>0</v>
      </c>
      <c r="AF835" s="264">
        <f t="shared" si="2091"/>
        <v>0</v>
      </c>
      <c r="AG835" s="264">
        <f t="shared" si="2091"/>
        <v>0</v>
      </c>
      <c r="AH835" s="264">
        <f t="shared" si="2091"/>
        <v>0</v>
      </c>
      <c r="AI835" s="264">
        <f t="shared" si="2074"/>
        <v>0</v>
      </c>
      <c r="AJ835" s="264">
        <f t="shared" si="2075"/>
        <v>0</v>
      </c>
      <c r="AK835" s="264">
        <f t="shared" si="2076"/>
        <v>0</v>
      </c>
      <c r="AL835" s="264">
        <f t="shared" si="2077"/>
        <v>0</v>
      </c>
      <c r="AM835" s="264">
        <f t="shared" si="2078"/>
        <v>0</v>
      </c>
      <c r="AN835" s="640">
        <f t="shared" si="2079"/>
        <v>0</v>
      </c>
      <c r="AO835" s="264">
        <f t="shared" si="2080"/>
        <v>0</v>
      </c>
      <c r="AP835" s="640">
        <f t="shared" si="2081"/>
        <v>0</v>
      </c>
      <c r="AQ835" s="264"/>
      <c r="AR835" s="264" t="str">
        <f>VLOOKUP($I835,TableInputsData[],ReadMe!$M$3,FALSE)&amp;"  |  "&amp;VLOOKUP($K835,TableInputsData[],ReadMe!$M$3,FALSE)</f>
        <v>PRODUIT 20  |  DEPENSES SUR ACHATS</v>
      </c>
      <c r="AS835" s="264" t="b">
        <f t="shared" si="2082"/>
        <v>1</v>
      </c>
      <c r="AT835" s="294"/>
    </row>
    <row r="836" spans="1:46" ht="13" hidden="1" x14ac:dyDescent="0.2">
      <c r="A836" s="294"/>
      <c r="B836" s="925"/>
      <c r="C836" s="271">
        <v>829</v>
      </c>
      <c r="D836" s="250">
        <f t="shared" si="2016"/>
        <v>0</v>
      </c>
      <c r="E836" s="250"/>
      <c r="F836" s="248" t="str">
        <f t="shared" si="2071"/>
        <v>YEAR4</v>
      </c>
      <c r="G836" s="250">
        <f>VLOOKUP(F836,TableInputsData[],$G$6,FALSE)</f>
        <v>2028</v>
      </c>
      <c r="H836" s="250" t="str">
        <f t="shared" ref="H836:I836" si="2092">H835</f>
        <v>PRODUCT</v>
      </c>
      <c r="I836" s="248" t="str">
        <f t="shared" si="2092"/>
        <v>PRODUCT 20</v>
      </c>
      <c r="J836" s="248" t="str">
        <f>VLOOKUP(I836,TableInputsData[],$J$6,FALSE)</f>
        <v>-</v>
      </c>
      <c r="K836" s="248" t="str">
        <f t="shared" si="2086"/>
        <v>COST OF GOODS SOLD</v>
      </c>
      <c r="L836" s="255"/>
      <c r="M836" s="255"/>
      <c r="N836" s="255"/>
      <c r="O836" s="265"/>
      <c r="P836" s="260"/>
      <c r="Q836" s="260"/>
      <c r="R836" s="260"/>
      <c r="S836" s="630"/>
      <c r="T836" s="630"/>
      <c r="U836" s="630"/>
      <c r="V836" s="630"/>
      <c r="W836" s="260"/>
      <c r="X836" s="260"/>
      <c r="Y836" s="260"/>
      <c r="Z836" s="260"/>
      <c r="AA836" s="260"/>
      <c r="AB836" s="260"/>
      <c r="AC836" s="265"/>
      <c r="AD836" s="634"/>
      <c r="AE836" s="264">
        <f t="shared" ref="AE836:AH836" si="2093">AE812*($S812*$P812+$T812*$Q812+$U812*$R812)</f>
        <v>0</v>
      </c>
      <c r="AF836" s="264">
        <f t="shared" si="2093"/>
        <v>0</v>
      </c>
      <c r="AG836" s="264">
        <f t="shared" si="2093"/>
        <v>0</v>
      </c>
      <c r="AH836" s="264">
        <f t="shared" si="2093"/>
        <v>0</v>
      </c>
      <c r="AI836" s="264">
        <f t="shared" si="2074"/>
        <v>0</v>
      </c>
      <c r="AJ836" s="264">
        <f t="shared" si="2075"/>
        <v>0</v>
      </c>
      <c r="AK836" s="264">
        <f t="shared" si="2076"/>
        <v>0</v>
      </c>
      <c r="AL836" s="264">
        <f t="shared" si="2077"/>
        <v>0</v>
      </c>
      <c r="AM836" s="264">
        <f t="shared" si="2078"/>
        <v>0</v>
      </c>
      <c r="AN836" s="640">
        <f t="shared" si="2079"/>
        <v>0</v>
      </c>
      <c r="AO836" s="264">
        <f t="shared" si="2080"/>
        <v>0</v>
      </c>
      <c r="AP836" s="640">
        <f t="shared" si="2081"/>
        <v>0</v>
      </c>
      <c r="AQ836" s="264"/>
      <c r="AR836" s="264" t="str">
        <f>VLOOKUP($I836,TableInputsData[],ReadMe!$M$3,FALSE)&amp;"  |  "&amp;VLOOKUP($K836,TableInputsData[],ReadMe!$M$3,FALSE)</f>
        <v>PRODUIT 20  |  DEPENSES SUR ACHATS</v>
      </c>
      <c r="AS836" s="264" t="b">
        <f t="shared" si="2082"/>
        <v>1</v>
      </c>
      <c r="AT836" s="294"/>
    </row>
    <row r="837" spans="1:46" ht="13" hidden="1" x14ac:dyDescent="0.2">
      <c r="A837" s="294"/>
      <c r="B837" s="925"/>
      <c r="C837" s="271">
        <v>830</v>
      </c>
      <c r="D837" s="250">
        <f t="shared" si="2016"/>
        <v>0</v>
      </c>
      <c r="E837" s="250"/>
      <c r="F837" s="248" t="str">
        <f t="shared" si="2071"/>
        <v>YEAR5</v>
      </c>
      <c r="G837" s="250">
        <f>VLOOKUP(F837,TableInputsData[],$G$6,FALSE)</f>
        <v>2029</v>
      </c>
      <c r="H837" s="250" t="str">
        <f t="shared" ref="H837:I837" si="2094">H836</f>
        <v>PRODUCT</v>
      </c>
      <c r="I837" s="248" t="str">
        <f t="shared" si="2094"/>
        <v>PRODUCT 20</v>
      </c>
      <c r="J837" s="248" t="str">
        <f>VLOOKUP(I837,TableInputsData[],$J$6,FALSE)</f>
        <v>-</v>
      </c>
      <c r="K837" s="248" t="str">
        <f t="shared" si="2086"/>
        <v>COST OF GOODS SOLD</v>
      </c>
      <c r="L837" s="255"/>
      <c r="M837" s="255"/>
      <c r="N837" s="255"/>
      <c r="O837" s="265"/>
      <c r="P837" s="260"/>
      <c r="Q837" s="260"/>
      <c r="R837" s="260"/>
      <c r="S837" s="630"/>
      <c r="T837" s="630"/>
      <c r="U837" s="630"/>
      <c r="V837" s="630"/>
      <c r="W837" s="260"/>
      <c r="X837" s="260"/>
      <c r="Y837" s="260"/>
      <c r="Z837" s="260"/>
      <c r="AA837" s="260"/>
      <c r="AB837" s="260"/>
      <c r="AC837" s="265"/>
      <c r="AD837" s="634"/>
      <c r="AE837" s="264">
        <f t="shared" ref="AE837:AH837" si="2095">AE813*($S813*$P813+$T813*$Q813+$U813*$R813)</f>
        <v>0</v>
      </c>
      <c r="AF837" s="264">
        <f t="shared" si="2095"/>
        <v>0</v>
      </c>
      <c r="AG837" s="264">
        <f t="shared" si="2095"/>
        <v>0</v>
      </c>
      <c r="AH837" s="264">
        <f t="shared" si="2095"/>
        <v>0</v>
      </c>
      <c r="AI837" s="264">
        <f t="shared" si="2074"/>
        <v>0</v>
      </c>
      <c r="AJ837" s="264">
        <f t="shared" si="2075"/>
        <v>0</v>
      </c>
      <c r="AK837" s="264">
        <f t="shared" si="2076"/>
        <v>0</v>
      </c>
      <c r="AL837" s="264">
        <f t="shared" si="2077"/>
        <v>0</v>
      </c>
      <c r="AM837" s="264">
        <f t="shared" si="2078"/>
        <v>0</v>
      </c>
      <c r="AN837" s="640">
        <f t="shared" si="2079"/>
        <v>0</v>
      </c>
      <c r="AO837" s="264">
        <f t="shared" si="2080"/>
        <v>0</v>
      </c>
      <c r="AP837" s="640">
        <f t="shared" si="2081"/>
        <v>0</v>
      </c>
      <c r="AQ837" s="264"/>
      <c r="AR837" s="264" t="str">
        <f>VLOOKUP($I837,TableInputsData[],ReadMe!$M$3,FALSE)&amp;"  |  "&amp;VLOOKUP($K837,TableInputsData[],ReadMe!$M$3,FALSE)</f>
        <v>PRODUIT 20  |  DEPENSES SUR ACHATS</v>
      </c>
      <c r="AS837" s="264" t="b">
        <f t="shared" si="2082"/>
        <v>1</v>
      </c>
      <c r="AT837" s="294"/>
    </row>
    <row r="838" spans="1:46" ht="13" hidden="1" x14ac:dyDescent="0.2">
      <c r="A838" s="294"/>
      <c r="B838" s="925"/>
      <c r="C838" s="271">
        <v>831</v>
      </c>
      <c r="D838" s="250">
        <f t="shared" si="2016"/>
        <v>0</v>
      </c>
      <c r="E838" s="250"/>
      <c r="F838" s="248" t="str">
        <f t="shared" si="2071"/>
        <v>YEAR6</v>
      </c>
      <c r="G838" s="250">
        <f>VLOOKUP(F838,TableInputsData[],$G$6,FALSE)</f>
        <v>2030</v>
      </c>
      <c r="H838" s="250" t="str">
        <f t="shared" ref="H838:I838" si="2096">H837</f>
        <v>PRODUCT</v>
      </c>
      <c r="I838" s="248" t="str">
        <f t="shared" si="2096"/>
        <v>PRODUCT 20</v>
      </c>
      <c r="J838" s="248" t="str">
        <f>VLOOKUP(I838,TableInputsData[],$J$6,FALSE)</f>
        <v>-</v>
      </c>
      <c r="K838" s="248" t="str">
        <f t="shared" si="2086"/>
        <v>COST OF GOODS SOLD</v>
      </c>
      <c r="L838" s="255"/>
      <c r="M838" s="255"/>
      <c r="N838" s="255"/>
      <c r="O838" s="265"/>
      <c r="P838" s="260"/>
      <c r="Q838" s="260"/>
      <c r="R838" s="260"/>
      <c r="S838" s="630"/>
      <c r="T838" s="630"/>
      <c r="U838" s="630"/>
      <c r="V838" s="630"/>
      <c r="W838" s="260"/>
      <c r="X838" s="260"/>
      <c r="Y838" s="260"/>
      <c r="Z838" s="260"/>
      <c r="AA838" s="260"/>
      <c r="AB838" s="260"/>
      <c r="AC838" s="265"/>
      <c r="AD838" s="634"/>
      <c r="AE838" s="264">
        <f t="shared" ref="AE838:AH838" si="2097">AE814*($S814*$P814+$T814*$Q814+$U814*$R814)</f>
        <v>0</v>
      </c>
      <c r="AF838" s="264">
        <f t="shared" si="2097"/>
        <v>0</v>
      </c>
      <c r="AG838" s="264">
        <f t="shared" si="2097"/>
        <v>0</v>
      </c>
      <c r="AH838" s="264">
        <f t="shared" si="2097"/>
        <v>0</v>
      </c>
      <c r="AI838" s="264">
        <f t="shared" si="2074"/>
        <v>0</v>
      </c>
      <c r="AJ838" s="264">
        <f t="shared" si="2075"/>
        <v>0</v>
      </c>
      <c r="AK838" s="264">
        <f t="shared" si="2076"/>
        <v>0</v>
      </c>
      <c r="AL838" s="264">
        <f t="shared" si="2077"/>
        <v>0</v>
      </c>
      <c r="AM838" s="264">
        <f t="shared" si="2078"/>
        <v>0</v>
      </c>
      <c r="AN838" s="640">
        <f t="shared" si="2079"/>
        <v>0</v>
      </c>
      <c r="AO838" s="264">
        <f t="shared" si="2080"/>
        <v>0</v>
      </c>
      <c r="AP838" s="640">
        <f t="shared" si="2081"/>
        <v>0</v>
      </c>
      <c r="AQ838" s="264"/>
      <c r="AR838" s="264" t="str">
        <f>VLOOKUP($I838,TableInputsData[],ReadMe!$M$3,FALSE)&amp;"  |  "&amp;VLOOKUP($K838,TableInputsData[],ReadMe!$M$3,FALSE)</f>
        <v>PRODUIT 20  |  DEPENSES SUR ACHATS</v>
      </c>
      <c r="AS838" s="264" t="b">
        <f t="shared" si="2082"/>
        <v>1</v>
      </c>
      <c r="AT838" s="294"/>
    </row>
    <row r="839" spans="1:46" ht="13" hidden="1" x14ac:dyDescent="0.2">
      <c r="A839" s="294"/>
      <c r="B839" s="925"/>
      <c r="C839" s="272">
        <v>832</v>
      </c>
      <c r="D839" s="250">
        <f t="shared" si="2016"/>
        <v>0</v>
      </c>
      <c r="E839" s="251"/>
      <c r="F839" s="248" t="str">
        <f t="shared" ref="F839:F846" si="2098">F815</f>
        <v>YEAR-2</v>
      </c>
      <c r="G839" s="250">
        <f>VLOOKUP(F839,TableInputsData[],$G$6,FALSE)</f>
        <v>2023</v>
      </c>
      <c r="H839" s="250" t="str">
        <f t="shared" ref="H839:I839" si="2099">H838</f>
        <v>PRODUCT</v>
      </c>
      <c r="I839" s="248" t="str">
        <f t="shared" si="2099"/>
        <v>PRODUCT 20</v>
      </c>
      <c r="J839" s="248" t="str">
        <f>VLOOKUP(I839,TableInputsData[],$J$6,FALSE)</f>
        <v>-</v>
      </c>
      <c r="K839" s="248" t="s">
        <v>532</v>
      </c>
      <c r="L839" s="256"/>
      <c r="M839" s="256"/>
      <c r="N839" s="256"/>
      <c r="O839" s="266"/>
      <c r="P839" s="261"/>
      <c r="Q839" s="261"/>
      <c r="R839" s="261"/>
      <c r="S839" s="629"/>
      <c r="T839" s="629"/>
      <c r="U839" s="629"/>
      <c r="V839" s="629"/>
      <c r="W839" s="261"/>
      <c r="X839" s="261"/>
      <c r="Y839" s="261"/>
      <c r="Z839" s="261"/>
      <c r="AA839" s="261"/>
      <c r="AB839" s="261"/>
      <c r="AC839" s="266"/>
      <c r="AD839" s="633"/>
      <c r="AE839" s="264">
        <f>IF(AE807=0,0,AE831/AE807)</f>
        <v>0</v>
      </c>
      <c r="AF839" s="264">
        <f t="shared" ref="AF839:AI839" si="2100">IF(AF807=0,0,AF831/AF807)</f>
        <v>0</v>
      </c>
      <c r="AG839" s="264">
        <f t="shared" si="2100"/>
        <v>0</v>
      </c>
      <c r="AH839" s="264">
        <f t="shared" si="2100"/>
        <v>0</v>
      </c>
      <c r="AI839" s="264">
        <f t="shared" si="2100"/>
        <v>0</v>
      </c>
      <c r="AJ839" s="264">
        <f>IF(AJ807=0,0,AJ831/AJ807)</f>
        <v>0</v>
      </c>
      <c r="AK839" s="264">
        <f t="shared" ref="AK839:AL839" si="2101">IF(AK807=0,0,AK831/AK807)</f>
        <v>0</v>
      </c>
      <c r="AL839" s="264">
        <f t="shared" si="2101"/>
        <v>0</v>
      </c>
      <c r="AM839" s="264">
        <f>IF(AM807=0,0,AM831/AM807)</f>
        <v>0</v>
      </c>
      <c r="AN839" s="260"/>
      <c r="AO839" s="264">
        <f t="shared" ref="AO839" si="2102">IF(AO807=0,0,AO831/AO807)</f>
        <v>0</v>
      </c>
      <c r="AP839" s="260"/>
      <c r="AQ839" s="264"/>
      <c r="AR839" s="264" t="str">
        <f>VLOOKUP($I839,TableInputsData[],ReadMe!$M$3,FALSE)&amp;"  |  "&amp;VLOOKUP($K839,TableInputsData[],ReadMe!$M$3,FALSE)</f>
        <v>PRODUIT 20  |  PRIX MOYEN D'ACHAT PAR PRODUIT/SERVICE</v>
      </c>
      <c r="AS839" s="264"/>
      <c r="AT839" s="294"/>
    </row>
    <row r="840" spans="1:46" ht="13" hidden="1" x14ac:dyDescent="0.2">
      <c r="A840" s="294"/>
      <c r="B840" s="925"/>
      <c r="C840" s="272">
        <v>833</v>
      </c>
      <c r="D840" s="250">
        <f t="shared" si="2016"/>
        <v>0</v>
      </c>
      <c r="E840" s="251"/>
      <c r="F840" s="248" t="str">
        <f t="shared" si="2098"/>
        <v>YEAR-1</v>
      </c>
      <c r="G840" s="250">
        <f>VLOOKUP(F840,TableInputsData[],$G$6,FALSE)</f>
        <v>2024</v>
      </c>
      <c r="H840" s="250" t="str">
        <f t="shared" ref="H840:I840" si="2103">H839</f>
        <v>PRODUCT</v>
      </c>
      <c r="I840" s="248" t="str">
        <f t="shared" si="2103"/>
        <v>PRODUCT 20</v>
      </c>
      <c r="J840" s="248" t="str">
        <f>VLOOKUP(I840,TableInputsData[],$J$6,FALSE)</f>
        <v>-</v>
      </c>
      <c r="K840" s="248" t="str">
        <f>K839</f>
        <v>AVERAGE COST OF GOODS SOLD PER UNIT</v>
      </c>
      <c r="L840" s="256"/>
      <c r="M840" s="256"/>
      <c r="N840" s="256"/>
      <c r="O840" s="266"/>
      <c r="P840" s="261"/>
      <c r="Q840" s="261"/>
      <c r="R840" s="261"/>
      <c r="S840" s="629"/>
      <c r="T840" s="629"/>
      <c r="U840" s="629"/>
      <c r="V840" s="629"/>
      <c r="W840" s="261"/>
      <c r="X840" s="261"/>
      <c r="Y840" s="261"/>
      <c r="Z840" s="261"/>
      <c r="AA840" s="261"/>
      <c r="AB840" s="261"/>
      <c r="AC840" s="266"/>
      <c r="AD840" s="633"/>
      <c r="AE840" s="264">
        <f t="shared" ref="AE840:AL840" si="2104">IF(AE808=0,0,AE832/AE808)</f>
        <v>0</v>
      </c>
      <c r="AF840" s="264">
        <f t="shared" si="2104"/>
        <v>0</v>
      </c>
      <c r="AG840" s="264">
        <f t="shared" si="2104"/>
        <v>0</v>
      </c>
      <c r="AH840" s="264">
        <f t="shared" si="2104"/>
        <v>0</v>
      </c>
      <c r="AI840" s="264">
        <f t="shared" si="2104"/>
        <v>0</v>
      </c>
      <c r="AJ840" s="264">
        <f t="shared" si="2104"/>
        <v>0</v>
      </c>
      <c r="AK840" s="264">
        <f t="shared" si="2104"/>
        <v>0</v>
      </c>
      <c r="AL840" s="264">
        <f t="shared" si="2104"/>
        <v>0</v>
      </c>
      <c r="AM840" s="264">
        <f>IF(AM808=0,0,AM832/AM808)</f>
        <v>0</v>
      </c>
      <c r="AN840" s="260"/>
      <c r="AO840" s="264">
        <f>IF(AO808=0,0,AO832/AO808)</f>
        <v>0</v>
      </c>
      <c r="AP840" s="260"/>
      <c r="AQ840" s="264"/>
      <c r="AR840" s="264" t="str">
        <f>VLOOKUP($I840,TableInputsData[],ReadMe!$M$3,FALSE)&amp;"  |  "&amp;VLOOKUP($K840,TableInputsData[],ReadMe!$M$3,FALSE)</f>
        <v>PRODUIT 20  |  PRIX MOYEN D'ACHAT PAR PRODUIT/SERVICE</v>
      </c>
      <c r="AS840" s="264"/>
      <c r="AT840" s="294"/>
    </row>
    <row r="841" spans="1:46" ht="13" hidden="1" x14ac:dyDescent="0.2">
      <c r="A841" s="294"/>
      <c r="B841" s="925"/>
      <c r="C841" s="272">
        <v>834</v>
      </c>
      <c r="D841" s="250">
        <f t="shared" si="2016"/>
        <v>0</v>
      </c>
      <c r="E841" s="251"/>
      <c r="F841" s="248" t="str">
        <f t="shared" si="2098"/>
        <v>CURRENT YEAR</v>
      </c>
      <c r="G841" s="250">
        <f>VLOOKUP(F841,TableInputsData[],$G$6,FALSE)</f>
        <v>2025</v>
      </c>
      <c r="H841" s="250" t="str">
        <f t="shared" ref="H841:I841" si="2105">H840</f>
        <v>PRODUCT</v>
      </c>
      <c r="I841" s="248" t="str">
        <f t="shared" si="2105"/>
        <v>PRODUCT 20</v>
      </c>
      <c r="J841" s="248" t="str">
        <f>VLOOKUP(I841,TableInputsData[],$J$6,FALSE)</f>
        <v>-</v>
      </c>
      <c r="K841" s="248" t="str">
        <f t="shared" ref="K841:K846" si="2106">K840</f>
        <v>AVERAGE COST OF GOODS SOLD PER UNIT</v>
      </c>
      <c r="L841" s="256"/>
      <c r="M841" s="256"/>
      <c r="N841" s="256"/>
      <c r="O841" s="266"/>
      <c r="P841" s="261"/>
      <c r="Q841" s="261"/>
      <c r="R841" s="261"/>
      <c r="S841" s="629"/>
      <c r="T841" s="629"/>
      <c r="U841" s="629"/>
      <c r="V841" s="629"/>
      <c r="W841" s="261"/>
      <c r="X841" s="261"/>
      <c r="Y841" s="261"/>
      <c r="Z841" s="261"/>
      <c r="AA841" s="261"/>
      <c r="AB841" s="261"/>
      <c r="AC841" s="266"/>
      <c r="AD841" s="633"/>
      <c r="AE841" s="264">
        <f t="shared" ref="AE841:AL841" si="2107">IF(AE809=0,0,AE833/AE809)</f>
        <v>0</v>
      </c>
      <c r="AF841" s="264">
        <f t="shared" si="2107"/>
        <v>0</v>
      </c>
      <c r="AG841" s="264">
        <f t="shared" si="2107"/>
        <v>0</v>
      </c>
      <c r="AH841" s="264">
        <f t="shared" si="2107"/>
        <v>0</v>
      </c>
      <c r="AI841" s="264">
        <f t="shared" si="2107"/>
        <v>0</v>
      </c>
      <c r="AJ841" s="264">
        <f t="shared" si="2107"/>
        <v>0</v>
      </c>
      <c r="AK841" s="264">
        <f t="shared" si="2107"/>
        <v>0</v>
      </c>
      <c r="AL841" s="264">
        <f t="shared" si="2107"/>
        <v>0</v>
      </c>
      <c r="AM841" s="264">
        <f>IF(AM809=0,0,AM833/AM809)</f>
        <v>0</v>
      </c>
      <c r="AN841" s="260"/>
      <c r="AO841" s="264">
        <f>IF(AO809=0,0,AO833/AO809)</f>
        <v>0</v>
      </c>
      <c r="AP841" s="260"/>
      <c r="AQ841" s="264"/>
      <c r="AR841" s="264" t="str">
        <f>VLOOKUP($I841,TableInputsData[],ReadMe!$M$3,FALSE)&amp;"  |  "&amp;VLOOKUP($K841,TableInputsData[],ReadMe!$M$3,FALSE)</f>
        <v>PRODUIT 20  |  PRIX MOYEN D'ACHAT PAR PRODUIT/SERVICE</v>
      </c>
      <c r="AS841" s="264"/>
      <c r="AT841" s="294"/>
    </row>
    <row r="842" spans="1:46" ht="13" hidden="1" x14ac:dyDescent="0.2">
      <c r="A842" s="294"/>
      <c r="B842" s="925"/>
      <c r="C842" s="272">
        <v>835</v>
      </c>
      <c r="D842" s="250">
        <f t="shared" si="2016"/>
        <v>0</v>
      </c>
      <c r="E842" s="251"/>
      <c r="F842" s="248" t="str">
        <f t="shared" si="2098"/>
        <v>YEAR2</v>
      </c>
      <c r="G842" s="250">
        <f>VLOOKUP(F842,TableInputsData[],$G$6,FALSE)</f>
        <v>2026</v>
      </c>
      <c r="H842" s="250" t="str">
        <f t="shared" ref="H842:I842" si="2108">H841</f>
        <v>PRODUCT</v>
      </c>
      <c r="I842" s="248" t="str">
        <f t="shared" si="2108"/>
        <v>PRODUCT 20</v>
      </c>
      <c r="J842" s="248" t="str">
        <f>VLOOKUP(I842,TableInputsData[],$J$6,FALSE)</f>
        <v>-</v>
      </c>
      <c r="K842" s="248" t="str">
        <f t="shared" si="2106"/>
        <v>AVERAGE COST OF GOODS SOLD PER UNIT</v>
      </c>
      <c r="L842" s="256"/>
      <c r="M842" s="256"/>
      <c r="N842" s="256"/>
      <c r="O842" s="266"/>
      <c r="P842" s="261"/>
      <c r="Q842" s="261"/>
      <c r="R842" s="261"/>
      <c r="S842" s="629"/>
      <c r="T842" s="629"/>
      <c r="U842" s="629"/>
      <c r="V842" s="629"/>
      <c r="W842" s="261"/>
      <c r="X842" s="261"/>
      <c r="Y842" s="261"/>
      <c r="Z842" s="261"/>
      <c r="AA842" s="261"/>
      <c r="AB842" s="261"/>
      <c r="AC842" s="266"/>
      <c r="AD842" s="633"/>
      <c r="AE842" s="264">
        <f t="shared" ref="AE842:AM842" si="2109">IF(AE810=0,0,AE834/AE810)</f>
        <v>0</v>
      </c>
      <c r="AF842" s="264">
        <f t="shared" si="2109"/>
        <v>0</v>
      </c>
      <c r="AG842" s="264">
        <f t="shared" si="2109"/>
        <v>0</v>
      </c>
      <c r="AH842" s="264">
        <f t="shared" si="2109"/>
        <v>0</v>
      </c>
      <c r="AI842" s="264">
        <f t="shared" si="2109"/>
        <v>0</v>
      </c>
      <c r="AJ842" s="264">
        <f t="shared" si="2109"/>
        <v>0</v>
      </c>
      <c r="AK842" s="264">
        <f t="shared" si="2109"/>
        <v>0</v>
      </c>
      <c r="AL842" s="264">
        <f t="shared" si="2109"/>
        <v>0</v>
      </c>
      <c r="AM842" s="264">
        <f t="shared" si="2109"/>
        <v>0</v>
      </c>
      <c r="AN842" s="260"/>
      <c r="AO842" s="264">
        <f t="shared" ref="AO842:AO846" si="2110">IF(AO810=0,0,AO834/AO810)</f>
        <v>0</v>
      </c>
      <c r="AP842" s="260"/>
      <c r="AQ842" s="264"/>
      <c r="AR842" s="264" t="str">
        <f>VLOOKUP($I842,TableInputsData[],ReadMe!$M$3,FALSE)&amp;"  |  "&amp;VLOOKUP($K842,TableInputsData[],ReadMe!$M$3,FALSE)</f>
        <v>PRODUIT 20  |  PRIX MOYEN D'ACHAT PAR PRODUIT/SERVICE</v>
      </c>
      <c r="AS842" s="264"/>
      <c r="AT842" s="294"/>
    </row>
    <row r="843" spans="1:46" ht="13" hidden="1" x14ac:dyDescent="0.2">
      <c r="A843" s="294"/>
      <c r="B843" s="925"/>
      <c r="C843" s="272">
        <v>836</v>
      </c>
      <c r="D843" s="250">
        <f t="shared" si="2016"/>
        <v>0</v>
      </c>
      <c r="E843" s="251"/>
      <c r="F843" s="248" t="str">
        <f t="shared" si="2098"/>
        <v>YEAR3</v>
      </c>
      <c r="G843" s="250">
        <f>VLOOKUP(F843,TableInputsData[],$G$6,FALSE)</f>
        <v>2027</v>
      </c>
      <c r="H843" s="250" t="str">
        <f t="shared" ref="H843:I843" si="2111">H842</f>
        <v>PRODUCT</v>
      </c>
      <c r="I843" s="248" t="str">
        <f t="shared" si="2111"/>
        <v>PRODUCT 20</v>
      </c>
      <c r="J843" s="248" t="str">
        <f>VLOOKUP(I843,TableInputsData[],$J$6,FALSE)</f>
        <v>-</v>
      </c>
      <c r="K843" s="248" t="str">
        <f t="shared" si="2106"/>
        <v>AVERAGE COST OF GOODS SOLD PER UNIT</v>
      </c>
      <c r="L843" s="256"/>
      <c r="M843" s="256"/>
      <c r="N843" s="256"/>
      <c r="O843" s="266"/>
      <c r="P843" s="261"/>
      <c r="Q843" s="261"/>
      <c r="R843" s="261"/>
      <c r="S843" s="629"/>
      <c r="T843" s="629"/>
      <c r="U843" s="629"/>
      <c r="V843" s="629"/>
      <c r="W843" s="261"/>
      <c r="X843" s="261"/>
      <c r="Y843" s="261"/>
      <c r="Z843" s="261"/>
      <c r="AA843" s="261"/>
      <c r="AB843" s="261"/>
      <c r="AC843" s="266"/>
      <c r="AD843" s="633"/>
      <c r="AE843" s="264">
        <f t="shared" ref="AE843:AM843" si="2112">IF(AE811=0,0,AE835/AE811)</f>
        <v>0</v>
      </c>
      <c r="AF843" s="264">
        <f t="shared" si="2112"/>
        <v>0</v>
      </c>
      <c r="AG843" s="264">
        <f t="shared" si="2112"/>
        <v>0</v>
      </c>
      <c r="AH843" s="264">
        <f t="shared" si="2112"/>
        <v>0</v>
      </c>
      <c r="AI843" s="264">
        <f t="shared" si="2112"/>
        <v>0</v>
      </c>
      <c r="AJ843" s="264">
        <f t="shared" si="2112"/>
        <v>0</v>
      </c>
      <c r="AK843" s="264">
        <f t="shared" si="2112"/>
        <v>0</v>
      </c>
      <c r="AL843" s="264">
        <f t="shared" si="2112"/>
        <v>0</v>
      </c>
      <c r="AM843" s="264">
        <f t="shared" si="2112"/>
        <v>0</v>
      </c>
      <c r="AN843" s="260"/>
      <c r="AO843" s="264">
        <f t="shared" si="2110"/>
        <v>0</v>
      </c>
      <c r="AP843" s="260"/>
      <c r="AQ843" s="264"/>
      <c r="AR843" s="264" t="str">
        <f>VLOOKUP($I843,TableInputsData[],ReadMe!$M$3,FALSE)&amp;"  |  "&amp;VLOOKUP($K843,TableInputsData[],ReadMe!$M$3,FALSE)</f>
        <v>PRODUIT 20  |  PRIX MOYEN D'ACHAT PAR PRODUIT/SERVICE</v>
      </c>
      <c r="AS843" s="264"/>
      <c r="AT843" s="294"/>
    </row>
    <row r="844" spans="1:46" ht="13" hidden="1" x14ac:dyDescent="0.2">
      <c r="A844" s="294"/>
      <c r="B844" s="925"/>
      <c r="C844" s="272">
        <v>837</v>
      </c>
      <c r="D844" s="250">
        <f t="shared" si="2016"/>
        <v>0</v>
      </c>
      <c r="E844" s="251"/>
      <c r="F844" s="248" t="str">
        <f t="shared" si="2098"/>
        <v>YEAR4</v>
      </c>
      <c r="G844" s="250">
        <f>VLOOKUP(F844,TableInputsData[],$G$6,FALSE)</f>
        <v>2028</v>
      </c>
      <c r="H844" s="250" t="str">
        <f t="shared" ref="H844:I844" si="2113">H843</f>
        <v>PRODUCT</v>
      </c>
      <c r="I844" s="248" t="str">
        <f t="shared" si="2113"/>
        <v>PRODUCT 20</v>
      </c>
      <c r="J844" s="248" t="str">
        <f>VLOOKUP(I844,TableInputsData[],$J$6,FALSE)</f>
        <v>-</v>
      </c>
      <c r="K844" s="248" t="str">
        <f t="shared" si="2106"/>
        <v>AVERAGE COST OF GOODS SOLD PER UNIT</v>
      </c>
      <c r="L844" s="256"/>
      <c r="M844" s="256"/>
      <c r="N844" s="256"/>
      <c r="O844" s="266"/>
      <c r="P844" s="261"/>
      <c r="Q844" s="261"/>
      <c r="R844" s="261"/>
      <c r="S844" s="629"/>
      <c r="T844" s="629"/>
      <c r="U844" s="629"/>
      <c r="V844" s="629"/>
      <c r="W844" s="261"/>
      <c r="X844" s="261"/>
      <c r="Y844" s="261"/>
      <c r="Z844" s="261"/>
      <c r="AA844" s="261"/>
      <c r="AB844" s="261"/>
      <c r="AC844" s="266"/>
      <c r="AD844" s="633"/>
      <c r="AE844" s="264">
        <f t="shared" ref="AE844:AM844" si="2114">IF(AE812=0,0,AE836/AE812)</f>
        <v>0</v>
      </c>
      <c r="AF844" s="264">
        <f t="shared" si="2114"/>
        <v>0</v>
      </c>
      <c r="AG844" s="264">
        <f t="shared" si="2114"/>
        <v>0</v>
      </c>
      <c r="AH844" s="264">
        <f t="shared" si="2114"/>
        <v>0</v>
      </c>
      <c r="AI844" s="264">
        <f t="shared" si="2114"/>
        <v>0</v>
      </c>
      <c r="AJ844" s="264">
        <f t="shared" si="2114"/>
        <v>0</v>
      </c>
      <c r="AK844" s="264">
        <f t="shared" si="2114"/>
        <v>0</v>
      </c>
      <c r="AL844" s="264">
        <f t="shared" si="2114"/>
        <v>0</v>
      </c>
      <c r="AM844" s="264">
        <f t="shared" si="2114"/>
        <v>0</v>
      </c>
      <c r="AN844" s="260"/>
      <c r="AO844" s="264">
        <f t="shared" si="2110"/>
        <v>0</v>
      </c>
      <c r="AP844" s="260"/>
      <c r="AQ844" s="264"/>
      <c r="AR844" s="264" t="str">
        <f>VLOOKUP($I844,TableInputsData[],ReadMe!$M$3,FALSE)&amp;"  |  "&amp;VLOOKUP($K844,TableInputsData[],ReadMe!$M$3,FALSE)</f>
        <v>PRODUIT 20  |  PRIX MOYEN D'ACHAT PAR PRODUIT/SERVICE</v>
      </c>
      <c r="AS844" s="264"/>
      <c r="AT844" s="294"/>
    </row>
    <row r="845" spans="1:46" ht="13" hidden="1" x14ac:dyDescent="0.2">
      <c r="A845" s="294"/>
      <c r="B845" s="925"/>
      <c r="C845" s="272">
        <v>838</v>
      </c>
      <c r="D845" s="250">
        <f t="shared" si="2016"/>
        <v>0</v>
      </c>
      <c r="E845" s="251"/>
      <c r="F845" s="248" t="str">
        <f t="shared" si="2098"/>
        <v>YEAR5</v>
      </c>
      <c r="G845" s="250">
        <f>VLOOKUP(F845,TableInputsData[],$G$6,FALSE)</f>
        <v>2029</v>
      </c>
      <c r="H845" s="250" t="str">
        <f t="shared" ref="H845:I845" si="2115">H844</f>
        <v>PRODUCT</v>
      </c>
      <c r="I845" s="248" t="str">
        <f t="shared" si="2115"/>
        <v>PRODUCT 20</v>
      </c>
      <c r="J845" s="248" t="str">
        <f>VLOOKUP(I845,TableInputsData[],$J$6,FALSE)</f>
        <v>-</v>
      </c>
      <c r="K845" s="248" t="str">
        <f t="shared" si="2106"/>
        <v>AVERAGE COST OF GOODS SOLD PER UNIT</v>
      </c>
      <c r="L845" s="256"/>
      <c r="M845" s="256"/>
      <c r="N845" s="256"/>
      <c r="O845" s="266"/>
      <c r="P845" s="261"/>
      <c r="Q845" s="261"/>
      <c r="R845" s="261"/>
      <c r="S845" s="629"/>
      <c r="T845" s="629"/>
      <c r="U845" s="629"/>
      <c r="V845" s="629"/>
      <c r="W845" s="261"/>
      <c r="X845" s="261"/>
      <c r="Y845" s="261"/>
      <c r="Z845" s="261"/>
      <c r="AA845" s="261"/>
      <c r="AB845" s="261"/>
      <c r="AC845" s="266"/>
      <c r="AD845" s="633"/>
      <c r="AE845" s="264">
        <f t="shared" ref="AE845:AM845" si="2116">IF(AE813=0,0,AE837/AE813)</f>
        <v>0</v>
      </c>
      <c r="AF845" s="264">
        <f t="shared" si="2116"/>
        <v>0</v>
      </c>
      <c r="AG845" s="264">
        <f t="shared" si="2116"/>
        <v>0</v>
      </c>
      <c r="AH845" s="264">
        <f t="shared" si="2116"/>
        <v>0</v>
      </c>
      <c r="AI845" s="264">
        <f t="shared" si="2116"/>
        <v>0</v>
      </c>
      <c r="AJ845" s="264">
        <f t="shared" si="2116"/>
        <v>0</v>
      </c>
      <c r="AK845" s="264">
        <f t="shared" si="2116"/>
        <v>0</v>
      </c>
      <c r="AL845" s="264">
        <f t="shared" si="2116"/>
        <v>0</v>
      </c>
      <c r="AM845" s="264">
        <f t="shared" si="2116"/>
        <v>0</v>
      </c>
      <c r="AN845" s="260"/>
      <c r="AO845" s="264">
        <f t="shared" si="2110"/>
        <v>0</v>
      </c>
      <c r="AP845" s="260"/>
      <c r="AQ845" s="264"/>
      <c r="AR845" s="264" t="str">
        <f>VLOOKUP($I845,TableInputsData[],ReadMe!$M$3,FALSE)&amp;"  |  "&amp;VLOOKUP($K845,TableInputsData[],ReadMe!$M$3,FALSE)</f>
        <v>PRODUIT 20  |  PRIX MOYEN D'ACHAT PAR PRODUIT/SERVICE</v>
      </c>
      <c r="AS845" s="264"/>
      <c r="AT845" s="294"/>
    </row>
    <row r="846" spans="1:46" ht="13" hidden="1" x14ac:dyDescent="0.2">
      <c r="A846" s="294"/>
      <c r="B846" s="925"/>
      <c r="C846" s="272">
        <v>839</v>
      </c>
      <c r="D846" s="250">
        <f t="shared" si="2016"/>
        <v>0</v>
      </c>
      <c r="E846" s="251"/>
      <c r="F846" s="248" t="str">
        <f t="shared" si="2098"/>
        <v>YEAR6</v>
      </c>
      <c r="G846" s="250">
        <f>VLOOKUP(F846,TableInputsData[],$G$6,FALSE)</f>
        <v>2030</v>
      </c>
      <c r="H846" s="250" t="str">
        <f t="shared" ref="H846:I846" si="2117">H845</f>
        <v>PRODUCT</v>
      </c>
      <c r="I846" s="248" t="str">
        <f t="shared" si="2117"/>
        <v>PRODUCT 20</v>
      </c>
      <c r="J846" s="248" t="str">
        <f>VLOOKUP(I846,TableInputsData[],$J$6,FALSE)</f>
        <v>-</v>
      </c>
      <c r="K846" s="248" t="str">
        <f t="shared" si="2106"/>
        <v>AVERAGE COST OF GOODS SOLD PER UNIT</v>
      </c>
      <c r="L846" s="256"/>
      <c r="M846" s="256"/>
      <c r="N846" s="256"/>
      <c r="O846" s="266"/>
      <c r="P846" s="261"/>
      <c r="Q846" s="261"/>
      <c r="R846" s="261"/>
      <c r="S846" s="629"/>
      <c r="T846" s="629"/>
      <c r="U846" s="629"/>
      <c r="V846" s="629"/>
      <c r="W846" s="261"/>
      <c r="X846" s="261"/>
      <c r="Y846" s="261"/>
      <c r="Z846" s="261"/>
      <c r="AA846" s="261"/>
      <c r="AB846" s="261"/>
      <c r="AC846" s="266"/>
      <c r="AD846" s="633"/>
      <c r="AE846" s="264">
        <f t="shared" ref="AE846:AM846" si="2118">IF(AE814=0,0,AE838/AE814)</f>
        <v>0</v>
      </c>
      <c r="AF846" s="264">
        <f t="shared" si="2118"/>
        <v>0</v>
      </c>
      <c r="AG846" s="264">
        <f t="shared" si="2118"/>
        <v>0</v>
      </c>
      <c r="AH846" s="264">
        <f t="shared" si="2118"/>
        <v>0</v>
      </c>
      <c r="AI846" s="264">
        <f t="shared" si="2118"/>
        <v>0</v>
      </c>
      <c r="AJ846" s="264">
        <f t="shared" si="2118"/>
        <v>0</v>
      </c>
      <c r="AK846" s="264">
        <f t="shared" si="2118"/>
        <v>0</v>
      </c>
      <c r="AL846" s="264">
        <f t="shared" si="2118"/>
        <v>0</v>
      </c>
      <c r="AM846" s="264">
        <f t="shared" si="2118"/>
        <v>0</v>
      </c>
      <c r="AN846" s="260"/>
      <c r="AO846" s="264">
        <f t="shared" si="2110"/>
        <v>0</v>
      </c>
      <c r="AP846" s="260"/>
      <c r="AQ846" s="264"/>
      <c r="AR846" s="264" t="str">
        <f>VLOOKUP($I846,TableInputsData[],ReadMe!$M$3,FALSE)&amp;"  |  "&amp;VLOOKUP($K846,TableInputsData[],ReadMe!$M$3,FALSE)</f>
        <v>PRODUIT 20  |  PRIX MOYEN D'ACHAT PAR PRODUIT/SERVICE</v>
      </c>
      <c r="AS846" s="264"/>
      <c r="AT846" s="294"/>
    </row>
    <row r="847" spans="1:46" ht="13" x14ac:dyDescent="0.2">
      <c r="A847" s="294"/>
      <c r="B847" s="925"/>
      <c r="C847" s="273">
        <v>840</v>
      </c>
      <c r="D847" s="253">
        <v>0</v>
      </c>
      <c r="E847" s="253">
        <v>1</v>
      </c>
      <c r="F847" s="252"/>
      <c r="G847" s="253"/>
      <c r="H847" s="253"/>
      <c r="I847" s="252"/>
      <c r="J847" s="252"/>
      <c r="K847" s="252"/>
      <c r="L847" s="257"/>
      <c r="M847" s="257"/>
      <c r="N847" s="257"/>
      <c r="O847" s="267"/>
      <c r="P847" s="262"/>
      <c r="Q847" s="262"/>
      <c r="R847" s="262"/>
      <c r="S847" s="631"/>
      <c r="T847" s="631"/>
      <c r="U847" s="631"/>
      <c r="V847" s="631"/>
      <c r="W847" s="262"/>
      <c r="X847" s="262"/>
      <c r="Y847" s="262"/>
      <c r="Z847" s="262"/>
      <c r="AA847" s="262"/>
      <c r="AB847" s="262"/>
      <c r="AC847" s="267"/>
      <c r="AD847" s="635"/>
      <c r="AE847" s="270"/>
      <c r="AF847" s="270"/>
      <c r="AG847" s="270"/>
      <c r="AH847" s="270"/>
      <c r="AI847" s="270"/>
      <c r="AJ847" s="270"/>
      <c r="AK847" s="270"/>
      <c r="AL847" s="270"/>
      <c r="AM847" s="270"/>
      <c r="AN847" s="643"/>
      <c r="AO847" s="270"/>
      <c r="AP847" s="270"/>
      <c r="AQ847" s="270"/>
      <c r="AR847" s="270"/>
      <c r="AS847" s="270"/>
      <c r="AT847" s="294"/>
    </row>
    <row r="848" spans="1:46" ht="13" hidden="1" x14ac:dyDescent="0.2">
      <c r="A848" s="294"/>
      <c r="B848" s="924" t="str">
        <f>I849&amp;"___"</f>
        <v>SERVICE 01___</v>
      </c>
      <c r="C848" s="271">
        <v>841</v>
      </c>
      <c r="D848" s="250">
        <v>0</v>
      </c>
      <c r="E848" s="250"/>
      <c r="F848" s="248"/>
      <c r="G848" s="250"/>
      <c r="H848" s="250"/>
      <c r="I848" s="248"/>
      <c r="J848" s="248"/>
      <c r="K848" s="248"/>
      <c r="L848" s="254"/>
      <c r="M848" s="254"/>
      <c r="N848" s="254"/>
      <c r="O848" s="264"/>
      <c r="P848" s="259"/>
      <c r="Q848" s="259"/>
      <c r="R848" s="259"/>
      <c r="S848" s="628"/>
      <c r="T848" s="628"/>
      <c r="U848" s="628"/>
      <c r="V848" s="628"/>
      <c r="W848" s="259"/>
      <c r="X848" s="259"/>
      <c r="Y848" s="259"/>
      <c r="Z848" s="259"/>
      <c r="AA848" s="259"/>
      <c r="AB848" s="259"/>
      <c r="AC848" s="264"/>
      <c r="AD848" s="609"/>
      <c r="AE848" s="269"/>
      <c r="AF848" s="269"/>
      <c r="AG848" s="269"/>
      <c r="AH848" s="269"/>
      <c r="AI848" s="269"/>
      <c r="AJ848" s="269"/>
      <c r="AK848" s="269"/>
      <c r="AL848" s="269"/>
      <c r="AM848" s="269"/>
      <c r="AN848" s="642"/>
      <c r="AO848" s="269"/>
      <c r="AP848" s="269"/>
      <c r="AQ848" s="269"/>
      <c r="AR848" s="269"/>
      <c r="AS848" s="269"/>
      <c r="AT848" s="294"/>
    </row>
    <row r="849" spans="1:46" ht="13" x14ac:dyDescent="0.2">
      <c r="A849" s="294"/>
      <c r="B849" s="924"/>
      <c r="C849" s="271">
        <v>842</v>
      </c>
      <c r="D849" s="250">
        <f>VLOOKUP($I849,TableInputsData[],$D$6,FALSE)</f>
        <v>0</v>
      </c>
      <c r="E849" s="250">
        <v>1</v>
      </c>
      <c r="F849" s="248" t="s">
        <v>392</v>
      </c>
      <c r="G849" s="250">
        <f>VLOOKUP(F849,TableInputsData[],$G$6,FALSE)</f>
        <v>2023</v>
      </c>
      <c r="H849" s="250" t="s">
        <v>121</v>
      </c>
      <c r="I849" s="248" t="s">
        <v>546</v>
      </c>
      <c r="J849" s="248" t="str">
        <f>VLOOKUP(I849,TableInputsData[],$J$6,FALSE)</f>
        <v>-</v>
      </c>
      <c r="K849" s="248" t="s">
        <v>261</v>
      </c>
      <c r="L849" s="499">
        <v>1000</v>
      </c>
      <c r="M849" s="499">
        <v>0</v>
      </c>
      <c r="N849" s="499">
        <v>0</v>
      </c>
      <c r="O849" s="264">
        <f t="shared" ref="O849:O856" si="2119">$L849*$P849+$M849*$Q849+$N849*$R849</f>
        <v>1000</v>
      </c>
      <c r="P849" s="500">
        <v>1</v>
      </c>
      <c r="Q849" s="500">
        <v>0</v>
      </c>
      <c r="R849" s="259">
        <f>1-$P849-$Q849</f>
        <v>0</v>
      </c>
      <c r="S849" s="626">
        <v>500</v>
      </c>
      <c r="T849" s="626">
        <v>0</v>
      </c>
      <c r="U849" s="626">
        <v>0</v>
      </c>
      <c r="V849" s="628">
        <f>($L849*$P849*$S849+$M849*$Q849*$T849+$N849*$R849*$U849)/$O849</f>
        <v>500</v>
      </c>
      <c r="W849" s="500">
        <v>1</v>
      </c>
      <c r="X849" s="500">
        <v>1</v>
      </c>
      <c r="Y849" s="500">
        <v>1</v>
      </c>
      <c r="Z849" s="259">
        <f t="shared" ref="Z849:Z856" si="2120">1-$W849</f>
        <v>0</v>
      </c>
      <c r="AA849" s="259">
        <f t="shared" ref="AA849:AA856" si="2121">1-$X849</f>
        <v>0</v>
      </c>
      <c r="AB849" s="259">
        <f t="shared" ref="AB849:AB856" si="2122">1-$Y849</f>
        <v>0</v>
      </c>
      <c r="AC849" s="628">
        <f>AM881</f>
        <v>0</v>
      </c>
      <c r="AD849" s="628">
        <f>AO881</f>
        <v>0</v>
      </c>
      <c r="AE849" s="501">
        <v>0</v>
      </c>
      <c r="AF849" s="501">
        <v>0</v>
      </c>
      <c r="AG849" s="501">
        <v>0</v>
      </c>
      <c r="AH849" s="501">
        <v>0</v>
      </c>
      <c r="AI849" s="264">
        <f>$AE849+$AF849+$AG849+$AH849</f>
        <v>0</v>
      </c>
      <c r="AJ849" s="264">
        <f t="shared" ref="AJ849:AJ856" si="2123">$AI849*$P849</f>
        <v>0</v>
      </c>
      <c r="AK849" s="264">
        <f t="shared" ref="AK849:AK856" si="2124">$AI849*$Q849</f>
        <v>0</v>
      </c>
      <c r="AL849" s="264">
        <f t="shared" ref="AL849:AL856" si="2125">$AI849*$R849</f>
        <v>0</v>
      </c>
      <c r="AM849" s="264">
        <f t="shared" ref="AM849:AM856" si="2126">$AJ849*$W849+$AK849*$X849+$AL849*$Y849</f>
        <v>0</v>
      </c>
      <c r="AN849" s="640">
        <f>IF(AI849=0,0,AM849/AI849)</f>
        <v>0</v>
      </c>
      <c r="AO849" s="264">
        <f t="shared" ref="AO849:AO856" si="2127">$AJ849*$Z849+$AK849*$AA849+$AL849*$AB849</f>
        <v>0</v>
      </c>
      <c r="AP849" s="640">
        <f t="shared" ref="AP849:AP864" si="2128">IF(AI849=0,0,AO849/AI849)</f>
        <v>0</v>
      </c>
      <c r="AQ849" s="264" t="str">
        <f>VLOOKUP(I849,TableInputsData[],$AQ$6,FALSE)</f>
        <v>GAMME # : 1 + CANAL DE DISTRIBUTION # : 1</v>
      </c>
      <c r="AR849" s="264" t="str">
        <f>VLOOKUP($I849,TableInputsData[],ReadMe!$M$3,FALSE)&amp;"  |  "&amp;VLOOKUP($K849,TableInputsData[],ReadMe!$M$3,FALSE)</f>
        <v>SERVICE 01  |  VOLUME</v>
      </c>
      <c r="AS849" s="264" t="b">
        <f t="shared" ref="AS849:AS856" si="2129">AND(EXACT(ROUND(AI849,2),ROUND(AJ849+AK849+AL849,2)),EXACT(ROUND(AI849,2),ROUND(AM849+AO849,2)),EXACT(SUM(P849:R849),1),IF(R849&lt;0,FALSE,TRUE),EXACT(SUM(W849:AB849),3),MIN(W849:Y849)&gt;=0, MAX(W849:Y849)&lt;=1)</f>
        <v>1</v>
      </c>
      <c r="AT849" s="294"/>
    </row>
    <row r="850" spans="1:46" ht="13" x14ac:dyDescent="0.2">
      <c r="A850" s="294"/>
      <c r="B850" s="924"/>
      <c r="C850" s="271">
        <v>843</v>
      </c>
      <c r="D850" s="250">
        <f>D849</f>
        <v>0</v>
      </c>
      <c r="E850" s="250">
        <v>1</v>
      </c>
      <c r="F850" s="248" t="s">
        <v>391</v>
      </c>
      <c r="G850" s="250">
        <f>VLOOKUP(F850,TableInputsData[],$G$6,FALSE)</f>
        <v>2024</v>
      </c>
      <c r="H850" s="250" t="str">
        <f>H849</f>
        <v>SERVICE</v>
      </c>
      <c r="I850" s="248" t="str">
        <f>I849</f>
        <v>SERVICE 01</v>
      </c>
      <c r="J850" s="248" t="str">
        <f>VLOOKUP(I850,TableInputsData[],$J$6,FALSE)</f>
        <v>-</v>
      </c>
      <c r="K850" s="248" t="str">
        <f>K849</f>
        <v>VOLUME</v>
      </c>
      <c r="L850" s="499">
        <v>1000</v>
      </c>
      <c r="M850" s="499">
        <v>0</v>
      </c>
      <c r="N850" s="499">
        <v>0</v>
      </c>
      <c r="O850" s="264">
        <f t="shared" si="2119"/>
        <v>1000</v>
      </c>
      <c r="P850" s="500">
        <v>1</v>
      </c>
      <c r="Q850" s="500">
        <v>0</v>
      </c>
      <c r="R850" s="259">
        <f t="shared" ref="R850:R856" si="2130">1-$P850-$Q850</f>
        <v>0</v>
      </c>
      <c r="S850" s="626">
        <v>500</v>
      </c>
      <c r="T850" s="626">
        <v>0</v>
      </c>
      <c r="U850" s="626">
        <v>0</v>
      </c>
      <c r="V850" s="628">
        <f t="shared" ref="V850:V856" si="2131">($L850*$P850*$S850+$M850*$Q850*$T850+$N850*$R850*$U850)/$O850</f>
        <v>500</v>
      </c>
      <c r="W850" s="500">
        <v>1</v>
      </c>
      <c r="X850" s="500">
        <v>1</v>
      </c>
      <c r="Y850" s="500">
        <v>1</v>
      </c>
      <c r="Z850" s="259">
        <f t="shared" si="2120"/>
        <v>0</v>
      </c>
      <c r="AA850" s="259">
        <f t="shared" si="2121"/>
        <v>0</v>
      </c>
      <c r="AB850" s="259">
        <f t="shared" si="2122"/>
        <v>0</v>
      </c>
      <c r="AC850" s="628">
        <f t="shared" ref="AC850:AC856" si="2132">AM882</f>
        <v>0</v>
      </c>
      <c r="AD850" s="628">
        <f t="shared" ref="AD850:AD856" si="2133">AO882</f>
        <v>0</v>
      </c>
      <c r="AE850" s="501">
        <v>0</v>
      </c>
      <c r="AF850" s="501">
        <v>0</v>
      </c>
      <c r="AG850" s="501">
        <v>0</v>
      </c>
      <c r="AH850" s="501">
        <v>0</v>
      </c>
      <c r="AI850" s="264">
        <f>$AE850+$AF850+$AG850+$AH850</f>
        <v>0</v>
      </c>
      <c r="AJ850" s="264">
        <f t="shared" si="2123"/>
        <v>0</v>
      </c>
      <c r="AK850" s="264">
        <f t="shared" si="2124"/>
        <v>0</v>
      </c>
      <c r="AL850" s="264">
        <f t="shared" si="2125"/>
        <v>0</v>
      </c>
      <c r="AM850" s="264">
        <f t="shared" si="2126"/>
        <v>0</v>
      </c>
      <c r="AN850" s="640">
        <f t="shared" ref="AN850:AN864" si="2134">IF(AI850=0,0,AM850/AI850)</f>
        <v>0</v>
      </c>
      <c r="AO850" s="264">
        <f t="shared" si="2127"/>
        <v>0</v>
      </c>
      <c r="AP850" s="640">
        <f t="shared" si="2128"/>
        <v>0</v>
      </c>
      <c r="AQ850" s="501"/>
      <c r="AR850" s="264" t="str">
        <f>VLOOKUP($I850,TableInputsData[],ReadMe!$M$3,FALSE)&amp;"  |  "&amp;VLOOKUP($K850,TableInputsData[],ReadMe!$M$3,FALSE)</f>
        <v>SERVICE 01  |  VOLUME</v>
      </c>
      <c r="AS850" s="264" t="b">
        <f t="shared" si="2129"/>
        <v>1</v>
      </c>
      <c r="AT850" s="294"/>
    </row>
    <row r="851" spans="1:46" ht="13" x14ac:dyDescent="0.2">
      <c r="A851" s="294"/>
      <c r="B851" s="924"/>
      <c r="C851" s="271">
        <v>844</v>
      </c>
      <c r="D851" s="250">
        <f t="shared" ref="D851:D888" si="2135">D850</f>
        <v>0</v>
      </c>
      <c r="E851" s="250">
        <v>1</v>
      </c>
      <c r="F851" s="248" t="s">
        <v>393</v>
      </c>
      <c r="G851" s="250">
        <f>VLOOKUP(F851,TableInputsData[],$G$6,FALSE)</f>
        <v>2025</v>
      </c>
      <c r="H851" s="250" t="str">
        <f t="shared" ref="H851:I888" si="2136">H850</f>
        <v>SERVICE</v>
      </c>
      <c r="I851" s="248" t="str">
        <f t="shared" si="2136"/>
        <v>SERVICE 01</v>
      </c>
      <c r="J851" s="248" t="str">
        <f>VLOOKUP(I851,TableInputsData[],$J$6,FALSE)</f>
        <v>-</v>
      </c>
      <c r="K851" s="248" t="str">
        <f t="shared" ref="K851:K856" si="2137">K850</f>
        <v>VOLUME</v>
      </c>
      <c r="L851" s="499">
        <v>1000</v>
      </c>
      <c r="M851" s="499">
        <v>0</v>
      </c>
      <c r="N851" s="499">
        <v>0</v>
      </c>
      <c r="O851" s="264">
        <f t="shared" si="2119"/>
        <v>1000</v>
      </c>
      <c r="P851" s="500">
        <v>1</v>
      </c>
      <c r="Q851" s="500">
        <v>0</v>
      </c>
      <c r="R851" s="259">
        <f t="shared" si="2130"/>
        <v>0</v>
      </c>
      <c r="S851" s="626">
        <v>500</v>
      </c>
      <c r="T851" s="626">
        <v>0</v>
      </c>
      <c r="U851" s="626">
        <v>0</v>
      </c>
      <c r="V851" s="628">
        <f t="shared" si="2131"/>
        <v>500</v>
      </c>
      <c r="W851" s="500">
        <v>1</v>
      </c>
      <c r="X851" s="500">
        <v>1</v>
      </c>
      <c r="Y851" s="500">
        <v>1</v>
      </c>
      <c r="Z851" s="259">
        <f t="shared" si="2120"/>
        <v>0</v>
      </c>
      <c r="AA851" s="259">
        <f t="shared" si="2121"/>
        <v>0</v>
      </c>
      <c r="AB851" s="259">
        <f t="shared" si="2122"/>
        <v>0</v>
      </c>
      <c r="AC851" s="628">
        <f t="shared" si="2132"/>
        <v>0</v>
      </c>
      <c r="AD851" s="628">
        <f t="shared" si="2133"/>
        <v>0</v>
      </c>
      <c r="AE851" s="501">
        <v>0</v>
      </c>
      <c r="AF851" s="501">
        <v>0</v>
      </c>
      <c r="AG851" s="501">
        <v>0</v>
      </c>
      <c r="AH851" s="501">
        <v>0</v>
      </c>
      <c r="AI851" s="264">
        <f>$AE851+$AF851+$AG851+$AH851</f>
        <v>0</v>
      </c>
      <c r="AJ851" s="264">
        <f t="shared" si="2123"/>
        <v>0</v>
      </c>
      <c r="AK851" s="264">
        <f t="shared" si="2124"/>
        <v>0</v>
      </c>
      <c r="AL851" s="264">
        <f t="shared" si="2125"/>
        <v>0</v>
      </c>
      <c r="AM851" s="264">
        <f t="shared" si="2126"/>
        <v>0</v>
      </c>
      <c r="AN851" s="640">
        <f t="shared" si="2134"/>
        <v>0</v>
      </c>
      <c r="AO851" s="264">
        <f t="shared" si="2127"/>
        <v>0</v>
      </c>
      <c r="AP851" s="640">
        <f t="shared" si="2128"/>
        <v>0</v>
      </c>
      <c r="AQ851" s="501"/>
      <c r="AR851" s="264" t="str">
        <f>VLOOKUP($I851,TableInputsData[],ReadMe!$M$3,FALSE)&amp;"  |  "&amp;VLOOKUP($K851,TableInputsData[],ReadMe!$M$3,FALSE)</f>
        <v>SERVICE 01  |  VOLUME</v>
      </c>
      <c r="AS851" s="264" t="b">
        <f t="shared" si="2129"/>
        <v>1</v>
      </c>
      <c r="AT851" s="294"/>
    </row>
    <row r="852" spans="1:46" ht="13" x14ac:dyDescent="0.2">
      <c r="A852" s="294"/>
      <c r="B852" s="924"/>
      <c r="C852" s="271">
        <v>845</v>
      </c>
      <c r="D852" s="250">
        <f t="shared" si="2135"/>
        <v>0</v>
      </c>
      <c r="E852" s="250">
        <v>1</v>
      </c>
      <c r="F852" s="248" t="s">
        <v>396</v>
      </c>
      <c r="G852" s="250">
        <f>VLOOKUP(F852,TableInputsData[],$G$6,FALSE)</f>
        <v>2026</v>
      </c>
      <c r="H852" s="250" t="str">
        <f t="shared" si="2136"/>
        <v>SERVICE</v>
      </c>
      <c r="I852" s="248" t="str">
        <f t="shared" si="2136"/>
        <v>SERVICE 01</v>
      </c>
      <c r="J852" s="248" t="str">
        <f>VLOOKUP(I852,TableInputsData[],$J$6,FALSE)</f>
        <v>-</v>
      </c>
      <c r="K852" s="248" t="str">
        <f t="shared" si="2137"/>
        <v>VOLUME</v>
      </c>
      <c r="L852" s="499">
        <v>1000</v>
      </c>
      <c r="M852" s="499">
        <v>0</v>
      </c>
      <c r="N852" s="499">
        <v>0</v>
      </c>
      <c r="O852" s="264">
        <f t="shared" si="2119"/>
        <v>1000</v>
      </c>
      <c r="P852" s="500">
        <v>1</v>
      </c>
      <c r="Q852" s="500">
        <v>0</v>
      </c>
      <c r="R852" s="259">
        <f t="shared" si="2130"/>
        <v>0</v>
      </c>
      <c r="S852" s="626">
        <v>500</v>
      </c>
      <c r="T852" s="626">
        <v>0</v>
      </c>
      <c r="U852" s="626">
        <v>0</v>
      </c>
      <c r="V852" s="628">
        <f t="shared" si="2131"/>
        <v>500</v>
      </c>
      <c r="W852" s="500">
        <v>1</v>
      </c>
      <c r="X852" s="500">
        <v>1</v>
      </c>
      <c r="Y852" s="500">
        <v>1</v>
      </c>
      <c r="Z852" s="259">
        <f t="shared" si="2120"/>
        <v>0</v>
      </c>
      <c r="AA852" s="259">
        <f t="shared" si="2121"/>
        <v>0</v>
      </c>
      <c r="AB852" s="259">
        <f t="shared" si="2122"/>
        <v>0</v>
      </c>
      <c r="AC852" s="628">
        <f t="shared" si="2132"/>
        <v>0</v>
      </c>
      <c r="AD852" s="628">
        <f t="shared" si="2133"/>
        <v>0</v>
      </c>
      <c r="AE852" s="501">
        <v>0</v>
      </c>
      <c r="AF852" s="501">
        <v>0</v>
      </c>
      <c r="AG852" s="501">
        <v>0</v>
      </c>
      <c r="AH852" s="501">
        <v>0</v>
      </c>
      <c r="AI852" s="264">
        <f>$AE852+$AF852+$AG852+$AH852</f>
        <v>0</v>
      </c>
      <c r="AJ852" s="264">
        <f t="shared" si="2123"/>
        <v>0</v>
      </c>
      <c r="AK852" s="264">
        <f t="shared" si="2124"/>
        <v>0</v>
      </c>
      <c r="AL852" s="264">
        <f t="shared" si="2125"/>
        <v>0</v>
      </c>
      <c r="AM852" s="264">
        <f t="shared" si="2126"/>
        <v>0</v>
      </c>
      <c r="AN852" s="640">
        <f t="shared" si="2134"/>
        <v>0</v>
      </c>
      <c r="AO852" s="264">
        <f t="shared" si="2127"/>
        <v>0</v>
      </c>
      <c r="AP852" s="640">
        <f t="shared" si="2128"/>
        <v>0</v>
      </c>
      <c r="AQ852" s="501"/>
      <c r="AR852" s="264" t="str">
        <f>VLOOKUP($I852,TableInputsData[],ReadMe!$M$3,FALSE)&amp;"  |  "&amp;VLOOKUP($K852,TableInputsData[],ReadMe!$M$3,FALSE)</f>
        <v>SERVICE 01  |  VOLUME</v>
      </c>
      <c r="AS852" s="264" t="b">
        <f t="shared" si="2129"/>
        <v>1</v>
      </c>
      <c r="AT852" s="294"/>
    </row>
    <row r="853" spans="1:46" ht="13" x14ac:dyDescent="0.2">
      <c r="A853" s="294"/>
      <c r="B853" s="924"/>
      <c r="C853" s="271">
        <v>846</v>
      </c>
      <c r="D853" s="250">
        <f t="shared" si="2135"/>
        <v>0</v>
      </c>
      <c r="E853" s="250">
        <v>1</v>
      </c>
      <c r="F853" s="248" t="s">
        <v>397</v>
      </c>
      <c r="G853" s="250">
        <f>VLOOKUP(F853,TableInputsData[],$G$6,FALSE)</f>
        <v>2027</v>
      </c>
      <c r="H853" s="250" t="str">
        <f t="shared" si="2136"/>
        <v>SERVICE</v>
      </c>
      <c r="I853" s="248" t="str">
        <f t="shared" si="2136"/>
        <v>SERVICE 01</v>
      </c>
      <c r="J853" s="248" t="str">
        <f>VLOOKUP(I853,TableInputsData[],$J$6,FALSE)</f>
        <v>-</v>
      </c>
      <c r="K853" s="248" t="str">
        <f t="shared" si="2137"/>
        <v>VOLUME</v>
      </c>
      <c r="L853" s="499">
        <v>1000</v>
      </c>
      <c r="M853" s="499">
        <v>0</v>
      </c>
      <c r="N853" s="499">
        <v>0</v>
      </c>
      <c r="O853" s="264">
        <f t="shared" si="2119"/>
        <v>1000</v>
      </c>
      <c r="P853" s="500">
        <v>1</v>
      </c>
      <c r="Q853" s="500">
        <v>0</v>
      </c>
      <c r="R853" s="259">
        <f t="shared" si="2130"/>
        <v>0</v>
      </c>
      <c r="S853" s="626">
        <v>500</v>
      </c>
      <c r="T853" s="626">
        <v>0</v>
      </c>
      <c r="U853" s="626">
        <v>0</v>
      </c>
      <c r="V853" s="628">
        <f t="shared" si="2131"/>
        <v>500</v>
      </c>
      <c r="W853" s="500">
        <v>1</v>
      </c>
      <c r="X853" s="500">
        <v>1</v>
      </c>
      <c r="Y853" s="500">
        <v>1</v>
      </c>
      <c r="Z853" s="259">
        <f t="shared" si="2120"/>
        <v>0</v>
      </c>
      <c r="AA853" s="259">
        <f t="shared" si="2121"/>
        <v>0</v>
      </c>
      <c r="AB853" s="259">
        <f t="shared" si="2122"/>
        <v>0</v>
      </c>
      <c r="AC853" s="628">
        <f t="shared" si="2132"/>
        <v>0</v>
      </c>
      <c r="AD853" s="628">
        <f t="shared" si="2133"/>
        <v>0</v>
      </c>
      <c r="AE853" s="264">
        <f>$AI853/4</f>
        <v>0</v>
      </c>
      <c r="AF853" s="264">
        <f t="shared" ref="AF853:AH856" si="2138">$AI853/4</f>
        <v>0</v>
      </c>
      <c r="AG853" s="264">
        <f t="shared" si="2138"/>
        <v>0</v>
      </c>
      <c r="AH853" s="264">
        <f t="shared" si="2138"/>
        <v>0</v>
      </c>
      <c r="AI853" s="501">
        <v>0</v>
      </c>
      <c r="AJ853" s="264">
        <f t="shared" si="2123"/>
        <v>0</v>
      </c>
      <c r="AK853" s="264">
        <f t="shared" si="2124"/>
        <v>0</v>
      </c>
      <c r="AL853" s="264">
        <f t="shared" si="2125"/>
        <v>0</v>
      </c>
      <c r="AM853" s="264">
        <f t="shared" si="2126"/>
        <v>0</v>
      </c>
      <c r="AN853" s="640">
        <f t="shared" si="2134"/>
        <v>0</v>
      </c>
      <c r="AO853" s="264">
        <f t="shared" si="2127"/>
        <v>0</v>
      </c>
      <c r="AP853" s="640">
        <f t="shared" si="2128"/>
        <v>0</v>
      </c>
      <c r="AQ853" s="501"/>
      <c r="AR853" s="264" t="str">
        <f>VLOOKUP($I853,TableInputsData[],ReadMe!$M$3,FALSE)&amp;"  |  "&amp;VLOOKUP($K853,TableInputsData[],ReadMe!$M$3,FALSE)</f>
        <v>SERVICE 01  |  VOLUME</v>
      </c>
      <c r="AS853" s="264" t="b">
        <f t="shared" si="2129"/>
        <v>1</v>
      </c>
      <c r="AT853" s="294"/>
    </row>
    <row r="854" spans="1:46" ht="13" x14ac:dyDescent="0.2">
      <c r="A854" s="294"/>
      <c r="B854" s="924"/>
      <c r="C854" s="271">
        <v>847</v>
      </c>
      <c r="D854" s="250">
        <f t="shared" si="2135"/>
        <v>0</v>
      </c>
      <c r="E854" s="250">
        <v>1</v>
      </c>
      <c r="F854" s="248" t="s">
        <v>398</v>
      </c>
      <c r="G854" s="250">
        <f>VLOOKUP(F854,TableInputsData[],$G$6,FALSE)</f>
        <v>2028</v>
      </c>
      <c r="H854" s="250" t="str">
        <f t="shared" si="2136"/>
        <v>SERVICE</v>
      </c>
      <c r="I854" s="248" t="str">
        <f t="shared" si="2136"/>
        <v>SERVICE 01</v>
      </c>
      <c r="J854" s="248" t="str">
        <f>VLOOKUP(I854,TableInputsData[],$J$6,FALSE)</f>
        <v>-</v>
      </c>
      <c r="K854" s="248" t="str">
        <f t="shared" si="2137"/>
        <v>VOLUME</v>
      </c>
      <c r="L854" s="499">
        <v>1000</v>
      </c>
      <c r="M854" s="499">
        <v>0</v>
      </c>
      <c r="N854" s="499">
        <v>0</v>
      </c>
      <c r="O854" s="264">
        <f t="shared" si="2119"/>
        <v>1000</v>
      </c>
      <c r="P854" s="500">
        <v>1</v>
      </c>
      <c r="Q854" s="500">
        <v>0</v>
      </c>
      <c r="R854" s="259">
        <f t="shared" si="2130"/>
        <v>0</v>
      </c>
      <c r="S854" s="626">
        <v>500</v>
      </c>
      <c r="T854" s="626">
        <v>0</v>
      </c>
      <c r="U854" s="626">
        <v>0</v>
      </c>
      <c r="V854" s="628">
        <f t="shared" si="2131"/>
        <v>500</v>
      </c>
      <c r="W854" s="500">
        <v>1</v>
      </c>
      <c r="X854" s="500">
        <v>1</v>
      </c>
      <c r="Y854" s="500">
        <v>1</v>
      </c>
      <c r="Z854" s="259">
        <f t="shared" si="2120"/>
        <v>0</v>
      </c>
      <c r="AA854" s="259">
        <f t="shared" si="2121"/>
        <v>0</v>
      </c>
      <c r="AB854" s="259">
        <f t="shared" si="2122"/>
        <v>0</v>
      </c>
      <c r="AC854" s="628">
        <f t="shared" si="2132"/>
        <v>0</v>
      </c>
      <c r="AD854" s="628">
        <f t="shared" si="2133"/>
        <v>0</v>
      </c>
      <c r="AE854" s="264">
        <f t="shared" ref="AE854:AE856" si="2139">$AI854/4</f>
        <v>0</v>
      </c>
      <c r="AF854" s="264">
        <f t="shared" si="2138"/>
        <v>0</v>
      </c>
      <c r="AG854" s="264">
        <f t="shared" si="2138"/>
        <v>0</v>
      </c>
      <c r="AH854" s="264">
        <f t="shared" si="2138"/>
        <v>0</v>
      </c>
      <c r="AI854" s="501">
        <v>0</v>
      </c>
      <c r="AJ854" s="264">
        <f t="shared" si="2123"/>
        <v>0</v>
      </c>
      <c r="AK854" s="264">
        <f t="shared" si="2124"/>
        <v>0</v>
      </c>
      <c r="AL854" s="264">
        <f t="shared" si="2125"/>
        <v>0</v>
      </c>
      <c r="AM854" s="264">
        <f t="shared" si="2126"/>
        <v>0</v>
      </c>
      <c r="AN854" s="640">
        <f t="shared" si="2134"/>
        <v>0</v>
      </c>
      <c r="AO854" s="264">
        <f t="shared" si="2127"/>
        <v>0</v>
      </c>
      <c r="AP854" s="640">
        <f t="shared" si="2128"/>
        <v>0</v>
      </c>
      <c r="AQ854" s="501"/>
      <c r="AR854" s="264" t="str">
        <f>VLOOKUP($I854,TableInputsData[],ReadMe!$M$3,FALSE)&amp;"  |  "&amp;VLOOKUP($K854,TableInputsData[],ReadMe!$M$3,FALSE)</f>
        <v>SERVICE 01  |  VOLUME</v>
      </c>
      <c r="AS854" s="264" t="b">
        <f t="shared" si="2129"/>
        <v>1</v>
      </c>
      <c r="AT854" s="294"/>
    </row>
    <row r="855" spans="1:46" ht="13" x14ac:dyDescent="0.2">
      <c r="A855" s="294"/>
      <c r="B855" s="924"/>
      <c r="C855" s="271">
        <v>848</v>
      </c>
      <c r="D855" s="250">
        <f t="shared" si="2135"/>
        <v>0</v>
      </c>
      <c r="E855" s="250">
        <v>1</v>
      </c>
      <c r="F855" s="248" t="s">
        <v>399</v>
      </c>
      <c r="G855" s="250">
        <f>VLOOKUP(F855,TableInputsData[],$G$6,FALSE)</f>
        <v>2029</v>
      </c>
      <c r="H855" s="250" t="str">
        <f t="shared" si="2136"/>
        <v>SERVICE</v>
      </c>
      <c r="I855" s="248" t="str">
        <f t="shared" si="2136"/>
        <v>SERVICE 01</v>
      </c>
      <c r="J855" s="248" t="str">
        <f>VLOOKUP(I855,TableInputsData[],$J$6,FALSE)</f>
        <v>-</v>
      </c>
      <c r="K855" s="248" t="str">
        <f t="shared" si="2137"/>
        <v>VOLUME</v>
      </c>
      <c r="L855" s="499">
        <v>1000</v>
      </c>
      <c r="M855" s="499">
        <v>0</v>
      </c>
      <c r="N855" s="499">
        <v>0</v>
      </c>
      <c r="O855" s="264">
        <f t="shared" si="2119"/>
        <v>1000</v>
      </c>
      <c r="P855" s="500">
        <v>1</v>
      </c>
      <c r="Q855" s="500">
        <v>0</v>
      </c>
      <c r="R855" s="259">
        <f t="shared" si="2130"/>
        <v>0</v>
      </c>
      <c r="S855" s="626">
        <v>500</v>
      </c>
      <c r="T855" s="626">
        <v>0</v>
      </c>
      <c r="U855" s="626">
        <v>0</v>
      </c>
      <c r="V855" s="628">
        <f t="shared" si="2131"/>
        <v>500</v>
      </c>
      <c r="W855" s="500">
        <v>1</v>
      </c>
      <c r="X855" s="500">
        <v>1</v>
      </c>
      <c r="Y855" s="500">
        <v>1</v>
      </c>
      <c r="Z855" s="259">
        <f t="shared" si="2120"/>
        <v>0</v>
      </c>
      <c r="AA855" s="259">
        <f t="shared" si="2121"/>
        <v>0</v>
      </c>
      <c r="AB855" s="259">
        <f t="shared" si="2122"/>
        <v>0</v>
      </c>
      <c r="AC855" s="628">
        <f t="shared" si="2132"/>
        <v>0</v>
      </c>
      <c r="AD855" s="628">
        <f t="shared" si="2133"/>
        <v>0</v>
      </c>
      <c r="AE855" s="264">
        <f t="shared" si="2139"/>
        <v>0</v>
      </c>
      <c r="AF855" s="264">
        <f t="shared" si="2138"/>
        <v>0</v>
      </c>
      <c r="AG855" s="264">
        <f t="shared" si="2138"/>
        <v>0</v>
      </c>
      <c r="AH855" s="264">
        <f t="shared" si="2138"/>
        <v>0</v>
      </c>
      <c r="AI855" s="501">
        <v>0</v>
      </c>
      <c r="AJ855" s="264">
        <f t="shared" si="2123"/>
        <v>0</v>
      </c>
      <c r="AK855" s="264">
        <f t="shared" si="2124"/>
        <v>0</v>
      </c>
      <c r="AL855" s="264">
        <f t="shared" si="2125"/>
        <v>0</v>
      </c>
      <c r="AM855" s="264">
        <f t="shared" si="2126"/>
        <v>0</v>
      </c>
      <c r="AN855" s="640">
        <f t="shared" si="2134"/>
        <v>0</v>
      </c>
      <c r="AO855" s="264">
        <f t="shared" si="2127"/>
        <v>0</v>
      </c>
      <c r="AP855" s="640">
        <f t="shared" si="2128"/>
        <v>0</v>
      </c>
      <c r="AQ855" s="501"/>
      <c r="AR855" s="264" t="str">
        <f>VLOOKUP($I855,TableInputsData[],ReadMe!$M$3,FALSE)&amp;"  |  "&amp;VLOOKUP($K855,TableInputsData[],ReadMe!$M$3,FALSE)</f>
        <v>SERVICE 01  |  VOLUME</v>
      </c>
      <c r="AS855" s="264" t="b">
        <f t="shared" si="2129"/>
        <v>1</v>
      </c>
      <c r="AT855" s="294"/>
    </row>
    <row r="856" spans="1:46" ht="13" x14ac:dyDescent="0.2">
      <c r="A856" s="294"/>
      <c r="B856" s="924"/>
      <c r="C856" s="271">
        <v>849</v>
      </c>
      <c r="D856" s="250">
        <f t="shared" si="2135"/>
        <v>0</v>
      </c>
      <c r="E856" s="250">
        <v>1</v>
      </c>
      <c r="F856" s="248" t="s">
        <v>400</v>
      </c>
      <c r="G856" s="250">
        <f>VLOOKUP(F856,TableInputsData[],$G$6,FALSE)</f>
        <v>2030</v>
      </c>
      <c r="H856" s="250" t="str">
        <f t="shared" si="2136"/>
        <v>SERVICE</v>
      </c>
      <c r="I856" s="248" t="str">
        <f t="shared" si="2136"/>
        <v>SERVICE 01</v>
      </c>
      <c r="J856" s="248" t="str">
        <f>VLOOKUP(I856,TableInputsData[],$J$6,FALSE)</f>
        <v>-</v>
      </c>
      <c r="K856" s="248" t="str">
        <f t="shared" si="2137"/>
        <v>VOLUME</v>
      </c>
      <c r="L856" s="499">
        <v>1000</v>
      </c>
      <c r="M856" s="499">
        <v>0</v>
      </c>
      <c r="N856" s="499">
        <v>0</v>
      </c>
      <c r="O856" s="264">
        <f t="shared" si="2119"/>
        <v>1000</v>
      </c>
      <c r="P856" s="500">
        <v>1</v>
      </c>
      <c r="Q856" s="500">
        <v>0</v>
      </c>
      <c r="R856" s="259">
        <f t="shared" si="2130"/>
        <v>0</v>
      </c>
      <c r="S856" s="626">
        <v>500</v>
      </c>
      <c r="T856" s="626">
        <v>0</v>
      </c>
      <c r="U856" s="626">
        <v>0</v>
      </c>
      <c r="V856" s="628">
        <f t="shared" si="2131"/>
        <v>500</v>
      </c>
      <c r="W856" s="500">
        <v>1</v>
      </c>
      <c r="X856" s="500">
        <v>1</v>
      </c>
      <c r="Y856" s="500">
        <v>1</v>
      </c>
      <c r="Z856" s="259">
        <f t="shared" si="2120"/>
        <v>0</v>
      </c>
      <c r="AA856" s="259">
        <f t="shared" si="2121"/>
        <v>0</v>
      </c>
      <c r="AB856" s="259">
        <f t="shared" si="2122"/>
        <v>0</v>
      </c>
      <c r="AC856" s="628">
        <f t="shared" si="2132"/>
        <v>0</v>
      </c>
      <c r="AD856" s="628">
        <f t="shared" si="2133"/>
        <v>0</v>
      </c>
      <c r="AE856" s="264">
        <f t="shared" si="2139"/>
        <v>0</v>
      </c>
      <c r="AF856" s="264">
        <f t="shared" si="2138"/>
        <v>0</v>
      </c>
      <c r="AG856" s="264">
        <f t="shared" si="2138"/>
        <v>0</v>
      </c>
      <c r="AH856" s="264">
        <f t="shared" si="2138"/>
        <v>0</v>
      </c>
      <c r="AI856" s="501">
        <v>0</v>
      </c>
      <c r="AJ856" s="264">
        <f t="shared" si="2123"/>
        <v>0</v>
      </c>
      <c r="AK856" s="264">
        <f t="shared" si="2124"/>
        <v>0</v>
      </c>
      <c r="AL856" s="264">
        <f t="shared" si="2125"/>
        <v>0</v>
      </c>
      <c r="AM856" s="264">
        <f t="shared" si="2126"/>
        <v>0</v>
      </c>
      <c r="AN856" s="640">
        <f t="shared" si="2134"/>
        <v>0</v>
      </c>
      <c r="AO856" s="264">
        <f t="shared" si="2127"/>
        <v>0</v>
      </c>
      <c r="AP856" s="640">
        <f t="shared" si="2128"/>
        <v>0</v>
      </c>
      <c r="AQ856" s="501"/>
      <c r="AR856" s="264" t="str">
        <f>VLOOKUP($I856,TableInputsData[],ReadMe!$M$3,FALSE)&amp;"  |  "&amp;VLOOKUP($K856,TableInputsData[],ReadMe!$M$3,FALSE)</f>
        <v>SERVICE 01  |  VOLUME</v>
      </c>
      <c r="AS856" s="264" t="b">
        <f t="shared" si="2129"/>
        <v>1</v>
      </c>
      <c r="AT856" s="294"/>
    </row>
    <row r="857" spans="1:46" ht="13" hidden="1" x14ac:dyDescent="0.2">
      <c r="A857" s="294"/>
      <c r="B857" s="924"/>
      <c r="C857" s="272">
        <v>850</v>
      </c>
      <c r="D857" s="250">
        <f t="shared" si="2135"/>
        <v>0</v>
      </c>
      <c r="E857" s="251"/>
      <c r="F857" s="248" t="str">
        <f t="shared" ref="F857:F864" si="2140">F865</f>
        <v>YEAR-2</v>
      </c>
      <c r="G857" s="250">
        <f>VLOOKUP(F857,TableInputsData[],$G$6,FALSE)</f>
        <v>2023</v>
      </c>
      <c r="H857" s="250" t="str">
        <f t="shared" si="2136"/>
        <v>SERVICE</v>
      </c>
      <c r="I857" s="248" t="str">
        <f t="shared" si="2136"/>
        <v>SERVICE 01</v>
      </c>
      <c r="J857" s="248" t="str">
        <f>VLOOKUP(I857,TableInputsData[],$J$6,FALSE)</f>
        <v>-</v>
      </c>
      <c r="K857" s="248" t="s">
        <v>457</v>
      </c>
      <c r="L857" s="256"/>
      <c r="M857" s="256"/>
      <c r="N857" s="256"/>
      <c r="O857" s="266"/>
      <c r="P857" s="261"/>
      <c r="Q857" s="261"/>
      <c r="R857" s="261"/>
      <c r="S857" s="629"/>
      <c r="T857" s="629"/>
      <c r="U857" s="629"/>
      <c r="V857" s="629"/>
      <c r="W857" s="261"/>
      <c r="X857" s="261"/>
      <c r="Y857" s="261"/>
      <c r="Z857" s="261"/>
      <c r="AA857" s="261"/>
      <c r="AB857" s="261"/>
      <c r="AC857" s="266"/>
      <c r="AD857" s="633"/>
      <c r="AE857" s="264">
        <f>AE849*($L849*$P849+$M849*$Q849+$N849*$R849)</f>
        <v>0</v>
      </c>
      <c r="AF857" s="264">
        <f t="shared" ref="AF857:AH857" si="2141">AF849*($L849*$P849+$M849*$Q849+$N849*$R849)</f>
        <v>0</v>
      </c>
      <c r="AG857" s="264">
        <f t="shared" si="2141"/>
        <v>0</v>
      </c>
      <c r="AH857" s="264">
        <f t="shared" si="2141"/>
        <v>0</v>
      </c>
      <c r="AI857" s="264">
        <f>$AE857+$AF857+$AG857+$AH857</f>
        <v>0</v>
      </c>
      <c r="AJ857" s="264">
        <f t="shared" ref="AJ857:AJ864" si="2142">$AJ849*$L849</f>
        <v>0</v>
      </c>
      <c r="AK857" s="264">
        <f t="shared" ref="AK857:AK864" si="2143">$AK849*$M849</f>
        <v>0</v>
      </c>
      <c r="AL857" s="264">
        <f t="shared" ref="AL857:AL864" si="2144">$AL849*$N849</f>
        <v>0</v>
      </c>
      <c r="AM857" s="264">
        <f t="shared" ref="AM857:AM864" si="2145">$AJ857*$W849+$AK857*$X849+$AL857*$Y849</f>
        <v>0</v>
      </c>
      <c r="AN857" s="640">
        <f t="shared" si="2134"/>
        <v>0</v>
      </c>
      <c r="AO857" s="264">
        <f t="shared" ref="AO857:AO864" si="2146">$AJ857*$Z849+$AK857*$AA849+$AL857*$AB849</f>
        <v>0</v>
      </c>
      <c r="AP857" s="640">
        <f t="shared" si="2128"/>
        <v>0</v>
      </c>
      <c r="AQ857" s="264"/>
      <c r="AR857" s="264" t="str">
        <f>VLOOKUP($I857,TableInputsData[],ReadMe!$M$3,FALSE)&amp;"  |  "&amp;VLOOKUP($K857,TableInputsData[],ReadMe!$M$3,FALSE)</f>
        <v>SERVICE 01  |  CHIFFRE D'AFFAIRES</v>
      </c>
      <c r="AS857" s="264" t="b">
        <f t="shared" ref="AS857:AS864" si="2147">AND(EXACT(ROUND(AI857,2),ROUND(AJ857+AK857+AL857,2)),EXACT(ROUND(AI857,2),ROUND(AM857+AO857,2)))</f>
        <v>1</v>
      </c>
      <c r="AT857" s="294"/>
    </row>
    <row r="858" spans="1:46" ht="13" hidden="1" x14ac:dyDescent="0.2">
      <c r="A858" s="294"/>
      <c r="B858" s="924"/>
      <c r="C858" s="271">
        <v>851</v>
      </c>
      <c r="D858" s="250">
        <f t="shared" si="2135"/>
        <v>0</v>
      </c>
      <c r="E858" s="250"/>
      <c r="F858" s="248" t="str">
        <f t="shared" si="2140"/>
        <v>YEAR-1</v>
      </c>
      <c r="G858" s="250">
        <f>VLOOKUP(F858,TableInputsData[],$G$6,FALSE)</f>
        <v>2024</v>
      </c>
      <c r="H858" s="250" t="str">
        <f t="shared" si="2136"/>
        <v>SERVICE</v>
      </c>
      <c r="I858" s="248" t="str">
        <f t="shared" si="2136"/>
        <v>SERVICE 01</v>
      </c>
      <c r="J858" s="248" t="str">
        <f>VLOOKUP(I858,TableInputsData[],$J$6,FALSE)</f>
        <v>-</v>
      </c>
      <c r="K858" s="248" t="str">
        <f>K857</f>
        <v>REVENUE</v>
      </c>
      <c r="L858" s="255"/>
      <c r="M858" s="255"/>
      <c r="N858" s="255"/>
      <c r="O858" s="265"/>
      <c r="P858" s="260"/>
      <c r="Q858" s="260"/>
      <c r="R858" s="260"/>
      <c r="S858" s="630"/>
      <c r="T858" s="630"/>
      <c r="U858" s="630"/>
      <c r="V858" s="630"/>
      <c r="W858" s="260"/>
      <c r="X858" s="260"/>
      <c r="Y858" s="260"/>
      <c r="Z858" s="260"/>
      <c r="AA858" s="260"/>
      <c r="AB858" s="260"/>
      <c r="AC858" s="265"/>
      <c r="AD858" s="634"/>
      <c r="AE858" s="264">
        <f t="shared" ref="AE858:AH858" si="2148">AE850*($L850*$P850+$M850*$Q850+$N850*$R850)</f>
        <v>0</v>
      </c>
      <c r="AF858" s="264">
        <f t="shared" si="2148"/>
        <v>0</v>
      </c>
      <c r="AG858" s="264">
        <f t="shared" si="2148"/>
        <v>0</v>
      </c>
      <c r="AH858" s="264">
        <f t="shared" si="2148"/>
        <v>0</v>
      </c>
      <c r="AI858" s="264">
        <f t="shared" ref="AI858:AI863" si="2149">$AE858+$AF858+$AG858+$AH858</f>
        <v>0</v>
      </c>
      <c r="AJ858" s="264">
        <f t="shared" si="2142"/>
        <v>0</v>
      </c>
      <c r="AK858" s="264">
        <f t="shared" si="2143"/>
        <v>0</v>
      </c>
      <c r="AL858" s="264">
        <f t="shared" si="2144"/>
        <v>0</v>
      </c>
      <c r="AM858" s="264">
        <f t="shared" si="2145"/>
        <v>0</v>
      </c>
      <c r="AN858" s="640">
        <f t="shared" si="2134"/>
        <v>0</v>
      </c>
      <c r="AO858" s="264">
        <f t="shared" si="2146"/>
        <v>0</v>
      </c>
      <c r="AP858" s="640">
        <f t="shared" si="2128"/>
        <v>0</v>
      </c>
      <c r="AQ858" s="264"/>
      <c r="AR858" s="264" t="str">
        <f>VLOOKUP($I858,TableInputsData[],ReadMe!$M$3,FALSE)&amp;"  |  "&amp;VLOOKUP($K858,TableInputsData[],ReadMe!$M$3,FALSE)</f>
        <v>SERVICE 01  |  CHIFFRE D'AFFAIRES</v>
      </c>
      <c r="AS858" s="264" t="b">
        <f t="shared" si="2147"/>
        <v>1</v>
      </c>
      <c r="AT858" s="294"/>
    </row>
    <row r="859" spans="1:46" ht="13" hidden="1" x14ac:dyDescent="0.2">
      <c r="A859" s="294"/>
      <c r="B859" s="924"/>
      <c r="C859" s="271">
        <v>852</v>
      </c>
      <c r="D859" s="250">
        <f t="shared" si="2135"/>
        <v>0</v>
      </c>
      <c r="E859" s="250"/>
      <c r="F859" s="248" t="str">
        <f t="shared" si="2140"/>
        <v>CURRENT YEAR</v>
      </c>
      <c r="G859" s="250">
        <f>VLOOKUP(F859,TableInputsData[],$G$6,FALSE)</f>
        <v>2025</v>
      </c>
      <c r="H859" s="250" t="str">
        <f t="shared" si="2136"/>
        <v>SERVICE</v>
      </c>
      <c r="I859" s="248" t="str">
        <f t="shared" si="2136"/>
        <v>SERVICE 01</v>
      </c>
      <c r="J859" s="248" t="str">
        <f>VLOOKUP(I859,TableInputsData[],$J$6,FALSE)</f>
        <v>-</v>
      </c>
      <c r="K859" s="248" t="str">
        <f t="shared" ref="K859:K864" si="2150">K858</f>
        <v>REVENUE</v>
      </c>
      <c r="L859" s="255"/>
      <c r="M859" s="255"/>
      <c r="N859" s="255"/>
      <c r="O859" s="265"/>
      <c r="P859" s="260"/>
      <c r="Q859" s="260"/>
      <c r="R859" s="260"/>
      <c r="S859" s="630"/>
      <c r="T859" s="630"/>
      <c r="U859" s="630"/>
      <c r="V859" s="630"/>
      <c r="W859" s="260"/>
      <c r="X859" s="260"/>
      <c r="Y859" s="260"/>
      <c r="Z859" s="260"/>
      <c r="AA859" s="260"/>
      <c r="AB859" s="260"/>
      <c r="AC859" s="265"/>
      <c r="AD859" s="634"/>
      <c r="AE859" s="264">
        <f t="shared" ref="AE859:AH859" si="2151">AE851*($L851*$P851+$M851*$Q851+$N851*$R851)</f>
        <v>0</v>
      </c>
      <c r="AF859" s="264">
        <f t="shared" si="2151"/>
        <v>0</v>
      </c>
      <c r="AG859" s="264">
        <f t="shared" si="2151"/>
        <v>0</v>
      </c>
      <c r="AH859" s="264">
        <f t="shared" si="2151"/>
        <v>0</v>
      </c>
      <c r="AI859" s="264">
        <f t="shared" si="2149"/>
        <v>0</v>
      </c>
      <c r="AJ859" s="264">
        <f t="shared" si="2142"/>
        <v>0</v>
      </c>
      <c r="AK859" s="264">
        <f t="shared" si="2143"/>
        <v>0</v>
      </c>
      <c r="AL859" s="264">
        <f t="shared" si="2144"/>
        <v>0</v>
      </c>
      <c r="AM859" s="264">
        <f t="shared" si="2145"/>
        <v>0</v>
      </c>
      <c r="AN859" s="640">
        <f t="shared" si="2134"/>
        <v>0</v>
      </c>
      <c r="AO859" s="264">
        <f t="shared" si="2146"/>
        <v>0</v>
      </c>
      <c r="AP859" s="640">
        <f t="shared" si="2128"/>
        <v>0</v>
      </c>
      <c r="AQ859" s="264"/>
      <c r="AR859" s="264" t="str">
        <f>VLOOKUP($I859,TableInputsData[],ReadMe!$M$3,FALSE)&amp;"  |  "&amp;VLOOKUP($K859,TableInputsData[],ReadMe!$M$3,FALSE)</f>
        <v>SERVICE 01  |  CHIFFRE D'AFFAIRES</v>
      </c>
      <c r="AS859" s="264" t="b">
        <f t="shared" si="2147"/>
        <v>1</v>
      </c>
      <c r="AT859" s="294"/>
    </row>
    <row r="860" spans="1:46" ht="13" hidden="1" x14ac:dyDescent="0.2">
      <c r="A860" s="294"/>
      <c r="B860" s="924"/>
      <c r="C860" s="271">
        <v>853</v>
      </c>
      <c r="D860" s="250">
        <f t="shared" si="2135"/>
        <v>0</v>
      </c>
      <c r="E860" s="250"/>
      <c r="F860" s="248" t="str">
        <f t="shared" si="2140"/>
        <v>YEAR2</v>
      </c>
      <c r="G860" s="250">
        <f>VLOOKUP(F860,TableInputsData[],$G$6,FALSE)</f>
        <v>2026</v>
      </c>
      <c r="H860" s="250" t="str">
        <f t="shared" si="2136"/>
        <v>SERVICE</v>
      </c>
      <c r="I860" s="248" t="str">
        <f t="shared" si="2136"/>
        <v>SERVICE 01</v>
      </c>
      <c r="J860" s="248" t="str">
        <f>VLOOKUP(I860,TableInputsData[],$J$6,FALSE)</f>
        <v>-</v>
      </c>
      <c r="K860" s="248" t="str">
        <f t="shared" si="2150"/>
        <v>REVENUE</v>
      </c>
      <c r="L860" s="255"/>
      <c r="M860" s="255"/>
      <c r="N860" s="255"/>
      <c r="O860" s="265"/>
      <c r="P860" s="260"/>
      <c r="Q860" s="260"/>
      <c r="R860" s="260"/>
      <c r="S860" s="630"/>
      <c r="T860" s="630"/>
      <c r="U860" s="630"/>
      <c r="V860" s="630"/>
      <c r="W860" s="260"/>
      <c r="X860" s="260"/>
      <c r="Y860" s="260"/>
      <c r="Z860" s="260"/>
      <c r="AA860" s="260"/>
      <c r="AB860" s="260"/>
      <c r="AC860" s="265"/>
      <c r="AD860" s="634"/>
      <c r="AE860" s="264">
        <f t="shared" ref="AE860:AH860" si="2152">AE852*($L852*$P852+$M852*$Q852+$N852*$R852)</f>
        <v>0</v>
      </c>
      <c r="AF860" s="264">
        <f t="shared" si="2152"/>
        <v>0</v>
      </c>
      <c r="AG860" s="264">
        <f t="shared" si="2152"/>
        <v>0</v>
      </c>
      <c r="AH860" s="264">
        <f t="shared" si="2152"/>
        <v>0</v>
      </c>
      <c r="AI860" s="264">
        <f t="shared" si="2149"/>
        <v>0</v>
      </c>
      <c r="AJ860" s="264">
        <f t="shared" si="2142"/>
        <v>0</v>
      </c>
      <c r="AK860" s="264">
        <f t="shared" si="2143"/>
        <v>0</v>
      </c>
      <c r="AL860" s="264">
        <f t="shared" si="2144"/>
        <v>0</v>
      </c>
      <c r="AM860" s="264">
        <f t="shared" si="2145"/>
        <v>0</v>
      </c>
      <c r="AN860" s="640">
        <f t="shared" si="2134"/>
        <v>0</v>
      </c>
      <c r="AO860" s="264">
        <f t="shared" si="2146"/>
        <v>0</v>
      </c>
      <c r="AP860" s="640">
        <f t="shared" si="2128"/>
        <v>0</v>
      </c>
      <c r="AQ860" s="264"/>
      <c r="AR860" s="264" t="str">
        <f>VLOOKUP($I860,TableInputsData[],ReadMe!$M$3,FALSE)&amp;"  |  "&amp;VLOOKUP($K860,TableInputsData[],ReadMe!$M$3,FALSE)</f>
        <v>SERVICE 01  |  CHIFFRE D'AFFAIRES</v>
      </c>
      <c r="AS860" s="264" t="b">
        <f t="shared" si="2147"/>
        <v>1</v>
      </c>
      <c r="AT860" s="294"/>
    </row>
    <row r="861" spans="1:46" ht="13" hidden="1" x14ac:dyDescent="0.2">
      <c r="A861" s="294"/>
      <c r="B861" s="924"/>
      <c r="C861" s="271">
        <v>854</v>
      </c>
      <c r="D861" s="250">
        <f t="shared" si="2135"/>
        <v>0</v>
      </c>
      <c r="E861" s="250"/>
      <c r="F861" s="248" t="str">
        <f t="shared" si="2140"/>
        <v>YEAR3</v>
      </c>
      <c r="G861" s="250">
        <f>VLOOKUP(F861,TableInputsData[],$G$6,FALSE)</f>
        <v>2027</v>
      </c>
      <c r="H861" s="250" t="str">
        <f t="shared" si="2136"/>
        <v>SERVICE</v>
      </c>
      <c r="I861" s="248" t="str">
        <f t="shared" si="2136"/>
        <v>SERVICE 01</v>
      </c>
      <c r="J861" s="248" t="str">
        <f>VLOOKUP(I861,TableInputsData[],$J$6,FALSE)</f>
        <v>-</v>
      </c>
      <c r="K861" s="248" t="str">
        <f t="shared" si="2150"/>
        <v>REVENUE</v>
      </c>
      <c r="L861" s="255"/>
      <c r="M861" s="255"/>
      <c r="N861" s="255"/>
      <c r="O861" s="265"/>
      <c r="P861" s="260"/>
      <c r="Q861" s="260"/>
      <c r="R861" s="260"/>
      <c r="S861" s="630"/>
      <c r="T861" s="630"/>
      <c r="U861" s="630"/>
      <c r="V861" s="630"/>
      <c r="W861" s="260"/>
      <c r="X861" s="260"/>
      <c r="Y861" s="260"/>
      <c r="Z861" s="260"/>
      <c r="AA861" s="260"/>
      <c r="AB861" s="260"/>
      <c r="AC861" s="265"/>
      <c r="AD861" s="634"/>
      <c r="AE861" s="264">
        <f t="shared" ref="AE861:AH861" si="2153">AE853*($L853*$P853+$M853*$Q853+$N853*$R853)</f>
        <v>0</v>
      </c>
      <c r="AF861" s="264">
        <f t="shared" si="2153"/>
        <v>0</v>
      </c>
      <c r="AG861" s="264">
        <f t="shared" si="2153"/>
        <v>0</v>
      </c>
      <c r="AH861" s="264">
        <f t="shared" si="2153"/>
        <v>0</v>
      </c>
      <c r="AI861" s="264">
        <f t="shared" si="2149"/>
        <v>0</v>
      </c>
      <c r="AJ861" s="264">
        <f t="shared" si="2142"/>
        <v>0</v>
      </c>
      <c r="AK861" s="264">
        <f t="shared" si="2143"/>
        <v>0</v>
      </c>
      <c r="AL861" s="264">
        <f t="shared" si="2144"/>
        <v>0</v>
      </c>
      <c r="AM861" s="264">
        <f t="shared" si="2145"/>
        <v>0</v>
      </c>
      <c r="AN861" s="640">
        <f t="shared" si="2134"/>
        <v>0</v>
      </c>
      <c r="AO861" s="264">
        <f t="shared" si="2146"/>
        <v>0</v>
      </c>
      <c r="AP861" s="640">
        <f t="shared" si="2128"/>
        <v>0</v>
      </c>
      <c r="AQ861" s="264"/>
      <c r="AR861" s="264" t="str">
        <f>VLOOKUP($I861,TableInputsData[],ReadMe!$M$3,FALSE)&amp;"  |  "&amp;VLOOKUP($K861,TableInputsData[],ReadMe!$M$3,FALSE)</f>
        <v>SERVICE 01  |  CHIFFRE D'AFFAIRES</v>
      </c>
      <c r="AS861" s="264" t="b">
        <f t="shared" si="2147"/>
        <v>1</v>
      </c>
      <c r="AT861" s="294"/>
    </row>
    <row r="862" spans="1:46" ht="13" hidden="1" x14ac:dyDescent="0.2">
      <c r="A862" s="294"/>
      <c r="B862" s="924"/>
      <c r="C862" s="271">
        <v>855</v>
      </c>
      <c r="D862" s="250">
        <f t="shared" si="2135"/>
        <v>0</v>
      </c>
      <c r="E862" s="250"/>
      <c r="F862" s="248" t="str">
        <f t="shared" si="2140"/>
        <v>YEAR4</v>
      </c>
      <c r="G862" s="250">
        <f>VLOOKUP(F862,TableInputsData[],$G$6,FALSE)</f>
        <v>2028</v>
      </c>
      <c r="H862" s="250" t="str">
        <f t="shared" si="2136"/>
        <v>SERVICE</v>
      </c>
      <c r="I862" s="248" t="str">
        <f t="shared" si="2136"/>
        <v>SERVICE 01</v>
      </c>
      <c r="J862" s="248" t="str">
        <f>VLOOKUP(I862,TableInputsData[],$J$6,FALSE)</f>
        <v>-</v>
      </c>
      <c r="K862" s="248" t="str">
        <f t="shared" si="2150"/>
        <v>REVENUE</v>
      </c>
      <c r="L862" s="255"/>
      <c r="M862" s="255"/>
      <c r="N862" s="255"/>
      <c r="O862" s="265"/>
      <c r="P862" s="260"/>
      <c r="Q862" s="260"/>
      <c r="R862" s="260"/>
      <c r="S862" s="630"/>
      <c r="T862" s="630"/>
      <c r="U862" s="630"/>
      <c r="V862" s="630"/>
      <c r="W862" s="260"/>
      <c r="X862" s="260"/>
      <c r="Y862" s="260"/>
      <c r="Z862" s="260"/>
      <c r="AA862" s="260"/>
      <c r="AB862" s="260"/>
      <c r="AC862" s="265"/>
      <c r="AD862" s="634"/>
      <c r="AE862" s="264">
        <f t="shared" ref="AE862:AH862" si="2154">AE854*($L854*$P854+$M854*$Q854+$N854*$R854)</f>
        <v>0</v>
      </c>
      <c r="AF862" s="264">
        <f t="shared" si="2154"/>
        <v>0</v>
      </c>
      <c r="AG862" s="264">
        <f t="shared" si="2154"/>
        <v>0</v>
      </c>
      <c r="AH862" s="264">
        <f t="shared" si="2154"/>
        <v>0</v>
      </c>
      <c r="AI862" s="264">
        <f t="shared" si="2149"/>
        <v>0</v>
      </c>
      <c r="AJ862" s="264">
        <f t="shared" si="2142"/>
        <v>0</v>
      </c>
      <c r="AK862" s="264">
        <f t="shared" si="2143"/>
        <v>0</v>
      </c>
      <c r="AL862" s="264">
        <f t="shared" si="2144"/>
        <v>0</v>
      </c>
      <c r="AM862" s="264">
        <f t="shared" si="2145"/>
        <v>0</v>
      </c>
      <c r="AN862" s="640">
        <f t="shared" si="2134"/>
        <v>0</v>
      </c>
      <c r="AO862" s="264">
        <f t="shared" si="2146"/>
        <v>0</v>
      </c>
      <c r="AP862" s="640">
        <f t="shared" si="2128"/>
        <v>0</v>
      </c>
      <c r="AQ862" s="264"/>
      <c r="AR862" s="264" t="str">
        <f>VLOOKUP($I862,TableInputsData[],ReadMe!$M$3,FALSE)&amp;"  |  "&amp;VLOOKUP($K862,TableInputsData[],ReadMe!$M$3,FALSE)</f>
        <v>SERVICE 01  |  CHIFFRE D'AFFAIRES</v>
      </c>
      <c r="AS862" s="264" t="b">
        <f t="shared" si="2147"/>
        <v>1</v>
      </c>
      <c r="AT862" s="294"/>
    </row>
    <row r="863" spans="1:46" ht="13" hidden="1" x14ac:dyDescent="0.2">
      <c r="A863" s="294"/>
      <c r="B863" s="924"/>
      <c r="C863" s="271">
        <v>856</v>
      </c>
      <c r="D863" s="250">
        <f t="shared" si="2135"/>
        <v>0</v>
      </c>
      <c r="E863" s="250"/>
      <c r="F863" s="248" t="str">
        <f t="shared" si="2140"/>
        <v>YEAR5</v>
      </c>
      <c r="G863" s="250">
        <f>VLOOKUP(F863,TableInputsData[],$G$6,FALSE)</f>
        <v>2029</v>
      </c>
      <c r="H863" s="250" t="str">
        <f t="shared" si="2136"/>
        <v>SERVICE</v>
      </c>
      <c r="I863" s="248" t="str">
        <f t="shared" si="2136"/>
        <v>SERVICE 01</v>
      </c>
      <c r="J863" s="248" t="str">
        <f>VLOOKUP(I863,TableInputsData[],$J$6,FALSE)</f>
        <v>-</v>
      </c>
      <c r="K863" s="248" t="str">
        <f t="shared" si="2150"/>
        <v>REVENUE</v>
      </c>
      <c r="L863" s="255"/>
      <c r="M863" s="255"/>
      <c r="N863" s="255"/>
      <c r="O863" s="265"/>
      <c r="P863" s="260"/>
      <c r="Q863" s="260"/>
      <c r="R863" s="260"/>
      <c r="S863" s="630"/>
      <c r="T863" s="630"/>
      <c r="U863" s="630"/>
      <c r="V863" s="630"/>
      <c r="W863" s="260"/>
      <c r="X863" s="260"/>
      <c r="Y863" s="260"/>
      <c r="Z863" s="260"/>
      <c r="AA863" s="260"/>
      <c r="AB863" s="260"/>
      <c r="AC863" s="265"/>
      <c r="AD863" s="634"/>
      <c r="AE863" s="264">
        <f t="shared" ref="AE863:AH863" si="2155">AE855*($L855*$P855+$M855*$Q855+$N855*$R855)</f>
        <v>0</v>
      </c>
      <c r="AF863" s="264">
        <f t="shared" si="2155"/>
        <v>0</v>
      </c>
      <c r="AG863" s="264">
        <f t="shared" si="2155"/>
        <v>0</v>
      </c>
      <c r="AH863" s="264">
        <f t="shared" si="2155"/>
        <v>0</v>
      </c>
      <c r="AI863" s="264">
        <f t="shared" si="2149"/>
        <v>0</v>
      </c>
      <c r="AJ863" s="264">
        <f t="shared" si="2142"/>
        <v>0</v>
      </c>
      <c r="AK863" s="264">
        <f t="shared" si="2143"/>
        <v>0</v>
      </c>
      <c r="AL863" s="264">
        <f t="shared" si="2144"/>
        <v>0</v>
      </c>
      <c r="AM863" s="264">
        <f t="shared" si="2145"/>
        <v>0</v>
      </c>
      <c r="AN863" s="640">
        <f t="shared" si="2134"/>
        <v>0</v>
      </c>
      <c r="AO863" s="264">
        <f t="shared" si="2146"/>
        <v>0</v>
      </c>
      <c r="AP863" s="640">
        <f t="shared" si="2128"/>
        <v>0</v>
      </c>
      <c r="AQ863" s="264"/>
      <c r="AR863" s="264" t="str">
        <f>VLOOKUP($I863,TableInputsData[],ReadMe!$M$3,FALSE)&amp;"  |  "&amp;VLOOKUP($K863,TableInputsData[],ReadMe!$M$3,FALSE)</f>
        <v>SERVICE 01  |  CHIFFRE D'AFFAIRES</v>
      </c>
      <c r="AS863" s="264" t="b">
        <f t="shared" si="2147"/>
        <v>1</v>
      </c>
      <c r="AT863" s="294"/>
    </row>
    <row r="864" spans="1:46" ht="13" hidden="1" x14ac:dyDescent="0.2">
      <c r="A864" s="294"/>
      <c r="B864" s="924"/>
      <c r="C864" s="271">
        <v>857</v>
      </c>
      <c r="D864" s="250">
        <f t="shared" si="2135"/>
        <v>0</v>
      </c>
      <c r="E864" s="250"/>
      <c r="F864" s="248" t="str">
        <f t="shared" si="2140"/>
        <v>YEAR6</v>
      </c>
      <c r="G864" s="250">
        <f>VLOOKUP(F864,TableInputsData[],$G$6,FALSE)</f>
        <v>2030</v>
      </c>
      <c r="H864" s="250" t="str">
        <f t="shared" si="2136"/>
        <v>SERVICE</v>
      </c>
      <c r="I864" s="248" t="str">
        <f t="shared" si="2136"/>
        <v>SERVICE 01</v>
      </c>
      <c r="J864" s="248" t="str">
        <f>VLOOKUP(I864,TableInputsData[],$J$6,FALSE)</f>
        <v>-</v>
      </c>
      <c r="K864" s="248" t="str">
        <f t="shared" si="2150"/>
        <v>REVENUE</v>
      </c>
      <c r="L864" s="255"/>
      <c r="M864" s="255"/>
      <c r="N864" s="255"/>
      <c r="O864" s="265"/>
      <c r="P864" s="260"/>
      <c r="Q864" s="260"/>
      <c r="R864" s="260"/>
      <c r="S864" s="630"/>
      <c r="T864" s="630"/>
      <c r="U864" s="630"/>
      <c r="V864" s="630"/>
      <c r="W864" s="260"/>
      <c r="X864" s="260"/>
      <c r="Y864" s="260"/>
      <c r="Z864" s="260"/>
      <c r="AA864" s="260"/>
      <c r="AB864" s="260"/>
      <c r="AC864" s="265"/>
      <c r="AD864" s="634"/>
      <c r="AE864" s="264">
        <f t="shared" ref="AE864:AH864" si="2156">AE856*($L856*$P856+$M856*$Q856+$N856*$R856)</f>
        <v>0</v>
      </c>
      <c r="AF864" s="264">
        <f t="shared" si="2156"/>
        <v>0</v>
      </c>
      <c r="AG864" s="264">
        <f t="shared" si="2156"/>
        <v>0</v>
      </c>
      <c r="AH864" s="264">
        <f t="shared" si="2156"/>
        <v>0</v>
      </c>
      <c r="AI864" s="264">
        <f>$AE864+$AF864+$AG864+$AH864</f>
        <v>0</v>
      </c>
      <c r="AJ864" s="264">
        <f t="shared" si="2142"/>
        <v>0</v>
      </c>
      <c r="AK864" s="264">
        <f t="shared" si="2143"/>
        <v>0</v>
      </c>
      <c r="AL864" s="264">
        <f t="shared" si="2144"/>
        <v>0</v>
      </c>
      <c r="AM864" s="264">
        <f t="shared" si="2145"/>
        <v>0</v>
      </c>
      <c r="AN864" s="640">
        <f t="shared" si="2134"/>
        <v>0</v>
      </c>
      <c r="AO864" s="264">
        <f t="shared" si="2146"/>
        <v>0</v>
      </c>
      <c r="AP864" s="640">
        <f t="shared" si="2128"/>
        <v>0</v>
      </c>
      <c r="AQ864" s="264"/>
      <c r="AR864" s="264" t="str">
        <f>VLOOKUP($I864,TableInputsData[],ReadMe!$M$3,FALSE)&amp;"  |  "&amp;VLOOKUP($K864,TableInputsData[],ReadMe!$M$3,FALSE)</f>
        <v>SERVICE 01  |  CHIFFRE D'AFFAIRES</v>
      </c>
      <c r="AS864" s="264" t="b">
        <f t="shared" si="2147"/>
        <v>1</v>
      </c>
      <c r="AT864" s="294"/>
    </row>
    <row r="865" spans="1:46" ht="13" hidden="1" x14ac:dyDescent="0.2">
      <c r="A865" s="294"/>
      <c r="B865" s="924"/>
      <c r="C865" s="271">
        <v>858</v>
      </c>
      <c r="D865" s="250">
        <f t="shared" si="2135"/>
        <v>0</v>
      </c>
      <c r="E865" s="250"/>
      <c r="F865" s="248" t="str">
        <f t="shared" ref="F865:F872" si="2157">F849</f>
        <v>YEAR-2</v>
      </c>
      <c r="G865" s="250">
        <f>VLOOKUP(F865,TableInputsData[],$G$6,FALSE)</f>
        <v>2023</v>
      </c>
      <c r="H865" s="250" t="str">
        <f t="shared" si="2136"/>
        <v>SERVICE</v>
      </c>
      <c r="I865" s="248" t="str">
        <f t="shared" si="2136"/>
        <v>SERVICE 01</v>
      </c>
      <c r="J865" s="248" t="str">
        <f>VLOOKUP(I865,TableInputsData[],$J$6,FALSE)</f>
        <v>-</v>
      </c>
      <c r="K865" s="248" t="s">
        <v>456</v>
      </c>
      <c r="L865" s="255"/>
      <c r="M865" s="255"/>
      <c r="N865" s="255"/>
      <c r="O865" s="265"/>
      <c r="P865" s="260"/>
      <c r="Q865" s="260"/>
      <c r="R865" s="260"/>
      <c r="S865" s="630"/>
      <c r="T865" s="630"/>
      <c r="U865" s="630"/>
      <c r="V865" s="630"/>
      <c r="W865" s="260"/>
      <c r="X865" s="260"/>
      <c r="Y865" s="260"/>
      <c r="Z865" s="260"/>
      <c r="AA865" s="260"/>
      <c r="AB865" s="260"/>
      <c r="AC865" s="265"/>
      <c r="AD865" s="634"/>
      <c r="AE865" s="264">
        <f>IF(AE849=0,0,AE857/AE849)</f>
        <v>0</v>
      </c>
      <c r="AF865" s="264">
        <f t="shared" ref="AF865:AI865" si="2158">IF(AF849=0,0,AF857/AF849)</f>
        <v>0</v>
      </c>
      <c r="AG865" s="264">
        <f t="shared" si="2158"/>
        <v>0</v>
      </c>
      <c r="AH865" s="264">
        <f t="shared" si="2158"/>
        <v>0</v>
      </c>
      <c r="AI865" s="264">
        <f t="shared" si="2158"/>
        <v>0</v>
      </c>
      <c r="AJ865" s="264">
        <f>IF(AJ849=0,0,AJ857/AJ849)</f>
        <v>0</v>
      </c>
      <c r="AK865" s="264">
        <f t="shared" ref="AK865:AL865" si="2159">IF(AK849=0,0,AK857/AK849)</f>
        <v>0</v>
      </c>
      <c r="AL865" s="264">
        <f t="shared" si="2159"/>
        <v>0</v>
      </c>
      <c r="AM865" s="264">
        <f>IF(AM849=0,0,AM857/AM849)</f>
        <v>0</v>
      </c>
      <c r="AN865" s="260"/>
      <c r="AO865" s="264">
        <f t="shared" ref="AO865" si="2160">IF(AO849=0,0,AO857/AO849)</f>
        <v>0</v>
      </c>
      <c r="AP865" s="260"/>
      <c r="AQ865" s="264"/>
      <c r="AR865" s="264" t="str">
        <f>VLOOKUP($I865,TableInputsData[],ReadMe!$M$3,FALSE)&amp;"  |  "&amp;VLOOKUP($K865,TableInputsData[],ReadMe!$M$3,FALSE)</f>
        <v>SERVICE 01  |  PRIX MOYEN DE VENTE PAR PRODUIT/SERVICE</v>
      </c>
      <c r="AS865" s="264"/>
      <c r="AT865" s="294"/>
    </row>
    <row r="866" spans="1:46" ht="13" hidden="1" x14ac:dyDescent="0.2">
      <c r="A866" s="294"/>
      <c r="B866" s="924"/>
      <c r="C866" s="271">
        <v>859</v>
      </c>
      <c r="D866" s="250">
        <f t="shared" si="2135"/>
        <v>0</v>
      </c>
      <c r="E866" s="250"/>
      <c r="F866" s="248" t="str">
        <f t="shared" si="2157"/>
        <v>YEAR-1</v>
      </c>
      <c r="G866" s="250">
        <f>VLOOKUP(F866,TableInputsData[],$G$6,FALSE)</f>
        <v>2024</v>
      </c>
      <c r="H866" s="250" t="str">
        <f t="shared" si="2136"/>
        <v>SERVICE</v>
      </c>
      <c r="I866" s="248" t="str">
        <f t="shared" si="2136"/>
        <v>SERVICE 01</v>
      </c>
      <c r="J866" s="248" t="str">
        <f>VLOOKUP(I866,TableInputsData[],$J$6,FALSE)</f>
        <v>-</v>
      </c>
      <c r="K866" s="248" t="str">
        <f>K865</f>
        <v>AVERAGE SELLING PRICE PER UNIT</v>
      </c>
      <c r="L866" s="255"/>
      <c r="M866" s="255"/>
      <c r="N866" s="255"/>
      <c r="O866" s="265"/>
      <c r="P866" s="260"/>
      <c r="Q866" s="260"/>
      <c r="R866" s="260"/>
      <c r="S866" s="630"/>
      <c r="T866" s="630"/>
      <c r="U866" s="630"/>
      <c r="V866" s="630"/>
      <c r="W866" s="260"/>
      <c r="X866" s="260"/>
      <c r="Y866" s="260"/>
      <c r="Z866" s="260"/>
      <c r="AA866" s="260"/>
      <c r="AB866" s="260"/>
      <c r="AC866" s="265"/>
      <c r="AD866" s="634"/>
      <c r="AE866" s="264">
        <f>IF(AE850=0,0,AE858/AE850)</f>
        <v>0</v>
      </c>
      <c r="AF866" s="264">
        <f t="shared" ref="AF866:AM866" si="2161">IF(AF850=0,0,AF858/AF850)</f>
        <v>0</v>
      </c>
      <c r="AG866" s="264">
        <f t="shared" si="2161"/>
        <v>0</v>
      </c>
      <c r="AH866" s="264">
        <f t="shared" si="2161"/>
        <v>0</v>
      </c>
      <c r="AI866" s="264">
        <f t="shared" si="2161"/>
        <v>0</v>
      </c>
      <c r="AJ866" s="264">
        <f t="shared" si="2161"/>
        <v>0</v>
      </c>
      <c r="AK866" s="264">
        <f t="shared" si="2161"/>
        <v>0</v>
      </c>
      <c r="AL866" s="264">
        <f t="shared" si="2161"/>
        <v>0</v>
      </c>
      <c r="AM866" s="264">
        <f t="shared" si="2161"/>
        <v>0</v>
      </c>
      <c r="AN866" s="260"/>
      <c r="AO866" s="264">
        <f t="shared" ref="AO866" si="2162">IF(AO850=0,0,AO858/AO850)</f>
        <v>0</v>
      </c>
      <c r="AP866" s="260"/>
      <c r="AQ866" s="264"/>
      <c r="AR866" s="264" t="str">
        <f>VLOOKUP($I866,TableInputsData[],ReadMe!$M$3,FALSE)&amp;"  |  "&amp;VLOOKUP($K866,TableInputsData[],ReadMe!$M$3,FALSE)</f>
        <v>SERVICE 01  |  PRIX MOYEN DE VENTE PAR PRODUIT/SERVICE</v>
      </c>
      <c r="AS866" s="264"/>
      <c r="AT866" s="294"/>
    </row>
    <row r="867" spans="1:46" ht="13" hidden="1" x14ac:dyDescent="0.2">
      <c r="A867" s="294"/>
      <c r="B867" s="924"/>
      <c r="C867" s="271">
        <v>860</v>
      </c>
      <c r="D867" s="250">
        <f t="shared" si="2135"/>
        <v>0</v>
      </c>
      <c r="E867" s="250"/>
      <c r="F867" s="248" t="str">
        <f t="shared" si="2157"/>
        <v>CURRENT YEAR</v>
      </c>
      <c r="G867" s="250">
        <f>VLOOKUP(F867,TableInputsData[],$G$6,FALSE)</f>
        <v>2025</v>
      </c>
      <c r="H867" s="250" t="str">
        <f t="shared" si="2136"/>
        <v>SERVICE</v>
      </c>
      <c r="I867" s="248" t="str">
        <f t="shared" si="2136"/>
        <v>SERVICE 01</v>
      </c>
      <c r="J867" s="248" t="str">
        <f>VLOOKUP(I867,TableInputsData[],$J$6,FALSE)</f>
        <v>-</v>
      </c>
      <c r="K867" s="248" t="str">
        <f t="shared" ref="K867:K872" si="2163">K866</f>
        <v>AVERAGE SELLING PRICE PER UNIT</v>
      </c>
      <c r="L867" s="255"/>
      <c r="M867" s="255"/>
      <c r="N867" s="255"/>
      <c r="O867" s="265"/>
      <c r="P867" s="260"/>
      <c r="Q867" s="260"/>
      <c r="R867" s="260"/>
      <c r="S867" s="630"/>
      <c r="T867" s="630"/>
      <c r="U867" s="630"/>
      <c r="V867" s="630"/>
      <c r="W867" s="260"/>
      <c r="X867" s="260"/>
      <c r="Y867" s="260"/>
      <c r="Z867" s="260"/>
      <c r="AA867" s="260"/>
      <c r="AB867" s="260"/>
      <c r="AC867" s="265"/>
      <c r="AD867" s="634"/>
      <c r="AE867" s="264">
        <f>IF(AE851=0,0,AE859/AE851)</f>
        <v>0</v>
      </c>
      <c r="AF867" s="264">
        <f t="shared" ref="AF867:AM867" si="2164">IF(AF851=0,0,AF859/AF851)</f>
        <v>0</v>
      </c>
      <c r="AG867" s="264">
        <f t="shared" si="2164"/>
        <v>0</v>
      </c>
      <c r="AH867" s="264">
        <f t="shared" si="2164"/>
        <v>0</v>
      </c>
      <c r="AI867" s="264">
        <f t="shared" si="2164"/>
        <v>0</v>
      </c>
      <c r="AJ867" s="264">
        <f t="shared" si="2164"/>
        <v>0</v>
      </c>
      <c r="AK867" s="264">
        <f t="shared" si="2164"/>
        <v>0</v>
      </c>
      <c r="AL867" s="264">
        <f t="shared" si="2164"/>
        <v>0</v>
      </c>
      <c r="AM867" s="264">
        <f t="shared" si="2164"/>
        <v>0</v>
      </c>
      <c r="AN867" s="260"/>
      <c r="AO867" s="264">
        <f t="shared" ref="AO867" si="2165">IF(AO851=0,0,AO859/AO851)</f>
        <v>0</v>
      </c>
      <c r="AP867" s="260"/>
      <c r="AQ867" s="264"/>
      <c r="AR867" s="264" t="str">
        <f>VLOOKUP($I867,TableInputsData[],ReadMe!$M$3,FALSE)&amp;"  |  "&amp;VLOOKUP($K867,TableInputsData[],ReadMe!$M$3,FALSE)</f>
        <v>SERVICE 01  |  PRIX MOYEN DE VENTE PAR PRODUIT/SERVICE</v>
      </c>
      <c r="AS867" s="264"/>
      <c r="AT867" s="294"/>
    </row>
    <row r="868" spans="1:46" ht="13" hidden="1" x14ac:dyDescent="0.2">
      <c r="A868" s="294"/>
      <c r="B868" s="924"/>
      <c r="C868" s="271">
        <v>861</v>
      </c>
      <c r="D868" s="250">
        <f t="shared" si="2135"/>
        <v>0</v>
      </c>
      <c r="E868" s="250"/>
      <c r="F868" s="248" t="str">
        <f t="shared" si="2157"/>
        <v>YEAR2</v>
      </c>
      <c r="G868" s="250">
        <f>VLOOKUP(F868,TableInputsData[],$G$6,FALSE)</f>
        <v>2026</v>
      </c>
      <c r="H868" s="250" t="str">
        <f t="shared" si="2136"/>
        <v>SERVICE</v>
      </c>
      <c r="I868" s="248" t="str">
        <f t="shared" si="2136"/>
        <v>SERVICE 01</v>
      </c>
      <c r="J868" s="248" t="str">
        <f>VLOOKUP(I868,TableInputsData[],$J$6,FALSE)</f>
        <v>-</v>
      </c>
      <c r="K868" s="248" t="str">
        <f t="shared" si="2163"/>
        <v>AVERAGE SELLING PRICE PER UNIT</v>
      </c>
      <c r="L868" s="255"/>
      <c r="M868" s="255"/>
      <c r="N868" s="255"/>
      <c r="O868" s="265"/>
      <c r="P868" s="260"/>
      <c r="Q868" s="260"/>
      <c r="R868" s="260"/>
      <c r="S868" s="630"/>
      <c r="T868" s="630"/>
      <c r="U868" s="630"/>
      <c r="V868" s="630"/>
      <c r="W868" s="260"/>
      <c r="X868" s="260"/>
      <c r="Y868" s="260"/>
      <c r="Z868" s="260"/>
      <c r="AA868" s="260"/>
      <c r="AB868" s="260"/>
      <c r="AC868" s="265"/>
      <c r="AD868" s="634"/>
      <c r="AE868" s="264">
        <f>IF(AE852=0,0,AE860/AE852)</f>
        <v>0</v>
      </c>
      <c r="AF868" s="264">
        <f t="shared" ref="AF868:AM868" si="2166">IF(AF852=0,0,AF860/AF852)</f>
        <v>0</v>
      </c>
      <c r="AG868" s="264">
        <f t="shared" si="2166"/>
        <v>0</v>
      </c>
      <c r="AH868" s="264">
        <f t="shared" si="2166"/>
        <v>0</v>
      </c>
      <c r="AI868" s="264">
        <f t="shared" si="2166"/>
        <v>0</v>
      </c>
      <c r="AJ868" s="264">
        <f t="shared" si="2166"/>
        <v>0</v>
      </c>
      <c r="AK868" s="264">
        <f t="shared" si="2166"/>
        <v>0</v>
      </c>
      <c r="AL868" s="264">
        <f t="shared" si="2166"/>
        <v>0</v>
      </c>
      <c r="AM868" s="264">
        <f t="shared" si="2166"/>
        <v>0</v>
      </c>
      <c r="AN868" s="260"/>
      <c r="AO868" s="264">
        <f t="shared" ref="AO868" si="2167">IF(AO852=0,0,AO860/AO852)</f>
        <v>0</v>
      </c>
      <c r="AP868" s="260"/>
      <c r="AQ868" s="264"/>
      <c r="AR868" s="264" t="str">
        <f>VLOOKUP($I868,TableInputsData[],ReadMe!$M$3,FALSE)&amp;"  |  "&amp;VLOOKUP($K868,TableInputsData[],ReadMe!$M$3,FALSE)</f>
        <v>SERVICE 01  |  PRIX MOYEN DE VENTE PAR PRODUIT/SERVICE</v>
      </c>
      <c r="AS868" s="264"/>
      <c r="AT868" s="294"/>
    </row>
    <row r="869" spans="1:46" ht="13" hidden="1" x14ac:dyDescent="0.2">
      <c r="A869" s="294"/>
      <c r="B869" s="924"/>
      <c r="C869" s="271">
        <v>862</v>
      </c>
      <c r="D869" s="250">
        <f t="shared" si="2135"/>
        <v>0</v>
      </c>
      <c r="E869" s="250"/>
      <c r="F869" s="248" t="str">
        <f t="shared" si="2157"/>
        <v>YEAR3</v>
      </c>
      <c r="G869" s="250">
        <f>VLOOKUP(F869,TableInputsData[],$G$6,FALSE)</f>
        <v>2027</v>
      </c>
      <c r="H869" s="250" t="str">
        <f t="shared" si="2136"/>
        <v>SERVICE</v>
      </c>
      <c r="I869" s="248" t="str">
        <f t="shared" si="2136"/>
        <v>SERVICE 01</v>
      </c>
      <c r="J869" s="248" t="str">
        <f>VLOOKUP(I869,TableInputsData[],$J$6,FALSE)</f>
        <v>-</v>
      </c>
      <c r="K869" s="248" t="str">
        <f t="shared" si="2163"/>
        <v>AVERAGE SELLING PRICE PER UNIT</v>
      </c>
      <c r="L869" s="255"/>
      <c r="M869" s="255"/>
      <c r="N869" s="255"/>
      <c r="O869" s="265"/>
      <c r="P869" s="260"/>
      <c r="Q869" s="260"/>
      <c r="R869" s="260"/>
      <c r="S869" s="630"/>
      <c r="T869" s="630"/>
      <c r="U869" s="630"/>
      <c r="V869" s="630"/>
      <c r="W869" s="260"/>
      <c r="X869" s="260"/>
      <c r="Y869" s="260"/>
      <c r="Z869" s="260"/>
      <c r="AA869" s="260"/>
      <c r="AB869" s="260"/>
      <c r="AC869" s="265"/>
      <c r="AD869" s="634"/>
      <c r="AE869" s="264">
        <f t="shared" ref="AE869:AM869" si="2168">IF(AE853=0,0,AE861/AE853)</f>
        <v>0</v>
      </c>
      <c r="AF869" s="264">
        <f t="shared" si="2168"/>
        <v>0</v>
      </c>
      <c r="AG869" s="264">
        <f t="shared" si="2168"/>
        <v>0</v>
      </c>
      <c r="AH869" s="264">
        <f t="shared" si="2168"/>
        <v>0</v>
      </c>
      <c r="AI869" s="264">
        <f t="shared" si="2168"/>
        <v>0</v>
      </c>
      <c r="AJ869" s="264">
        <f t="shared" si="2168"/>
        <v>0</v>
      </c>
      <c r="AK869" s="264">
        <f t="shared" si="2168"/>
        <v>0</v>
      </c>
      <c r="AL869" s="264">
        <f t="shared" si="2168"/>
        <v>0</v>
      </c>
      <c r="AM869" s="264">
        <f t="shared" si="2168"/>
        <v>0</v>
      </c>
      <c r="AN869" s="260"/>
      <c r="AO869" s="264">
        <f t="shared" ref="AO869" si="2169">IF(AO853=0,0,AO861/AO853)</f>
        <v>0</v>
      </c>
      <c r="AP869" s="260"/>
      <c r="AQ869" s="264"/>
      <c r="AR869" s="264" t="str">
        <f>VLOOKUP($I869,TableInputsData[],ReadMe!$M$3,FALSE)&amp;"  |  "&amp;VLOOKUP($K869,TableInputsData[],ReadMe!$M$3,FALSE)</f>
        <v>SERVICE 01  |  PRIX MOYEN DE VENTE PAR PRODUIT/SERVICE</v>
      </c>
      <c r="AS869" s="264"/>
      <c r="AT869" s="294"/>
    </row>
    <row r="870" spans="1:46" ht="13" hidden="1" x14ac:dyDescent="0.2">
      <c r="A870" s="294"/>
      <c r="B870" s="924"/>
      <c r="C870" s="272">
        <v>863</v>
      </c>
      <c r="D870" s="250">
        <f t="shared" si="2135"/>
        <v>0</v>
      </c>
      <c r="E870" s="251"/>
      <c r="F870" s="248" t="str">
        <f t="shared" si="2157"/>
        <v>YEAR4</v>
      </c>
      <c r="G870" s="250">
        <f>VLOOKUP(F870,TableInputsData[],$G$6,FALSE)</f>
        <v>2028</v>
      </c>
      <c r="H870" s="250" t="str">
        <f t="shared" si="2136"/>
        <v>SERVICE</v>
      </c>
      <c r="I870" s="248" t="str">
        <f t="shared" si="2136"/>
        <v>SERVICE 01</v>
      </c>
      <c r="J870" s="248" t="str">
        <f>VLOOKUP(I870,TableInputsData[],$J$6,FALSE)</f>
        <v>-</v>
      </c>
      <c r="K870" s="248" t="str">
        <f t="shared" si="2163"/>
        <v>AVERAGE SELLING PRICE PER UNIT</v>
      </c>
      <c r="L870" s="256"/>
      <c r="M870" s="256"/>
      <c r="N870" s="256"/>
      <c r="O870" s="266"/>
      <c r="P870" s="261"/>
      <c r="Q870" s="261"/>
      <c r="R870" s="261"/>
      <c r="S870" s="629"/>
      <c r="T870" s="629"/>
      <c r="U870" s="629"/>
      <c r="V870" s="629"/>
      <c r="W870" s="261"/>
      <c r="X870" s="261"/>
      <c r="Y870" s="261"/>
      <c r="Z870" s="261"/>
      <c r="AA870" s="261"/>
      <c r="AB870" s="261"/>
      <c r="AC870" s="266"/>
      <c r="AD870" s="633"/>
      <c r="AE870" s="264">
        <f t="shared" ref="AE870:AM870" si="2170">IF(AE854=0,0,AE862/AE854)</f>
        <v>0</v>
      </c>
      <c r="AF870" s="264">
        <f t="shared" si="2170"/>
        <v>0</v>
      </c>
      <c r="AG870" s="264">
        <f t="shared" si="2170"/>
        <v>0</v>
      </c>
      <c r="AH870" s="264">
        <f t="shared" si="2170"/>
        <v>0</v>
      </c>
      <c r="AI870" s="264">
        <f t="shared" si="2170"/>
        <v>0</v>
      </c>
      <c r="AJ870" s="264">
        <f t="shared" si="2170"/>
        <v>0</v>
      </c>
      <c r="AK870" s="264">
        <f t="shared" si="2170"/>
        <v>0</v>
      </c>
      <c r="AL870" s="264">
        <f t="shared" si="2170"/>
        <v>0</v>
      </c>
      <c r="AM870" s="264">
        <f t="shared" si="2170"/>
        <v>0</v>
      </c>
      <c r="AN870" s="260"/>
      <c r="AO870" s="264">
        <f t="shared" ref="AO870" si="2171">IF(AO854=0,0,AO862/AO854)</f>
        <v>0</v>
      </c>
      <c r="AP870" s="260"/>
      <c r="AQ870" s="264"/>
      <c r="AR870" s="264" t="str">
        <f>VLOOKUP($I870,TableInputsData[],ReadMe!$M$3,FALSE)&amp;"  |  "&amp;VLOOKUP($K870,TableInputsData[],ReadMe!$M$3,FALSE)</f>
        <v>SERVICE 01  |  PRIX MOYEN DE VENTE PAR PRODUIT/SERVICE</v>
      </c>
      <c r="AS870" s="264"/>
      <c r="AT870" s="294"/>
    </row>
    <row r="871" spans="1:46" ht="13" hidden="1" x14ac:dyDescent="0.2">
      <c r="A871" s="294"/>
      <c r="B871" s="924"/>
      <c r="C871" s="271">
        <v>864</v>
      </c>
      <c r="D871" s="250">
        <f t="shared" si="2135"/>
        <v>0</v>
      </c>
      <c r="E871" s="250"/>
      <c r="F871" s="248" t="str">
        <f t="shared" si="2157"/>
        <v>YEAR5</v>
      </c>
      <c r="G871" s="250">
        <f>VLOOKUP(F871,TableInputsData[],$G$6,FALSE)</f>
        <v>2029</v>
      </c>
      <c r="H871" s="250" t="str">
        <f t="shared" si="2136"/>
        <v>SERVICE</v>
      </c>
      <c r="I871" s="248" t="str">
        <f t="shared" si="2136"/>
        <v>SERVICE 01</v>
      </c>
      <c r="J871" s="248" t="str">
        <f>VLOOKUP(I871,TableInputsData[],$J$6,FALSE)</f>
        <v>-</v>
      </c>
      <c r="K871" s="248" t="str">
        <f t="shared" si="2163"/>
        <v>AVERAGE SELLING PRICE PER UNIT</v>
      </c>
      <c r="L871" s="255"/>
      <c r="M871" s="255"/>
      <c r="N871" s="255"/>
      <c r="O871" s="265"/>
      <c r="P871" s="260"/>
      <c r="Q871" s="260"/>
      <c r="R871" s="260"/>
      <c r="S871" s="630"/>
      <c r="T871" s="630"/>
      <c r="U871" s="630"/>
      <c r="V871" s="630"/>
      <c r="W871" s="260"/>
      <c r="X871" s="260"/>
      <c r="Y871" s="260"/>
      <c r="Z871" s="260"/>
      <c r="AA871" s="260"/>
      <c r="AB871" s="260"/>
      <c r="AC871" s="265"/>
      <c r="AD871" s="634"/>
      <c r="AE871" s="264">
        <f t="shared" ref="AE871:AM871" si="2172">IF(AE855=0,0,AE863/AE855)</f>
        <v>0</v>
      </c>
      <c r="AF871" s="264">
        <f t="shared" si="2172"/>
        <v>0</v>
      </c>
      <c r="AG871" s="264">
        <f t="shared" si="2172"/>
        <v>0</v>
      </c>
      <c r="AH871" s="264">
        <f t="shared" si="2172"/>
        <v>0</v>
      </c>
      <c r="AI871" s="264">
        <f t="shared" si="2172"/>
        <v>0</v>
      </c>
      <c r="AJ871" s="264">
        <f t="shared" si="2172"/>
        <v>0</v>
      </c>
      <c r="AK871" s="264">
        <f t="shared" si="2172"/>
        <v>0</v>
      </c>
      <c r="AL871" s="264">
        <f t="shared" si="2172"/>
        <v>0</v>
      </c>
      <c r="AM871" s="264">
        <f t="shared" si="2172"/>
        <v>0</v>
      </c>
      <c r="AN871" s="260"/>
      <c r="AO871" s="264">
        <f t="shared" ref="AO871" si="2173">IF(AO855=0,0,AO863/AO855)</f>
        <v>0</v>
      </c>
      <c r="AP871" s="260"/>
      <c r="AQ871" s="264"/>
      <c r="AR871" s="264" t="str">
        <f>VLOOKUP($I871,TableInputsData[],ReadMe!$M$3,FALSE)&amp;"  |  "&amp;VLOOKUP($K871,TableInputsData[],ReadMe!$M$3,FALSE)</f>
        <v>SERVICE 01  |  PRIX MOYEN DE VENTE PAR PRODUIT/SERVICE</v>
      </c>
      <c r="AS871" s="264"/>
      <c r="AT871" s="294"/>
    </row>
    <row r="872" spans="1:46" ht="13" hidden="1" x14ac:dyDescent="0.2">
      <c r="A872" s="294"/>
      <c r="B872" s="924"/>
      <c r="C872" s="271">
        <v>865</v>
      </c>
      <c r="D872" s="250">
        <f t="shared" si="2135"/>
        <v>0</v>
      </c>
      <c r="E872" s="250"/>
      <c r="F872" s="248" t="str">
        <f t="shared" si="2157"/>
        <v>YEAR6</v>
      </c>
      <c r="G872" s="250">
        <f>VLOOKUP(F872,TableInputsData[],$G$6,FALSE)</f>
        <v>2030</v>
      </c>
      <c r="H872" s="250" t="str">
        <f t="shared" si="2136"/>
        <v>SERVICE</v>
      </c>
      <c r="I872" s="248" t="str">
        <f t="shared" si="2136"/>
        <v>SERVICE 01</v>
      </c>
      <c r="J872" s="248" t="str">
        <f>VLOOKUP(I872,TableInputsData[],$J$6,FALSE)</f>
        <v>-</v>
      </c>
      <c r="K872" s="248" t="str">
        <f t="shared" si="2163"/>
        <v>AVERAGE SELLING PRICE PER UNIT</v>
      </c>
      <c r="L872" s="255"/>
      <c r="M872" s="255"/>
      <c r="N872" s="255"/>
      <c r="O872" s="265"/>
      <c r="P872" s="260"/>
      <c r="Q872" s="260"/>
      <c r="R872" s="260"/>
      <c r="S872" s="630"/>
      <c r="T872" s="630"/>
      <c r="U872" s="630"/>
      <c r="V872" s="630"/>
      <c r="W872" s="260"/>
      <c r="X872" s="260"/>
      <c r="Y872" s="260"/>
      <c r="Z872" s="260"/>
      <c r="AA872" s="260"/>
      <c r="AB872" s="260"/>
      <c r="AC872" s="265"/>
      <c r="AD872" s="634"/>
      <c r="AE872" s="264">
        <f t="shared" ref="AE872:AM872" si="2174">IF(AE856=0,0,AE864/AE856)</f>
        <v>0</v>
      </c>
      <c r="AF872" s="264">
        <f t="shared" si="2174"/>
        <v>0</v>
      </c>
      <c r="AG872" s="264">
        <f t="shared" si="2174"/>
        <v>0</v>
      </c>
      <c r="AH872" s="264">
        <f t="shared" si="2174"/>
        <v>0</v>
      </c>
      <c r="AI872" s="264">
        <f t="shared" si="2174"/>
        <v>0</v>
      </c>
      <c r="AJ872" s="264">
        <f t="shared" si="2174"/>
        <v>0</v>
      </c>
      <c r="AK872" s="264">
        <f t="shared" si="2174"/>
        <v>0</v>
      </c>
      <c r="AL872" s="264">
        <f t="shared" si="2174"/>
        <v>0</v>
      </c>
      <c r="AM872" s="264">
        <f t="shared" si="2174"/>
        <v>0</v>
      </c>
      <c r="AN872" s="260"/>
      <c r="AO872" s="264">
        <f t="shared" ref="AO872" si="2175">IF(AO856=0,0,AO864/AO856)</f>
        <v>0</v>
      </c>
      <c r="AP872" s="260"/>
      <c r="AQ872" s="264"/>
      <c r="AR872" s="264" t="str">
        <f>VLOOKUP($I872,TableInputsData[],ReadMe!$M$3,FALSE)&amp;"  |  "&amp;VLOOKUP($K872,TableInputsData[],ReadMe!$M$3,FALSE)</f>
        <v>SERVICE 01  |  PRIX MOYEN DE VENTE PAR PRODUIT/SERVICE</v>
      </c>
      <c r="AS872" s="264"/>
      <c r="AT872" s="294"/>
    </row>
    <row r="873" spans="1:46" ht="13" hidden="1" x14ac:dyDescent="0.2">
      <c r="A873" s="294"/>
      <c r="B873" s="924"/>
      <c r="C873" s="272">
        <v>866</v>
      </c>
      <c r="D873" s="250">
        <f t="shared" si="2135"/>
        <v>0</v>
      </c>
      <c r="E873" s="251"/>
      <c r="F873" s="248" t="str">
        <f t="shared" ref="F873:F880" si="2176">F881</f>
        <v>YEAR-2</v>
      </c>
      <c r="G873" s="250">
        <f>VLOOKUP(F873,TableInputsData[],$G$6,FALSE)</f>
        <v>2023</v>
      </c>
      <c r="H873" s="250" t="str">
        <f t="shared" si="2136"/>
        <v>SERVICE</v>
      </c>
      <c r="I873" s="248" t="str">
        <f t="shared" si="2136"/>
        <v>SERVICE 01</v>
      </c>
      <c r="J873" s="248" t="str">
        <f>VLOOKUP(I873,TableInputsData[],$J$6,FALSE)</f>
        <v>-</v>
      </c>
      <c r="K873" s="248" t="s">
        <v>531</v>
      </c>
      <c r="L873" s="256"/>
      <c r="M873" s="256"/>
      <c r="N873" s="256"/>
      <c r="O873" s="266"/>
      <c r="P873" s="261"/>
      <c r="Q873" s="261"/>
      <c r="R873" s="261"/>
      <c r="S873" s="629"/>
      <c r="T873" s="629"/>
      <c r="U873" s="629"/>
      <c r="V873" s="629"/>
      <c r="W873" s="261"/>
      <c r="X873" s="261"/>
      <c r="Y873" s="261"/>
      <c r="Z873" s="261"/>
      <c r="AA873" s="261"/>
      <c r="AB873" s="261"/>
      <c r="AC873" s="266"/>
      <c r="AD873" s="633"/>
      <c r="AE873" s="264">
        <f>AE849*($S849*$P849+$T849*$Q849+$U849*$R849)</f>
        <v>0</v>
      </c>
      <c r="AF873" s="264">
        <f t="shared" ref="AF873:AH873" si="2177">AF849*($S849*$P849+$T849*$Q849+$U849*$R849)</f>
        <v>0</v>
      </c>
      <c r="AG873" s="264">
        <f t="shared" si="2177"/>
        <v>0</v>
      </c>
      <c r="AH873" s="264">
        <f t="shared" si="2177"/>
        <v>0</v>
      </c>
      <c r="AI873" s="264">
        <f t="shared" ref="AI873:AI880" si="2178">$AE873+$AF873+$AG873+$AH873</f>
        <v>0</v>
      </c>
      <c r="AJ873" s="264">
        <f t="shared" ref="AJ873:AJ880" si="2179">$AJ849*$S849</f>
        <v>0</v>
      </c>
      <c r="AK873" s="264">
        <f t="shared" ref="AK873:AK880" si="2180">$AK849*$T849</f>
        <v>0</v>
      </c>
      <c r="AL873" s="264">
        <f t="shared" ref="AL873:AL880" si="2181">$AL849*$U849</f>
        <v>0</v>
      </c>
      <c r="AM873" s="264">
        <f t="shared" ref="AM873:AM880" si="2182">$AJ873*$W849+$AK873*$X849+$AL873*$Y849</f>
        <v>0</v>
      </c>
      <c r="AN873" s="640">
        <f t="shared" ref="AN873:AN880" si="2183">IF(AI873=0,0,AM873/AI873)</f>
        <v>0</v>
      </c>
      <c r="AO873" s="264">
        <f t="shared" ref="AO873:AO880" si="2184">$AJ873*$Z849+$AK873*$AA849+$AL873*$AB849</f>
        <v>0</v>
      </c>
      <c r="AP873" s="640">
        <f t="shared" ref="AP873:AP880" si="2185">IF(AI873=0,0,AO873/AI873)</f>
        <v>0</v>
      </c>
      <c r="AQ873" s="264"/>
      <c r="AR873" s="264" t="str">
        <f>VLOOKUP($I873,TableInputsData[],ReadMe!$M$3,FALSE)&amp;"  |  "&amp;VLOOKUP($K873,TableInputsData[],ReadMe!$M$3,FALSE)</f>
        <v>SERVICE 01  |  DEPENSES SUR ACHATS</v>
      </c>
      <c r="AS873" s="264" t="b">
        <f t="shared" ref="AS873:AS880" si="2186">AND(EXACT(ROUND(AI873,2),ROUND(AJ873+AK873+AL873,2)),EXACT(ROUND(AI873,2),ROUND(AM873+AO873,2)))</f>
        <v>1</v>
      </c>
      <c r="AT873" s="294"/>
    </row>
    <row r="874" spans="1:46" ht="13" hidden="1" x14ac:dyDescent="0.2">
      <c r="A874" s="294"/>
      <c r="B874" s="924"/>
      <c r="C874" s="271">
        <v>867</v>
      </c>
      <c r="D874" s="250">
        <f t="shared" si="2135"/>
        <v>0</v>
      </c>
      <c r="E874" s="250"/>
      <c r="F874" s="248" t="str">
        <f t="shared" si="2176"/>
        <v>YEAR-1</v>
      </c>
      <c r="G874" s="250">
        <f>VLOOKUP(F874,TableInputsData[],$G$6,FALSE)</f>
        <v>2024</v>
      </c>
      <c r="H874" s="250" t="str">
        <f t="shared" si="2136"/>
        <v>SERVICE</v>
      </c>
      <c r="I874" s="248" t="str">
        <f t="shared" si="2136"/>
        <v>SERVICE 01</v>
      </c>
      <c r="J874" s="248" t="str">
        <f>VLOOKUP(I874,TableInputsData[],$J$6,FALSE)</f>
        <v>-</v>
      </c>
      <c r="K874" s="248" t="str">
        <f>K873</f>
        <v>COST OF GOODS SOLD</v>
      </c>
      <c r="L874" s="255"/>
      <c r="M874" s="255"/>
      <c r="N874" s="255"/>
      <c r="O874" s="265"/>
      <c r="P874" s="260"/>
      <c r="Q874" s="260"/>
      <c r="R874" s="260"/>
      <c r="S874" s="630"/>
      <c r="T874" s="630"/>
      <c r="U874" s="630"/>
      <c r="V874" s="630"/>
      <c r="W874" s="260"/>
      <c r="X874" s="260"/>
      <c r="Y874" s="260"/>
      <c r="Z874" s="260"/>
      <c r="AA874" s="260"/>
      <c r="AB874" s="260"/>
      <c r="AC874" s="265"/>
      <c r="AD874" s="634"/>
      <c r="AE874" s="264">
        <f t="shared" ref="AE874:AH874" si="2187">AE850*($S850*$P850+$T850*$Q850+$U850*$R850)</f>
        <v>0</v>
      </c>
      <c r="AF874" s="264">
        <f t="shared" si="2187"/>
        <v>0</v>
      </c>
      <c r="AG874" s="264">
        <f t="shared" si="2187"/>
        <v>0</v>
      </c>
      <c r="AH874" s="264">
        <f t="shared" si="2187"/>
        <v>0</v>
      </c>
      <c r="AI874" s="264">
        <f t="shared" si="2178"/>
        <v>0</v>
      </c>
      <c r="AJ874" s="264">
        <f t="shared" si="2179"/>
        <v>0</v>
      </c>
      <c r="AK874" s="264">
        <f t="shared" si="2180"/>
        <v>0</v>
      </c>
      <c r="AL874" s="264">
        <f t="shared" si="2181"/>
        <v>0</v>
      </c>
      <c r="AM874" s="264">
        <f t="shared" si="2182"/>
        <v>0</v>
      </c>
      <c r="AN874" s="640">
        <f t="shared" si="2183"/>
        <v>0</v>
      </c>
      <c r="AO874" s="264">
        <f t="shared" si="2184"/>
        <v>0</v>
      </c>
      <c r="AP874" s="640">
        <f t="shared" si="2185"/>
        <v>0</v>
      </c>
      <c r="AQ874" s="264"/>
      <c r="AR874" s="264" t="str">
        <f>VLOOKUP($I874,TableInputsData[],ReadMe!$M$3,FALSE)&amp;"  |  "&amp;VLOOKUP($K874,TableInputsData[],ReadMe!$M$3,FALSE)</f>
        <v>SERVICE 01  |  DEPENSES SUR ACHATS</v>
      </c>
      <c r="AS874" s="264" t="b">
        <f t="shared" si="2186"/>
        <v>1</v>
      </c>
      <c r="AT874" s="294"/>
    </row>
    <row r="875" spans="1:46" ht="13" hidden="1" x14ac:dyDescent="0.2">
      <c r="A875" s="294"/>
      <c r="B875" s="924"/>
      <c r="C875" s="271">
        <v>868</v>
      </c>
      <c r="D875" s="250">
        <f t="shared" si="2135"/>
        <v>0</v>
      </c>
      <c r="E875" s="250"/>
      <c r="F875" s="248" t="str">
        <f t="shared" si="2176"/>
        <v>CURRENT YEAR</v>
      </c>
      <c r="G875" s="250">
        <f>VLOOKUP(F875,TableInputsData[],$G$6,FALSE)</f>
        <v>2025</v>
      </c>
      <c r="H875" s="250" t="str">
        <f t="shared" si="2136"/>
        <v>SERVICE</v>
      </c>
      <c r="I875" s="248" t="str">
        <f t="shared" si="2136"/>
        <v>SERVICE 01</v>
      </c>
      <c r="J875" s="248" t="str">
        <f>VLOOKUP(I875,TableInputsData[],$J$6,FALSE)</f>
        <v>-</v>
      </c>
      <c r="K875" s="248" t="str">
        <f t="shared" ref="K875:K880" si="2188">K874</f>
        <v>COST OF GOODS SOLD</v>
      </c>
      <c r="L875" s="255"/>
      <c r="M875" s="255"/>
      <c r="N875" s="255"/>
      <c r="O875" s="265"/>
      <c r="P875" s="260"/>
      <c r="Q875" s="260"/>
      <c r="R875" s="260"/>
      <c r="S875" s="630"/>
      <c r="T875" s="630"/>
      <c r="U875" s="630"/>
      <c r="V875" s="630"/>
      <c r="W875" s="260"/>
      <c r="X875" s="260"/>
      <c r="Y875" s="260"/>
      <c r="Z875" s="260"/>
      <c r="AA875" s="260"/>
      <c r="AB875" s="260"/>
      <c r="AC875" s="265"/>
      <c r="AD875" s="634"/>
      <c r="AE875" s="264">
        <f t="shared" ref="AE875:AH875" si="2189">AE851*($S851*$P851+$T851*$Q851+$U851*$R851)</f>
        <v>0</v>
      </c>
      <c r="AF875" s="264">
        <f t="shared" si="2189"/>
        <v>0</v>
      </c>
      <c r="AG875" s="264">
        <f t="shared" si="2189"/>
        <v>0</v>
      </c>
      <c r="AH875" s="264">
        <f t="shared" si="2189"/>
        <v>0</v>
      </c>
      <c r="AI875" s="264">
        <f t="shared" si="2178"/>
        <v>0</v>
      </c>
      <c r="AJ875" s="264">
        <f t="shared" si="2179"/>
        <v>0</v>
      </c>
      <c r="AK875" s="264">
        <f t="shared" si="2180"/>
        <v>0</v>
      </c>
      <c r="AL875" s="264">
        <f t="shared" si="2181"/>
        <v>0</v>
      </c>
      <c r="AM875" s="264">
        <f t="shared" si="2182"/>
        <v>0</v>
      </c>
      <c r="AN875" s="640">
        <f t="shared" si="2183"/>
        <v>0</v>
      </c>
      <c r="AO875" s="264">
        <f t="shared" si="2184"/>
        <v>0</v>
      </c>
      <c r="AP875" s="640">
        <f t="shared" si="2185"/>
        <v>0</v>
      </c>
      <c r="AQ875" s="264"/>
      <c r="AR875" s="264" t="str">
        <f>VLOOKUP($I875,TableInputsData[],ReadMe!$M$3,FALSE)&amp;"  |  "&amp;VLOOKUP($K875,TableInputsData[],ReadMe!$M$3,FALSE)</f>
        <v>SERVICE 01  |  DEPENSES SUR ACHATS</v>
      </c>
      <c r="AS875" s="264" t="b">
        <f t="shared" si="2186"/>
        <v>1</v>
      </c>
      <c r="AT875" s="294"/>
    </row>
    <row r="876" spans="1:46" ht="13" hidden="1" x14ac:dyDescent="0.2">
      <c r="A876" s="294"/>
      <c r="B876" s="924"/>
      <c r="C876" s="271">
        <v>869</v>
      </c>
      <c r="D876" s="250">
        <f t="shared" si="2135"/>
        <v>0</v>
      </c>
      <c r="E876" s="250"/>
      <c r="F876" s="248" t="str">
        <f t="shared" si="2176"/>
        <v>YEAR2</v>
      </c>
      <c r="G876" s="250">
        <f>VLOOKUP(F876,TableInputsData[],$G$6,FALSE)</f>
        <v>2026</v>
      </c>
      <c r="H876" s="250" t="str">
        <f t="shared" si="2136"/>
        <v>SERVICE</v>
      </c>
      <c r="I876" s="248" t="str">
        <f t="shared" si="2136"/>
        <v>SERVICE 01</v>
      </c>
      <c r="J876" s="248" t="str">
        <f>VLOOKUP(I876,TableInputsData[],$J$6,FALSE)</f>
        <v>-</v>
      </c>
      <c r="K876" s="248" t="str">
        <f t="shared" si="2188"/>
        <v>COST OF GOODS SOLD</v>
      </c>
      <c r="L876" s="255"/>
      <c r="M876" s="255"/>
      <c r="N876" s="255"/>
      <c r="O876" s="265"/>
      <c r="P876" s="260"/>
      <c r="Q876" s="260"/>
      <c r="R876" s="260"/>
      <c r="S876" s="630"/>
      <c r="T876" s="630"/>
      <c r="U876" s="630"/>
      <c r="V876" s="630"/>
      <c r="W876" s="260"/>
      <c r="X876" s="260"/>
      <c r="Y876" s="260"/>
      <c r="Z876" s="260"/>
      <c r="AA876" s="260"/>
      <c r="AB876" s="260"/>
      <c r="AC876" s="265"/>
      <c r="AD876" s="634"/>
      <c r="AE876" s="264">
        <f t="shared" ref="AE876:AH876" si="2190">AE852*($S852*$P852+$T852*$Q852+$U852*$R852)</f>
        <v>0</v>
      </c>
      <c r="AF876" s="264">
        <f t="shared" si="2190"/>
        <v>0</v>
      </c>
      <c r="AG876" s="264">
        <f t="shared" si="2190"/>
        <v>0</v>
      </c>
      <c r="AH876" s="264">
        <f t="shared" si="2190"/>
        <v>0</v>
      </c>
      <c r="AI876" s="264">
        <f t="shared" si="2178"/>
        <v>0</v>
      </c>
      <c r="AJ876" s="264">
        <f t="shared" si="2179"/>
        <v>0</v>
      </c>
      <c r="AK876" s="264">
        <f t="shared" si="2180"/>
        <v>0</v>
      </c>
      <c r="AL876" s="264">
        <f t="shared" si="2181"/>
        <v>0</v>
      </c>
      <c r="AM876" s="264">
        <f t="shared" si="2182"/>
        <v>0</v>
      </c>
      <c r="AN876" s="640">
        <f t="shared" si="2183"/>
        <v>0</v>
      </c>
      <c r="AO876" s="264">
        <f t="shared" si="2184"/>
        <v>0</v>
      </c>
      <c r="AP876" s="640">
        <f t="shared" si="2185"/>
        <v>0</v>
      </c>
      <c r="AQ876" s="264"/>
      <c r="AR876" s="264" t="str">
        <f>VLOOKUP($I876,TableInputsData[],ReadMe!$M$3,FALSE)&amp;"  |  "&amp;VLOOKUP($K876,TableInputsData[],ReadMe!$M$3,FALSE)</f>
        <v>SERVICE 01  |  DEPENSES SUR ACHATS</v>
      </c>
      <c r="AS876" s="264" t="b">
        <f t="shared" si="2186"/>
        <v>1</v>
      </c>
      <c r="AT876" s="294"/>
    </row>
    <row r="877" spans="1:46" ht="13" hidden="1" x14ac:dyDescent="0.2">
      <c r="A877" s="294"/>
      <c r="B877" s="924"/>
      <c r="C877" s="271">
        <v>870</v>
      </c>
      <c r="D877" s="250">
        <f t="shared" si="2135"/>
        <v>0</v>
      </c>
      <c r="E877" s="250"/>
      <c r="F877" s="248" t="str">
        <f t="shared" si="2176"/>
        <v>YEAR3</v>
      </c>
      <c r="G877" s="250">
        <f>VLOOKUP(F877,TableInputsData[],$G$6,FALSE)</f>
        <v>2027</v>
      </c>
      <c r="H877" s="250" t="str">
        <f t="shared" si="2136"/>
        <v>SERVICE</v>
      </c>
      <c r="I877" s="248" t="str">
        <f t="shared" si="2136"/>
        <v>SERVICE 01</v>
      </c>
      <c r="J877" s="248" t="str">
        <f>VLOOKUP(I877,TableInputsData[],$J$6,FALSE)</f>
        <v>-</v>
      </c>
      <c r="K877" s="248" t="str">
        <f t="shared" si="2188"/>
        <v>COST OF GOODS SOLD</v>
      </c>
      <c r="L877" s="255"/>
      <c r="M877" s="255"/>
      <c r="N877" s="255"/>
      <c r="O877" s="265"/>
      <c r="P877" s="260"/>
      <c r="Q877" s="260"/>
      <c r="R877" s="260"/>
      <c r="S877" s="630"/>
      <c r="T877" s="630"/>
      <c r="U877" s="630"/>
      <c r="V877" s="630"/>
      <c r="W877" s="260"/>
      <c r="X877" s="260"/>
      <c r="Y877" s="260"/>
      <c r="Z877" s="260"/>
      <c r="AA877" s="260"/>
      <c r="AB877" s="260"/>
      <c r="AC877" s="265"/>
      <c r="AD877" s="634"/>
      <c r="AE877" s="264">
        <f t="shared" ref="AE877:AH877" si="2191">AE853*($S853*$P853+$T853*$Q853+$U853*$R853)</f>
        <v>0</v>
      </c>
      <c r="AF877" s="264">
        <f t="shared" si="2191"/>
        <v>0</v>
      </c>
      <c r="AG877" s="264">
        <f t="shared" si="2191"/>
        <v>0</v>
      </c>
      <c r="AH877" s="264">
        <f t="shared" si="2191"/>
        <v>0</v>
      </c>
      <c r="AI877" s="264">
        <f t="shared" si="2178"/>
        <v>0</v>
      </c>
      <c r="AJ877" s="264">
        <f t="shared" si="2179"/>
        <v>0</v>
      </c>
      <c r="AK877" s="264">
        <f t="shared" si="2180"/>
        <v>0</v>
      </c>
      <c r="AL877" s="264">
        <f t="shared" si="2181"/>
        <v>0</v>
      </c>
      <c r="AM877" s="264">
        <f t="shared" si="2182"/>
        <v>0</v>
      </c>
      <c r="AN877" s="640">
        <f t="shared" si="2183"/>
        <v>0</v>
      </c>
      <c r="AO877" s="264">
        <f t="shared" si="2184"/>
        <v>0</v>
      </c>
      <c r="AP877" s="640">
        <f t="shared" si="2185"/>
        <v>0</v>
      </c>
      <c r="AQ877" s="264"/>
      <c r="AR877" s="264" t="str">
        <f>VLOOKUP($I877,TableInputsData[],ReadMe!$M$3,FALSE)&amp;"  |  "&amp;VLOOKUP($K877,TableInputsData[],ReadMe!$M$3,FALSE)</f>
        <v>SERVICE 01  |  DEPENSES SUR ACHATS</v>
      </c>
      <c r="AS877" s="264" t="b">
        <f t="shared" si="2186"/>
        <v>1</v>
      </c>
      <c r="AT877" s="294"/>
    </row>
    <row r="878" spans="1:46" ht="13" hidden="1" x14ac:dyDescent="0.2">
      <c r="A878" s="294"/>
      <c r="B878" s="924"/>
      <c r="C878" s="271">
        <v>871</v>
      </c>
      <c r="D878" s="250">
        <f t="shared" si="2135"/>
        <v>0</v>
      </c>
      <c r="E878" s="250"/>
      <c r="F878" s="248" t="str">
        <f t="shared" si="2176"/>
        <v>YEAR4</v>
      </c>
      <c r="G878" s="250">
        <f>VLOOKUP(F878,TableInputsData[],$G$6,FALSE)</f>
        <v>2028</v>
      </c>
      <c r="H878" s="250" t="str">
        <f t="shared" si="2136"/>
        <v>SERVICE</v>
      </c>
      <c r="I878" s="248" t="str">
        <f t="shared" si="2136"/>
        <v>SERVICE 01</v>
      </c>
      <c r="J878" s="248" t="str">
        <f>VLOOKUP(I878,TableInputsData[],$J$6,FALSE)</f>
        <v>-</v>
      </c>
      <c r="K878" s="248" t="str">
        <f t="shared" si="2188"/>
        <v>COST OF GOODS SOLD</v>
      </c>
      <c r="L878" s="255"/>
      <c r="M878" s="255"/>
      <c r="N878" s="255"/>
      <c r="O878" s="265"/>
      <c r="P878" s="260"/>
      <c r="Q878" s="260"/>
      <c r="R878" s="260"/>
      <c r="S878" s="630"/>
      <c r="T878" s="630"/>
      <c r="U878" s="630"/>
      <c r="V878" s="630"/>
      <c r="W878" s="260"/>
      <c r="X878" s="260"/>
      <c r="Y878" s="260"/>
      <c r="Z878" s="260"/>
      <c r="AA878" s="260"/>
      <c r="AB878" s="260"/>
      <c r="AC878" s="265"/>
      <c r="AD878" s="634"/>
      <c r="AE878" s="264">
        <f t="shared" ref="AE878:AH878" si="2192">AE854*($S854*$P854+$T854*$Q854+$U854*$R854)</f>
        <v>0</v>
      </c>
      <c r="AF878" s="264">
        <f t="shared" si="2192"/>
        <v>0</v>
      </c>
      <c r="AG878" s="264">
        <f t="shared" si="2192"/>
        <v>0</v>
      </c>
      <c r="AH878" s="264">
        <f t="shared" si="2192"/>
        <v>0</v>
      </c>
      <c r="AI878" s="264">
        <f t="shared" si="2178"/>
        <v>0</v>
      </c>
      <c r="AJ878" s="264">
        <f t="shared" si="2179"/>
        <v>0</v>
      </c>
      <c r="AK878" s="264">
        <f t="shared" si="2180"/>
        <v>0</v>
      </c>
      <c r="AL878" s="264">
        <f t="shared" si="2181"/>
        <v>0</v>
      </c>
      <c r="AM878" s="264">
        <f t="shared" si="2182"/>
        <v>0</v>
      </c>
      <c r="AN878" s="640">
        <f t="shared" si="2183"/>
        <v>0</v>
      </c>
      <c r="AO878" s="264">
        <f t="shared" si="2184"/>
        <v>0</v>
      </c>
      <c r="AP878" s="640">
        <f t="shared" si="2185"/>
        <v>0</v>
      </c>
      <c r="AQ878" s="264"/>
      <c r="AR878" s="264" t="str">
        <f>VLOOKUP($I878,TableInputsData[],ReadMe!$M$3,FALSE)&amp;"  |  "&amp;VLOOKUP($K878,TableInputsData[],ReadMe!$M$3,FALSE)</f>
        <v>SERVICE 01  |  DEPENSES SUR ACHATS</v>
      </c>
      <c r="AS878" s="264" t="b">
        <f t="shared" si="2186"/>
        <v>1</v>
      </c>
      <c r="AT878" s="294"/>
    </row>
    <row r="879" spans="1:46" ht="13" hidden="1" x14ac:dyDescent="0.2">
      <c r="A879" s="294"/>
      <c r="B879" s="924"/>
      <c r="C879" s="271">
        <v>872</v>
      </c>
      <c r="D879" s="250">
        <f t="shared" si="2135"/>
        <v>0</v>
      </c>
      <c r="E879" s="250"/>
      <c r="F879" s="248" t="str">
        <f t="shared" si="2176"/>
        <v>YEAR5</v>
      </c>
      <c r="G879" s="250">
        <f>VLOOKUP(F879,TableInputsData[],$G$6,FALSE)</f>
        <v>2029</v>
      </c>
      <c r="H879" s="250" t="str">
        <f t="shared" si="2136"/>
        <v>SERVICE</v>
      </c>
      <c r="I879" s="248" t="str">
        <f t="shared" si="2136"/>
        <v>SERVICE 01</v>
      </c>
      <c r="J879" s="248" t="str">
        <f>VLOOKUP(I879,TableInputsData[],$J$6,FALSE)</f>
        <v>-</v>
      </c>
      <c r="K879" s="248" t="str">
        <f t="shared" si="2188"/>
        <v>COST OF GOODS SOLD</v>
      </c>
      <c r="L879" s="255"/>
      <c r="M879" s="255"/>
      <c r="N879" s="255"/>
      <c r="O879" s="265"/>
      <c r="P879" s="260"/>
      <c r="Q879" s="260"/>
      <c r="R879" s="260"/>
      <c r="S879" s="630"/>
      <c r="T879" s="630"/>
      <c r="U879" s="630"/>
      <c r="V879" s="630"/>
      <c r="W879" s="260"/>
      <c r="X879" s="260"/>
      <c r="Y879" s="260"/>
      <c r="Z879" s="260"/>
      <c r="AA879" s="260"/>
      <c r="AB879" s="260"/>
      <c r="AC879" s="265"/>
      <c r="AD879" s="634"/>
      <c r="AE879" s="264">
        <f t="shared" ref="AE879:AH879" si="2193">AE855*($S855*$P855+$T855*$Q855+$U855*$R855)</f>
        <v>0</v>
      </c>
      <c r="AF879" s="264">
        <f t="shared" si="2193"/>
        <v>0</v>
      </c>
      <c r="AG879" s="264">
        <f t="shared" si="2193"/>
        <v>0</v>
      </c>
      <c r="AH879" s="264">
        <f t="shared" si="2193"/>
        <v>0</v>
      </c>
      <c r="AI879" s="264">
        <f t="shared" si="2178"/>
        <v>0</v>
      </c>
      <c r="AJ879" s="264">
        <f t="shared" si="2179"/>
        <v>0</v>
      </c>
      <c r="AK879" s="264">
        <f t="shared" si="2180"/>
        <v>0</v>
      </c>
      <c r="AL879" s="264">
        <f t="shared" si="2181"/>
        <v>0</v>
      </c>
      <c r="AM879" s="264">
        <f t="shared" si="2182"/>
        <v>0</v>
      </c>
      <c r="AN879" s="640">
        <f t="shared" si="2183"/>
        <v>0</v>
      </c>
      <c r="AO879" s="264">
        <f t="shared" si="2184"/>
        <v>0</v>
      </c>
      <c r="AP879" s="640">
        <f t="shared" si="2185"/>
        <v>0</v>
      </c>
      <c r="AQ879" s="264"/>
      <c r="AR879" s="264" t="str">
        <f>VLOOKUP($I879,TableInputsData[],ReadMe!$M$3,FALSE)&amp;"  |  "&amp;VLOOKUP($K879,TableInputsData[],ReadMe!$M$3,FALSE)</f>
        <v>SERVICE 01  |  DEPENSES SUR ACHATS</v>
      </c>
      <c r="AS879" s="264" t="b">
        <f t="shared" si="2186"/>
        <v>1</v>
      </c>
      <c r="AT879" s="294"/>
    </row>
    <row r="880" spans="1:46" ht="13" hidden="1" x14ac:dyDescent="0.2">
      <c r="A880" s="294"/>
      <c r="B880" s="924"/>
      <c r="C880" s="271">
        <v>873</v>
      </c>
      <c r="D880" s="250">
        <f t="shared" si="2135"/>
        <v>0</v>
      </c>
      <c r="E880" s="250"/>
      <c r="F880" s="248" t="str">
        <f t="shared" si="2176"/>
        <v>YEAR6</v>
      </c>
      <c r="G880" s="250">
        <f>VLOOKUP(F880,TableInputsData[],$G$6,FALSE)</f>
        <v>2030</v>
      </c>
      <c r="H880" s="250" t="str">
        <f t="shared" si="2136"/>
        <v>SERVICE</v>
      </c>
      <c r="I880" s="248" t="str">
        <f t="shared" si="2136"/>
        <v>SERVICE 01</v>
      </c>
      <c r="J880" s="248" t="str">
        <f>VLOOKUP(I880,TableInputsData[],$J$6,FALSE)</f>
        <v>-</v>
      </c>
      <c r="K880" s="248" t="str">
        <f t="shared" si="2188"/>
        <v>COST OF GOODS SOLD</v>
      </c>
      <c r="L880" s="255"/>
      <c r="M880" s="255"/>
      <c r="N880" s="255"/>
      <c r="O880" s="265"/>
      <c r="P880" s="260"/>
      <c r="Q880" s="260"/>
      <c r="R880" s="260"/>
      <c r="S880" s="630"/>
      <c r="T880" s="630"/>
      <c r="U880" s="630"/>
      <c r="V880" s="630"/>
      <c r="W880" s="260"/>
      <c r="X880" s="260"/>
      <c r="Y880" s="260"/>
      <c r="Z880" s="260"/>
      <c r="AA880" s="260"/>
      <c r="AB880" s="260"/>
      <c r="AC880" s="265"/>
      <c r="AD880" s="634"/>
      <c r="AE880" s="264">
        <f t="shared" ref="AE880:AH880" si="2194">AE856*($S856*$P856+$T856*$Q856+$U856*$R856)</f>
        <v>0</v>
      </c>
      <c r="AF880" s="264">
        <f t="shared" si="2194"/>
        <v>0</v>
      </c>
      <c r="AG880" s="264">
        <f t="shared" si="2194"/>
        <v>0</v>
      </c>
      <c r="AH880" s="264">
        <f t="shared" si="2194"/>
        <v>0</v>
      </c>
      <c r="AI880" s="264">
        <f t="shared" si="2178"/>
        <v>0</v>
      </c>
      <c r="AJ880" s="264">
        <f t="shared" si="2179"/>
        <v>0</v>
      </c>
      <c r="AK880" s="264">
        <f t="shared" si="2180"/>
        <v>0</v>
      </c>
      <c r="AL880" s="264">
        <f t="shared" si="2181"/>
        <v>0</v>
      </c>
      <c r="AM880" s="264">
        <f t="shared" si="2182"/>
        <v>0</v>
      </c>
      <c r="AN880" s="640">
        <f t="shared" si="2183"/>
        <v>0</v>
      </c>
      <c r="AO880" s="264">
        <f t="shared" si="2184"/>
        <v>0</v>
      </c>
      <c r="AP880" s="640">
        <f t="shared" si="2185"/>
        <v>0</v>
      </c>
      <c r="AQ880" s="264"/>
      <c r="AR880" s="264" t="str">
        <f>VLOOKUP($I880,TableInputsData[],ReadMe!$M$3,FALSE)&amp;"  |  "&amp;VLOOKUP($K880,TableInputsData[],ReadMe!$M$3,FALSE)</f>
        <v>SERVICE 01  |  DEPENSES SUR ACHATS</v>
      </c>
      <c r="AS880" s="264" t="b">
        <f t="shared" si="2186"/>
        <v>1</v>
      </c>
      <c r="AT880" s="294"/>
    </row>
    <row r="881" spans="1:46" ht="13" hidden="1" x14ac:dyDescent="0.2">
      <c r="A881" s="294"/>
      <c r="B881" s="924"/>
      <c r="C881" s="272">
        <v>874</v>
      </c>
      <c r="D881" s="250">
        <f t="shared" si="2135"/>
        <v>0</v>
      </c>
      <c r="E881" s="251"/>
      <c r="F881" s="248" t="str">
        <f t="shared" ref="F881:F888" si="2195">F857</f>
        <v>YEAR-2</v>
      </c>
      <c r="G881" s="250">
        <f>VLOOKUP(F881,TableInputsData[],$G$6,FALSE)</f>
        <v>2023</v>
      </c>
      <c r="H881" s="250" t="str">
        <f t="shared" si="2136"/>
        <v>SERVICE</v>
      </c>
      <c r="I881" s="248" t="str">
        <f t="shared" si="2136"/>
        <v>SERVICE 01</v>
      </c>
      <c r="J881" s="248" t="str">
        <f>VLOOKUP(I881,TableInputsData[],$J$6,FALSE)</f>
        <v>-</v>
      </c>
      <c r="K881" s="248" t="s">
        <v>532</v>
      </c>
      <c r="L881" s="256"/>
      <c r="M881" s="256"/>
      <c r="N881" s="256"/>
      <c r="O881" s="266"/>
      <c r="P881" s="261"/>
      <c r="Q881" s="261"/>
      <c r="R881" s="261"/>
      <c r="S881" s="629"/>
      <c r="T881" s="629"/>
      <c r="U881" s="629"/>
      <c r="V881" s="629"/>
      <c r="W881" s="261"/>
      <c r="X881" s="261"/>
      <c r="Y881" s="261"/>
      <c r="Z881" s="261"/>
      <c r="AA881" s="261"/>
      <c r="AB881" s="261"/>
      <c r="AC881" s="266"/>
      <c r="AD881" s="633"/>
      <c r="AE881" s="264">
        <f>IF(AE849=0,0,AE873/AE849)</f>
        <v>0</v>
      </c>
      <c r="AF881" s="264">
        <f t="shared" ref="AF881:AI881" si="2196">IF(AF849=0,0,AF873/AF849)</f>
        <v>0</v>
      </c>
      <c r="AG881" s="264">
        <f t="shared" si="2196"/>
        <v>0</v>
      </c>
      <c r="AH881" s="264">
        <f t="shared" si="2196"/>
        <v>0</v>
      </c>
      <c r="AI881" s="264">
        <f t="shared" si="2196"/>
        <v>0</v>
      </c>
      <c r="AJ881" s="264">
        <f>IF(AJ849=0,0,AJ873/AJ849)</f>
        <v>0</v>
      </c>
      <c r="AK881" s="264">
        <f t="shared" ref="AK881:AL881" si="2197">IF(AK849=0,0,AK873/AK849)</f>
        <v>0</v>
      </c>
      <c r="AL881" s="264">
        <f t="shared" si="2197"/>
        <v>0</v>
      </c>
      <c r="AM881" s="264">
        <f>IF(AM849=0,0,AM873/AM849)</f>
        <v>0</v>
      </c>
      <c r="AN881" s="260"/>
      <c r="AO881" s="264">
        <f t="shared" ref="AO881" si="2198">IF(AO849=0,0,AO873/AO849)</f>
        <v>0</v>
      </c>
      <c r="AP881" s="260"/>
      <c r="AQ881" s="264"/>
      <c r="AR881" s="264" t="str">
        <f>VLOOKUP($I881,TableInputsData[],ReadMe!$M$3,FALSE)&amp;"  |  "&amp;VLOOKUP($K881,TableInputsData[],ReadMe!$M$3,FALSE)</f>
        <v>SERVICE 01  |  PRIX MOYEN D'ACHAT PAR PRODUIT/SERVICE</v>
      </c>
      <c r="AS881" s="264"/>
      <c r="AT881" s="294"/>
    </row>
    <row r="882" spans="1:46" ht="13" hidden="1" x14ac:dyDescent="0.2">
      <c r="A882" s="294"/>
      <c r="B882" s="924"/>
      <c r="C882" s="272">
        <v>875</v>
      </c>
      <c r="D882" s="250">
        <f t="shared" si="2135"/>
        <v>0</v>
      </c>
      <c r="E882" s="251"/>
      <c r="F882" s="248" t="str">
        <f t="shared" si="2195"/>
        <v>YEAR-1</v>
      </c>
      <c r="G882" s="250">
        <f>VLOOKUP(F882,TableInputsData[],$G$6,FALSE)</f>
        <v>2024</v>
      </c>
      <c r="H882" s="250" t="str">
        <f t="shared" si="2136"/>
        <v>SERVICE</v>
      </c>
      <c r="I882" s="248" t="str">
        <f t="shared" si="2136"/>
        <v>SERVICE 01</v>
      </c>
      <c r="J882" s="248" t="str">
        <f>VLOOKUP(I882,TableInputsData[],$J$6,FALSE)</f>
        <v>-</v>
      </c>
      <c r="K882" s="248" t="str">
        <f>K881</f>
        <v>AVERAGE COST OF GOODS SOLD PER UNIT</v>
      </c>
      <c r="L882" s="256"/>
      <c r="M882" s="256"/>
      <c r="N882" s="256"/>
      <c r="O882" s="266"/>
      <c r="P882" s="261"/>
      <c r="Q882" s="261"/>
      <c r="R882" s="261"/>
      <c r="S882" s="629"/>
      <c r="T882" s="629"/>
      <c r="U882" s="629"/>
      <c r="V882" s="629"/>
      <c r="W882" s="261"/>
      <c r="X882" s="261"/>
      <c r="Y882" s="261"/>
      <c r="Z882" s="261"/>
      <c r="AA882" s="261"/>
      <c r="AB882" s="261"/>
      <c r="AC882" s="266"/>
      <c r="AD882" s="633"/>
      <c r="AE882" s="264">
        <f t="shared" ref="AE882:AL882" si="2199">IF(AE850=0,0,AE874/AE850)</f>
        <v>0</v>
      </c>
      <c r="AF882" s="264">
        <f t="shared" si="2199"/>
        <v>0</v>
      </c>
      <c r="AG882" s="264">
        <f t="shared" si="2199"/>
        <v>0</v>
      </c>
      <c r="AH882" s="264">
        <f t="shared" si="2199"/>
        <v>0</v>
      </c>
      <c r="AI882" s="264">
        <f t="shared" si="2199"/>
        <v>0</v>
      </c>
      <c r="AJ882" s="264">
        <f t="shared" si="2199"/>
        <v>0</v>
      </c>
      <c r="AK882" s="264">
        <f t="shared" si="2199"/>
        <v>0</v>
      </c>
      <c r="AL882" s="264">
        <f t="shared" si="2199"/>
        <v>0</v>
      </c>
      <c r="AM882" s="264">
        <f>IF(AM850=0,0,AM874/AM850)</f>
        <v>0</v>
      </c>
      <c r="AN882" s="260"/>
      <c r="AO882" s="264">
        <f>IF(AO850=0,0,AO874/AO850)</f>
        <v>0</v>
      </c>
      <c r="AP882" s="260"/>
      <c r="AQ882" s="264"/>
      <c r="AR882" s="264" t="str">
        <f>VLOOKUP($I882,TableInputsData[],ReadMe!$M$3,FALSE)&amp;"  |  "&amp;VLOOKUP($K882,TableInputsData[],ReadMe!$M$3,FALSE)</f>
        <v>SERVICE 01  |  PRIX MOYEN D'ACHAT PAR PRODUIT/SERVICE</v>
      </c>
      <c r="AS882" s="264"/>
      <c r="AT882" s="294"/>
    </row>
    <row r="883" spans="1:46" ht="13" hidden="1" x14ac:dyDescent="0.2">
      <c r="A883" s="294"/>
      <c r="B883" s="924"/>
      <c r="C883" s="272">
        <v>876</v>
      </c>
      <c r="D883" s="250">
        <f t="shared" si="2135"/>
        <v>0</v>
      </c>
      <c r="E883" s="251"/>
      <c r="F883" s="248" t="str">
        <f t="shared" si="2195"/>
        <v>CURRENT YEAR</v>
      </c>
      <c r="G883" s="250">
        <f>VLOOKUP(F883,TableInputsData[],$G$6,FALSE)</f>
        <v>2025</v>
      </c>
      <c r="H883" s="250" t="str">
        <f t="shared" si="2136"/>
        <v>SERVICE</v>
      </c>
      <c r="I883" s="248" t="str">
        <f t="shared" si="2136"/>
        <v>SERVICE 01</v>
      </c>
      <c r="J883" s="248" t="str">
        <f>VLOOKUP(I883,TableInputsData[],$J$6,FALSE)</f>
        <v>-</v>
      </c>
      <c r="K883" s="248" t="str">
        <f t="shared" ref="K883:K888" si="2200">K882</f>
        <v>AVERAGE COST OF GOODS SOLD PER UNIT</v>
      </c>
      <c r="L883" s="256"/>
      <c r="M883" s="256"/>
      <c r="N883" s="256"/>
      <c r="O883" s="266"/>
      <c r="P883" s="261"/>
      <c r="Q883" s="261"/>
      <c r="R883" s="261"/>
      <c r="S883" s="629"/>
      <c r="T883" s="629"/>
      <c r="U883" s="629"/>
      <c r="V883" s="629"/>
      <c r="W883" s="261"/>
      <c r="X883" s="261"/>
      <c r="Y883" s="261"/>
      <c r="Z883" s="261"/>
      <c r="AA883" s="261"/>
      <c r="AB883" s="261"/>
      <c r="AC883" s="266"/>
      <c r="AD883" s="633"/>
      <c r="AE883" s="264">
        <f t="shared" ref="AE883:AL883" si="2201">IF(AE851=0,0,AE875/AE851)</f>
        <v>0</v>
      </c>
      <c r="AF883" s="264">
        <f t="shared" si="2201"/>
        <v>0</v>
      </c>
      <c r="AG883" s="264">
        <f t="shared" si="2201"/>
        <v>0</v>
      </c>
      <c r="AH883" s="264">
        <f t="shared" si="2201"/>
        <v>0</v>
      </c>
      <c r="AI883" s="264">
        <f t="shared" si="2201"/>
        <v>0</v>
      </c>
      <c r="AJ883" s="264">
        <f t="shared" si="2201"/>
        <v>0</v>
      </c>
      <c r="AK883" s="264">
        <f t="shared" si="2201"/>
        <v>0</v>
      </c>
      <c r="AL883" s="264">
        <f t="shared" si="2201"/>
        <v>0</v>
      </c>
      <c r="AM883" s="264">
        <f>IF(AM851=0,0,AM875/AM851)</f>
        <v>0</v>
      </c>
      <c r="AN883" s="260"/>
      <c r="AO883" s="264">
        <f>IF(AO851=0,0,AO875/AO851)</f>
        <v>0</v>
      </c>
      <c r="AP883" s="260"/>
      <c r="AQ883" s="264"/>
      <c r="AR883" s="264" t="str">
        <f>VLOOKUP($I883,TableInputsData[],ReadMe!$M$3,FALSE)&amp;"  |  "&amp;VLOOKUP($K883,TableInputsData[],ReadMe!$M$3,FALSE)</f>
        <v>SERVICE 01  |  PRIX MOYEN D'ACHAT PAR PRODUIT/SERVICE</v>
      </c>
      <c r="AS883" s="264"/>
      <c r="AT883" s="294"/>
    </row>
    <row r="884" spans="1:46" ht="13" hidden="1" x14ac:dyDescent="0.2">
      <c r="A884" s="294"/>
      <c r="B884" s="924"/>
      <c r="C884" s="272">
        <v>877</v>
      </c>
      <c r="D884" s="250">
        <f t="shared" si="2135"/>
        <v>0</v>
      </c>
      <c r="E884" s="251"/>
      <c r="F884" s="248" t="str">
        <f t="shared" si="2195"/>
        <v>YEAR2</v>
      </c>
      <c r="G884" s="250">
        <f>VLOOKUP(F884,TableInputsData[],$G$6,FALSE)</f>
        <v>2026</v>
      </c>
      <c r="H884" s="250" t="str">
        <f t="shared" si="2136"/>
        <v>SERVICE</v>
      </c>
      <c r="I884" s="248" t="str">
        <f t="shared" si="2136"/>
        <v>SERVICE 01</v>
      </c>
      <c r="J884" s="248" t="str">
        <f>VLOOKUP(I884,TableInputsData[],$J$6,FALSE)</f>
        <v>-</v>
      </c>
      <c r="K884" s="248" t="str">
        <f t="shared" si="2200"/>
        <v>AVERAGE COST OF GOODS SOLD PER UNIT</v>
      </c>
      <c r="L884" s="256"/>
      <c r="M884" s="256"/>
      <c r="N884" s="256"/>
      <c r="O884" s="266"/>
      <c r="P884" s="261"/>
      <c r="Q884" s="261"/>
      <c r="R884" s="261"/>
      <c r="S884" s="629"/>
      <c r="T884" s="629"/>
      <c r="U884" s="629"/>
      <c r="V884" s="629"/>
      <c r="W884" s="261"/>
      <c r="X884" s="261"/>
      <c r="Y884" s="261"/>
      <c r="Z884" s="261"/>
      <c r="AA884" s="261"/>
      <c r="AB884" s="261"/>
      <c r="AC884" s="266"/>
      <c r="AD884" s="633"/>
      <c r="AE884" s="264">
        <f t="shared" ref="AE884:AM884" si="2202">IF(AE852=0,0,AE876/AE852)</f>
        <v>0</v>
      </c>
      <c r="AF884" s="264">
        <f t="shared" si="2202"/>
        <v>0</v>
      </c>
      <c r="AG884" s="264">
        <f t="shared" si="2202"/>
        <v>0</v>
      </c>
      <c r="AH884" s="264">
        <f t="shared" si="2202"/>
        <v>0</v>
      </c>
      <c r="AI884" s="264">
        <f t="shared" si="2202"/>
        <v>0</v>
      </c>
      <c r="AJ884" s="264">
        <f t="shared" si="2202"/>
        <v>0</v>
      </c>
      <c r="AK884" s="264">
        <f t="shared" si="2202"/>
        <v>0</v>
      </c>
      <c r="AL884" s="264">
        <f t="shared" si="2202"/>
        <v>0</v>
      </c>
      <c r="AM884" s="264">
        <f t="shared" si="2202"/>
        <v>0</v>
      </c>
      <c r="AN884" s="260"/>
      <c r="AO884" s="264">
        <f t="shared" ref="AO884" si="2203">IF(AO852=0,0,AO876/AO852)</f>
        <v>0</v>
      </c>
      <c r="AP884" s="260"/>
      <c r="AQ884" s="264"/>
      <c r="AR884" s="264" t="str">
        <f>VLOOKUP($I884,TableInputsData[],ReadMe!$M$3,FALSE)&amp;"  |  "&amp;VLOOKUP($K884,TableInputsData[],ReadMe!$M$3,FALSE)</f>
        <v>SERVICE 01  |  PRIX MOYEN D'ACHAT PAR PRODUIT/SERVICE</v>
      </c>
      <c r="AS884" s="264"/>
      <c r="AT884" s="294"/>
    </row>
    <row r="885" spans="1:46" ht="13" hidden="1" x14ac:dyDescent="0.2">
      <c r="A885" s="294"/>
      <c r="B885" s="924"/>
      <c r="C885" s="272">
        <v>878</v>
      </c>
      <c r="D885" s="250">
        <f t="shared" si="2135"/>
        <v>0</v>
      </c>
      <c r="E885" s="251"/>
      <c r="F885" s="248" t="str">
        <f t="shared" si="2195"/>
        <v>YEAR3</v>
      </c>
      <c r="G885" s="250">
        <f>VLOOKUP(F885,TableInputsData[],$G$6,FALSE)</f>
        <v>2027</v>
      </c>
      <c r="H885" s="250" t="str">
        <f t="shared" si="2136"/>
        <v>SERVICE</v>
      </c>
      <c r="I885" s="248" t="str">
        <f t="shared" si="2136"/>
        <v>SERVICE 01</v>
      </c>
      <c r="J885" s="248" t="str">
        <f>VLOOKUP(I885,TableInputsData[],$J$6,FALSE)</f>
        <v>-</v>
      </c>
      <c r="K885" s="248" t="str">
        <f t="shared" si="2200"/>
        <v>AVERAGE COST OF GOODS SOLD PER UNIT</v>
      </c>
      <c r="L885" s="256"/>
      <c r="M885" s="256"/>
      <c r="N885" s="256"/>
      <c r="O885" s="266"/>
      <c r="P885" s="261"/>
      <c r="Q885" s="261"/>
      <c r="R885" s="261"/>
      <c r="S885" s="629"/>
      <c r="T885" s="629"/>
      <c r="U885" s="629"/>
      <c r="V885" s="629"/>
      <c r="W885" s="261"/>
      <c r="X885" s="261"/>
      <c r="Y885" s="261"/>
      <c r="Z885" s="261"/>
      <c r="AA885" s="261"/>
      <c r="AB885" s="261"/>
      <c r="AC885" s="266"/>
      <c r="AD885" s="633"/>
      <c r="AE885" s="264">
        <f t="shared" ref="AE885:AM885" si="2204">IF(AE853=0,0,AE877/AE853)</f>
        <v>0</v>
      </c>
      <c r="AF885" s="264">
        <f t="shared" si="2204"/>
        <v>0</v>
      </c>
      <c r="AG885" s="264">
        <f t="shared" si="2204"/>
        <v>0</v>
      </c>
      <c r="AH885" s="264">
        <f t="shared" si="2204"/>
        <v>0</v>
      </c>
      <c r="AI885" s="264">
        <f t="shared" si="2204"/>
        <v>0</v>
      </c>
      <c r="AJ885" s="264">
        <f t="shared" si="2204"/>
        <v>0</v>
      </c>
      <c r="AK885" s="264">
        <f t="shared" si="2204"/>
        <v>0</v>
      </c>
      <c r="AL885" s="264">
        <f t="shared" si="2204"/>
        <v>0</v>
      </c>
      <c r="AM885" s="264">
        <f t="shared" si="2204"/>
        <v>0</v>
      </c>
      <c r="AN885" s="260"/>
      <c r="AO885" s="264">
        <f t="shared" ref="AO885" si="2205">IF(AO853=0,0,AO877/AO853)</f>
        <v>0</v>
      </c>
      <c r="AP885" s="260"/>
      <c r="AQ885" s="264"/>
      <c r="AR885" s="264" t="str">
        <f>VLOOKUP($I885,TableInputsData[],ReadMe!$M$3,FALSE)&amp;"  |  "&amp;VLOOKUP($K885,TableInputsData[],ReadMe!$M$3,FALSE)</f>
        <v>SERVICE 01  |  PRIX MOYEN D'ACHAT PAR PRODUIT/SERVICE</v>
      </c>
      <c r="AS885" s="264"/>
      <c r="AT885" s="294"/>
    </row>
    <row r="886" spans="1:46" ht="13" hidden="1" x14ac:dyDescent="0.2">
      <c r="A886" s="294"/>
      <c r="B886" s="924"/>
      <c r="C886" s="272">
        <v>879</v>
      </c>
      <c r="D886" s="250">
        <f t="shared" si="2135"/>
        <v>0</v>
      </c>
      <c r="E886" s="251"/>
      <c r="F886" s="248" t="str">
        <f t="shared" si="2195"/>
        <v>YEAR4</v>
      </c>
      <c r="G886" s="250">
        <f>VLOOKUP(F886,TableInputsData[],$G$6,FALSE)</f>
        <v>2028</v>
      </c>
      <c r="H886" s="250" t="str">
        <f t="shared" si="2136"/>
        <v>SERVICE</v>
      </c>
      <c r="I886" s="248" t="str">
        <f t="shared" si="2136"/>
        <v>SERVICE 01</v>
      </c>
      <c r="J886" s="248" t="str">
        <f>VLOOKUP(I886,TableInputsData[],$J$6,FALSE)</f>
        <v>-</v>
      </c>
      <c r="K886" s="248" t="str">
        <f t="shared" si="2200"/>
        <v>AVERAGE COST OF GOODS SOLD PER UNIT</v>
      </c>
      <c r="L886" s="256"/>
      <c r="M886" s="256"/>
      <c r="N886" s="256"/>
      <c r="O886" s="266"/>
      <c r="P886" s="261"/>
      <c r="Q886" s="261"/>
      <c r="R886" s="261"/>
      <c r="S886" s="629"/>
      <c r="T886" s="629"/>
      <c r="U886" s="629"/>
      <c r="V886" s="629"/>
      <c r="W886" s="261"/>
      <c r="X886" s="261"/>
      <c r="Y886" s="261"/>
      <c r="Z886" s="261"/>
      <c r="AA886" s="261"/>
      <c r="AB886" s="261"/>
      <c r="AC886" s="266"/>
      <c r="AD886" s="633"/>
      <c r="AE886" s="264">
        <f t="shared" ref="AE886:AM886" si="2206">IF(AE854=0,0,AE878/AE854)</f>
        <v>0</v>
      </c>
      <c r="AF886" s="264">
        <f t="shared" si="2206"/>
        <v>0</v>
      </c>
      <c r="AG886" s="264">
        <f t="shared" si="2206"/>
        <v>0</v>
      </c>
      <c r="AH886" s="264">
        <f t="shared" si="2206"/>
        <v>0</v>
      </c>
      <c r="AI886" s="264">
        <f t="shared" si="2206"/>
        <v>0</v>
      </c>
      <c r="AJ886" s="264">
        <f t="shared" si="2206"/>
        <v>0</v>
      </c>
      <c r="AK886" s="264">
        <f t="shared" si="2206"/>
        <v>0</v>
      </c>
      <c r="AL886" s="264">
        <f t="shared" si="2206"/>
        <v>0</v>
      </c>
      <c r="AM886" s="264">
        <f t="shared" si="2206"/>
        <v>0</v>
      </c>
      <c r="AN886" s="260"/>
      <c r="AO886" s="264">
        <f t="shared" ref="AO886" si="2207">IF(AO854=0,0,AO878/AO854)</f>
        <v>0</v>
      </c>
      <c r="AP886" s="260"/>
      <c r="AQ886" s="264"/>
      <c r="AR886" s="264" t="str">
        <f>VLOOKUP($I886,TableInputsData[],ReadMe!$M$3,FALSE)&amp;"  |  "&amp;VLOOKUP($K886,TableInputsData[],ReadMe!$M$3,FALSE)</f>
        <v>SERVICE 01  |  PRIX MOYEN D'ACHAT PAR PRODUIT/SERVICE</v>
      </c>
      <c r="AS886" s="264"/>
      <c r="AT886" s="294"/>
    </row>
    <row r="887" spans="1:46" ht="13" hidden="1" x14ac:dyDescent="0.2">
      <c r="A887" s="294"/>
      <c r="B887" s="924"/>
      <c r="C887" s="272">
        <v>880</v>
      </c>
      <c r="D887" s="250">
        <f t="shared" si="2135"/>
        <v>0</v>
      </c>
      <c r="E887" s="251"/>
      <c r="F887" s="248" t="str">
        <f t="shared" si="2195"/>
        <v>YEAR5</v>
      </c>
      <c r="G887" s="250">
        <f>VLOOKUP(F887,TableInputsData[],$G$6,FALSE)</f>
        <v>2029</v>
      </c>
      <c r="H887" s="250" t="str">
        <f t="shared" si="2136"/>
        <v>SERVICE</v>
      </c>
      <c r="I887" s="248" t="str">
        <f t="shared" si="2136"/>
        <v>SERVICE 01</v>
      </c>
      <c r="J887" s="248" t="str">
        <f>VLOOKUP(I887,TableInputsData[],$J$6,FALSE)</f>
        <v>-</v>
      </c>
      <c r="K887" s="248" t="str">
        <f t="shared" si="2200"/>
        <v>AVERAGE COST OF GOODS SOLD PER UNIT</v>
      </c>
      <c r="L887" s="256"/>
      <c r="M887" s="256"/>
      <c r="N887" s="256"/>
      <c r="O887" s="266"/>
      <c r="P887" s="261"/>
      <c r="Q887" s="261"/>
      <c r="R887" s="261"/>
      <c r="S887" s="629"/>
      <c r="T887" s="629"/>
      <c r="U887" s="629"/>
      <c r="V887" s="629"/>
      <c r="W887" s="261"/>
      <c r="X887" s="261"/>
      <c r="Y887" s="261"/>
      <c r="Z887" s="261"/>
      <c r="AA887" s="261"/>
      <c r="AB887" s="261"/>
      <c r="AC887" s="266"/>
      <c r="AD887" s="633"/>
      <c r="AE887" s="264">
        <f t="shared" ref="AE887:AM887" si="2208">IF(AE855=0,0,AE879/AE855)</f>
        <v>0</v>
      </c>
      <c r="AF887" s="264">
        <f t="shared" si="2208"/>
        <v>0</v>
      </c>
      <c r="AG887" s="264">
        <f t="shared" si="2208"/>
        <v>0</v>
      </c>
      <c r="AH887" s="264">
        <f t="shared" si="2208"/>
        <v>0</v>
      </c>
      <c r="AI887" s="264">
        <f t="shared" si="2208"/>
        <v>0</v>
      </c>
      <c r="AJ887" s="264">
        <f t="shared" si="2208"/>
        <v>0</v>
      </c>
      <c r="AK887" s="264">
        <f t="shared" si="2208"/>
        <v>0</v>
      </c>
      <c r="AL887" s="264">
        <f t="shared" si="2208"/>
        <v>0</v>
      </c>
      <c r="AM887" s="264">
        <f t="shared" si="2208"/>
        <v>0</v>
      </c>
      <c r="AN887" s="260"/>
      <c r="AO887" s="264">
        <f t="shared" ref="AO887" si="2209">IF(AO855=0,0,AO879/AO855)</f>
        <v>0</v>
      </c>
      <c r="AP887" s="260"/>
      <c r="AQ887" s="264"/>
      <c r="AR887" s="264" t="str">
        <f>VLOOKUP($I887,TableInputsData[],ReadMe!$M$3,FALSE)&amp;"  |  "&amp;VLOOKUP($K887,TableInputsData[],ReadMe!$M$3,FALSE)</f>
        <v>SERVICE 01  |  PRIX MOYEN D'ACHAT PAR PRODUIT/SERVICE</v>
      </c>
      <c r="AS887" s="264"/>
      <c r="AT887" s="294"/>
    </row>
    <row r="888" spans="1:46" ht="13" hidden="1" x14ac:dyDescent="0.2">
      <c r="A888" s="294"/>
      <c r="B888" s="924"/>
      <c r="C888" s="272">
        <v>881</v>
      </c>
      <c r="D888" s="250">
        <f t="shared" si="2135"/>
        <v>0</v>
      </c>
      <c r="E888" s="251"/>
      <c r="F888" s="248" t="str">
        <f t="shared" si="2195"/>
        <v>YEAR6</v>
      </c>
      <c r="G888" s="250">
        <f>VLOOKUP(F888,TableInputsData[],$G$6,FALSE)</f>
        <v>2030</v>
      </c>
      <c r="H888" s="250" t="str">
        <f t="shared" si="2136"/>
        <v>SERVICE</v>
      </c>
      <c r="I888" s="248" t="str">
        <f t="shared" si="2136"/>
        <v>SERVICE 01</v>
      </c>
      <c r="J888" s="248" t="str">
        <f>VLOOKUP(I888,TableInputsData[],$J$6,FALSE)</f>
        <v>-</v>
      </c>
      <c r="K888" s="248" t="str">
        <f t="shared" si="2200"/>
        <v>AVERAGE COST OF GOODS SOLD PER UNIT</v>
      </c>
      <c r="L888" s="256"/>
      <c r="M888" s="256"/>
      <c r="N888" s="256"/>
      <c r="O888" s="266"/>
      <c r="P888" s="261"/>
      <c r="Q888" s="261"/>
      <c r="R888" s="261"/>
      <c r="S888" s="629"/>
      <c r="T888" s="629"/>
      <c r="U888" s="629"/>
      <c r="V888" s="629"/>
      <c r="W888" s="261"/>
      <c r="X888" s="261"/>
      <c r="Y888" s="261"/>
      <c r="Z888" s="261"/>
      <c r="AA888" s="261"/>
      <c r="AB888" s="261"/>
      <c r="AC888" s="266"/>
      <c r="AD888" s="633"/>
      <c r="AE888" s="264">
        <f t="shared" ref="AE888:AM888" si="2210">IF(AE856=0,0,AE880/AE856)</f>
        <v>0</v>
      </c>
      <c r="AF888" s="264">
        <f t="shared" si="2210"/>
        <v>0</v>
      </c>
      <c r="AG888" s="264">
        <f t="shared" si="2210"/>
        <v>0</v>
      </c>
      <c r="AH888" s="264">
        <f t="shared" si="2210"/>
        <v>0</v>
      </c>
      <c r="AI888" s="264">
        <f t="shared" si="2210"/>
        <v>0</v>
      </c>
      <c r="AJ888" s="264">
        <f t="shared" si="2210"/>
        <v>0</v>
      </c>
      <c r="AK888" s="264">
        <f t="shared" si="2210"/>
        <v>0</v>
      </c>
      <c r="AL888" s="264">
        <f t="shared" si="2210"/>
        <v>0</v>
      </c>
      <c r="AM888" s="264">
        <f t="shared" si="2210"/>
        <v>0</v>
      </c>
      <c r="AN888" s="260"/>
      <c r="AO888" s="264">
        <f t="shared" ref="AO888" si="2211">IF(AO856=0,0,AO880/AO856)</f>
        <v>0</v>
      </c>
      <c r="AP888" s="260"/>
      <c r="AQ888" s="264"/>
      <c r="AR888" s="264" t="str">
        <f>VLOOKUP($I888,TableInputsData[],ReadMe!$M$3,FALSE)&amp;"  |  "&amp;VLOOKUP($K888,TableInputsData[],ReadMe!$M$3,FALSE)</f>
        <v>SERVICE 01  |  PRIX MOYEN D'ACHAT PAR PRODUIT/SERVICE</v>
      </c>
      <c r="AS888" s="264"/>
      <c r="AT888" s="294"/>
    </row>
    <row r="889" spans="1:46" ht="13" x14ac:dyDescent="0.2">
      <c r="A889" s="294"/>
      <c r="B889" s="924"/>
      <c r="C889" s="273">
        <v>882</v>
      </c>
      <c r="D889" s="253">
        <v>0</v>
      </c>
      <c r="E889" s="253">
        <v>1</v>
      </c>
      <c r="F889" s="252"/>
      <c r="G889" s="253"/>
      <c r="H889" s="253"/>
      <c r="I889" s="252"/>
      <c r="J889" s="252"/>
      <c r="K889" s="252"/>
      <c r="L889" s="257"/>
      <c r="M889" s="257"/>
      <c r="N889" s="257"/>
      <c r="O889" s="267"/>
      <c r="P889" s="262"/>
      <c r="Q889" s="262"/>
      <c r="R889" s="262"/>
      <c r="S889" s="631"/>
      <c r="T889" s="631"/>
      <c r="U889" s="631"/>
      <c r="V889" s="631"/>
      <c r="W889" s="262"/>
      <c r="X889" s="262"/>
      <c r="Y889" s="262"/>
      <c r="Z889" s="262"/>
      <c r="AA889" s="262"/>
      <c r="AB889" s="262"/>
      <c r="AC889" s="267"/>
      <c r="AD889" s="635"/>
      <c r="AE889" s="270"/>
      <c r="AF889" s="270"/>
      <c r="AG889" s="270"/>
      <c r="AH889" s="270"/>
      <c r="AI889" s="270"/>
      <c r="AJ889" s="270"/>
      <c r="AK889" s="270"/>
      <c r="AL889" s="270"/>
      <c r="AM889" s="270"/>
      <c r="AN889" s="643"/>
      <c r="AO889" s="270"/>
      <c r="AP889" s="270"/>
      <c r="AQ889" s="270"/>
      <c r="AR889" s="270"/>
      <c r="AS889" s="270"/>
      <c r="AT889" s="294"/>
    </row>
    <row r="890" spans="1:46" ht="13" hidden="1" x14ac:dyDescent="0.2">
      <c r="A890" s="294"/>
      <c r="B890" s="925" t="str">
        <f>I891&amp;"___"</f>
        <v>SERVICE 02___</v>
      </c>
      <c r="C890" s="271">
        <v>883</v>
      </c>
      <c r="D890" s="250">
        <v>0</v>
      </c>
      <c r="E890" s="250"/>
      <c r="F890" s="248"/>
      <c r="G890" s="250"/>
      <c r="H890" s="250"/>
      <c r="I890" s="248"/>
      <c r="J890" s="248"/>
      <c r="K890" s="248"/>
      <c r="L890" s="254"/>
      <c r="M890" s="254"/>
      <c r="N890" s="254"/>
      <c r="O890" s="264"/>
      <c r="P890" s="259"/>
      <c r="Q890" s="259"/>
      <c r="R890" s="259"/>
      <c r="S890" s="628"/>
      <c r="T890" s="628"/>
      <c r="U890" s="628"/>
      <c r="V890" s="628"/>
      <c r="W890" s="259"/>
      <c r="X890" s="259"/>
      <c r="Y890" s="259"/>
      <c r="Z890" s="259"/>
      <c r="AA890" s="259"/>
      <c r="AB890" s="259"/>
      <c r="AC890" s="264"/>
      <c r="AD890" s="609"/>
      <c r="AE890" s="269"/>
      <c r="AF890" s="269"/>
      <c r="AG890" s="269"/>
      <c r="AH890" s="269"/>
      <c r="AI890" s="269"/>
      <c r="AJ890" s="269"/>
      <c r="AK890" s="269"/>
      <c r="AL890" s="269"/>
      <c r="AM890" s="269"/>
      <c r="AN890" s="642"/>
      <c r="AO890" s="269"/>
      <c r="AP890" s="269"/>
      <c r="AQ890" s="269"/>
      <c r="AR890" s="269"/>
      <c r="AS890" s="269"/>
      <c r="AT890" s="294"/>
    </row>
    <row r="891" spans="1:46" ht="13" x14ac:dyDescent="0.2">
      <c r="A891" s="294"/>
      <c r="B891" s="925"/>
      <c r="C891" s="271">
        <v>884</v>
      </c>
      <c r="D891" s="250">
        <f>VLOOKUP($I891,TableInputsData[],$D$6,FALSE)</f>
        <v>0</v>
      </c>
      <c r="E891" s="250">
        <v>1</v>
      </c>
      <c r="F891" s="248" t="s">
        <v>392</v>
      </c>
      <c r="G891" s="250">
        <f>VLOOKUP(F891,TableInputsData[],$G$6,FALSE)</f>
        <v>2023</v>
      </c>
      <c r="H891" s="250" t="s">
        <v>121</v>
      </c>
      <c r="I891" s="248" t="s">
        <v>547</v>
      </c>
      <c r="J891" s="248" t="str">
        <f>VLOOKUP(I891,TableInputsData[],$J$6,FALSE)</f>
        <v>-</v>
      </c>
      <c r="K891" s="248" t="s">
        <v>261</v>
      </c>
      <c r="L891" s="499">
        <v>1000</v>
      </c>
      <c r="M891" s="499">
        <v>0</v>
      </c>
      <c r="N891" s="499">
        <v>0</v>
      </c>
      <c r="O891" s="264">
        <f t="shared" ref="O891:O898" si="2212">$L891*$P891+$M891*$Q891+$N891*$R891</f>
        <v>1000</v>
      </c>
      <c r="P891" s="500">
        <v>1</v>
      </c>
      <c r="Q891" s="500">
        <v>0</v>
      </c>
      <c r="R891" s="259">
        <f>1-$P891-$Q891</f>
        <v>0</v>
      </c>
      <c r="S891" s="626">
        <v>500</v>
      </c>
      <c r="T891" s="626">
        <v>0</v>
      </c>
      <c r="U891" s="626">
        <v>0</v>
      </c>
      <c r="V891" s="628">
        <f>($L891*$P891*$S891+$M891*$Q891*$T891+$N891*$R891*$U891)/$O891</f>
        <v>500</v>
      </c>
      <c r="W891" s="500">
        <v>1</v>
      </c>
      <c r="X891" s="500">
        <v>1</v>
      </c>
      <c r="Y891" s="500">
        <v>1</v>
      </c>
      <c r="Z891" s="259">
        <f t="shared" ref="Z891:Z898" si="2213">1-$W891</f>
        <v>0</v>
      </c>
      <c r="AA891" s="259">
        <f t="shared" ref="AA891:AA898" si="2214">1-$X891</f>
        <v>0</v>
      </c>
      <c r="AB891" s="259">
        <f t="shared" ref="AB891:AB898" si="2215">1-$Y891</f>
        <v>0</v>
      </c>
      <c r="AC891" s="628">
        <f>AM923</f>
        <v>0</v>
      </c>
      <c r="AD891" s="628">
        <f>AO923</f>
        <v>0</v>
      </c>
      <c r="AE891" s="501">
        <v>0</v>
      </c>
      <c r="AF891" s="501">
        <v>0</v>
      </c>
      <c r="AG891" s="501">
        <v>0</v>
      </c>
      <c r="AH891" s="501">
        <v>0</v>
      </c>
      <c r="AI891" s="264">
        <f>$AE891+$AF891+$AG891+$AH891</f>
        <v>0</v>
      </c>
      <c r="AJ891" s="264">
        <f t="shared" ref="AJ891:AJ898" si="2216">$AI891*$P891</f>
        <v>0</v>
      </c>
      <c r="AK891" s="264">
        <f t="shared" ref="AK891:AK898" si="2217">$AI891*$Q891</f>
        <v>0</v>
      </c>
      <c r="AL891" s="264">
        <f t="shared" ref="AL891:AL898" si="2218">$AI891*$R891</f>
        <v>0</v>
      </c>
      <c r="AM891" s="264">
        <f t="shared" ref="AM891:AM898" si="2219">$AJ891*$W891+$AK891*$X891+$AL891*$Y891</f>
        <v>0</v>
      </c>
      <c r="AN891" s="640">
        <f>IF(AI891=0,0,AM891/AI891)</f>
        <v>0</v>
      </c>
      <c r="AO891" s="264">
        <f t="shared" ref="AO891:AO898" si="2220">$AJ891*$Z891+$AK891*$AA891+$AL891*$AB891</f>
        <v>0</v>
      </c>
      <c r="AP891" s="640">
        <f t="shared" ref="AP891:AP906" si="2221">IF(AI891=0,0,AO891/AI891)</f>
        <v>0</v>
      </c>
      <c r="AQ891" s="264" t="str">
        <f>VLOOKUP(I891,TableInputsData[],$AQ$6,FALSE)</f>
        <v>GAMME # : 1 + CANAL DE DISTRIBUTION # : 1</v>
      </c>
      <c r="AR891" s="264" t="str">
        <f>VLOOKUP($I891,TableInputsData[],ReadMe!$M$3,FALSE)&amp;"  |  "&amp;VLOOKUP($K891,TableInputsData[],ReadMe!$M$3,FALSE)</f>
        <v>SERVICE 02  |  VOLUME</v>
      </c>
      <c r="AS891" s="264" t="b">
        <f t="shared" ref="AS891:AS898" si="2222">AND(EXACT(ROUND(AI891,2),ROUND(AJ891+AK891+AL891,2)),EXACT(ROUND(AI891,2),ROUND(AM891+AO891,2)),EXACT(SUM(P891:R891),1),IF(R891&lt;0,FALSE,TRUE),EXACT(SUM(W891:AB891),3),MIN(W891:Y891)&gt;=0, MAX(W891:Y891)&lt;=1)</f>
        <v>1</v>
      </c>
      <c r="AT891" s="294"/>
    </row>
    <row r="892" spans="1:46" ht="13" x14ac:dyDescent="0.2">
      <c r="A892" s="294"/>
      <c r="B892" s="925"/>
      <c r="C892" s="271">
        <v>885</v>
      </c>
      <c r="D892" s="250">
        <f>D891</f>
        <v>0</v>
      </c>
      <c r="E892" s="250">
        <v>1</v>
      </c>
      <c r="F892" s="248" t="s">
        <v>391</v>
      </c>
      <c r="G892" s="250">
        <f>VLOOKUP(F892,TableInputsData[],$G$6,FALSE)</f>
        <v>2024</v>
      </c>
      <c r="H892" s="250" t="str">
        <f>H891</f>
        <v>SERVICE</v>
      </c>
      <c r="I892" s="248" t="str">
        <f>I891</f>
        <v>SERVICE 02</v>
      </c>
      <c r="J892" s="248" t="str">
        <f>VLOOKUP(I892,TableInputsData[],$J$6,FALSE)</f>
        <v>-</v>
      </c>
      <c r="K892" s="248" t="str">
        <f>K891</f>
        <v>VOLUME</v>
      </c>
      <c r="L892" s="499">
        <v>1000</v>
      </c>
      <c r="M892" s="499">
        <v>0</v>
      </c>
      <c r="N892" s="499">
        <v>0</v>
      </c>
      <c r="O892" s="264">
        <f t="shared" si="2212"/>
        <v>1000</v>
      </c>
      <c r="P892" s="500">
        <v>1</v>
      </c>
      <c r="Q892" s="500">
        <v>0</v>
      </c>
      <c r="R892" s="259">
        <f t="shared" ref="R892:R898" si="2223">1-$P892-$Q892</f>
        <v>0</v>
      </c>
      <c r="S892" s="626">
        <v>500</v>
      </c>
      <c r="T892" s="626">
        <v>0</v>
      </c>
      <c r="U892" s="626">
        <v>0</v>
      </c>
      <c r="V892" s="628">
        <f t="shared" ref="V892:V898" si="2224">($L892*$P892*$S892+$M892*$Q892*$T892+$N892*$R892*$U892)/$O892</f>
        <v>500</v>
      </c>
      <c r="W892" s="500">
        <v>1</v>
      </c>
      <c r="X892" s="500">
        <v>1</v>
      </c>
      <c r="Y892" s="500">
        <v>1</v>
      </c>
      <c r="Z892" s="259">
        <f t="shared" si="2213"/>
        <v>0</v>
      </c>
      <c r="AA892" s="259">
        <f t="shared" si="2214"/>
        <v>0</v>
      </c>
      <c r="AB892" s="259">
        <f t="shared" si="2215"/>
        <v>0</v>
      </c>
      <c r="AC892" s="628">
        <f t="shared" ref="AC892:AC898" si="2225">AM924</f>
        <v>0</v>
      </c>
      <c r="AD892" s="628">
        <f t="shared" ref="AD892:AD898" si="2226">AO924</f>
        <v>0</v>
      </c>
      <c r="AE892" s="501">
        <v>0</v>
      </c>
      <c r="AF892" s="501">
        <v>0</v>
      </c>
      <c r="AG892" s="501">
        <v>0</v>
      </c>
      <c r="AH892" s="501">
        <v>0</v>
      </c>
      <c r="AI892" s="264">
        <f>$AE892+$AF892+$AG892+$AH892</f>
        <v>0</v>
      </c>
      <c r="AJ892" s="264">
        <f t="shared" si="2216"/>
        <v>0</v>
      </c>
      <c r="AK892" s="264">
        <f t="shared" si="2217"/>
        <v>0</v>
      </c>
      <c r="AL892" s="264">
        <f t="shared" si="2218"/>
        <v>0</v>
      </c>
      <c r="AM892" s="264">
        <f t="shared" si="2219"/>
        <v>0</v>
      </c>
      <c r="AN892" s="640">
        <f t="shared" ref="AN892:AN906" si="2227">IF(AI892=0,0,AM892/AI892)</f>
        <v>0</v>
      </c>
      <c r="AO892" s="264">
        <f t="shared" si="2220"/>
        <v>0</v>
      </c>
      <c r="AP892" s="640">
        <f t="shared" si="2221"/>
        <v>0</v>
      </c>
      <c r="AQ892" s="501"/>
      <c r="AR892" s="264" t="str">
        <f>VLOOKUP($I892,TableInputsData[],ReadMe!$M$3,FALSE)&amp;"  |  "&amp;VLOOKUP($K892,TableInputsData[],ReadMe!$M$3,FALSE)</f>
        <v>SERVICE 02  |  VOLUME</v>
      </c>
      <c r="AS892" s="264" t="b">
        <f t="shared" si="2222"/>
        <v>1</v>
      </c>
      <c r="AT892" s="294"/>
    </row>
    <row r="893" spans="1:46" ht="13" x14ac:dyDescent="0.2">
      <c r="A893" s="294"/>
      <c r="B893" s="925"/>
      <c r="C893" s="271">
        <v>886</v>
      </c>
      <c r="D893" s="250">
        <f t="shared" ref="D893:D930" si="2228">D892</f>
        <v>0</v>
      </c>
      <c r="E893" s="250">
        <v>1</v>
      </c>
      <c r="F893" s="248" t="s">
        <v>393</v>
      </c>
      <c r="G893" s="250">
        <f>VLOOKUP(F893,TableInputsData[],$G$6,FALSE)</f>
        <v>2025</v>
      </c>
      <c r="H893" s="250" t="str">
        <f t="shared" ref="H893:I930" si="2229">H892</f>
        <v>SERVICE</v>
      </c>
      <c r="I893" s="248" t="str">
        <f t="shared" si="2229"/>
        <v>SERVICE 02</v>
      </c>
      <c r="J893" s="248" t="str">
        <f>VLOOKUP(I893,TableInputsData[],$J$6,FALSE)</f>
        <v>-</v>
      </c>
      <c r="K893" s="248" t="str">
        <f t="shared" ref="K893:K898" si="2230">K892</f>
        <v>VOLUME</v>
      </c>
      <c r="L893" s="499">
        <v>1000</v>
      </c>
      <c r="M893" s="499">
        <v>0</v>
      </c>
      <c r="N893" s="499">
        <v>0</v>
      </c>
      <c r="O893" s="264">
        <f t="shared" si="2212"/>
        <v>1000</v>
      </c>
      <c r="P893" s="500">
        <v>1</v>
      </c>
      <c r="Q893" s="500">
        <v>0</v>
      </c>
      <c r="R893" s="259">
        <f t="shared" si="2223"/>
        <v>0</v>
      </c>
      <c r="S893" s="626">
        <v>500</v>
      </c>
      <c r="T893" s="626">
        <v>0</v>
      </c>
      <c r="U893" s="626">
        <v>0</v>
      </c>
      <c r="V893" s="628">
        <f t="shared" si="2224"/>
        <v>500</v>
      </c>
      <c r="W893" s="500">
        <v>1</v>
      </c>
      <c r="X893" s="500">
        <v>1</v>
      </c>
      <c r="Y893" s="500">
        <v>1</v>
      </c>
      <c r="Z893" s="259">
        <f t="shared" si="2213"/>
        <v>0</v>
      </c>
      <c r="AA893" s="259">
        <f t="shared" si="2214"/>
        <v>0</v>
      </c>
      <c r="AB893" s="259">
        <f t="shared" si="2215"/>
        <v>0</v>
      </c>
      <c r="AC893" s="628">
        <f t="shared" si="2225"/>
        <v>0</v>
      </c>
      <c r="AD893" s="628">
        <f t="shared" si="2226"/>
        <v>0</v>
      </c>
      <c r="AE893" s="501">
        <v>0</v>
      </c>
      <c r="AF893" s="501">
        <v>0</v>
      </c>
      <c r="AG893" s="501">
        <v>0</v>
      </c>
      <c r="AH893" s="501">
        <v>0</v>
      </c>
      <c r="AI893" s="264">
        <f>$AE893+$AF893+$AG893+$AH893</f>
        <v>0</v>
      </c>
      <c r="AJ893" s="264">
        <f t="shared" si="2216"/>
        <v>0</v>
      </c>
      <c r="AK893" s="264">
        <f t="shared" si="2217"/>
        <v>0</v>
      </c>
      <c r="AL893" s="264">
        <f t="shared" si="2218"/>
        <v>0</v>
      </c>
      <c r="AM893" s="264">
        <f t="shared" si="2219"/>
        <v>0</v>
      </c>
      <c r="AN893" s="640">
        <f t="shared" si="2227"/>
        <v>0</v>
      </c>
      <c r="AO893" s="264">
        <f t="shared" si="2220"/>
        <v>0</v>
      </c>
      <c r="AP893" s="640">
        <f t="shared" si="2221"/>
        <v>0</v>
      </c>
      <c r="AQ893" s="501"/>
      <c r="AR893" s="264" t="str">
        <f>VLOOKUP($I893,TableInputsData[],ReadMe!$M$3,FALSE)&amp;"  |  "&amp;VLOOKUP($K893,TableInputsData[],ReadMe!$M$3,FALSE)</f>
        <v>SERVICE 02  |  VOLUME</v>
      </c>
      <c r="AS893" s="264" t="b">
        <f t="shared" si="2222"/>
        <v>1</v>
      </c>
      <c r="AT893" s="294"/>
    </row>
    <row r="894" spans="1:46" ht="13" x14ac:dyDescent="0.2">
      <c r="A894" s="294"/>
      <c r="B894" s="925"/>
      <c r="C894" s="271">
        <v>887</v>
      </c>
      <c r="D894" s="250">
        <f t="shared" si="2228"/>
        <v>0</v>
      </c>
      <c r="E894" s="250">
        <v>1</v>
      </c>
      <c r="F894" s="248" t="s">
        <v>396</v>
      </c>
      <c r="G894" s="250">
        <f>VLOOKUP(F894,TableInputsData[],$G$6,FALSE)</f>
        <v>2026</v>
      </c>
      <c r="H894" s="250" t="str">
        <f t="shared" si="2229"/>
        <v>SERVICE</v>
      </c>
      <c r="I894" s="248" t="str">
        <f t="shared" si="2229"/>
        <v>SERVICE 02</v>
      </c>
      <c r="J894" s="248" t="str">
        <f>VLOOKUP(I894,TableInputsData[],$J$6,FALSE)</f>
        <v>-</v>
      </c>
      <c r="K894" s="248" t="str">
        <f t="shared" si="2230"/>
        <v>VOLUME</v>
      </c>
      <c r="L894" s="499">
        <v>1000</v>
      </c>
      <c r="M894" s="499">
        <v>0</v>
      </c>
      <c r="N894" s="499">
        <v>0</v>
      </c>
      <c r="O894" s="264">
        <f t="shared" si="2212"/>
        <v>1000</v>
      </c>
      <c r="P894" s="500">
        <v>1</v>
      </c>
      <c r="Q894" s="500">
        <v>0</v>
      </c>
      <c r="R894" s="259">
        <f t="shared" si="2223"/>
        <v>0</v>
      </c>
      <c r="S894" s="626">
        <v>500</v>
      </c>
      <c r="T894" s="626">
        <v>0</v>
      </c>
      <c r="U894" s="626">
        <v>0</v>
      </c>
      <c r="V894" s="628">
        <f t="shared" si="2224"/>
        <v>500</v>
      </c>
      <c r="W894" s="500">
        <v>1</v>
      </c>
      <c r="X894" s="500">
        <v>1</v>
      </c>
      <c r="Y894" s="500">
        <v>1</v>
      </c>
      <c r="Z894" s="259">
        <f t="shared" si="2213"/>
        <v>0</v>
      </c>
      <c r="AA894" s="259">
        <f t="shared" si="2214"/>
        <v>0</v>
      </c>
      <c r="AB894" s="259">
        <f t="shared" si="2215"/>
        <v>0</v>
      </c>
      <c r="AC894" s="628">
        <f t="shared" si="2225"/>
        <v>0</v>
      </c>
      <c r="AD894" s="628">
        <f t="shared" si="2226"/>
        <v>0</v>
      </c>
      <c r="AE894" s="501">
        <v>0</v>
      </c>
      <c r="AF894" s="501">
        <v>0</v>
      </c>
      <c r="AG894" s="501">
        <v>0</v>
      </c>
      <c r="AH894" s="501">
        <v>0</v>
      </c>
      <c r="AI894" s="264">
        <f>$AE894+$AF894+$AG894+$AH894</f>
        <v>0</v>
      </c>
      <c r="AJ894" s="264">
        <f t="shared" si="2216"/>
        <v>0</v>
      </c>
      <c r="AK894" s="264">
        <f t="shared" si="2217"/>
        <v>0</v>
      </c>
      <c r="AL894" s="264">
        <f t="shared" si="2218"/>
        <v>0</v>
      </c>
      <c r="AM894" s="264">
        <f t="shared" si="2219"/>
        <v>0</v>
      </c>
      <c r="AN894" s="640">
        <f t="shared" si="2227"/>
        <v>0</v>
      </c>
      <c r="AO894" s="264">
        <f t="shared" si="2220"/>
        <v>0</v>
      </c>
      <c r="AP894" s="640">
        <f t="shared" si="2221"/>
        <v>0</v>
      </c>
      <c r="AQ894" s="501"/>
      <c r="AR894" s="264" t="str">
        <f>VLOOKUP($I894,TableInputsData[],ReadMe!$M$3,FALSE)&amp;"  |  "&amp;VLOOKUP($K894,TableInputsData[],ReadMe!$M$3,FALSE)</f>
        <v>SERVICE 02  |  VOLUME</v>
      </c>
      <c r="AS894" s="264" t="b">
        <f t="shared" si="2222"/>
        <v>1</v>
      </c>
      <c r="AT894" s="294"/>
    </row>
    <row r="895" spans="1:46" ht="13" x14ac:dyDescent="0.2">
      <c r="A895" s="294"/>
      <c r="B895" s="925"/>
      <c r="C895" s="271">
        <v>888</v>
      </c>
      <c r="D895" s="250">
        <f t="shared" si="2228"/>
        <v>0</v>
      </c>
      <c r="E895" s="250">
        <v>1</v>
      </c>
      <c r="F895" s="248" t="s">
        <v>397</v>
      </c>
      <c r="G895" s="250">
        <f>VLOOKUP(F895,TableInputsData[],$G$6,FALSE)</f>
        <v>2027</v>
      </c>
      <c r="H895" s="250" t="str">
        <f t="shared" si="2229"/>
        <v>SERVICE</v>
      </c>
      <c r="I895" s="248" t="str">
        <f t="shared" si="2229"/>
        <v>SERVICE 02</v>
      </c>
      <c r="J895" s="248" t="str">
        <f>VLOOKUP(I895,TableInputsData[],$J$6,FALSE)</f>
        <v>-</v>
      </c>
      <c r="K895" s="248" t="str">
        <f t="shared" si="2230"/>
        <v>VOLUME</v>
      </c>
      <c r="L895" s="499">
        <v>1000</v>
      </c>
      <c r="M895" s="499">
        <v>0</v>
      </c>
      <c r="N895" s="499">
        <v>0</v>
      </c>
      <c r="O895" s="264">
        <f t="shared" si="2212"/>
        <v>1000</v>
      </c>
      <c r="P895" s="500">
        <v>1</v>
      </c>
      <c r="Q895" s="500">
        <v>0</v>
      </c>
      <c r="R895" s="259">
        <f t="shared" si="2223"/>
        <v>0</v>
      </c>
      <c r="S895" s="626">
        <v>500</v>
      </c>
      <c r="T895" s="626">
        <v>0</v>
      </c>
      <c r="U895" s="626">
        <v>0</v>
      </c>
      <c r="V895" s="628">
        <f t="shared" si="2224"/>
        <v>500</v>
      </c>
      <c r="W895" s="500">
        <v>1</v>
      </c>
      <c r="X895" s="500">
        <v>1</v>
      </c>
      <c r="Y895" s="500">
        <v>1</v>
      </c>
      <c r="Z895" s="259">
        <f t="shared" si="2213"/>
        <v>0</v>
      </c>
      <c r="AA895" s="259">
        <f t="shared" si="2214"/>
        <v>0</v>
      </c>
      <c r="AB895" s="259">
        <f t="shared" si="2215"/>
        <v>0</v>
      </c>
      <c r="AC895" s="628">
        <f t="shared" si="2225"/>
        <v>0</v>
      </c>
      <c r="AD895" s="628">
        <f t="shared" si="2226"/>
        <v>0</v>
      </c>
      <c r="AE895" s="264">
        <f>$AI895/4</f>
        <v>0</v>
      </c>
      <c r="AF895" s="264">
        <f t="shared" ref="AF895:AH898" si="2231">$AI895/4</f>
        <v>0</v>
      </c>
      <c r="AG895" s="264">
        <f t="shared" si="2231"/>
        <v>0</v>
      </c>
      <c r="AH895" s="264">
        <f t="shared" si="2231"/>
        <v>0</v>
      </c>
      <c r="AI895" s="501">
        <v>0</v>
      </c>
      <c r="AJ895" s="264">
        <f t="shared" si="2216"/>
        <v>0</v>
      </c>
      <c r="AK895" s="264">
        <f t="shared" si="2217"/>
        <v>0</v>
      </c>
      <c r="AL895" s="264">
        <f t="shared" si="2218"/>
        <v>0</v>
      </c>
      <c r="AM895" s="264">
        <f t="shared" si="2219"/>
        <v>0</v>
      </c>
      <c r="AN895" s="640">
        <f t="shared" si="2227"/>
        <v>0</v>
      </c>
      <c r="AO895" s="264">
        <f t="shared" si="2220"/>
        <v>0</v>
      </c>
      <c r="AP895" s="640">
        <f t="shared" si="2221"/>
        <v>0</v>
      </c>
      <c r="AQ895" s="501"/>
      <c r="AR895" s="264" t="str">
        <f>VLOOKUP($I895,TableInputsData[],ReadMe!$M$3,FALSE)&amp;"  |  "&amp;VLOOKUP($K895,TableInputsData[],ReadMe!$M$3,FALSE)</f>
        <v>SERVICE 02  |  VOLUME</v>
      </c>
      <c r="AS895" s="264" t="b">
        <f t="shared" si="2222"/>
        <v>1</v>
      </c>
      <c r="AT895" s="294"/>
    </row>
    <row r="896" spans="1:46" ht="13" x14ac:dyDescent="0.2">
      <c r="A896" s="294"/>
      <c r="B896" s="925"/>
      <c r="C896" s="271">
        <v>889</v>
      </c>
      <c r="D896" s="250">
        <f t="shared" si="2228"/>
        <v>0</v>
      </c>
      <c r="E896" s="250">
        <v>1</v>
      </c>
      <c r="F896" s="248" t="s">
        <v>398</v>
      </c>
      <c r="G896" s="250">
        <f>VLOOKUP(F896,TableInputsData[],$G$6,FALSE)</f>
        <v>2028</v>
      </c>
      <c r="H896" s="250" t="str">
        <f t="shared" si="2229"/>
        <v>SERVICE</v>
      </c>
      <c r="I896" s="248" t="str">
        <f t="shared" si="2229"/>
        <v>SERVICE 02</v>
      </c>
      <c r="J896" s="248" t="str">
        <f>VLOOKUP(I896,TableInputsData[],$J$6,FALSE)</f>
        <v>-</v>
      </c>
      <c r="K896" s="248" t="str">
        <f t="shared" si="2230"/>
        <v>VOLUME</v>
      </c>
      <c r="L896" s="499">
        <v>1000</v>
      </c>
      <c r="M896" s="499">
        <v>0</v>
      </c>
      <c r="N896" s="499">
        <v>0</v>
      </c>
      <c r="O896" s="264">
        <f t="shared" si="2212"/>
        <v>1000</v>
      </c>
      <c r="P896" s="500">
        <v>1</v>
      </c>
      <c r="Q896" s="500">
        <v>0</v>
      </c>
      <c r="R896" s="259">
        <f t="shared" si="2223"/>
        <v>0</v>
      </c>
      <c r="S896" s="626">
        <v>500</v>
      </c>
      <c r="T896" s="626">
        <v>0</v>
      </c>
      <c r="U896" s="626">
        <v>0</v>
      </c>
      <c r="V896" s="628">
        <f t="shared" si="2224"/>
        <v>500</v>
      </c>
      <c r="W896" s="500">
        <v>1</v>
      </c>
      <c r="X896" s="500">
        <v>1</v>
      </c>
      <c r="Y896" s="500">
        <v>1</v>
      </c>
      <c r="Z896" s="259">
        <f t="shared" si="2213"/>
        <v>0</v>
      </c>
      <c r="AA896" s="259">
        <f t="shared" si="2214"/>
        <v>0</v>
      </c>
      <c r="AB896" s="259">
        <f t="shared" si="2215"/>
        <v>0</v>
      </c>
      <c r="AC896" s="628">
        <f t="shared" si="2225"/>
        <v>0</v>
      </c>
      <c r="AD896" s="628">
        <f t="shared" si="2226"/>
        <v>0</v>
      </c>
      <c r="AE896" s="264">
        <f t="shared" ref="AE896:AE898" si="2232">$AI896/4</f>
        <v>0</v>
      </c>
      <c r="AF896" s="264">
        <f t="shared" si="2231"/>
        <v>0</v>
      </c>
      <c r="AG896" s="264">
        <f t="shared" si="2231"/>
        <v>0</v>
      </c>
      <c r="AH896" s="264">
        <f t="shared" si="2231"/>
        <v>0</v>
      </c>
      <c r="AI896" s="501">
        <v>0</v>
      </c>
      <c r="AJ896" s="264">
        <f t="shared" si="2216"/>
        <v>0</v>
      </c>
      <c r="AK896" s="264">
        <f t="shared" si="2217"/>
        <v>0</v>
      </c>
      <c r="AL896" s="264">
        <f t="shared" si="2218"/>
        <v>0</v>
      </c>
      <c r="AM896" s="264">
        <f t="shared" si="2219"/>
        <v>0</v>
      </c>
      <c r="AN896" s="640">
        <f t="shared" si="2227"/>
        <v>0</v>
      </c>
      <c r="AO896" s="264">
        <f t="shared" si="2220"/>
        <v>0</v>
      </c>
      <c r="AP896" s="640">
        <f t="shared" si="2221"/>
        <v>0</v>
      </c>
      <c r="AQ896" s="501"/>
      <c r="AR896" s="264" t="str">
        <f>VLOOKUP($I896,TableInputsData[],ReadMe!$M$3,FALSE)&amp;"  |  "&amp;VLOOKUP($K896,TableInputsData[],ReadMe!$M$3,FALSE)</f>
        <v>SERVICE 02  |  VOLUME</v>
      </c>
      <c r="AS896" s="264" t="b">
        <f t="shared" si="2222"/>
        <v>1</v>
      </c>
      <c r="AT896" s="294"/>
    </row>
    <row r="897" spans="1:46" ht="13" x14ac:dyDescent="0.2">
      <c r="A897" s="294"/>
      <c r="B897" s="925"/>
      <c r="C897" s="271">
        <v>890</v>
      </c>
      <c r="D897" s="250">
        <f t="shared" si="2228"/>
        <v>0</v>
      </c>
      <c r="E897" s="250">
        <v>1</v>
      </c>
      <c r="F897" s="248" t="s">
        <v>399</v>
      </c>
      <c r="G897" s="250">
        <f>VLOOKUP(F897,TableInputsData[],$G$6,FALSE)</f>
        <v>2029</v>
      </c>
      <c r="H897" s="250" t="str">
        <f t="shared" si="2229"/>
        <v>SERVICE</v>
      </c>
      <c r="I897" s="248" t="str">
        <f t="shared" si="2229"/>
        <v>SERVICE 02</v>
      </c>
      <c r="J897" s="248" t="str">
        <f>VLOOKUP(I897,TableInputsData[],$J$6,FALSE)</f>
        <v>-</v>
      </c>
      <c r="K897" s="248" t="str">
        <f t="shared" si="2230"/>
        <v>VOLUME</v>
      </c>
      <c r="L897" s="499">
        <v>1000</v>
      </c>
      <c r="M897" s="499">
        <v>0</v>
      </c>
      <c r="N897" s="499">
        <v>0</v>
      </c>
      <c r="O897" s="264">
        <f t="shared" si="2212"/>
        <v>1000</v>
      </c>
      <c r="P897" s="500">
        <v>1</v>
      </c>
      <c r="Q897" s="500">
        <v>0</v>
      </c>
      <c r="R897" s="259">
        <f t="shared" si="2223"/>
        <v>0</v>
      </c>
      <c r="S897" s="626">
        <v>500</v>
      </c>
      <c r="T897" s="626">
        <v>0</v>
      </c>
      <c r="U897" s="626">
        <v>0</v>
      </c>
      <c r="V897" s="628">
        <f t="shared" si="2224"/>
        <v>500</v>
      </c>
      <c r="W897" s="500">
        <v>1</v>
      </c>
      <c r="X897" s="500">
        <v>1</v>
      </c>
      <c r="Y897" s="500">
        <v>1</v>
      </c>
      <c r="Z897" s="259">
        <f t="shared" si="2213"/>
        <v>0</v>
      </c>
      <c r="AA897" s="259">
        <f t="shared" si="2214"/>
        <v>0</v>
      </c>
      <c r="AB897" s="259">
        <f t="shared" si="2215"/>
        <v>0</v>
      </c>
      <c r="AC897" s="628">
        <f t="shared" si="2225"/>
        <v>0</v>
      </c>
      <c r="AD897" s="628">
        <f t="shared" si="2226"/>
        <v>0</v>
      </c>
      <c r="AE897" s="264">
        <f t="shared" si="2232"/>
        <v>0</v>
      </c>
      <c r="AF897" s="264">
        <f t="shared" si="2231"/>
        <v>0</v>
      </c>
      <c r="AG897" s="264">
        <f t="shared" si="2231"/>
        <v>0</v>
      </c>
      <c r="AH897" s="264">
        <f t="shared" si="2231"/>
        <v>0</v>
      </c>
      <c r="AI897" s="501">
        <v>0</v>
      </c>
      <c r="AJ897" s="264">
        <f t="shared" si="2216"/>
        <v>0</v>
      </c>
      <c r="AK897" s="264">
        <f t="shared" si="2217"/>
        <v>0</v>
      </c>
      <c r="AL897" s="264">
        <f t="shared" si="2218"/>
        <v>0</v>
      </c>
      <c r="AM897" s="264">
        <f t="shared" si="2219"/>
        <v>0</v>
      </c>
      <c r="AN897" s="640">
        <f t="shared" si="2227"/>
        <v>0</v>
      </c>
      <c r="AO897" s="264">
        <f t="shared" si="2220"/>
        <v>0</v>
      </c>
      <c r="AP897" s="640">
        <f t="shared" si="2221"/>
        <v>0</v>
      </c>
      <c r="AQ897" s="501"/>
      <c r="AR897" s="264" t="str">
        <f>VLOOKUP($I897,TableInputsData[],ReadMe!$M$3,FALSE)&amp;"  |  "&amp;VLOOKUP($K897,TableInputsData[],ReadMe!$M$3,FALSE)</f>
        <v>SERVICE 02  |  VOLUME</v>
      </c>
      <c r="AS897" s="264" t="b">
        <f t="shared" si="2222"/>
        <v>1</v>
      </c>
      <c r="AT897" s="294"/>
    </row>
    <row r="898" spans="1:46" ht="13" x14ac:dyDescent="0.2">
      <c r="A898" s="294"/>
      <c r="B898" s="925"/>
      <c r="C898" s="271">
        <v>891</v>
      </c>
      <c r="D898" s="250">
        <f t="shared" si="2228"/>
        <v>0</v>
      </c>
      <c r="E898" s="250">
        <v>1</v>
      </c>
      <c r="F898" s="248" t="s">
        <v>400</v>
      </c>
      <c r="G898" s="250">
        <f>VLOOKUP(F898,TableInputsData[],$G$6,FALSE)</f>
        <v>2030</v>
      </c>
      <c r="H898" s="250" t="str">
        <f t="shared" si="2229"/>
        <v>SERVICE</v>
      </c>
      <c r="I898" s="248" t="str">
        <f t="shared" si="2229"/>
        <v>SERVICE 02</v>
      </c>
      <c r="J898" s="248" t="str">
        <f>VLOOKUP(I898,TableInputsData[],$J$6,FALSE)</f>
        <v>-</v>
      </c>
      <c r="K898" s="248" t="str">
        <f t="shared" si="2230"/>
        <v>VOLUME</v>
      </c>
      <c r="L898" s="499">
        <v>1000</v>
      </c>
      <c r="M898" s="499">
        <v>0</v>
      </c>
      <c r="N898" s="499">
        <v>0</v>
      </c>
      <c r="O898" s="264">
        <f t="shared" si="2212"/>
        <v>1000</v>
      </c>
      <c r="P898" s="500">
        <v>1</v>
      </c>
      <c r="Q898" s="500">
        <v>0</v>
      </c>
      <c r="R898" s="259">
        <f t="shared" si="2223"/>
        <v>0</v>
      </c>
      <c r="S898" s="626">
        <v>500</v>
      </c>
      <c r="T898" s="626">
        <v>0</v>
      </c>
      <c r="U898" s="626">
        <v>0</v>
      </c>
      <c r="V898" s="628">
        <f t="shared" si="2224"/>
        <v>500</v>
      </c>
      <c r="W898" s="500">
        <v>1</v>
      </c>
      <c r="X898" s="500">
        <v>1</v>
      </c>
      <c r="Y898" s="500">
        <v>1</v>
      </c>
      <c r="Z898" s="259">
        <f t="shared" si="2213"/>
        <v>0</v>
      </c>
      <c r="AA898" s="259">
        <f t="shared" si="2214"/>
        <v>0</v>
      </c>
      <c r="AB898" s="259">
        <f t="shared" si="2215"/>
        <v>0</v>
      </c>
      <c r="AC898" s="628">
        <f t="shared" si="2225"/>
        <v>0</v>
      </c>
      <c r="AD898" s="628">
        <f t="shared" si="2226"/>
        <v>0</v>
      </c>
      <c r="AE898" s="264">
        <f t="shared" si="2232"/>
        <v>0</v>
      </c>
      <c r="AF898" s="264">
        <f t="shared" si="2231"/>
        <v>0</v>
      </c>
      <c r="AG898" s="264">
        <f t="shared" si="2231"/>
        <v>0</v>
      </c>
      <c r="AH898" s="264">
        <f t="shared" si="2231"/>
        <v>0</v>
      </c>
      <c r="AI898" s="501">
        <v>0</v>
      </c>
      <c r="AJ898" s="264">
        <f t="shared" si="2216"/>
        <v>0</v>
      </c>
      <c r="AK898" s="264">
        <f t="shared" si="2217"/>
        <v>0</v>
      </c>
      <c r="AL898" s="264">
        <f t="shared" si="2218"/>
        <v>0</v>
      </c>
      <c r="AM898" s="264">
        <f t="shared" si="2219"/>
        <v>0</v>
      </c>
      <c r="AN898" s="640">
        <f t="shared" si="2227"/>
        <v>0</v>
      </c>
      <c r="AO898" s="264">
        <f t="shared" si="2220"/>
        <v>0</v>
      </c>
      <c r="AP898" s="640">
        <f t="shared" si="2221"/>
        <v>0</v>
      </c>
      <c r="AQ898" s="501"/>
      <c r="AR898" s="264" t="str">
        <f>VLOOKUP($I898,TableInputsData[],ReadMe!$M$3,FALSE)&amp;"  |  "&amp;VLOOKUP($K898,TableInputsData[],ReadMe!$M$3,FALSE)</f>
        <v>SERVICE 02  |  VOLUME</v>
      </c>
      <c r="AS898" s="264" t="b">
        <f t="shared" si="2222"/>
        <v>1</v>
      </c>
      <c r="AT898" s="294"/>
    </row>
    <row r="899" spans="1:46" ht="13" hidden="1" x14ac:dyDescent="0.2">
      <c r="A899" s="294"/>
      <c r="B899" s="925"/>
      <c r="C899" s="272">
        <v>892</v>
      </c>
      <c r="D899" s="250">
        <f t="shared" si="2228"/>
        <v>0</v>
      </c>
      <c r="E899" s="251"/>
      <c r="F899" s="248" t="str">
        <f t="shared" ref="F899:F906" si="2233">F907</f>
        <v>YEAR-2</v>
      </c>
      <c r="G899" s="250">
        <f>VLOOKUP(F899,TableInputsData[],$G$6,FALSE)</f>
        <v>2023</v>
      </c>
      <c r="H899" s="250" t="str">
        <f t="shared" si="2229"/>
        <v>SERVICE</v>
      </c>
      <c r="I899" s="248" t="str">
        <f t="shared" si="2229"/>
        <v>SERVICE 02</v>
      </c>
      <c r="J899" s="248" t="str">
        <f>VLOOKUP(I899,TableInputsData[],$J$6,FALSE)</f>
        <v>-</v>
      </c>
      <c r="K899" s="248" t="s">
        <v>457</v>
      </c>
      <c r="L899" s="256"/>
      <c r="M899" s="256"/>
      <c r="N899" s="256"/>
      <c r="O899" s="266"/>
      <c r="P899" s="261"/>
      <c r="Q899" s="261"/>
      <c r="R899" s="261"/>
      <c r="S899" s="629"/>
      <c r="T899" s="629"/>
      <c r="U899" s="629"/>
      <c r="V899" s="629"/>
      <c r="W899" s="261"/>
      <c r="X899" s="261"/>
      <c r="Y899" s="261"/>
      <c r="Z899" s="261"/>
      <c r="AA899" s="261"/>
      <c r="AB899" s="261"/>
      <c r="AC899" s="266"/>
      <c r="AD899" s="633"/>
      <c r="AE899" s="264">
        <f>AE891*($L891*$P891+$M891*$Q891+$N891*$R891)</f>
        <v>0</v>
      </c>
      <c r="AF899" s="264">
        <f t="shared" ref="AF899:AH899" si="2234">AF891*($L891*$P891+$M891*$Q891+$N891*$R891)</f>
        <v>0</v>
      </c>
      <c r="AG899" s="264">
        <f t="shared" si="2234"/>
        <v>0</v>
      </c>
      <c r="AH899" s="264">
        <f t="shared" si="2234"/>
        <v>0</v>
      </c>
      <c r="AI899" s="264">
        <f>$AE899+$AF899+$AG899+$AH899</f>
        <v>0</v>
      </c>
      <c r="AJ899" s="264">
        <f t="shared" ref="AJ899:AJ906" si="2235">$AJ891*$L891</f>
        <v>0</v>
      </c>
      <c r="AK899" s="264">
        <f t="shared" ref="AK899:AK906" si="2236">$AK891*$M891</f>
        <v>0</v>
      </c>
      <c r="AL899" s="264">
        <f t="shared" ref="AL899:AL906" si="2237">$AL891*$N891</f>
        <v>0</v>
      </c>
      <c r="AM899" s="264">
        <f t="shared" ref="AM899:AM906" si="2238">$AJ899*$W891+$AK899*$X891+$AL899*$Y891</f>
        <v>0</v>
      </c>
      <c r="AN899" s="640">
        <f t="shared" si="2227"/>
        <v>0</v>
      </c>
      <c r="AO899" s="264">
        <f t="shared" ref="AO899:AO906" si="2239">$AJ899*$Z891+$AK899*$AA891+$AL899*$AB891</f>
        <v>0</v>
      </c>
      <c r="AP899" s="640">
        <f t="shared" si="2221"/>
        <v>0</v>
      </c>
      <c r="AQ899" s="264"/>
      <c r="AR899" s="264" t="str">
        <f>VLOOKUP($I899,TableInputsData[],ReadMe!$M$3,FALSE)&amp;"  |  "&amp;VLOOKUP($K899,TableInputsData[],ReadMe!$M$3,FALSE)</f>
        <v>SERVICE 02  |  CHIFFRE D'AFFAIRES</v>
      </c>
      <c r="AS899" s="264" t="b">
        <f t="shared" ref="AS899:AS906" si="2240">AND(EXACT(ROUND(AI899,2),ROUND(AJ899+AK899+AL899,2)),EXACT(ROUND(AI899,2),ROUND(AM899+AO899,2)))</f>
        <v>1</v>
      </c>
      <c r="AT899" s="294"/>
    </row>
    <row r="900" spans="1:46" ht="13" hidden="1" x14ac:dyDescent="0.2">
      <c r="A900" s="294"/>
      <c r="B900" s="925"/>
      <c r="C900" s="271">
        <v>893</v>
      </c>
      <c r="D900" s="250">
        <f t="shared" si="2228"/>
        <v>0</v>
      </c>
      <c r="E900" s="250"/>
      <c r="F900" s="248" t="str">
        <f t="shared" si="2233"/>
        <v>YEAR-1</v>
      </c>
      <c r="G900" s="250">
        <f>VLOOKUP(F900,TableInputsData[],$G$6,FALSE)</f>
        <v>2024</v>
      </c>
      <c r="H900" s="250" t="str">
        <f t="shared" si="2229"/>
        <v>SERVICE</v>
      </c>
      <c r="I900" s="248" t="str">
        <f t="shared" si="2229"/>
        <v>SERVICE 02</v>
      </c>
      <c r="J900" s="248" t="str">
        <f>VLOOKUP(I900,TableInputsData[],$J$6,FALSE)</f>
        <v>-</v>
      </c>
      <c r="K900" s="248" t="str">
        <f>K899</f>
        <v>REVENUE</v>
      </c>
      <c r="L900" s="255"/>
      <c r="M900" s="255"/>
      <c r="N900" s="255"/>
      <c r="O900" s="265"/>
      <c r="P900" s="260"/>
      <c r="Q900" s="260"/>
      <c r="R900" s="260"/>
      <c r="S900" s="630"/>
      <c r="T900" s="630"/>
      <c r="U900" s="630"/>
      <c r="V900" s="630"/>
      <c r="W900" s="260"/>
      <c r="X900" s="260"/>
      <c r="Y900" s="260"/>
      <c r="Z900" s="260"/>
      <c r="AA900" s="260"/>
      <c r="AB900" s="260"/>
      <c r="AC900" s="265"/>
      <c r="AD900" s="634"/>
      <c r="AE900" s="264">
        <f t="shared" ref="AE900:AH900" si="2241">AE892*($L892*$P892+$M892*$Q892+$N892*$R892)</f>
        <v>0</v>
      </c>
      <c r="AF900" s="264">
        <f t="shared" si="2241"/>
        <v>0</v>
      </c>
      <c r="AG900" s="264">
        <f t="shared" si="2241"/>
        <v>0</v>
      </c>
      <c r="AH900" s="264">
        <f t="shared" si="2241"/>
        <v>0</v>
      </c>
      <c r="AI900" s="264">
        <f t="shared" ref="AI900:AI905" si="2242">$AE900+$AF900+$AG900+$AH900</f>
        <v>0</v>
      </c>
      <c r="AJ900" s="264">
        <f t="shared" si="2235"/>
        <v>0</v>
      </c>
      <c r="AK900" s="264">
        <f t="shared" si="2236"/>
        <v>0</v>
      </c>
      <c r="AL900" s="264">
        <f t="shared" si="2237"/>
        <v>0</v>
      </c>
      <c r="AM900" s="264">
        <f t="shared" si="2238"/>
        <v>0</v>
      </c>
      <c r="AN900" s="640">
        <f t="shared" si="2227"/>
        <v>0</v>
      </c>
      <c r="AO900" s="264">
        <f t="shared" si="2239"/>
        <v>0</v>
      </c>
      <c r="AP900" s="640">
        <f t="shared" si="2221"/>
        <v>0</v>
      </c>
      <c r="AQ900" s="264"/>
      <c r="AR900" s="264" t="str">
        <f>VLOOKUP($I900,TableInputsData[],ReadMe!$M$3,FALSE)&amp;"  |  "&amp;VLOOKUP($K900,TableInputsData[],ReadMe!$M$3,FALSE)</f>
        <v>SERVICE 02  |  CHIFFRE D'AFFAIRES</v>
      </c>
      <c r="AS900" s="264" t="b">
        <f t="shared" si="2240"/>
        <v>1</v>
      </c>
      <c r="AT900" s="294"/>
    </row>
    <row r="901" spans="1:46" ht="13" hidden="1" x14ac:dyDescent="0.2">
      <c r="A901" s="294"/>
      <c r="B901" s="925"/>
      <c r="C901" s="271">
        <v>894</v>
      </c>
      <c r="D901" s="250">
        <f t="shared" si="2228"/>
        <v>0</v>
      </c>
      <c r="E901" s="250"/>
      <c r="F901" s="248" t="str">
        <f t="shared" si="2233"/>
        <v>CURRENT YEAR</v>
      </c>
      <c r="G901" s="250">
        <f>VLOOKUP(F901,TableInputsData[],$G$6,FALSE)</f>
        <v>2025</v>
      </c>
      <c r="H901" s="250" t="str">
        <f t="shared" si="2229"/>
        <v>SERVICE</v>
      </c>
      <c r="I901" s="248" t="str">
        <f t="shared" si="2229"/>
        <v>SERVICE 02</v>
      </c>
      <c r="J901" s="248" t="str">
        <f>VLOOKUP(I901,TableInputsData[],$J$6,FALSE)</f>
        <v>-</v>
      </c>
      <c r="K901" s="248" t="str">
        <f t="shared" ref="K901:K906" si="2243">K900</f>
        <v>REVENUE</v>
      </c>
      <c r="L901" s="255"/>
      <c r="M901" s="255"/>
      <c r="N901" s="255"/>
      <c r="O901" s="265"/>
      <c r="P901" s="260"/>
      <c r="Q901" s="260"/>
      <c r="R901" s="260"/>
      <c r="S901" s="630"/>
      <c r="T901" s="630"/>
      <c r="U901" s="630"/>
      <c r="V901" s="630"/>
      <c r="W901" s="260"/>
      <c r="X901" s="260"/>
      <c r="Y901" s="260"/>
      <c r="Z901" s="260"/>
      <c r="AA901" s="260"/>
      <c r="AB901" s="260"/>
      <c r="AC901" s="265"/>
      <c r="AD901" s="634"/>
      <c r="AE901" s="264">
        <f t="shared" ref="AE901:AH901" si="2244">AE893*($L893*$P893+$M893*$Q893+$N893*$R893)</f>
        <v>0</v>
      </c>
      <c r="AF901" s="264">
        <f t="shared" si="2244"/>
        <v>0</v>
      </c>
      <c r="AG901" s="264">
        <f t="shared" si="2244"/>
        <v>0</v>
      </c>
      <c r="AH901" s="264">
        <f t="shared" si="2244"/>
        <v>0</v>
      </c>
      <c r="AI901" s="264">
        <f t="shared" si="2242"/>
        <v>0</v>
      </c>
      <c r="AJ901" s="264">
        <f t="shared" si="2235"/>
        <v>0</v>
      </c>
      <c r="AK901" s="264">
        <f t="shared" si="2236"/>
        <v>0</v>
      </c>
      <c r="AL901" s="264">
        <f t="shared" si="2237"/>
        <v>0</v>
      </c>
      <c r="AM901" s="264">
        <f t="shared" si="2238"/>
        <v>0</v>
      </c>
      <c r="AN901" s="640">
        <f t="shared" si="2227"/>
        <v>0</v>
      </c>
      <c r="AO901" s="264">
        <f t="shared" si="2239"/>
        <v>0</v>
      </c>
      <c r="AP901" s="640">
        <f t="shared" si="2221"/>
        <v>0</v>
      </c>
      <c r="AQ901" s="264"/>
      <c r="AR901" s="264" t="str">
        <f>VLOOKUP($I901,TableInputsData[],ReadMe!$M$3,FALSE)&amp;"  |  "&amp;VLOOKUP($K901,TableInputsData[],ReadMe!$M$3,FALSE)</f>
        <v>SERVICE 02  |  CHIFFRE D'AFFAIRES</v>
      </c>
      <c r="AS901" s="264" t="b">
        <f t="shared" si="2240"/>
        <v>1</v>
      </c>
      <c r="AT901" s="294"/>
    </row>
    <row r="902" spans="1:46" ht="13" hidden="1" x14ac:dyDescent="0.2">
      <c r="A902" s="294"/>
      <c r="B902" s="925"/>
      <c r="C902" s="271">
        <v>895</v>
      </c>
      <c r="D902" s="250">
        <f t="shared" si="2228"/>
        <v>0</v>
      </c>
      <c r="E902" s="250"/>
      <c r="F902" s="248" t="str">
        <f t="shared" si="2233"/>
        <v>YEAR2</v>
      </c>
      <c r="G902" s="250">
        <f>VLOOKUP(F902,TableInputsData[],$G$6,FALSE)</f>
        <v>2026</v>
      </c>
      <c r="H902" s="250" t="str">
        <f t="shared" si="2229"/>
        <v>SERVICE</v>
      </c>
      <c r="I902" s="248" t="str">
        <f t="shared" si="2229"/>
        <v>SERVICE 02</v>
      </c>
      <c r="J902" s="248" t="str">
        <f>VLOOKUP(I902,TableInputsData[],$J$6,FALSE)</f>
        <v>-</v>
      </c>
      <c r="K902" s="248" t="str">
        <f t="shared" si="2243"/>
        <v>REVENUE</v>
      </c>
      <c r="L902" s="255"/>
      <c r="M902" s="255"/>
      <c r="N902" s="255"/>
      <c r="O902" s="265"/>
      <c r="P902" s="260"/>
      <c r="Q902" s="260"/>
      <c r="R902" s="260"/>
      <c r="S902" s="630"/>
      <c r="T902" s="630"/>
      <c r="U902" s="630"/>
      <c r="V902" s="630"/>
      <c r="W902" s="260"/>
      <c r="X902" s="260"/>
      <c r="Y902" s="260"/>
      <c r="Z902" s="260"/>
      <c r="AA902" s="260"/>
      <c r="AB902" s="260"/>
      <c r="AC902" s="265"/>
      <c r="AD902" s="634"/>
      <c r="AE902" s="264">
        <f t="shared" ref="AE902:AH902" si="2245">AE894*($L894*$P894+$M894*$Q894+$N894*$R894)</f>
        <v>0</v>
      </c>
      <c r="AF902" s="264">
        <f t="shared" si="2245"/>
        <v>0</v>
      </c>
      <c r="AG902" s="264">
        <f t="shared" si="2245"/>
        <v>0</v>
      </c>
      <c r="AH902" s="264">
        <f t="shared" si="2245"/>
        <v>0</v>
      </c>
      <c r="AI902" s="264">
        <f t="shared" si="2242"/>
        <v>0</v>
      </c>
      <c r="AJ902" s="264">
        <f t="shared" si="2235"/>
        <v>0</v>
      </c>
      <c r="AK902" s="264">
        <f t="shared" si="2236"/>
        <v>0</v>
      </c>
      <c r="AL902" s="264">
        <f t="shared" si="2237"/>
        <v>0</v>
      </c>
      <c r="AM902" s="264">
        <f t="shared" si="2238"/>
        <v>0</v>
      </c>
      <c r="AN902" s="640">
        <f t="shared" si="2227"/>
        <v>0</v>
      </c>
      <c r="AO902" s="264">
        <f t="shared" si="2239"/>
        <v>0</v>
      </c>
      <c r="AP902" s="640">
        <f t="shared" si="2221"/>
        <v>0</v>
      </c>
      <c r="AQ902" s="264"/>
      <c r="AR902" s="264" t="str">
        <f>VLOOKUP($I902,TableInputsData[],ReadMe!$M$3,FALSE)&amp;"  |  "&amp;VLOOKUP($K902,TableInputsData[],ReadMe!$M$3,FALSE)</f>
        <v>SERVICE 02  |  CHIFFRE D'AFFAIRES</v>
      </c>
      <c r="AS902" s="264" t="b">
        <f t="shared" si="2240"/>
        <v>1</v>
      </c>
      <c r="AT902" s="294"/>
    </row>
    <row r="903" spans="1:46" ht="13" hidden="1" x14ac:dyDescent="0.2">
      <c r="A903" s="294"/>
      <c r="B903" s="925"/>
      <c r="C903" s="271">
        <v>896</v>
      </c>
      <c r="D903" s="250">
        <f t="shared" si="2228"/>
        <v>0</v>
      </c>
      <c r="E903" s="250"/>
      <c r="F903" s="248" t="str">
        <f t="shared" si="2233"/>
        <v>YEAR3</v>
      </c>
      <c r="G903" s="250">
        <f>VLOOKUP(F903,TableInputsData[],$G$6,FALSE)</f>
        <v>2027</v>
      </c>
      <c r="H903" s="250" t="str">
        <f t="shared" si="2229"/>
        <v>SERVICE</v>
      </c>
      <c r="I903" s="248" t="str">
        <f t="shared" si="2229"/>
        <v>SERVICE 02</v>
      </c>
      <c r="J903" s="248" t="str">
        <f>VLOOKUP(I903,TableInputsData[],$J$6,FALSE)</f>
        <v>-</v>
      </c>
      <c r="K903" s="248" t="str">
        <f t="shared" si="2243"/>
        <v>REVENUE</v>
      </c>
      <c r="L903" s="255"/>
      <c r="M903" s="255"/>
      <c r="N903" s="255"/>
      <c r="O903" s="265"/>
      <c r="P903" s="260"/>
      <c r="Q903" s="260"/>
      <c r="R903" s="260"/>
      <c r="S903" s="630"/>
      <c r="T903" s="630"/>
      <c r="U903" s="630"/>
      <c r="V903" s="630"/>
      <c r="W903" s="260"/>
      <c r="X903" s="260"/>
      <c r="Y903" s="260"/>
      <c r="Z903" s="260"/>
      <c r="AA903" s="260"/>
      <c r="AB903" s="260"/>
      <c r="AC903" s="265"/>
      <c r="AD903" s="634"/>
      <c r="AE903" s="264">
        <f t="shared" ref="AE903:AH903" si="2246">AE895*($L895*$P895+$M895*$Q895+$N895*$R895)</f>
        <v>0</v>
      </c>
      <c r="AF903" s="264">
        <f t="shared" si="2246"/>
        <v>0</v>
      </c>
      <c r="AG903" s="264">
        <f t="shared" si="2246"/>
        <v>0</v>
      </c>
      <c r="AH903" s="264">
        <f t="shared" si="2246"/>
        <v>0</v>
      </c>
      <c r="AI903" s="264">
        <f t="shared" si="2242"/>
        <v>0</v>
      </c>
      <c r="AJ903" s="264">
        <f t="shared" si="2235"/>
        <v>0</v>
      </c>
      <c r="AK903" s="264">
        <f t="shared" si="2236"/>
        <v>0</v>
      </c>
      <c r="AL903" s="264">
        <f t="shared" si="2237"/>
        <v>0</v>
      </c>
      <c r="AM903" s="264">
        <f t="shared" si="2238"/>
        <v>0</v>
      </c>
      <c r="AN903" s="640">
        <f t="shared" si="2227"/>
        <v>0</v>
      </c>
      <c r="AO903" s="264">
        <f t="shared" si="2239"/>
        <v>0</v>
      </c>
      <c r="AP903" s="640">
        <f t="shared" si="2221"/>
        <v>0</v>
      </c>
      <c r="AQ903" s="264"/>
      <c r="AR903" s="264" t="str">
        <f>VLOOKUP($I903,TableInputsData[],ReadMe!$M$3,FALSE)&amp;"  |  "&amp;VLOOKUP($K903,TableInputsData[],ReadMe!$M$3,FALSE)</f>
        <v>SERVICE 02  |  CHIFFRE D'AFFAIRES</v>
      </c>
      <c r="AS903" s="264" t="b">
        <f t="shared" si="2240"/>
        <v>1</v>
      </c>
      <c r="AT903" s="294"/>
    </row>
    <row r="904" spans="1:46" ht="13" hidden="1" x14ac:dyDescent="0.2">
      <c r="A904" s="294"/>
      <c r="B904" s="925"/>
      <c r="C904" s="271">
        <v>897</v>
      </c>
      <c r="D904" s="250">
        <f t="shared" si="2228"/>
        <v>0</v>
      </c>
      <c r="E904" s="250"/>
      <c r="F904" s="248" t="str">
        <f t="shared" si="2233"/>
        <v>YEAR4</v>
      </c>
      <c r="G904" s="250">
        <f>VLOOKUP(F904,TableInputsData[],$G$6,FALSE)</f>
        <v>2028</v>
      </c>
      <c r="H904" s="250" t="str">
        <f t="shared" si="2229"/>
        <v>SERVICE</v>
      </c>
      <c r="I904" s="248" t="str">
        <f t="shared" si="2229"/>
        <v>SERVICE 02</v>
      </c>
      <c r="J904" s="248" t="str">
        <f>VLOOKUP(I904,TableInputsData[],$J$6,FALSE)</f>
        <v>-</v>
      </c>
      <c r="K904" s="248" t="str">
        <f t="shared" si="2243"/>
        <v>REVENUE</v>
      </c>
      <c r="L904" s="255"/>
      <c r="M904" s="255"/>
      <c r="N904" s="255"/>
      <c r="O904" s="265"/>
      <c r="P904" s="260"/>
      <c r="Q904" s="260"/>
      <c r="R904" s="260"/>
      <c r="S904" s="630"/>
      <c r="T904" s="630"/>
      <c r="U904" s="630"/>
      <c r="V904" s="630"/>
      <c r="W904" s="260"/>
      <c r="X904" s="260"/>
      <c r="Y904" s="260"/>
      <c r="Z904" s="260"/>
      <c r="AA904" s="260"/>
      <c r="AB904" s="260"/>
      <c r="AC904" s="265"/>
      <c r="AD904" s="634"/>
      <c r="AE904" s="264">
        <f t="shared" ref="AE904:AH904" si="2247">AE896*($L896*$P896+$M896*$Q896+$N896*$R896)</f>
        <v>0</v>
      </c>
      <c r="AF904" s="264">
        <f t="shared" si="2247"/>
        <v>0</v>
      </c>
      <c r="AG904" s="264">
        <f t="shared" si="2247"/>
        <v>0</v>
      </c>
      <c r="AH904" s="264">
        <f t="shared" si="2247"/>
        <v>0</v>
      </c>
      <c r="AI904" s="264">
        <f t="shared" si="2242"/>
        <v>0</v>
      </c>
      <c r="AJ904" s="264">
        <f t="shared" si="2235"/>
        <v>0</v>
      </c>
      <c r="AK904" s="264">
        <f t="shared" si="2236"/>
        <v>0</v>
      </c>
      <c r="AL904" s="264">
        <f t="shared" si="2237"/>
        <v>0</v>
      </c>
      <c r="AM904" s="264">
        <f t="shared" si="2238"/>
        <v>0</v>
      </c>
      <c r="AN904" s="640">
        <f t="shared" si="2227"/>
        <v>0</v>
      </c>
      <c r="AO904" s="264">
        <f t="shared" si="2239"/>
        <v>0</v>
      </c>
      <c r="AP904" s="640">
        <f t="shared" si="2221"/>
        <v>0</v>
      </c>
      <c r="AQ904" s="264"/>
      <c r="AR904" s="264" t="str">
        <f>VLOOKUP($I904,TableInputsData[],ReadMe!$M$3,FALSE)&amp;"  |  "&amp;VLOOKUP($K904,TableInputsData[],ReadMe!$M$3,FALSE)</f>
        <v>SERVICE 02  |  CHIFFRE D'AFFAIRES</v>
      </c>
      <c r="AS904" s="264" t="b">
        <f t="shared" si="2240"/>
        <v>1</v>
      </c>
      <c r="AT904" s="294"/>
    </row>
    <row r="905" spans="1:46" ht="13" hidden="1" x14ac:dyDescent="0.2">
      <c r="A905" s="294"/>
      <c r="B905" s="925"/>
      <c r="C905" s="271">
        <v>898</v>
      </c>
      <c r="D905" s="250">
        <f t="shared" si="2228"/>
        <v>0</v>
      </c>
      <c r="E905" s="250"/>
      <c r="F905" s="248" t="str">
        <f t="shared" si="2233"/>
        <v>YEAR5</v>
      </c>
      <c r="G905" s="250">
        <f>VLOOKUP(F905,TableInputsData[],$G$6,FALSE)</f>
        <v>2029</v>
      </c>
      <c r="H905" s="250" t="str">
        <f t="shared" si="2229"/>
        <v>SERVICE</v>
      </c>
      <c r="I905" s="248" t="str">
        <f t="shared" si="2229"/>
        <v>SERVICE 02</v>
      </c>
      <c r="J905" s="248" t="str">
        <f>VLOOKUP(I905,TableInputsData[],$J$6,FALSE)</f>
        <v>-</v>
      </c>
      <c r="K905" s="248" t="str">
        <f t="shared" si="2243"/>
        <v>REVENUE</v>
      </c>
      <c r="L905" s="255"/>
      <c r="M905" s="255"/>
      <c r="N905" s="255"/>
      <c r="O905" s="265"/>
      <c r="P905" s="260"/>
      <c r="Q905" s="260"/>
      <c r="R905" s="260"/>
      <c r="S905" s="630"/>
      <c r="T905" s="630"/>
      <c r="U905" s="630"/>
      <c r="V905" s="630"/>
      <c r="W905" s="260"/>
      <c r="X905" s="260"/>
      <c r="Y905" s="260"/>
      <c r="Z905" s="260"/>
      <c r="AA905" s="260"/>
      <c r="AB905" s="260"/>
      <c r="AC905" s="265"/>
      <c r="AD905" s="634"/>
      <c r="AE905" s="264">
        <f t="shared" ref="AE905:AH905" si="2248">AE897*($L897*$P897+$M897*$Q897+$N897*$R897)</f>
        <v>0</v>
      </c>
      <c r="AF905" s="264">
        <f t="shared" si="2248"/>
        <v>0</v>
      </c>
      <c r="AG905" s="264">
        <f t="shared" si="2248"/>
        <v>0</v>
      </c>
      <c r="AH905" s="264">
        <f t="shared" si="2248"/>
        <v>0</v>
      </c>
      <c r="AI905" s="264">
        <f t="shared" si="2242"/>
        <v>0</v>
      </c>
      <c r="AJ905" s="264">
        <f t="shared" si="2235"/>
        <v>0</v>
      </c>
      <c r="AK905" s="264">
        <f t="shared" si="2236"/>
        <v>0</v>
      </c>
      <c r="AL905" s="264">
        <f t="shared" si="2237"/>
        <v>0</v>
      </c>
      <c r="AM905" s="264">
        <f t="shared" si="2238"/>
        <v>0</v>
      </c>
      <c r="AN905" s="640">
        <f t="shared" si="2227"/>
        <v>0</v>
      </c>
      <c r="AO905" s="264">
        <f t="shared" si="2239"/>
        <v>0</v>
      </c>
      <c r="AP905" s="640">
        <f t="shared" si="2221"/>
        <v>0</v>
      </c>
      <c r="AQ905" s="264"/>
      <c r="AR905" s="264" t="str">
        <f>VLOOKUP($I905,TableInputsData[],ReadMe!$M$3,FALSE)&amp;"  |  "&amp;VLOOKUP($K905,TableInputsData[],ReadMe!$M$3,FALSE)</f>
        <v>SERVICE 02  |  CHIFFRE D'AFFAIRES</v>
      </c>
      <c r="AS905" s="264" t="b">
        <f t="shared" si="2240"/>
        <v>1</v>
      </c>
      <c r="AT905" s="294"/>
    </row>
    <row r="906" spans="1:46" ht="13" hidden="1" x14ac:dyDescent="0.2">
      <c r="A906" s="294"/>
      <c r="B906" s="925"/>
      <c r="C906" s="271">
        <v>899</v>
      </c>
      <c r="D906" s="250">
        <f t="shared" si="2228"/>
        <v>0</v>
      </c>
      <c r="E906" s="250"/>
      <c r="F906" s="248" t="str">
        <f t="shared" si="2233"/>
        <v>YEAR6</v>
      </c>
      <c r="G906" s="250">
        <f>VLOOKUP(F906,TableInputsData[],$G$6,FALSE)</f>
        <v>2030</v>
      </c>
      <c r="H906" s="250" t="str">
        <f t="shared" si="2229"/>
        <v>SERVICE</v>
      </c>
      <c r="I906" s="248" t="str">
        <f t="shared" si="2229"/>
        <v>SERVICE 02</v>
      </c>
      <c r="J906" s="248" t="str">
        <f>VLOOKUP(I906,TableInputsData[],$J$6,FALSE)</f>
        <v>-</v>
      </c>
      <c r="K906" s="248" t="str">
        <f t="shared" si="2243"/>
        <v>REVENUE</v>
      </c>
      <c r="L906" s="255"/>
      <c r="M906" s="255"/>
      <c r="N906" s="255"/>
      <c r="O906" s="265"/>
      <c r="P906" s="260"/>
      <c r="Q906" s="260"/>
      <c r="R906" s="260"/>
      <c r="S906" s="630"/>
      <c r="T906" s="630"/>
      <c r="U906" s="630"/>
      <c r="V906" s="630"/>
      <c r="W906" s="260"/>
      <c r="X906" s="260"/>
      <c r="Y906" s="260"/>
      <c r="Z906" s="260"/>
      <c r="AA906" s="260"/>
      <c r="AB906" s="260"/>
      <c r="AC906" s="265"/>
      <c r="AD906" s="634"/>
      <c r="AE906" s="264">
        <f t="shared" ref="AE906:AH906" si="2249">AE898*($L898*$P898+$M898*$Q898+$N898*$R898)</f>
        <v>0</v>
      </c>
      <c r="AF906" s="264">
        <f t="shared" si="2249"/>
        <v>0</v>
      </c>
      <c r="AG906" s="264">
        <f t="shared" si="2249"/>
        <v>0</v>
      </c>
      <c r="AH906" s="264">
        <f t="shared" si="2249"/>
        <v>0</v>
      </c>
      <c r="AI906" s="264">
        <f>$AE906+$AF906+$AG906+$AH906</f>
        <v>0</v>
      </c>
      <c r="AJ906" s="264">
        <f t="shared" si="2235"/>
        <v>0</v>
      </c>
      <c r="AK906" s="264">
        <f t="shared" si="2236"/>
        <v>0</v>
      </c>
      <c r="AL906" s="264">
        <f t="shared" si="2237"/>
        <v>0</v>
      </c>
      <c r="AM906" s="264">
        <f t="shared" si="2238"/>
        <v>0</v>
      </c>
      <c r="AN906" s="640">
        <f t="shared" si="2227"/>
        <v>0</v>
      </c>
      <c r="AO906" s="264">
        <f t="shared" si="2239"/>
        <v>0</v>
      </c>
      <c r="AP906" s="640">
        <f t="shared" si="2221"/>
        <v>0</v>
      </c>
      <c r="AQ906" s="264"/>
      <c r="AR906" s="264" t="str">
        <f>VLOOKUP($I906,TableInputsData[],ReadMe!$M$3,FALSE)&amp;"  |  "&amp;VLOOKUP($K906,TableInputsData[],ReadMe!$M$3,FALSE)</f>
        <v>SERVICE 02  |  CHIFFRE D'AFFAIRES</v>
      </c>
      <c r="AS906" s="264" t="b">
        <f t="shared" si="2240"/>
        <v>1</v>
      </c>
      <c r="AT906" s="294"/>
    </row>
    <row r="907" spans="1:46" ht="13" hidden="1" x14ac:dyDescent="0.2">
      <c r="A907" s="294"/>
      <c r="B907" s="925"/>
      <c r="C907" s="271">
        <v>900</v>
      </c>
      <c r="D907" s="250">
        <f t="shared" si="2228"/>
        <v>0</v>
      </c>
      <c r="E907" s="250"/>
      <c r="F907" s="248" t="str">
        <f t="shared" ref="F907:F914" si="2250">F891</f>
        <v>YEAR-2</v>
      </c>
      <c r="G907" s="250">
        <f>VLOOKUP(F907,TableInputsData[],$G$6,FALSE)</f>
        <v>2023</v>
      </c>
      <c r="H907" s="250" t="str">
        <f t="shared" si="2229"/>
        <v>SERVICE</v>
      </c>
      <c r="I907" s="248" t="str">
        <f t="shared" si="2229"/>
        <v>SERVICE 02</v>
      </c>
      <c r="J907" s="248" t="str">
        <f>VLOOKUP(I907,TableInputsData[],$J$6,FALSE)</f>
        <v>-</v>
      </c>
      <c r="K907" s="248" t="s">
        <v>456</v>
      </c>
      <c r="L907" s="255"/>
      <c r="M907" s="255"/>
      <c r="N907" s="255"/>
      <c r="O907" s="265"/>
      <c r="P907" s="260"/>
      <c r="Q907" s="260"/>
      <c r="R907" s="260"/>
      <c r="S907" s="630"/>
      <c r="T907" s="630"/>
      <c r="U907" s="630"/>
      <c r="V907" s="630"/>
      <c r="W907" s="260"/>
      <c r="X907" s="260"/>
      <c r="Y907" s="260"/>
      <c r="Z907" s="260"/>
      <c r="AA907" s="260"/>
      <c r="AB907" s="260"/>
      <c r="AC907" s="265"/>
      <c r="AD907" s="634"/>
      <c r="AE907" s="264">
        <f>IF(AE891=0,0,AE899/AE891)</f>
        <v>0</v>
      </c>
      <c r="AF907" s="264">
        <f t="shared" ref="AF907:AI907" si="2251">IF(AF891=0,0,AF899/AF891)</f>
        <v>0</v>
      </c>
      <c r="AG907" s="264">
        <f t="shared" si="2251"/>
        <v>0</v>
      </c>
      <c r="AH907" s="264">
        <f t="shared" si="2251"/>
        <v>0</v>
      </c>
      <c r="AI907" s="264">
        <f t="shared" si="2251"/>
        <v>0</v>
      </c>
      <c r="AJ907" s="264">
        <f>IF(AJ891=0,0,AJ899/AJ891)</f>
        <v>0</v>
      </c>
      <c r="AK907" s="264">
        <f t="shared" ref="AK907:AL907" si="2252">IF(AK891=0,0,AK899/AK891)</f>
        <v>0</v>
      </c>
      <c r="AL907" s="264">
        <f t="shared" si="2252"/>
        <v>0</v>
      </c>
      <c r="AM907" s="264">
        <f>IF(AM891=0,0,AM899/AM891)</f>
        <v>0</v>
      </c>
      <c r="AN907" s="260"/>
      <c r="AO907" s="264">
        <f t="shared" ref="AO907" si="2253">IF(AO891=0,0,AO899/AO891)</f>
        <v>0</v>
      </c>
      <c r="AP907" s="260"/>
      <c r="AQ907" s="264"/>
      <c r="AR907" s="264" t="str">
        <f>VLOOKUP($I907,TableInputsData[],ReadMe!$M$3,FALSE)&amp;"  |  "&amp;VLOOKUP($K907,TableInputsData[],ReadMe!$M$3,FALSE)</f>
        <v>SERVICE 02  |  PRIX MOYEN DE VENTE PAR PRODUIT/SERVICE</v>
      </c>
      <c r="AS907" s="264"/>
      <c r="AT907" s="294"/>
    </row>
    <row r="908" spans="1:46" ht="13" hidden="1" x14ac:dyDescent="0.2">
      <c r="A908" s="294"/>
      <c r="B908" s="925"/>
      <c r="C908" s="271">
        <v>901</v>
      </c>
      <c r="D908" s="250">
        <f t="shared" si="2228"/>
        <v>0</v>
      </c>
      <c r="E908" s="250"/>
      <c r="F908" s="248" t="str">
        <f t="shared" si="2250"/>
        <v>YEAR-1</v>
      </c>
      <c r="G908" s="250">
        <f>VLOOKUP(F908,TableInputsData[],$G$6,FALSE)</f>
        <v>2024</v>
      </c>
      <c r="H908" s="250" t="str">
        <f t="shared" si="2229"/>
        <v>SERVICE</v>
      </c>
      <c r="I908" s="248" t="str">
        <f t="shared" si="2229"/>
        <v>SERVICE 02</v>
      </c>
      <c r="J908" s="248" t="str">
        <f>VLOOKUP(I908,TableInputsData[],$J$6,FALSE)</f>
        <v>-</v>
      </c>
      <c r="K908" s="248" t="str">
        <f>K907</f>
        <v>AVERAGE SELLING PRICE PER UNIT</v>
      </c>
      <c r="L908" s="255"/>
      <c r="M908" s="255"/>
      <c r="N908" s="255"/>
      <c r="O908" s="265"/>
      <c r="P908" s="260"/>
      <c r="Q908" s="260"/>
      <c r="R908" s="260"/>
      <c r="S908" s="630"/>
      <c r="T908" s="630"/>
      <c r="U908" s="630"/>
      <c r="V908" s="630"/>
      <c r="W908" s="260"/>
      <c r="X908" s="260"/>
      <c r="Y908" s="260"/>
      <c r="Z908" s="260"/>
      <c r="AA908" s="260"/>
      <c r="AB908" s="260"/>
      <c r="AC908" s="265"/>
      <c r="AD908" s="634"/>
      <c r="AE908" s="264">
        <f>IF(AE892=0,0,AE900/AE892)</f>
        <v>0</v>
      </c>
      <c r="AF908" s="264">
        <f t="shared" ref="AF908:AM908" si="2254">IF(AF892=0,0,AF900/AF892)</f>
        <v>0</v>
      </c>
      <c r="AG908" s="264">
        <f t="shared" si="2254"/>
        <v>0</v>
      </c>
      <c r="AH908" s="264">
        <f t="shared" si="2254"/>
        <v>0</v>
      </c>
      <c r="AI908" s="264">
        <f t="shared" si="2254"/>
        <v>0</v>
      </c>
      <c r="AJ908" s="264">
        <f t="shared" si="2254"/>
        <v>0</v>
      </c>
      <c r="AK908" s="264">
        <f t="shared" si="2254"/>
        <v>0</v>
      </c>
      <c r="AL908" s="264">
        <f t="shared" si="2254"/>
        <v>0</v>
      </c>
      <c r="AM908" s="264">
        <f t="shared" si="2254"/>
        <v>0</v>
      </c>
      <c r="AN908" s="260"/>
      <c r="AO908" s="264">
        <f t="shared" ref="AO908" si="2255">IF(AO892=0,0,AO900/AO892)</f>
        <v>0</v>
      </c>
      <c r="AP908" s="260"/>
      <c r="AQ908" s="264"/>
      <c r="AR908" s="264" t="str">
        <f>VLOOKUP($I908,TableInputsData[],ReadMe!$M$3,FALSE)&amp;"  |  "&amp;VLOOKUP($K908,TableInputsData[],ReadMe!$M$3,FALSE)</f>
        <v>SERVICE 02  |  PRIX MOYEN DE VENTE PAR PRODUIT/SERVICE</v>
      </c>
      <c r="AS908" s="264"/>
      <c r="AT908" s="294"/>
    </row>
    <row r="909" spans="1:46" ht="13" hidden="1" x14ac:dyDescent="0.2">
      <c r="A909" s="294"/>
      <c r="B909" s="925"/>
      <c r="C909" s="271">
        <v>902</v>
      </c>
      <c r="D909" s="250">
        <f t="shared" si="2228"/>
        <v>0</v>
      </c>
      <c r="E909" s="250"/>
      <c r="F909" s="248" t="str">
        <f t="shared" si="2250"/>
        <v>CURRENT YEAR</v>
      </c>
      <c r="G909" s="250">
        <f>VLOOKUP(F909,TableInputsData[],$G$6,FALSE)</f>
        <v>2025</v>
      </c>
      <c r="H909" s="250" t="str">
        <f t="shared" si="2229"/>
        <v>SERVICE</v>
      </c>
      <c r="I909" s="248" t="str">
        <f t="shared" si="2229"/>
        <v>SERVICE 02</v>
      </c>
      <c r="J909" s="248" t="str">
        <f>VLOOKUP(I909,TableInputsData[],$J$6,FALSE)</f>
        <v>-</v>
      </c>
      <c r="K909" s="248" t="str">
        <f t="shared" ref="K909:K914" si="2256">K908</f>
        <v>AVERAGE SELLING PRICE PER UNIT</v>
      </c>
      <c r="L909" s="255"/>
      <c r="M909" s="255"/>
      <c r="N909" s="255"/>
      <c r="O909" s="265"/>
      <c r="P909" s="260"/>
      <c r="Q909" s="260"/>
      <c r="R909" s="260"/>
      <c r="S909" s="630"/>
      <c r="T909" s="630"/>
      <c r="U909" s="630"/>
      <c r="V909" s="630"/>
      <c r="W909" s="260"/>
      <c r="X909" s="260"/>
      <c r="Y909" s="260"/>
      <c r="Z909" s="260"/>
      <c r="AA909" s="260"/>
      <c r="AB909" s="260"/>
      <c r="AC909" s="265"/>
      <c r="AD909" s="634"/>
      <c r="AE909" s="264">
        <f>IF(AE893=0,0,AE901/AE893)</f>
        <v>0</v>
      </c>
      <c r="AF909" s="264">
        <f t="shared" ref="AF909:AM909" si="2257">IF(AF893=0,0,AF901/AF893)</f>
        <v>0</v>
      </c>
      <c r="AG909" s="264">
        <f t="shared" si="2257"/>
        <v>0</v>
      </c>
      <c r="AH909" s="264">
        <f t="shared" si="2257"/>
        <v>0</v>
      </c>
      <c r="AI909" s="264">
        <f t="shared" si="2257"/>
        <v>0</v>
      </c>
      <c r="AJ909" s="264">
        <f t="shared" si="2257"/>
        <v>0</v>
      </c>
      <c r="AK909" s="264">
        <f t="shared" si="2257"/>
        <v>0</v>
      </c>
      <c r="AL909" s="264">
        <f t="shared" si="2257"/>
        <v>0</v>
      </c>
      <c r="AM909" s="264">
        <f t="shared" si="2257"/>
        <v>0</v>
      </c>
      <c r="AN909" s="260"/>
      <c r="AO909" s="264">
        <f t="shared" ref="AO909" si="2258">IF(AO893=0,0,AO901/AO893)</f>
        <v>0</v>
      </c>
      <c r="AP909" s="260"/>
      <c r="AQ909" s="264"/>
      <c r="AR909" s="264" t="str">
        <f>VLOOKUP($I909,TableInputsData[],ReadMe!$M$3,FALSE)&amp;"  |  "&amp;VLOOKUP($K909,TableInputsData[],ReadMe!$M$3,FALSE)</f>
        <v>SERVICE 02  |  PRIX MOYEN DE VENTE PAR PRODUIT/SERVICE</v>
      </c>
      <c r="AS909" s="264"/>
      <c r="AT909" s="294"/>
    </row>
    <row r="910" spans="1:46" ht="13" hidden="1" x14ac:dyDescent="0.2">
      <c r="A910" s="294"/>
      <c r="B910" s="925"/>
      <c r="C910" s="271">
        <v>903</v>
      </c>
      <c r="D910" s="250">
        <f t="shared" si="2228"/>
        <v>0</v>
      </c>
      <c r="E910" s="250"/>
      <c r="F910" s="248" t="str">
        <f t="shared" si="2250"/>
        <v>YEAR2</v>
      </c>
      <c r="G910" s="250">
        <f>VLOOKUP(F910,TableInputsData[],$G$6,FALSE)</f>
        <v>2026</v>
      </c>
      <c r="H910" s="250" t="str">
        <f t="shared" si="2229"/>
        <v>SERVICE</v>
      </c>
      <c r="I910" s="248" t="str">
        <f t="shared" si="2229"/>
        <v>SERVICE 02</v>
      </c>
      <c r="J910" s="248" t="str">
        <f>VLOOKUP(I910,TableInputsData[],$J$6,FALSE)</f>
        <v>-</v>
      </c>
      <c r="K910" s="248" t="str">
        <f t="shared" si="2256"/>
        <v>AVERAGE SELLING PRICE PER UNIT</v>
      </c>
      <c r="L910" s="255"/>
      <c r="M910" s="255"/>
      <c r="N910" s="255"/>
      <c r="O910" s="265"/>
      <c r="P910" s="260"/>
      <c r="Q910" s="260"/>
      <c r="R910" s="260"/>
      <c r="S910" s="630"/>
      <c r="T910" s="630"/>
      <c r="U910" s="630"/>
      <c r="V910" s="630"/>
      <c r="W910" s="260"/>
      <c r="X910" s="260"/>
      <c r="Y910" s="260"/>
      <c r="Z910" s="260"/>
      <c r="AA910" s="260"/>
      <c r="AB910" s="260"/>
      <c r="AC910" s="265"/>
      <c r="AD910" s="634"/>
      <c r="AE910" s="264">
        <f>IF(AE894=0,0,AE902/AE894)</f>
        <v>0</v>
      </c>
      <c r="AF910" s="264">
        <f t="shared" ref="AF910:AM910" si="2259">IF(AF894=0,0,AF902/AF894)</f>
        <v>0</v>
      </c>
      <c r="AG910" s="264">
        <f t="shared" si="2259"/>
        <v>0</v>
      </c>
      <c r="AH910" s="264">
        <f t="shared" si="2259"/>
        <v>0</v>
      </c>
      <c r="AI910" s="264">
        <f t="shared" si="2259"/>
        <v>0</v>
      </c>
      <c r="AJ910" s="264">
        <f t="shared" si="2259"/>
        <v>0</v>
      </c>
      <c r="AK910" s="264">
        <f t="shared" si="2259"/>
        <v>0</v>
      </c>
      <c r="AL910" s="264">
        <f t="shared" si="2259"/>
        <v>0</v>
      </c>
      <c r="AM910" s="264">
        <f t="shared" si="2259"/>
        <v>0</v>
      </c>
      <c r="AN910" s="260"/>
      <c r="AO910" s="264">
        <f t="shared" ref="AO910" si="2260">IF(AO894=0,0,AO902/AO894)</f>
        <v>0</v>
      </c>
      <c r="AP910" s="260"/>
      <c r="AQ910" s="264"/>
      <c r="AR910" s="264" t="str">
        <f>VLOOKUP($I910,TableInputsData[],ReadMe!$M$3,FALSE)&amp;"  |  "&amp;VLOOKUP($K910,TableInputsData[],ReadMe!$M$3,FALSE)</f>
        <v>SERVICE 02  |  PRIX MOYEN DE VENTE PAR PRODUIT/SERVICE</v>
      </c>
      <c r="AS910" s="264"/>
      <c r="AT910" s="294"/>
    </row>
    <row r="911" spans="1:46" ht="13" hidden="1" x14ac:dyDescent="0.2">
      <c r="A911" s="294"/>
      <c r="B911" s="925"/>
      <c r="C911" s="271">
        <v>904</v>
      </c>
      <c r="D911" s="250">
        <f t="shared" si="2228"/>
        <v>0</v>
      </c>
      <c r="E911" s="250"/>
      <c r="F911" s="248" t="str">
        <f t="shared" si="2250"/>
        <v>YEAR3</v>
      </c>
      <c r="G911" s="250">
        <f>VLOOKUP(F911,TableInputsData[],$G$6,FALSE)</f>
        <v>2027</v>
      </c>
      <c r="H911" s="250" t="str">
        <f t="shared" si="2229"/>
        <v>SERVICE</v>
      </c>
      <c r="I911" s="248" t="str">
        <f t="shared" si="2229"/>
        <v>SERVICE 02</v>
      </c>
      <c r="J911" s="248" t="str">
        <f>VLOOKUP(I911,TableInputsData[],$J$6,FALSE)</f>
        <v>-</v>
      </c>
      <c r="K911" s="248" t="str">
        <f t="shared" si="2256"/>
        <v>AVERAGE SELLING PRICE PER UNIT</v>
      </c>
      <c r="L911" s="255"/>
      <c r="M911" s="255"/>
      <c r="N911" s="255"/>
      <c r="O911" s="265"/>
      <c r="P911" s="260"/>
      <c r="Q911" s="260"/>
      <c r="R911" s="260"/>
      <c r="S911" s="630"/>
      <c r="T911" s="630"/>
      <c r="U911" s="630"/>
      <c r="V911" s="630"/>
      <c r="W911" s="260"/>
      <c r="X911" s="260"/>
      <c r="Y911" s="260"/>
      <c r="Z911" s="260"/>
      <c r="AA911" s="260"/>
      <c r="AB911" s="260"/>
      <c r="AC911" s="265"/>
      <c r="AD911" s="634"/>
      <c r="AE911" s="264">
        <f t="shared" ref="AE911:AM911" si="2261">IF(AE895=0,0,AE903/AE895)</f>
        <v>0</v>
      </c>
      <c r="AF911" s="264">
        <f t="shared" si="2261"/>
        <v>0</v>
      </c>
      <c r="AG911" s="264">
        <f t="shared" si="2261"/>
        <v>0</v>
      </c>
      <c r="AH911" s="264">
        <f t="shared" si="2261"/>
        <v>0</v>
      </c>
      <c r="AI911" s="264">
        <f t="shared" si="2261"/>
        <v>0</v>
      </c>
      <c r="AJ911" s="264">
        <f t="shared" si="2261"/>
        <v>0</v>
      </c>
      <c r="AK911" s="264">
        <f t="shared" si="2261"/>
        <v>0</v>
      </c>
      <c r="AL911" s="264">
        <f t="shared" si="2261"/>
        <v>0</v>
      </c>
      <c r="AM911" s="264">
        <f t="shared" si="2261"/>
        <v>0</v>
      </c>
      <c r="AN911" s="260"/>
      <c r="AO911" s="264">
        <f t="shared" ref="AO911" si="2262">IF(AO895=0,0,AO903/AO895)</f>
        <v>0</v>
      </c>
      <c r="AP911" s="260"/>
      <c r="AQ911" s="264"/>
      <c r="AR911" s="264" t="str">
        <f>VLOOKUP($I911,TableInputsData[],ReadMe!$M$3,FALSE)&amp;"  |  "&amp;VLOOKUP($K911,TableInputsData[],ReadMe!$M$3,FALSE)</f>
        <v>SERVICE 02  |  PRIX MOYEN DE VENTE PAR PRODUIT/SERVICE</v>
      </c>
      <c r="AS911" s="264"/>
      <c r="AT911" s="294"/>
    </row>
    <row r="912" spans="1:46" ht="13" hidden="1" x14ac:dyDescent="0.2">
      <c r="A912" s="294"/>
      <c r="B912" s="925"/>
      <c r="C912" s="272">
        <v>905</v>
      </c>
      <c r="D912" s="250">
        <f t="shared" si="2228"/>
        <v>0</v>
      </c>
      <c r="E912" s="251"/>
      <c r="F912" s="248" t="str">
        <f t="shared" si="2250"/>
        <v>YEAR4</v>
      </c>
      <c r="G912" s="250">
        <f>VLOOKUP(F912,TableInputsData[],$G$6,FALSE)</f>
        <v>2028</v>
      </c>
      <c r="H912" s="250" t="str">
        <f t="shared" si="2229"/>
        <v>SERVICE</v>
      </c>
      <c r="I912" s="248" t="str">
        <f t="shared" si="2229"/>
        <v>SERVICE 02</v>
      </c>
      <c r="J912" s="248" t="str">
        <f>VLOOKUP(I912,TableInputsData[],$J$6,FALSE)</f>
        <v>-</v>
      </c>
      <c r="K912" s="248" t="str">
        <f t="shared" si="2256"/>
        <v>AVERAGE SELLING PRICE PER UNIT</v>
      </c>
      <c r="L912" s="256"/>
      <c r="M912" s="256"/>
      <c r="N912" s="256"/>
      <c r="O912" s="266"/>
      <c r="P912" s="261"/>
      <c r="Q912" s="261"/>
      <c r="R912" s="261"/>
      <c r="S912" s="629"/>
      <c r="T912" s="629"/>
      <c r="U912" s="629"/>
      <c r="V912" s="629"/>
      <c r="W912" s="261"/>
      <c r="X912" s="261"/>
      <c r="Y912" s="261"/>
      <c r="Z912" s="261"/>
      <c r="AA912" s="261"/>
      <c r="AB912" s="261"/>
      <c r="AC912" s="266"/>
      <c r="AD912" s="633"/>
      <c r="AE912" s="264">
        <f t="shared" ref="AE912:AM912" si="2263">IF(AE896=0,0,AE904/AE896)</f>
        <v>0</v>
      </c>
      <c r="AF912" s="264">
        <f t="shared" si="2263"/>
        <v>0</v>
      </c>
      <c r="AG912" s="264">
        <f t="shared" si="2263"/>
        <v>0</v>
      </c>
      <c r="AH912" s="264">
        <f t="shared" si="2263"/>
        <v>0</v>
      </c>
      <c r="AI912" s="264">
        <f t="shared" si="2263"/>
        <v>0</v>
      </c>
      <c r="AJ912" s="264">
        <f t="shared" si="2263"/>
        <v>0</v>
      </c>
      <c r="AK912" s="264">
        <f t="shared" si="2263"/>
        <v>0</v>
      </c>
      <c r="AL912" s="264">
        <f t="shared" si="2263"/>
        <v>0</v>
      </c>
      <c r="AM912" s="264">
        <f t="shared" si="2263"/>
        <v>0</v>
      </c>
      <c r="AN912" s="260"/>
      <c r="AO912" s="264">
        <f t="shared" ref="AO912" si="2264">IF(AO896=0,0,AO904/AO896)</f>
        <v>0</v>
      </c>
      <c r="AP912" s="260"/>
      <c r="AQ912" s="264"/>
      <c r="AR912" s="264" t="str">
        <f>VLOOKUP($I912,TableInputsData[],ReadMe!$M$3,FALSE)&amp;"  |  "&amp;VLOOKUP($K912,TableInputsData[],ReadMe!$M$3,FALSE)</f>
        <v>SERVICE 02  |  PRIX MOYEN DE VENTE PAR PRODUIT/SERVICE</v>
      </c>
      <c r="AS912" s="264"/>
      <c r="AT912" s="294"/>
    </row>
    <row r="913" spans="1:46" ht="13" hidden="1" x14ac:dyDescent="0.2">
      <c r="A913" s="294"/>
      <c r="B913" s="925"/>
      <c r="C913" s="271">
        <v>906</v>
      </c>
      <c r="D913" s="250">
        <f t="shared" si="2228"/>
        <v>0</v>
      </c>
      <c r="E913" s="250"/>
      <c r="F913" s="248" t="str">
        <f t="shared" si="2250"/>
        <v>YEAR5</v>
      </c>
      <c r="G913" s="250">
        <f>VLOOKUP(F913,TableInputsData[],$G$6,FALSE)</f>
        <v>2029</v>
      </c>
      <c r="H913" s="250" t="str">
        <f t="shared" si="2229"/>
        <v>SERVICE</v>
      </c>
      <c r="I913" s="248" t="str">
        <f t="shared" si="2229"/>
        <v>SERVICE 02</v>
      </c>
      <c r="J913" s="248" t="str">
        <f>VLOOKUP(I913,TableInputsData[],$J$6,FALSE)</f>
        <v>-</v>
      </c>
      <c r="K913" s="248" t="str">
        <f t="shared" si="2256"/>
        <v>AVERAGE SELLING PRICE PER UNIT</v>
      </c>
      <c r="L913" s="255"/>
      <c r="M913" s="255"/>
      <c r="N913" s="255"/>
      <c r="O913" s="265"/>
      <c r="P913" s="260"/>
      <c r="Q913" s="260"/>
      <c r="R913" s="260"/>
      <c r="S913" s="630"/>
      <c r="T913" s="630"/>
      <c r="U913" s="630"/>
      <c r="V913" s="630"/>
      <c r="W913" s="260"/>
      <c r="X913" s="260"/>
      <c r="Y913" s="260"/>
      <c r="Z913" s="260"/>
      <c r="AA913" s="260"/>
      <c r="AB913" s="260"/>
      <c r="AC913" s="265"/>
      <c r="AD913" s="634"/>
      <c r="AE913" s="264">
        <f t="shared" ref="AE913:AM913" si="2265">IF(AE897=0,0,AE905/AE897)</f>
        <v>0</v>
      </c>
      <c r="AF913" s="264">
        <f t="shared" si="2265"/>
        <v>0</v>
      </c>
      <c r="AG913" s="264">
        <f t="shared" si="2265"/>
        <v>0</v>
      </c>
      <c r="AH913" s="264">
        <f t="shared" si="2265"/>
        <v>0</v>
      </c>
      <c r="AI913" s="264">
        <f t="shared" si="2265"/>
        <v>0</v>
      </c>
      <c r="AJ913" s="264">
        <f t="shared" si="2265"/>
        <v>0</v>
      </c>
      <c r="AK913" s="264">
        <f t="shared" si="2265"/>
        <v>0</v>
      </c>
      <c r="AL913" s="264">
        <f t="shared" si="2265"/>
        <v>0</v>
      </c>
      <c r="AM913" s="264">
        <f t="shared" si="2265"/>
        <v>0</v>
      </c>
      <c r="AN913" s="260"/>
      <c r="AO913" s="264">
        <f t="shared" ref="AO913" si="2266">IF(AO897=0,0,AO905/AO897)</f>
        <v>0</v>
      </c>
      <c r="AP913" s="260"/>
      <c r="AQ913" s="264"/>
      <c r="AR913" s="264" t="str">
        <f>VLOOKUP($I913,TableInputsData[],ReadMe!$M$3,FALSE)&amp;"  |  "&amp;VLOOKUP($K913,TableInputsData[],ReadMe!$M$3,FALSE)</f>
        <v>SERVICE 02  |  PRIX MOYEN DE VENTE PAR PRODUIT/SERVICE</v>
      </c>
      <c r="AS913" s="264"/>
      <c r="AT913" s="294"/>
    </row>
    <row r="914" spans="1:46" ht="13" hidden="1" x14ac:dyDescent="0.2">
      <c r="A914" s="294"/>
      <c r="B914" s="925"/>
      <c r="C914" s="271">
        <v>907</v>
      </c>
      <c r="D914" s="250">
        <f t="shared" si="2228"/>
        <v>0</v>
      </c>
      <c r="E914" s="250"/>
      <c r="F914" s="248" t="str">
        <f t="shared" si="2250"/>
        <v>YEAR6</v>
      </c>
      <c r="G914" s="250">
        <f>VLOOKUP(F914,TableInputsData[],$G$6,FALSE)</f>
        <v>2030</v>
      </c>
      <c r="H914" s="250" t="str">
        <f t="shared" si="2229"/>
        <v>SERVICE</v>
      </c>
      <c r="I914" s="248" t="str">
        <f t="shared" si="2229"/>
        <v>SERVICE 02</v>
      </c>
      <c r="J914" s="248" t="str">
        <f>VLOOKUP(I914,TableInputsData[],$J$6,FALSE)</f>
        <v>-</v>
      </c>
      <c r="K914" s="248" t="str">
        <f t="shared" si="2256"/>
        <v>AVERAGE SELLING PRICE PER UNIT</v>
      </c>
      <c r="L914" s="255"/>
      <c r="M914" s="255"/>
      <c r="N914" s="255"/>
      <c r="O914" s="265"/>
      <c r="P914" s="260"/>
      <c r="Q914" s="260"/>
      <c r="R914" s="260"/>
      <c r="S914" s="630"/>
      <c r="T914" s="630"/>
      <c r="U914" s="630"/>
      <c r="V914" s="630"/>
      <c r="W914" s="260"/>
      <c r="X914" s="260"/>
      <c r="Y914" s="260"/>
      <c r="Z914" s="260"/>
      <c r="AA914" s="260"/>
      <c r="AB914" s="260"/>
      <c r="AC914" s="265"/>
      <c r="AD914" s="634"/>
      <c r="AE914" s="264">
        <f t="shared" ref="AE914:AM914" si="2267">IF(AE898=0,0,AE906/AE898)</f>
        <v>0</v>
      </c>
      <c r="AF914" s="264">
        <f t="shared" si="2267"/>
        <v>0</v>
      </c>
      <c r="AG914" s="264">
        <f t="shared" si="2267"/>
        <v>0</v>
      </c>
      <c r="AH914" s="264">
        <f t="shared" si="2267"/>
        <v>0</v>
      </c>
      <c r="AI914" s="264">
        <f t="shared" si="2267"/>
        <v>0</v>
      </c>
      <c r="AJ914" s="264">
        <f t="shared" si="2267"/>
        <v>0</v>
      </c>
      <c r="AK914" s="264">
        <f t="shared" si="2267"/>
        <v>0</v>
      </c>
      <c r="AL914" s="264">
        <f t="shared" si="2267"/>
        <v>0</v>
      </c>
      <c r="AM914" s="264">
        <f t="shared" si="2267"/>
        <v>0</v>
      </c>
      <c r="AN914" s="260"/>
      <c r="AO914" s="264">
        <f t="shared" ref="AO914" si="2268">IF(AO898=0,0,AO906/AO898)</f>
        <v>0</v>
      </c>
      <c r="AP914" s="260"/>
      <c r="AQ914" s="264"/>
      <c r="AR914" s="264" t="str">
        <f>VLOOKUP($I914,TableInputsData[],ReadMe!$M$3,FALSE)&amp;"  |  "&amp;VLOOKUP($K914,TableInputsData[],ReadMe!$M$3,FALSE)</f>
        <v>SERVICE 02  |  PRIX MOYEN DE VENTE PAR PRODUIT/SERVICE</v>
      </c>
      <c r="AS914" s="264"/>
      <c r="AT914" s="294"/>
    </row>
    <row r="915" spans="1:46" ht="13" hidden="1" x14ac:dyDescent="0.2">
      <c r="A915" s="294"/>
      <c r="B915" s="925"/>
      <c r="C915" s="272">
        <v>908</v>
      </c>
      <c r="D915" s="250">
        <f t="shared" si="2228"/>
        <v>0</v>
      </c>
      <c r="E915" s="251"/>
      <c r="F915" s="248" t="str">
        <f t="shared" ref="F915:F922" si="2269">F923</f>
        <v>YEAR-2</v>
      </c>
      <c r="G915" s="250">
        <f>VLOOKUP(F915,TableInputsData[],$G$6,FALSE)</f>
        <v>2023</v>
      </c>
      <c r="H915" s="250" t="str">
        <f t="shared" si="2229"/>
        <v>SERVICE</v>
      </c>
      <c r="I915" s="248" t="str">
        <f t="shared" si="2229"/>
        <v>SERVICE 02</v>
      </c>
      <c r="J915" s="248" t="str">
        <f>VLOOKUP(I915,TableInputsData[],$J$6,FALSE)</f>
        <v>-</v>
      </c>
      <c r="K915" s="248" t="s">
        <v>531</v>
      </c>
      <c r="L915" s="256"/>
      <c r="M915" s="256"/>
      <c r="N915" s="256"/>
      <c r="O915" s="266"/>
      <c r="P915" s="261"/>
      <c r="Q915" s="261"/>
      <c r="R915" s="261"/>
      <c r="S915" s="629"/>
      <c r="T915" s="629"/>
      <c r="U915" s="629"/>
      <c r="V915" s="629"/>
      <c r="W915" s="261"/>
      <c r="X915" s="261"/>
      <c r="Y915" s="261"/>
      <c r="Z915" s="261"/>
      <c r="AA915" s="261"/>
      <c r="AB915" s="261"/>
      <c r="AC915" s="266"/>
      <c r="AD915" s="633"/>
      <c r="AE915" s="264">
        <f>AE891*($S891*$P891+$T891*$Q891+$U891*$R891)</f>
        <v>0</v>
      </c>
      <c r="AF915" s="264">
        <f t="shared" ref="AF915:AH915" si="2270">AF891*($S891*$P891+$T891*$Q891+$U891*$R891)</f>
        <v>0</v>
      </c>
      <c r="AG915" s="264">
        <f t="shared" si="2270"/>
        <v>0</v>
      </c>
      <c r="AH915" s="264">
        <f t="shared" si="2270"/>
        <v>0</v>
      </c>
      <c r="AI915" s="264">
        <f t="shared" ref="AI915:AI922" si="2271">$AE915+$AF915+$AG915+$AH915</f>
        <v>0</v>
      </c>
      <c r="AJ915" s="264">
        <f t="shared" ref="AJ915:AJ922" si="2272">$AJ891*$S891</f>
        <v>0</v>
      </c>
      <c r="AK915" s="264">
        <f t="shared" ref="AK915:AK922" si="2273">$AK891*$T891</f>
        <v>0</v>
      </c>
      <c r="AL915" s="264">
        <f t="shared" ref="AL915:AL922" si="2274">$AL891*$U891</f>
        <v>0</v>
      </c>
      <c r="AM915" s="264">
        <f t="shared" ref="AM915:AM922" si="2275">$AJ915*$W891+$AK915*$X891+$AL915*$Y891</f>
        <v>0</v>
      </c>
      <c r="AN915" s="640">
        <f t="shared" ref="AN915:AN922" si="2276">IF(AI915=0,0,AM915/AI915)</f>
        <v>0</v>
      </c>
      <c r="AO915" s="264">
        <f t="shared" ref="AO915:AO922" si="2277">$AJ915*$Z891+$AK915*$AA891+$AL915*$AB891</f>
        <v>0</v>
      </c>
      <c r="AP915" s="640">
        <f t="shared" ref="AP915:AP922" si="2278">IF(AI915=0,0,AO915/AI915)</f>
        <v>0</v>
      </c>
      <c r="AQ915" s="264"/>
      <c r="AR915" s="264" t="str">
        <f>VLOOKUP($I915,TableInputsData[],ReadMe!$M$3,FALSE)&amp;"  |  "&amp;VLOOKUP($K915,TableInputsData[],ReadMe!$M$3,FALSE)</f>
        <v>SERVICE 02  |  DEPENSES SUR ACHATS</v>
      </c>
      <c r="AS915" s="264" t="b">
        <f t="shared" ref="AS915:AS922" si="2279">AND(EXACT(ROUND(AI915,2),ROUND(AJ915+AK915+AL915,2)),EXACT(ROUND(AI915,2),ROUND(AM915+AO915,2)))</f>
        <v>1</v>
      </c>
      <c r="AT915" s="294"/>
    </row>
    <row r="916" spans="1:46" ht="13" hidden="1" x14ac:dyDescent="0.2">
      <c r="A916" s="294"/>
      <c r="B916" s="925"/>
      <c r="C916" s="271">
        <v>909</v>
      </c>
      <c r="D916" s="250">
        <f t="shared" si="2228"/>
        <v>0</v>
      </c>
      <c r="E916" s="250"/>
      <c r="F916" s="248" t="str">
        <f t="shared" si="2269"/>
        <v>YEAR-1</v>
      </c>
      <c r="G916" s="250">
        <f>VLOOKUP(F916,TableInputsData[],$G$6,FALSE)</f>
        <v>2024</v>
      </c>
      <c r="H916" s="250" t="str">
        <f t="shared" si="2229"/>
        <v>SERVICE</v>
      </c>
      <c r="I916" s="248" t="str">
        <f t="shared" si="2229"/>
        <v>SERVICE 02</v>
      </c>
      <c r="J916" s="248" t="str">
        <f>VLOOKUP(I916,TableInputsData[],$J$6,FALSE)</f>
        <v>-</v>
      </c>
      <c r="K916" s="248" t="str">
        <f>K915</f>
        <v>COST OF GOODS SOLD</v>
      </c>
      <c r="L916" s="255"/>
      <c r="M916" s="255"/>
      <c r="N916" s="255"/>
      <c r="O916" s="265"/>
      <c r="P916" s="260"/>
      <c r="Q916" s="260"/>
      <c r="R916" s="260"/>
      <c r="S916" s="630"/>
      <c r="T916" s="630"/>
      <c r="U916" s="630"/>
      <c r="V916" s="630"/>
      <c r="W916" s="260"/>
      <c r="X916" s="260"/>
      <c r="Y916" s="260"/>
      <c r="Z916" s="260"/>
      <c r="AA916" s="260"/>
      <c r="AB916" s="260"/>
      <c r="AC916" s="265"/>
      <c r="AD916" s="634"/>
      <c r="AE916" s="264">
        <f t="shared" ref="AE916:AH916" si="2280">AE892*($S892*$P892+$T892*$Q892+$U892*$R892)</f>
        <v>0</v>
      </c>
      <c r="AF916" s="264">
        <f t="shared" si="2280"/>
        <v>0</v>
      </c>
      <c r="AG916" s="264">
        <f t="shared" si="2280"/>
        <v>0</v>
      </c>
      <c r="AH916" s="264">
        <f t="shared" si="2280"/>
        <v>0</v>
      </c>
      <c r="AI916" s="264">
        <f t="shared" si="2271"/>
        <v>0</v>
      </c>
      <c r="AJ916" s="264">
        <f t="shared" si="2272"/>
        <v>0</v>
      </c>
      <c r="AK916" s="264">
        <f t="shared" si="2273"/>
        <v>0</v>
      </c>
      <c r="AL916" s="264">
        <f t="shared" si="2274"/>
        <v>0</v>
      </c>
      <c r="AM916" s="264">
        <f t="shared" si="2275"/>
        <v>0</v>
      </c>
      <c r="AN916" s="640">
        <f t="shared" si="2276"/>
        <v>0</v>
      </c>
      <c r="AO916" s="264">
        <f t="shared" si="2277"/>
        <v>0</v>
      </c>
      <c r="AP916" s="640">
        <f t="shared" si="2278"/>
        <v>0</v>
      </c>
      <c r="AQ916" s="264"/>
      <c r="AR916" s="264" t="str">
        <f>VLOOKUP($I916,TableInputsData[],ReadMe!$M$3,FALSE)&amp;"  |  "&amp;VLOOKUP($K916,TableInputsData[],ReadMe!$M$3,FALSE)</f>
        <v>SERVICE 02  |  DEPENSES SUR ACHATS</v>
      </c>
      <c r="AS916" s="264" t="b">
        <f t="shared" si="2279"/>
        <v>1</v>
      </c>
      <c r="AT916" s="294"/>
    </row>
    <row r="917" spans="1:46" ht="13" hidden="1" x14ac:dyDescent="0.2">
      <c r="A917" s="294"/>
      <c r="B917" s="925"/>
      <c r="C917" s="271">
        <v>910</v>
      </c>
      <c r="D917" s="250">
        <f t="shared" si="2228"/>
        <v>0</v>
      </c>
      <c r="E917" s="250"/>
      <c r="F917" s="248" t="str">
        <f t="shared" si="2269"/>
        <v>CURRENT YEAR</v>
      </c>
      <c r="G917" s="250">
        <f>VLOOKUP(F917,TableInputsData[],$G$6,FALSE)</f>
        <v>2025</v>
      </c>
      <c r="H917" s="250" t="str">
        <f t="shared" si="2229"/>
        <v>SERVICE</v>
      </c>
      <c r="I917" s="248" t="str">
        <f t="shared" si="2229"/>
        <v>SERVICE 02</v>
      </c>
      <c r="J917" s="248" t="str">
        <f>VLOOKUP(I917,TableInputsData[],$J$6,FALSE)</f>
        <v>-</v>
      </c>
      <c r="K917" s="248" t="str">
        <f t="shared" ref="K917:K922" si="2281">K916</f>
        <v>COST OF GOODS SOLD</v>
      </c>
      <c r="L917" s="255"/>
      <c r="M917" s="255"/>
      <c r="N917" s="255"/>
      <c r="O917" s="265"/>
      <c r="P917" s="260"/>
      <c r="Q917" s="260"/>
      <c r="R917" s="260"/>
      <c r="S917" s="630"/>
      <c r="T917" s="630"/>
      <c r="U917" s="630"/>
      <c r="V917" s="630"/>
      <c r="W917" s="260"/>
      <c r="X917" s="260"/>
      <c r="Y917" s="260"/>
      <c r="Z917" s="260"/>
      <c r="AA917" s="260"/>
      <c r="AB917" s="260"/>
      <c r="AC917" s="265"/>
      <c r="AD917" s="634"/>
      <c r="AE917" s="264">
        <f t="shared" ref="AE917:AH917" si="2282">AE893*($S893*$P893+$T893*$Q893+$U893*$R893)</f>
        <v>0</v>
      </c>
      <c r="AF917" s="264">
        <f t="shared" si="2282"/>
        <v>0</v>
      </c>
      <c r="AG917" s="264">
        <f t="shared" si="2282"/>
        <v>0</v>
      </c>
      <c r="AH917" s="264">
        <f t="shared" si="2282"/>
        <v>0</v>
      </c>
      <c r="AI917" s="264">
        <f t="shared" si="2271"/>
        <v>0</v>
      </c>
      <c r="AJ917" s="264">
        <f t="shared" si="2272"/>
        <v>0</v>
      </c>
      <c r="AK917" s="264">
        <f t="shared" si="2273"/>
        <v>0</v>
      </c>
      <c r="AL917" s="264">
        <f t="shared" si="2274"/>
        <v>0</v>
      </c>
      <c r="AM917" s="264">
        <f t="shared" si="2275"/>
        <v>0</v>
      </c>
      <c r="AN917" s="640">
        <f t="shared" si="2276"/>
        <v>0</v>
      </c>
      <c r="AO917" s="264">
        <f t="shared" si="2277"/>
        <v>0</v>
      </c>
      <c r="AP917" s="640">
        <f t="shared" si="2278"/>
        <v>0</v>
      </c>
      <c r="AQ917" s="264"/>
      <c r="AR917" s="264" t="str">
        <f>VLOOKUP($I917,TableInputsData[],ReadMe!$M$3,FALSE)&amp;"  |  "&amp;VLOOKUP($K917,TableInputsData[],ReadMe!$M$3,FALSE)</f>
        <v>SERVICE 02  |  DEPENSES SUR ACHATS</v>
      </c>
      <c r="AS917" s="264" t="b">
        <f t="shared" si="2279"/>
        <v>1</v>
      </c>
      <c r="AT917" s="294"/>
    </row>
    <row r="918" spans="1:46" ht="13" hidden="1" x14ac:dyDescent="0.2">
      <c r="A918" s="294"/>
      <c r="B918" s="925"/>
      <c r="C918" s="271">
        <v>911</v>
      </c>
      <c r="D918" s="250">
        <f t="shared" si="2228"/>
        <v>0</v>
      </c>
      <c r="E918" s="250"/>
      <c r="F918" s="248" t="str">
        <f t="shared" si="2269"/>
        <v>YEAR2</v>
      </c>
      <c r="G918" s="250">
        <f>VLOOKUP(F918,TableInputsData[],$G$6,FALSE)</f>
        <v>2026</v>
      </c>
      <c r="H918" s="250" t="str">
        <f t="shared" si="2229"/>
        <v>SERVICE</v>
      </c>
      <c r="I918" s="248" t="str">
        <f t="shared" si="2229"/>
        <v>SERVICE 02</v>
      </c>
      <c r="J918" s="248" t="str">
        <f>VLOOKUP(I918,TableInputsData[],$J$6,FALSE)</f>
        <v>-</v>
      </c>
      <c r="K918" s="248" t="str">
        <f t="shared" si="2281"/>
        <v>COST OF GOODS SOLD</v>
      </c>
      <c r="L918" s="255"/>
      <c r="M918" s="255"/>
      <c r="N918" s="255"/>
      <c r="O918" s="265"/>
      <c r="P918" s="260"/>
      <c r="Q918" s="260"/>
      <c r="R918" s="260"/>
      <c r="S918" s="630"/>
      <c r="T918" s="630"/>
      <c r="U918" s="630"/>
      <c r="V918" s="630"/>
      <c r="W918" s="260"/>
      <c r="X918" s="260"/>
      <c r="Y918" s="260"/>
      <c r="Z918" s="260"/>
      <c r="AA918" s="260"/>
      <c r="AB918" s="260"/>
      <c r="AC918" s="265"/>
      <c r="AD918" s="634"/>
      <c r="AE918" s="264">
        <f t="shared" ref="AE918:AH918" si="2283">AE894*($S894*$P894+$T894*$Q894+$U894*$R894)</f>
        <v>0</v>
      </c>
      <c r="AF918" s="264">
        <f t="shared" si="2283"/>
        <v>0</v>
      </c>
      <c r="AG918" s="264">
        <f t="shared" si="2283"/>
        <v>0</v>
      </c>
      <c r="AH918" s="264">
        <f t="shared" si="2283"/>
        <v>0</v>
      </c>
      <c r="AI918" s="264">
        <f t="shared" si="2271"/>
        <v>0</v>
      </c>
      <c r="AJ918" s="264">
        <f t="shared" si="2272"/>
        <v>0</v>
      </c>
      <c r="AK918" s="264">
        <f t="shared" si="2273"/>
        <v>0</v>
      </c>
      <c r="AL918" s="264">
        <f t="shared" si="2274"/>
        <v>0</v>
      </c>
      <c r="AM918" s="264">
        <f t="shared" si="2275"/>
        <v>0</v>
      </c>
      <c r="AN918" s="640">
        <f t="shared" si="2276"/>
        <v>0</v>
      </c>
      <c r="AO918" s="264">
        <f t="shared" si="2277"/>
        <v>0</v>
      </c>
      <c r="AP918" s="640">
        <f t="shared" si="2278"/>
        <v>0</v>
      </c>
      <c r="AQ918" s="264"/>
      <c r="AR918" s="264" t="str">
        <f>VLOOKUP($I918,TableInputsData[],ReadMe!$M$3,FALSE)&amp;"  |  "&amp;VLOOKUP($K918,TableInputsData[],ReadMe!$M$3,FALSE)</f>
        <v>SERVICE 02  |  DEPENSES SUR ACHATS</v>
      </c>
      <c r="AS918" s="264" t="b">
        <f t="shared" si="2279"/>
        <v>1</v>
      </c>
      <c r="AT918" s="294"/>
    </row>
    <row r="919" spans="1:46" ht="13" hidden="1" x14ac:dyDescent="0.2">
      <c r="A919" s="294"/>
      <c r="B919" s="925"/>
      <c r="C919" s="271">
        <v>912</v>
      </c>
      <c r="D919" s="250">
        <f t="shared" si="2228"/>
        <v>0</v>
      </c>
      <c r="E919" s="250"/>
      <c r="F919" s="248" t="str">
        <f t="shared" si="2269"/>
        <v>YEAR3</v>
      </c>
      <c r="G919" s="250">
        <f>VLOOKUP(F919,TableInputsData[],$G$6,FALSE)</f>
        <v>2027</v>
      </c>
      <c r="H919" s="250" t="str">
        <f t="shared" si="2229"/>
        <v>SERVICE</v>
      </c>
      <c r="I919" s="248" t="str">
        <f t="shared" si="2229"/>
        <v>SERVICE 02</v>
      </c>
      <c r="J919" s="248" t="str">
        <f>VLOOKUP(I919,TableInputsData[],$J$6,FALSE)</f>
        <v>-</v>
      </c>
      <c r="K919" s="248" t="str">
        <f t="shared" si="2281"/>
        <v>COST OF GOODS SOLD</v>
      </c>
      <c r="L919" s="255"/>
      <c r="M919" s="255"/>
      <c r="N919" s="255"/>
      <c r="O919" s="265"/>
      <c r="P919" s="260"/>
      <c r="Q919" s="260"/>
      <c r="R919" s="260"/>
      <c r="S919" s="630"/>
      <c r="T919" s="630"/>
      <c r="U919" s="630"/>
      <c r="V919" s="630"/>
      <c r="W919" s="260"/>
      <c r="X919" s="260"/>
      <c r="Y919" s="260"/>
      <c r="Z919" s="260"/>
      <c r="AA919" s="260"/>
      <c r="AB919" s="260"/>
      <c r="AC919" s="265"/>
      <c r="AD919" s="634"/>
      <c r="AE919" s="264">
        <f t="shared" ref="AE919:AH919" si="2284">AE895*($S895*$P895+$T895*$Q895+$U895*$R895)</f>
        <v>0</v>
      </c>
      <c r="AF919" s="264">
        <f t="shared" si="2284"/>
        <v>0</v>
      </c>
      <c r="AG919" s="264">
        <f t="shared" si="2284"/>
        <v>0</v>
      </c>
      <c r="AH919" s="264">
        <f t="shared" si="2284"/>
        <v>0</v>
      </c>
      <c r="AI919" s="264">
        <f t="shared" si="2271"/>
        <v>0</v>
      </c>
      <c r="AJ919" s="264">
        <f t="shared" si="2272"/>
        <v>0</v>
      </c>
      <c r="AK919" s="264">
        <f t="shared" si="2273"/>
        <v>0</v>
      </c>
      <c r="AL919" s="264">
        <f t="shared" si="2274"/>
        <v>0</v>
      </c>
      <c r="AM919" s="264">
        <f t="shared" si="2275"/>
        <v>0</v>
      </c>
      <c r="AN919" s="640">
        <f t="shared" si="2276"/>
        <v>0</v>
      </c>
      <c r="AO919" s="264">
        <f t="shared" si="2277"/>
        <v>0</v>
      </c>
      <c r="AP919" s="640">
        <f t="shared" si="2278"/>
        <v>0</v>
      </c>
      <c r="AQ919" s="264"/>
      <c r="AR919" s="264" t="str">
        <f>VLOOKUP($I919,TableInputsData[],ReadMe!$M$3,FALSE)&amp;"  |  "&amp;VLOOKUP($K919,TableInputsData[],ReadMe!$M$3,FALSE)</f>
        <v>SERVICE 02  |  DEPENSES SUR ACHATS</v>
      </c>
      <c r="AS919" s="264" t="b">
        <f t="shared" si="2279"/>
        <v>1</v>
      </c>
      <c r="AT919" s="294"/>
    </row>
    <row r="920" spans="1:46" ht="13" hidden="1" x14ac:dyDescent="0.2">
      <c r="A920" s="294"/>
      <c r="B920" s="925"/>
      <c r="C920" s="271">
        <v>913</v>
      </c>
      <c r="D920" s="250">
        <f t="shared" si="2228"/>
        <v>0</v>
      </c>
      <c r="E920" s="250"/>
      <c r="F920" s="248" t="str">
        <f t="shared" si="2269"/>
        <v>YEAR4</v>
      </c>
      <c r="G920" s="250">
        <f>VLOOKUP(F920,TableInputsData[],$G$6,FALSE)</f>
        <v>2028</v>
      </c>
      <c r="H920" s="250" t="str">
        <f t="shared" si="2229"/>
        <v>SERVICE</v>
      </c>
      <c r="I920" s="248" t="str">
        <f t="shared" si="2229"/>
        <v>SERVICE 02</v>
      </c>
      <c r="J920" s="248" t="str">
        <f>VLOOKUP(I920,TableInputsData[],$J$6,FALSE)</f>
        <v>-</v>
      </c>
      <c r="K920" s="248" t="str">
        <f t="shared" si="2281"/>
        <v>COST OF GOODS SOLD</v>
      </c>
      <c r="L920" s="255"/>
      <c r="M920" s="255"/>
      <c r="N920" s="255"/>
      <c r="O920" s="265"/>
      <c r="P920" s="260"/>
      <c r="Q920" s="260"/>
      <c r="R920" s="260"/>
      <c r="S920" s="630"/>
      <c r="T920" s="630"/>
      <c r="U920" s="630"/>
      <c r="V920" s="630"/>
      <c r="W920" s="260"/>
      <c r="X920" s="260"/>
      <c r="Y920" s="260"/>
      <c r="Z920" s="260"/>
      <c r="AA920" s="260"/>
      <c r="AB920" s="260"/>
      <c r="AC920" s="265"/>
      <c r="AD920" s="634"/>
      <c r="AE920" s="264">
        <f t="shared" ref="AE920:AH920" si="2285">AE896*($S896*$P896+$T896*$Q896+$U896*$R896)</f>
        <v>0</v>
      </c>
      <c r="AF920" s="264">
        <f t="shared" si="2285"/>
        <v>0</v>
      </c>
      <c r="AG920" s="264">
        <f t="shared" si="2285"/>
        <v>0</v>
      </c>
      <c r="AH920" s="264">
        <f t="shared" si="2285"/>
        <v>0</v>
      </c>
      <c r="AI920" s="264">
        <f t="shared" si="2271"/>
        <v>0</v>
      </c>
      <c r="AJ920" s="264">
        <f t="shared" si="2272"/>
        <v>0</v>
      </c>
      <c r="AK920" s="264">
        <f t="shared" si="2273"/>
        <v>0</v>
      </c>
      <c r="AL920" s="264">
        <f t="shared" si="2274"/>
        <v>0</v>
      </c>
      <c r="AM920" s="264">
        <f t="shared" si="2275"/>
        <v>0</v>
      </c>
      <c r="AN920" s="640">
        <f t="shared" si="2276"/>
        <v>0</v>
      </c>
      <c r="AO920" s="264">
        <f t="shared" si="2277"/>
        <v>0</v>
      </c>
      <c r="AP920" s="640">
        <f t="shared" si="2278"/>
        <v>0</v>
      </c>
      <c r="AQ920" s="264"/>
      <c r="AR920" s="264" t="str">
        <f>VLOOKUP($I920,TableInputsData[],ReadMe!$M$3,FALSE)&amp;"  |  "&amp;VLOOKUP($K920,TableInputsData[],ReadMe!$M$3,FALSE)</f>
        <v>SERVICE 02  |  DEPENSES SUR ACHATS</v>
      </c>
      <c r="AS920" s="264" t="b">
        <f t="shared" si="2279"/>
        <v>1</v>
      </c>
      <c r="AT920" s="294"/>
    </row>
    <row r="921" spans="1:46" ht="13" hidden="1" x14ac:dyDescent="0.2">
      <c r="A921" s="294"/>
      <c r="B921" s="925"/>
      <c r="C921" s="271">
        <v>914</v>
      </c>
      <c r="D921" s="250">
        <f t="shared" si="2228"/>
        <v>0</v>
      </c>
      <c r="E921" s="250"/>
      <c r="F921" s="248" t="str">
        <f t="shared" si="2269"/>
        <v>YEAR5</v>
      </c>
      <c r="G921" s="250">
        <f>VLOOKUP(F921,TableInputsData[],$G$6,FALSE)</f>
        <v>2029</v>
      </c>
      <c r="H921" s="250" t="str">
        <f t="shared" si="2229"/>
        <v>SERVICE</v>
      </c>
      <c r="I921" s="248" t="str">
        <f t="shared" si="2229"/>
        <v>SERVICE 02</v>
      </c>
      <c r="J921" s="248" t="str">
        <f>VLOOKUP(I921,TableInputsData[],$J$6,FALSE)</f>
        <v>-</v>
      </c>
      <c r="K921" s="248" t="str">
        <f t="shared" si="2281"/>
        <v>COST OF GOODS SOLD</v>
      </c>
      <c r="L921" s="255"/>
      <c r="M921" s="255"/>
      <c r="N921" s="255"/>
      <c r="O921" s="265"/>
      <c r="P921" s="260"/>
      <c r="Q921" s="260"/>
      <c r="R921" s="260"/>
      <c r="S921" s="630"/>
      <c r="T921" s="630"/>
      <c r="U921" s="630"/>
      <c r="V921" s="630"/>
      <c r="W921" s="260"/>
      <c r="X921" s="260"/>
      <c r="Y921" s="260"/>
      <c r="Z921" s="260"/>
      <c r="AA921" s="260"/>
      <c r="AB921" s="260"/>
      <c r="AC921" s="265"/>
      <c r="AD921" s="634"/>
      <c r="AE921" s="264">
        <f t="shared" ref="AE921:AH921" si="2286">AE897*($S897*$P897+$T897*$Q897+$U897*$R897)</f>
        <v>0</v>
      </c>
      <c r="AF921" s="264">
        <f t="shared" si="2286"/>
        <v>0</v>
      </c>
      <c r="AG921" s="264">
        <f t="shared" si="2286"/>
        <v>0</v>
      </c>
      <c r="AH921" s="264">
        <f t="shared" si="2286"/>
        <v>0</v>
      </c>
      <c r="AI921" s="264">
        <f t="shared" si="2271"/>
        <v>0</v>
      </c>
      <c r="AJ921" s="264">
        <f t="shared" si="2272"/>
        <v>0</v>
      </c>
      <c r="AK921" s="264">
        <f t="shared" si="2273"/>
        <v>0</v>
      </c>
      <c r="AL921" s="264">
        <f t="shared" si="2274"/>
        <v>0</v>
      </c>
      <c r="AM921" s="264">
        <f t="shared" si="2275"/>
        <v>0</v>
      </c>
      <c r="AN921" s="640">
        <f t="shared" si="2276"/>
        <v>0</v>
      </c>
      <c r="AO921" s="264">
        <f t="shared" si="2277"/>
        <v>0</v>
      </c>
      <c r="AP921" s="640">
        <f t="shared" si="2278"/>
        <v>0</v>
      </c>
      <c r="AQ921" s="264"/>
      <c r="AR921" s="264" t="str">
        <f>VLOOKUP($I921,TableInputsData[],ReadMe!$M$3,FALSE)&amp;"  |  "&amp;VLOOKUP($K921,TableInputsData[],ReadMe!$M$3,FALSE)</f>
        <v>SERVICE 02  |  DEPENSES SUR ACHATS</v>
      </c>
      <c r="AS921" s="264" t="b">
        <f t="shared" si="2279"/>
        <v>1</v>
      </c>
      <c r="AT921" s="294"/>
    </row>
    <row r="922" spans="1:46" ht="13" hidden="1" x14ac:dyDescent="0.2">
      <c r="A922" s="294"/>
      <c r="B922" s="925"/>
      <c r="C922" s="271">
        <v>915</v>
      </c>
      <c r="D922" s="250">
        <f t="shared" si="2228"/>
        <v>0</v>
      </c>
      <c r="E922" s="250"/>
      <c r="F922" s="248" t="str">
        <f t="shared" si="2269"/>
        <v>YEAR6</v>
      </c>
      <c r="G922" s="250">
        <f>VLOOKUP(F922,TableInputsData[],$G$6,FALSE)</f>
        <v>2030</v>
      </c>
      <c r="H922" s="250" t="str">
        <f t="shared" si="2229"/>
        <v>SERVICE</v>
      </c>
      <c r="I922" s="248" t="str">
        <f t="shared" si="2229"/>
        <v>SERVICE 02</v>
      </c>
      <c r="J922" s="248" t="str">
        <f>VLOOKUP(I922,TableInputsData[],$J$6,FALSE)</f>
        <v>-</v>
      </c>
      <c r="K922" s="248" t="str">
        <f t="shared" si="2281"/>
        <v>COST OF GOODS SOLD</v>
      </c>
      <c r="L922" s="255"/>
      <c r="M922" s="255"/>
      <c r="N922" s="255"/>
      <c r="O922" s="265"/>
      <c r="P922" s="260"/>
      <c r="Q922" s="260"/>
      <c r="R922" s="260"/>
      <c r="S922" s="630"/>
      <c r="T922" s="630"/>
      <c r="U922" s="630"/>
      <c r="V922" s="630"/>
      <c r="W922" s="260"/>
      <c r="X922" s="260"/>
      <c r="Y922" s="260"/>
      <c r="Z922" s="260"/>
      <c r="AA922" s="260"/>
      <c r="AB922" s="260"/>
      <c r="AC922" s="265"/>
      <c r="AD922" s="634"/>
      <c r="AE922" s="264">
        <f t="shared" ref="AE922:AH922" si="2287">AE898*($S898*$P898+$T898*$Q898+$U898*$R898)</f>
        <v>0</v>
      </c>
      <c r="AF922" s="264">
        <f t="shared" si="2287"/>
        <v>0</v>
      </c>
      <c r="AG922" s="264">
        <f t="shared" si="2287"/>
        <v>0</v>
      </c>
      <c r="AH922" s="264">
        <f t="shared" si="2287"/>
        <v>0</v>
      </c>
      <c r="AI922" s="264">
        <f t="shared" si="2271"/>
        <v>0</v>
      </c>
      <c r="AJ922" s="264">
        <f t="shared" si="2272"/>
        <v>0</v>
      </c>
      <c r="AK922" s="264">
        <f t="shared" si="2273"/>
        <v>0</v>
      </c>
      <c r="AL922" s="264">
        <f t="shared" si="2274"/>
        <v>0</v>
      </c>
      <c r="AM922" s="264">
        <f t="shared" si="2275"/>
        <v>0</v>
      </c>
      <c r="AN922" s="640">
        <f t="shared" si="2276"/>
        <v>0</v>
      </c>
      <c r="AO922" s="264">
        <f t="shared" si="2277"/>
        <v>0</v>
      </c>
      <c r="AP922" s="640">
        <f t="shared" si="2278"/>
        <v>0</v>
      </c>
      <c r="AQ922" s="264"/>
      <c r="AR922" s="264" t="str">
        <f>VLOOKUP($I922,TableInputsData[],ReadMe!$M$3,FALSE)&amp;"  |  "&amp;VLOOKUP($K922,TableInputsData[],ReadMe!$M$3,FALSE)</f>
        <v>SERVICE 02  |  DEPENSES SUR ACHATS</v>
      </c>
      <c r="AS922" s="264" t="b">
        <f t="shared" si="2279"/>
        <v>1</v>
      </c>
      <c r="AT922" s="294"/>
    </row>
    <row r="923" spans="1:46" ht="13" hidden="1" x14ac:dyDescent="0.2">
      <c r="A923" s="294"/>
      <c r="B923" s="925"/>
      <c r="C923" s="272">
        <v>916</v>
      </c>
      <c r="D923" s="250">
        <f t="shared" si="2228"/>
        <v>0</v>
      </c>
      <c r="E923" s="251"/>
      <c r="F923" s="248" t="str">
        <f t="shared" ref="F923:F930" si="2288">F899</f>
        <v>YEAR-2</v>
      </c>
      <c r="G923" s="250">
        <f>VLOOKUP(F923,TableInputsData[],$G$6,FALSE)</f>
        <v>2023</v>
      </c>
      <c r="H923" s="250" t="str">
        <f t="shared" si="2229"/>
        <v>SERVICE</v>
      </c>
      <c r="I923" s="248" t="str">
        <f t="shared" si="2229"/>
        <v>SERVICE 02</v>
      </c>
      <c r="J923" s="248" t="str">
        <f>VLOOKUP(I923,TableInputsData[],$J$6,FALSE)</f>
        <v>-</v>
      </c>
      <c r="K923" s="248" t="s">
        <v>532</v>
      </c>
      <c r="L923" s="256"/>
      <c r="M923" s="256"/>
      <c r="N923" s="256"/>
      <c r="O923" s="266"/>
      <c r="P923" s="261"/>
      <c r="Q923" s="261"/>
      <c r="R923" s="261"/>
      <c r="S923" s="629"/>
      <c r="T923" s="629"/>
      <c r="U923" s="629"/>
      <c r="V923" s="629"/>
      <c r="W923" s="261"/>
      <c r="X923" s="261"/>
      <c r="Y923" s="261"/>
      <c r="Z923" s="261"/>
      <c r="AA923" s="261"/>
      <c r="AB923" s="261"/>
      <c r="AC923" s="266"/>
      <c r="AD923" s="633"/>
      <c r="AE923" s="264">
        <f>IF(AE891=0,0,AE915/AE891)</f>
        <v>0</v>
      </c>
      <c r="AF923" s="264">
        <f t="shared" ref="AF923:AI923" si="2289">IF(AF891=0,0,AF915/AF891)</f>
        <v>0</v>
      </c>
      <c r="AG923" s="264">
        <f t="shared" si="2289"/>
        <v>0</v>
      </c>
      <c r="AH923" s="264">
        <f t="shared" si="2289"/>
        <v>0</v>
      </c>
      <c r="AI923" s="264">
        <f t="shared" si="2289"/>
        <v>0</v>
      </c>
      <c r="AJ923" s="264">
        <f>IF(AJ891=0,0,AJ915/AJ891)</f>
        <v>0</v>
      </c>
      <c r="AK923" s="264">
        <f t="shared" ref="AK923:AL923" si="2290">IF(AK891=0,0,AK915/AK891)</f>
        <v>0</v>
      </c>
      <c r="AL923" s="264">
        <f t="shared" si="2290"/>
        <v>0</v>
      </c>
      <c r="AM923" s="264">
        <f>IF(AM891=0,0,AM915/AM891)</f>
        <v>0</v>
      </c>
      <c r="AN923" s="260"/>
      <c r="AO923" s="264">
        <f t="shared" ref="AO923" si="2291">IF(AO891=0,0,AO915/AO891)</f>
        <v>0</v>
      </c>
      <c r="AP923" s="260"/>
      <c r="AQ923" s="264"/>
      <c r="AR923" s="264" t="str">
        <f>VLOOKUP($I923,TableInputsData[],ReadMe!$M$3,FALSE)&amp;"  |  "&amp;VLOOKUP($K923,TableInputsData[],ReadMe!$M$3,FALSE)</f>
        <v>SERVICE 02  |  PRIX MOYEN D'ACHAT PAR PRODUIT/SERVICE</v>
      </c>
      <c r="AS923" s="264"/>
      <c r="AT923" s="294"/>
    </row>
    <row r="924" spans="1:46" ht="13" hidden="1" x14ac:dyDescent="0.2">
      <c r="A924" s="294"/>
      <c r="B924" s="925"/>
      <c r="C924" s="272">
        <v>917</v>
      </c>
      <c r="D924" s="250">
        <f t="shared" si="2228"/>
        <v>0</v>
      </c>
      <c r="E924" s="251"/>
      <c r="F924" s="248" t="str">
        <f t="shared" si="2288"/>
        <v>YEAR-1</v>
      </c>
      <c r="G924" s="250">
        <f>VLOOKUP(F924,TableInputsData[],$G$6,FALSE)</f>
        <v>2024</v>
      </c>
      <c r="H924" s="250" t="str">
        <f t="shared" si="2229"/>
        <v>SERVICE</v>
      </c>
      <c r="I924" s="248" t="str">
        <f t="shared" si="2229"/>
        <v>SERVICE 02</v>
      </c>
      <c r="J924" s="248" t="str">
        <f>VLOOKUP(I924,TableInputsData[],$J$6,FALSE)</f>
        <v>-</v>
      </c>
      <c r="K924" s="248" t="str">
        <f>K923</f>
        <v>AVERAGE COST OF GOODS SOLD PER UNIT</v>
      </c>
      <c r="L924" s="256"/>
      <c r="M924" s="256"/>
      <c r="N924" s="256"/>
      <c r="O924" s="266"/>
      <c r="P924" s="261"/>
      <c r="Q924" s="261"/>
      <c r="R924" s="261"/>
      <c r="S924" s="629"/>
      <c r="T924" s="629"/>
      <c r="U924" s="629"/>
      <c r="V924" s="629"/>
      <c r="W924" s="261"/>
      <c r="X924" s="261"/>
      <c r="Y924" s="261"/>
      <c r="Z924" s="261"/>
      <c r="AA924" s="261"/>
      <c r="AB924" s="261"/>
      <c r="AC924" s="266"/>
      <c r="AD924" s="633"/>
      <c r="AE924" s="264">
        <f t="shared" ref="AE924:AL924" si="2292">IF(AE892=0,0,AE916/AE892)</f>
        <v>0</v>
      </c>
      <c r="AF924" s="264">
        <f t="shared" si="2292"/>
        <v>0</v>
      </c>
      <c r="AG924" s="264">
        <f t="shared" si="2292"/>
        <v>0</v>
      </c>
      <c r="AH924" s="264">
        <f t="shared" si="2292"/>
        <v>0</v>
      </c>
      <c r="AI924" s="264">
        <f t="shared" si="2292"/>
        <v>0</v>
      </c>
      <c r="AJ924" s="264">
        <f t="shared" si="2292"/>
        <v>0</v>
      </c>
      <c r="AK924" s="264">
        <f t="shared" si="2292"/>
        <v>0</v>
      </c>
      <c r="AL924" s="264">
        <f t="shared" si="2292"/>
        <v>0</v>
      </c>
      <c r="AM924" s="264">
        <f>IF(AM892=0,0,AM916/AM892)</f>
        <v>0</v>
      </c>
      <c r="AN924" s="260"/>
      <c r="AO924" s="264">
        <f>IF(AO892=0,0,AO916/AO892)</f>
        <v>0</v>
      </c>
      <c r="AP924" s="260"/>
      <c r="AQ924" s="264"/>
      <c r="AR924" s="264" t="str">
        <f>VLOOKUP($I924,TableInputsData[],ReadMe!$M$3,FALSE)&amp;"  |  "&amp;VLOOKUP($K924,TableInputsData[],ReadMe!$M$3,FALSE)</f>
        <v>SERVICE 02  |  PRIX MOYEN D'ACHAT PAR PRODUIT/SERVICE</v>
      </c>
      <c r="AS924" s="264"/>
      <c r="AT924" s="294"/>
    </row>
    <row r="925" spans="1:46" ht="13" hidden="1" x14ac:dyDescent="0.2">
      <c r="A925" s="294"/>
      <c r="B925" s="925"/>
      <c r="C925" s="272">
        <v>918</v>
      </c>
      <c r="D925" s="250">
        <f t="shared" si="2228"/>
        <v>0</v>
      </c>
      <c r="E925" s="251"/>
      <c r="F925" s="248" t="str">
        <f t="shared" si="2288"/>
        <v>CURRENT YEAR</v>
      </c>
      <c r="G925" s="250">
        <f>VLOOKUP(F925,TableInputsData[],$G$6,FALSE)</f>
        <v>2025</v>
      </c>
      <c r="H925" s="250" t="str">
        <f t="shared" si="2229"/>
        <v>SERVICE</v>
      </c>
      <c r="I925" s="248" t="str">
        <f t="shared" si="2229"/>
        <v>SERVICE 02</v>
      </c>
      <c r="J925" s="248" t="str">
        <f>VLOOKUP(I925,TableInputsData[],$J$6,FALSE)</f>
        <v>-</v>
      </c>
      <c r="K925" s="248" t="str">
        <f t="shared" ref="K925:K930" si="2293">K924</f>
        <v>AVERAGE COST OF GOODS SOLD PER UNIT</v>
      </c>
      <c r="L925" s="256"/>
      <c r="M925" s="256"/>
      <c r="N925" s="256"/>
      <c r="O925" s="266"/>
      <c r="P925" s="261"/>
      <c r="Q925" s="261"/>
      <c r="R925" s="261"/>
      <c r="S925" s="629"/>
      <c r="T925" s="629"/>
      <c r="U925" s="629"/>
      <c r="V925" s="629"/>
      <c r="W925" s="261"/>
      <c r="X925" s="261"/>
      <c r="Y925" s="261"/>
      <c r="Z925" s="261"/>
      <c r="AA925" s="261"/>
      <c r="AB925" s="261"/>
      <c r="AC925" s="266"/>
      <c r="AD925" s="633"/>
      <c r="AE925" s="264">
        <f t="shared" ref="AE925:AL925" si="2294">IF(AE893=0,0,AE917/AE893)</f>
        <v>0</v>
      </c>
      <c r="AF925" s="264">
        <f t="shared" si="2294"/>
        <v>0</v>
      </c>
      <c r="AG925" s="264">
        <f t="shared" si="2294"/>
        <v>0</v>
      </c>
      <c r="AH925" s="264">
        <f t="shared" si="2294"/>
        <v>0</v>
      </c>
      <c r="AI925" s="264">
        <f t="shared" si="2294"/>
        <v>0</v>
      </c>
      <c r="AJ925" s="264">
        <f t="shared" si="2294"/>
        <v>0</v>
      </c>
      <c r="AK925" s="264">
        <f t="shared" si="2294"/>
        <v>0</v>
      </c>
      <c r="AL925" s="264">
        <f t="shared" si="2294"/>
        <v>0</v>
      </c>
      <c r="AM925" s="264">
        <f>IF(AM893=0,0,AM917/AM893)</f>
        <v>0</v>
      </c>
      <c r="AN925" s="260"/>
      <c r="AO925" s="264">
        <f>IF(AO893=0,0,AO917/AO893)</f>
        <v>0</v>
      </c>
      <c r="AP925" s="260"/>
      <c r="AQ925" s="264"/>
      <c r="AR925" s="264" t="str">
        <f>VLOOKUP($I925,TableInputsData[],ReadMe!$M$3,FALSE)&amp;"  |  "&amp;VLOOKUP($K925,TableInputsData[],ReadMe!$M$3,FALSE)</f>
        <v>SERVICE 02  |  PRIX MOYEN D'ACHAT PAR PRODUIT/SERVICE</v>
      </c>
      <c r="AS925" s="264"/>
      <c r="AT925" s="294"/>
    </row>
    <row r="926" spans="1:46" ht="13" hidden="1" x14ac:dyDescent="0.2">
      <c r="A926" s="294"/>
      <c r="B926" s="925"/>
      <c r="C926" s="272">
        <v>919</v>
      </c>
      <c r="D926" s="250">
        <f t="shared" si="2228"/>
        <v>0</v>
      </c>
      <c r="E926" s="251"/>
      <c r="F926" s="248" t="str">
        <f t="shared" si="2288"/>
        <v>YEAR2</v>
      </c>
      <c r="G926" s="250">
        <f>VLOOKUP(F926,TableInputsData[],$G$6,FALSE)</f>
        <v>2026</v>
      </c>
      <c r="H926" s="250" t="str">
        <f t="shared" si="2229"/>
        <v>SERVICE</v>
      </c>
      <c r="I926" s="248" t="str">
        <f t="shared" si="2229"/>
        <v>SERVICE 02</v>
      </c>
      <c r="J926" s="248" t="str">
        <f>VLOOKUP(I926,TableInputsData[],$J$6,FALSE)</f>
        <v>-</v>
      </c>
      <c r="K926" s="248" t="str">
        <f t="shared" si="2293"/>
        <v>AVERAGE COST OF GOODS SOLD PER UNIT</v>
      </c>
      <c r="L926" s="256"/>
      <c r="M926" s="256"/>
      <c r="N926" s="256"/>
      <c r="O926" s="266"/>
      <c r="P926" s="261"/>
      <c r="Q926" s="261"/>
      <c r="R926" s="261"/>
      <c r="S926" s="629"/>
      <c r="T926" s="629"/>
      <c r="U926" s="629"/>
      <c r="V926" s="629"/>
      <c r="W926" s="261"/>
      <c r="X926" s="261"/>
      <c r="Y926" s="261"/>
      <c r="Z926" s="261"/>
      <c r="AA926" s="261"/>
      <c r="AB926" s="261"/>
      <c r="AC926" s="266"/>
      <c r="AD926" s="633"/>
      <c r="AE926" s="264">
        <f t="shared" ref="AE926:AM926" si="2295">IF(AE894=0,0,AE918/AE894)</f>
        <v>0</v>
      </c>
      <c r="AF926" s="264">
        <f t="shared" si="2295"/>
        <v>0</v>
      </c>
      <c r="AG926" s="264">
        <f t="shared" si="2295"/>
        <v>0</v>
      </c>
      <c r="AH926" s="264">
        <f t="shared" si="2295"/>
        <v>0</v>
      </c>
      <c r="AI926" s="264">
        <f t="shared" si="2295"/>
        <v>0</v>
      </c>
      <c r="AJ926" s="264">
        <f t="shared" si="2295"/>
        <v>0</v>
      </c>
      <c r="AK926" s="264">
        <f t="shared" si="2295"/>
        <v>0</v>
      </c>
      <c r="AL926" s="264">
        <f t="shared" si="2295"/>
        <v>0</v>
      </c>
      <c r="AM926" s="264">
        <f t="shared" si="2295"/>
        <v>0</v>
      </c>
      <c r="AN926" s="260"/>
      <c r="AO926" s="264">
        <f t="shared" ref="AO926" si="2296">IF(AO894=0,0,AO918/AO894)</f>
        <v>0</v>
      </c>
      <c r="AP926" s="260"/>
      <c r="AQ926" s="264"/>
      <c r="AR926" s="264" t="str">
        <f>VLOOKUP($I926,TableInputsData[],ReadMe!$M$3,FALSE)&amp;"  |  "&amp;VLOOKUP($K926,TableInputsData[],ReadMe!$M$3,FALSE)</f>
        <v>SERVICE 02  |  PRIX MOYEN D'ACHAT PAR PRODUIT/SERVICE</v>
      </c>
      <c r="AS926" s="264"/>
      <c r="AT926" s="294"/>
    </row>
    <row r="927" spans="1:46" ht="13" hidden="1" x14ac:dyDescent="0.2">
      <c r="A927" s="294"/>
      <c r="B927" s="925"/>
      <c r="C927" s="272">
        <v>920</v>
      </c>
      <c r="D927" s="250">
        <f t="shared" si="2228"/>
        <v>0</v>
      </c>
      <c r="E927" s="251"/>
      <c r="F927" s="248" t="str">
        <f t="shared" si="2288"/>
        <v>YEAR3</v>
      </c>
      <c r="G927" s="250">
        <f>VLOOKUP(F927,TableInputsData[],$G$6,FALSE)</f>
        <v>2027</v>
      </c>
      <c r="H927" s="250" t="str">
        <f t="shared" si="2229"/>
        <v>SERVICE</v>
      </c>
      <c r="I927" s="248" t="str">
        <f t="shared" si="2229"/>
        <v>SERVICE 02</v>
      </c>
      <c r="J927" s="248" t="str">
        <f>VLOOKUP(I927,TableInputsData[],$J$6,FALSE)</f>
        <v>-</v>
      </c>
      <c r="K927" s="248" t="str">
        <f t="shared" si="2293"/>
        <v>AVERAGE COST OF GOODS SOLD PER UNIT</v>
      </c>
      <c r="L927" s="256"/>
      <c r="M927" s="256"/>
      <c r="N927" s="256"/>
      <c r="O927" s="266"/>
      <c r="P927" s="261"/>
      <c r="Q927" s="261"/>
      <c r="R927" s="261"/>
      <c r="S927" s="629"/>
      <c r="T927" s="629"/>
      <c r="U927" s="629"/>
      <c r="V927" s="629"/>
      <c r="W927" s="261"/>
      <c r="X927" s="261"/>
      <c r="Y927" s="261"/>
      <c r="Z927" s="261"/>
      <c r="AA927" s="261"/>
      <c r="AB927" s="261"/>
      <c r="AC927" s="266"/>
      <c r="AD927" s="633"/>
      <c r="AE927" s="264">
        <f t="shared" ref="AE927:AM927" si="2297">IF(AE895=0,0,AE919/AE895)</f>
        <v>0</v>
      </c>
      <c r="AF927" s="264">
        <f t="shared" si="2297"/>
        <v>0</v>
      </c>
      <c r="AG927" s="264">
        <f t="shared" si="2297"/>
        <v>0</v>
      </c>
      <c r="AH927" s="264">
        <f t="shared" si="2297"/>
        <v>0</v>
      </c>
      <c r="AI927" s="264">
        <f t="shared" si="2297"/>
        <v>0</v>
      </c>
      <c r="AJ927" s="264">
        <f t="shared" si="2297"/>
        <v>0</v>
      </c>
      <c r="AK927" s="264">
        <f t="shared" si="2297"/>
        <v>0</v>
      </c>
      <c r="AL927" s="264">
        <f t="shared" si="2297"/>
        <v>0</v>
      </c>
      <c r="AM927" s="264">
        <f t="shared" si="2297"/>
        <v>0</v>
      </c>
      <c r="AN927" s="260"/>
      <c r="AO927" s="264">
        <f t="shared" ref="AO927" si="2298">IF(AO895=0,0,AO919/AO895)</f>
        <v>0</v>
      </c>
      <c r="AP927" s="260"/>
      <c r="AQ927" s="264"/>
      <c r="AR927" s="264" t="str">
        <f>VLOOKUP($I927,TableInputsData[],ReadMe!$M$3,FALSE)&amp;"  |  "&amp;VLOOKUP($K927,TableInputsData[],ReadMe!$M$3,FALSE)</f>
        <v>SERVICE 02  |  PRIX MOYEN D'ACHAT PAR PRODUIT/SERVICE</v>
      </c>
      <c r="AS927" s="264"/>
      <c r="AT927" s="294"/>
    </row>
    <row r="928" spans="1:46" ht="13" hidden="1" x14ac:dyDescent="0.2">
      <c r="A928" s="294"/>
      <c r="B928" s="925"/>
      <c r="C928" s="272">
        <v>921</v>
      </c>
      <c r="D928" s="250">
        <f t="shared" si="2228"/>
        <v>0</v>
      </c>
      <c r="E928" s="251"/>
      <c r="F928" s="248" t="str">
        <f t="shared" si="2288"/>
        <v>YEAR4</v>
      </c>
      <c r="G928" s="250">
        <f>VLOOKUP(F928,TableInputsData[],$G$6,FALSE)</f>
        <v>2028</v>
      </c>
      <c r="H928" s="250" t="str">
        <f t="shared" si="2229"/>
        <v>SERVICE</v>
      </c>
      <c r="I928" s="248" t="str">
        <f t="shared" si="2229"/>
        <v>SERVICE 02</v>
      </c>
      <c r="J928" s="248" t="str">
        <f>VLOOKUP(I928,TableInputsData[],$J$6,FALSE)</f>
        <v>-</v>
      </c>
      <c r="K928" s="248" t="str">
        <f t="shared" si="2293"/>
        <v>AVERAGE COST OF GOODS SOLD PER UNIT</v>
      </c>
      <c r="L928" s="256"/>
      <c r="M928" s="256"/>
      <c r="N928" s="256"/>
      <c r="O928" s="266"/>
      <c r="P928" s="261"/>
      <c r="Q928" s="261"/>
      <c r="R928" s="261"/>
      <c r="S928" s="629"/>
      <c r="T928" s="629"/>
      <c r="U928" s="629"/>
      <c r="V928" s="629"/>
      <c r="W928" s="261"/>
      <c r="X928" s="261"/>
      <c r="Y928" s="261"/>
      <c r="Z928" s="261"/>
      <c r="AA928" s="261"/>
      <c r="AB928" s="261"/>
      <c r="AC928" s="266"/>
      <c r="AD928" s="633"/>
      <c r="AE928" s="264">
        <f t="shared" ref="AE928:AM928" si="2299">IF(AE896=0,0,AE920/AE896)</f>
        <v>0</v>
      </c>
      <c r="AF928" s="264">
        <f t="shared" si="2299"/>
        <v>0</v>
      </c>
      <c r="AG928" s="264">
        <f t="shared" si="2299"/>
        <v>0</v>
      </c>
      <c r="AH928" s="264">
        <f t="shared" si="2299"/>
        <v>0</v>
      </c>
      <c r="AI928" s="264">
        <f t="shared" si="2299"/>
        <v>0</v>
      </c>
      <c r="AJ928" s="264">
        <f t="shared" si="2299"/>
        <v>0</v>
      </c>
      <c r="AK928" s="264">
        <f t="shared" si="2299"/>
        <v>0</v>
      </c>
      <c r="AL928" s="264">
        <f t="shared" si="2299"/>
        <v>0</v>
      </c>
      <c r="AM928" s="264">
        <f t="shared" si="2299"/>
        <v>0</v>
      </c>
      <c r="AN928" s="260"/>
      <c r="AO928" s="264">
        <f t="shared" ref="AO928" si="2300">IF(AO896=0,0,AO920/AO896)</f>
        <v>0</v>
      </c>
      <c r="AP928" s="260"/>
      <c r="AQ928" s="264"/>
      <c r="AR928" s="264" t="str">
        <f>VLOOKUP($I928,TableInputsData[],ReadMe!$M$3,FALSE)&amp;"  |  "&amp;VLOOKUP($K928,TableInputsData[],ReadMe!$M$3,FALSE)</f>
        <v>SERVICE 02  |  PRIX MOYEN D'ACHAT PAR PRODUIT/SERVICE</v>
      </c>
      <c r="AS928" s="264"/>
      <c r="AT928" s="294"/>
    </row>
    <row r="929" spans="1:46" ht="13" hidden="1" x14ac:dyDescent="0.2">
      <c r="A929" s="294"/>
      <c r="B929" s="925"/>
      <c r="C929" s="272">
        <v>922</v>
      </c>
      <c r="D929" s="250">
        <f t="shared" si="2228"/>
        <v>0</v>
      </c>
      <c r="E929" s="251"/>
      <c r="F929" s="248" t="str">
        <f t="shared" si="2288"/>
        <v>YEAR5</v>
      </c>
      <c r="G929" s="250">
        <f>VLOOKUP(F929,TableInputsData[],$G$6,FALSE)</f>
        <v>2029</v>
      </c>
      <c r="H929" s="250" t="str">
        <f t="shared" si="2229"/>
        <v>SERVICE</v>
      </c>
      <c r="I929" s="248" t="str">
        <f t="shared" si="2229"/>
        <v>SERVICE 02</v>
      </c>
      <c r="J929" s="248" t="str">
        <f>VLOOKUP(I929,TableInputsData[],$J$6,FALSE)</f>
        <v>-</v>
      </c>
      <c r="K929" s="248" t="str">
        <f t="shared" si="2293"/>
        <v>AVERAGE COST OF GOODS SOLD PER UNIT</v>
      </c>
      <c r="L929" s="256"/>
      <c r="M929" s="256"/>
      <c r="N929" s="256"/>
      <c r="O929" s="266"/>
      <c r="P929" s="261"/>
      <c r="Q929" s="261"/>
      <c r="R929" s="261"/>
      <c r="S929" s="629"/>
      <c r="T929" s="629"/>
      <c r="U929" s="629"/>
      <c r="V929" s="629"/>
      <c r="W929" s="261"/>
      <c r="X929" s="261"/>
      <c r="Y929" s="261"/>
      <c r="Z929" s="261"/>
      <c r="AA929" s="261"/>
      <c r="AB929" s="261"/>
      <c r="AC929" s="266"/>
      <c r="AD929" s="633"/>
      <c r="AE929" s="264">
        <f t="shared" ref="AE929:AM929" si="2301">IF(AE897=0,0,AE921/AE897)</f>
        <v>0</v>
      </c>
      <c r="AF929" s="264">
        <f t="shared" si="2301"/>
        <v>0</v>
      </c>
      <c r="AG929" s="264">
        <f t="shared" si="2301"/>
        <v>0</v>
      </c>
      <c r="AH929" s="264">
        <f t="shared" si="2301"/>
        <v>0</v>
      </c>
      <c r="AI929" s="264">
        <f t="shared" si="2301"/>
        <v>0</v>
      </c>
      <c r="AJ929" s="264">
        <f t="shared" si="2301"/>
        <v>0</v>
      </c>
      <c r="AK929" s="264">
        <f t="shared" si="2301"/>
        <v>0</v>
      </c>
      <c r="AL929" s="264">
        <f t="shared" si="2301"/>
        <v>0</v>
      </c>
      <c r="AM929" s="264">
        <f t="shared" si="2301"/>
        <v>0</v>
      </c>
      <c r="AN929" s="260"/>
      <c r="AO929" s="264">
        <f t="shared" ref="AO929" si="2302">IF(AO897=0,0,AO921/AO897)</f>
        <v>0</v>
      </c>
      <c r="AP929" s="260"/>
      <c r="AQ929" s="264"/>
      <c r="AR929" s="264" t="str">
        <f>VLOOKUP($I929,TableInputsData[],ReadMe!$M$3,FALSE)&amp;"  |  "&amp;VLOOKUP($K929,TableInputsData[],ReadMe!$M$3,FALSE)</f>
        <v>SERVICE 02  |  PRIX MOYEN D'ACHAT PAR PRODUIT/SERVICE</v>
      </c>
      <c r="AS929" s="264"/>
      <c r="AT929" s="294"/>
    </row>
    <row r="930" spans="1:46" ht="13" hidden="1" x14ac:dyDescent="0.2">
      <c r="A930" s="294"/>
      <c r="B930" s="925"/>
      <c r="C930" s="272">
        <v>923</v>
      </c>
      <c r="D930" s="250">
        <f t="shared" si="2228"/>
        <v>0</v>
      </c>
      <c r="E930" s="251"/>
      <c r="F930" s="248" t="str">
        <f t="shared" si="2288"/>
        <v>YEAR6</v>
      </c>
      <c r="G930" s="250">
        <f>VLOOKUP(F930,TableInputsData[],$G$6,FALSE)</f>
        <v>2030</v>
      </c>
      <c r="H930" s="250" t="str">
        <f t="shared" si="2229"/>
        <v>SERVICE</v>
      </c>
      <c r="I930" s="248" t="str">
        <f t="shared" si="2229"/>
        <v>SERVICE 02</v>
      </c>
      <c r="J930" s="248" t="str">
        <f>VLOOKUP(I930,TableInputsData[],$J$6,FALSE)</f>
        <v>-</v>
      </c>
      <c r="K930" s="248" t="str">
        <f t="shared" si="2293"/>
        <v>AVERAGE COST OF GOODS SOLD PER UNIT</v>
      </c>
      <c r="L930" s="256"/>
      <c r="M930" s="256"/>
      <c r="N930" s="256"/>
      <c r="O930" s="266"/>
      <c r="P930" s="261"/>
      <c r="Q930" s="261"/>
      <c r="R930" s="261"/>
      <c r="S930" s="629"/>
      <c r="T930" s="629"/>
      <c r="U930" s="629"/>
      <c r="V930" s="629"/>
      <c r="W930" s="261"/>
      <c r="X930" s="261"/>
      <c r="Y930" s="261"/>
      <c r="Z930" s="261"/>
      <c r="AA930" s="261"/>
      <c r="AB930" s="261"/>
      <c r="AC930" s="266"/>
      <c r="AD930" s="633"/>
      <c r="AE930" s="264">
        <f t="shared" ref="AE930:AM930" si="2303">IF(AE898=0,0,AE922/AE898)</f>
        <v>0</v>
      </c>
      <c r="AF930" s="264">
        <f t="shared" si="2303"/>
        <v>0</v>
      </c>
      <c r="AG930" s="264">
        <f t="shared" si="2303"/>
        <v>0</v>
      </c>
      <c r="AH930" s="264">
        <f t="shared" si="2303"/>
        <v>0</v>
      </c>
      <c r="AI930" s="264">
        <f t="shared" si="2303"/>
        <v>0</v>
      </c>
      <c r="AJ930" s="264">
        <f t="shared" si="2303"/>
        <v>0</v>
      </c>
      <c r="AK930" s="264">
        <f t="shared" si="2303"/>
        <v>0</v>
      </c>
      <c r="AL930" s="264">
        <f t="shared" si="2303"/>
        <v>0</v>
      </c>
      <c r="AM930" s="264">
        <f t="shared" si="2303"/>
        <v>0</v>
      </c>
      <c r="AN930" s="260"/>
      <c r="AO930" s="264">
        <f t="shared" ref="AO930" si="2304">IF(AO898=0,0,AO922/AO898)</f>
        <v>0</v>
      </c>
      <c r="AP930" s="260"/>
      <c r="AQ930" s="264"/>
      <c r="AR930" s="264" t="str">
        <f>VLOOKUP($I930,TableInputsData[],ReadMe!$M$3,FALSE)&amp;"  |  "&amp;VLOOKUP($K930,TableInputsData[],ReadMe!$M$3,FALSE)</f>
        <v>SERVICE 02  |  PRIX MOYEN D'ACHAT PAR PRODUIT/SERVICE</v>
      </c>
      <c r="AS930" s="264"/>
      <c r="AT930" s="294"/>
    </row>
    <row r="931" spans="1:46" ht="13" x14ac:dyDescent="0.2">
      <c r="A931" s="294"/>
      <c r="B931" s="925"/>
      <c r="C931" s="273">
        <v>924</v>
      </c>
      <c r="D931" s="253">
        <v>0</v>
      </c>
      <c r="E931" s="253">
        <v>1</v>
      </c>
      <c r="F931" s="252"/>
      <c r="G931" s="253"/>
      <c r="H931" s="253"/>
      <c r="I931" s="252"/>
      <c r="J931" s="252"/>
      <c r="K931" s="252"/>
      <c r="L931" s="257"/>
      <c r="M931" s="257"/>
      <c r="N931" s="257"/>
      <c r="O931" s="267"/>
      <c r="P931" s="262"/>
      <c r="Q931" s="262"/>
      <c r="R931" s="262"/>
      <c r="S931" s="631"/>
      <c r="T931" s="631"/>
      <c r="U931" s="631"/>
      <c r="V931" s="631"/>
      <c r="W931" s="262"/>
      <c r="X931" s="262"/>
      <c r="Y931" s="262"/>
      <c r="Z931" s="262"/>
      <c r="AA931" s="262"/>
      <c r="AB931" s="262"/>
      <c r="AC931" s="267"/>
      <c r="AD931" s="635"/>
      <c r="AE931" s="270"/>
      <c r="AF931" s="270"/>
      <c r="AG931" s="270"/>
      <c r="AH931" s="270"/>
      <c r="AI931" s="270"/>
      <c r="AJ931" s="270"/>
      <c r="AK931" s="270"/>
      <c r="AL931" s="270"/>
      <c r="AM931" s="270"/>
      <c r="AN931" s="643"/>
      <c r="AO931" s="270"/>
      <c r="AP931" s="270"/>
      <c r="AQ931" s="270"/>
      <c r="AR931" s="270"/>
      <c r="AS931" s="270"/>
      <c r="AT931" s="294"/>
    </row>
    <row r="932" spans="1:46" ht="13" hidden="1" x14ac:dyDescent="0.2">
      <c r="A932" s="294"/>
      <c r="B932" s="924" t="str">
        <f>I933&amp;"___"</f>
        <v>SERVICE 03___</v>
      </c>
      <c r="C932" s="271">
        <v>925</v>
      </c>
      <c r="D932" s="250">
        <v>0</v>
      </c>
      <c r="E932" s="250"/>
      <c r="F932" s="248"/>
      <c r="G932" s="250"/>
      <c r="H932" s="250"/>
      <c r="I932" s="248"/>
      <c r="J932" s="248"/>
      <c r="K932" s="248"/>
      <c r="L932" s="254"/>
      <c r="M932" s="254"/>
      <c r="N932" s="254"/>
      <c r="O932" s="264"/>
      <c r="P932" s="259"/>
      <c r="Q932" s="259"/>
      <c r="R932" s="259"/>
      <c r="S932" s="628"/>
      <c r="T932" s="628"/>
      <c r="U932" s="628"/>
      <c r="V932" s="628"/>
      <c r="W932" s="259"/>
      <c r="X932" s="259"/>
      <c r="Y932" s="259"/>
      <c r="Z932" s="259"/>
      <c r="AA932" s="259"/>
      <c r="AB932" s="259"/>
      <c r="AC932" s="264"/>
      <c r="AD932" s="609"/>
      <c r="AE932" s="269"/>
      <c r="AF932" s="269"/>
      <c r="AG932" s="269"/>
      <c r="AH932" s="269"/>
      <c r="AI932" s="269"/>
      <c r="AJ932" s="269"/>
      <c r="AK932" s="269"/>
      <c r="AL932" s="269"/>
      <c r="AM932" s="269"/>
      <c r="AN932" s="642"/>
      <c r="AO932" s="269"/>
      <c r="AP932" s="269"/>
      <c r="AQ932" s="269"/>
      <c r="AR932" s="269"/>
      <c r="AS932" s="269"/>
      <c r="AT932" s="294"/>
    </row>
    <row r="933" spans="1:46" ht="13" x14ac:dyDescent="0.2">
      <c r="A933" s="294"/>
      <c r="B933" s="924"/>
      <c r="C933" s="271">
        <v>926</v>
      </c>
      <c r="D933" s="250">
        <f>VLOOKUP($I933,TableInputsData[],$D$6,FALSE)</f>
        <v>0</v>
      </c>
      <c r="E933" s="250">
        <v>1</v>
      </c>
      <c r="F933" s="248" t="s">
        <v>392</v>
      </c>
      <c r="G933" s="250">
        <f>VLOOKUP(F933,TableInputsData[],$G$6,FALSE)</f>
        <v>2023</v>
      </c>
      <c r="H933" s="250" t="s">
        <v>121</v>
      </c>
      <c r="I933" s="248" t="s">
        <v>548</v>
      </c>
      <c r="J933" s="248" t="str">
        <f>VLOOKUP(I933,TableInputsData[],$J$6,FALSE)</f>
        <v>-</v>
      </c>
      <c r="K933" s="248" t="s">
        <v>261</v>
      </c>
      <c r="L933" s="499">
        <v>1000</v>
      </c>
      <c r="M933" s="499">
        <v>0</v>
      </c>
      <c r="N933" s="499">
        <v>0</v>
      </c>
      <c r="O933" s="264">
        <f t="shared" ref="O933:O940" si="2305">$L933*$P933+$M933*$Q933+$N933*$R933</f>
        <v>1000</v>
      </c>
      <c r="P933" s="500">
        <v>1</v>
      </c>
      <c r="Q933" s="500">
        <v>0</v>
      </c>
      <c r="R933" s="259">
        <f>1-$P933-$Q933</f>
        <v>0</v>
      </c>
      <c r="S933" s="626">
        <v>500</v>
      </c>
      <c r="T933" s="626">
        <v>0</v>
      </c>
      <c r="U933" s="626">
        <v>0</v>
      </c>
      <c r="V933" s="628">
        <f>($L933*$P933*$S933+$M933*$Q933*$T933+$N933*$R933*$U933)/$O933</f>
        <v>500</v>
      </c>
      <c r="W933" s="500">
        <v>1</v>
      </c>
      <c r="X933" s="500">
        <v>1</v>
      </c>
      <c r="Y933" s="500">
        <v>1</v>
      </c>
      <c r="Z933" s="259">
        <f t="shared" ref="Z933:Z940" si="2306">1-$W933</f>
        <v>0</v>
      </c>
      <c r="AA933" s="259">
        <f t="shared" ref="AA933:AA940" si="2307">1-$X933</f>
        <v>0</v>
      </c>
      <c r="AB933" s="259">
        <f t="shared" ref="AB933:AB940" si="2308">1-$Y933</f>
        <v>0</v>
      </c>
      <c r="AC933" s="628">
        <f>AM965</f>
        <v>0</v>
      </c>
      <c r="AD933" s="628">
        <f>AO965</f>
        <v>0</v>
      </c>
      <c r="AE933" s="501">
        <v>0</v>
      </c>
      <c r="AF933" s="501">
        <v>0</v>
      </c>
      <c r="AG933" s="501">
        <v>0</v>
      </c>
      <c r="AH933" s="501">
        <v>0</v>
      </c>
      <c r="AI933" s="264">
        <f>$AE933+$AF933+$AG933+$AH933</f>
        <v>0</v>
      </c>
      <c r="AJ933" s="264">
        <f t="shared" ref="AJ933:AJ940" si="2309">$AI933*$P933</f>
        <v>0</v>
      </c>
      <c r="AK933" s="264">
        <f t="shared" ref="AK933:AK940" si="2310">$AI933*$Q933</f>
        <v>0</v>
      </c>
      <c r="AL933" s="264">
        <f t="shared" ref="AL933:AL940" si="2311">$AI933*$R933</f>
        <v>0</v>
      </c>
      <c r="AM933" s="264">
        <f t="shared" ref="AM933:AM940" si="2312">$AJ933*$W933+$AK933*$X933+$AL933*$Y933</f>
        <v>0</v>
      </c>
      <c r="AN933" s="640">
        <f>IF(AI933=0,0,AM933/AI933)</f>
        <v>0</v>
      </c>
      <c r="AO933" s="264">
        <f t="shared" ref="AO933:AO940" si="2313">$AJ933*$Z933+$AK933*$AA933+$AL933*$AB933</f>
        <v>0</v>
      </c>
      <c r="AP933" s="640">
        <f t="shared" ref="AP933:AP948" si="2314">IF(AI933=0,0,AO933/AI933)</f>
        <v>0</v>
      </c>
      <c r="AQ933" s="264" t="str">
        <f>VLOOKUP(I933,TableInputsData[],$AQ$6,FALSE)</f>
        <v>GAMME # : 1 + CANAL DE DISTRIBUTION # : 1</v>
      </c>
      <c r="AR933" s="264" t="str">
        <f>VLOOKUP($I933,TableInputsData[],ReadMe!$M$3,FALSE)&amp;"  |  "&amp;VLOOKUP($K933,TableInputsData[],ReadMe!$M$3,FALSE)</f>
        <v>SERVICE 03  |  VOLUME</v>
      </c>
      <c r="AS933" s="264" t="b">
        <f t="shared" ref="AS933:AS940" si="2315">AND(EXACT(ROUND(AI933,2),ROUND(AJ933+AK933+AL933,2)),EXACT(ROUND(AI933,2),ROUND(AM933+AO933,2)),EXACT(SUM(P933:R933),1),IF(R933&lt;0,FALSE,TRUE),EXACT(SUM(W933:AB933),3),MIN(W933:Y933)&gt;=0, MAX(W933:Y933)&lt;=1)</f>
        <v>1</v>
      </c>
      <c r="AT933" s="294"/>
    </row>
    <row r="934" spans="1:46" ht="13" x14ac:dyDescent="0.2">
      <c r="A934" s="294"/>
      <c r="B934" s="924"/>
      <c r="C934" s="271">
        <v>927</v>
      </c>
      <c r="D934" s="250">
        <f>D933</f>
        <v>0</v>
      </c>
      <c r="E934" s="250">
        <v>1</v>
      </c>
      <c r="F934" s="248" t="s">
        <v>391</v>
      </c>
      <c r="G934" s="250">
        <f>VLOOKUP(F934,TableInputsData[],$G$6,FALSE)</f>
        <v>2024</v>
      </c>
      <c r="H934" s="250" t="str">
        <f>H933</f>
        <v>SERVICE</v>
      </c>
      <c r="I934" s="248" t="str">
        <f>I933</f>
        <v>SERVICE 03</v>
      </c>
      <c r="J934" s="248" t="str">
        <f>VLOOKUP(I934,TableInputsData[],$J$6,FALSE)</f>
        <v>-</v>
      </c>
      <c r="K934" s="248" t="str">
        <f>K933</f>
        <v>VOLUME</v>
      </c>
      <c r="L934" s="499">
        <v>1000</v>
      </c>
      <c r="M934" s="499">
        <v>0</v>
      </c>
      <c r="N934" s="499">
        <v>0</v>
      </c>
      <c r="O934" s="264">
        <f t="shared" si="2305"/>
        <v>1000</v>
      </c>
      <c r="P934" s="500">
        <v>1</v>
      </c>
      <c r="Q934" s="500">
        <v>0</v>
      </c>
      <c r="R934" s="259">
        <f t="shared" ref="R934:R940" si="2316">1-$P934-$Q934</f>
        <v>0</v>
      </c>
      <c r="S934" s="626">
        <v>500</v>
      </c>
      <c r="T934" s="626">
        <v>0</v>
      </c>
      <c r="U934" s="626">
        <v>0</v>
      </c>
      <c r="V934" s="628">
        <f t="shared" ref="V934:V940" si="2317">($L934*$P934*$S934+$M934*$Q934*$T934+$N934*$R934*$U934)/$O934</f>
        <v>500</v>
      </c>
      <c r="W934" s="500">
        <v>1</v>
      </c>
      <c r="X934" s="500">
        <v>1</v>
      </c>
      <c r="Y934" s="500">
        <v>1</v>
      </c>
      <c r="Z934" s="259">
        <f t="shared" si="2306"/>
        <v>0</v>
      </c>
      <c r="AA934" s="259">
        <f t="shared" si="2307"/>
        <v>0</v>
      </c>
      <c r="AB934" s="259">
        <f t="shared" si="2308"/>
        <v>0</v>
      </c>
      <c r="AC934" s="628">
        <f t="shared" ref="AC934:AC940" si="2318">AM966</f>
        <v>0</v>
      </c>
      <c r="AD934" s="628">
        <f t="shared" ref="AD934:AD940" si="2319">AO966</f>
        <v>0</v>
      </c>
      <c r="AE934" s="501">
        <v>0</v>
      </c>
      <c r="AF934" s="501">
        <v>0</v>
      </c>
      <c r="AG934" s="501">
        <v>0</v>
      </c>
      <c r="AH934" s="501">
        <v>0</v>
      </c>
      <c r="AI934" s="264">
        <f>$AE934+$AF934+$AG934+$AH934</f>
        <v>0</v>
      </c>
      <c r="AJ934" s="264">
        <f t="shared" si="2309"/>
        <v>0</v>
      </c>
      <c r="AK934" s="264">
        <f t="shared" si="2310"/>
        <v>0</v>
      </c>
      <c r="AL934" s="264">
        <f t="shared" si="2311"/>
        <v>0</v>
      </c>
      <c r="AM934" s="264">
        <f t="shared" si="2312"/>
        <v>0</v>
      </c>
      <c r="AN934" s="640">
        <f t="shared" ref="AN934:AN948" si="2320">IF(AI934=0,0,AM934/AI934)</f>
        <v>0</v>
      </c>
      <c r="AO934" s="264">
        <f t="shared" si="2313"/>
        <v>0</v>
      </c>
      <c r="AP934" s="640">
        <f t="shared" si="2314"/>
        <v>0</v>
      </c>
      <c r="AQ934" s="501"/>
      <c r="AR934" s="264" t="str">
        <f>VLOOKUP($I934,TableInputsData[],ReadMe!$M$3,FALSE)&amp;"  |  "&amp;VLOOKUP($K934,TableInputsData[],ReadMe!$M$3,FALSE)</f>
        <v>SERVICE 03  |  VOLUME</v>
      </c>
      <c r="AS934" s="264" t="b">
        <f t="shared" si="2315"/>
        <v>1</v>
      </c>
      <c r="AT934" s="294"/>
    </row>
    <row r="935" spans="1:46" ht="13" x14ac:dyDescent="0.2">
      <c r="A935" s="294"/>
      <c r="B935" s="924"/>
      <c r="C935" s="271">
        <v>928</v>
      </c>
      <c r="D935" s="250">
        <f t="shared" ref="D935:D972" si="2321">D934</f>
        <v>0</v>
      </c>
      <c r="E935" s="250">
        <v>1</v>
      </c>
      <c r="F935" s="248" t="s">
        <v>393</v>
      </c>
      <c r="G935" s="250">
        <f>VLOOKUP(F935,TableInputsData[],$G$6,FALSE)</f>
        <v>2025</v>
      </c>
      <c r="H935" s="250" t="str">
        <f t="shared" ref="H935:I972" si="2322">H934</f>
        <v>SERVICE</v>
      </c>
      <c r="I935" s="248" t="str">
        <f t="shared" si="2322"/>
        <v>SERVICE 03</v>
      </c>
      <c r="J935" s="248" t="str">
        <f>VLOOKUP(I935,TableInputsData[],$J$6,FALSE)</f>
        <v>-</v>
      </c>
      <c r="K935" s="248" t="str">
        <f t="shared" ref="K935:K940" si="2323">K934</f>
        <v>VOLUME</v>
      </c>
      <c r="L935" s="499">
        <v>1000</v>
      </c>
      <c r="M935" s="499">
        <v>0</v>
      </c>
      <c r="N935" s="499">
        <v>0</v>
      </c>
      <c r="O935" s="264">
        <f t="shared" si="2305"/>
        <v>1000</v>
      </c>
      <c r="P935" s="500">
        <v>1</v>
      </c>
      <c r="Q935" s="500">
        <v>0</v>
      </c>
      <c r="R935" s="259">
        <f t="shared" si="2316"/>
        <v>0</v>
      </c>
      <c r="S935" s="626">
        <v>500</v>
      </c>
      <c r="T935" s="626">
        <v>0</v>
      </c>
      <c r="U935" s="626">
        <v>0</v>
      </c>
      <c r="V935" s="628">
        <f t="shared" si="2317"/>
        <v>500</v>
      </c>
      <c r="W935" s="500">
        <v>1</v>
      </c>
      <c r="X935" s="500">
        <v>1</v>
      </c>
      <c r="Y935" s="500">
        <v>1</v>
      </c>
      <c r="Z935" s="259">
        <f t="shared" si="2306"/>
        <v>0</v>
      </c>
      <c r="AA935" s="259">
        <f t="shared" si="2307"/>
        <v>0</v>
      </c>
      <c r="AB935" s="259">
        <f t="shared" si="2308"/>
        <v>0</v>
      </c>
      <c r="AC935" s="628">
        <f t="shared" si="2318"/>
        <v>0</v>
      </c>
      <c r="AD935" s="628">
        <f t="shared" si="2319"/>
        <v>0</v>
      </c>
      <c r="AE935" s="501">
        <v>0</v>
      </c>
      <c r="AF935" s="501">
        <v>0</v>
      </c>
      <c r="AG935" s="501">
        <v>0</v>
      </c>
      <c r="AH935" s="501">
        <v>0</v>
      </c>
      <c r="AI935" s="264">
        <f>$AE935+$AF935+$AG935+$AH935</f>
        <v>0</v>
      </c>
      <c r="AJ935" s="264">
        <f t="shared" si="2309"/>
        <v>0</v>
      </c>
      <c r="AK935" s="264">
        <f t="shared" si="2310"/>
        <v>0</v>
      </c>
      <c r="AL935" s="264">
        <f t="shared" si="2311"/>
        <v>0</v>
      </c>
      <c r="AM935" s="264">
        <f t="shared" si="2312"/>
        <v>0</v>
      </c>
      <c r="AN935" s="640">
        <f t="shared" si="2320"/>
        <v>0</v>
      </c>
      <c r="AO935" s="264">
        <f t="shared" si="2313"/>
        <v>0</v>
      </c>
      <c r="AP935" s="640">
        <f t="shared" si="2314"/>
        <v>0</v>
      </c>
      <c r="AQ935" s="501"/>
      <c r="AR935" s="264" t="str">
        <f>VLOOKUP($I935,TableInputsData[],ReadMe!$M$3,FALSE)&amp;"  |  "&amp;VLOOKUP($K935,TableInputsData[],ReadMe!$M$3,FALSE)</f>
        <v>SERVICE 03  |  VOLUME</v>
      </c>
      <c r="AS935" s="264" t="b">
        <f t="shared" si="2315"/>
        <v>1</v>
      </c>
      <c r="AT935" s="294"/>
    </row>
    <row r="936" spans="1:46" ht="13" x14ac:dyDescent="0.2">
      <c r="A936" s="294"/>
      <c r="B936" s="924"/>
      <c r="C936" s="271">
        <v>929</v>
      </c>
      <c r="D936" s="250">
        <f t="shared" si="2321"/>
        <v>0</v>
      </c>
      <c r="E936" s="250">
        <v>1</v>
      </c>
      <c r="F936" s="248" t="s">
        <v>396</v>
      </c>
      <c r="G936" s="250">
        <f>VLOOKUP(F936,TableInputsData[],$G$6,FALSE)</f>
        <v>2026</v>
      </c>
      <c r="H936" s="250" t="str">
        <f t="shared" si="2322"/>
        <v>SERVICE</v>
      </c>
      <c r="I936" s="248" t="str">
        <f t="shared" si="2322"/>
        <v>SERVICE 03</v>
      </c>
      <c r="J936" s="248" t="str">
        <f>VLOOKUP(I936,TableInputsData[],$J$6,FALSE)</f>
        <v>-</v>
      </c>
      <c r="K936" s="248" t="str">
        <f t="shared" si="2323"/>
        <v>VOLUME</v>
      </c>
      <c r="L936" s="499">
        <v>1000</v>
      </c>
      <c r="M936" s="499">
        <v>0</v>
      </c>
      <c r="N936" s="499">
        <v>0</v>
      </c>
      <c r="O936" s="264">
        <f t="shared" si="2305"/>
        <v>1000</v>
      </c>
      <c r="P936" s="500">
        <v>1</v>
      </c>
      <c r="Q936" s="500">
        <v>0</v>
      </c>
      <c r="R936" s="259">
        <f t="shared" si="2316"/>
        <v>0</v>
      </c>
      <c r="S936" s="626">
        <v>500</v>
      </c>
      <c r="T936" s="626">
        <v>0</v>
      </c>
      <c r="U936" s="626">
        <v>0</v>
      </c>
      <c r="V936" s="628">
        <f t="shared" si="2317"/>
        <v>500</v>
      </c>
      <c r="W936" s="500">
        <v>1</v>
      </c>
      <c r="X936" s="500">
        <v>1</v>
      </c>
      <c r="Y936" s="500">
        <v>1</v>
      </c>
      <c r="Z936" s="259">
        <f t="shared" si="2306"/>
        <v>0</v>
      </c>
      <c r="AA936" s="259">
        <f t="shared" si="2307"/>
        <v>0</v>
      </c>
      <c r="AB936" s="259">
        <f t="shared" si="2308"/>
        <v>0</v>
      </c>
      <c r="AC936" s="628">
        <f t="shared" si="2318"/>
        <v>0</v>
      </c>
      <c r="AD936" s="628">
        <f t="shared" si="2319"/>
        <v>0</v>
      </c>
      <c r="AE936" s="501">
        <v>0</v>
      </c>
      <c r="AF936" s="501">
        <v>0</v>
      </c>
      <c r="AG936" s="501">
        <v>0</v>
      </c>
      <c r="AH936" s="501">
        <v>0</v>
      </c>
      <c r="AI936" s="264">
        <f>$AE936+$AF936+$AG936+$AH936</f>
        <v>0</v>
      </c>
      <c r="AJ936" s="264">
        <f t="shared" si="2309"/>
        <v>0</v>
      </c>
      <c r="AK936" s="264">
        <f t="shared" si="2310"/>
        <v>0</v>
      </c>
      <c r="AL936" s="264">
        <f t="shared" si="2311"/>
        <v>0</v>
      </c>
      <c r="AM936" s="264">
        <f t="shared" si="2312"/>
        <v>0</v>
      </c>
      <c r="AN936" s="640">
        <f t="shared" si="2320"/>
        <v>0</v>
      </c>
      <c r="AO936" s="264">
        <f t="shared" si="2313"/>
        <v>0</v>
      </c>
      <c r="AP936" s="640">
        <f t="shared" si="2314"/>
        <v>0</v>
      </c>
      <c r="AQ936" s="501"/>
      <c r="AR936" s="264" t="str">
        <f>VLOOKUP($I936,TableInputsData[],ReadMe!$M$3,FALSE)&amp;"  |  "&amp;VLOOKUP($K936,TableInputsData[],ReadMe!$M$3,FALSE)</f>
        <v>SERVICE 03  |  VOLUME</v>
      </c>
      <c r="AS936" s="264" t="b">
        <f t="shared" si="2315"/>
        <v>1</v>
      </c>
      <c r="AT936" s="294"/>
    </row>
    <row r="937" spans="1:46" ht="13" x14ac:dyDescent="0.2">
      <c r="A937" s="294"/>
      <c r="B937" s="924"/>
      <c r="C937" s="271">
        <v>930</v>
      </c>
      <c r="D937" s="250">
        <f t="shared" si="2321"/>
        <v>0</v>
      </c>
      <c r="E937" s="250">
        <v>1</v>
      </c>
      <c r="F937" s="248" t="s">
        <v>397</v>
      </c>
      <c r="G937" s="250">
        <f>VLOOKUP(F937,TableInputsData[],$G$6,FALSE)</f>
        <v>2027</v>
      </c>
      <c r="H937" s="250" t="str">
        <f t="shared" si="2322"/>
        <v>SERVICE</v>
      </c>
      <c r="I937" s="248" t="str">
        <f t="shared" si="2322"/>
        <v>SERVICE 03</v>
      </c>
      <c r="J937" s="248" t="str">
        <f>VLOOKUP(I937,TableInputsData[],$J$6,FALSE)</f>
        <v>-</v>
      </c>
      <c r="K937" s="248" t="str">
        <f t="shared" si="2323"/>
        <v>VOLUME</v>
      </c>
      <c r="L937" s="499">
        <v>1000</v>
      </c>
      <c r="M937" s="499">
        <v>0</v>
      </c>
      <c r="N937" s="499">
        <v>0</v>
      </c>
      <c r="O937" s="264">
        <f t="shared" si="2305"/>
        <v>1000</v>
      </c>
      <c r="P937" s="500">
        <v>1</v>
      </c>
      <c r="Q937" s="500">
        <v>0</v>
      </c>
      <c r="R937" s="259">
        <f t="shared" si="2316"/>
        <v>0</v>
      </c>
      <c r="S937" s="626">
        <v>500</v>
      </c>
      <c r="T937" s="626">
        <v>0</v>
      </c>
      <c r="U937" s="626">
        <v>0</v>
      </c>
      <c r="V937" s="628">
        <f t="shared" si="2317"/>
        <v>500</v>
      </c>
      <c r="W937" s="500">
        <v>1</v>
      </c>
      <c r="X937" s="500">
        <v>1</v>
      </c>
      <c r="Y937" s="500">
        <v>1</v>
      </c>
      <c r="Z937" s="259">
        <f t="shared" si="2306"/>
        <v>0</v>
      </c>
      <c r="AA937" s="259">
        <f t="shared" si="2307"/>
        <v>0</v>
      </c>
      <c r="AB937" s="259">
        <f t="shared" si="2308"/>
        <v>0</v>
      </c>
      <c r="AC937" s="628">
        <f t="shared" si="2318"/>
        <v>0</v>
      </c>
      <c r="AD937" s="628">
        <f t="shared" si="2319"/>
        <v>0</v>
      </c>
      <c r="AE937" s="264">
        <f>$AI937/4</f>
        <v>0</v>
      </c>
      <c r="AF937" s="264">
        <f t="shared" ref="AF937:AH940" si="2324">$AI937/4</f>
        <v>0</v>
      </c>
      <c r="AG937" s="264">
        <f t="shared" si="2324"/>
        <v>0</v>
      </c>
      <c r="AH937" s="264">
        <f t="shared" si="2324"/>
        <v>0</v>
      </c>
      <c r="AI937" s="501">
        <v>0</v>
      </c>
      <c r="AJ937" s="264">
        <f t="shared" si="2309"/>
        <v>0</v>
      </c>
      <c r="AK937" s="264">
        <f t="shared" si="2310"/>
        <v>0</v>
      </c>
      <c r="AL937" s="264">
        <f t="shared" si="2311"/>
        <v>0</v>
      </c>
      <c r="AM937" s="264">
        <f t="shared" si="2312"/>
        <v>0</v>
      </c>
      <c r="AN937" s="640">
        <f t="shared" si="2320"/>
        <v>0</v>
      </c>
      <c r="AO937" s="264">
        <f t="shared" si="2313"/>
        <v>0</v>
      </c>
      <c r="AP937" s="640">
        <f t="shared" si="2314"/>
        <v>0</v>
      </c>
      <c r="AQ937" s="501"/>
      <c r="AR937" s="264" t="str">
        <f>VLOOKUP($I937,TableInputsData[],ReadMe!$M$3,FALSE)&amp;"  |  "&amp;VLOOKUP($K937,TableInputsData[],ReadMe!$M$3,FALSE)</f>
        <v>SERVICE 03  |  VOLUME</v>
      </c>
      <c r="AS937" s="264" t="b">
        <f t="shared" si="2315"/>
        <v>1</v>
      </c>
      <c r="AT937" s="294"/>
    </row>
    <row r="938" spans="1:46" ht="13" x14ac:dyDescent="0.2">
      <c r="A938" s="294"/>
      <c r="B938" s="924"/>
      <c r="C938" s="271">
        <v>931</v>
      </c>
      <c r="D938" s="250">
        <f t="shared" si="2321"/>
        <v>0</v>
      </c>
      <c r="E938" s="250">
        <v>1</v>
      </c>
      <c r="F938" s="248" t="s">
        <v>398</v>
      </c>
      <c r="G938" s="250">
        <f>VLOOKUP(F938,TableInputsData[],$G$6,FALSE)</f>
        <v>2028</v>
      </c>
      <c r="H938" s="250" t="str">
        <f t="shared" si="2322"/>
        <v>SERVICE</v>
      </c>
      <c r="I938" s="248" t="str">
        <f t="shared" si="2322"/>
        <v>SERVICE 03</v>
      </c>
      <c r="J938" s="248" t="str">
        <f>VLOOKUP(I938,TableInputsData[],$J$6,FALSE)</f>
        <v>-</v>
      </c>
      <c r="K938" s="248" t="str">
        <f t="shared" si="2323"/>
        <v>VOLUME</v>
      </c>
      <c r="L938" s="499">
        <v>1000</v>
      </c>
      <c r="M938" s="499">
        <v>0</v>
      </c>
      <c r="N938" s="499">
        <v>0</v>
      </c>
      <c r="O938" s="264">
        <f t="shared" si="2305"/>
        <v>1000</v>
      </c>
      <c r="P938" s="500">
        <v>1</v>
      </c>
      <c r="Q938" s="500">
        <v>0</v>
      </c>
      <c r="R938" s="259">
        <f t="shared" si="2316"/>
        <v>0</v>
      </c>
      <c r="S938" s="626">
        <v>500</v>
      </c>
      <c r="T938" s="626">
        <v>0</v>
      </c>
      <c r="U938" s="626">
        <v>0</v>
      </c>
      <c r="V938" s="628">
        <f t="shared" si="2317"/>
        <v>500</v>
      </c>
      <c r="W938" s="500">
        <v>1</v>
      </c>
      <c r="X938" s="500">
        <v>1</v>
      </c>
      <c r="Y938" s="500">
        <v>1</v>
      </c>
      <c r="Z938" s="259">
        <f t="shared" si="2306"/>
        <v>0</v>
      </c>
      <c r="AA938" s="259">
        <f t="shared" si="2307"/>
        <v>0</v>
      </c>
      <c r="AB938" s="259">
        <f t="shared" si="2308"/>
        <v>0</v>
      </c>
      <c r="AC938" s="628">
        <f t="shared" si="2318"/>
        <v>0</v>
      </c>
      <c r="AD938" s="628">
        <f t="shared" si="2319"/>
        <v>0</v>
      </c>
      <c r="AE938" s="264">
        <f t="shared" ref="AE938:AE940" si="2325">$AI938/4</f>
        <v>0</v>
      </c>
      <c r="AF938" s="264">
        <f t="shared" si="2324"/>
        <v>0</v>
      </c>
      <c r="AG938" s="264">
        <f t="shared" si="2324"/>
        <v>0</v>
      </c>
      <c r="AH938" s="264">
        <f t="shared" si="2324"/>
        <v>0</v>
      </c>
      <c r="AI938" s="501">
        <v>0</v>
      </c>
      <c r="AJ938" s="264">
        <f t="shared" si="2309"/>
        <v>0</v>
      </c>
      <c r="AK938" s="264">
        <f t="shared" si="2310"/>
        <v>0</v>
      </c>
      <c r="AL938" s="264">
        <f t="shared" si="2311"/>
        <v>0</v>
      </c>
      <c r="AM938" s="264">
        <f t="shared" si="2312"/>
        <v>0</v>
      </c>
      <c r="AN938" s="640">
        <f t="shared" si="2320"/>
        <v>0</v>
      </c>
      <c r="AO938" s="264">
        <f t="shared" si="2313"/>
        <v>0</v>
      </c>
      <c r="AP938" s="640">
        <f t="shared" si="2314"/>
        <v>0</v>
      </c>
      <c r="AQ938" s="501"/>
      <c r="AR938" s="264" t="str">
        <f>VLOOKUP($I938,TableInputsData[],ReadMe!$M$3,FALSE)&amp;"  |  "&amp;VLOOKUP($K938,TableInputsData[],ReadMe!$M$3,FALSE)</f>
        <v>SERVICE 03  |  VOLUME</v>
      </c>
      <c r="AS938" s="264" t="b">
        <f t="shared" si="2315"/>
        <v>1</v>
      </c>
      <c r="AT938" s="294"/>
    </row>
    <row r="939" spans="1:46" ht="13" x14ac:dyDescent="0.2">
      <c r="A939" s="294"/>
      <c r="B939" s="924"/>
      <c r="C939" s="271">
        <v>932</v>
      </c>
      <c r="D939" s="250">
        <f t="shared" si="2321"/>
        <v>0</v>
      </c>
      <c r="E939" s="250">
        <v>1</v>
      </c>
      <c r="F939" s="248" t="s">
        <v>399</v>
      </c>
      <c r="G939" s="250">
        <f>VLOOKUP(F939,TableInputsData[],$G$6,FALSE)</f>
        <v>2029</v>
      </c>
      <c r="H939" s="250" t="str">
        <f t="shared" si="2322"/>
        <v>SERVICE</v>
      </c>
      <c r="I939" s="248" t="str">
        <f t="shared" si="2322"/>
        <v>SERVICE 03</v>
      </c>
      <c r="J939" s="248" t="str">
        <f>VLOOKUP(I939,TableInputsData[],$J$6,FALSE)</f>
        <v>-</v>
      </c>
      <c r="K939" s="248" t="str">
        <f t="shared" si="2323"/>
        <v>VOLUME</v>
      </c>
      <c r="L939" s="499">
        <v>1000</v>
      </c>
      <c r="M939" s="499">
        <v>0</v>
      </c>
      <c r="N939" s="499">
        <v>0</v>
      </c>
      <c r="O939" s="264">
        <f t="shared" si="2305"/>
        <v>1000</v>
      </c>
      <c r="P939" s="500">
        <v>1</v>
      </c>
      <c r="Q939" s="500">
        <v>0</v>
      </c>
      <c r="R939" s="259">
        <f t="shared" si="2316"/>
        <v>0</v>
      </c>
      <c r="S939" s="626">
        <v>500</v>
      </c>
      <c r="T939" s="626">
        <v>0</v>
      </c>
      <c r="U939" s="626">
        <v>0</v>
      </c>
      <c r="V939" s="628">
        <f t="shared" si="2317"/>
        <v>500</v>
      </c>
      <c r="W939" s="500">
        <v>1</v>
      </c>
      <c r="X939" s="500">
        <v>1</v>
      </c>
      <c r="Y939" s="500">
        <v>1</v>
      </c>
      <c r="Z939" s="259">
        <f t="shared" si="2306"/>
        <v>0</v>
      </c>
      <c r="AA939" s="259">
        <f t="shared" si="2307"/>
        <v>0</v>
      </c>
      <c r="AB939" s="259">
        <f t="shared" si="2308"/>
        <v>0</v>
      </c>
      <c r="AC939" s="628">
        <f t="shared" si="2318"/>
        <v>0</v>
      </c>
      <c r="AD939" s="628">
        <f t="shared" si="2319"/>
        <v>0</v>
      </c>
      <c r="AE939" s="264">
        <f t="shared" si="2325"/>
        <v>0</v>
      </c>
      <c r="AF939" s="264">
        <f t="shared" si="2324"/>
        <v>0</v>
      </c>
      <c r="AG939" s="264">
        <f t="shared" si="2324"/>
        <v>0</v>
      </c>
      <c r="AH939" s="264">
        <f t="shared" si="2324"/>
        <v>0</v>
      </c>
      <c r="AI939" s="501">
        <v>0</v>
      </c>
      <c r="AJ939" s="264">
        <f t="shared" si="2309"/>
        <v>0</v>
      </c>
      <c r="AK939" s="264">
        <f t="shared" si="2310"/>
        <v>0</v>
      </c>
      <c r="AL939" s="264">
        <f t="shared" si="2311"/>
        <v>0</v>
      </c>
      <c r="AM939" s="264">
        <f t="shared" si="2312"/>
        <v>0</v>
      </c>
      <c r="AN939" s="640">
        <f t="shared" si="2320"/>
        <v>0</v>
      </c>
      <c r="AO939" s="264">
        <f t="shared" si="2313"/>
        <v>0</v>
      </c>
      <c r="AP939" s="640">
        <f t="shared" si="2314"/>
        <v>0</v>
      </c>
      <c r="AQ939" s="501"/>
      <c r="AR939" s="264" t="str">
        <f>VLOOKUP($I939,TableInputsData[],ReadMe!$M$3,FALSE)&amp;"  |  "&amp;VLOOKUP($K939,TableInputsData[],ReadMe!$M$3,FALSE)</f>
        <v>SERVICE 03  |  VOLUME</v>
      </c>
      <c r="AS939" s="264" t="b">
        <f t="shared" si="2315"/>
        <v>1</v>
      </c>
      <c r="AT939" s="294"/>
    </row>
    <row r="940" spans="1:46" ht="13" x14ac:dyDescent="0.2">
      <c r="A940" s="294"/>
      <c r="B940" s="924"/>
      <c r="C940" s="271">
        <v>933</v>
      </c>
      <c r="D940" s="250">
        <f t="shared" si="2321"/>
        <v>0</v>
      </c>
      <c r="E940" s="250">
        <v>1</v>
      </c>
      <c r="F940" s="248" t="s">
        <v>400</v>
      </c>
      <c r="G940" s="250">
        <f>VLOOKUP(F940,TableInputsData[],$G$6,FALSE)</f>
        <v>2030</v>
      </c>
      <c r="H940" s="250" t="str">
        <f t="shared" si="2322"/>
        <v>SERVICE</v>
      </c>
      <c r="I940" s="248" t="str">
        <f t="shared" si="2322"/>
        <v>SERVICE 03</v>
      </c>
      <c r="J940" s="248" t="str">
        <f>VLOOKUP(I940,TableInputsData[],$J$6,FALSE)</f>
        <v>-</v>
      </c>
      <c r="K940" s="248" t="str">
        <f t="shared" si="2323"/>
        <v>VOLUME</v>
      </c>
      <c r="L940" s="499">
        <v>1000</v>
      </c>
      <c r="M940" s="499">
        <v>0</v>
      </c>
      <c r="N940" s="499">
        <v>0</v>
      </c>
      <c r="O940" s="264">
        <f t="shared" si="2305"/>
        <v>1000</v>
      </c>
      <c r="P940" s="500">
        <v>1</v>
      </c>
      <c r="Q940" s="500">
        <v>0</v>
      </c>
      <c r="R940" s="259">
        <f t="shared" si="2316"/>
        <v>0</v>
      </c>
      <c r="S940" s="626">
        <v>500</v>
      </c>
      <c r="T940" s="626">
        <v>0</v>
      </c>
      <c r="U940" s="626">
        <v>0</v>
      </c>
      <c r="V940" s="628">
        <f t="shared" si="2317"/>
        <v>500</v>
      </c>
      <c r="W940" s="500">
        <v>1</v>
      </c>
      <c r="X940" s="500">
        <v>1</v>
      </c>
      <c r="Y940" s="500">
        <v>1</v>
      </c>
      <c r="Z940" s="259">
        <f t="shared" si="2306"/>
        <v>0</v>
      </c>
      <c r="AA940" s="259">
        <f t="shared" si="2307"/>
        <v>0</v>
      </c>
      <c r="AB940" s="259">
        <f t="shared" si="2308"/>
        <v>0</v>
      </c>
      <c r="AC940" s="628">
        <f t="shared" si="2318"/>
        <v>0</v>
      </c>
      <c r="AD940" s="628">
        <f t="shared" si="2319"/>
        <v>0</v>
      </c>
      <c r="AE940" s="264">
        <f t="shared" si="2325"/>
        <v>0</v>
      </c>
      <c r="AF940" s="264">
        <f t="shared" si="2324"/>
        <v>0</v>
      </c>
      <c r="AG940" s="264">
        <f t="shared" si="2324"/>
        <v>0</v>
      </c>
      <c r="AH940" s="264">
        <f t="shared" si="2324"/>
        <v>0</v>
      </c>
      <c r="AI940" s="501">
        <v>0</v>
      </c>
      <c r="AJ940" s="264">
        <f t="shared" si="2309"/>
        <v>0</v>
      </c>
      <c r="AK940" s="264">
        <f t="shared" si="2310"/>
        <v>0</v>
      </c>
      <c r="AL940" s="264">
        <f t="shared" si="2311"/>
        <v>0</v>
      </c>
      <c r="AM940" s="264">
        <f t="shared" si="2312"/>
        <v>0</v>
      </c>
      <c r="AN940" s="640">
        <f t="shared" si="2320"/>
        <v>0</v>
      </c>
      <c r="AO940" s="264">
        <f t="shared" si="2313"/>
        <v>0</v>
      </c>
      <c r="AP940" s="640">
        <f t="shared" si="2314"/>
        <v>0</v>
      </c>
      <c r="AQ940" s="501"/>
      <c r="AR940" s="264" t="str">
        <f>VLOOKUP($I940,TableInputsData[],ReadMe!$M$3,FALSE)&amp;"  |  "&amp;VLOOKUP($K940,TableInputsData[],ReadMe!$M$3,FALSE)</f>
        <v>SERVICE 03  |  VOLUME</v>
      </c>
      <c r="AS940" s="264" t="b">
        <f t="shared" si="2315"/>
        <v>1</v>
      </c>
      <c r="AT940" s="294"/>
    </row>
    <row r="941" spans="1:46" ht="13" hidden="1" x14ac:dyDescent="0.2">
      <c r="A941" s="294"/>
      <c r="B941" s="924"/>
      <c r="C941" s="272">
        <v>934</v>
      </c>
      <c r="D941" s="250">
        <f t="shared" si="2321"/>
        <v>0</v>
      </c>
      <c r="E941" s="251"/>
      <c r="F941" s="248" t="str">
        <f t="shared" ref="F941:F948" si="2326">F949</f>
        <v>YEAR-2</v>
      </c>
      <c r="G941" s="250">
        <f>VLOOKUP(F941,TableInputsData[],$G$6,FALSE)</f>
        <v>2023</v>
      </c>
      <c r="H941" s="250" t="str">
        <f t="shared" si="2322"/>
        <v>SERVICE</v>
      </c>
      <c r="I941" s="248" t="str">
        <f t="shared" si="2322"/>
        <v>SERVICE 03</v>
      </c>
      <c r="J941" s="248" t="str">
        <f>VLOOKUP(I941,TableInputsData[],$J$6,FALSE)</f>
        <v>-</v>
      </c>
      <c r="K941" s="248" t="s">
        <v>457</v>
      </c>
      <c r="L941" s="256"/>
      <c r="M941" s="256"/>
      <c r="N941" s="256"/>
      <c r="O941" s="266"/>
      <c r="P941" s="261"/>
      <c r="Q941" s="261"/>
      <c r="R941" s="261"/>
      <c r="S941" s="629"/>
      <c r="T941" s="629"/>
      <c r="U941" s="629"/>
      <c r="V941" s="629"/>
      <c r="W941" s="261"/>
      <c r="X941" s="261"/>
      <c r="Y941" s="261"/>
      <c r="Z941" s="261"/>
      <c r="AA941" s="261"/>
      <c r="AB941" s="261"/>
      <c r="AC941" s="266"/>
      <c r="AD941" s="633"/>
      <c r="AE941" s="264">
        <f>AE933*($L933*$P933+$M933*$Q933+$N933*$R933)</f>
        <v>0</v>
      </c>
      <c r="AF941" s="264">
        <f t="shared" ref="AF941:AH941" si="2327">AF933*($L933*$P933+$M933*$Q933+$N933*$R933)</f>
        <v>0</v>
      </c>
      <c r="AG941" s="264">
        <f t="shared" si="2327"/>
        <v>0</v>
      </c>
      <c r="AH941" s="264">
        <f t="shared" si="2327"/>
        <v>0</v>
      </c>
      <c r="AI941" s="264">
        <f>$AE941+$AF941+$AG941+$AH941</f>
        <v>0</v>
      </c>
      <c r="AJ941" s="264">
        <f t="shared" ref="AJ941:AJ948" si="2328">$AJ933*$L933</f>
        <v>0</v>
      </c>
      <c r="AK941" s="264">
        <f t="shared" ref="AK941:AK948" si="2329">$AK933*$M933</f>
        <v>0</v>
      </c>
      <c r="AL941" s="264">
        <f t="shared" ref="AL941:AL948" si="2330">$AL933*$N933</f>
        <v>0</v>
      </c>
      <c r="AM941" s="264">
        <f t="shared" ref="AM941:AM948" si="2331">$AJ941*$W933+$AK941*$X933+$AL941*$Y933</f>
        <v>0</v>
      </c>
      <c r="AN941" s="640">
        <f t="shared" si="2320"/>
        <v>0</v>
      </c>
      <c r="AO941" s="264">
        <f t="shared" ref="AO941:AO948" si="2332">$AJ941*$Z933+$AK941*$AA933+$AL941*$AB933</f>
        <v>0</v>
      </c>
      <c r="AP941" s="640">
        <f t="shared" si="2314"/>
        <v>0</v>
      </c>
      <c r="AQ941" s="264"/>
      <c r="AR941" s="264" t="str">
        <f>VLOOKUP($I941,TableInputsData[],ReadMe!$M$3,FALSE)&amp;"  |  "&amp;VLOOKUP($K941,TableInputsData[],ReadMe!$M$3,FALSE)</f>
        <v>SERVICE 03  |  CHIFFRE D'AFFAIRES</v>
      </c>
      <c r="AS941" s="264" t="b">
        <f t="shared" ref="AS941:AS948" si="2333">AND(EXACT(ROUND(AI941,2),ROUND(AJ941+AK941+AL941,2)),EXACT(ROUND(AI941,2),ROUND(AM941+AO941,2)))</f>
        <v>1</v>
      </c>
      <c r="AT941" s="294"/>
    </row>
    <row r="942" spans="1:46" ht="13" hidden="1" x14ac:dyDescent="0.2">
      <c r="A942" s="294"/>
      <c r="B942" s="924"/>
      <c r="C942" s="271">
        <v>935</v>
      </c>
      <c r="D942" s="250">
        <f t="shared" si="2321"/>
        <v>0</v>
      </c>
      <c r="E942" s="250"/>
      <c r="F942" s="248" t="str">
        <f t="shared" si="2326"/>
        <v>YEAR-1</v>
      </c>
      <c r="G942" s="250">
        <f>VLOOKUP(F942,TableInputsData[],$G$6,FALSE)</f>
        <v>2024</v>
      </c>
      <c r="H942" s="250" t="str">
        <f t="shared" si="2322"/>
        <v>SERVICE</v>
      </c>
      <c r="I942" s="248" t="str">
        <f t="shared" si="2322"/>
        <v>SERVICE 03</v>
      </c>
      <c r="J942" s="248" t="str">
        <f>VLOOKUP(I942,TableInputsData[],$J$6,FALSE)</f>
        <v>-</v>
      </c>
      <c r="K942" s="248" t="str">
        <f>K941</f>
        <v>REVENUE</v>
      </c>
      <c r="L942" s="255"/>
      <c r="M942" s="255"/>
      <c r="N942" s="255"/>
      <c r="O942" s="265"/>
      <c r="P942" s="260"/>
      <c r="Q942" s="260"/>
      <c r="R942" s="260"/>
      <c r="S942" s="630"/>
      <c r="T942" s="630"/>
      <c r="U942" s="630"/>
      <c r="V942" s="630"/>
      <c r="W942" s="260"/>
      <c r="X942" s="260"/>
      <c r="Y942" s="260"/>
      <c r="Z942" s="260"/>
      <c r="AA942" s="260"/>
      <c r="AB942" s="260"/>
      <c r="AC942" s="265"/>
      <c r="AD942" s="634"/>
      <c r="AE942" s="264">
        <f t="shared" ref="AE942:AH942" si="2334">AE934*($L934*$P934+$M934*$Q934+$N934*$R934)</f>
        <v>0</v>
      </c>
      <c r="AF942" s="264">
        <f t="shared" si="2334"/>
        <v>0</v>
      </c>
      <c r="AG942" s="264">
        <f t="shared" si="2334"/>
        <v>0</v>
      </c>
      <c r="AH942" s="264">
        <f t="shared" si="2334"/>
        <v>0</v>
      </c>
      <c r="AI942" s="264">
        <f t="shared" ref="AI942:AI947" si="2335">$AE942+$AF942+$AG942+$AH942</f>
        <v>0</v>
      </c>
      <c r="AJ942" s="264">
        <f t="shared" si="2328"/>
        <v>0</v>
      </c>
      <c r="AK942" s="264">
        <f t="shared" si="2329"/>
        <v>0</v>
      </c>
      <c r="AL942" s="264">
        <f t="shared" si="2330"/>
        <v>0</v>
      </c>
      <c r="AM942" s="264">
        <f t="shared" si="2331"/>
        <v>0</v>
      </c>
      <c r="AN942" s="640">
        <f t="shared" si="2320"/>
        <v>0</v>
      </c>
      <c r="AO942" s="264">
        <f t="shared" si="2332"/>
        <v>0</v>
      </c>
      <c r="AP942" s="640">
        <f t="shared" si="2314"/>
        <v>0</v>
      </c>
      <c r="AQ942" s="264"/>
      <c r="AR942" s="264" t="str">
        <f>VLOOKUP($I942,TableInputsData[],ReadMe!$M$3,FALSE)&amp;"  |  "&amp;VLOOKUP($K942,TableInputsData[],ReadMe!$M$3,FALSE)</f>
        <v>SERVICE 03  |  CHIFFRE D'AFFAIRES</v>
      </c>
      <c r="AS942" s="264" t="b">
        <f t="shared" si="2333"/>
        <v>1</v>
      </c>
      <c r="AT942" s="294"/>
    </row>
    <row r="943" spans="1:46" ht="13" hidden="1" x14ac:dyDescent="0.2">
      <c r="A943" s="294"/>
      <c r="B943" s="924"/>
      <c r="C943" s="271">
        <v>936</v>
      </c>
      <c r="D943" s="250">
        <f t="shared" si="2321"/>
        <v>0</v>
      </c>
      <c r="E943" s="250"/>
      <c r="F943" s="248" t="str">
        <f t="shared" si="2326"/>
        <v>CURRENT YEAR</v>
      </c>
      <c r="G943" s="250">
        <f>VLOOKUP(F943,TableInputsData[],$G$6,FALSE)</f>
        <v>2025</v>
      </c>
      <c r="H943" s="250" t="str">
        <f t="shared" si="2322"/>
        <v>SERVICE</v>
      </c>
      <c r="I943" s="248" t="str">
        <f t="shared" si="2322"/>
        <v>SERVICE 03</v>
      </c>
      <c r="J943" s="248" t="str">
        <f>VLOOKUP(I943,TableInputsData[],$J$6,FALSE)</f>
        <v>-</v>
      </c>
      <c r="K943" s="248" t="str">
        <f t="shared" ref="K943:K948" si="2336">K942</f>
        <v>REVENUE</v>
      </c>
      <c r="L943" s="255"/>
      <c r="M943" s="255"/>
      <c r="N943" s="255"/>
      <c r="O943" s="265"/>
      <c r="P943" s="260"/>
      <c r="Q943" s="260"/>
      <c r="R943" s="260"/>
      <c r="S943" s="630"/>
      <c r="T943" s="630"/>
      <c r="U943" s="630"/>
      <c r="V943" s="630"/>
      <c r="W943" s="260"/>
      <c r="X943" s="260"/>
      <c r="Y943" s="260"/>
      <c r="Z943" s="260"/>
      <c r="AA943" s="260"/>
      <c r="AB943" s="260"/>
      <c r="AC943" s="265"/>
      <c r="AD943" s="634"/>
      <c r="AE943" s="264">
        <f t="shared" ref="AE943:AH943" si="2337">AE935*($L935*$P935+$M935*$Q935+$N935*$R935)</f>
        <v>0</v>
      </c>
      <c r="AF943" s="264">
        <f t="shared" si="2337"/>
        <v>0</v>
      </c>
      <c r="AG943" s="264">
        <f t="shared" si="2337"/>
        <v>0</v>
      </c>
      <c r="AH943" s="264">
        <f t="shared" si="2337"/>
        <v>0</v>
      </c>
      <c r="AI943" s="264">
        <f t="shared" si="2335"/>
        <v>0</v>
      </c>
      <c r="AJ943" s="264">
        <f t="shared" si="2328"/>
        <v>0</v>
      </c>
      <c r="AK943" s="264">
        <f t="shared" si="2329"/>
        <v>0</v>
      </c>
      <c r="AL943" s="264">
        <f t="shared" si="2330"/>
        <v>0</v>
      </c>
      <c r="AM943" s="264">
        <f t="shared" si="2331"/>
        <v>0</v>
      </c>
      <c r="AN943" s="640">
        <f t="shared" si="2320"/>
        <v>0</v>
      </c>
      <c r="AO943" s="264">
        <f t="shared" si="2332"/>
        <v>0</v>
      </c>
      <c r="AP943" s="640">
        <f t="shared" si="2314"/>
        <v>0</v>
      </c>
      <c r="AQ943" s="264"/>
      <c r="AR943" s="264" t="str">
        <f>VLOOKUP($I943,TableInputsData[],ReadMe!$M$3,FALSE)&amp;"  |  "&amp;VLOOKUP($K943,TableInputsData[],ReadMe!$M$3,FALSE)</f>
        <v>SERVICE 03  |  CHIFFRE D'AFFAIRES</v>
      </c>
      <c r="AS943" s="264" t="b">
        <f t="shared" si="2333"/>
        <v>1</v>
      </c>
      <c r="AT943" s="294"/>
    </row>
    <row r="944" spans="1:46" ht="13" hidden="1" x14ac:dyDescent="0.2">
      <c r="A944" s="294"/>
      <c r="B944" s="924"/>
      <c r="C944" s="271">
        <v>937</v>
      </c>
      <c r="D944" s="250">
        <f t="shared" si="2321"/>
        <v>0</v>
      </c>
      <c r="E944" s="250"/>
      <c r="F944" s="248" t="str">
        <f t="shared" si="2326"/>
        <v>YEAR2</v>
      </c>
      <c r="G944" s="250">
        <f>VLOOKUP(F944,TableInputsData[],$G$6,FALSE)</f>
        <v>2026</v>
      </c>
      <c r="H944" s="250" t="str">
        <f t="shared" si="2322"/>
        <v>SERVICE</v>
      </c>
      <c r="I944" s="248" t="str">
        <f t="shared" si="2322"/>
        <v>SERVICE 03</v>
      </c>
      <c r="J944" s="248" t="str">
        <f>VLOOKUP(I944,TableInputsData[],$J$6,FALSE)</f>
        <v>-</v>
      </c>
      <c r="K944" s="248" t="str">
        <f t="shared" si="2336"/>
        <v>REVENUE</v>
      </c>
      <c r="L944" s="255"/>
      <c r="M944" s="255"/>
      <c r="N944" s="255"/>
      <c r="O944" s="265"/>
      <c r="P944" s="260"/>
      <c r="Q944" s="260"/>
      <c r="R944" s="260"/>
      <c r="S944" s="630"/>
      <c r="T944" s="630"/>
      <c r="U944" s="630"/>
      <c r="V944" s="630"/>
      <c r="W944" s="260"/>
      <c r="X944" s="260"/>
      <c r="Y944" s="260"/>
      <c r="Z944" s="260"/>
      <c r="AA944" s="260"/>
      <c r="AB944" s="260"/>
      <c r="AC944" s="265"/>
      <c r="AD944" s="634"/>
      <c r="AE944" s="264">
        <f t="shared" ref="AE944:AH944" si="2338">AE936*($L936*$P936+$M936*$Q936+$N936*$R936)</f>
        <v>0</v>
      </c>
      <c r="AF944" s="264">
        <f t="shared" si="2338"/>
        <v>0</v>
      </c>
      <c r="AG944" s="264">
        <f t="shared" si="2338"/>
        <v>0</v>
      </c>
      <c r="AH944" s="264">
        <f t="shared" si="2338"/>
        <v>0</v>
      </c>
      <c r="AI944" s="264">
        <f t="shared" si="2335"/>
        <v>0</v>
      </c>
      <c r="AJ944" s="264">
        <f t="shared" si="2328"/>
        <v>0</v>
      </c>
      <c r="AK944" s="264">
        <f t="shared" si="2329"/>
        <v>0</v>
      </c>
      <c r="AL944" s="264">
        <f t="shared" si="2330"/>
        <v>0</v>
      </c>
      <c r="AM944" s="264">
        <f t="shared" si="2331"/>
        <v>0</v>
      </c>
      <c r="AN944" s="640">
        <f t="shared" si="2320"/>
        <v>0</v>
      </c>
      <c r="AO944" s="264">
        <f t="shared" si="2332"/>
        <v>0</v>
      </c>
      <c r="AP944" s="640">
        <f t="shared" si="2314"/>
        <v>0</v>
      </c>
      <c r="AQ944" s="264"/>
      <c r="AR944" s="264" t="str">
        <f>VLOOKUP($I944,TableInputsData[],ReadMe!$M$3,FALSE)&amp;"  |  "&amp;VLOOKUP($K944,TableInputsData[],ReadMe!$M$3,FALSE)</f>
        <v>SERVICE 03  |  CHIFFRE D'AFFAIRES</v>
      </c>
      <c r="AS944" s="264" t="b">
        <f t="shared" si="2333"/>
        <v>1</v>
      </c>
      <c r="AT944" s="294"/>
    </row>
    <row r="945" spans="1:46" ht="13" hidden="1" x14ac:dyDescent="0.2">
      <c r="A945" s="294"/>
      <c r="B945" s="924"/>
      <c r="C945" s="271">
        <v>938</v>
      </c>
      <c r="D945" s="250">
        <f t="shared" si="2321"/>
        <v>0</v>
      </c>
      <c r="E945" s="250"/>
      <c r="F945" s="248" t="str">
        <f t="shared" si="2326"/>
        <v>YEAR3</v>
      </c>
      <c r="G945" s="250">
        <f>VLOOKUP(F945,TableInputsData[],$G$6,FALSE)</f>
        <v>2027</v>
      </c>
      <c r="H945" s="250" t="str">
        <f t="shared" si="2322"/>
        <v>SERVICE</v>
      </c>
      <c r="I945" s="248" t="str">
        <f t="shared" si="2322"/>
        <v>SERVICE 03</v>
      </c>
      <c r="J945" s="248" t="str">
        <f>VLOOKUP(I945,TableInputsData[],$J$6,FALSE)</f>
        <v>-</v>
      </c>
      <c r="K945" s="248" t="str">
        <f t="shared" si="2336"/>
        <v>REVENUE</v>
      </c>
      <c r="L945" s="255"/>
      <c r="M945" s="255"/>
      <c r="N945" s="255"/>
      <c r="O945" s="265"/>
      <c r="P945" s="260"/>
      <c r="Q945" s="260"/>
      <c r="R945" s="260"/>
      <c r="S945" s="630"/>
      <c r="T945" s="630"/>
      <c r="U945" s="630"/>
      <c r="V945" s="630"/>
      <c r="W945" s="260"/>
      <c r="X945" s="260"/>
      <c r="Y945" s="260"/>
      <c r="Z945" s="260"/>
      <c r="AA945" s="260"/>
      <c r="AB945" s="260"/>
      <c r="AC945" s="265"/>
      <c r="AD945" s="634"/>
      <c r="AE945" s="264">
        <f t="shared" ref="AE945:AH945" si="2339">AE937*($L937*$P937+$M937*$Q937+$N937*$R937)</f>
        <v>0</v>
      </c>
      <c r="AF945" s="264">
        <f t="shared" si="2339"/>
        <v>0</v>
      </c>
      <c r="AG945" s="264">
        <f t="shared" si="2339"/>
        <v>0</v>
      </c>
      <c r="AH945" s="264">
        <f t="shared" si="2339"/>
        <v>0</v>
      </c>
      <c r="AI945" s="264">
        <f t="shared" si="2335"/>
        <v>0</v>
      </c>
      <c r="AJ945" s="264">
        <f t="shared" si="2328"/>
        <v>0</v>
      </c>
      <c r="AK945" s="264">
        <f t="shared" si="2329"/>
        <v>0</v>
      </c>
      <c r="AL945" s="264">
        <f t="shared" si="2330"/>
        <v>0</v>
      </c>
      <c r="AM945" s="264">
        <f t="shared" si="2331"/>
        <v>0</v>
      </c>
      <c r="AN945" s="640">
        <f t="shared" si="2320"/>
        <v>0</v>
      </c>
      <c r="AO945" s="264">
        <f t="shared" si="2332"/>
        <v>0</v>
      </c>
      <c r="AP945" s="640">
        <f t="shared" si="2314"/>
        <v>0</v>
      </c>
      <c r="AQ945" s="264"/>
      <c r="AR945" s="264" t="str">
        <f>VLOOKUP($I945,TableInputsData[],ReadMe!$M$3,FALSE)&amp;"  |  "&amp;VLOOKUP($K945,TableInputsData[],ReadMe!$M$3,FALSE)</f>
        <v>SERVICE 03  |  CHIFFRE D'AFFAIRES</v>
      </c>
      <c r="AS945" s="264" t="b">
        <f t="shared" si="2333"/>
        <v>1</v>
      </c>
      <c r="AT945" s="294"/>
    </row>
    <row r="946" spans="1:46" ht="13" hidden="1" x14ac:dyDescent="0.2">
      <c r="A946" s="294"/>
      <c r="B946" s="924"/>
      <c r="C946" s="271">
        <v>939</v>
      </c>
      <c r="D946" s="250">
        <f t="shared" si="2321"/>
        <v>0</v>
      </c>
      <c r="E946" s="250"/>
      <c r="F946" s="248" t="str">
        <f t="shared" si="2326"/>
        <v>YEAR4</v>
      </c>
      <c r="G946" s="250">
        <f>VLOOKUP(F946,TableInputsData[],$G$6,FALSE)</f>
        <v>2028</v>
      </c>
      <c r="H946" s="250" t="str">
        <f t="shared" si="2322"/>
        <v>SERVICE</v>
      </c>
      <c r="I946" s="248" t="str">
        <f t="shared" si="2322"/>
        <v>SERVICE 03</v>
      </c>
      <c r="J946" s="248" t="str">
        <f>VLOOKUP(I946,TableInputsData[],$J$6,FALSE)</f>
        <v>-</v>
      </c>
      <c r="K946" s="248" t="str">
        <f t="shared" si="2336"/>
        <v>REVENUE</v>
      </c>
      <c r="L946" s="255"/>
      <c r="M946" s="255"/>
      <c r="N946" s="255"/>
      <c r="O946" s="265"/>
      <c r="P946" s="260"/>
      <c r="Q946" s="260"/>
      <c r="R946" s="260"/>
      <c r="S946" s="630"/>
      <c r="T946" s="630"/>
      <c r="U946" s="630"/>
      <c r="V946" s="630"/>
      <c r="W946" s="260"/>
      <c r="X946" s="260"/>
      <c r="Y946" s="260"/>
      <c r="Z946" s="260"/>
      <c r="AA946" s="260"/>
      <c r="AB946" s="260"/>
      <c r="AC946" s="265"/>
      <c r="AD946" s="634"/>
      <c r="AE946" s="264">
        <f t="shared" ref="AE946:AH946" si="2340">AE938*($L938*$P938+$M938*$Q938+$N938*$R938)</f>
        <v>0</v>
      </c>
      <c r="AF946" s="264">
        <f t="shared" si="2340"/>
        <v>0</v>
      </c>
      <c r="AG946" s="264">
        <f t="shared" si="2340"/>
        <v>0</v>
      </c>
      <c r="AH946" s="264">
        <f t="shared" si="2340"/>
        <v>0</v>
      </c>
      <c r="AI946" s="264">
        <f t="shared" si="2335"/>
        <v>0</v>
      </c>
      <c r="AJ946" s="264">
        <f t="shared" si="2328"/>
        <v>0</v>
      </c>
      <c r="AK946" s="264">
        <f t="shared" si="2329"/>
        <v>0</v>
      </c>
      <c r="AL946" s="264">
        <f t="shared" si="2330"/>
        <v>0</v>
      </c>
      <c r="AM946" s="264">
        <f t="shared" si="2331"/>
        <v>0</v>
      </c>
      <c r="AN946" s="640">
        <f t="shared" si="2320"/>
        <v>0</v>
      </c>
      <c r="AO946" s="264">
        <f t="shared" si="2332"/>
        <v>0</v>
      </c>
      <c r="AP946" s="640">
        <f t="shared" si="2314"/>
        <v>0</v>
      </c>
      <c r="AQ946" s="264"/>
      <c r="AR946" s="264" t="str">
        <f>VLOOKUP($I946,TableInputsData[],ReadMe!$M$3,FALSE)&amp;"  |  "&amp;VLOOKUP($K946,TableInputsData[],ReadMe!$M$3,FALSE)</f>
        <v>SERVICE 03  |  CHIFFRE D'AFFAIRES</v>
      </c>
      <c r="AS946" s="264" t="b">
        <f t="shared" si="2333"/>
        <v>1</v>
      </c>
      <c r="AT946" s="294"/>
    </row>
    <row r="947" spans="1:46" ht="13" hidden="1" x14ac:dyDescent="0.2">
      <c r="A947" s="294"/>
      <c r="B947" s="924"/>
      <c r="C947" s="271">
        <v>940</v>
      </c>
      <c r="D947" s="250">
        <f t="shared" si="2321"/>
        <v>0</v>
      </c>
      <c r="E947" s="250"/>
      <c r="F947" s="248" t="str">
        <f t="shared" si="2326"/>
        <v>YEAR5</v>
      </c>
      <c r="G947" s="250">
        <f>VLOOKUP(F947,TableInputsData[],$G$6,FALSE)</f>
        <v>2029</v>
      </c>
      <c r="H947" s="250" t="str">
        <f t="shared" si="2322"/>
        <v>SERVICE</v>
      </c>
      <c r="I947" s="248" t="str">
        <f t="shared" si="2322"/>
        <v>SERVICE 03</v>
      </c>
      <c r="J947" s="248" t="str">
        <f>VLOOKUP(I947,TableInputsData[],$J$6,FALSE)</f>
        <v>-</v>
      </c>
      <c r="K947" s="248" t="str">
        <f t="shared" si="2336"/>
        <v>REVENUE</v>
      </c>
      <c r="L947" s="255"/>
      <c r="M947" s="255"/>
      <c r="N947" s="255"/>
      <c r="O947" s="265"/>
      <c r="P947" s="260"/>
      <c r="Q947" s="260"/>
      <c r="R947" s="260"/>
      <c r="S947" s="630"/>
      <c r="T947" s="630"/>
      <c r="U947" s="630"/>
      <c r="V947" s="630"/>
      <c r="W947" s="260"/>
      <c r="X947" s="260"/>
      <c r="Y947" s="260"/>
      <c r="Z947" s="260"/>
      <c r="AA947" s="260"/>
      <c r="AB947" s="260"/>
      <c r="AC947" s="265"/>
      <c r="AD947" s="634"/>
      <c r="AE947" s="264">
        <f t="shared" ref="AE947:AH947" si="2341">AE939*($L939*$P939+$M939*$Q939+$N939*$R939)</f>
        <v>0</v>
      </c>
      <c r="AF947" s="264">
        <f t="shared" si="2341"/>
        <v>0</v>
      </c>
      <c r="AG947" s="264">
        <f t="shared" si="2341"/>
        <v>0</v>
      </c>
      <c r="AH947" s="264">
        <f t="shared" si="2341"/>
        <v>0</v>
      </c>
      <c r="AI947" s="264">
        <f t="shared" si="2335"/>
        <v>0</v>
      </c>
      <c r="AJ947" s="264">
        <f t="shared" si="2328"/>
        <v>0</v>
      </c>
      <c r="AK947" s="264">
        <f t="shared" si="2329"/>
        <v>0</v>
      </c>
      <c r="AL947" s="264">
        <f t="shared" si="2330"/>
        <v>0</v>
      </c>
      <c r="AM947" s="264">
        <f t="shared" si="2331"/>
        <v>0</v>
      </c>
      <c r="AN947" s="640">
        <f t="shared" si="2320"/>
        <v>0</v>
      </c>
      <c r="AO947" s="264">
        <f t="shared" si="2332"/>
        <v>0</v>
      </c>
      <c r="AP947" s="640">
        <f t="shared" si="2314"/>
        <v>0</v>
      </c>
      <c r="AQ947" s="264"/>
      <c r="AR947" s="264" t="str">
        <f>VLOOKUP($I947,TableInputsData[],ReadMe!$M$3,FALSE)&amp;"  |  "&amp;VLOOKUP($K947,TableInputsData[],ReadMe!$M$3,FALSE)</f>
        <v>SERVICE 03  |  CHIFFRE D'AFFAIRES</v>
      </c>
      <c r="AS947" s="264" t="b">
        <f t="shared" si="2333"/>
        <v>1</v>
      </c>
      <c r="AT947" s="294"/>
    </row>
    <row r="948" spans="1:46" ht="13" hidden="1" x14ac:dyDescent="0.2">
      <c r="A948" s="294"/>
      <c r="B948" s="924"/>
      <c r="C948" s="271">
        <v>941</v>
      </c>
      <c r="D948" s="250">
        <f t="shared" si="2321"/>
        <v>0</v>
      </c>
      <c r="E948" s="250"/>
      <c r="F948" s="248" t="str">
        <f t="shared" si="2326"/>
        <v>YEAR6</v>
      </c>
      <c r="G948" s="250">
        <f>VLOOKUP(F948,TableInputsData[],$G$6,FALSE)</f>
        <v>2030</v>
      </c>
      <c r="H948" s="250" t="str">
        <f t="shared" si="2322"/>
        <v>SERVICE</v>
      </c>
      <c r="I948" s="248" t="str">
        <f t="shared" si="2322"/>
        <v>SERVICE 03</v>
      </c>
      <c r="J948" s="248" t="str">
        <f>VLOOKUP(I948,TableInputsData[],$J$6,FALSE)</f>
        <v>-</v>
      </c>
      <c r="K948" s="248" t="str">
        <f t="shared" si="2336"/>
        <v>REVENUE</v>
      </c>
      <c r="L948" s="255"/>
      <c r="M948" s="255"/>
      <c r="N948" s="255"/>
      <c r="O948" s="265"/>
      <c r="P948" s="260"/>
      <c r="Q948" s="260"/>
      <c r="R948" s="260"/>
      <c r="S948" s="630"/>
      <c r="T948" s="630"/>
      <c r="U948" s="630"/>
      <c r="V948" s="630"/>
      <c r="W948" s="260"/>
      <c r="X948" s="260"/>
      <c r="Y948" s="260"/>
      <c r="Z948" s="260"/>
      <c r="AA948" s="260"/>
      <c r="AB948" s="260"/>
      <c r="AC948" s="265"/>
      <c r="AD948" s="634"/>
      <c r="AE948" s="264">
        <f t="shared" ref="AE948:AH948" si="2342">AE940*($L940*$P940+$M940*$Q940+$N940*$R940)</f>
        <v>0</v>
      </c>
      <c r="AF948" s="264">
        <f t="shared" si="2342"/>
        <v>0</v>
      </c>
      <c r="AG948" s="264">
        <f t="shared" si="2342"/>
        <v>0</v>
      </c>
      <c r="AH948" s="264">
        <f t="shared" si="2342"/>
        <v>0</v>
      </c>
      <c r="AI948" s="264">
        <f>$AE948+$AF948+$AG948+$AH948</f>
        <v>0</v>
      </c>
      <c r="AJ948" s="264">
        <f t="shared" si="2328"/>
        <v>0</v>
      </c>
      <c r="AK948" s="264">
        <f t="shared" si="2329"/>
        <v>0</v>
      </c>
      <c r="AL948" s="264">
        <f t="shared" si="2330"/>
        <v>0</v>
      </c>
      <c r="AM948" s="264">
        <f t="shared" si="2331"/>
        <v>0</v>
      </c>
      <c r="AN948" s="640">
        <f t="shared" si="2320"/>
        <v>0</v>
      </c>
      <c r="AO948" s="264">
        <f t="shared" si="2332"/>
        <v>0</v>
      </c>
      <c r="AP948" s="640">
        <f t="shared" si="2314"/>
        <v>0</v>
      </c>
      <c r="AQ948" s="264"/>
      <c r="AR948" s="264" t="str">
        <f>VLOOKUP($I948,TableInputsData[],ReadMe!$M$3,FALSE)&amp;"  |  "&amp;VLOOKUP($K948,TableInputsData[],ReadMe!$M$3,FALSE)</f>
        <v>SERVICE 03  |  CHIFFRE D'AFFAIRES</v>
      </c>
      <c r="AS948" s="264" t="b">
        <f t="shared" si="2333"/>
        <v>1</v>
      </c>
      <c r="AT948" s="294"/>
    </row>
    <row r="949" spans="1:46" ht="13" hidden="1" x14ac:dyDescent="0.2">
      <c r="A949" s="294"/>
      <c r="B949" s="924"/>
      <c r="C949" s="271">
        <v>942</v>
      </c>
      <c r="D949" s="250">
        <f t="shared" si="2321"/>
        <v>0</v>
      </c>
      <c r="E949" s="250"/>
      <c r="F949" s="248" t="str">
        <f t="shared" ref="F949:F956" si="2343">F933</f>
        <v>YEAR-2</v>
      </c>
      <c r="G949" s="250">
        <f>VLOOKUP(F949,TableInputsData[],$G$6,FALSE)</f>
        <v>2023</v>
      </c>
      <c r="H949" s="250" t="str">
        <f t="shared" si="2322"/>
        <v>SERVICE</v>
      </c>
      <c r="I949" s="248" t="str">
        <f t="shared" si="2322"/>
        <v>SERVICE 03</v>
      </c>
      <c r="J949" s="248" t="str">
        <f>VLOOKUP(I949,TableInputsData[],$J$6,FALSE)</f>
        <v>-</v>
      </c>
      <c r="K949" s="248" t="s">
        <v>456</v>
      </c>
      <c r="L949" s="255"/>
      <c r="M949" s="255"/>
      <c r="N949" s="255"/>
      <c r="O949" s="265"/>
      <c r="P949" s="260"/>
      <c r="Q949" s="260"/>
      <c r="R949" s="260"/>
      <c r="S949" s="630"/>
      <c r="T949" s="630"/>
      <c r="U949" s="630"/>
      <c r="V949" s="630"/>
      <c r="W949" s="260"/>
      <c r="X949" s="260"/>
      <c r="Y949" s="260"/>
      <c r="Z949" s="260"/>
      <c r="AA949" s="260"/>
      <c r="AB949" s="260"/>
      <c r="AC949" s="265"/>
      <c r="AD949" s="634"/>
      <c r="AE949" s="264">
        <f>IF(AE933=0,0,AE941/AE933)</f>
        <v>0</v>
      </c>
      <c r="AF949" s="264">
        <f t="shared" ref="AF949:AI949" si="2344">IF(AF933=0,0,AF941/AF933)</f>
        <v>0</v>
      </c>
      <c r="AG949" s="264">
        <f t="shared" si="2344"/>
        <v>0</v>
      </c>
      <c r="AH949" s="264">
        <f t="shared" si="2344"/>
        <v>0</v>
      </c>
      <c r="AI949" s="264">
        <f t="shared" si="2344"/>
        <v>0</v>
      </c>
      <c r="AJ949" s="264">
        <f>IF(AJ933=0,0,AJ941/AJ933)</f>
        <v>0</v>
      </c>
      <c r="AK949" s="264">
        <f t="shared" ref="AK949:AL949" si="2345">IF(AK933=0,0,AK941/AK933)</f>
        <v>0</v>
      </c>
      <c r="AL949" s="264">
        <f t="shared" si="2345"/>
        <v>0</v>
      </c>
      <c r="AM949" s="264">
        <f>IF(AM933=0,0,AM941/AM933)</f>
        <v>0</v>
      </c>
      <c r="AN949" s="260"/>
      <c r="AO949" s="264">
        <f t="shared" ref="AO949" si="2346">IF(AO933=0,0,AO941/AO933)</f>
        <v>0</v>
      </c>
      <c r="AP949" s="260"/>
      <c r="AQ949" s="264"/>
      <c r="AR949" s="264" t="str">
        <f>VLOOKUP($I949,TableInputsData[],ReadMe!$M$3,FALSE)&amp;"  |  "&amp;VLOOKUP($K949,TableInputsData[],ReadMe!$M$3,FALSE)</f>
        <v>SERVICE 03  |  PRIX MOYEN DE VENTE PAR PRODUIT/SERVICE</v>
      </c>
      <c r="AS949" s="264"/>
      <c r="AT949" s="294"/>
    </row>
    <row r="950" spans="1:46" ht="13" hidden="1" x14ac:dyDescent="0.2">
      <c r="A950" s="294"/>
      <c r="B950" s="924"/>
      <c r="C950" s="271">
        <v>943</v>
      </c>
      <c r="D950" s="250">
        <f t="shared" si="2321"/>
        <v>0</v>
      </c>
      <c r="E950" s="250"/>
      <c r="F950" s="248" t="str">
        <f t="shared" si="2343"/>
        <v>YEAR-1</v>
      </c>
      <c r="G950" s="250">
        <f>VLOOKUP(F950,TableInputsData[],$G$6,FALSE)</f>
        <v>2024</v>
      </c>
      <c r="H950" s="250" t="str">
        <f t="shared" si="2322"/>
        <v>SERVICE</v>
      </c>
      <c r="I950" s="248" t="str">
        <f t="shared" si="2322"/>
        <v>SERVICE 03</v>
      </c>
      <c r="J950" s="248" t="str">
        <f>VLOOKUP(I950,TableInputsData[],$J$6,FALSE)</f>
        <v>-</v>
      </c>
      <c r="K950" s="248" t="str">
        <f>K949</f>
        <v>AVERAGE SELLING PRICE PER UNIT</v>
      </c>
      <c r="L950" s="255"/>
      <c r="M950" s="255"/>
      <c r="N950" s="255"/>
      <c r="O950" s="265"/>
      <c r="P950" s="260"/>
      <c r="Q950" s="260"/>
      <c r="R950" s="260"/>
      <c r="S950" s="630"/>
      <c r="T950" s="630"/>
      <c r="U950" s="630"/>
      <c r="V950" s="630"/>
      <c r="W950" s="260"/>
      <c r="X950" s="260"/>
      <c r="Y950" s="260"/>
      <c r="Z950" s="260"/>
      <c r="AA950" s="260"/>
      <c r="AB950" s="260"/>
      <c r="AC950" s="265"/>
      <c r="AD950" s="634"/>
      <c r="AE950" s="264">
        <f>IF(AE934=0,0,AE942/AE934)</f>
        <v>0</v>
      </c>
      <c r="AF950" s="264">
        <f t="shared" ref="AF950:AM950" si="2347">IF(AF934=0,0,AF942/AF934)</f>
        <v>0</v>
      </c>
      <c r="AG950" s="264">
        <f t="shared" si="2347"/>
        <v>0</v>
      </c>
      <c r="AH950" s="264">
        <f t="shared" si="2347"/>
        <v>0</v>
      </c>
      <c r="AI950" s="264">
        <f t="shared" si="2347"/>
        <v>0</v>
      </c>
      <c r="AJ950" s="264">
        <f t="shared" si="2347"/>
        <v>0</v>
      </c>
      <c r="AK950" s="264">
        <f t="shared" si="2347"/>
        <v>0</v>
      </c>
      <c r="AL950" s="264">
        <f t="shared" si="2347"/>
        <v>0</v>
      </c>
      <c r="AM950" s="264">
        <f t="shared" si="2347"/>
        <v>0</v>
      </c>
      <c r="AN950" s="260"/>
      <c r="AO950" s="264">
        <f t="shared" ref="AO950" si="2348">IF(AO934=0,0,AO942/AO934)</f>
        <v>0</v>
      </c>
      <c r="AP950" s="260"/>
      <c r="AQ950" s="264"/>
      <c r="AR950" s="264" t="str">
        <f>VLOOKUP($I950,TableInputsData[],ReadMe!$M$3,FALSE)&amp;"  |  "&amp;VLOOKUP($K950,TableInputsData[],ReadMe!$M$3,FALSE)</f>
        <v>SERVICE 03  |  PRIX MOYEN DE VENTE PAR PRODUIT/SERVICE</v>
      </c>
      <c r="AS950" s="264"/>
      <c r="AT950" s="294"/>
    </row>
    <row r="951" spans="1:46" ht="13" hidden="1" x14ac:dyDescent="0.2">
      <c r="A951" s="294"/>
      <c r="B951" s="924"/>
      <c r="C951" s="271">
        <v>944</v>
      </c>
      <c r="D951" s="250">
        <f t="shared" si="2321"/>
        <v>0</v>
      </c>
      <c r="E951" s="250"/>
      <c r="F951" s="248" t="str">
        <f t="shared" si="2343"/>
        <v>CURRENT YEAR</v>
      </c>
      <c r="G951" s="250">
        <f>VLOOKUP(F951,TableInputsData[],$G$6,FALSE)</f>
        <v>2025</v>
      </c>
      <c r="H951" s="250" t="str">
        <f t="shared" si="2322"/>
        <v>SERVICE</v>
      </c>
      <c r="I951" s="248" t="str">
        <f t="shared" si="2322"/>
        <v>SERVICE 03</v>
      </c>
      <c r="J951" s="248" t="str">
        <f>VLOOKUP(I951,TableInputsData[],$J$6,FALSE)</f>
        <v>-</v>
      </c>
      <c r="K951" s="248" t="str">
        <f t="shared" ref="K951:K956" si="2349">K950</f>
        <v>AVERAGE SELLING PRICE PER UNIT</v>
      </c>
      <c r="L951" s="255"/>
      <c r="M951" s="255"/>
      <c r="N951" s="255"/>
      <c r="O951" s="265"/>
      <c r="P951" s="260"/>
      <c r="Q951" s="260"/>
      <c r="R951" s="260"/>
      <c r="S951" s="630"/>
      <c r="T951" s="630"/>
      <c r="U951" s="630"/>
      <c r="V951" s="630"/>
      <c r="W951" s="260"/>
      <c r="X951" s="260"/>
      <c r="Y951" s="260"/>
      <c r="Z951" s="260"/>
      <c r="AA951" s="260"/>
      <c r="AB951" s="260"/>
      <c r="AC951" s="265"/>
      <c r="AD951" s="634"/>
      <c r="AE951" s="264">
        <f>IF(AE935=0,0,AE943/AE935)</f>
        <v>0</v>
      </c>
      <c r="AF951" s="264">
        <f t="shared" ref="AF951:AM951" si="2350">IF(AF935=0,0,AF943/AF935)</f>
        <v>0</v>
      </c>
      <c r="AG951" s="264">
        <f t="shared" si="2350"/>
        <v>0</v>
      </c>
      <c r="AH951" s="264">
        <f t="shared" si="2350"/>
        <v>0</v>
      </c>
      <c r="AI951" s="264">
        <f t="shared" si="2350"/>
        <v>0</v>
      </c>
      <c r="AJ951" s="264">
        <f t="shared" si="2350"/>
        <v>0</v>
      </c>
      <c r="AK951" s="264">
        <f t="shared" si="2350"/>
        <v>0</v>
      </c>
      <c r="AL951" s="264">
        <f t="shared" si="2350"/>
        <v>0</v>
      </c>
      <c r="AM951" s="264">
        <f t="shared" si="2350"/>
        <v>0</v>
      </c>
      <c r="AN951" s="260"/>
      <c r="AO951" s="264">
        <f t="shared" ref="AO951" si="2351">IF(AO935=0,0,AO943/AO935)</f>
        <v>0</v>
      </c>
      <c r="AP951" s="260"/>
      <c r="AQ951" s="264"/>
      <c r="AR951" s="264" t="str">
        <f>VLOOKUP($I951,TableInputsData[],ReadMe!$M$3,FALSE)&amp;"  |  "&amp;VLOOKUP($K951,TableInputsData[],ReadMe!$M$3,FALSE)</f>
        <v>SERVICE 03  |  PRIX MOYEN DE VENTE PAR PRODUIT/SERVICE</v>
      </c>
      <c r="AS951" s="264"/>
      <c r="AT951" s="294"/>
    </row>
    <row r="952" spans="1:46" ht="13" hidden="1" x14ac:dyDescent="0.2">
      <c r="A952" s="294"/>
      <c r="B952" s="924"/>
      <c r="C952" s="271">
        <v>945</v>
      </c>
      <c r="D952" s="250">
        <f t="shared" si="2321"/>
        <v>0</v>
      </c>
      <c r="E952" s="250"/>
      <c r="F952" s="248" t="str">
        <f t="shared" si="2343"/>
        <v>YEAR2</v>
      </c>
      <c r="G952" s="250">
        <f>VLOOKUP(F952,TableInputsData[],$G$6,FALSE)</f>
        <v>2026</v>
      </c>
      <c r="H952" s="250" t="str">
        <f t="shared" si="2322"/>
        <v>SERVICE</v>
      </c>
      <c r="I952" s="248" t="str">
        <f t="shared" si="2322"/>
        <v>SERVICE 03</v>
      </c>
      <c r="J952" s="248" t="str">
        <f>VLOOKUP(I952,TableInputsData[],$J$6,FALSE)</f>
        <v>-</v>
      </c>
      <c r="K952" s="248" t="str">
        <f t="shared" si="2349"/>
        <v>AVERAGE SELLING PRICE PER UNIT</v>
      </c>
      <c r="L952" s="255"/>
      <c r="M952" s="255"/>
      <c r="N952" s="255"/>
      <c r="O952" s="265"/>
      <c r="P952" s="260"/>
      <c r="Q952" s="260"/>
      <c r="R952" s="260"/>
      <c r="S952" s="630"/>
      <c r="T952" s="630"/>
      <c r="U952" s="630"/>
      <c r="V952" s="630"/>
      <c r="W952" s="260"/>
      <c r="X952" s="260"/>
      <c r="Y952" s="260"/>
      <c r="Z952" s="260"/>
      <c r="AA952" s="260"/>
      <c r="AB952" s="260"/>
      <c r="AC952" s="265"/>
      <c r="AD952" s="634"/>
      <c r="AE952" s="264">
        <f>IF(AE936=0,0,AE944/AE936)</f>
        <v>0</v>
      </c>
      <c r="AF952" s="264">
        <f t="shared" ref="AF952:AM952" si="2352">IF(AF936=0,0,AF944/AF936)</f>
        <v>0</v>
      </c>
      <c r="AG952" s="264">
        <f t="shared" si="2352"/>
        <v>0</v>
      </c>
      <c r="AH952" s="264">
        <f t="shared" si="2352"/>
        <v>0</v>
      </c>
      <c r="AI952" s="264">
        <f t="shared" si="2352"/>
        <v>0</v>
      </c>
      <c r="AJ952" s="264">
        <f t="shared" si="2352"/>
        <v>0</v>
      </c>
      <c r="AK952" s="264">
        <f t="shared" si="2352"/>
        <v>0</v>
      </c>
      <c r="AL952" s="264">
        <f t="shared" si="2352"/>
        <v>0</v>
      </c>
      <c r="AM952" s="264">
        <f t="shared" si="2352"/>
        <v>0</v>
      </c>
      <c r="AN952" s="260"/>
      <c r="AO952" s="264">
        <f t="shared" ref="AO952" si="2353">IF(AO936=0,0,AO944/AO936)</f>
        <v>0</v>
      </c>
      <c r="AP952" s="260"/>
      <c r="AQ952" s="264"/>
      <c r="AR952" s="264" t="str">
        <f>VLOOKUP($I952,TableInputsData[],ReadMe!$M$3,FALSE)&amp;"  |  "&amp;VLOOKUP($K952,TableInputsData[],ReadMe!$M$3,FALSE)</f>
        <v>SERVICE 03  |  PRIX MOYEN DE VENTE PAR PRODUIT/SERVICE</v>
      </c>
      <c r="AS952" s="264"/>
      <c r="AT952" s="294"/>
    </row>
    <row r="953" spans="1:46" ht="13" hidden="1" x14ac:dyDescent="0.2">
      <c r="A953" s="294"/>
      <c r="B953" s="924"/>
      <c r="C953" s="271">
        <v>946</v>
      </c>
      <c r="D953" s="250">
        <f t="shared" si="2321"/>
        <v>0</v>
      </c>
      <c r="E953" s="250"/>
      <c r="F953" s="248" t="str">
        <f t="shared" si="2343"/>
        <v>YEAR3</v>
      </c>
      <c r="G953" s="250">
        <f>VLOOKUP(F953,TableInputsData[],$G$6,FALSE)</f>
        <v>2027</v>
      </c>
      <c r="H953" s="250" t="str">
        <f t="shared" si="2322"/>
        <v>SERVICE</v>
      </c>
      <c r="I953" s="248" t="str">
        <f t="shared" si="2322"/>
        <v>SERVICE 03</v>
      </c>
      <c r="J953" s="248" t="str">
        <f>VLOOKUP(I953,TableInputsData[],$J$6,FALSE)</f>
        <v>-</v>
      </c>
      <c r="K953" s="248" t="str">
        <f t="shared" si="2349"/>
        <v>AVERAGE SELLING PRICE PER UNIT</v>
      </c>
      <c r="L953" s="255"/>
      <c r="M953" s="255"/>
      <c r="N953" s="255"/>
      <c r="O953" s="265"/>
      <c r="P953" s="260"/>
      <c r="Q953" s="260"/>
      <c r="R953" s="260"/>
      <c r="S953" s="630"/>
      <c r="T953" s="630"/>
      <c r="U953" s="630"/>
      <c r="V953" s="630"/>
      <c r="W953" s="260"/>
      <c r="X953" s="260"/>
      <c r="Y953" s="260"/>
      <c r="Z953" s="260"/>
      <c r="AA953" s="260"/>
      <c r="AB953" s="260"/>
      <c r="AC953" s="265"/>
      <c r="AD953" s="634"/>
      <c r="AE953" s="264">
        <f t="shared" ref="AE953:AM953" si="2354">IF(AE937=0,0,AE945/AE937)</f>
        <v>0</v>
      </c>
      <c r="AF953" s="264">
        <f t="shared" si="2354"/>
        <v>0</v>
      </c>
      <c r="AG953" s="264">
        <f t="shared" si="2354"/>
        <v>0</v>
      </c>
      <c r="AH953" s="264">
        <f t="shared" si="2354"/>
        <v>0</v>
      </c>
      <c r="AI953" s="264">
        <f t="shared" si="2354"/>
        <v>0</v>
      </c>
      <c r="AJ953" s="264">
        <f t="shared" si="2354"/>
        <v>0</v>
      </c>
      <c r="AK953" s="264">
        <f t="shared" si="2354"/>
        <v>0</v>
      </c>
      <c r="AL953" s="264">
        <f t="shared" si="2354"/>
        <v>0</v>
      </c>
      <c r="AM953" s="264">
        <f t="shared" si="2354"/>
        <v>0</v>
      </c>
      <c r="AN953" s="260"/>
      <c r="AO953" s="264">
        <f t="shared" ref="AO953" si="2355">IF(AO937=0,0,AO945/AO937)</f>
        <v>0</v>
      </c>
      <c r="AP953" s="260"/>
      <c r="AQ953" s="264"/>
      <c r="AR953" s="264" t="str">
        <f>VLOOKUP($I953,TableInputsData[],ReadMe!$M$3,FALSE)&amp;"  |  "&amp;VLOOKUP($K953,TableInputsData[],ReadMe!$M$3,FALSE)</f>
        <v>SERVICE 03  |  PRIX MOYEN DE VENTE PAR PRODUIT/SERVICE</v>
      </c>
      <c r="AS953" s="264"/>
      <c r="AT953" s="294"/>
    </row>
    <row r="954" spans="1:46" ht="13" hidden="1" x14ac:dyDescent="0.2">
      <c r="A954" s="294"/>
      <c r="B954" s="924"/>
      <c r="C954" s="272">
        <v>947</v>
      </c>
      <c r="D954" s="250">
        <f t="shared" si="2321"/>
        <v>0</v>
      </c>
      <c r="E954" s="251"/>
      <c r="F954" s="248" t="str">
        <f t="shared" si="2343"/>
        <v>YEAR4</v>
      </c>
      <c r="G954" s="250">
        <f>VLOOKUP(F954,TableInputsData[],$G$6,FALSE)</f>
        <v>2028</v>
      </c>
      <c r="H954" s="250" t="str">
        <f t="shared" si="2322"/>
        <v>SERVICE</v>
      </c>
      <c r="I954" s="248" t="str">
        <f t="shared" si="2322"/>
        <v>SERVICE 03</v>
      </c>
      <c r="J954" s="248" t="str">
        <f>VLOOKUP(I954,TableInputsData[],$J$6,FALSE)</f>
        <v>-</v>
      </c>
      <c r="K954" s="248" t="str">
        <f t="shared" si="2349"/>
        <v>AVERAGE SELLING PRICE PER UNIT</v>
      </c>
      <c r="L954" s="256"/>
      <c r="M954" s="256"/>
      <c r="N954" s="256"/>
      <c r="O954" s="266"/>
      <c r="P954" s="261"/>
      <c r="Q954" s="261"/>
      <c r="R954" s="261"/>
      <c r="S954" s="629"/>
      <c r="T954" s="629"/>
      <c r="U954" s="629"/>
      <c r="V954" s="629"/>
      <c r="W954" s="261"/>
      <c r="X954" s="261"/>
      <c r="Y954" s="261"/>
      <c r="Z954" s="261"/>
      <c r="AA954" s="261"/>
      <c r="AB954" s="261"/>
      <c r="AC954" s="266"/>
      <c r="AD954" s="633"/>
      <c r="AE954" s="264">
        <f t="shared" ref="AE954:AM954" si="2356">IF(AE938=0,0,AE946/AE938)</f>
        <v>0</v>
      </c>
      <c r="AF954" s="264">
        <f t="shared" si="2356"/>
        <v>0</v>
      </c>
      <c r="AG954" s="264">
        <f t="shared" si="2356"/>
        <v>0</v>
      </c>
      <c r="AH954" s="264">
        <f t="shared" si="2356"/>
        <v>0</v>
      </c>
      <c r="AI954" s="264">
        <f t="shared" si="2356"/>
        <v>0</v>
      </c>
      <c r="AJ954" s="264">
        <f t="shared" si="2356"/>
        <v>0</v>
      </c>
      <c r="AK954" s="264">
        <f t="shared" si="2356"/>
        <v>0</v>
      </c>
      <c r="AL954" s="264">
        <f t="shared" si="2356"/>
        <v>0</v>
      </c>
      <c r="AM954" s="264">
        <f t="shared" si="2356"/>
        <v>0</v>
      </c>
      <c r="AN954" s="260"/>
      <c r="AO954" s="264">
        <f t="shared" ref="AO954" si="2357">IF(AO938=0,0,AO946/AO938)</f>
        <v>0</v>
      </c>
      <c r="AP954" s="260"/>
      <c r="AQ954" s="264"/>
      <c r="AR954" s="264" t="str">
        <f>VLOOKUP($I954,TableInputsData[],ReadMe!$M$3,FALSE)&amp;"  |  "&amp;VLOOKUP($K954,TableInputsData[],ReadMe!$M$3,FALSE)</f>
        <v>SERVICE 03  |  PRIX MOYEN DE VENTE PAR PRODUIT/SERVICE</v>
      </c>
      <c r="AS954" s="264"/>
      <c r="AT954" s="294"/>
    </row>
    <row r="955" spans="1:46" ht="13" hidden="1" x14ac:dyDescent="0.2">
      <c r="A955" s="294"/>
      <c r="B955" s="924"/>
      <c r="C955" s="271">
        <v>948</v>
      </c>
      <c r="D955" s="250">
        <f t="shared" si="2321"/>
        <v>0</v>
      </c>
      <c r="E955" s="250"/>
      <c r="F955" s="248" t="str">
        <f t="shared" si="2343"/>
        <v>YEAR5</v>
      </c>
      <c r="G955" s="250">
        <f>VLOOKUP(F955,TableInputsData[],$G$6,FALSE)</f>
        <v>2029</v>
      </c>
      <c r="H955" s="250" t="str">
        <f t="shared" si="2322"/>
        <v>SERVICE</v>
      </c>
      <c r="I955" s="248" t="str">
        <f t="shared" si="2322"/>
        <v>SERVICE 03</v>
      </c>
      <c r="J955" s="248" t="str">
        <f>VLOOKUP(I955,TableInputsData[],$J$6,FALSE)</f>
        <v>-</v>
      </c>
      <c r="K955" s="248" t="str">
        <f t="shared" si="2349"/>
        <v>AVERAGE SELLING PRICE PER UNIT</v>
      </c>
      <c r="L955" s="255"/>
      <c r="M955" s="255"/>
      <c r="N955" s="255"/>
      <c r="O955" s="265"/>
      <c r="P955" s="260"/>
      <c r="Q955" s="260"/>
      <c r="R955" s="260"/>
      <c r="S955" s="630"/>
      <c r="T955" s="630"/>
      <c r="U955" s="630"/>
      <c r="V955" s="630"/>
      <c r="W955" s="260"/>
      <c r="X955" s="260"/>
      <c r="Y955" s="260"/>
      <c r="Z955" s="260"/>
      <c r="AA955" s="260"/>
      <c r="AB955" s="260"/>
      <c r="AC955" s="265"/>
      <c r="AD955" s="634"/>
      <c r="AE955" s="264">
        <f t="shared" ref="AE955:AM955" si="2358">IF(AE939=0,0,AE947/AE939)</f>
        <v>0</v>
      </c>
      <c r="AF955" s="264">
        <f t="shared" si="2358"/>
        <v>0</v>
      </c>
      <c r="AG955" s="264">
        <f t="shared" si="2358"/>
        <v>0</v>
      </c>
      <c r="AH955" s="264">
        <f t="shared" si="2358"/>
        <v>0</v>
      </c>
      <c r="AI955" s="264">
        <f t="shared" si="2358"/>
        <v>0</v>
      </c>
      <c r="AJ955" s="264">
        <f t="shared" si="2358"/>
        <v>0</v>
      </c>
      <c r="AK955" s="264">
        <f t="shared" si="2358"/>
        <v>0</v>
      </c>
      <c r="AL955" s="264">
        <f t="shared" si="2358"/>
        <v>0</v>
      </c>
      <c r="AM955" s="264">
        <f t="shared" si="2358"/>
        <v>0</v>
      </c>
      <c r="AN955" s="260"/>
      <c r="AO955" s="264">
        <f t="shared" ref="AO955" si="2359">IF(AO939=0,0,AO947/AO939)</f>
        <v>0</v>
      </c>
      <c r="AP955" s="260"/>
      <c r="AQ955" s="264"/>
      <c r="AR955" s="264" t="str">
        <f>VLOOKUP($I955,TableInputsData[],ReadMe!$M$3,FALSE)&amp;"  |  "&amp;VLOOKUP($K955,TableInputsData[],ReadMe!$M$3,FALSE)</f>
        <v>SERVICE 03  |  PRIX MOYEN DE VENTE PAR PRODUIT/SERVICE</v>
      </c>
      <c r="AS955" s="264"/>
      <c r="AT955" s="294"/>
    </row>
    <row r="956" spans="1:46" ht="13" hidden="1" x14ac:dyDescent="0.2">
      <c r="A956" s="294"/>
      <c r="B956" s="924"/>
      <c r="C956" s="271">
        <v>949</v>
      </c>
      <c r="D956" s="250">
        <f t="shared" si="2321"/>
        <v>0</v>
      </c>
      <c r="E956" s="250"/>
      <c r="F956" s="248" t="str">
        <f t="shared" si="2343"/>
        <v>YEAR6</v>
      </c>
      <c r="G956" s="250">
        <f>VLOOKUP(F956,TableInputsData[],$G$6,FALSE)</f>
        <v>2030</v>
      </c>
      <c r="H956" s="250" t="str">
        <f t="shared" si="2322"/>
        <v>SERVICE</v>
      </c>
      <c r="I956" s="248" t="str">
        <f t="shared" si="2322"/>
        <v>SERVICE 03</v>
      </c>
      <c r="J956" s="248" t="str">
        <f>VLOOKUP(I956,TableInputsData[],$J$6,FALSE)</f>
        <v>-</v>
      </c>
      <c r="K956" s="248" t="str">
        <f t="shared" si="2349"/>
        <v>AVERAGE SELLING PRICE PER UNIT</v>
      </c>
      <c r="L956" s="255"/>
      <c r="M956" s="255"/>
      <c r="N956" s="255"/>
      <c r="O956" s="265"/>
      <c r="P956" s="260"/>
      <c r="Q956" s="260"/>
      <c r="R956" s="260"/>
      <c r="S956" s="630"/>
      <c r="T956" s="630"/>
      <c r="U956" s="630"/>
      <c r="V956" s="630"/>
      <c r="W956" s="260"/>
      <c r="X956" s="260"/>
      <c r="Y956" s="260"/>
      <c r="Z956" s="260"/>
      <c r="AA956" s="260"/>
      <c r="AB956" s="260"/>
      <c r="AC956" s="265"/>
      <c r="AD956" s="634"/>
      <c r="AE956" s="264">
        <f t="shared" ref="AE956:AM956" si="2360">IF(AE940=0,0,AE948/AE940)</f>
        <v>0</v>
      </c>
      <c r="AF956" s="264">
        <f t="shared" si="2360"/>
        <v>0</v>
      </c>
      <c r="AG956" s="264">
        <f t="shared" si="2360"/>
        <v>0</v>
      </c>
      <c r="AH956" s="264">
        <f t="shared" si="2360"/>
        <v>0</v>
      </c>
      <c r="AI956" s="264">
        <f t="shared" si="2360"/>
        <v>0</v>
      </c>
      <c r="AJ956" s="264">
        <f t="shared" si="2360"/>
        <v>0</v>
      </c>
      <c r="AK956" s="264">
        <f t="shared" si="2360"/>
        <v>0</v>
      </c>
      <c r="AL956" s="264">
        <f t="shared" si="2360"/>
        <v>0</v>
      </c>
      <c r="AM956" s="264">
        <f t="shared" si="2360"/>
        <v>0</v>
      </c>
      <c r="AN956" s="260"/>
      <c r="AO956" s="264">
        <f t="shared" ref="AO956" si="2361">IF(AO940=0,0,AO948/AO940)</f>
        <v>0</v>
      </c>
      <c r="AP956" s="260"/>
      <c r="AQ956" s="264"/>
      <c r="AR956" s="264" t="str">
        <f>VLOOKUP($I956,TableInputsData[],ReadMe!$M$3,FALSE)&amp;"  |  "&amp;VLOOKUP($K956,TableInputsData[],ReadMe!$M$3,FALSE)</f>
        <v>SERVICE 03  |  PRIX MOYEN DE VENTE PAR PRODUIT/SERVICE</v>
      </c>
      <c r="AS956" s="264"/>
      <c r="AT956" s="294"/>
    </row>
    <row r="957" spans="1:46" ht="13" hidden="1" x14ac:dyDescent="0.2">
      <c r="A957" s="294"/>
      <c r="B957" s="924"/>
      <c r="C957" s="272">
        <v>950</v>
      </c>
      <c r="D957" s="250">
        <f t="shared" si="2321"/>
        <v>0</v>
      </c>
      <c r="E957" s="251"/>
      <c r="F957" s="248" t="str">
        <f t="shared" ref="F957:F964" si="2362">F965</f>
        <v>YEAR-2</v>
      </c>
      <c r="G957" s="250">
        <f>VLOOKUP(F957,TableInputsData[],$G$6,FALSE)</f>
        <v>2023</v>
      </c>
      <c r="H957" s="250" t="str">
        <f t="shared" si="2322"/>
        <v>SERVICE</v>
      </c>
      <c r="I957" s="248" t="str">
        <f t="shared" si="2322"/>
        <v>SERVICE 03</v>
      </c>
      <c r="J957" s="248" t="str">
        <f>VLOOKUP(I957,TableInputsData[],$J$6,FALSE)</f>
        <v>-</v>
      </c>
      <c r="K957" s="248" t="s">
        <v>531</v>
      </c>
      <c r="L957" s="256"/>
      <c r="M957" s="256"/>
      <c r="N957" s="256"/>
      <c r="O957" s="266"/>
      <c r="P957" s="261"/>
      <c r="Q957" s="261"/>
      <c r="R957" s="261"/>
      <c r="S957" s="629"/>
      <c r="T957" s="629"/>
      <c r="U957" s="629"/>
      <c r="V957" s="629"/>
      <c r="W957" s="261"/>
      <c r="X957" s="261"/>
      <c r="Y957" s="261"/>
      <c r="Z957" s="261"/>
      <c r="AA957" s="261"/>
      <c r="AB957" s="261"/>
      <c r="AC957" s="266"/>
      <c r="AD957" s="633"/>
      <c r="AE957" s="264">
        <f>AE933*($S933*$P933+$T933*$Q933+$U933*$R933)</f>
        <v>0</v>
      </c>
      <c r="AF957" s="264">
        <f t="shared" ref="AF957:AH957" si="2363">AF933*($S933*$P933+$T933*$Q933+$U933*$R933)</f>
        <v>0</v>
      </c>
      <c r="AG957" s="264">
        <f t="shared" si="2363"/>
        <v>0</v>
      </c>
      <c r="AH957" s="264">
        <f t="shared" si="2363"/>
        <v>0</v>
      </c>
      <c r="AI957" s="264">
        <f t="shared" ref="AI957:AI964" si="2364">$AE957+$AF957+$AG957+$AH957</f>
        <v>0</v>
      </c>
      <c r="AJ957" s="264">
        <f t="shared" ref="AJ957:AJ964" si="2365">$AJ933*$S933</f>
        <v>0</v>
      </c>
      <c r="AK957" s="264">
        <f t="shared" ref="AK957:AK964" si="2366">$AK933*$T933</f>
        <v>0</v>
      </c>
      <c r="AL957" s="264">
        <f t="shared" ref="AL957:AL964" si="2367">$AL933*$U933</f>
        <v>0</v>
      </c>
      <c r="AM957" s="264">
        <f t="shared" ref="AM957:AM964" si="2368">$AJ957*$W933+$AK957*$X933+$AL957*$Y933</f>
        <v>0</v>
      </c>
      <c r="AN957" s="640">
        <f t="shared" ref="AN957:AN964" si="2369">IF(AI957=0,0,AM957/AI957)</f>
        <v>0</v>
      </c>
      <c r="AO957" s="264">
        <f t="shared" ref="AO957:AO964" si="2370">$AJ957*$Z933+$AK957*$AA933+$AL957*$AB933</f>
        <v>0</v>
      </c>
      <c r="AP957" s="640">
        <f t="shared" ref="AP957:AP964" si="2371">IF(AI957=0,0,AO957/AI957)</f>
        <v>0</v>
      </c>
      <c r="AQ957" s="264"/>
      <c r="AR957" s="264" t="str">
        <f>VLOOKUP($I957,TableInputsData[],ReadMe!$M$3,FALSE)&amp;"  |  "&amp;VLOOKUP($K957,TableInputsData[],ReadMe!$M$3,FALSE)</f>
        <v>SERVICE 03  |  DEPENSES SUR ACHATS</v>
      </c>
      <c r="AS957" s="264" t="b">
        <f t="shared" ref="AS957:AS964" si="2372">AND(EXACT(ROUND(AI957,2),ROUND(AJ957+AK957+AL957,2)),EXACT(ROUND(AI957,2),ROUND(AM957+AO957,2)))</f>
        <v>1</v>
      </c>
      <c r="AT957" s="294"/>
    </row>
    <row r="958" spans="1:46" ht="13" hidden="1" x14ac:dyDescent="0.2">
      <c r="A958" s="294"/>
      <c r="B958" s="924"/>
      <c r="C958" s="271">
        <v>951</v>
      </c>
      <c r="D958" s="250">
        <f t="shared" si="2321"/>
        <v>0</v>
      </c>
      <c r="E958" s="250"/>
      <c r="F958" s="248" t="str">
        <f t="shared" si="2362"/>
        <v>YEAR-1</v>
      </c>
      <c r="G958" s="250">
        <f>VLOOKUP(F958,TableInputsData[],$G$6,FALSE)</f>
        <v>2024</v>
      </c>
      <c r="H958" s="250" t="str">
        <f t="shared" si="2322"/>
        <v>SERVICE</v>
      </c>
      <c r="I958" s="248" t="str">
        <f t="shared" si="2322"/>
        <v>SERVICE 03</v>
      </c>
      <c r="J958" s="248" t="str">
        <f>VLOOKUP(I958,TableInputsData[],$J$6,FALSE)</f>
        <v>-</v>
      </c>
      <c r="K958" s="248" t="str">
        <f>K957</f>
        <v>COST OF GOODS SOLD</v>
      </c>
      <c r="L958" s="255"/>
      <c r="M958" s="255"/>
      <c r="N958" s="255"/>
      <c r="O958" s="265"/>
      <c r="P958" s="260"/>
      <c r="Q958" s="260"/>
      <c r="R958" s="260"/>
      <c r="S958" s="630"/>
      <c r="T958" s="630"/>
      <c r="U958" s="630"/>
      <c r="V958" s="630"/>
      <c r="W958" s="260"/>
      <c r="X958" s="260"/>
      <c r="Y958" s="260"/>
      <c r="Z958" s="260"/>
      <c r="AA958" s="260"/>
      <c r="AB958" s="260"/>
      <c r="AC958" s="265"/>
      <c r="AD958" s="634"/>
      <c r="AE958" s="264">
        <f t="shared" ref="AE958:AH958" si="2373">AE934*($S934*$P934+$T934*$Q934+$U934*$R934)</f>
        <v>0</v>
      </c>
      <c r="AF958" s="264">
        <f t="shared" si="2373"/>
        <v>0</v>
      </c>
      <c r="AG958" s="264">
        <f t="shared" si="2373"/>
        <v>0</v>
      </c>
      <c r="AH958" s="264">
        <f t="shared" si="2373"/>
        <v>0</v>
      </c>
      <c r="AI958" s="264">
        <f t="shared" si="2364"/>
        <v>0</v>
      </c>
      <c r="AJ958" s="264">
        <f t="shared" si="2365"/>
        <v>0</v>
      </c>
      <c r="AK958" s="264">
        <f t="shared" si="2366"/>
        <v>0</v>
      </c>
      <c r="AL958" s="264">
        <f t="shared" si="2367"/>
        <v>0</v>
      </c>
      <c r="AM958" s="264">
        <f t="shared" si="2368"/>
        <v>0</v>
      </c>
      <c r="AN958" s="640">
        <f t="shared" si="2369"/>
        <v>0</v>
      </c>
      <c r="AO958" s="264">
        <f t="shared" si="2370"/>
        <v>0</v>
      </c>
      <c r="AP958" s="640">
        <f t="shared" si="2371"/>
        <v>0</v>
      </c>
      <c r="AQ958" s="264"/>
      <c r="AR958" s="264" t="str">
        <f>VLOOKUP($I958,TableInputsData[],ReadMe!$M$3,FALSE)&amp;"  |  "&amp;VLOOKUP($K958,TableInputsData[],ReadMe!$M$3,FALSE)</f>
        <v>SERVICE 03  |  DEPENSES SUR ACHATS</v>
      </c>
      <c r="AS958" s="264" t="b">
        <f t="shared" si="2372"/>
        <v>1</v>
      </c>
      <c r="AT958" s="294"/>
    </row>
    <row r="959" spans="1:46" ht="13" hidden="1" x14ac:dyDescent="0.2">
      <c r="A959" s="294"/>
      <c r="B959" s="924"/>
      <c r="C959" s="271">
        <v>952</v>
      </c>
      <c r="D959" s="250">
        <f t="shared" si="2321"/>
        <v>0</v>
      </c>
      <c r="E959" s="250"/>
      <c r="F959" s="248" t="str">
        <f t="shared" si="2362"/>
        <v>CURRENT YEAR</v>
      </c>
      <c r="G959" s="250">
        <f>VLOOKUP(F959,TableInputsData[],$G$6,FALSE)</f>
        <v>2025</v>
      </c>
      <c r="H959" s="250" t="str">
        <f t="shared" si="2322"/>
        <v>SERVICE</v>
      </c>
      <c r="I959" s="248" t="str">
        <f t="shared" si="2322"/>
        <v>SERVICE 03</v>
      </c>
      <c r="J959" s="248" t="str">
        <f>VLOOKUP(I959,TableInputsData[],$J$6,FALSE)</f>
        <v>-</v>
      </c>
      <c r="K959" s="248" t="str">
        <f t="shared" ref="K959:K964" si="2374">K958</f>
        <v>COST OF GOODS SOLD</v>
      </c>
      <c r="L959" s="255"/>
      <c r="M959" s="255"/>
      <c r="N959" s="255"/>
      <c r="O959" s="265"/>
      <c r="P959" s="260"/>
      <c r="Q959" s="260"/>
      <c r="R959" s="260"/>
      <c r="S959" s="630"/>
      <c r="T959" s="630"/>
      <c r="U959" s="630"/>
      <c r="V959" s="630"/>
      <c r="W959" s="260"/>
      <c r="X959" s="260"/>
      <c r="Y959" s="260"/>
      <c r="Z959" s="260"/>
      <c r="AA959" s="260"/>
      <c r="AB959" s="260"/>
      <c r="AC959" s="265"/>
      <c r="AD959" s="634"/>
      <c r="AE959" s="264">
        <f t="shared" ref="AE959:AH959" si="2375">AE935*($S935*$P935+$T935*$Q935+$U935*$R935)</f>
        <v>0</v>
      </c>
      <c r="AF959" s="264">
        <f t="shared" si="2375"/>
        <v>0</v>
      </c>
      <c r="AG959" s="264">
        <f t="shared" si="2375"/>
        <v>0</v>
      </c>
      <c r="AH959" s="264">
        <f t="shared" si="2375"/>
        <v>0</v>
      </c>
      <c r="AI959" s="264">
        <f t="shared" si="2364"/>
        <v>0</v>
      </c>
      <c r="AJ959" s="264">
        <f t="shared" si="2365"/>
        <v>0</v>
      </c>
      <c r="AK959" s="264">
        <f t="shared" si="2366"/>
        <v>0</v>
      </c>
      <c r="AL959" s="264">
        <f t="shared" si="2367"/>
        <v>0</v>
      </c>
      <c r="AM959" s="264">
        <f t="shared" si="2368"/>
        <v>0</v>
      </c>
      <c r="AN959" s="640">
        <f t="shared" si="2369"/>
        <v>0</v>
      </c>
      <c r="AO959" s="264">
        <f t="shared" si="2370"/>
        <v>0</v>
      </c>
      <c r="AP959" s="640">
        <f t="shared" si="2371"/>
        <v>0</v>
      </c>
      <c r="AQ959" s="264"/>
      <c r="AR959" s="264" t="str">
        <f>VLOOKUP($I959,TableInputsData[],ReadMe!$M$3,FALSE)&amp;"  |  "&amp;VLOOKUP($K959,TableInputsData[],ReadMe!$M$3,FALSE)</f>
        <v>SERVICE 03  |  DEPENSES SUR ACHATS</v>
      </c>
      <c r="AS959" s="264" t="b">
        <f t="shared" si="2372"/>
        <v>1</v>
      </c>
      <c r="AT959" s="294"/>
    </row>
    <row r="960" spans="1:46" ht="13" hidden="1" x14ac:dyDescent="0.2">
      <c r="A960" s="294"/>
      <c r="B960" s="924"/>
      <c r="C960" s="271">
        <v>953</v>
      </c>
      <c r="D960" s="250">
        <f t="shared" si="2321"/>
        <v>0</v>
      </c>
      <c r="E960" s="250"/>
      <c r="F960" s="248" t="str">
        <f t="shared" si="2362"/>
        <v>YEAR2</v>
      </c>
      <c r="G960" s="250">
        <f>VLOOKUP(F960,TableInputsData[],$G$6,FALSE)</f>
        <v>2026</v>
      </c>
      <c r="H960" s="250" t="str">
        <f t="shared" si="2322"/>
        <v>SERVICE</v>
      </c>
      <c r="I960" s="248" t="str">
        <f t="shared" si="2322"/>
        <v>SERVICE 03</v>
      </c>
      <c r="J960" s="248" t="str">
        <f>VLOOKUP(I960,TableInputsData[],$J$6,FALSE)</f>
        <v>-</v>
      </c>
      <c r="K960" s="248" t="str">
        <f t="shared" si="2374"/>
        <v>COST OF GOODS SOLD</v>
      </c>
      <c r="L960" s="255"/>
      <c r="M960" s="255"/>
      <c r="N960" s="255"/>
      <c r="O960" s="265"/>
      <c r="P960" s="260"/>
      <c r="Q960" s="260"/>
      <c r="R960" s="260"/>
      <c r="S960" s="630"/>
      <c r="T960" s="630"/>
      <c r="U960" s="630"/>
      <c r="V960" s="630"/>
      <c r="W960" s="260"/>
      <c r="X960" s="260"/>
      <c r="Y960" s="260"/>
      <c r="Z960" s="260"/>
      <c r="AA960" s="260"/>
      <c r="AB960" s="260"/>
      <c r="AC960" s="265"/>
      <c r="AD960" s="634"/>
      <c r="AE960" s="264">
        <f t="shared" ref="AE960:AH960" si="2376">AE936*($S936*$P936+$T936*$Q936+$U936*$R936)</f>
        <v>0</v>
      </c>
      <c r="AF960" s="264">
        <f t="shared" si="2376"/>
        <v>0</v>
      </c>
      <c r="AG960" s="264">
        <f t="shared" si="2376"/>
        <v>0</v>
      </c>
      <c r="AH960" s="264">
        <f t="shared" si="2376"/>
        <v>0</v>
      </c>
      <c r="AI960" s="264">
        <f t="shared" si="2364"/>
        <v>0</v>
      </c>
      <c r="AJ960" s="264">
        <f t="shared" si="2365"/>
        <v>0</v>
      </c>
      <c r="AK960" s="264">
        <f t="shared" si="2366"/>
        <v>0</v>
      </c>
      <c r="AL960" s="264">
        <f t="shared" si="2367"/>
        <v>0</v>
      </c>
      <c r="AM960" s="264">
        <f t="shared" si="2368"/>
        <v>0</v>
      </c>
      <c r="AN960" s="640">
        <f t="shared" si="2369"/>
        <v>0</v>
      </c>
      <c r="AO960" s="264">
        <f t="shared" si="2370"/>
        <v>0</v>
      </c>
      <c r="AP960" s="640">
        <f t="shared" si="2371"/>
        <v>0</v>
      </c>
      <c r="AQ960" s="264"/>
      <c r="AR960" s="264" t="str">
        <f>VLOOKUP($I960,TableInputsData[],ReadMe!$M$3,FALSE)&amp;"  |  "&amp;VLOOKUP($K960,TableInputsData[],ReadMe!$M$3,FALSE)</f>
        <v>SERVICE 03  |  DEPENSES SUR ACHATS</v>
      </c>
      <c r="AS960" s="264" t="b">
        <f t="shared" si="2372"/>
        <v>1</v>
      </c>
      <c r="AT960" s="294"/>
    </row>
    <row r="961" spans="1:46" ht="13" hidden="1" x14ac:dyDescent="0.2">
      <c r="A961" s="294"/>
      <c r="B961" s="924"/>
      <c r="C961" s="271">
        <v>954</v>
      </c>
      <c r="D961" s="250">
        <f t="shared" si="2321"/>
        <v>0</v>
      </c>
      <c r="E961" s="250"/>
      <c r="F961" s="248" t="str">
        <f t="shared" si="2362"/>
        <v>YEAR3</v>
      </c>
      <c r="G961" s="250">
        <f>VLOOKUP(F961,TableInputsData[],$G$6,FALSE)</f>
        <v>2027</v>
      </c>
      <c r="H961" s="250" t="str">
        <f t="shared" si="2322"/>
        <v>SERVICE</v>
      </c>
      <c r="I961" s="248" t="str">
        <f t="shared" si="2322"/>
        <v>SERVICE 03</v>
      </c>
      <c r="J961" s="248" t="str">
        <f>VLOOKUP(I961,TableInputsData[],$J$6,FALSE)</f>
        <v>-</v>
      </c>
      <c r="K961" s="248" t="str">
        <f t="shared" si="2374"/>
        <v>COST OF GOODS SOLD</v>
      </c>
      <c r="L961" s="255"/>
      <c r="M961" s="255"/>
      <c r="N961" s="255"/>
      <c r="O961" s="265"/>
      <c r="P961" s="260"/>
      <c r="Q961" s="260"/>
      <c r="R961" s="260"/>
      <c r="S961" s="630"/>
      <c r="T961" s="630"/>
      <c r="U961" s="630"/>
      <c r="V961" s="630"/>
      <c r="W961" s="260"/>
      <c r="X961" s="260"/>
      <c r="Y961" s="260"/>
      <c r="Z961" s="260"/>
      <c r="AA961" s="260"/>
      <c r="AB961" s="260"/>
      <c r="AC961" s="265"/>
      <c r="AD961" s="634"/>
      <c r="AE961" s="264">
        <f t="shared" ref="AE961:AH961" si="2377">AE937*($S937*$P937+$T937*$Q937+$U937*$R937)</f>
        <v>0</v>
      </c>
      <c r="AF961" s="264">
        <f t="shared" si="2377"/>
        <v>0</v>
      </c>
      <c r="AG961" s="264">
        <f t="shared" si="2377"/>
        <v>0</v>
      </c>
      <c r="AH961" s="264">
        <f t="shared" si="2377"/>
        <v>0</v>
      </c>
      <c r="AI961" s="264">
        <f t="shared" si="2364"/>
        <v>0</v>
      </c>
      <c r="AJ961" s="264">
        <f t="shared" si="2365"/>
        <v>0</v>
      </c>
      <c r="AK961" s="264">
        <f t="shared" si="2366"/>
        <v>0</v>
      </c>
      <c r="AL961" s="264">
        <f t="shared" si="2367"/>
        <v>0</v>
      </c>
      <c r="AM961" s="264">
        <f t="shared" si="2368"/>
        <v>0</v>
      </c>
      <c r="AN961" s="640">
        <f t="shared" si="2369"/>
        <v>0</v>
      </c>
      <c r="AO961" s="264">
        <f t="shared" si="2370"/>
        <v>0</v>
      </c>
      <c r="AP961" s="640">
        <f t="shared" si="2371"/>
        <v>0</v>
      </c>
      <c r="AQ961" s="264"/>
      <c r="AR961" s="264" t="str">
        <f>VLOOKUP($I961,TableInputsData[],ReadMe!$M$3,FALSE)&amp;"  |  "&amp;VLOOKUP($K961,TableInputsData[],ReadMe!$M$3,FALSE)</f>
        <v>SERVICE 03  |  DEPENSES SUR ACHATS</v>
      </c>
      <c r="AS961" s="264" t="b">
        <f t="shared" si="2372"/>
        <v>1</v>
      </c>
      <c r="AT961" s="294"/>
    </row>
    <row r="962" spans="1:46" ht="13" hidden="1" x14ac:dyDescent="0.2">
      <c r="A962" s="294"/>
      <c r="B962" s="924"/>
      <c r="C962" s="271">
        <v>955</v>
      </c>
      <c r="D962" s="250">
        <f t="shared" si="2321"/>
        <v>0</v>
      </c>
      <c r="E962" s="250"/>
      <c r="F962" s="248" t="str">
        <f t="shared" si="2362"/>
        <v>YEAR4</v>
      </c>
      <c r="G962" s="250">
        <f>VLOOKUP(F962,TableInputsData[],$G$6,FALSE)</f>
        <v>2028</v>
      </c>
      <c r="H962" s="250" t="str">
        <f t="shared" si="2322"/>
        <v>SERVICE</v>
      </c>
      <c r="I962" s="248" t="str">
        <f t="shared" si="2322"/>
        <v>SERVICE 03</v>
      </c>
      <c r="J962" s="248" t="str">
        <f>VLOOKUP(I962,TableInputsData[],$J$6,FALSE)</f>
        <v>-</v>
      </c>
      <c r="K962" s="248" t="str">
        <f t="shared" si="2374"/>
        <v>COST OF GOODS SOLD</v>
      </c>
      <c r="L962" s="255"/>
      <c r="M962" s="255"/>
      <c r="N962" s="255"/>
      <c r="O962" s="265"/>
      <c r="P962" s="260"/>
      <c r="Q962" s="260"/>
      <c r="R962" s="260"/>
      <c r="S962" s="630"/>
      <c r="T962" s="630"/>
      <c r="U962" s="630"/>
      <c r="V962" s="630"/>
      <c r="W962" s="260"/>
      <c r="X962" s="260"/>
      <c r="Y962" s="260"/>
      <c r="Z962" s="260"/>
      <c r="AA962" s="260"/>
      <c r="AB962" s="260"/>
      <c r="AC962" s="265"/>
      <c r="AD962" s="634"/>
      <c r="AE962" s="264">
        <f t="shared" ref="AE962:AH962" si="2378">AE938*($S938*$P938+$T938*$Q938+$U938*$R938)</f>
        <v>0</v>
      </c>
      <c r="AF962" s="264">
        <f t="shared" si="2378"/>
        <v>0</v>
      </c>
      <c r="AG962" s="264">
        <f t="shared" si="2378"/>
        <v>0</v>
      </c>
      <c r="AH962" s="264">
        <f t="shared" si="2378"/>
        <v>0</v>
      </c>
      <c r="AI962" s="264">
        <f t="shared" si="2364"/>
        <v>0</v>
      </c>
      <c r="AJ962" s="264">
        <f t="shared" si="2365"/>
        <v>0</v>
      </c>
      <c r="AK962" s="264">
        <f t="shared" si="2366"/>
        <v>0</v>
      </c>
      <c r="AL962" s="264">
        <f t="shared" si="2367"/>
        <v>0</v>
      </c>
      <c r="AM962" s="264">
        <f t="shared" si="2368"/>
        <v>0</v>
      </c>
      <c r="AN962" s="640">
        <f t="shared" si="2369"/>
        <v>0</v>
      </c>
      <c r="AO962" s="264">
        <f t="shared" si="2370"/>
        <v>0</v>
      </c>
      <c r="AP962" s="640">
        <f t="shared" si="2371"/>
        <v>0</v>
      </c>
      <c r="AQ962" s="264"/>
      <c r="AR962" s="264" t="str">
        <f>VLOOKUP($I962,TableInputsData[],ReadMe!$M$3,FALSE)&amp;"  |  "&amp;VLOOKUP($K962,TableInputsData[],ReadMe!$M$3,FALSE)</f>
        <v>SERVICE 03  |  DEPENSES SUR ACHATS</v>
      </c>
      <c r="AS962" s="264" t="b">
        <f t="shared" si="2372"/>
        <v>1</v>
      </c>
      <c r="AT962" s="294"/>
    </row>
    <row r="963" spans="1:46" ht="13" hidden="1" x14ac:dyDescent="0.2">
      <c r="A963" s="294"/>
      <c r="B963" s="924"/>
      <c r="C963" s="271">
        <v>956</v>
      </c>
      <c r="D963" s="250">
        <f t="shared" si="2321"/>
        <v>0</v>
      </c>
      <c r="E963" s="250"/>
      <c r="F963" s="248" t="str">
        <f t="shared" si="2362"/>
        <v>YEAR5</v>
      </c>
      <c r="G963" s="250">
        <f>VLOOKUP(F963,TableInputsData[],$G$6,FALSE)</f>
        <v>2029</v>
      </c>
      <c r="H963" s="250" t="str">
        <f t="shared" si="2322"/>
        <v>SERVICE</v>
      </c>
      <c r="I963" s="248" t="str">
        <f t="shared" si="2322"/>
        <v>SERVICE 03</v>
      </c>
      <c r="J963" s="248" t="str">
        <f>VLOOKUP(I963,TableInputsData[],$J$6,FALSE)</f>
        <v>-</v>
      </c>
      <c r="K963" s="248" t="str">
        <f t="shared" si="2374"/>
        <v>COST OF GOODS SOLD</v>
      </c>
      <c r="L963" s="255"/>
      <c r="M963" s="255"/>
      <c r="N963" s="255"/>
      <c r="O963" s="265"/>
      <c r="P963" s="260"/>
      <c r="Q963" s="260"/>
      <c r="R963" s="260"/>
      <c r="S963" s="630"/>
      <c r="T963" s="630"/>
      <c r="U963" s="630"/>
      <c r="V963" s="630"/>
      <c r="W963" s="260"/>
      <c r="X963" s="260"/>
      <c r="Y963" s="260"/>
      <c r="Z963" s="260"/>
      <c r="AA963" s="260"/>
      <c r="AB963" s="260"/>
      <c r="AC963" s="265"/>
      <c r="AD963" s="634"/>
      <c r="AE963" s="264">
        <f t="shared" ref="AE963:AH963" si="2379">AE939*($S939*$P939+$T939*$Q939+$U939*$R939)</f>
        <v>0</v>
      </c>
      <c r="AF963" s="264">
        <f t="shared" si="2379"/>
        <v>0</v>
      </c>
      <c r="AG963" s="264">
        <f t="shared" si="2379"/>
        <v>0</v>
      </c>
      <c r="AH963" s="264">
        <f t="shared" si="2379"/>
        <v>0</v>
      </c>
      <c r="AI963" s="264">
        <f t="shared" si="2364"/>
        <v>0</v>
      </c>
      <c r="AJ963" s="264">
        <f t="shared" si="2365"/>
        <v>0</v>
      </c>
      <c r="AK963" s="264">
        <f t="shared" si="2366"/>
        <v>0</v>
      </c>
      <c r="AL963" s="264">
        <f t="shared" si="2367"/>
        <v>0</v>
      </c>
      <c r="AM963" s="264">
        <f t="shared" si="2368"/>
        <v>0</v>
      </c>
      <c r="AN963" s="640">
        <f t="shared" si="2369"/>
        <v>0</v>
      </c>
      <c r="AO963" s="264">
        <f t="shared" si="2370"/>
        <v>0</v>
      </c>
      <c r="AP963" s="640">
        <f t="shared" si="2371"/>
        <v>0</v>
      </c>
      <c r="AQ963" s="264"/>
      <c r="AR963" s="264" t="str">
        <f>VLOOKUP($I963,TableInputsData[],ReadMe!$M$3,FALSE)&amp;"  |  "&amp;VLOOKUP($K963,TableInputsData[],ReadMe!$M$3,FALSE)</f>
        <v>SERVICE 03  |  DEPENSES SUR ACHATS</v>
      </c>
      <c r="AS963" s="264" t="b">
        <f t="shared" si="2372"/>
        <v>1</v>
      </c>
      <c r="AT963" s="294"/>
    </row>
    <row r="964" spans="1:46" ht="13" hidden="1" x14ac:dyDescent="0.2">
      <c r="A964" s="294"/>
      <c r="B964" s="924"/>
      <c r="C964" s="271">
        <v>957</v>
      </c>
      <c r="D964" s="250">
        <f t="shared" si="2321"/>
        <v>0</v>
      </c>
      <c r="E964" s="250"/>
      <c r="F964" s="248" t="str">
        <f t="shared" si="2362"/>
        <v>YEAR6</v>
      </c>
      <c r="G964" s="250">
        <f>VLOOKUP(F964,TableInputsData[],$G$6,FALSE)</f>
        <v>2030</v>
      </c>
      <c r="H964" s="250" t="str">
        <f t="shared" si="2322"/>
        <v>SERVICE</v>
      </c>
      <c r="I964" s="248" t="str">
        <f t="shared" si="2322"/>
        <v>SERVICE 03</v>
      </c>
      <c r="J964" s="248" t="str">
        <f>VLOOKUP(I964,TableInputsData[],$J$6,FALSE)</f>
        <v>-</v>
      </c>
      <c r="K964" s="248" t="str">
        <f t="shared" si="2374"/>
        <v>COST OF GOODS SOLD</v>
      </c>
      <c r="L964" s="255"/>
      <c r="M964" s="255"/>
      <c r="N964" s="255"/>
      <c r="O964" s="265"/>
      <c r="P964" s="260"/>
      <c r="Q964" s="260"/>
      <c r="R964" s="260"/>
      <c r="S964" s="630"/>
      <c r="T964" s="630"/>
      <c r="U964" s="630"/>
      <c r="V964" s="630"/>
      <c r="W964" s="260"/>
      <c r="X964" s="260"/>
      <c r="Y964" s="260"/>
      <c r="Z964" s="260"/>
      <c r="AA964" s="260"/>
      <c r="AB964" s="260"/>
      <c r="AC964" s="265"/>
      <c r="AD964" s="634"/>
      <c r="AE964" s="264">
        <f t="shared" ref="AE964:AH964" si="2380">AE940*($S940*$P940+$T940*$Q940+$U940*$R940)</f>
        <v>0</v>
      </c>
      <c r="AF964" s="264">
        <f t="shared" si="2380"/>
        <v>0</v>
      </c>
      <c r="AG964" s="264">
        <f t="shared" si="2380"/>
        <v>0</v>
      </c>
      <c r="AH964" s="264">
        <f t="shared" si="2380"/>
        <v>0</v>
      </c>
      <c r="AI964" s="264">
        <f t="shared" si="2364"/>
        <v>0</v>
      </c>
      <c r="AJ964" s="264">
        <f t="shared" si="2365"/>
        <v>0</v>
      </c>
      <c r="AK964" s="264">
        <f t="shared" si="2366"/>
        <v>0</v>
      </c>
      <c r="AL964" s="264">
        <f t="shared" si="2367"/>
        <v>0</v>
      </c>
      <c r="AM964" s="264">
        <f t="shared" si="2368"/>
        <v>0</v>
      </c>
      <c r="AN964" s="640">
        <f t="shared" si="2369"/>
        <v>0</v>
      </c>
      <c r="AO964" s="264">
        <f t="shared" si="2370"/>
        <v>0</v>
      </c>
      <c r="AP964" s="640">
        <f t="shared" si="2371"/>
        <v>0</v>
      </c>
      <c r="AQ964" s="264"/>
      <c r="AR964" s="264" t="str">
        <f>VLOOKUP($I964,TableInputsData[],ReadMe!$M$3,FALSE)&amp;"  |  "&amp;VLOOKUP($K964,TableInputsData[],ReadMe!$M$3,FALSE)</f>
        <v>SERVICE 03  |  DEPENSES SUR ACHATS</v>
      </c>
      <c r="AS964" s="264" t="b">
        <f t="shared" si="2372"/>
        <v>1</v>
      </c>
      <c r="AT964" s="294"/>
    </row>
    <row r="965" spans="1:46" ht="13" hidden="1" x14ac:dyDescent="0.2">
      <c r="A965" s="294"/>
      <c r="B965" s="924"/>
      <c r="C965" s="272">
        <v>958</v>
      </c>
      <c r="D965" s="250">
        <f t="shared" si="2321"/>
        <v>0</v>
      </c>
      <c r="E965" s="251"/>
      <c r="F965" s="248" t="str">
        <f t="shared" ref="F965:F972" si="2381">F941</f>
        <v>YEAR-2</v>
      </c>
      <c r="G965" s="250">
        <f>VLOOKUP(F965,TableInputsData[],$G$6,FALSE)</f>
        <v>2023</v>
      </c>
      <c r="H965" s="250" t="str">
        <f t="shared" si="2322"/>
        <v>SERVICE</v>
      </c>
      <c r="I965" s="248" t="str">
        <f t="shared" si="2322"/>
        <v>SERVICE 03</v>
      </c>
      <c r="J965" s="248" t="str">
        <f>VLOOKUP(I965,TableInputsData[],$J$6,FALSE)</f>
        <v>-</v>
      </c>
      <c r="K965" s="248" t="s">
        <v>532</v>
      </c>
      <c r="L965" s="256"/>
      <c r="M965" s="256"/>
      <c r="N965" s="256"/>
      <c r="O965" s="266"/>
      <c r="P965" s="261"/>
      <c r="Q965" s="261"/>
      <c r="R965" s="261"/>
      <c r="S965" s="629"/>
      <c r="T965" s="629"/>
      <c r="U965" s="629"/>
      <c r="V965" s="629"/>
      <c r="W965" s="261"/>
      <c r="X965" s="261"/>
      <c r="Y965" s="261"/>
      <c r="Z965" s="261"/>
      <c r="AA965" s="261"/>
      <c r="AB965" s="261"/>
      <c r="AC965" s="266"/>
      <c r="AD965" s="633"/>
      <c r="AE965" s="264">
        <f>IF(AE933=0,0,AE957/AE933)</f>
        <v>0</v>
      </c>
      <c r="AF965" s="264">
        <f t="shared" ref="AF965:AI965" si="2382">IF(AF933=0,0,AF957/AF933)</f>
        <v>0</v>
      </c>
      <c r="AG965" s="264">
        <f t="shared" si="2382"/>
        <v>0</v>
      </c>
      <c r="AH965" s="264">
        <f t="shared" si="2382"/>
        <v>0</v>
      </c>
      <c r="AI965" s="264">
        <f t="shared" si="2382"/>
        <v>0</v>
      </c>
      <c r="AJ965" s="264">
        <f>IF(AJ933=0,0,AJ957/AJ933)</f>
        <v>0</v>
      </c>
      <c r="AK965" s="264">
        <f t="shared" ref="AK965:AL965" si="2383">IF(AK933=0,0,AK957/AK933)</f>
        <v>0</v>
      </c>
      <c r="AL965" s="264">
        <f t="shared" si="2383"/>
        <v>0</v>
      </c>
      <c r="AM965" s="264">
        <f>IF(AM933=0,0,AM957/AM933)</f>
        <v>0</v>
      </c>
      <c r="AN965" s="260"/>
      <c r="AO965" s="264">
        <f t="shared" ref="AO965" si="2384">IF(AO933=0,0,AO957/AO933)</f>
        <v>0</v>
      </c>
      <c r="AP965" s="260"/>
      <c r="AQ965" s="264"/>
      <c r="AR965" s="264" t="str">
        <f>VLOOKUP($I965,TableInputsData[],ReadMe!$M$3,FALSE)&amp;"  |  "&amp;VLOOKUP($K965,TableInputsData[],ReadMe!$M$3,FALSE)</f>
        <v>SERVICE 03  |  PRIX MOYEN D'ACHAT PAR PRODUIT/SERVICE</v>
      </c>
      <c r="AS965" s="264"/>
      <c r="AT965" s="294"/>
    </row>
    <row r="966" spans="1:46" ht="13" hidden="1" x14ac:dyDescent="0.2">
      <c r="A966" s="294"/>
      <c r="B966" s="924"/>
      <c r="C966" s="272">
        <v>959</v>
      </c>
      <c r="D966" s="250">
        <f t="shared" si="2321"/>
        <v>0</v>
      </c>
      <c r="E966" s="251"/>
      <c r="F966" s="248" t="str">
        <f t="shared" si="2381"/>
        <v>YEAR-1</v>
      </c>
      <c r="G966" s="250">
        <f>VLOOKUP(F966,TableInputsData[],$G$6,FALSE)</f>
        <v>2024</v>
      </c>
      <c r="H966" s="250" t="str">
        <f t="shared" si="2322"/>
        <v>SERVICE</v>
      </c>
      <c r="I966" s="248" t="str">
        <f t="shared" si="2322"/>
        <v>SERVICE 03</v>
      </c>
      <c r="J966" s="248" t="str">
        <f>VLOOKUP(I966,TableInputsData[],$J$6,FALSE)</f>
        <v>-</v>
      </c>
      <c r="K966" s="248" t="str">
        <f>K965</f>
        <v>AVERAGE COST OF GOODS SOLD PER UNIT</v>
      </c>
      <c r="L966" s="256"/>
      <c r="M966" s="256"/>
      <c r="N966" s="256"/>
      <c r="O966" s="266"/>
      <c r="P966" s="261"/>
      <c r="Q966" s="261"/>
      <c r="R966" s="261"/>
      <c r="S966" s="629"/>
      <c r="T966" s="629"/>
      <c r="U966" s="629"/>
      <c r="V966" s="629"/>
      <c r="W966" s="261"/>
      <c r="X966" s="261"/>
      <c r="Y966" s="261"/>
      <c r="Z966" s="261"/>
      <c r="AA966" s="261"/>
      <c r="AB966" s="261"/>
      <c r="AC966" s="266"/>
      <c r="AD966" s="633"/>
      <c r="AE966" s="264">
        <f t="shared" ref="AE966:AL966" si="2385">IF(AE934=0,0,AE958/AE934)</f>
        <v>0</v>
      </c>
      <c r="AF966" s="264">
        <f t="shared" si="2385"/>
        <v>0</v>
      </c>
      <c r="AG966" s="264">
        <f t="shared" si="2385"/>
        <v>0</v>
      </c>
      <c r="AH966" s="264">
        <f t="shared" si="2385"/>
        <v>0</v>
      </c>
      <c r="AI966" s="264">
        <f t="shared" si="2385"/>
        <v>0</v>
      </c>
      <c r="AJ966" s="264">
        <f t="shared" si="2385"/>
        <v>0</v>
      </c>
      <c r="AK966" s="264">
        <f t="shared" si="2385"/>
        <v>0</v>
      </c>
      <c r="AL966" s="264">
        <f t="shared" si="2385"/>
        <v>0</v>
      </c>
      <c r="AM966" s="264">
        <f>IF(AM934=0,0,AM958/AM934)</f>
        <v>0</v>
      </c>
      <c r="AN966" s="260"/>
      <c r="AO966" s="264">
        <f>IF(AO934=0,0,AO958/AO934)</f>
        <v>0</v>
      </c>
      <c r="AP966" s="260"/>
      <c r="AQ966" s="264"/>
      <c r="AR966" s="264" t="str">
        <f>VLOOKUP($I966,TableInputsData[],ReadMe!$M$3,FALSE)&amp;"  |  "&amp;VLOOKUP($K966,TableInputsData[],ReadMe!$M$3,FALSE)</f>
        <v>SERVICE 03  |  PRIX MOYEN D'ACHAT PAR PRODUIT/SERVICE</v>
      </c>
      <c r="AS966" s="264"/>
      <c r="AT966" s="294"/>
    </row>
    <row r="967" spans="1:46" ht="13" hidden="1" x14ac:dyDescent="0.2">
      <c r="A967" s="294"/>
      <c r="B967" s="924"/>
      <c r="C967" s="272">
        <v>960</v>
      </c>
      <c r="D967" s="250">
        <f t="shared" si="2321"/>
        <v>0</v>
      </c>
      <c r="E967" s="251"/>
      <c r="F967" s="248" t="str">
        <f t="shared" si="2381"/>
        <v>CURRENT YEAR</v>
      </c>
      <c r="G967" s="250">
        <f>VLOOKUP(F967,TableInputsData[],$G$6,FALSE)</f>
        <v>2025</v>
      </c>
      <c r="H967" s="250" t="str">
        <f t="shared" si="2322"/>
        <v>SERVICE</v>
      </c>
      <c r="I967" s="248" t="str">
        <f t="shared" si="2322"/>
        <v>SERVICE 03</v>
      </c>
      <c r="J967" s="248" t="str">
        <f>VLOOKUP(I967,TableInputsData[],$J$6,FALSE)</f>
        <v>-</v>
      </c>
      <c r="K967" s="248" t="str">
        <f t="shared" ref="K967:K972" si="2386">K966</f>
        <v>AVERAGE COST OF GOODS SOLD PER UNIT</v>
      </c>
      <c r="L967" s="256"/>
      <c r="M967" s="256"/>
      <c r="N967" s="256"/>
      <c r="O967" s="266"/>
      <c r="P967" s="261"/>
      <c r="Q967" s="261"/>
      <c r="R967" s="261"/>
      <c r="S967" s="629"/>
      <c r="T967" s="629"/>
      <c r="U967" s="629"/>
      <c r="V967" s="629"/>
      <c r="W967" s="261"/>
      <c r="X967" s="261"/>
      <c r="Y967" s="261"/>
      <c r="Z967" s="261"/>
      <c r="AA967" s="261"/>
      <c r="AB967" s="261"/>
      <c r="AC967" s="266"/>
      <c r="AD967" s="633"/>
      <c r="AE967" s="264">
        <f t="shared" ref="AE967:AL967" si="2387">IF(AE935=0,0,AE959/AE935)</f>
        <v>0</v>
      </c>
      <c r="AF967" s="264">
        <f t="shared" si="2387"/>
        <v>0</v>
      </c>
      <c r="AG967" s="264">
        <f t="shared" si="2387"/>
        <v>0</v>
      </c>
      <c r="AH967" s="264">
        <f t="shared" si="2387"/>
        <v>0</v>
      </c>
      <c r="AI967" s="264">
        <f t="shared" si="2387"/>
        <v>0</v>
      </c>
      <c r="AJ967" s="264">
        <f t="shared" si="2387"/>
        <v>0</v>
      </c>
      <c r="AK967" s="264">
        <f t="shared" si="2387"/>
        <v>0</v>
      </c>
      <c r="AL967" s="264">
        <f t="shared" si="2387"/>
        <v>0</v>
      </c>
      <c r="AM967" s="264">
        <f>IF(AM935=0,0,AM959/AM935)</f>
        <v>0</v>
      </c>
      <c r="AN967" s="260"/>
      <c r="AO967" s="264">
        <f>IF(AO935=0,0,AO959/AO935)</f>
        <v>0</v>
      </c>
      <c r="AP967" s="260"/>
      <c r="AQ967" s="264"/>
      <c r="AR967" s="264" t="str">
        <f>VLOOKUP($I967,TableInputsData[],ReadMe!$M$3,FALSE)&amp;"  |  "&amp;VLOOKUP($K967,TableInputsData[],ReadMe!$M$3,FALSE)</f>
        <v>SERVICE 03  |  PRIX MOYEN D'ACHAT PAR PRODUIT/SERVICE</v>
      </c>
      <c r="AS967" s="264"/>
      <c r="AT967" s="294"/>
    </row>
    <row r="968" spans="1:46" ht="13" hidden="1" x14ac:dyDescent="0.2">
      <c r="A968" s="294"/>
      <c r="B968" s="924"/>
      <c r="C968" s="272">
        <v>961</v>
      </c>
      <c r="D968" s="250">
        <f t="shared" si="2321"/>
        <v>0</v>
      </c>
      <c r="E968" s="251"/>
      <c r="F968" s="248" t="str">
        <f t="shared" si="2381"/>
        <v>YEAR2</v>
      </c>
      <c r="G968" s="250">
        <f>VLOOKUP(F968,TableInputsData[],$G$6,FALSE)</f>
        <v>2026</v>
      </c>
      <c r="H968" s="250" t="str">
        <f t="shared" si="2322"/>
        <v>SERVICE</v>
      </c>
      <c r="I968" s="248" t="str">
        <f t="shared" si="2322"/>
        <v>SERVICE 03</v>
      </c>
      <c r="J968" s="248" t="str">
        <f>VLOOKUP(I968,TableInputsData[],$J$6,FALSE)</f>
        <v>-</v>
      </c>
      <c r="K968" s="248" t="str">
        <f t="shared" si="2386"/>
        <v>AVERAGE COST OF GOODS SOLD PER UNIT</v>
      </c>
      <c r="L968" s="256"/>
      <c r="M968" s="256"/>
      <c r="N968" s="256"/>
      <c r="O968" s="266"/>
      <c r="P968" s="261"/>
      <c r="Q968" s="261"/>
      <c r="R968" s="261"/>
      <c r="S968" s="629"/>
      <c r="T968" s="629"/>
      <c r="U968" s="629"/>
      <c r="V968" s="629"/>
      <c r="W968" s="261"/>
      <c r="X968" s="261"/>
      <c r="Y968" s="261"/>
      <c r="Z968" s="261"/>
      <c r="AA968" s="261"/>
      <c r="AB968" s="261"/>
      <c r="AC968" s="266"/>
      <c r="AD968" s="633"/>
      <c r="AE968" s="264">
        <f t="shared" ref="AE968:AM968" si="2388">IF(AE936=0,0,AE960/AE936)</f>
        <v>0</v>
      </c>
      <c r="AF968" s="264">
        <f t="shared" si="2388"/>
        <v>0</v>
      </c>
      <c r="AG968" s="264">
        <f t="shared" si="2388"/>
        <v>0</v>
      </c>
      <c r="AH968" s="264">
        <f t="shared" si="2388"/>
        <v>0</v>
      </c>
      <c r="AI968" s="264">
        <f t="shared" si="2388"/>
        <v>0</v>
      </c>
      <c r="AJ968" s="264">
        <f t="shared" si="2388"/>
        <v>0</v>
      </c>
      <c r="AK968" s="264">
        <f t="shared" si="2388"/>
        <v>0</v>
      </c>
      <c r="AL968" s="264">
        <f t="shared" si="2388"/>
        <v>0</v>
      </c>
      <c r="AM968" s="264">
        <f t="shared" si="2388"/>
        <v>0</v>
      </c>
      <c r="AN968" s="260"/>
      <c r="AO968" s="264">
        <f t="shared" ref="AO968" si="2389">IF(AO936=0,0,AO960/AO936)</f>
        <v>0</v>
      </c>
      <c r="AP968" s="260"/>
      <c r="AQ968" s="264"/>
      <c r="AR968" s="264" t="str">
        <f>VLOOKUP($I968,TableInputsData[],ReadMe!$M$3,FALSE)&amp;"  |  "&amp;VLOOKUP($K968,TableInputsData[],ReadMe!$M$3,FALSE)</f>
        <v>SERVICE 03  |  PRIX MOYEN D'ACHAT PAR PRODUIT/SERVICE</v>
      </c>
      <c r="AS968" s="264"/>
      <c r="AT968" s="294"/>
    </row>
    <row r="969" spans="1:46" ht="13" hidden="1" x14ac:dyDescent="0.2">
      <c r="A969" s="294"/>
      <c r="B969" s="924"/>
      <c r="C969" s="272">
        <v>962</v>
      </c>
      <c r="D969" s="250">
        <f t="shared" si="2321"/>
        <v>0</v>
      </c>
      <c r="E969" s="251"/>
      <c r="F969" s="248" t="str">
        <f t="shared" si="2381"/>
        <v>YEAR3</v>
      </c>
      <c r="G969" s="250">
        <f>VLOOKUP(F969,TableInputsData[],$G$6,FALSE)</f>
        <v>2027</v>
      </c>
      <c r="H969" s="250" t="str">
        <f t="shared" si="2322"/>
        <v>SERVICE</v>
      </c>
      <c r="I969" s="248" t="str">
        <f t="shared" si="2322"/>
        <v>SERVICE 03</v>
      </c>
      <c r="J969" s="248" t="str">
        <f>VLOOKUP(I969,TableInputsData[],$J$6,FALSE)</f>
        <v>-</v>
      </c>
      <c r="K969" s="248" t="str">
        <f t="shared" si="2386"/>
        <v>AVERAGE COST OF GOODS SOLD PER UNIT</v>
      </c>
      <c r="L969" s="256"/>
      <c r="M969" s="256"/>
      <c r="N969" s="256"/>
      <c r="O969" s="266"/>
      <c r="P969" s="261"/>
      <c r="Q969" s="261"/>
      <c r="R969" s="261"/>
      <c r="S969" s="629"/>
      <c r="T969" s="629"/>
      <c r="U969" s="629"/>
      <c r="V969" s="629"/>
      <c r="W969" s="261"/>
      <c r="X969" s="261"/>
      <c r="Y969" s="261"/>
      <c r="Z969" s="261"/>
      <c r="AA969" s="261"/>
      <c r="AB969" s="261"/>
      <c r="AC969" s="266"/>
      <c r="AD969" s="633"/>
      <c r="AE969" s="264">
        <f t="shared" ref="AE969:AM969" si="2390">IF(AE937=0,0,AE961/AE937)</f>
        <v>0</v>
      </c>
      <c r="AF969" s="264">
        <f t="shared" si="2390"/>
        <v>0</v>
      </c>
      <c r="AG969" s="264">
        <f t="shared" si="2390"/>
        <v>0</v>
      </c>
      <c r="AH969" s="264">
        <f t="shared" si="2390"/>
        <v>0</v>
      </c>
      <c r="AI969" s="264">
        <f t="shared" si="2390"/>
        <v>0</v>
      </c>
      <c r="AJ969" s="264">
        <f t="shared" si="2390"/>
        <v>0</v>
      </c>
      <c r="AK969" s="264">
        <f t="shared" si="2390"/>
        <v>0</v>
      </c>
      <c r="AL969" s="264">
        <f t="shared" si="2390"/>
        <v>0</v>
      </c>
      <c r="AM969" s="264">
        <f t="shared" si="2390"/>
        <v>0</v>
      </c>
      <c r="AN969" s="260"/>
      <c r="AO969" s="264">
        <f t="shared" ref="AO969" si="2391">IF(AO937=0,0,AO961/AO937)</f>
        <v>0</v>
      </c>
      <c r="AP969" s="260"/>
      <c r="AQ969" s="264"/>
      <c r="AR969" s="264" t="str">
        <f>VLOOKUP($I969,TableInputsData[],ReadMe!$M$3,FALSE)&amp;"  |  "&amp;VLOOKUP($K969,TableInputsData[],ReadMe!$M$3,FALSE)</f>
        <v>SERVICE 03  |  PRIX MOYEN D'ACHAT PAR PRODUIT/SERVICE</v>
      </c>
      <c r="AS969" s="264"/>
      <c r="AT969" s="294"/>
    </row>
    <row r="970" spans="1:46" ht="13" hidden="1" x14ac:dyDescent="0.2">
      <c r="A970" s="294"/>
      <c r="B970" s="924"/>
      <c r="C970" s="272">
        <v>963</v>
      </c>
      <c r="D970" s="250">
        <f t="shared" si="2321"/>
        <v>0</v>
      </c>
      <c r="E970" s="251"/>
      <c r="F970" s="248" t="str">
        <f t="shared" si="2381"/>
        <v>YEAR4</v>
      </c>
      <c r="G970" s="250">
        <f>VLOOKUP(F970,TableInputsData[],$G$6,FALSE)</f>
        <v>2028</v>
      </c>
      <c r="H970" s="250" t="str">
        <f t="shared" si="2322"/>
        <v>SERVICE</v>
      </c>
      <c r="I970" s="248" t="str">
        <f t="shared" si="2322"/>
        <v>SERVICE 03</v>
      </c>
      <c r="J970" s="248" t="str">
        <f>VLOOKUP(I970,TableInputsData[],$J$6,FALSE)</f>
        <v>-</v>
      </c>
      <c r="K970" s="248" t="str">
        <f t="shared" si="2386"/>
        <v>AVERAGE COST OF GOODS SOLD PER UNIT</v>
      </c>
      <c r="L970" s="256"/>
      <c r="M970" s="256"/>
      <c r="N970" s="256"/>
      <c r="O970" s="266"/>
      <c r="P970" s="261"/>
      <c r="Q970" s="261"/>
      <c r="R970" s="261"/>
      <c r="S970" s="629"/>
      <c r="T970" s="629"/>
      <c r="U970" s="629"/>
      <c r="V970" s="629"/>
      <c r="W970" s="261"/>
      <c r="X970" s="261"/>
      <c r="Y970" s="261"/>
      <c r="Z970" s="261"/>
      <c r="AA970" s="261"/>
      <c r="AB970" s="261"/>
      <c r="AC970" s="266"/>
      <c r="AD970" s="633"/>
      <c r="AE970" s="264">
        <f t="shared" ref="AE970:AM970" si="2392">IF(AE938=0,0,AE962/AE938)</f>
        <v>0</v>
      </c>
      <c r="AF970" s="264">
        <f t="shared" si="2392"/>
        <v>0</v>
      </c>
      <c r="AG970" s="264">
        <f t="shared" si="2392"/>
        <v>0</v>
      </c>
      <c r="AH970" s="264">
        <f t="shared" si="2392"/>
        <v>0</v>
      </c>
      <c r="AI970" s="264">
        <f t="shared" si="2392"/>
        <v>0</v>
      </c>
      <c r="AJ970" s="264">
        <f t="shared" si="2392"/>
        <v>0</v>
      </c>
      <c r="AK970" s="264">
        <f t="shared" si="2392"/>
        <v>0</v>
      </c>
      <c r="AL970" s="264">
        <f t="shared" si="2392"/>
        <v>0</v>
      </c>
      <c r="AM970" s="264">
        <f t="shared" si="2392"/>
        <v>0</v>
      </c>
      <c r="AN970" s="260"/>
      <c r="AO970" s="264">
        <f t="shared" ref="AO970" si="2393">IF(AO938=0,0,AO962/AO938)</f>
        <v>0</v>
      </c>
      <c r="AP970" s="260"/>
      <c r="AQ970" s="264"/>
      <c r="AR970" s="264" t="str">
        <f>VLOOKUP($I970,TableInputsData[],ReadMe!$M$3,FALSE)&amp;"  |  "&amp;VLOOKUP($K970,TableInputsData[],ReadMe!$M$3,FALSE)</f>
        <v>SERVICE 03  |  PRIX MOYEN D'ACHAT PAR PRODUIT/SERVICE</v>
      </c>
      <c r="AS970" s="264"/>
      <c r="AT970" s="294"/>
    </row>
    <row r="971" spans="1:46" ht="13" hidden="1" x14ac:dyDescent="0.2">
      <c r="A971" s="294"/>
      <c r="B971" s="924"/>
      <c r="C971" s="272">
        <v>964</v>
      </c>
      <c r="D971" s="250">
        <f t="shared" si="2321"/>
        <v>0</v>
      </c>
      <c r="E971" s="251"/>
      <c r="F971" s="248" t="str">
        <f t="shared" si="2381"/>
        <v>YEAR5</v>
      </c>
      <c r="G971" s="250">
        <f>VLOOKUP(F971,TableInputsData[],$G$6,FALSE)</f>
        <v>2029</v>
      </c>
      <c r="H971" s="250" t="str">
        <f t="shared" si="2322"/>
        <v>SERVICE</v>
      </c>
      <c r="I971" s="248" t="str">
        <f t="shared" si="2322"/>
        <v>SERVICE 03</v>
      </c>
      <c r="J971" s="248" t="str">
        <f>VLOOKUP(I971,TableInputsData[],$J$6,FALSE)</f>
        <v>-</v>
      </c>
      <c r="K971" s="248" t="str">
        <f t="shared" si="2386"/>
        <v>AVERAGE COST OF GOODS SOLD PER UNIT</v>
      </c>
      <c r="L971" s="256"/>
      <c r="M971" s="256"/>
      <c r="N971" s="256"/>
      <c r="O971" s="266"/>
      <c r="P971" s="261"/>
      <c r="Q971" s="261"/>
      <c r="R971" s="261"/>
      <c r="S971" s="629"/>
      <c r="T971" s="629"/>
      <c r="U971" s="629"/>
      <c r="V971" s="629"/>
      <c r="W971" s="261"/>
      <c r="X971" s="261"/>
      <c r="Y971" s="261"/>
      <c r="Z971" s="261"/>
      <c r="AA971" s="261"/>
      <c r="AB971" s="261"/>
      <c r="AC971" s="266"/>
      <c r="AD971" s="633"/>
      <c r="AE971" s="264">
        <f t="shared" ref="AE971:AM971" si="2394">IF(AE939=0,0,AE963/AE939)</f>
        <v>0</v>
      </c>
      <c r="AF971" s="264">
        <f t="shared" si="2394"/>
        <v>0</v>
      </c>
      <c r="AG971" s="264">
        <f t="shared" si="2394"/>
        <v>0</v>
      </c>
      <c r="AH971" s="264">
        <f t="shared" si="2394"/>
        <v>0</v>
      </c>
      <c r="AI971" s="264">
        <f t="shared" si="2394"/>
        <v>0</v>
      </c>
      <c r="AJ971" s="264">
        <f t="shared" si="2394"/>
        <v>0</v>
      </c>
      <c r="AK971" s="264">
        <f t="shared" si="2394"/>
        <v>0</v>
      </c>
      <c r="AL971" s="264">
        <f t="shared" si="2394"/>
        <v>0</v>
      </c>
      <c r="AM971" s="264">
        <f t="shared" si="2394"/>
        <v>0</v>
      </c>
      <c r="AN971" s="260"/>
      <c r="AO971" s="264">
        <f t="shared" ref="AO971" si="2395">IF(AO939=0,0,AO963/AO939)</f>
        <v>0</v>
      </c>
      <c r="AP971" s="260"/>
      <c r="AQ971" s="264"/>
      <c r="AR971" s="264" t="str">
        <f>VLOOKUP($I971,TableInputsData[],ReadMe!$M$3,FALSE)&amp;"  |  "&amp;VLOOKUP($K971,TableInputsData[],ReadMe!$M$3,FALSE)</f>
        <v>SERVICE 03  |  PRIX MOYEN D'ACHAT PAR PRODUIT/SERVICE</v>
      </c>
      <c r="AS971" s="264"/>
      <c r="AT971" s="294"/>
    </row>
    <row r="972" spans="1:46" ht="13" hidden="1" x14ac:dyDescent="0.2">
      <c r="A972" s="294"/>
      <c r="B972" s="924"/>
      <c r="C972" s="272">
        <v>965</v>
      </c>
      <c r="D972" s="250">
        <f t="shared" si="2321"/>
        <v>0</v>
      </c>
      <c r="E972" s="251"/>
      <c r="F972" s="248" t="str">
        <f t="shared" si="2381"/>
        <v>YEAR6</v>
      </c>
      <c r="G972" s="250">
        <f>VLOOKUP(F972,TableInputsData[],$G$6,FALSE)</f>
        <v>2030</v>
      </c>
      <c r="H972" s="250" t="str">
        <f t="shared" si="2322"/>
        <v>SERVICE</v>
      </c>
      <c r="I972" s="248" t="str">
        <f t="shared" si="2322"/>
        <v>SERVICE 03</v>
      </c>
      <c r="J972" s="248" t="str">
        <f>VLOOKUP(I972,TableInputsData[],$J$6,FALSE)</f>
        <v>-</v>
      </c>
      <c r="K972" s="248" t="str">
        <f t="shared" si="2386"/>
        <v>AVERAGE COST OF GOODS SOLD PER UNIT</v>
      </c>
      <c r="L972" s="256"/>
      <c r="M972" s="256"/>
      <c r="N972" s="256"/>
      <c r="O972" s="266"/>
      <c r="P972" s="261"/>
      <c r="Q972" s="261"/>
      <c r="R972" s="261"/>
      <c r="S972" s="629"/>
      <c r="T972" s="629"/>
      <c r="U972" s="629"/>
      <c r="V972" s="629"/>
      <c r="W972" s="261"/>
      <c r="X972" s="261"/>
      <c r="Y972" s="261"/>
      <c r="Z972" s="261"/>
      <c r="AA972" s="261"/>
      <c r="AB972" s="261"/>
      <c r="AC972" s="266"/>
      <c r="AD972" s="633"/>
      <c r="AE972" s="264">
        <f t="shared" ref="AE972:AM972" si="2396">IF(AE940=0,0,AE964/AE940)</f>
        <v>0</v>
      </c>
      <c r="AF972" s="264">
        <f t="shared" si="2396"/>
        <v>0</v>
      </c>
      <c r="AG972" s="264">
        <f t="shared" si="2396"/>
        <v>0</v>
      </c>
      <c r="AH972" s="264">
        <f t="shared" si="2396"/>
        <v>0</v>
      </c>
      <c r="AI972" s="264">
        <f t="shared" si="2396"/>
        <v>0</v>
      </c>
      <c r="AJ972" s="264">
        <f t="shared" si="2396"/>
        <v>0</v>
      </c>
      <c r="AK972" s="264">
        <f t="shared" si="2396"/>
        <v>0</v>
      </c>
      <c r="AL972" s="264">
        <f t="shared" si="2396"/>
        <v>0</v>
      </c>
      <c r="AM972" s="264">
        <f t="shared" si="2396"/>
        <v>0</v>
      </c>
      <c r="AN972" s="260"/>
      <c r="AO972" s="264">
        <f t="shared" ref="AO972" si="2397">IF(AO940=0,0,AO964/AO940)</f>
        <v>0</v>
      </c>
      <c r="AP972" s="260"/>
      <c r="AQ972" s="264"/>
      <c r="AR972" s="264" t="str">
        <f>VLOOKUP($I972,TableInputsData[],ReadMe!$M$3,FALSE)&amp;"  |  "&amp;VLOOKUP($K972,TableInputsData[],ReadMe!$M$3,FALSE)</f>
        <v>SERVICE 03  |  PRIX MOYEN D'ACHAT PAR PRODUIT/SERVICE</v>
      </c>
      <c r="AS972" s="264"/>
      <c r="AT972" s="294"/>
    </row>
    <row r="973" spans="1:46" ht="13" x14ac:dyDescent="0.2">
      <c r="A973" s="294"/>
      <c r="B973" s="924"/>
      <c r="C973" s="273">
        <v>966</v>
      </c>
      <c r="D973" s="253">
        <v>0</v>
      </c>
      <c r="E973" s="253">
        <v>1</v>
      </c>
      <c r="F973" s="252"/>
      <c r="G973" s="253"/>
      <c r="H973" s="253"/>
      <c r="I973" s="252"/>
      <c r="J973" s="252"/>
      <c r="K973" s="252"/>
      <c r="L973" s="257"/>
      <c r="M973" s="257"/>
      <c r="N973" s="257"/>
      <c r="O973" s="267"/>
      <c r="P973" s="262"/>
      <c r="Q973" s="262"/>
      <c r="R973" s="262"/>
      <c r="S973" s="631"/>
      <c r="T973" s="631"/>
      <c r="U973" s="631"/>
      <c r="V973" s="631"/>
      <c r="W973" s="262"/>
      <c r="X973" s="262"/>
      <c r="Y973" s="262"/>
      <c r="Z973" s="262"/>
      <c r="AA973" s="262"/>
      <c r="AB973" s="262"/>
      <c r="AC973" s="267"/>
      <c r="AD973" s="635"/>
      <c r="AE973" s="270"/>
      <c r="AF973" s="270"/>
      <c r="AG973" s="270"/>
      <c r="AH973" s="270"/>
      <c r="AI973" s="270"/>
      <c r="AJ973" s="270"/>
      <c r="AK973" s="270"/>
      <c r="AL973" s="270"/>
      <c r="AM973" s="270"/>
      <c r="AN973" s="643"/>
      <c r="AO973" s="270"/>
      <c r="AP973" s="270"/>
      <c r="AQ973" s="270"/>
      <c r="AR973" s="270"/>
      <c r="AS973" s="270"/>
      <c r="AT973" s="294"/>
    </row>
    <row r="974" spans="1:46" ht="13" hidden="1" x14ac:dyDescent="0.2">
      <c r="A974" s="294"/>
      <c r="B974" s="925" t="str">
        <f>I975&amp;"___"</f>
        <v>SERVICE 04___</v>
      </c>
      <c r="C974" s="271">
        <v>967</v>
      </c>
      <c r="D974" s="250">
        <v>0</v>
      </c>
      <c r="E974" s="250"/>
      <c r="F974" s="248"/>
      <c r="G974" s="250"/>
      <c r="H974" s="250"/>
      <c r="I974" s="248"/>
      <c r="J974" s="248"/>
      <c r="K974" s="248"/>
      <c r="L974" s="254"/>
      <c r="M974" s="254"/>
      <c r="N974" s="254"/>
      <c r="O974" s="264"/>
      <c r="P974" s="259"/>
      <c r="Q974" s="259"/>
      <c r="R974" s="259"/>
      <c r="S974" s="628"/>
      <c r="T974" s="628"/>
      <c r="U974" s="628"/>
      <c r="V974" s="628"/>
      <c r="W974" s="259"/>
      <c r="X974" s="259"/>
      <c r="Y974" s="259"/>
      <c r="Z974" s="259"/>
      <c r="AA974" s="259"/>
      <c r="AB974" s="259"/>
      <c r="AC974" s="264"/>
      <c r="AD974" s="609"/>
      <c r="AE974" s="269"/>
      <c r="AF974" s="269"/>
      <c r="AG974" s="269"/>
      <c r="AH974" s="269"/>
      <c r="AI974" s="269"/>
      <c r="AJ974" s="269"/>
      <c r="AK974" s="269"/>
      <c r="AL974" s="269"/>
      <c r="AM974" s="269"/>
      <c r="AN974" s="642"/>
      <c r="AO974" s="269"/>
      <c r="AP974" s="269"/>
      <c r="AQ974" s="269"/>
      <c r="AR974" s="269"/>
      <c r="AS974" s="269"/>
      <c r="AT974" s="294"/>
    </row>
    <row r="975" spans="1:46" ht="13" x14ac:dyDescent="0.2">
      <c r="A975" s="294"/>
      <c r="B975" s="925"/>
      <c r="C975" s="271">
        <v>968</v>
      </c>
      <c r="D975" s="250">
        <f>VLOOKUP($I975,TableInputsData[],$D$6,FALSE)</f>
        <v>0</v>
      </c>
      <c r="E975" s="250">
        <v>1</v>
      </c>
      <c r="F975" s="248" t="s">
        <v>392</v>
      </c>
      <c r="G975" s="250">
        <f>VLOOKUP(F975,TableInputsData[],$G$6,FALSE)</f>
        <v>2023</v>
      </c>
      <c r="H975" s="250" t="s">
        <v>121</v>
      </c>
      <c r="I975" s="248" t="s">
        <v>549</v>
      </c>
      <c r="J975" s="248" t="str">
        <f>VLOOKUP(I975,TableInputsData[],$J$6,FALSE)</f>
        <v>-</v>
      </c>
      <c r="K975" s="248" t="s">
        <v>261</v>
      </c>
      <c r="L975" s="499">
        <v>1000</v>
      </c>
      <c r="M975" s="499">
        <v>0</v>
      </c>
      <c r="N975" s="499">
        <v>0</v>
      </c>
      <c r="O975" s="264">
        <f t="shared" ref="O975:O982" si="2398">$L975*$P975+$M975*$Q975+$N975*$R975</f>
        <v>1000</v>
      </c>
      <c r="P975" s="500">
        <v>1</v>
      </c>
      <c r="Q975" s="500">
        <v>0</v>
      </c>
      <c r="R975" s="259">
        <f>1-$P975-$Q975</f>
        <v>0</v>
      </c>
      <c r="S975" s="626">
        <v>500</v>
      </c>
      <c r="T975" s="626">
        <v>0</v>
      </c>
      <c r="U975" s="626">
        <v>0</v>
      </c>
      <c r="V975" s="628">
        <f>($L975*$P975*$S975+$M975*$Q975*$T975+$N975*$R975*$U975)/$O975</f>
        <v>500</v>
      </c>
      <c r="W975" s="500">
        <v>1</v>
      </c>
      <c r="X975" s="500">
        <v>1</v>
      </c>
      <c r="Y975" s="500">
        <v>1</v>
      </c>
      <c r="Z975" s="259">
        <f t="shared" ref="Z975:Z982" si="2399">1-$W975</f>
        <v>0</v>
      </c>
      <c r="AA975" s="259">
        <f t="shared" ref="AA975:AA982" si="2400">1-$X975</f>
        <v>0</v>
      </c>
      <c r="AB975" s="259">
        <f t="shared" ref="AB975:AB982" si="2401">1-$Y975</f>
        <v>0</v>
      </c>
      <c r="AC975" s="628">
        <f>AM1007</f>
        <v>0</v>
      </c>
      <c r="AD975" s="628">
        <f>AO1007</f>
        <v>0</v>
      </c>
      <c r="AE975" s="501">
        <v>0</v>
      </c>
      <c r="AF975" s="501">
        <v>0</v>
      </c>
      <c r="AG975" s="501">
        <v>0</v>
      </c>
      <c r="AH975" s="501">
        <v>0</v>
      </c>
      <c r="AI975" s="264">
        <f>$AE975+$AF975+$AG975+$AH975</f>
        <v>0</v>
      </c>
      <c r="AJ975" s="264">
        <f t="shared" ref="AJ975:AJ982" si="2402">$AI975*$P975</f>
        <v>0</v>
      </c>
      <c r="AK975" s="264">
        <f t="shared" ref="AK975:AK982" si="2403">$AI975*$Q975</f>
        <v>0</v>
      </c>
      <c r="AL975" s="264">
        <f t="shared" ref="AL975:AL982" si="2404">$AI975*$R975</f>
        <v>0</v>
      </c>
      <c r="AM975" s="264">
        <f t="shared" ref="AM975:AM982" si="2405">$AJ975*$W975+$AK975*$X975+$AL975*$Y975</f>
        <v>0</v>
      </c>
      <c r="AN975" s="640">
        <f>IF(AI975=0,0,AM975/AI975)</f>
        <v>0</v>
      </c>
      <c r="AO975" s="264">
        <f t="shared" ref="AO975:AO982" si="2406">$AJ975*$Z975+$AK975*$AA975+$AL975*$AB975</f>
        <v>0</v>
      </c>
      <c r="AP975" s="640">
        <f t="shared" ref="AP975:AP990" si="2407">IF(AI975=0,0,AO975/AI975)</f>
        <v>0</v>
      </c>
      <c r="AQ975" s="264" t="str">
        <f>VLOOKUP(I975,TableInputsData[],$AQ$6,FALSE)</f>
        <v>GAMME # : 1 + CANAL DE DISTRIBUTION # : 1</v>
      </c>
      <c r="AR975" s="264" t="str">
        <f>VLOOKUP($I975,TableInputsData[],ReadMe!$M$3,FALSE)&amp;"  |  "&amp;VLOOKUP($K975,TableInputsData[],ReadMe!$M$3,FALSE)</f>
        <v>SERVICE 04  |  VOLUME</v>
      </c>
      <c r="AS975" s="264" t="b">
        <f t="shared" ref="AS975:AS982" si="2408">AND(EXACT(ROUND(AI975,2),ROUND(AJ975+AK975+AL975,2)),EXACT(ROUND(AI975,2),ROUND(AM975+AO975,2)),EXACT(SUM(P975:R975),1),IF(R975&lt;0,FALSE,TRUE),EXACT(SUM(W975:AB975),3),MIN(W975:Y975)&gt;=0, MAX(W975:Y975)&lt;=1)</f>
        <v>1</v>
      </c>
      <c r="AT975" s="294"/>
    </row>
    <row r="976" spans="1:46" ht="13" x14ac:dyDescent="0.2">
      <c r="A976" s="294"/>
      <c r="B976" s="925"/>
      <c r="C976" s="271">
        <v>969</v>
      </c>
      <c r="D976" s="250">
        <f>D975</f>
        <v>0</v>
      </c>
      <c r="E976" s="250">
        <v>1</v>
      </c>
      <c r="F976" s="248" t="s">
        <v>391</v>
      </c>
      <c r="G976" s="250">
        <f>VLOOKUP(F976,TableInputsData[],$G$6,FALSE)</f>
        <v>2024</v>
      </c>
      <c r="H976" s="250" t="str">
        <f>H975</f>
        <v>SERVICE</v>
      </c>
      <c r="I976" s="248" t="str">
        <f>I975</f>
        <v>SERVICE 04</v>
      </c>
      <c r="J976" s="248" t="str">
        <f>VLOOKUP(I976,TableInputsData[],$J$6,FALSE)</f>
        <v>-</v>
      </c>
      <c r="K976" s="248" t="str">
        <f>K975</f>
        <v>VOLUME</v>
      </c>
      <c r="L976" s="499">
        <v>1000</v>
      </c>
      <c r="M976" s="499">
        <v>0</v>
      </c>
      <c r="N976" s="499">
        <v>0</v>
      </c>
      <c r="O976" s="264">
        <f t="shared" si="2398"/>
        <v>1000</v>
      </c>
      <c r="P976" s="500">
        <v>1</v>
      </c>
      <c r="Q976" s="500">
        <v>0</v>
      </c>
      <c r="R976" s="259">
        <f t="shared" ref="R976:R982" si="2409">1-$P976-$Q976</f>
        <v>0</v>
      </c>
      <c r="S976" s="626">
        <v>500</v>
      </c>
      <c r="T976" s="626">
        <v>0</v>
      </c>
      <c r="U976" s="626">
        <v>0</v>
      </c>
      <c r="V976" s="628">
        <f t="shared" ref="V976:V982" si="2410">($L976*$P976*$S976+$M976*$Q976*$T976+$N976*$R976*$U976)/$O976</f>
        <v>500</v>
      </c>
      <c r="W976" s="500">
        <v>1</v>
      </c>
      <c r="X976" s="500">
        <v>1</v>
      </c>
      <c r="Y976" s="500">
        <v>1</v>
      </c>
      <c r="Z976" s="259">
        <f t="shared" si="2399"/>
        <v>0</v>
      </c>
      <c r="AA976" s="259">
        <f t="shared" si="2400"/>
        <v>0</v>
      </c>
      <c r="AB976" s="259">
        <f t="shared" si="2401"/>
        <v>0</v>
      </c>
      <c r="AC976" s="628">
        <f t="shared" ref="AC976:AC982" si="2411">AM1008</f>
        <v>0</v>
      </c>
      <c r="AD976" s="628">
        <f t="shared" ref="AD976:AD982" si="2412">AO1008</f>
        <v>0</v>
      </c>
      <c r="AE976" s="501">
        <v>0</v>
      </c>
      <c r="AF976" s="501">
        <v>0</v>
      </c>
      <c r="AG976" s="501">
        <v>0</v>
      </c>
      <c r="AH976" s="501">
        <v>0</v>
      </c>
      <c r="AI976" s="264">
        <f>$AE976+$AF976+$AG976+$AH976</f>
        <v>0</v>
      </c>
      <c r="AJ976" s="264">
        <f t="shared" si="2402"/>
        <v>0</v>
      </c>
      <c r="AK976" s="264">
        <f t="shared" si="2403"/>
        <v>0</v>
      </c>
      <c r="AL976" s="264">
        <f t="shared" si="2404"/>
        <v>0</v>
      </c>
      <c r="AM976" s="264">
        <f t="shared" si="2405"/>
        <v>0</v>
      </c>
      <c r="AN976" s="640">
        <f t="shared" ref="AN976:AN990" si="2413">IF(AI976=0,0,AM976/AI976)</f>
        <v>0</v>
      </c>
      <c r="AO976" s="264">
        <f t="shared" si="2406"/>
        <v>0</v>
      </c>
      <c r="AP976" s="640">
        <f t="shared" si="2407"/>
        <v>0</v>
      </c>
      <c r="AQ976" s="501"/>
      <c r="AR976" s="264" t="str">
        <f>VLOOKUP($I976,TableInputsData[],ReadMe!$M$3,FALSE)&amp;"  |  "&amp;VLOOKUP($K976,TableInputsData[],ReadMe!$M$3,FALSE)</f>
        <v>SERVICE 04  |  VOLUME</v>
      </c>
      <c r="AS976" s="264" t="b">
        <f t="shared" si="2408"/>
        <v>1</v>
      </c>
      <c r="AT976" s="294"/>
    </row>
    <row r="977" spans="1:46" ht="13" x14ac:dyDescent="0.2">
      <c r="A977" s="294"/>
      <c r="B977" s="925"/>
      <c r="C977" s="271">
        <v>970</v>
      </c>
      <c r="D977" s="250">
        <f t="shared" ref="D977:D1014" si="2414">D976</f>
        <v>0</v>
      </c>
      <c r="E977" s="250">
        <v>1</v>
      </c>
      <c r="F977" s="248" t="s">
        <v>393</v>
      </c>
      <c r="G977" s="250">
        <f>VLOOKUP(F977,TableInputsData[],$G$6,FALSE)</f>
        <v>2025</v>
      </c>
      <c r="H977" s="250" t="str">
        <f t="shared" ref="H977:I1014" si="2415">H976</f>
        <v>SERVICE</v>
      </c>
      <c r="I977" s="248" t="str">
        <f t="shared" si="2415"/>
        <v>SERVICE 04</v>
      </c>
      <c r="J977" s="248" t="str">
        <f>VLOOKUP(I977,TableInputsData[],$J$6,FALSE)</f>
        <v>-</v>
      </c>
      <c r="K977" s="248" t="str">
        <f t="shared" ref="K977:K982" si="2416">K976</f>
        <v>VOLUME</v>
      </c>
      <c r="L977" s="499">
        <v>1000</v>
      </c>
      <c r="M977" s="499">
        <v>0</v>
      </c>
      <c r="N977" s="499">
        <v>0</v>
      </c>
      <c r="O977" s="264">
        <f t="shared" si="2398"/>
        <v>1000</v>
      </c>
      <c r="P977" s="500">
        <v>1</v>
      </c>
      <c r="Q977" s="500">
        <v>0</v>
      </c>
      <c r="R977" s="259">
        <f t="shared" si="2409"/>
        <v>0</v>
      </c>
      <c r="S977" s="626">
        <v>500</v>
      </c>
      <c r="T977" s="626">
        <v>0</v>
      </c>
      <c r="U977" s="626">
        <v>0</v>
      </c>
      <c r="V977" s="628">
        <f t="shared" si="2410"/>
        <v>500</v>
      </c>
      <c r="W977" s="500">
        <v>1</v>
      </c>
      <c r="X977" s="500">
        <v>1</v>
      </c>
      <c r="Y977" s="500">
        <v>1</v>
      </c>
      <c r="Z977" s="259">
        <f t="shared" si="2399"/>
        <v>0</v>
      </c>
      <c r="AA977" s="259">
        <f t="shared" si="2400"/>
        <v>0</v>
      </c>
      <c r="AB977" s="259">
        <f t="shared" si="2401"/>
        <v>0</v>
      </c>
      <c r="AC977" s="628">
        <f t="shared" si="2411"/>
        <v>0</v>
      </c>
      <c r="AD977" s="628">
        <f t="shared" si="2412"/>
        <v>0</v>
      </c>
      <c r="AE977" s="501">
        <v>0</v>
      </c>
      <c r="AF977" s="501">
        <v>0</v>
      </c>
      <c r="AG977" s="501">
        <v>0</v>
      </c>
      <c r="AH977" s="501">
        <v>0</v>
      </c>
      <c r="AI977" s="264">
        <f>$AE977+$AF977+$AG977+$AH977</f>
        <v>0</v>
      </c>
      <c r="AJ977" s="264">
        <f t="shared" si="2402"/>
        <v>0</v>
      </c>
      <c r="AK977" s="264">
        <f t="shared" si="2403"/>
        <v>0</v>
      </c>
      <c r="AL977" s="264">
        <f t="shared" si="2404"/>
        <v>0</v>
      </c>
      <c r="AM977" s="264">
        <f t="shared" si="2405"/>
        <v>0</v>
      </c>
      <c r="AN977" s="640">
        <f t="shared" si="2413"/>
        <v>0</v>
      </c>
      <c r="AO977" s="264">
        <f t="shared" si="2406"/>
        <v>0</v>
      </c>
      <c r="AP977" s="640">
        <f t="shared" si="2407"/>
        <v>0</v>
      </c>
      <c r="AQ977" s="501"/>
      <c r="AR977" s="264" t="str">
        <f>VLOOKUP($I977,TableInputsData[],ReadMe!$M$3,FALSE)&amp;"  |  "&amp;VLOOKUP($K977,TableInputsData[],ReadMe!$M$3,FALSE)</f>
        <v>SERVICE 04  |  VOLUME</v>
      </c>
      <c r="AS977" s="264" t="b">
        <f t="shared" si="2408"/>
        <v>1</v>
      </c>
      <c r="AT977" s="294"/>
    </row>
    <row r="978" spans="1:46" ht="13" x14ac:dyDescent="0.2">
      <c r="A978" s="294"/>
      <c r="B978" s="925"/>
      <c r="C978" s="271">
        <v>971</v>
      </c>
      <c r="D978" s="250">
        <f t="shared" si="2414"/>
        <v>0</v>
      </c>
      <c r="E978" s="250">
        <v>1</v>
      </c>
      <c r="F978" s="248" t="s">
        <v>396</v>
      </c>
      <c r="G978" s="250">
        <f>VLOOKUP(F978,TableInputsData[],$G$6,FALSE)</f>
        <v>2026</v>
      </c>
      <c r="H978" s="250" t="str">
        <f t="shared" si="2415"/>
        <v>SERVICE</v>
      </c>
      <c r="I978" s="248" t="str">
        <f t="shared" si="2415"/>
        <v>SERVICE 04</v>
      </c>
      <c r="J978" s="248" t="str">
        <f>VLOOKUP(I978,TableInputsData[],$J$6,FALSE)</f>
        <v>-</v>
      </c>
      <c r="K978" s="248" t="str">
        <f t="shared" si="2416"/>
        <v>VOLUME</v>
      </c>
      <c r="L978" s="499">
        <v>1000</v>
      </c>
      <c r="M978" s="499">
        <v>0</v>
      </c>
      <c r="N978" s="499">
        <v>0</v>
      </c>
      <c r="O978" s="264">
        <f t="shared" si="2398"/>
        <v>1000</v>
      </c>
      <c r="P978" s="500">
        <v>1</v>
      </c>
      <c r="Q978" s="500">
        <v>0</v>
      </c>
      <c r="R978" s="259">
        <f t="shared" si="2409"/>
        <v>0</v>
      </c>
      <c r="S978" s="626">
        <v>500</v>
      </c>
      <c r="T978" s="626">
        <v>0</v>
      </c>
      <c r="U978" s="626">
        <v>0</v>
      </c>
      <c r="V978" s="628">
        <f t="shared" si="2410"/>
        <v>500</v>
      </c>
      <c r="W978" s="500">
        <v>1</v>
      </c>
      <c r="X978" s="500">
        <v>1</v>
      </c>
      <c r="Y978" s="500">
        <v>1</v>
      </c>
      <c r="Z978" s="259">
        <f t="shared" si="2399"/>
        <v>0</v>
      </c>
      <c r="AA978" s="259">
        <f t="shared" si="2400"/>
        <v>0</v>
      </c>
      <c r="AB978" s="259">
        <f t="shared" si="2401"/>
        <v>0</v>
      </c>
      <c r="AC978" s="628">
        <f t="shared" si="2411"/>
        <v>0</v>
      </c>
      <c r="AD978" s="628">
        <f t="shared" si="2412"/>
        <v>0</v>
      </c>
      <c r="AE978" s="501">
        <v>0</v>
      </c>
      <c r="AF978" s="501">
        <v>0</v>
      </c>
      <c r="AG978" s="501">
        <v>0</v>
      </c>
      <c r="AH978" s="501">
        <v>0</v>
      </c>
      <c r="AI978" s="264">
        <f>$AE978+$AF978+$AG978+$AH978</f>
        <v>0</v>
      </c>
      <c r="AJ978" s="264">
        <f t="shared" si="2402"/>
        <v>0</v>
      </c>
      <c r="AK978" s="264">
        <f t="shared" si="2403"/>
        <v>0</v>
      </c>
      <c r="AL978" s="264">
        <f t="shared" si="2404"/>
        <v>0</v>
      </c>
      <c r="AM978" s="264">
        <f t="shared" si="2405"/>
        <v>0</v>
      </c>
      <c r="AN978" s="640">
        <f t="shared" si="2413"/>
        <v>0</v>
      </c>
      <c r="AO978" s="264">
        <f t="shared" si="2406"/>
        <v>0</v>
      </c>
      <c r="AP978" s="640">
        <f t="shared" si="2407"/>
        <v>0</v>
      </c>
      <c r="AQ978" s="501"/>
      <c r="AR978" s="264" t="str">
        <f>VLOOKUP($I978,TableInputsData[],ReadMe!$M$3,FALSE)&amp;"  |  "&amp;VLOOKUP($K978,TableInputsData[],ReadMe!$M$3,FALSE)</f>
        <v>SERVICE 04  |  VOLUME</v>
      </c>
      <c r="AS978" s="264" t="b">
        <f t="shared" si="2408"/>
        <v>1</v>
      </c>
      <c r="AT978" s="294"/>
    </row>
    <row r="979" spans="1:46" ht="13" x14ac:dyDescent="0.2">
      <c r="A979" s="294"/>
      <c r="B979" s="925"/>
      <c r="C979" s="271">
        <v>972</v>
      </c>
      <c r="D979" s="250">
        <f t="shared" si="2414"/>
        <v>0</v>
      </c>
      <c r="E979" s="250">
        <v>1</v>
      </c>
      <c r="F979" s="248" t="s">
        <v>397</v>
      </c>
      <c r="G979" s="250">
        <f>VLOOKUP(F979,TableInputsData[],$G$6,FALSE)</f>
        <v>2027</v>
      </c>
      <c r="H979" s="250" t="str">
        <f t="shared" si="2415"/>
        <v>SERVICE</v>
      </c>
      <c r="I979" s="248" t="str">
        <f t="shared" si="2415"/>
        <v>SERVICE 04</v>
      </c>
      <c r="J979" s="248" t="str">
        <f>VLOOKUP(I979,TableInputsData[],$J$6,FALSE)</f>
        <v>-</v>
      </c>
      <c r="K979" s="248" t="str">
        <f t="shared" si="2416"/>
        <v>VOLUME</v>
      </c>
      <c r="L979" s="499">
        <v>1000</v>
      </c>
      <c r="M979" s="499">
        <v>0</v>
      </c>
      <c r="N979" s="499">
        <v>0</v>
      </c>
      <c r="O979" s="264">
        <f t="shared" si="2398"/>
        <v>1000</v>
      </c>
      <c r="P979" s="500">
        <v>1</v>
      </c>
      <c r="Q979" s="500">
        <v>0</v>
      </c>
      <c r="R979" s="259">
        <f t="shared" si="2409"/>
        <v>0</v>
      </c>
      <c r="S979" s="626">
        <v>500</v>
      </c>
      <c r="T979" s="626">
        <v>0</v>
      </c>
      <c r="U979" s="626">
        <v>0</v>
      </c>
      <c r="V979" s="628">
        <f t="shared" si="2410"/>
        <v>500</v>
      </c>
      <c r="W979" s="500">
        <v>1</v>
      </c>
      <c r="X979" s="500">
        <v>1</v>
      </c>
      <c r="Y979" s="500">
        <v>1</v>
      </c>
      <c r="Z979" s="259">
        <f t="shared" si="2399"/>
        <v>0</v>
      </c>
      <c r="AA979" s="259">
        <f t="shared" si="2400"/>
        <v>0</v>
      </c>
      <c r="AB979" s="259">
        <f t="shared" si="2401"/>
        <v>0</v>
      </c>
      <c r="AC979" s="628">
        <f t="shared" si="2411"/>
        <v>0</v>
      </c>
      <c r="AD979" s="628">
        <f t="shared" si="2412"/>
        <v>0</v>
      </c>
      <c r="AE979" s="264">
        <f>$AI979/4</f>
        <v>0</v>
      </c>
      <c r="AF979" s="264">
        <f t="shared" ref="AF979:AH982" si="2417">$AI979/4</f>
        <v>0</v>
      </c>
      <c r="AG979" s="264">
        <f t="shared" si="2417"/>
        <v>0</v>
      </c>
      <c r="AH979" s="264">
        <f t="shared" si="2417"/>
        <v>0</v>
      </c>
      <c r="AI979" s="501">
        <v>0</v>
      </c>
      <c r="AJ979" s="264">
        <f t="shared" si="2402"/>
        <v>0</v>
      </c>
      <c r="AK979" s="264">
        <f t="shared" si="2403"/>
        <v>0</v>
      </c>
      <c r="AL979" s="264">
        <f t="shared" si="2404"/>
        <v>0</v>
      </c>
      <c r="AM979" s="264">
        <f t="shared" si="2405"/>
        <v>0</v>
      </c>
      <c r="AN979" s="640">
        <f t="shared" si="2413"/>
        <v>0</v>
      </c>
      <c r="AO979" s="264">
        <f t="shared" si="2406"/>
        <v>0</v>
      </c>
      <c r="AP979" s="640">
        <f t="shared" si="2407"/>
        <v>0</v>
      </c>
      <c r="AQ979" s="501"/>
      <c r="AR979" s="264" t="str">
        <f>VLOOKUP($I979,TableInputsData[],ReadMe!$M$3,FALSE)&amp;"  |  "&amp;VLOOKUP($K979,TableInputsData[],ReadMe!$M$3,FALSE)</f>
        <v>SERVICE 04  |  VOLUME</v>
      </c>
      <c r="AS979" s="264" t="b">
        <f t="shared" si="2408"/>
        <v>1</v>
      </c>
      <c r="AT979" s="294"/>
    </row>
    <row r="980" spans="1:46" ht="13" x14ac:dyDescent="0.2">
      <c r="A980" s="294"/>
      <c r="B980" s="925"/>
      <c r="C980" s="271">
        <v>973</v>
      </c>
      <c r="D980" s="250">
        <f t="shared" si="2414"/>
        <v>0</v>
      </c>
      <c r="E980" s="250">
        <v>1</v>
      </c>
      <c r="F980" s="248" t="s">
        <v>398</v>
      </c>
      <c r="G980" s="250">
        <f>VLOOKUP(F980,TableInputsData[],$G$6,FALSE)</f>
        <v>2028</v>
      </c>
      <c r="H980" s="250" t="str">
        <f t="shared" si="2415"/>
        <v>SERVICE</v>
      </c>
      <c r="I980" s="248" t="str">
        <f t="shared" si="2415"/>
        <v>SERVICE 04</v>
      </c>
      <c r="J980" s="248" t="str">
        <f>VLOOKUP(I980,TableInputsData[],$J$6,FALSE)</f>
        <v>-</v>
      </c>
      <c r="K980" s="248" t="str">
        <f t="shared" si="2416"/>
        <v>VOLUME</v>
      </c>
      <c r="L980" s="499">
        <v>1000</v>
      </c>
      <c r="M980" s="499">
        <v>0</v>
      </c>
      <c r="N980" s="499">
        <v>0</v>
      </c>
      <c r="O980" s="264">
        <f t="shared" si="2398"/>
        <v>1000</v>
      </c>
      <c r="P980" s="500">
        <v>1</v>
      </c>
      <c r="Q980" s="500">
        <v>0</v>
      </c>
      <c r="R980" s="259">
        <f t="shared" si="2409"/>
        <v>0</v>
      </c>
      <c r="S980" s="626">
        <v>500</v>
      </c>
      <c r="T980" s="626">
        <v>0</v>
      </c>
      <c r="U980" s="626">
        <v>0</v>
      </c>
      <c r="V980" s="628">
        <f t="shared" si="2410"/>
        <v>500</v>
      </c>
      <c r="W980" s="500">
        <v>1</v>
      </c>
      <c r="X980" s="500">
        <v>1</v>
      </c>
      <c r="Y980" s="500">
        <v>1</v>
      </c>
      <c r="Z980" s="259">
        <f t="shared" si="2399"/>
        <v>0</v>
      </c>
      <c r="AA980" s="259">
        <f t="shared" si="2400"/>
        <v>0</v>
      </c>
      <c r="AB980" s="259">
        <f t="shared" si="2401"/>
        <v>0</v>
      </c>
      <c r="AC980" s="628">
        <f t="shared" si="2411"/>
        <v>0</v>
      </c>
      <c r="AD980" s="628">
        <f t="shared" si="2412"/>
        <v>0</v>
      </c>
      <c r="AE980" s="264">
        <f t="shared" ref="AE980:AE982" si="2418">$AI980/4</f>
        <v>0</v>
      </c>
      <c r="AF980" s="264">
        <f t="shared" si="2417"/>
        <v>0</v>
      </c>
      <c r="AG980" s="264">
        <f t="shared" si="2417"/>
        <v>0</v>
      </c>
      <c r="AH980" s="264">
        <f t="shared" si="2417"/>
        <v>0</v>
      </c>
      <c r="AI980" s="501">
        <v>0</v>
      </c>
      <c r="AJ980" s="264">
        <f t="shared" si="2402"/>
        <v>0</v>
      </c>
      <c r="AK980" s="264">
        <f t="shared" si="2403"/>
        <v>0</v>
      </c>
      <c r="AL980" s="264">
        <f t="shared" si="2404"/>
        <v>0</v>
      </c>
      <c r="AM980" s="264">
        <f t="shared" si="2405"/>
        <v>0</v>
      </c>
      <c r="AN980" s="640">
        <f t="shared" si="2413"/>
        <v>0</v>
      </c>
      <c r="AO980" s="264">
        <f t="shared" si="2406"/>
        <v>0</v>
      </c>
      <c r="AP980" s="640">
        <f t="shared" si="2407"/>
        <v>0</v>
      </c>
      <c r="AQ980" s="501"/>
      <c r="AR980" s="264" t="str">
        <f>VLOOKUP($I980,TableInputsData[],ReadMe!$M$3,FALSE)&amp;"  |  "&amp;VLOOKUP($K980,TableInputsData[],ReadMe!$M$3,FALSE)</f>
        <v>SERVICE 04  |  VOLUME</v>
      </c>
      <c r="AS980" s="264" t="b">
        <f t="shared" si="2408"/>
        <v>1</v>
      </c>
      <c r="AT980" s="294"/>
    </row>
    <row r="981" spans="1:46" ht="13" x14ac:dyDescent="0.2">
      <c r="A981" s="294"/>
      <c r="B981" s="925"/>
      <c r="C981" s="271">
        <v>974</v>
      </c>
      <c r="D981" s="250">
        <f t="shared" si="2414"/>
        <v>0</v>
      </c>
      <c r="E981" s="250">
        <v>1</v>
      </c>
      <c r="F981" s="248" t="s">
        <v>399</v>
      </c>
      <c r="G981" s="250">
        <f>VLOOKUP(F981,TableInputsData[],$G$6,FALSE)</f>
        <v>2029</v>
      </c>
      <c r="H981" s="250" t="str">
        <f t="shared" si="2415"/>
        <v>SERVICE</v>
      </c>
      <c r="I981" s="248" t="str">
        <f t="shared" si="2415"/>
        <v>SERVICE 04</v>
      </c>
      <c r="J981" s="248" t="str">
        <f>VLOOKUP(I981,TableInputsData[],$J$6,FALSE)</f>
        <v>-</v>
      </c>
      <c r="K981" s="248" t="str">
        <f t="shared" si="2416"/>
        <v>VOLUME</v>
      </c>
      <c r="L981" s="499">
        <v>1000</v>
      </c>
      <c r="M981" s="499">
        <v>0</v>
      </c>
      <c r="N981" s="499">
        <v>0</v>
      </c>
      <c r="O981" s="264">
        <f t="shared" si="2398"/>
        <v>1000</v>
      </c>
      <c r="P981" s="500">
        <v>1</v>
      </c>
      <c r="Q981" s="500">
        <v>0</v>
      </c>
      <c r="R981" s="259">
        <f t="shared" si="2409"/>
        <v>0</v>
      </c>
      <c r="S981" s="626">
        <v>500</v>
      </c>
      <c r="T981" s="626">
        <v>0</v>
      </c>
      <c r="U981" s="626">
        <v>0</v>
      </c>
      <c r="V981" s="628">
        <f t="shared" si="2410"/>
        <v>500</v>
      </c>
      <c r="W981" s="500">
        <v>1</v>
      </c>
      <c r="X981" s="500">
        <v>1</v>
      </c>
      <c r="Y981" s="500">
        <v>1</v>
      </c>
      <c r="Z981" s="259">
        <f t="shared" si="2399"/>
        <v>0</v>
      </c>
      <c r="AA981" s="259">
        <f t="shared" si="2400"/>
        <v>0</v>
      </c>
      <c r="AB981" s="259">
        <f t="shared" si="2401"/>
        <v>0</v>
      </c>
      <c r="AC981" s="628">
        <f t="shared" si="2411"/>
        <v>0</v>
      </c>
      <c r="AD981" s="628">
        <f t="shared" si="2412"/>
        <v>0</v>
      </c>
      <c r="AE981" s="264">
        <f t="shared" si="2418"/>
        <v>0</v>
      </c>
      <c r="AF981" s="264">
        <f t="shared" si="2417"/>
        <v>0</v>
      </c>
      <c r="AG981" s="264">
        <f t="shared" si="2417"/>
        <v>0</v>
      </c>
      <c r="AH981" s="264">
        <f t="shared" si="2417"/>
        <v>0</v>
      </c>
      <c r="AI981" s="501">
        <v>0</v>
      </c>
      <c r="AJ981" s="264">
        <f t="shared" si="2402"/>
        <v>0</v>
      </c>
      <c r="AK981" s="264">
        <f t="shared" si="2403"/>
        <v>0</v>
      </c>
      <c r="AL981" s="264">
        <f t="shared" si="2404"/>
        <v>0</v>
      </c>
      <c r="AM981" s="264">
        <f t="shared" si="2405"/>
        <v>0</v>
      </c>
      <c r="AN981" s="640">
        <f t="shared" si="2413"/>
        <v>0</v>
      </c>
      <c r="AO981" s="264">
        <f t="shared" si="2406"/>
        <v>0</v>
      </c>
      <c r="AP981" s="640">
        <f t="shared" si="2407"/>
        <v>0</v>
      </c>
      <c r="AQ981" s="501"/>
      <c r="AR981" s="264" t="str">
        <f>VLOOKUP($I981,TableInputsData[],ReadMe!$M$3,FALSE)&amp;"  |  "&amp;VLOOKUP($K981,TableInputsData[],ReadMe!$M$3,FALSE)</f>
        <v>SERVICE 04  |  VOLUME</v>
      </c>
      <c r="AS981" s="264" t="b">
        <f t="shared" si="2408"/>
        <v>1</v>
      </c>
      <c r="AT981" s="294"/>
    </row>
    <row r="982" spans="1:46" ht="13" x14ac:dyDescent="0.2">
      <c r="A982" s="294"/>
      <c r="B982" s="925"/>
      <c r="C982" s="271">
        <v>975</v>
      </c>
      <c r="D982" s="250">
        <f t="shared" si="2414"/>
        <v>0</v>
      </c>
      <c r="E982" s="250">
        <v>1</v>
      </c>
      <c r="F982" s="248" t="s">
        <v>400</v>
      </c>
      <c r="G982" s="250">
        <f>VLOOKUP(F982,TableInputsData[],$G$6,FALSE)</f>
        <v>2030</v>
      </c>
      <c r="H982" s="250" t="str">
        <f t="shared" si="2415"/>
        <v>SERVICE</v>
      </c>
      <c r="I982" s="248" t="str">
        <f t="shared" si="2415"/>
        <v>SERVICE 04</v>
      </c>
      <c r="J982" s="248" t="str">
        <f>VLOOKUP(I982,TableInputsData[],$J$6,FALSE)</f>
        <v>-</v>
      </c>
      <c r="K982" s="248" t="str">
        <f t="shared" si="2416"/>
        <v>VOLUME</v>
      </c>
      <c r="L982" s="499">
        <v>1000</v>
      </c>
      <c r="M982" s="499">
        <v>0</v>
      </c>
      <c r="N982" s="499">
        <v>0</v>
      </c>
      <c r="O982" s="264">
        <f t="shared" si="2398"/>
        <v>1000</v>
      </c>
      <c r="P982" s="500">
        <v>1</v>
      </c>
      <c r="Q982" s="500">
        <v>0</v>
      </c>
      <c r="R982" s="259">
        <f t="shared" si="2409"/>
        <v>0</v>
      </c>
      <c r="S982" s="626">
        <v>500</v>
      </c>
      <c r="T982" s="626">
        <v>0</v>
      </c>
      <c r="U982" s="626">
        <v>0</v>
      </c>
      <c r="V982" s="628">
        <f t="shared" si="2410"/>
        <v>500</v>
      </c>
      <c r="W982" s="500">
        <v>1</v>
      </c>
      <c r="X982" s="500">
        <v>1</v>
      </c>
      <c r="Y982" s="500">
        <v>1</v>
      </c>
      <c r="Z982" s="259">
        <f t="shared" si="2399"/>
        <v>0</v>
      </c>
      <c r="AA982" s="259">
        <f t="shared" si="2400"/>
        <v>0</v>
      </c>
      <c r="AB982" s="259">
        <f t="shared" si="2401"/>
        <v>0</v>
      </c>
      <c r="AC982" s="628">
        <f t="shared" si="2411"/>
        <v>0</v>
      </c>
      <c r="AD982" s="628">
        <f t="shared" si="2412"/>
        <v>0</v>
      </c>
      <c r="AE982" s="264">
        <f t="shared" si="2418"/>
        <v>0</v>
      </c>
      <c r="AF982" s="264">
        <f t="shared" si="2417"/>
        <v>0</v>
      </c>
      <c r="AG982" s="264">
        <f t="shared" si="2417"/>
        <v>0</v>
      </c>
      <c r="AH982" s="264">
        <f t="shared" si="2417"/>
        <v>0</v>
      </c>
      <c r="AI982" s="501">
        <v>0</v>
      </c>
      <c r="AJ982" s="264">
        <f t="shared" si="2402"/>
        <v>0</v>
      </c>
      <c r="AK982" s="264">
        <f t="shared" si="2403"/>
        <v>0</v>
      </c>
      <c r="AL982" s="264">
        <f t="shared" si="2404"/>
        <v>0</v>
      </c>
      <c r="AM982" s="264">
        <f t="shared" si="2405"/>
        <v>0</v>
      </c>
      <c r="AN982" s="640">
        <f t="shared" si="2413"/>
        <v>0</v>
      </c>
      <c r="AO982" s="264">
        <f t="shared" si="2406"/>
        <v>0</v>
      </c>
      <c r="AP982" s="640">
        <f t="shared" si="2407"/>
        <v>0</v>
      </c>
      <c r="AQ982" s="501"/>
      <c r="AR982" s="264" t="str">
        <f>VLOOKUP($I982,TableInputsData[],ReadMe!$M$3,FALSE)&amp;"  |  "&amp;VLOOKUP($K982,TableInputsData[],ReadMe!$M$3,FALSE)</f>
        <v>SERVICE 04  |  VOLUME</v>
      </c>
      <c r="AS982" s="264" t="b">
        <f t="shared" si="2408"/>
        <v>1</v>
      </c>
      <c r="AT982" s="294"/>
    </row>
    <row r="983" spans="1:46" ht="13" hidden="1" x14ac:dyDescent="0.2">
      <c r="A983" s="294"/>
      <c r="B983" s="925"/>
      <c r="C983" s="272">
        <v>976</v>
      </c>
      <c r="D983" s="250">
        <f t="shared" si="2414"/>
        <v>0</v>
      </c>
      <c r="E983" s="251"/>
      <c r="F983" s="248" t="str">
        <f t="shared" ref="F983:F990" si="2419">F991</f>
        <v>YEAR-2</v>
      </c>
      <c r="G983" s="250">
        <f>VLOOKUP(F983,TableInputsData[],$G$6,FALSE)</f>
        <v>2023</v>
      </c>
      <c r="H983" s="250" t="str">
        <f t="shared" si="2415"/>
        <v>SERVICE</v>
      </c>
      <c r="I983" s="248" t="str">
        <f t="shared" si="2415"/>
        <v>SERVICE 04</v>
      </c>
      <c r="J983" s="248" t="str">
        <f>VLOOKUP(I983,TableInputsData[],$J$6,FALSE)</f>
        <v>-</v>
      </c>
      <c r="K983" s="248" t="s">
        <v>457</v>
      </c>
      <c r="L983" s="256"/>
      <c r="M983" s="256"/>
      <c r="N983" s="256"/>
      <c r="O983" s="266"/>
      <c r="P983" s="261"/>
      <c r="Q983" s="261"/>
      <c r="R983" s="261"/>
      <c r="S983" s="629"/>
      <c r="T983" s="629"/>
      <c r="U983" s="629"/>
      <c r="V983" s="629"/>
      <c r="W983" s="261"/>
      <c r="X983" s="261"/>
      <c r="Y983" s="261"/>
      <c r="Z983" s="261"/>
      <c r="AA983" s="261"/>
      <c r="AB983" s="261"/>
      <c r="AC983" s="266"/>
      <c r="AD983" s="633"/>
      <c r="AE983" s="264">
        <f>AE975*($L975*$P975+$M975*$Q975+$N975*$R975)</f>
        <v>0</v>
      </c>
      <c r="AF983" s="264">
        <f t="shared" ref="AF983:AH983" si="2420">AF975*($L975*$P975+$M975*$Q975+$N975*$R975)</f>
        <v>0</v>
      </c>
      <c r="AG983" s="264">
        <f t="shared" si="2420"/>
        <v>0</v>
      </c>
      <c r="AH983" s="264">
        <f t="shared" si="2420"/>
        <v>0</v>
      </c>
      <c r="AI983" s="264">
        <f>$AE983+$AF983+$AG983+$AH983</f>
        <v>0</v>
      </c>
      <c r="AJ983" s="264">
        <f t="shared" ref="AJ983:AJ990" si="2421">$AJ975*$L975</f>
        <v>0</v>
      </c>
      <c r="AK983" s="264">
        <f t="shared" ref="AK983:AK990" si="2422">$AK975*$M975</f>
        <v>0</v>
      </c>
      <c r="AL983" s="264">
        <f t="shared" ref="AL983:AL990" si="2423">$AL975*$N975</f>
        <v>0</v>
      </c>
      <c r="AM983" s="264">
        <f t="shared" ref="AM983:AM990" si="2424">$AJ983*$W975+$AK983*$X975+$AL983*$Y975</f>
        <v>0</v>
      </c>
      <c r="AN983" s="640">
        <f t="shared" si="2413"/>
        <v>0</v>
      </c>
      <c r="AO983" s="264">
        <f t="shared" ref="AO983:AO990" si="2425">$AJ983*$Z975+$AK983*$AA975+$AL983*$AB975</f>
        <v>0</v>
      </c>
      <c r="AP983" s="640">
        <f t="shared" si="2407"/>
        <v>0</v>
      </c>
      <c r="AQ983" s="264"/>
      <c r="AR983" s="264" t="str">
        <f>VLOOKUP($I983,TableInputsData[],ReadMe!$M$3,FALSE)&amp;"  |  "&amp;VLOOKUP($K983,TableInputsData[],ReadMe!$M$3,FALSE)</f>
        <v>SERVICE 04  |  CHIFFRE D'AFFAIRES</v>
      </c>
      <c r="AS983" s="264" t="b">
        <f t="shared" ref="AS983:AS990" si="2426">AND(EXACT(ROUND(AI983,2),ROUND(AJ983+AK983+AL983,2)),EXACT(ROUND(AI983,2),ROUND(AM983+AO983,2)))</f>
        <v>1</v>
      </c>
      <c r="AT983" s="294"/>
    </row>
    <row r="984" spans="1:46" ht="13" hidden="1" x14ac:dyDescent="0.2">
      <c r="A984" s="294"/>
      <c r="B984" s="925"/>
      <c r="C984" s="271">
        <v>977</v>
      </c>
      <c r="D984" s="250">
        <f t="shared" si="2414"/>
        <v>0</v>
      </c>
      <c r="E984" s="250"/>
      <c r="F984" s="248" t="str">
        <f t="shared" si="2419"/>
        <v>YEAR-1</v>
      </c>
      <c r="G984" s="250">
        <f>VLOOKUP(F984,TableInputsData[],$G$6,FALSE)</f>
        <v>2024</v>
      </c>
      <c r="H984" s="250" t="str">
        <f t="shared" si="2415"/>
        <v>SERVICE</v>
      </c>
      <c r="I984" s="248" t="str">
        <f t="shared" si="2415"/>
        <v>SERVICE 04</v>
      </c>
      <c r="J984" s="248" t="str">
        <f>VLOOKUP(I984,TableInputsData[],$J$6,FALSE)</f>
        <v>-</v>
      </c>
      <c r="K984" s="248" t="str">
        <f>K983</f>
        <v>REVENUE</v>
      </c>
      <c r="L984" s="255"/>
      <c r="M984" s="255"/>
      <c r="N984" s="255"/>
      <c r="O984" s="265"/>
      <c r="P984" s="260"/>
      <c r="Q984" s="260"/>
      <c r="R984" s="260"/>
      <c r="S984" s="630"/>
      <c r="T984" s="630"/>
      <c r="U984" s="630"/>
      <c r="V984" s="630"/>
      <c r="W984" s="260"/>
      <c r="X984" s="260"/>
      <c r="Y984" s="260"/>
      <c r="Z984" s="260"/>
      <c r="AA984" s="260"/>
      <c r="AB984" s="260"/>
      <c r="AC984" s="265"/>
      <c r="AD984" s="634"/>
      <c r="AE984" s="264">
        <f t="shared" ref="AE984:AH984" si="2427">AE976*($L976*$P976+$M976*$Q976+$N976*$R976)</f>
        <v>0</v>
      </c>
      <c r="AF984" s="264">
        <f t="shared" si="2427"/>
        <v>0</v>
      </c>
      <c r="AG984" s="264">
        <f t="shared" si="2427"/>
        <v>0</v>
      </c>
      <c r="AH984" s="264">
        <f t="shared" si="2427"/>
        <v>0</v>
      </c>
      <c r="AI984" s="264">
        <f t="shared" ref="AI984:AI989" si="2428">$AE984+$AF984+$AG984+$AH984</f>
        <v>0</v>
      </c>
      <c r="AJ984" s="264">
        <f t="shared" si="2421"/>
        <v>0</v>
      </c>
      <c r="AK984" s="264">
        <f t="shared" si="2422"/>
        <v>0</v>
      </c>
      <c r="AL984" s="264">
        <f t="shared" si="2423"/>
        <v>0</v>
      </c>
      <c r="AM984" s="264">
        <f t="shared" si="2424"/>
        <v>0</v>
      </c>
      <c r="AN984" s="640">
        <f t="shared" si="2413"/>
        <v>0</v>
      </c>
      <c r="AO984" s="264">
        <f t="shared" si="2425"/>
        <v>0</v>
      </c>
      <c r="AP984" s="640">
        <f t="shared" si="2407"/>
        <v>0</v>
      </c>
      <c r="AQ984" s="264"/>
      <c r="AR984" s="264" t="str">
        <f>VLOOKUP($I984,TableInputsData[],ReadMe!$M$3,FALSE)&amp;"  |  "&amp;VLOOKUP($K984,TableInputsData[],ReadMe!$M$3,FALSE)</f>
        <v>SERVICE 04  |  CHIFFRE D'AFFAIRES</v>
      </c>
      <c r="AS984" s="264" t="b">
        <f t="shared" si="2426"/>
        <v>1</v>
      </c>
      <c r="AT984" s="294"/>
    </row>
    <row r="985" spans="1:46" ht="13" hidden="1" x14ac:dyDescent="0.2">
      <c r="A985" s="294"/>
      <c r="B985" s="925"/>
      <c r="C985" s="271">
        <v>978</v>
      </c>
      <c r="D985" s="250">
        <f t="shared" si="2414"/>
        <v>0</v>
      </c>
      <c r="E985" s="250"/>
      <c r="F985" s="248" t="str">
        <f t="shared" si="2419"/>
        <v>CURRENT YEAR</v>
      </c>
      <c r="G985" s="250">
        <f>VLOOKUP(F985,TableInputsData[],$G$6,FALSE)</f>
        <v>2025</v>
      </c>
      <c r="H985" s="250" t="str">
        <f t="shared" si="2415"/>
        <v>SERVICE</v>
      </c>
      <c r="I985" s="248" t="str">
        <f t="shared" si="2415"/>
        <v>SERVICE 04</v>
      </c>
      <c r="J985" s="248" t="str">
        <f>VLOOKUP(I985,TableInputsData[],$J$6,FALSE)</f>
        <v>-</v>
      </c>
      <c r="K985" s="248" t="str">
        <f t="shared" ref="K985:K990" si="2429">K984</f>
        <v>REVENUE</v>
      </c>
      <c r="L985" s="255"/>
      <c r="M985" s="255"/>
      <c r="N985" s="255"/>
      <c r="O985" s="265"/>
      <c r="P985" s="260"/>
      <c r="Q985" s="260"/>
      <c r="R985" s="260"/>
      <c r="S985" s="630"/>
      <c r="T985" s="630"/>
      <c r="U985" s="630"/>
      <c r="V985" s="630"/>
      <c r="W985" s="260"/>
      <c r="X985" s="260"/>
      <c r="Y985" s="260"/>
      <c r="Z985" s="260"/>
      <c r="AA985" s="260"/>
      <c r="AB985" s="260"/>
      <c r="AC985" s="265"/>
      <c r="AD985" s="634"/>
      <c r="AE985" s="264">
        <f t="shared" ref="AE985:AH985" si="2430">AE977*($L977*$P977+$M977*$Q977+$N977*$R977)</f>
        <v>0</v>
      </c>
      <c r="AF985" s="264">
        <f t="shared" si="2430"/>
        <v>0</v>
      </c>
      <c r="AG985" s="264">
        <f t="shared" si="2430"/>
        <v>0</v>
      </c>
      <c r="AH985" s="264">
        <f t="shared" si="2430"/>
        <v>0</v>
      </c>
      <c r="AI985" s="264">
        <f t="shared" si="2428"/>
        <v>0</v>
      </c>
      <c r="AJ985" s="264">
        <f t="shared" si="2421"/>
        <v>0</v>
      </c>
      <c r="AK985" s="264">
        <f t="shared" si="2422"/>
        <v>0</v>
      </c>
      <c r="AL985" s="264">
        <f t="shared" si="2423"/>
        <v>0</v>
      </c>
      <c r="AM985" s="264">
        <f t="shared" si="2424"/>
        <v>0</v>
      </c>
      <c r="AN985" s="640">
        <f t="shared" si="2413"/>
        <v>0</v>
      </c>
      <c r="AO985" s="264">
        <f t="shared" si="2425"/>
        <v>0</v>
      </c>
      <c r="AP985" s="640">
        <f t="shared" si="2407"/>
        <v>0</v>
      </c>
      <c r="AQ985" s="264"/>
      <c r="AR985" s="264" t="str">
        <f>VLOOKUP($I985,TableInputsData[],ReadMe!$M$3,FALSE)&amp;"  |  "&amp;VLOOKUP($K985,TableInputsData[],ReadMe!$M$3,FALSE)</f>
        <v>SERVICE 04  |  CHIFFRE D'AFFAIRES</v>
      </c>
      <c r="AS985" s="264" t="b">
        <f t="shared" si="2426"/>
        <v>1</v>
      </c>
      <c r="AT985" s="294"/>
    </row>
    <row r="986" spans="1:46" ht="13" hidden="1" x14ac:dyDescent="0.2">
      <c r="A986" s="294"/>
      <c r="B986" s="925"/>
      <c r="C986" s="271">
        <v>979</v>
      </c>
      <c r="D986" s="250">
        <f t="shared" si="2414"/>
        <v>0</v>
      </c>
      <c r="E986" s="250"/>
      <c r="F986" s="248" t="str">
        <f t="shared" si="2419"/>
        <v>YEAR2</v>
      </c>
      <c r="G986" s="250">
        <f>VLOOKUP(F986,TableInputsData[],$G$6,FALSE)</f>
        <v>2026</v>
      </c>
      <c r="H986" s="250" t="str">
        <f t="shared" si="2415"/>
        <v>SERVICE</v>
      </c>
      <c r="I986" s="248" t="str">
        <f t="shared" si="2415"/>
        <v>SERVICE 04</v>
      </c>
      <c r="J986" s="248" t="str">
        <f>VLOOKUP(I986,TableInputsData[],$J$6,FALSE)</f>
        <v>-</v>
      </c>
      <c r="K986" s="248" t="str">
        <f t="shared" si="2429"/>
        <v>REVENUE</v>
      </c>
      <c r="L986" s="255"/>
      <c r="M986" s="255"/>
      <c r="N986" s="255"/>
      <c r="O986" s="265"/>
      <c r="P986" s="260"/>
      <c r="Q986" s="260"/>
      <c r="R986" s="260"/>
      <c r="S986" s="630"/>
      <c r="T986" s="630"/>
      <c r="U986" s="630"/>
      <c r="V986" s="630"/>
      <c r="W986" s="260"/>
      <c r="X986" s="260"/>
      <c r="Y986" s="260"/>
      <c r="Z986" s="260"/>
      <c r="AA986" s="260"/>
      <c r="AB986" s="260"/>
      <c r="AC986" s="265"/>
      <c r="AD986" s="634"/>
      <c r="AE986" s="264">
        <f t="shared" ref="AE986:AH986" si="2431">AE978*($L978*$P978+$M978*$Q978+$N978*$R978)</f>
        <v>0</v>
      </c>
      <c r="AF986" s="264">
        <f t="shared" si="2431"/>
        <v>0</v>
      </c>
      <c r="AG986" s="264">
        <f t="shared" si="2431"/>
        <v>0</v>
      </c>
      <c r="AH986" s="264">
        <f t="shared" si="2431"/>
        <v>0</v>
      </c>
      <c r="AI986" s="264">
        <f t="shared" si="2428"/>
        <v>0</v>
      </c>
      <c r="AJ986" s="264">
        <f t="shared" si="2421"/>
        <v>0</v>
      </c>
      <c r="AK986" s="264">
        <f t="shared" si="2422"/>
        <v>0</v>
      </c>
      <c r="AL986" s="264">
        <f t="shared" si="2423"/>
        <v>0</v>
      </c>
      <c r="AM986" s="264">
        <f t="shared" si="2424"/>
        <v>0</v>
      </c>
      <c r="AN986" s="640">
        <f t="shared" si="2413"/>
        <v>0</v>
      </c>
      <c r="AO986" s="264">
        <f t="shared" si="2425"/>
        <v>0</v>
      </c>
      <c r="AP986" s="640">
        <f t="shared" si="2407"/>
        <v>0</v>
      </c>
      <c r="AQ986" s="264"/>
      <c r="AR986" s="264" t="str">
        <f>VLOOKUP($I986,TableInputsData[],ReadMe!$M$3,FALSE)&amp;"  |  "&amp;VLOOKUP($K986,TableInputsData[],ReadMe!$M$3,FALSE)</f>
        <v>SERVICE 04  |  CHIFFRE D'AFFAIRES</v>
      </c>
      <c r="AS986" s="264" t="b">
        <f t="shared" si="2426"/>
        <v>1</v>
      </c>
      <c r="AT986" s="294"/>
    </row>
    <row r="987" spans="1:46" ht="13" hidden="1" x14ac:dyDescent="0.2">
      <c r="A987" s="294"/>
      <c r="B987" s="925"/>
      <c r="C987" s="271">
        <v>980</v>
      </c>
      <c r="D987" s="250">
        <f t="shared" si="2414"/>
        <v>0</v>
      </c>
      <c r="E987" s="250"/>
      <c r="F987" s="248" t="str">
        <f t="shared" si="2419"/>
        <v>YEAR3</v>
      </c>
      <c r="G987" s="250">
        <f>VLOOKUP(F987,TableInputsData[],$G$6,FALSE)</f>
        <v>2027</v>
      </c>
      <c r="H987" s="250" t="str">
        <f t="shared" si="2415"/>
        <v>SERVICE</v>
      </c>
      <c r="I987" s="248" t="str">
        <f t="shared" si="2415"/>
        <v>SERVICE 04</v>
      </c>
      <c r="J987" s="248" t="str">
        <f>VLOOKUP(I987,TableInputsData[],$J$6,FALSE)</f>
        <v>-</v>
      </c>
      <c r="K987" s="248" t="str">
        <f t="shared" si="2429"/>
        <v>REVENUE</v>
      </c>
      <c r="L987" s="255"/>
      <c r="M987" s="255"/>
      <c r="N987" s="255"/>
      <c r="O987" s="265"/>
      <c r="P987" s="260"/>
      <c r="Q987" s="260"/>
      <c r="R987" s="260"/>
      <c r="S987" s="630"/>
      <c r="T987" s="630"/>
      <c r="U987" s="630"/>
      <c r="V987" s="630"/>
      <c r="W987" s="260"/>
      <c r="X987" s="260"/>
      <c r="Y987" s="260"/>
      <c r="Z987" s="260"/>
      <c r="AA987" s="260"/>
      <c r="AB987" s="260"/>
      <c r="AC987" s="265"/>
      <c r="AD987" s="634"/>
      <c r="AE987" s="264">
        <f t="shared" ref="AE987:AH987" si="2432">AE979*($L979*$P979+$M979*$Q979+$N979*$R979)</f>
        <v>0</v>
      </c>
      <c r="AF987" s="264">
        <f t="shared" si="2432"/>
        <v>0</v>
      </c>
      <c r="AG987" s="264">
        <f t="shared" si="2432"/>
        <v>0</v>
      </c>
      <c r="AH987" s="264">
        <f t="shared" si="2432"/>
        <v>0</v>
      </c>
      <c r="AI987" s="264">
        <f t="shared" si="2428"/>
        <v>0</v>
      </c>
      <c r="AJ987" s="264">
        <f t="shared" si="2421"/>
        <v>0</v>
      </c>
      <c r="AK987" s="264">
        <f t="shared" si="2422"/>
        <v>0</v>
      </c>
      <c r="AL987" s="264">
        <f t="shared" si="2423"/>
        <v>0</v>
      </c>
      <c r="AM987" s="264">
        <f t="shared" si="2424"/>
        <v>0</v>
      </c>
      <c r="AN987" s="640">
        <f t="shared" si="2413"/>
        <v>0</v>
      </c>
      <c r="AO987" s="264">
        <f t="shared" si="2425"/>
        <v>0</v>
      </c>
      <c r="AP987" s="640">
        <f t="shared" si="2407"/>
        <v>0</v>
      </c>
      <c r="AQ987" s="264"/>
      <c r="AR987" s="264" t="str">
        <f>VLOOKUP($I987,TableInputsData[],ReadMe!$M$3,FALSE)&amp;"  |  "&amp;VLOOKUP($K987,TableInputsData[],ReadMe!$M$3,FALSE)</f>
        <v>SERVICE 04  |  CHIFFRE D'AFFAIRES</v>
      </c>
      <c r="AS987" s="264" t="b">
        <f t="shared" si="2426"/>
        <v>1</v>
      </c>
      <c r="AT987" s="294"/>
    </row>
    <row r="988" spans="1:46" ht="13" hidden="1" x14ac:dyDescent="0.2">
      <c r="A988" s="294"/>
      <c r="B988" s="925"/>
      <c r="C988" s="271">
        <v>981</v>
      </c>
      <c r="D988" s="250">
        <f t="shared" si="2414"/>
        <v>0</v>
      </c>
      <c r="E988" s="250"/>
      <c r="F988" s="248" t="str">
        <f t="shared" si="2419"/>
        <v>YEAR4</v>
      </c>
      <c r="G988" s="250">
        <f>VLOOKUP(F988,TableInputsData[],$G$6,FALSE)</f>
        <v>2028</v>
      </c>
      <c r="H988" s="250" t="str">
        <f t="shared" si="2415"/>
        <v>SERVICE</v>
      </c>
      <c r="I988" s="248" t="str">
        <f t="shared" si="2415"/>
        <v>SERVICE 04</v>
      </c>
      <c r="J988" s="248" t="str">
        <f>VLOOKUP(I988,TableInputsData[],$J$6,FALSE)</f>
        <v>-</v>
      </c>
      <c r="K988" s="248" t="str">
        <f t="shared" si="2429"/>
        <v>REVENUE</v>
      </c>
      <c r="L988" s="255"/>
      <c r="M988" s="255"/>
      <c r="N988" s="255"/>
      <c r="O988" s="265"/>
      <c r="P988" s="260"/>
      <c r="Q988" s="260"/>
      <c r="R988" s="260"/>
      <c r="S988" s="630"/>
      <c r="T988" s="630"/>
      <c r="U988" s="630"/>
      <c r="V988" s="630"/>
      <c r="W988" s="260"/>
      <c r="X988" s="260"/>
      <c r="Y988" s="260"/>
      <c r="Z988" s="260"/>
      <c r="AA988" s="260"/>
      <c r="AB988" s="260"/>
      <c r="AC988" s="265"/>
      <c r="AD988" s="634"/>
      <c r="AE988" s="264">
        <f t="shared" ref="AE988:AH988" si="2433">AE980*($L980*$P980+$M980*$Q980+$N980*$R980)</f>
        <v>0</v>
      </c>
      <c r="AF988" s="264">
        <f t="shared" si="2433"/>
        <v>0</v>
      </c>
      <c r="AG988" s="264">
        <f t="shared" si="2433"/>
        <v>0</v>
      </c>
      <c r="AH988" s="264">
        <f t="shared" si="2433"/>
        <v>0</v>
      </c>
      <c r="AI988" s="264">
        <f t="shared" si="2428"/>
        <v>0</v>
      </c>
      <c r="AJ988" s="264">
        <f t="shared" si="2421"/>
        <v>0</v>
      </c>
      <c r="AK988" s="264">
        <f t="shared" si="2422"/>
        <v>0</v>
      </c>
      <c r="AL988" s="264">
        <f t="shared" si="2423"/>
        <v>0</v>
      </c>
      <c r="AM988" s="264">
        <f t="shared" si="2424"/>
        <v>0</v>
      </c>
      <c r="AN988" s="640">
        <f t="shared" si="2413"/>
        <v>0</v>
      </c>
      <c r="AO988" s="264">
        <f t="shared" si="2425"/>
        <v>0</v>
      </c>
      <c r="AP988" s="640">
        <f t="shared" si="2407"/>
        <v>0</v>
      </c>
      <c r="AQ988" s="264"/>
      <c r="AR988" s="264" t="str">
        <f>VLOOKUP($I988,TableInputsData[],ReadMe!$M$3,FALSE)&amp;"  |  "&amp;VLOOKUP($K988,TableInputsData[],ReadMe!$M$3,FALSE)</f>
        <v>SERVICE 04  |  CHIFFRE D'AFFAIRES</v>
      </c>
      <c r="AS988" s="264" t="b">
        <f t="shared" si="2426"/>
        <v>1</v>
      </c>
      <c r="AT988" s="294"/>
    </row>
    <row r="989" spans="1:46" ht="13" hidden="1" x14ac:dyDescent="0.2">
      <c r="A989" s="294"/>
      <c r="B989" s="925"/>
      <c r="C989" s="271">
        <v>982</v>
      </c>
      <c r="D989" s="250">
        <f t="shared" si="2414"/>
        <v>0</v>
      </c>
      <c r="E989" s="250"/>
      <c r="F989" s="248" t="str">
        <f t="shared" si="2419"/>
        <v>YEAR5</v>
      </c>
      <c r="G989" s="250">
        <f>VLOOKUP(F989,TableInputsData[],$G$6,FALSE)</f>
        <v>2029</v>
      </c>
      <c r="H989" s="250" t="str">
        <f t="shared" si="2415"/>
        <v>SERVICE</v>
      </c>
      <c r="I989" s="248" t="str">
        <f t="shared" si="2415"/>
        <v>SERVICE 04</v>
      </c>
      <c r="J989" s="248" t="str">
        <f>VLOOKUP(I989,TableInputsData[],$J$6,FALSE)</f>
        <v>-</v>
      </c>
      <c r="K989" s="248" t="str">
        <f t="shared" si="2429"/>
        <v>REVENUE</v>
      </c>
      <c r="L989" s="255"/>
      <c r="M989" s="255"/>
      <c r="N989" s="255"/>
      <c r="O989" s="265"/>
      <c r="P989" s="260"/>
      <c r="Q989" s="260"/>
      <c r="R989" s="260"/>
      <c r="S989" s="630"/>
      <c r="T989" s="630"/>
      <c r="U989" s="630"/>
      <c r="V989" s="630"/>
      <c r="W989" s="260"/>
      <c r="X989" s="260"/>
      <c r="Y989" s="260"/>
      <c r="Z989" s="260"/>
      <c r="AA989" s="260"/>
      <c r="AB989" s="260"/>
      <c r="AC989" s="265"/>
      <c r="AD989" s="634"/>
      <c r="AE989" s="264">
        <f t="shared" ref="AE989:AH989" si="2434">AE981*($L981*$P981+$M981*$Q981+$N981*$R981)</f>
        <v>0</v>
      </c>
      <c r="AF989" s="264">
        <f t="shared" si="2434"/>
        <v>0</v>
      </c>
      <c r="AG989" s="264">
        <f t="shared" si="2434"/>
        <v>0</v>
      </c>
      <c r="AH989" s="264">
        <f t="shared" si="2434"/>
        <v>0</v>
      </c>
      <c r="AI989" s="264">
        <f t="shared" si="2428"/>
        <v>0</v>
      </c>
      <c r="AJ989" s="264">
        <f t="shared" si="2421"/>
        <v>0</v>
      </c>
      <c r="AK989" s="264">
        <f t="shared" si="2422"/>
        <v>0</v>
      </c>
      <c r="AL989" s="264">
        <f t="shared" si="2423"/>
        <v>0</v>
      </c>
      <c r="AM989" s="264">
        <f t="shared" si="2424"/>
        <v>0</v>
      </c>
      <c r="AN989" s="640">
        <f t="shared" si="2413"/>
        <v>0</v>
      </c>
      <c r="AO989" s="264">
        <f t="shared" si="2425"/>
        <v>0</v>
      </c>
      <c r="AP989" s="640">
        <f t="shared" si="2407"/>
        <v>0</v>
      </c>
      <c r="AQ989" s="264"/>
      <c r="AR989" s="264" t="str">
        <f>VLOOKUP($I989,TableInputsData[],ReadMe!$M$3,FALSE)&amp;"  |  "&amp;VLOOKUP($K989,TableInputsData[],ReadMe!$M$3,FALSE)</f>
        <v>SERVICE 04  |  CHIFFRE D'AFFAIRES</v>
      </c>
      <c r="AS989" s="264" t="b">
        <f t="shared" si="2426"/>
        <v>1</v>
      </c>
      <c r="AT989" s="294"/>
    </row>
    <row r="990" spans="1:46" ht="13" hidden="1" x14ac:dyDescent="0.2">
      <c r="A990" s="294"/>
      <c r="B990" s="925"/>
      <c r="C990" s="271">
        <v>983</v>
      </c>
      <c r="D990" s="250">
        <f t="shared" si="2414"/>
        <v>0</v>
      </c>
      <c r="E990" s="250"/>
      <c r="F990" s="248" t="str">
        <f t="shared" si="2419"/>
        <v>YEAR6</v>
      </c>
      <c r="G990" s="250">
        <f>VLOOKUP(F990,TableInputsData[],$G$6,FALSE)</f>
        <v>2030</v>
      </c>
      <c r="H990" s="250" t="str">
        <f t="shared" si="2415"/>
        <v>SERVICE</v>
      </c>
      <c r="I990" s="248" t="str">
        <f t="shared" si="2415"/>
        <v>SERVICE 04</v>
      </c>
      <c r="J990" s="248" t="str">
        <f>VLOOKUP(I990,TableInputsData[],$J$6,FALSE)</f>
        <v>-</v>
      </c>
      <c r="K990" s="248" t="str">
        <f t="shared" si="2429"/>
        <v>REVENUE</v>
      </c>
      <c r="L990" s="255"/>
      <c r="M990" s="255"/>
      <c r="N990" s="255"/>
      <c r="O990" s="265"/>
      <c r="P990" s="260"/>
      <c r="Q990" s="260"/>
      <c r="R990" s="260"/>
      <c r="S990" s="630"/>
      <c r="T990" s="630"/>
      <c r="U990" s="630"/>
      <c r="V990" s="630"/>
      <c r="W990" s="260"/>
      <c r="X990" s="260"/>
      <c r="Y990" s="260"/>
      <c r="Z990" s="260"/>
      <c r="AA990" s="260"/>
      <c r="AB990" s="260"/>
      <c r="AC990" s="265"/>
      <c r="AD990" s="634"/>
      <c r="AE990" s="264">
        <f t="shared" ref="AE990:AH990" si="2435">AE982*($L982*$P982+$M982*$Q982+$N982*$R982)</f>
        <v>0</v>
      </c>
      <c r="AF990" s="264">
        <f t="shared" si="2435"/>
        <v>0</v>
      </c>
      <c r="AG990" s="264">
        <f t="shared" si="2435"/>
        <v>0</v>
      </c>
      <c r="AH990" s="264">
        <f t="shared" si="2435"/>
        <v>0</v>
      </c>
      <c r="AI990" s="264">
        <f>$AE990+$AF990+$AG990+$AH990</f>
        <v>0</v>
      </c>
      <c r="AJ990" s="264">
        <f t="shared" si="2421"/>
        <v>0</v>
      </c>
      <c r="AK990" s="264">
        <f t="shared" si="2422"/>
        <v>0</v>
      </c>
      <c r="AL990" s="264">
        <f t="shared" si="2423"/>
        <v>0</v>
      </c>
      <c r="AM990" s="264">
        <f t="shared" si="2424"/>
        <v>0</v>
      </c>
      <c r="AN990" s="640">
        <f t="shared" si="2413"/>
        <v>0</v>
      </c>
      <c r="AO990" s="264">
        <f t="shared" si="2425"/>
        <v>0</v>
      </c>
      <c r="AP990" s="640">
        <f t="shared" si="2407"/>
        <v>0</v>
      </c>
      <c r="AQ990" s="264"/>
      <c r="AR990" s="264" t="str">
        <f>VLOOKUP($I990,TableInputsData[],ReadMe!$M$3,FALSE)&amp;"  |  "&amp;VLOOKUP($K990,TableInputsData[],ReadMe!$M$3,FALSE)</f>
        <v>SERVICE 04  |  CHIFFRE D'AFFAIRES</v>
      </c>
      <c r="AS990" s="264" t="b">
        <f t="shared" si="2426"/>
        <v>1</v>
      </c>
      <c r="AT990" s="294"/>
    </row>
    <row r="991" spans="1:46" ht="13" hidden="1" x14ac:dyDescent="0.2">
      <c r="A991" s="294"/>
      <c r="B991" s="925"/>
      <c r="C991" s="271">
        <v>984</v>
      </c>
      <c r="D991" s="250">
        <f t="shared" si="2414"/>
        <v>0</v>
      </c>
      <c r="E991" s="250"/>
      <c r="F991" s="248" t="str">
        <f t="shared" ref="F991:F998" si="2436">F975</f>
        <v>YEAR-2</v>
      </c>
      <c r="G991" s="250">
        <f>VLOOKUP(F991,TableInputsData[],$G$6,FALSE)</f>
        <v>2023</v>
      </c>
      <c r="H991" s="250" t="str">
        <f t="shared" si="2415"/>
        <v>SERVICE</v>
      </c>
      <c r="I991" s="248" t="str">
        <f t="shared" si="2415"/>
        <v>SERVICE 04</v>
      </c>
      <c r="J991" s="248" t="str">
        <f>VLOOKUP(I991,TableInputsData[],$J$6,FALSE)</f>
        <v>-</v>
      </c>
      <c r="K991" s="248" t="s">
        <v>456</v>
      </c>
      <c r="L991" s="255"/>
      <c r="M991" s="255"/>
      <c r="N991" s="255"/>
      <c r="O991" s="265"/>
      <c r="P991" s="260"/>
      <c r="Q991" s="260"/>
      <c r="R991" s="260"/>
      <c r="S991" s="630"/>
      <c r="T991" s="630"/>
      <c r="U991" s="630"/>
      <c r="V991" s="630"/>
      <c r="W991" s="260"/>
      <c r="X991" s="260"/>
      <c r="Y991" s="260"/>
      <c r="Z991" s="260"/>
      <c r="AA991" s="260"/>
      <c r="AB991" s="260"/>
      <c r="AC991" s="265"/>
      <c r="AD991" s="634"/>
      <c r="AE991" s="264">
        <f>IF(AE975=0,0,AE983/AE975)</f>
        <v>0</v>
      </c>
      <c r="AF991" s="264">
        <f t="shared" ref="AF991:AI991" si="2437">IF(AF975=0,0,AF983/AF975)</f>
        <v>0</v>
      </c>
      <c r="AG991" s="264">
        <f t="shared" si="2437"/>
        <v>0</v>
      </c>
      <c r="AH991" s="264">
        <f t="shared" si="2437"/>
        <v>0</v>
      </c>
      <c r="AI991" s="264">
        <f t="shared" si="2437"/>
        <v>0</v>
      </c>
      <c r="AJ991" s="264">
        <f>IF(AJ975=0,0,AJ983/AJ975)</f>
        <v>0</v>
      </c>
      <c r="AK991" s="264">
        <f t="shared" ref="AK991:AL991" si="2438">IF(AK975=0,0,AK983/AK975)</f>
        <v>0</v>
      </c>
      <c r="AL991" s="264">
        <f t="shared" si="2438"/>
        <v>0</v>
      </c>
      <c r="AM991" s="264">
        <f>IF(AM975=0,0,AM983/AM975)</f>
        <v>0</v>
      </c>
      <c r="AN991" s="260"/>
      <c r="AO991" s="264">
        <f t="shared" ref="AO991" si="2439">IF(AO975=0,0,AO983/AO975)</f>
        <v>0</v>
      </c>
      <c r="AP991" s="260"/>
      <c r="AQ991" s="264"/>
      <c r="AR991" s="264" t="str">
        <f>VLOOKUP($I991,TableInputsData[],ReadMe!$M$3,FALSE)&amp;"  |  "&amp;VLOOKUP($K991,TableInputsData[],ReadMe!$M$3,FALSE)</f>
        <v>SERVICE 04  |  PRIX MOYEN DE VENTE PAR PRODUIT/SERVICE</v>
      </c>
      <c r="AS991" s="264"/>
      <c r="AT991" s="294"/>
    </row>
    <row r="992" spans="1:46" ht="13" hidden="1" x14ac:dyDescent="0.2">
      <c r="A992" s="294"/>
      <c r="B992" s="925"/>
      <c r="C992" s="271">
        <v>985</v>
      </c>
      <c r="D992" s="250">
        <f t="shared" si="2414"/>
        <v>0</v>
      </c>
      <c r="E992" s="250"/>
      <c r="F992" s="248" t="str">
        <f t="shared" si="2436"/>
        <v>YEAR-1</v>
      </c>
      <c r="G992" s="250">
        <f>VLOOKUP(F992,TableInputsData[],$G$6,FALSE)</f>
        <v>2024</v>
      </c>
      <c r="H992" s="250" t="str">
        <f t="shared" si="2415"/>
        <v>SERVICE</v>
      </c>
      <c r="I992" s="248" t="str">
        <f t="shared" si="2415"/>
        <v>SERVICE 04</v>
      </c>
      <c r="J992" s="248" t="str">
        <f>VLOOKUP(I992,TableInputsData[],$J$6,FALSE)</f>
        <v>-</v>
      </c>
      <c r="K992" s="248" t="str">
        <f>K991</f>
        <v>AVERAGE SELLING PRICE PER UNIT</v>
      </c>
      <c r="L992" s="255"/>
      <c r="M992" s="255"/>
      <c r="N992" s="255"/>
      <c r="O992" s="265"/>
      <c r="P992" s="260"/>
      <c r="Q992" s="260"/>
      <c r="R992" s="260"/>
      <c r="S992" s="630"/>
      <c r="T992" s="630"/>
      <c r="U992" s="630"/>
      <c r="V992" s="630"/>
      <c r="W992" s="260"/>
      <c r="X992" s="260"/>
      <c r="Y992" s="260"/>
      <c r="Z992" s="260"/>
      <c r="AA992" s="260"/>
      <c r="AB992" s="260"/>
      <c r="AC992" s="265"/>
      <c r="AD992" s="634"/>
      <c r="AE992" s="264">
        <f>IF(AE976=0,0,AE984/AE976)</f>
        <v>0</v>
      </c>
      <c r="AF992" s="264">
        <f t="shared" ref="AF992:AM992" si="2440">IF(AF976=0,0,AF984/AF976)</f>
        <v>0</v>
      </c>
      <c r="AG992" s="264">
        <f t="shared" si="2440"/>
        <v>0</v>
      </c>
      <c r="AH992" s="264">
        <f t="shared" si="2440"/>
        <v>0</v>
      </c>
      <c r="AI992" s="264">
        <f t="shared" si="2440"/>
        <v>0</v>
      </c>
      <c r="AJ992" s="264">
        <f t="shared" si="2440"/>
        <v>0</v>
      </c>
      <c r="AK992" s="264">
        <f t="shared" si="2440"/>
        <v>0</v>
      </c>
      <c r="AL992" s="264">
        <f t="shared" si="2440"/>
        <v>0</v>
      </c>
      <c r="AM992" s="264">
        <f t="shared" si="2440"/>
        <v>0</v>
      </c>
      <c r="AN992" s="260"/>
      <c r="AO992" s="264">
        <f t="shared" ref="AO992" si="2441">IF(AO976=0,0,AO984/AO976)</f>
        <v>0</v>
      </c>
      <c r="AP992" s="260"/>
      <c r="AQ992" s="264"/>
      <c r="AR992" s="264" t="str">
        <f>VLOOKUP($I992,TableInputsData[],ReadMe!$M$3,FALSE)&amp;"  |  "&amp;VLOOKUP($K992,TableInputsData[],ReadMe!$M$3,FALSE)</f>
        <v>SERVICE 04  |  PRIX MOYEN DE VENTE PAR PRODUIT/SERVICE</v>
      </c>
      <c r="AS992" s="264"/>
      <c r="AT992" s="294"/>
    </row>
    <row r="993" spans="1:46" ht="13" hidden="1" x14ac:dyDescent="0.2">
      <c r="A993" s="294"/>
      <c r="B993" s="925"/>
      <c r="C993" s="271">
        <v>986</v>
      </c>
      <c r="D993" s="250">
        <f t="shared" si="2414"/>
        <v>0</v>
      </c>
      <c r="E993" s="250"/>
      <c r="F993" s="248" t="str">
        <f t="shared" si="2436"/>
        <v>CURRENT YEAR</v>
      </c>
      <c r="G993" s="250">
        <f>VLOOKUP(F993,TableInputsData[],$G$6,FALSE)</f>
        <v>2025</v>
      </c>
      <c r="H993" s="250" t="str">
        <f t="shared" si="2415"/>
        <v>SERVICE</v>
      </c>
      <c r="I993" s="248" t="str">
        <f t="shared" si="2415"/>
        <v>SERVICE 04</v>
      </c>
      <c r="J993" s="248" t="str">
        <f>VLOOKUP(I993,TableInputsData[],$J$6,FALSE)</f>
        <v>-</v>
      </c>
      <c r="K993" s="248" t="str">
        <f t="shared" ref="K993:K998" si="2442">K992</f>
        <v>AVERAGE SELLING PRICE PER UNIT</v>
      </c>
      <c r="L993" s="255"/>
      <c r="M993" s="255"/>
      <c r="N993" s="255"/>
      <c r="O993" s="265"/>
      <c r="P993" s="260"/>
      <c r="Q993" s="260"/>
      <c r="R993" s="260"/>
      <c r="S993" s="630"/>
      <c r="T993" s="630"/>
      <c r="U993" s="630"/>
      <c r="V993" s="630"/>
      <c r="W993" s="260"/>
      <c r="X993" s="260"/>
      <c r="Y993" s="260"/>
      <c r="Z993" s="260"/>
      <c r="AA993" s="260"/>
      <c r="AB993" s="260"/>
      <c r="AC993" s="265"/>
      <c r="AD993" s="634"/>
      <c r="AE993" s="264">
        <f>IF(AE977=0,0,AE985/AE977)</f>
        <v>0</v>
      </c>
      <c r="AF993" s="264">
        <f t="shared" ref="AF993:AM993" si="2443">IF(AF977=0,0,AF985/AF977)</f>
        <v>0</v>
      </c>
      <c r="AG993" s="264">
        <f t="shared" si="2443"/>
        <v>0</v>
      </c>
      <c r="AH993" s="264">
        <f t="shared" si="2443"/>
        <v>0</v>
      </c>
      <c r="AI993" s="264">
        <f t="shared" si="2443"/>
        <v>0</v>
      </c>
      <c r="AJ993" s="264">
        <f t="shared" si="2443"/>
        <v>0</v>
      </c>
      <c r="AK993" s="264">
        <f t="shared" si="2443"/>
        <v>0</v>
      </c>
      <c r="AL993" s="264">
        <f t="shared" si="2443"/>
        <v>0</v>
      </c>
      <c r="AM993" s="264">
        <f t="shared" si="2443"/>
        <v>0</v>
      </c>
      <c r="AN993" s="260"/>
      <c r="AO993" s="264">
        <f t="shared" ref="AO993" si="2444">IF(AO977=0,0,AO985/AO977)</f>
        <v>0</v>
      </c>
      <c r="AP993" s="260"/>
      <c r="AQ993" s="264"/>
      <c r="AR993" s="264" t="str">
        <f>VLOOKUP($I993,TableInputsData[],ReadMe!$M$3,FALSE)&amp;"  |  "&amp;VLOOKUP($K993,TableInputsData[],ReadMe!$M$3,FALSE)</f>
        <v>SERVICE 04  |  PRIX MOYEN DE VENTE PAR PRODUIT/SERVICE</v>
      </c>
      <c r="AS993" s="264"/>
      <c r="AT993" s="294"/>
    </row>
    <row r="994" spans="1:46" ht="13" hidden="1" x14ac:dyDescent="0.2">
      <c r="A994" s="294"/>
      <c r="B994" s="925"/>
      <c r="C994" s="271">
        <v>987</v>
      </c>
      <c r="D994" s="250">
        <f t="shared" si="2414"/>
        <v>0</v>
      </c>
      <c r="E994" s="250"/>
      <c r="F994" s="248" t="str">
        <f t="shared" si="2436"/>
        <v>YEAR2</v>
      </c>
      <c r="G994" s="250">
        <f>VLOOKUP(F994,TableInputsData[],$G$6,FALSE)</f>
        <v>2026</v>
      </c>
      <c r="H994" s="250" t="str">
        <f t="shared" si="2415"/>
        <v>SERVICE</v>
      </c>
      <c r="I994" s="248" t="str">
        <f t="shared" si="2415"/>
        <v>SERVICE 04</v>
      </c>
      <c r="J994" s="248" t="str">
        <f>VLOOKUP(I994,TableInputsData[],$J$6,FALSE)</f>
        <v>-</v>
      </c>
      <c r="K994" s="248" t="str">
        <f t="shared" si="2442"/>
        <v>AVERAGE SELLING PRICE PER UNIT</v>
      </c>
      <c r="L994" s="255"/>
      <c r="M994" s="255"/>
      <c r="N994" s="255"/>
      <c r="O994" s="265"/>
      <c r="P994" s="260"/>
      <c r="Q994" s="260"/>
      <c r="R994" s="260"/>
      <c r="S994" s="630"/>
      <c r="T994" s="630"/>
      <c r="U994" s="630"/>
      <c r="V994" s="630"/>
      <c r="W994" s="260"/>
      <c r="X994" s="260"/>
      <c r="Y994" s="260"/>
      <c r="Z994" s="260"/>
      <c r="AA994" s="260"/>
      <c r="AB994" s="260"/>
      <c r="AC994" s="265"/>
      <c r="AD994" s="634"/>
      <c r="AE994" s="264">
        <f>IF(AE978=0,0,AE986/AE978)</f>
        <v>0</v>
      </c>
      <c r="AF994" s="264">
        <f t="shared" ref="AF994:AM994" si="2445">IF(AF978=0,0,AF986/AF978)</f>
        <v>0</v>
      </c>
      <c r="AG994" s="264">
        <f t="shared" si="2445"/>
        <v>0</v>
      </c>
      <c r="AH994" s="264">
        <f t="shared" si="2445"/>
        <v>0</v>
      </c>
      <c r="AI994" s="264">
        <f t="shared" si="2445"/>
        <v>0</v>
      </c>
      <c r="AJ994" s="264">
        <f t="shared" si="2445"/>
        <v>0</v>
      </c>
      <c r="AK994" s="264">
        <f t="shared" si="2445"/>
        <v>0</v>
      </c>
      <c r="AL994" s="264">
        <f t="shared" si="2445"/>
        <v>0</v>
      </c>
      <c r="AM994" s="264">
        <f t="shared" si="2445"/>
        <v>0</v>
      </c>
      <c r="AN994" s="260"/>
      <c r="AO994" s="264">
        <f t="shared" ref="AO994" si="2446">IF(AO978=0,0,AO986/AO978)</f>
        <v>0</v>
      </c>
      <c r="AP994" s="260"/>
      <c r="AQ994" s="264"/>
      <c r="AR994" s="264" t="str">
        <f>VLOOKUP($I994,TableInputsData[],ReadMe!$M$3,FALSE)&amp;"  |  "&amp;VLOOKUP($K994,TableInputsData[],ReadMe!$M$3,FALSE)</f>
        <v>SERVICE 04  |  PRIX MOYEN DE VENTE PAR PRODUIT/SERVICE</v>
      </c>
      <c r="AS994" s="264"/>
      <c r="AT994" s="294"/>
    </row>
    <row r="995" spans="1:46" ht="13" hidden="1" x14ac:dyDescent="0.2">
      <c r="A995" s="294"/>
      <c r="B995" s="925"/>
      <c r="C995" s="271">
        <v>988</v>
      </c>
      <c r="D995" s="250">
        <f t="shared" si="2414"/>
        <v>0</v>
      </c>
      <c r="E995" s="250"/>
      <c r="F995" s="248" t="str">
        <f t="shared" si="2436"/>
        <v>YEAR3</v>
      </c>
      <c r="G995" s="250">
        <f>VLOOKUP(F995,TableInputsData[],$G$6,FALSE)</f>
        <v>2027</v>
      </c>
      <c r="H995" s="250" t="str">
        <f t="shared" si="2415"/>
        <v>SERVICE</v>
      </c>
      <c r="I995" s="248" t="str">
        <f t="shared" si="2415"/>
        <v>SERVICE 04</v>
      </c>
      <c r="J995" s="248" t="str">
        <f>VLOOKUP(I995,TableInputsData[],$J$6,FALSE)</f>
        <v>-</v>
      </c>
      <c r="K995" s="248" t="str">
        <f t="shared" si="2442"/>
        <v>AVERAGE SELLING PRICE PER UNIT</v>
      </c>
      <c r="L995" s="255"/>
      <c r="M995" s="255"/>
      <c r="N995" s="255"/>
      <c r="O995" s="265"/>
      <c r="P995" s="260"/>
      <c r="Q995" s="260"/>
      <c r="R995" s="260"/>
      <c r="S995" s="630"/>
      <c r="T995" s="630"/>
      <c r="U995" s="630"/>
      <c r="V995" s="630"/>
      <c r="W995" s="260"/>
      <c r="X995" s="260"/>
      <c r="Y995" s="260"/>
      <c r="Z995" s="260"/>
      <c r="AA995" s="260"/>
      <c r="AB995" s="260"/>
      <c r="AC995" s="265"/>
      <c r="AD995" s="634"/>
      <c r="AE995" s="264">
        <f t="shared" ref="AE995:AM995" si="2447">IF(AE979=0,0,AE987/AE979)</f>
        <v>0</v>
      </c>
      <c r="AF995" s="264">
        <f t="shared" si="2447"/>
        <v>0</v>
      </c>
      <c r="AG995" s="264">
        <f t="shared" si="2447"/>
        <v>0</v>
      </c>
      <c r="AH995" s="264">
        <f t="shared" si="2447"/>
        <v>0</v>
      </c>
      <c r="AI995" s="264">
        <f t="shared" si="2447"/>
        <v>0</v>
      </c>
      <c r="AJ995" s="264">
        <f t="shared" si="2447"/>
        <v>0</v>
      </c>
      <c r="AK995" s="264">
        <f t="shared" si="2447"/>
        <v>0</v>
      </c>
      <c r="AL995" s="264">
        <f t="shared" si="2447"/>
        <v>0</v>
      </c>
      <c r="AM995" s="264">
        <f t="shared" si="2447"/>
        <v>0</v>
      </c>
      <c r="AN995" s="260"/>
      <c r="AO995" s="264">
        <f t="shared" ref="AO995" si="2448">IF(AO979=0,0,AO987/AO979)</f>
        <v>0</v>
      </c>
      <c r="AP995" s="260"/>
      <c r="AQ995" s="264"/>
      <c r="AR995" s="264" t="str">
        <f>VLOOKUP($I995,TableInputsData[],ReadMe!$M$3,FALSE)&amp;"  |  "&amp;VLOOKUP($K995,TableInputsData[],ReadMe!$M$3,FALSE)</f>
        <v>SERVICE 04  |  PRIX MOYEN DE VENTE PAR PRODUIT/SERVICE</v>
      </c>
      <c r="AS995" s="264"/>
      <c r="AT995" s="294"/>
    </row>
    <row r="996" spans="1:46" ht="13" hidden="1" x14ac:dyDescent="0.2">
      <c r="A996" s="294"/>
      <c r="B996" s="925"/>
      <c r="C996" s="272">
        <v>989</v>
      </c>
      <c r="D996" s="250">
        <f t="shared" si="2414"/>
        <v>0</v>
      </c>
      <c r="E996" s="251"/>
      <c r="F996" s="248" t="str">
        <f t="shared" si="2436"/>
        <v>YEAR4</v>
      </c>
      <c r="G996" s="250">
        <f>VLOOKUP(F996,TableInputsData[],$G$6,FALSE)</f>
        <v>2028</v>
      </c>
      <c r="H996" s="250" t="str">
        <f t="shared" si="2415"/>
        <v>SERVICE</v>
      </c>
      <c r="I996" s="248" t="str">
        <f t="shared" si="2415"/>
        <v>SERVICE 04</v>
      </c>
      <c r="J996" s="248" t="str">
        <f>VLOOKUP(I996,TableInputsData[],$J$6,FALSE)</f>
        <v>-</v>
      </c>
      <c r="K996" s="248" t="str">
        <f t="shared" si="2442"/>
        <v>AVERAGE SELLING PRICE PER UNIT</v>
      </c>
      <c r="L996" s="256"/>
      <c r="M996" s="256"/>
      <c r="N996" s="256"/>
      <c r="O996" s="266"/>
      <c r="P996" s="261"/>
      <c r="Q996" s="261"/>
      <c r="R996" s="261"/>
      <c r="S996" s="629"/>
      <c r="T996" s="629"/>
      <c r="U996" s="629"/>
      <c r="V996" s="629"/>
      <c r="W996" s="261"/>
      <c r="X996" s="261"/>
      <c r="Y996" s="261"/>
      <c r="Z996" s="261"/>
      <c r="AA996" s="261"/>
      <c r="AB996" s="261"/>
      <c r="AC996" s="266"/>
      <c r="AD996" s="633"/>
      <c r="AE996" s="264">
        <f t="shared" ref="AE996:AM996" si="2449">IF(AE980=0,0,AE988/AE980)</f>
        <v>0</v>
      </c>
      <c r="AF996" s="264">
        <f t="shared" si="2449"/>
        <v>0</v>
      </c>
      <c r="AG996" s="264">
        <f t="shared" si="2449"/>
        <v>0</v>
      </c>
      <c r="AH996" s="264">
        <f t="shared" si="2449"/>
        <v>0</v>
      </c>
      <c r="AI996" s="264">
        <f t="shared" si="2449"/>
        <v>0</v>
      </c>
      <c r="AJ996" s="264">
        <f t="shared" si="2449"/>
        <v>0</v>
      </c>
      <c r="AK996" s="264">
        <f t="shared" si="2449"/>
        <v>0</v>
      </c>
      <c r="AL996" s="264">
        <f t="shared" si="2449"/>
        <v>0</v>
      </c>
      <c r="AM996" s="264">
        <f t="shared" si="2449"/>
        <v>0</v>
      </c>
      <c r="AN996" s="260"/>
      <c r="AO996" s="264">
        <f t="shared" ref="AO996" si="2450">IF(AO980=0,0,AO988/AO980)</f>
        <v>0</v>
      </c>
      <c r="AP996" s="260"/>
      <c r="AQ996" s="264"/>
      <c r="AR996" s="264" t="str">
        <f>VLOOKUP($I996,TableInputsData[],ReadMe!$M$3,FALSE)&amp;"  |  "&amp;VLOOKUP($K996,TableInputsData[],ReadMe!$M$3,FALSE)</f>
        <v>SERVICE 04  |  PRIX MOYEN DE VENTE PAR PRODUIT/SERVICE</v>
      </c>
      <c r="AS996" s="264"/>
      <c r="AT996" s="294"/>
    </row>
    <row r="997" spans="1:46" ht="13" hidden="1" x14ac:dyDescent="0.2">
      <c r="A997" s="294"/>
      <c r="B997" s="925"/>
      <c r="C997" s="271">
        <v>990</v>
      </c>
      <c r="D997" s="250">
        <f t="shared" si="2414"/>
        <v>0</v>
      </c>
      <c r="E997" s="250"/>
      <c r="F997" s="248" t="str">
        <f t="shared" si="2436"/>
        <v>YEAR5</v>
      </c>
      <c r="G997" s="250">
        <f>VLOOKUP(F997,TableInputsData[],$G$6,FALSE)</f>
        <v>2029</v>
      </c>
      <c r="H997" s="250" t="str">
        <f t="shared" si="2415"/>
        <v>SERVICE</v>
      </c>
      <c r="I997" s="248" t="str">
        <f t="shared" si="2415"/>
        <v>SERVICE 04</v>
      </c>
      <c r="J997" s="248" t="str">
        <f>VLOOKUP(I997,TableInputsData[],$J$6,FALSE)</f>
        <v>-</v>
      </c>
      <c r="K997" s="248" t="str">
        <f t="shared" si="2442"/>
        <v>AVERAGE SELLING PRICE PER UNIT</v>
      </c>
      <c r="L997" s="255"/>
      <c r="M997" s="255"/>
      <c r="N997" s="255"/>
      <c r="O997" s="265"/>
      <c r="P997" s="260"/>
      <c r="Q997" s="260"/>
      <c r="R997" s="260"/>
      <c r="S997" s="630"/>
      <c r="T997" s="630"/>
      <c r="U997" s="630"/>
      <c r="V997" s="630"/>
      <c r="W997" s="260"/>
      <c r="X997" s="260"/>
      <c r="Y997" s="260"/>
      <c r="Z997" s="260"/>
      <c r="AA997" s="260"/>
      <c r="AB997" s="260"/>
      <c r="AC997" s="265"/>
      <c r="AD997" s="634"/>
      <c r="AE997" s="264">
        <f t="shared" ref="AE997:AM997" si="2451">IF(AE981=0,0,AE989/AE981)</f>
        <v>0</v>
      </c>
      <c r="AF997" s="264">
        <f t="shared" si="2451"/>
        <v>0</v>
      </c>
      <c r="AG997" s="264">
        <f t="shared" si="2451"/>
        <v>0</v>
      </c>
      <c r="AH997" s="264">
        <f t="shared" si="2451"/>
        <v>0</v>
      </c>
      <c r="AI997" s="264">
        <f t="shared" si="2451"/>
        <v>0</v>
      </c>
      <c r="AJ997" s="264">
        <f t="shared" si="2451"/>
        <v>0</v>
      </c>
      <c r="AK997" s="264">
        <f t="shared" si="2451"/>
        <v>0</v>
      </c>
      <c r="AL997" s="264">
        <f t="shared" si="2451"/>
        <v>0</v>
      </c>
      <c r="AM997" s="264">
        <f t="shared" si="2451"/>
        <v>0</v>
      </c>
      <c r="AN997" s="260"/>
      <c r="AO997" s="264">
        <f t="shared" ref="AO997" si="2452">IF(AO981=0,0,AO989/AO981)</f>
        <v>0</v>
      </c>
      <c r="AP997" s="260"/>
      <c r="AQ997" s="264"/>
      <c r="AR997" s="264" t="str">
        <f>VLOOKUP($I997,TableInputsData[],ReadMe!$M$3,FALSE)&amp;"  |  "&amp;VLOOKUP($K997,TableInputsData[],ReadMe!$M$3,FALSE)</f>
        <v>SERVICE 04  |  PRIX MOYEN DE VENTE PAR PRODUIT/SERVICE</v>
      </c>
      <c r="AS997" s="264"/>
      <c r="AT997" s="294"/>
    </row>
    <row r="998" spans="1:46" ht="13" hidden="1" x14ac:dyDescent="0.2">
      <c r="A998" s="294"/>
      <c r="B998" s="925"/>
      <c r="C998" s="271">
        <v>991</v>
      </c>
      <c r="D998" s="250">
        <f t="shared" si="2414"/>
        <v>0</v>
      </c>
      <c r="E998" s="250"/>
      <c r="F998" s="248" t="str">
        <f t="shared" si="2436"/>
        <v>YEAR6</v>
      </c>
      <c r="G998" s="250">
        <f>VLOOKUP(F998,TableInputsData[],$G$6,FALSE)</f>
        <v>2030</v>
      </c>
      <c r="H998" s="250" t="str">
        <f t="shared" si="2415"/>
        <v>SERVICE</v>
      </c>
      <c r="I998" s="248" t="str">
        <f t="shared" si="2415"/>
        <v>SERVICE 04</v>
      </c>
      <c r="J998" s="248" t="str">
        <f>VLOOKUP(I998,TableInputsData[],$J$6,FALSE)</f>
        <v>-</v>
      </c>
      <c r="K998" s="248" t="str">
        <f t="shared" si="2442"/>
        <v>AVERAGE SELLING PRICE PER UNIT</v>
      </c>
      <c r="L998" s="255"/>
      <c r="M998" s="255"/>
      <c r="N998" s="255"/>
      <c r="O998" s="265"/>
      <c r="P998" s="260"/>
      <c r="Q998" s="260"/>
      <c r="R998" s="260"/>
      <c r="S998" s="630"/>
      <c r="T998" s="630"/>
      <c r="U998" s="630"/>
      <c r="V998" s="630"/>
      <c r="W998" s="260"/>
      <c r="X998" s="260"/>
      <c r="Y998" s="260"/>
      <c r="Z998" s="260"/>
      <c r="AA998" s="260"/>
      <c r="AB998" s="260"/>
      <c r="AC998" s="265"/>
      <c r="AD998" s="634"/>
      <c r="AE998" s="264">
        <f t="shared" ref="AE998:AM998" si="2453">IF(AE982=0,0,AE990/AE982)</f>
        <v>0</v>
      </c>
      <c r="AF998" s="264">
        <f t="shared" si="2453"/>
        <v>0</v>
      </c>
      <c r="AG998" s="264">
        <f t="shared" si="2453"/>
        <v>0</v>
      </c>
      <c r="AH998" s="264">
        <f t="shared" si="2453"/>
        <v>0</v>
      </c>
      <c r="AI998" s="264">
        <f t="shared" si="2453"/>
        <v>0</v>
      </c>
      <c r="AJ998" s="264">
        <f t="shared" si="2453"/>
        <v>0</v>
      </c>
      <c r="AK998" s="264">
        <f t="shared" si="2453"/>
        <v>0</v>
      </c>
      <c r="AL998" s="264">
        <f t="shared" si="2453"/>
        <v>0</v>
      </c>
      <c r="AM998" s="264">
        <f t="shared" si="2453"/>
        <v>0</v>
      </c>
      <c r="AN998" s="260"/>
      <c r="AO998" s="264">
        <f t="shared" ref="AO998" si="2454">IF(AO982=0,0,AO990/AO982)</f>
        <v>0</v>
      </c>
      <c r="AP998" s="260"/>
      <c r="AQ998" s="264"/>
      <c r="AR998" s="264" t="str">
        <f>VLOOKUP($I998,TableInputsData[],ReadMe!$M$3,FALSE)&amp;"  |  "&amp;VLOOKUP($K998,TableInputsData[],ReadMe!$M$3,FALSE)</f>
        <v>SERVICE 04  |  PRIX MOYEN DE VENTE PAR PRODUIT/SERVICE</v>
      </c>
      <c r="AS998" s="264"/>
      <c r="AT998" s="294"/>
    </row>
    <row r="999" spans="1:46" ht="13" hidden="1" x14ac:dyDescent="0.2">
      <c r="A999" s="294"/>
      <c r="B999" s="925"/>
      <c r="C999" s="272">
        <v>992</v>
      </c>
      <c r="D999" s="250">
        <f t="shared" si="2414"/>
        <v>0</v>
      </c>
      <c r="E999" s="251"/>
      <c r="F999" s="248" t="str">
        <f t="shared" ref="F999:F1006" si="2455">F1007</f>
        <v>YEAR-2</v>
      </c>
      <c r="G999" s="250">
        <f>VLOOKUP(F999,TableInputsData[],$G$6,FALSE)</f>
        <v>2023</v>
      </c>
      <c r="H999" s="250" t="str">
        <f t="shared" si="2415"/>
        <v>SERVICE</v>
      </c>
      <c r="I999" s="248" t="str">
        <f t="shared" si="2415"/>
        <v>SERVICE 04</v>
      </c>
      <c r="J999" s="248" t="str">
        <f>VLOOKUP(I999,TableInputsData[],$J$6,FALSE)</f>
        <v>-</v>
      </c>
      <c r="K999" s="248" t="s">
        <v>531</v>
      </c>
      <c r="L999" s="256"/>
      <c r="M999" s="256"/>
      <c r="N999" s="256"/>
      <c r="O999" s="266"/>
      <c r="P999" s="261"/>
      <c r="Q999" s="261"/>
      <c r="R999" s="261"/>
      <c r="S999" s="629"/>
      <c r="T999" s="629"/>
      <c r="U999" s="629"/>
      <c r="V999" s="629"/>
      <c r="W999" s="261"/>
      <c r="X999" s="261"/>
      <c r="Y999" s="261"/>
      <c r="Z999" s="261"/>
      <c r="AA999" s="261"/>
      <c r="AB999" s="261"/>
      <c r="AC999" s="266"/>
      <c r="AD999" s="633"/>
      <c r="AE999" s="264">
        <f>AE975*($S975*$P975+$T975*$Q975+$U975*$R975)</f>
        <v>0</v>
      </c>
      <c r="AF999" s="264">
        <f t="shared" ref="AF999:AH999" si="2456">AF975*($S975*$P975+$T975*$Q975+$U975*$R975)</f>
        <v>0</v>
      </c>
      <c r="AG999" s="264">
        <f t="shared" si="2456"/>
        <v>0</v>
      </c>
      <c r="AH999" s="264">
        <f t="shared" si="2456"/>
        <v>0</v>
      </c>
      <c r="AI999" s="264">
        <f t="shared" ref="AI999:AI1006" si="2457">$AE999+$AF999+$AG999+$AH999</f>
        <v>0</v>
      </c>
      <c r="AJ999" s="264">
        <f t="shared" ref="AJ999:AJ1006" si="2458">$AJ975*$S975</f>
        <v>0</v>
      </c>
      <c r="AK999" s="264">
        <f t="shared" ref="AK999:AK1006" si="2459">$AK975*$T975</f>
        <v>0</v>
      </c>
      <c r="AL999" s="264">
        <f t="shared" ref="AL999:AL1006" si="2460">$AL975*$U975</f>
        <v>0</v>
      </c>
      <c r="AM999" s="264">
        <f t="shared" ref="AM999:AM1006" si="2461">$AJ999*$W975+$AK999*$X975+$AL999*$Y975</f>
        <v>0</v>
      </c>
      <c r="AN999" s="640">
        <f t="shared" ref="AN999:AN1006" si="2462">IF(AI999=0,0,AM999/AI999)</f>
        <v>0</v>
      </c>
      <c r="AO999" s="264">
        <f t="shared" ref="AO999:AO1006" si="2463">$AJ999*$Z975+$AK999*$AA975+$AL999*$AB975</f>
        <v>0</v>
      </c>
      <c r="AP999" s="640">
        <f t="shared" ref="AP999:AP1006" si="2464">IF(AI999=0,0,AO999/AI999)</f>
        <v>0</v>
      </c>
      <c r="AQ999" s="264"/>
      <c r="AR999" s="264" t="str">
        <f>VLOOKUP($I999,TableInputsData[],ReadMe!$M$3,FALSE)&amp;"  |  "&amp;VLOOKUP($K999,TableInputsData[],ReadMe!$M$3,FALSE)</f>
        <v>SERVICE 04  |  DEPENSES SUR ACHATS</v>
      </c>
      <c r="AS999" s="264" t="b">
        <f t="shared" ref="AS999:AS1006" si="2465">AND(EXACT(ROUND(AI999,2),ROUND(AJ999+AK999+AL999,2)),EXACT(ROUND(AI999,2),ROUND(AM999+AO999,2)))</f>
        <v>1</v>
      </c>
      <c r="AT999" s="294"/>
    </row>
    <row r="1000" spans="1:46" ht="13" hidden="1" x14ac:dyDescent="0.2">
      <c r="A1000" s="294"/>
      <c r="B1000" s="925"/>
      <c r="C1000" s="271">
        <v>993</v>
      </c>
      <c r="D1000" s="250">
        <f t="shared" si="2414"/>
        <v>0</v>
      </c>
      <c r="E1000" s="250"/>
      <c r="F1000" s="248" t="str">
        <f t="shared" si="2455"/>
        <v>YEAR-1</v>
      </c>
      <c r="G1000" s="250">
        <f>VLOOKUP(F1000,TableInputsData[],$G$6,FALSE)</f>
        <v>2024</v>
      </c>
      <c r="H1000" s="250" t="str">
        <f t="shared" si="2415"/>
        <v>SERVICE</v>
      </c>
      <c r="I1000" s="248" t="str">
        <f t="shared" si="2415"/>
        <v>SERVICE 04</v>
      </c>
      <c r="J1000" s="248" t="str">
        <f>VLOOKUP(I1000,TableInputsData[],$J$6,FALSE)</f>
        <v>-</v>
      </c>
      <c r="K1000" s="248" t="str">
        <f>K999</f>
        <v>COST OF GOODS SOLD</v>
      </c>
      <c r="L1000" s="255"/>
      <c r="M1000" s="255"/>
      <c r="N1000" s="255"/>
      <c r="O1000" s="265"/>
      <c r="P1000" s="260"/>
      <c r="Q1000" s="260"/>
      <c r="R1000" s="260"/>
      <c r="S1000" s="630"/>
      <c r="T1000" s="630"/>
      <c r="U1000" s="630"/>
      <c r="V1000" s="630"/>
      <c r="W1000" s="260"/>
      <c r="X1000" s="260"/>
      <c r="Y1000" s="260"/>
      <c r="Z1000" s="260"/>
      <c r="AA1000" s="260"/>
      <c r="AB1000" s="260"/>
      <c r="AC1000" s="265"/>
      <c r="AD1000" s="634"/>
      <c r="AE1000" s="264">
        <f t="shared" ref="AE1000:AH1000" si="2466">AE976*($S976*$P976+$T976*$Q976+$U976*$R976)</f>
        <v>0</v>
      </c>
      <c r="AF1000" s="264">
        <f t="shared" si="2466"/>
        <v>0</v>
      </c>
      <c r="AG1000" s="264">
        <f t="shared" si="2466"/>
        <v>0</v>
      </c>
      <c r="AH1000" s="264">
        <f t="shared" si="2466"/>
        <v>0</v>
      </c>
      <c r="AI1000" s="264">
        <f t="shared" si="2457"/>
        <v>0</v>
      </c>
      <c r="AJ1000" s="264">
        <f t="shared" si="2458"/>
        <v>0</v>
      </c>
      <c r="AK1000" s="264">
        <f t="shared" si="2459"/>
        <v>0</v>
      </c>
      <c r="AL1000" s="264">
        <f t="shared" si="2460"/>
        <v>0</v>
      </c>
      <c r="AM1000" s="264">
        <f t="shared" si="2461"/>
        <v>0</v>
      </c>
      <c r="AN1000" s="640">
        <f t="shared" si="2462"/>
        <v>0</v>
      </c>
      <c r="AO1000" s="264">
        <f t="shared" si="2463"/>
        <v>0</v>
      </c>
      <c r="AP1000" s="640">
        <f t="shared" si="2464"/>
        <v>0</v>
      </c>
      <c r="AQ1000" s="264"/>
      <c r="AR1000" s="264" t="str">
        <f>VLOOKUP($I1000,TableInputsData[],ReadMe!$M$3,FALSE)&amp;"  |  "&amp;VLOOKUP($K1000,TableInputsData[],ReadMe!$M$3,FALSE)</f>
        <v>SERVICE 04  |  DEPENSES SUR ACHATS</v>
      </c>
      <c r="AS1000" s="264" t="b">
        <f t="shared" si="2465"/>
        <v>1</v>
      </c>
      <c r="AT1000" s="294"/>
    </row>
    <row r="1001" spans="1:46" ht="13" hidden="1" x14ac:dyDescent="0.2">
      <c r="A1001" s="294"/>
      <c r="B1001" s="925"/>
      <c r="C1001" s="271">
        <v>994</v>
      </c>
      <c r="D1001" s="250">
        <f t="shared" si="2414"/>
        <v>0</v>
      </c>
      <c r="E1001" s="250"/>
      <c r="F1001" s="248" t="str">
        <f t="shared" si="2455"/>
        <v>CURRENT YEAR</v>
      </c>
      <c r="G1001" s="250">
        <f>VLOOKUP(F1001,TableInputsData[],$G$6,FALSE)</f>
        <v>2025</v>
      </c>
      <c r="H1001" s="250" t="str">
        <f t="shared" si="2415"/>
        <v>SERVICE</v>
      </c>
      <c r="I1001" s="248" t="str">
        <f t="shared" si="2415"/>
        <v>SERVICE 04</v>
      </c>
      <c r="J1001" s="248" t="str">
        <f>VLOOKUP(I1001,TableInputsData[],$J$6,FALSE)</f>
        <v>-</v>
      </c>
      <c r="K1001" s="248" t="str">
        <f t="shared" ref="K1001:K1006" si="2467">K1000</f>
        <v>COST OF GOODS SOLD</v>
      </c>
      <c r="L1001" s="255"/>
      <c r="M1001" s="255"/>
      <c r="N1001" s="255"/>
      <c r="O1001" s="265"/>
      <c r="P1001" s="260"/>
      <c r="Q1001" s="260"/>
      <c r="R1001" s="260"/>
      <c r="S1001" s="630"/>
      <c r="T1001" s="630"/>
      <c r="U1001" s="630"/>
      <c r="V1001" s="630"/>
      <c r="W1001" s="260"/>
      <c r="X1001" s="260"/>
      <c r="Y1001" s="260"/>
      <c r="Z1001" s="260"/>
      <c r="AA1001" s="260"/>
      <c r="AB1001" s="260"/>
      <c r="AC1001" s="265"/>
      <c r="AD1001" s="634"/>
      <c r="AE1001" s="264">
        <f t="shared" ref="AE1001:AH1001" si="2468">AE977*($S977*$P977+$T977*$Q977+$U977*$R977)</f>
        <v>0</v>
      </c>
      <c r="AF1001" s="264">
        <f t="shared" si="2468"/>
        <v>0</v>
      </c>
      <c r="AG1001" s="264">
        <f t="shared" si="2468"/>
        <v>0</v>
      </c>
      <c r="AH1001" s="264">
        <f t="shared" si="2468"/>
        <v>0</v>
      </c>
      <c r="AI1001" s="264">
        <f t="shared" si="2457"/>
        <v>0</v>
      </c>
      <c r="AJ1001" s="264">
        <f t="shared" si="2458"/>
        <v>0</v>
      </c>
      <c r="AK1001" s="264">
        <f t="shared" si="2459"/>
        <v>0</v>
      </c>
      <c r="AL1001" s="264">
        <f t="shared" si="2460"/>
        <v>0</v>
      </c>
      <c r="AM1001" s="264">
        <f t="shared" si="2461"/>
        <v>0</v>
      </c>
      <c r="AN1001" s="640">
        <f t="shared" si="2462"/>
        <v>0</v>
      </c>
      <c r="AO1001" s="264">
        <f t="shared" si="2463"/>
        <v>0</v>
      </c>
      <c r="AP1001" s="640">
        <f t="shared" si="2464"/>
        <v>0</v>
      </c>
      <c r="AQ1001" s="264"/>
      <c r="AR1001" s="264" t="str">
        <f>VLOOKUP($I1001,TableInputsData[],ReadMe!$M$3,FALSE)&amp;"  |  "&amp;VLOOKUP($K1001,TableInputsData[],ReadMe!$M$3,FALSE)</f>
        <v>SERVICE 04  |  DEPENSES SUR ACHATS</v>
      </c>
      <c r="AS1001" s="264" t="b">
        <f t="shared" si="2465"/>
        <v>1</v>
      </c>
      <c r="AT1001" s="294"/>
    </row>
    <row r="1002" spans="1:46" ht="13" hidden="1" x14ac:dyDescent="0.2">
      <c r="A1002" s="294"/>
      <c r="B1002" s="925"/>
      <c r="C1002" s="271">
        <v>995</v>
      </c>
      <c r="D1002" s="250">
        <f t="shared" si="2414"/>
        <v>0</v>
      </c>
      <c r="E1002" s="250"/>
      <c r="F1002" s="248" t="str">
        <f t="shared" si="2455"/>
        <v>YEAR2</v>
      </c>
      <c r="G1002" s="250">
        <f>VLOOKUP(F1002,TableInputsData[],$G$6,FALSE)</f>
        <v>2026</v>
      </c>
      <c r="H1002" s="250" t="str">
        <f t="shared" si="2415"/>
        <v>SERVICE</v>
      </c>
      <c r="I1002" s="248" t="str">
        <f t="shared" si="2415"/>
        <v>SERVICE 04</v>
      </c>
      <c r="J1002" s="248" t="str">
        <f>VLOOKUP(I1002,TableInputsData[],$J$6,FALSE)</f>
        <v>-</v>
      </c>
      <c r="K1002" s="248" t="str">
        <f t="shared" si="2467"/>
        <v>COST OF GOODS SOLD</v>
      </c>
      <c r="L1002" s="255"/>
      <c r="M1002" s="255"/>
      <c r="N1002" s="255"/>
      <c r="O1002" s="265"/>
      <c r="P1002" s="260"/>
      <c r="Q1002" s="260"/>
      <c r="R1002" s="260"/>
      <c r="S1002" s="630"/>
      <c r="T1002" s="630"/>
      <c r="U1002" s="630"/>
      <c r="V1002" s="630"/>
      <c r="W1002" s="260"/>
      <c r="X1002" s="260"/>
      <c r="Y1002" s="260"/>
      <c r="Z1002" s="260"/>
      <c r="AA1002" s="260"/>
      <c r="AB1002" s="260"/>
      <c r="AC1002" s="265"/>
      <c r="AD1002" s="634"/>
      <c r="AE1002" s="264">
        <f t="shared" ref="AE1002:AH1002" si="2469">AE978*($S978*$P978+$T978*$Q978+$U978*$R978)</f>
        <v>0</v>
      </c>
      <c r="AF1002" s="264">
        <f t="shared" si="2469"/>
        <v>0</v>
      </c>
      <c r="AG1002" s="264">
        <f t="shared" si="2469"/>
        <v>0</v>
      </c>
      <c r="AH1002" s="264">
        <f t="shared" si="2469"/>
        <v>0</v>
      </c>
      <c r="AI1002" s="264">
        <f t="shared" si="2457"/>
        <v>0</v>
      </c>
      <c r="AJ1002" s="264">
        <f t="shared" si="2458"/>
        <v>0</v>
      </c>
      <c r="AK1002" s="264">
        <f t="shared" si="2459"/>
        <v>0</v>
      </c>
      <c r="AL1002" s="264">
        <f t="shared" si="2460"/>
        <v>0</v>
      </c>
      <c r="AM1002" s="264">
        <f t="shared" si="2461"/>
        <v>0</v>
      </c>
      <c r="AN1002" s="640">
        <f t="shared" si="2462"/>
        <v>0</v>
      </c>
      <c r="AO1002" s="264">
        <f t="shared" si="2463"/>
        <v>0</v>
      </c>
      <c r="AP1002" s="640">
        <f t="shared" si="2464"/>
        <v>0</v>
      </c>
      <c r="AQ1002" s="264"/>
      <c r="AR1002" s="264" t="str">
        <f>VLOOKUP($I1002,TableInputsData[],ReadMe!$M$3,FALSE)&amp;"  |  "&amp;VLOOKUP($K1002,TableInputsData[],ReadMe!$M$3,FALSE)</f>
        <v>SERVICE 04  |  DEPENSES SUR ACHATS</v>
      </c>
      <c r="AS1002" s="264" t="b">
        <f t="shared" si="2465"/>
        <v>1</v>
      </c>
      <c r="AT1002" s="294"/>
    </row>
    <row r="1003" spans="1:46" ht="13" hidden="1" x14ac:dyDescent="0.2">
      <c r="A1003" s="294"/>
      <c r="B1003" s="925"/>
      <c r="C1003" s="271">
        <v>996</v>
      </c>
      <c r="D1003" s="250">
        <f t="shared" si="2414"/>
        <v>0</v>
      </c>
      <c r="E1003" s="250"/>
      <c r="F1003" s="248" t="str">
        <f t="shared" si="2455"/>
        <v>YEAR3</v>
      </c>
      <c r="G1003" s="250">
        <f>VLOOKUP(F1003,TableInputsData[],$G$6,FALSE)</f>
        <v>2027</v>
      </c>
      <c r="H1003" s="250" t="str">
        <f t="shared" si="2415"/>
        <v>SERVICE</v>
      </c>
      <c r="I1003" s="248" t="str">
        <f t="shared" si="2415"/>
        <v>SERVICE 04</v>
      </c>
      <c r="J1003" s="248" t="str">
        <f>VLOOKUP(I1003,TableInputsData[],$J$6,FALSE)</f>
        <v>-</v>
      </c>
      <c r="K1003" s="248" t="str">
        <f t="shared" si="2467"/>
        <v>COST OF GOODS SOLD</v>
      </c>
      <c r="L1003" s="255"/>
      <c r="M1003" s="255"/>
      <c r="N1003" s="255"/>
      <c r="O1003" s="265"/>
      <c r="P1003" s="260"/>
      <c r="Q1003" s="260"/>
      <c r="R1003" s="260"/>
      <c r="S1003" s="630"/>
      <c r="T1003" s="630"/>
      <c r="U1003" s="630"/>
      <c r="V1003" s="630"/>
      <c r="W1003" s="260"/>
      <c r="X1003" s="260"/>
      <c r="Y1003" s="260"/>
      <c r="Z1003" s="260"/>
      <c r="AA1003" s="260"/>
      <c r="AB1003" s="260"/>
      <c r="AC1003" s="265"/>
      <c r="AD1003" s="634"/>
      <c r="AE1003" s="264">
        <f t="shared" ref="AE1003:AH1003" si="2470">AE979*($S979*$P979+$T979*$Q979+$U979*$R979)</f>
        <v>0</v>
      </c>
      <c r="AF1003" s="264">
        <f t="shared" si="2470"/>
        <v>0</v>
      </c>
      <c r="AG1003" s="264">
        <f t="shared" si="2470"/>
        <v>0</v>
      </c>
      <c r="AH1003" s="264">
        <f t="shared" si="2470"/>
        <v>0</v>
      </c>
      <c r="AI1003" s="264">
        <f t="shared" si="2457"/>
        <v>0</v>
      </c>
      <c r="AJ1003" s="264">
        <f t="shared" si="2458"/>
        <v>0</v>
      </c>
      <c r="AK1003" s="264">
        <f t="shared" si="2459"/>
        <v>0</v>
      </c>
      <c r="AL1003" s="264">
        <f t="shared" si="2460"/>
        <v>0</v>
      </c>
      <c r="AM1003" s="264">
        <f t="shared" si="2461"/>
        <v>0</v>
      </c>
      <c r="AN1003" s="640">
        <f t="shared" si="2462"/>
        <v>0</v>
      </c>
      <c r="AO1003" s="264">
        <f t="shared" si="2463"/>
        <v>0</v>
      </c>
      <c r="AP1003" s="640">
        <f t="shared" si="2464"/>
        <v>0</v>
      </c>
      <c r="AQ1003" s="264"/>
      <c r="AR1003" s="264" t="str">
        <f>VLOOKUP($I1003,TableInputsData[],ReadMe!$M$3,FALSE)&amp;"  |  "&amp;VLOOKUP($K1003,TableInputsData[],ReadMe!$M$3,FALSE)</f>
        <v>SERVICE 04  |  DEPENSES SUR ACHATS</v>
      </c>
      <c r="AS1003" s="264" t="b">
        <f t="shared" si="2465"/>
        <v>1</v>
      </c>
      <c r="AT1003" s="294"/>
    </row>
    <row r="1004" spans="1:46" ht="13" hidden="1" x14ac:dyDescent="0.2">
      <c r="A1004" s="294"/>
      <c r="B1004" s="925"/>
      <c r="C1004" s="271">
        <v>997</v>
      </c>
      <c r="D1004" s="250">
        <f t="shared" si="2414"/>
        <v>0</v>
      </c>
      <c r="E1004" s="250"/>
      <c r="F1004" s="248" t="str">
        <f t="shared" si="2455"/>
        <v>YEAR4</v>
      </c>
      <c r="G1004" s="250">
        <f>VLOOKUP(F1004,TableInputsData[],$G$6,FALSE)</f>
        <v>2028</v>
      </c>
      <c r="H1004" s="250" t="str">
        <f t="shared" si="2415"/>
        <v>SERVICE</v>
      </c>
      <c r="I1004" s="248" t="str">
        <f t="shared" si="2415"/>
        <v>SERVICE 04</v>
      </c>
      <c r="J1004" s="248" t="str">
        <f>VLOOKUP(I1004,TableInputsData[],$J$6,FALSE)</f>
        <v>-</v>
      </c>
      <c r="K1004" s="248" t="str">
        <f t="shared" si="2467"/>
        <v>COST OF GOODS SOLD</v>
      </c>
      <c r="L1004" s="255"/>
      <c r="M1004" s="255"/>
      <c r="N1004" s="255"/>
      <c r="O1004" s="265"/>
      <c r="P1004" s="260"/>
      <c r="Q1004" s="260"/>
      <c r="R1004" s="260"/>
      <c r="S1004" s="630"/>
      <c r="T1004" s="630"/>
      <c r="U1004" s="630"/>
      <c r="V1004" s="630"/>
      <c r="W1004" s="260"/>
      <c r="X1004" s="260"/>
      <c r="Y1004" s="260"/>
      <c r="Z1004" s="260"/>
      <c r="AA1004" s="260"/>
      <c r="AB1004" s="260"/>
      <c r="AC1004" s="265"/>
      <c r="AD1004" s="634"/>
      <c r="AE1004" s="264">
        <f t="shared" ref="AE1004:AH1004" si="2471">AE980*($S980*$P980+$T980*$Q980+$U980*$R980)</f>
        <v>0</v>
      </c>
      <c r="AF1004" s="264">
        <f t="shared" si="2471"/>
        <v>0</v>
      </c>
      <c r="AG1004" s="264">
        <f t="shared" si="2471"/>
        <v>0</v>
      </c>
      <c r="AH1004" s="264">
        <f t="shared" si="2471"/>
        <v>0</v>
      </c>
      <c r="AI1004" s="264">
        <f t="shared" si="2457"/>
        <v>0</v>
      </c>
      <c r="AJ1004" s="264">
        <f t="shared" si="2458"/>
        <v>0</v>
      </c>
      <c r="AK1004" s="264">
        <f t="shared" si="2459"/>
        <v>0</v>
      </c>
      <c r="AL1004" s="264">
        <f t="shared" si="2460"/>
        <v>0</v>
      </c>
      <c r="AM1004" s="264">
        <f t="shared" si="2461"/>
        <v>0</v>
      </c>
      <c r="AN1004" s="640">
        <f t="shared" si="2462"/>
        <v>0</v>
      </c>
      <c r="AO1004" s="264">
        <f t="shared" si="2463"/>
        <v>0</v>
      </c>
      <c r="AP1004" s="640">
        <f t="shared" si="2464"/>
        <v>0</v>
      </c>
      <c r="AQ1004" s="264"/>
      <c r="AR1004" s="264" t="str">
        <f>VLOOKUP($I1004,TableInputsData[],ReadMe!$M$3,FALSE)&amp;"  |  "&amp;VLOOKUP($K1004,TableInputsData[],ReadMe!$M$3,FALSE)</f>
        <v>SERVICE 04  |  DEPENSES SUR ACHATS</v>
      </c>
      <c r="AS1004" s="264" t="b">
        <f t="shared" si="2465"/>
        <v>1</v>
      </c>
      <c r="AT1004" s="294"/>
    </row>
    <row r="1005" spans="1:46" ht="13" hidden="1" x14ac:dyDescent="0.2">
      <c r="A1005" s="294"/>
      <c r="B1005" s="925"/>
      <c r="C1005" s="271">
        <v>998</v>
      </c>
      <c r="D1005" s="250">
        <f t="shared" si="2414"/>
        <v>0</v>
      </c>
      <c r="E1005" s="250"/>
      <c r="F1005" s="248" t="str">
        <f t="shared" si="2455"/>
        <v>YEAR5</v>
      </c>
      <c r="G1005" s="250">
        <f>VLOOKUP(F1005,TableInputsData[],$G$6,FALSE)</f>
        <v>2029</v>
      </c>
      <c r="H1005" s="250" t="str">
        <f t="shared" si="2415"/>
        <v>SERVICE</v>
      </c>
      <c r="I1005" s="248" t="str">
        <f t="shared" si="2415"/>
        <v>SERVICE 04</v>
      </c>
      <c r="J1005" s="248" t="str">
        <f>VLOOKUP(I1005,TableInputsData[],$J$6,FALSE)</f>
        <v>-</v>
      </c>
      <c r="K1005" s="248" t="str">
        <f t="shared" si="2467"/>
        <v>COST OF GOODS SOLD</v>
      </c>
      <c r="L1005" s="255"/>
      <c r="M1005" s="255"/>
      <c r="N1005" s="255"/>
      <c r="O1005" s="265"/>
      <c r="P1005" s="260"/>
      <c r="Q1005" s="260"/>
      <c r="R1005" s="260"/>
      <c r="S1005" s="630"/>
      <c r="T1005" s="630"/>
      <c r="U1005" s="630"/>
      <c r="V1005" s="630"/>
      <c r="W1005" s="260"/>
      <c r="X1005" s="260"/>
      <c r="Y1005" s="260"/>
      <c r="Z1005" s="260"/>
      <c r="AA1005" s="260"/>
      <c r="AB1005" s="260"/>
      <c r="AC1005" s="265"/>
      <c r="AD1005" s="634"/>
      <c r="AE1005" s="264">
        <f t="shared" ref="AE1005:AH1005" si="2472">AE981*($S981*$P981+$T981*$Q981+$U981*$R981)</f>
        <v>0</v>
      </c>
      <c r="AF1005" s="264">
        <f t="shared" si="2472"/>
        <v>0</v>
      </c>
      <c r="AG1005" s="264">
        <f t="shared" si="2472"/>
        <v>0</v>
      </c>
      <c r="AH1005" s="264">
        <f t="shared" si="2472"/>
        <v>0</v>
      </c>
      <c r="AI1005" s="264">
        <f t="shared" si="2457"/>
        <v>0</v>
      </c>
      <c r="AJ1005" s="264">
        <f t="shared" si="2458"/>
        <v>0</v>
      </c>
      <c r="AK1005" s="264">
        <f t="shared" si="2459"/>
        <v>0</v>
      </c>
      <c r="AL1005" s="264">
        <f t="shared" si="2460"/>
        <v>0</v>
      </c>
      <c r="AM1005" s="264">
        <f t="shared" si="2461"/>
        <v>0</v>
      </c>
      <c r="AN1005" s="640">
        <f t="shared" si="2462"/>
        <v>0</v>
      </c>
      <c r="AO1005" s="264">
        <f t="shared" si="2463"/>
        <v>0</v>
      </c>
      <c r="AP1005" s="640">
        <f t="shared" si="2464"/>
        <v>0</v>
      </c>
      <c r="AQ1005" s="264"/>
      <c r="AR1005" s="264" t="str">
        <f>VLOOKUP($I1005,TableInputsData[],ReadMe!$M$3,FALSE)&amp;"  |  "&amp;VLOOKUP($K1005,TableInputsData[],ReadMe!$M$3,FALSE)</f>
        <v>SERVICE 04  |  DEPENSES SUR ACHATS</v>
      </c>
      <c r="AS1005" s="264" t="b">
        <f t="shared" si="2465"/>
        <v>1</v>
      </c>
      <c r="AT1005" s="294"/>
    </row>
    <row r="1006" spans="1:46" ht="13" hidden="1" x14ac:dyDescent="0.2">
      <c r="A1006" s="294"/>
      <c r="B1006" s="925"/>
      <c r="C1006" s="271">
        <v>999</v>
      </c>
      <c r="D1006" s="250">
        <f t="shared" si="2414"/>
        <v>0</v>
      </c>
      <c r="E1006" s="250"/>
      <c r="F1006" s="248" t="str">
        <f t="shared" si="2455"/>
        <v>YEAR6</v>
      </c>
      <c r="G1006" s="250">
        <f>VLOOKUP(F1006,TableInputsData[],$G$6,FALSE)</f>
        <v>2030</v>
      </c>
      <c r="H1006" s="250" t="str">
        <f t="shared" si="2415"/>
        <v>SERVICE</v>
      </c>
      <c r="I1006" s="248" t="str">
        <f t="shared" si="2415"/>
        <v>SERVICE 04</v>
      </c>
      <c r="J1006" s="248" t="str">
        <f>VLOOKUP(I1006,TableInputsData[],$J$6,FALSE)</f>
        <v>-</v>
      </c>
      <c r="K1006" s="248" t="str">
        <f t="shared" si="2467"/>
        <v>COST OF GOODS SOLD</v>
      </c>
      <c r="L1006" s="255"/>
      <c r="M1006" s="255"/>
      <c r="N1006" s="255"/>
      <c r="O1006" s="265"/>
      <c r="P1006" s="260"/>
      <c r="Q1006" s="260"/>
      <c r="R1006" s="260"/>
      <c r="S1006" s="630"/>
      <c r="T1006" s="630"/>
      <c r="U1006" s="630"/>
      <c r="V1006" s="630"/>
      <c r="W1006" s="260"/>
      <c r="X1006" s="260"/>
      <c r="Y1006" s="260"/>
      <c r="Z1006" s="260"/>
      <c r="AA1006" s="260"/>
      <c r="AB1006" s="260"/>
      <c r="AC1006" s="265"/>
      <c r="AD1006" s="634"/>
      <c r="AE1006" s="264">
        <f t="shared" ref="AE1006:AH1006" si="2473">AE982*($S982*$P982+$T982*$Q982+$U982*$R982)</f>
        <v>0</v>
      </c>
      <c r="AF1006" s="264">
        <f t="shared" si="2473"/>
        <v>0</v>
      </c>
      <c r="AG1006" s="264">
        <f t="shared" si="2473"/>
        <v>0</v>
      </c>
      <c r="AH1006" s="264">
        <f t="shared" si="2473"/>
        <v>0</v>
      </c>
      <c r="AI1006" s="264">
        <f t="shared" si="2457"/>
        <v>0</v>
      </c>
      <c r="AJ1006" s="264">
        <f t="shared" si="2458"/>
        <v>0</v>
      </c>
      <c r="AK1006" s="264">
        <f t="shared" si="2459"/>
        <v>0</v>
      </c>
      <c r="AL1006" s="264">
        <f t="shared" si="2460"/>
        <v>0</v>
      </c>
      <c r="AM1006" s="264">
        <f t="shared" si="2461"/>
        <v>0</v>
      </c>
      <c r="AN1006" s="640">
        <f t="shared" si="2462"/>
        <v>0</v>
      </c>
      <c r="AO1006" s="264">
        <f t="shared" si="2463"/>
        <v>0</v>
      </c>
      <c r="AP1006" s="640">
        <f t="shared" si="2464"/>
        <v>0</v>
      </c>
      <c r="AQ1006" s="264"/>
      <c r="AR1006" s="264" t="str">
        <f>VLOOKUP($I1006,TableInputsData[],ReadMe!$M$3,FALSE)&amp;"  |  "&amp;VLOOKUP($K1006,TableInputsData[],ReadMe!$M$3,FALSE)</f>
        <v>SERVICE 04  |  DEPENSES SUR ACHATS</v>
      </c>
      <c r="AS1006" s="264" t="b">
        <f t="shared" si="2465"/>
        <v>1</v>
      </c>
      <c r="AT1006" s="294"/>
    </row>
    <row r="1007" spans="1:46" ht="13" hidden="1" x14ac:dyDescent="0.2">
      <c r="A1007" s="294"/>
      <c r="B1007" s="925"/>
      <c r="C1007" s="272">
        <v>1000</v>
      </c>
      <c r="D1007" s="250">
        <f t="shared" si="2414"/>
        <v>0</v>
      </c>
      <c r="E1007" s="251"/>
      <c r="F1007" s="248" t="str">
        <f t="shared" ref="F1007:F1014" si="2474">F983</f>
        <v>YEAR-2</v>
      </c>
      <c r="G1007" s="250">
        <f>VLOOKUP(F1007,TableInputsData[],$G$6,FALSE)</f>
        <v>2023</v>
      </c>
      <c r="H1007" s="250" t="str">
        <f t="shared" si="2415"/>
        <v>SERVICE</v>
      </c>
      <c r="I1007" s="248" t="str">
        <f t="shared" si="2415"/>
        <v>SERVICE 04</v>
      </c>
      <c r="J1007" s="248" t="str">
        <f>VLOOKUP(I1007,TableInputsData[],$J$6,FALSE)</f>
        <v>-</v>
      </c>
      <c r="K1007" s="248" t="s">
        <v>532</v>
      </c>
      <c r="L1007" s="256"/>
      <c r="M1007" s="256"/>
      <c r="N1007" s="256"/>
      <c r="O1007" s="266"/>
      <c r="P1007" s="261"/>
      <c r="Q1007" s="261"/>
      <c r="R1007" s="261"/>
      <c r="S1007" s="629"/>
      <c r="T1007" s="629"/>
      <c r="U1007" s="629"/>
      <c r="V1007" s="629"/>
      <c r="W1007" s="261"/>
      <c r="X1007" s="261"/>
      <c r="Y1007" s="261"/>
      <c r="Z1007" s="261"/>
      <c r="AA1007" s="261"/>
      <c r="AB1007" s="261"/>
      <c r="AC1007" s="266"/>
      <c r="AD1007" s="633"/>
      <c r="AE1007" s="264">
        <f>IF(AE975=0,0,AE999/AE975)</f>
        <v>0</v>
      </c>
      <c r="AF1007" s="264">
        <f t="shared" ref="AF1007:AI1007" si="2475">IF(AF975=0,0,AF999/AF975)</f>
        <v>0</v>
      </c>
      <c r="AG1007" s="264">
        <f t="shared" si="2475"/>
        <v>0</v>
      </c>
      <c r="AH1007" s="264">
        <f t="shared" si="2475"/>
        <v>0</v>
      </c>
      <c r="AI1007" s="264">
        <f t="shared" si="2475"/>
        <v>0</v>
      </c>
      <c r="AJ1007" s="264">
        <f>IF(AJ975=0,0,AJ999/AJ975)</f>
        <v>0</v>
      </c>
      <c r="AK1007" s="264">
        <f t="shared" ref="AK1007:AL1007" si="2476">IF(AK975=0,0,AK999/AK975)</f>
        <v>0</v>
      </c>
      <c r="AL1007" s="264">
        <f t="shared" si="2476"/>
        <v>0</v>
      </c>
      <c r="AM1007" s="264">
        <f>IF(AM975=0,0,AM999/AM975)</f>
        <v>0</v>
      </c>
      <c r="AN1007" s="260"/>
      <c r="AO1007" s="264">
        <f t="shared" ref="AO1007" si="2477">IF(AO975=0,0,AO999/AO975)</f>
        <v>0</v>
      </c>
      <c r="AP1007" s="260"/>
      <c r="AQ1007" s="264"/>
      <c r="AR1007" s="264" t="str">
        <f>VLOOKUP($I1007,TableInputsData[],ReadMe!$M$3,FALSE)&amp;"  |  "&amp;VLOOKUP($K1007,TableInputsData[],ReadMe!$M$3,FALSE)</f>
        <v>SERVICE 04  |  PRIX MOYEN D'ACHAT PAR PRODUIT/SERVICE</v>
      </c>
      <c r="AS1007" s="264"/>
      <c r="AT1007" s="294"/>
    </row>
    <row r="1008" spans="1:46" ht="13" hidden="1" x14ac:dyDescent="0.2">
      <c r="A1008" s="294"/>
      <c r="B1008" s="925"/>
      <c r="C1008" s="272">
        <v>1001</v>
      </c>
      <c r="D1008" s="250">
        <f t="shared" si="2414"/>
        <v>0</v>
      </c>
      <c r="E1008" s="251"/>
      <c r="F1008" s="248" t="str">
        <f t="shared" si="2474"/>
        <v>YEAR-1</v>
      </c>
      <c r="G1008" s="250">
        <f>VLOOKUP(F1008,TableInputsData[],$G$6,FALSE)</f>
        <v>2024</v>
      </c>
      <c r="H1008" s="250" t="str">
        <f t="shared" si="2415"/>
        <v>SERVICE</v>
      </c>
      <c r="I1008" s="248" t="str">
        <f t="shared" si="2415"/>
        <v>SERVICE 04</v>
      </c>
      <c r="J1008" s="248" t="str">
        <f>VLOOKUP(I1008,TableInputsData[],$J$6,FALSE)</f>
        <v>-</v>
      </c>
      <c r="K1008" s="248" t="str">
        <f>K1007</f>
        <v>AVERAGE COST OF GOODS SOLD PER UNIT</v>
      </c>
      <c r="L1008" s="256"/>
      <c r="M1008" s="256"/>
      <c r="N1008" s="256"/>
      <c r="O1008" s="266"/>
      <c r="P1008" s="261"/>
      <c r="Q1008" s="261"/>
      <c r="R1008" s="261"/>
      <c r="S1008" s="629"/>
      <c r="T1008" s="629"/>
      <c r="U1008" s="629"/>
      <c r="V1008" s="629"/>
      <c r="W1008" s="261"/>
      <c r="X1008" s="261"/>
      <c r="Y1008" s="261"/>
      <c r="Z1008" s="261"/>
      <c r="AA1008" s="261"/>
      <c r="AB1008" s="261"/>
      <c r="AC1008" s="266"/>
      <c r="AD1008" s="633"/>
      <c r="AE1008" s="264">
        <f t="shared" ref="AE1008:AL1008" si="2478">IF(AE976=0,0,AE1000/AE976)</f>
        <v>0</v>
      </c>
      <c r="AF1008" s="264">
        <f t="shared" si="2478"/>
        <v>0</v>
      </c>
      <c r="AG1008" s="264">
        <f t="shared" si="2478"/>
        <v>0</v>
      </c>
      <c r="AH1008" s="264">
        <f t="shared" si="2478"/>
        <v>0</v>
      </c>
      <c r="AI1008" s="264">
        <f t="shared" si="2478"/>
        <v>0</v>
      </c>
      <c r="AJ1008" s="264">
        <f t="shared" si="2478"/>
        <v>0</v>
      </c>
      <c r="AK1008" s="264">
        <f t="shared" si="2478"/>
        <v>0</v>
      </c>
      <c r="AL1008" s="264">
        <f t="shared" si="2478"/>
        <v>0</v>
      </c>
      <c r="AM1008" s="264">
        <f>IF(AM976=0,0,AM1000/AM976)</f>
        <v>0</v>
      </c>
      <c r="AN1008" s="260"/>
      <c r="AO1008" s="264">
        <f>IF(AO976=0,0,AO1000/AO976)</f>
        <v>0</v>
      </c>
      <c r="AP1008" s="260"/>
      <c r="AQ1008" s="264"/>
      <c r="AR1008" s="264" t="str">
        <f>VLOOKUP($I1008,TableInputsData[],ReadMe!$M$3,FALSE)&amp;"  |  "&amp;VLOOKUP($K1008,TableInputsData[],ReadMe!$M$3,FALSE)</f>
        <v>SERVICE 04  |  PRIX MOYEN D'ACHAT PAR PRODUIT/SERVICE</v>
      </c>
      <c r="AS1008" s="264"/>
      <c r="AT1008" s="294"/>
    </row>
    <row r="1009" spans="1:46" ht="13" hidden="1" x14ac:dyDescent="0.2">
      <c r="A1009" s="294"/>
      <c r="B1009" s="925"/>
      <c r="C1009" s="272">
        <v>1002</v>
      </c>
      <c r="D1009" s="250">
        <f t="shared" si="2414"/>
        <v>0</v>
      </c>
      <c r="E1009" s="251"/>
      <c r="F1009" s="248" t="str">
        <f t="shared" si="2474"/>
        <v>CURRENT YEAR</v>
      </c>
      <c r="G1009" s="250">
        <f>VLOOKUP(F1009,TableInputsData[],$G$6,FALSE)</f>
        <v>2025</v>
      </c>
      <c r="H1009" s="250" t="str">
        <f t="shared" si="2415"/>
        <v>SERVICE</v>
      </c>
      <c r="I1009" s="248" t="str">
        <f t="shared" si="2415"/>
        <v>SERVICE 04</v>
      </c>
      <c r="J1009" s="248" t="str">
        <f>VLOOKUP(I1009,TableInputsData[],$J$6,FALSE)</f>
        <v>-</v>
      </c>
      <c r="K1009" s="248" t="str">
        <f t="shared" ref="K1009:K1014" si="2479">K1008</f>
        <v>AVERAGE COST OF GOODS SOLD PER UNIT</v>
      </c>
      <c r="L1009" s="256"/>
      <c r="M1009" s="256"/>
      <c r="N1009" s="256"/>
      <c r="O1009" s="266"/>
      <c r="P1009" s="261"/>
      <c r="Q1009" s="261"/>
      <c r="R1009" s="261"/>
      <c r="S1009" s="629"/>
      <c r="T1009" s="629"/>
      <c r="U1009" s="629"/>
      <c r="V1009" s="629"/>
      <c r="W1009" s="261"/>
      <c r="X1009" s="261"/>
      <c r="Y1009" s="261"/>
      <c r="Z1009" s="261"/>
      <c r="AA1009" s="261"/>
      <c r="AB1009" s="261"/>
      <c r="AC1009" s="266"/>
      <c r="AD1009" s="633"/>
      <c r="AE1009" s="264">
        <f t="shared" ref="AE1009:AL1009" si="2480">IF(AE977=0,0,AE1001/AE977)</f>
        <v>0</v>
      </c>
      <c r="AF1009" s="264">
        <f t="shared" si="2480"/>
        <v>0</v>
      </c>
      <c r="AG1009" s="264">
        <f t="shared" si="2480"/>
        <v>0</v>
      </c>
      <c r="AH1009" s="264">
        <f t="shared" si="2480"/>
        <v>0</v>
      </c>
      <c r="AI1009" s="264">
        <f t="shared" si="2480"/>
        <v>0</v>
      </c>
      <c r="AJ1009" s="264">
        <f t="shared" si="2480"/>
        <v>0</v>
      </c>
      <c r="AK1009" s="264">
        <f t="shared" si="2480"/>
        <v>0</v>
      </c>
      <c r="AL1009" s="264">
        <f t="shared" si="2480"/>
        <v>0</v>
      </c>
      <c r="AM1009" s="264">
        <f>IF(AM977=0,0,AM1001/AM977)</f>
        <v>0</v>
      </c>
      <c r="AN1009" s="260"/>
      <c r="AO1009" s="264">
        <f>IF(AO977=0,0,AO1001/AO977)</f>
        <v>0</v>
      </c>
      <c r="AP1009" s="260"/>
      <c r="AQ1009" s="264"/>
      <c r="AR1009" s="264" t="str">
        <f>VLOOKUP($I1009,TableInputsData[],ReadMe!$M$3,FALSE)&amp;"  |  "&amp;VLOOKUP($K1009,TableInputsData[],ReadMe!$M$3,FALSE)</f>
        <v>SERVICE 04  |  PRIX MOYEN D'ACHAT PAR PRODUIT/SERVICE</v>
      </c>
      <c r="AS1009" s="264"/>
      <c r="AT1009" s="294"/>
    </row>
    <row r="1010" spans="1:46" ht="13" hidden="1" x14ac:dyDescent="0.2">
      <c r="A1010" s="294"/>
      <c r="B1010" s="925"/>
      <c r="C1010" s="272">
        <v>1003</v>
      </c>
      <c r="D1010" s="250">
        <f t="shared" si="2414"/>
        <v>0</v>
      </c>
      <c r="E1010" s="251"/>
      <c r="F1010" s="248" t="str">
        <f t="shared" si="2474"/>
        <v>YEAR2</v>
      </c>
      <c r="G1010" s="250">
        <f>VLOOKUP(F1010,TableInputsData[],$G$6,FALSE)</f>
        <v>2026</v>
      </c>
      <c r="H1010" s="250" t="str">
        <f t="shared" si="2415"/>
        <v>SERVICE</v>
      </c>
      <c r="I1010" s="248" t="str">
        <f t="shared" si="2415"/>
        <v>SERVICE 04</v>
      </c>
      <c r="J1010" s="248" t="str">
        <f>VLOOKUP(I1010,TableInputsData[],$J$6,FALSE)</f>
        <v>-</v>
      </c>
      <c r="K1010" s="248" t="str">
        <f t="shared" si="2479"/>
        <v>AVERAGE COST OF GOODS SOLD PER UNIT</v>
      </c>
      <c r="L1010" s="256"/>
      <c r="M1010" s="256"/>
      <c r="N1010" s="256"/>
      <c r="O1010" s="266"/>
      <c r="P1010" s="261"/>
      <c r="Q1010" s="261"/>
      <c r="R1010" s="261"/>
      <c r="S1010" s="629"/>
      <c r="T1010" s="629"/>
      <c r="U1010" s="629"/>
      <c r="V1010" s="629"/>
      <c r="W1010" s="261"/>
      <c r="X1010" s="261"/>
      <c r="Y1010" s="261"/>
      <c r="Z1010" s="261"/>
      <c r="AA1010" s="261"/>
      <c r="AB1010" s="261"/>
      <c r="AC1010" s="266"/>
      <c r="AD1010" s="633"/>
      <c r="AE1010" s="264">
        <f t="shared" ref="AE1010:AM1010" si="2481">IF(AE978=0,0,AE1002/AE978)</f>
        <v>0</v>
      </c>
      <c r="AF1010" s="264">
        <f t="shared" si="2481"/>
        <v>0</v>
      </c>
      <c r="AG1010" s="264">
        <f t="shared" si="2481"/>
        <v>0</v>
      </c>
      <c r="AH1010" s="264">
        <f t="shared" si="2481"/>
        <v>0</v>
      </c>
      <c r="AI1010" s="264">
        <f t="shared" si="2481"/>
        <v>0</v>
      </c>
      <c r="AJ1010" s="264">
        <f t="shared" si="2481"/>
        <v>0</v>
      </c>
      <c r="AK1010" s="264">
        <f t="shared" si="2481"/>
        <v>0</v>
      </c>
      <c r="AL1010" s="264">
        <f t="shared" si="2481"/>
        <v>0</v>
      </c>
      <c r="AM1010" s="264">
        <f t="shared" si="2481"/>
        <v>0</v>
      </c>
      <c r="AN1010" s="260"/>
      <c r="AO1010" s="264">
        <f t="shared" ref="AO1010" si="2482">IF(AO978=0,0,AO1002/AO978)</f>
        <v>0</v>
      </c>
      <c r="AP1010" s="260"/>
      <c r="AQ1010" s="264"/>
      <c r="AR1010" s="264" t="str">
        <f>VLOOKUP($I1010,TableInputsData[],ReadMe!$M$3,FALSE)&amp;"  |  "&amp;VLOOKUP($K1010,TableInputsData[],ReadMe!$M$3,FALSE)</f>
        <v>SERVICE 04  |  PRIX MOYEN D'ACHAT PAR PRODUIT/SERVICE</v>
      </c>
      <c r="AS1010" s="264"/>
      <c r="AT1010" s="294"/>
    </row>
    <row r="1011" spans="1:46" ht="13" hidden="1" x14ac:dyDescent="0.2">
      <c r="A1011" s="294"/>
      <c r="B1011" s="925"/>
      <c r="C1011" s="272">
        <v>1004</v>
      </c>
      <c r="D1011" s="250">
        <f t="shared" si="2414"/>
        <v>0</v>
      </c>
      <c r="E1011" s="251"/>
      <c r="F1011" s="248" t="str">
        <f t="shared" si="2474"/>
        <v>YEAR3</v>
      </c>
      <c r="G1011" s="250">
        <f>VLOOKUP(F1011,TableInputsData[],$G$6,FALSE)</f>
        <v>2027</v>
      </c>
      <c r="H1011" s="250" t="str">
        <f t="shared" si="2415"/>
        <v>SERVICE</v>
      </c>
      <c r="I1011" s="248" t="str">
        <f t="shared" si="2415"/>
        <v>SERVICE 04</v>
      </c>
      <c r="J1011" s="248" t="str">
        <f>VLOOKUP(I1011,TableInputsData[],$J$6,FALSE)</f>
        <v>-</v>
      </c>
      <c r="K1011" s="248" t="str">
        <f t="shared" si="2479"/>
        <v>AVERAGE COST OF GOODS SOLD PER UNIT</v>
      </c>
      <c r="L1011" s="256"/>
      <c r="M1011" s="256"/>
      <c r="N1011" s="256"/>
      <c r="O1011" s="266"/>
      <c r="P1011" s="261"/>
      <c r="Q1011" s="261"/>
      <c r="R1011" s="261"/>
      <c r="S1011" s="629"/>
      <c r="T1011" s="629"/>
      <c r="U1011" s="629"/>
      <c r="V1011" s="629"/>
      <c r="W1011" s="261"/>
      <c r="X1011" s="261"/>
      <c r="Y1011" s="261"/>
      <c r="Z1011" s="261"/>
      <c r="AA1011" s="261"/>
      <c r="AB1011" s="261"/>
      <c r="AC1011" s="266"/>
      <c r="AD1011" s="633"/>
      <c r="AE1011" s="264">
        <f t="shared" ref="AE1011:AM1011" si="2483">IF(AE979=0,0,AE1003/AE979)</f>
        <v>0</v>
      </c>
      <c r="AF1011" s="264">
        <f t="shared" si="2483"/>
        <v>0</v>
      </c>
      <c r="AG1011" s="264">
        <f t="shared" si="2483"/>
        <v>0</v>
      </c>
      <c r="AH1011" s="264">
        <f t="shared" si="2483"/>
        <v>0</v>
      </c>
      <c r="AI1011" s="264">
        <f t="shared" si="2483"/>
        <v>0</v>
      </c>
      <c r="AJ1011" s="264">
        <f t="shared" si="2483"/>
        <v>0</v>
      </c>
      <c r="AK1011" s="264">
        <f t="shared" si="2483"/>
        <v>0</v>
      </c>
      <c r="AL1011" s="264">
        <f t="shared" si="2483"/>
        <v>0</v>
      </c>
      <c r="AM1011" s="264">
        <f t="shared" si="2483"/>
        <v>0</v>
      </c>
      <c r="AN1011" s="260"/>
      <c r="AO1011" s="264">
        <f t="shared" ref="AO1011" si="2484">IF(AO979=0,0,AO1003/AO979)</f>
        <v>0</v>
      </c>
      <c r="AP1011" s="260"/>
      <c r="AQ1011" s="264"/>
      <c r="AR1011" s="264" t="str">
        <f>VLOOKUP($I1011,TableInputsData[],ReadMe!$M$3,FALSE)&amp;"  |  "&amp;VLOOKUP($K1011,TableInputsData[],ReadMe!$M$3,FALSE)</f>
        <v>SERVICE 04  |  PRIX MOYEN D'ACHAT PAR PRODUIT/SERVICE</v>
      </c>
      <c r="AS1011" s="264"/>
      <c r="AT1011" s="294"/>
    </row>
    <row r="1012" spans="1:46" ht="13" hidden="1" x14ac:dyDescent="0.2">
      <c r="A1012" s="294"/>
      <c r="B1012" s="925"/>
      <c r="C1012" s="272">
        <v>1005</v>
      </c>
      <c r="D1012" s="250">
        <f t="shared" si="2414"/>
        <v>0</v>
      </c>
      <c r="E1012" s="251"/>
      <c r="F1012" s="248" t="str">
        <f t="shared" si="2474"/>
        <v>YEAR4</v>
      </c>
      <c r="G1012" s="250">
        <f>VLOOKUP(F1012,TableInputsData[],$G$6,FALSE)</f>
        <v>2028</v>
      </c>
      <c r="H1012" s="250" t="str">
        <f t="shared" si="2415"/>
        <v>SERVICE</v>
      </c>
      <c r="I1012" s="248" t="str">
        <f t="shared" si="2415"/>
        <v>SERVICE 04</v>
      </c>
      <c r="J1012" s="248" t="str">
        <f>VLOOKUP(I1012,TableInputsData[],$J$6,FALSE)</f>
        <v>-</v>
      </c>
      <c r="K1012" s="248" t="str">
        <f t="shared" si="2479"/>
        <v>AVERAGE COST OF GOODS SOLD PER UNIT</v>
      </c>
      <c r="L1012" s="256"/>
      <c r="M1012" s="256"/>
      <c r="N1012" s="256"/>
      <c r="O1012" s="266"/>
      <c r="P1012" s="261"/>
      <c r="Q1012" s="261"/>
      <c r="R1012" s="261"/>
      <c r="S1012" s="629"/>
      <c r="T1012" s="629"/>
      <c r="U1012" s="629"/>
      <c r="V1012" s="629"/>
      <c r="W1012" s="261"/>
      <c r="X1012" s="261"/>
      <c r="Y1012" s="261"/>
      <c r="Z1012" s="261"/>
      <c r="AA1012" s="261"/>
      <c r="AB1012" s="261"/>
      <c r="AC1012" s="266"/>
      <c r="AD1012" s="633"/>
      <c r="AE1012" s="264">
        <f t="shared" ref="AE1012:AM1012" si="2485">IF(AE980=0,0,AE1004/AE980)</f>
        <v>0</v>
      </c>
      <c r="AF1012" s="264">
        <f t="shared" si="2485"/>
        <v>0</v>
      </c>
      <c r="AG1012" s="264">
        <f t="shared" si="2485"/>
        <v>0</v>
      </c>
      <c r="AH1012" s="264">
        <f t="shared" si="2485"/>
        <v>0</v>
      </c>
      <c r="AI1012" s="264">
        <f t="shared" si="2485"/>
        <v>0</v>
      </c>
      <c r="AJ1012" s="264">
        <f t="shared" si="2485"/>
        <v>0</v>
      </c>
      <c r="AK1012" s="264">
        <f t="shared" si="2485"/>
        <v>0</v>
      </c>
      <c r="AL1012" s="264">
        <f t="shared" si="2485"/>
        <v>0</v>
      </c>
      <c r="AM1012" s="264">
        <f t="shared" si="2485"/>
        <v>0</v>
      </c>
      <c r="AN1012" s="260"/>
      <c r="AO1012" s="264">
        <f t="shared" ref="AO1012" si="2486">IF(AO980=0,0,AO1004/AO980)</f>
        <v>0</v>
      </c>
      <c r="AP1012" s="260"/>
      <c r="AQ1012" s="264"/>
      <c r="AR1012" s="264" t="str">
        <f>VLOOKUP($I1012,TableInputsData[],ReadMe!$M$3,FALSE)&amp;"  |  "&amp;VLOOKUP($K1012,TableInputsData[],ReadMe!$M$3,FALSE)</f>
        <v>SERVICE 04  |  PRIX MOYEN D'ACHAT PAR PRODUIT/SERVICE</v>
      </c>
      <c r="AS1012" s="264"/>
      <c r="AT1012" s="294"/>
    </row>
    <row r="1013" spans="1:46" ht="13" hidden="1" x14ac:dyDescent="0.2">
      <c r="A1013" s="294"/>
      <c r="B1013" s="925"/>
      <c r="C1013" s="272">
        <v>1006</v>
      </c>
      <c r="D1013" s="250">
        <f t="shared" si="2414"/>
        <v>0</v>
      </c>
      <c r="E1013" s="251"/>
      <c r="F1013" s="248" t="str">
        <f t="shared" si="2474"/>
        <v>YEAR5</v>
      </c>
      <c r="G1013" s="250">
        <f>VLOOKUP(F1013,TableInputsData[],$G$6,FALSE)</f>
        <v>2029</v>
      </c>
      <c r="H1013" s="250" t="str">
        <f t="shared" si="2415"/>
        <v>SERVICE</v>
      </c>
      <c r="I1013" s="248" t="str">
        <f t="shared" si="2415"/>
        <v>SERVICE 04</v>
      </c>
      <c r="J1013" s="248" t="str">
        <f>VLOOKUP(I1013,TableInputsData[],$J$6,FALSE)</f>
        <v>-</v>
      </c>
      <c r="K1013" s="248" t="str">
        <f t="shared" si="2479"/>
        <v>AVERAGE COST OF GOODS SOLD PER UNIT</v>
      </c>
      <c r="L1013" s="256"/>
      <c r="M1013" s="256"/>
      <c r="N1013" s="256"/>
      <c r="O1013" s="266"/>
      <c r="P1013" s="261"/>
      <c r="Q1013" s="261"/>
      <c r="R1013" s="261"/>
      <c r="S1013" s="629"/>
      <c r="T1013" s="629"/>
      <c r="U1013" s="629"/>
      <c r="V1013" s="629"/>
      <c r="W1013" s="261"/>
      <c r="X1013" s="261"/>
      <c r="Y1013" s="261"/>
      <c r="Z1013" s="261"/>
      <c r="AA1013" s="261"/>
      <c r="AB1013" s="261"/>
      <c r="AC1013" s="266"/>
      <c r="AD1013" s="633"/>
      <c r="AE1013" s="264">
        <f t="shared" ref="AE1013:AM1013" si="2487">IF(AE981=0,0,AE1005/AE981)</f>
        <v>0</v>
      </c>
      <c r="AF1013" s="264">
        <f t="shared" si="2487"/>
        <v>0</v>
      </c>
      <c r="AG1013" s="264">
        <f t="shared" si="2487"/>
        <v>0</v>
      </c>
      <c r="AH1013" s="264">
        <f t="shared" si="2487"/>
        <v>0</v>
      </c>
      <c r="AI1013" s="264">
        <f t="shared" si="2487"/>
        <v>0</v>
      </c>
      <c r="AJ1013" s="264">
        <f t="shared" si="2487"/>
        <v>0</v>
      </c>
      <c r="AK1013" s="264">
        <f t="shared" si="2487"/>
        <v>0</v>
      </c>
      <c r="AL1013" s="264">
        <f t="shared" si="2487"/>
        <v>0</v>
      </c>
      <c r="AM1013" s="264">
        <f t="shared" si="2487"/>
        <v>0</v>
      </c>
      <c r="AN1013" s="260"/>
      <c r="AO1013" s="264">
        <f t="shared" ref="AO1013" si="2488">IF(AO981=0,0,AO1005/AO981)</f>
        <v>0</v>
      </c>
      <c r="AP1013" s="260"/>
      <c r="AQ1013" s="264"/>
      <c r="AR1013" s="264" t="str">
        <f>VLOOKUP($I1013,TableInputsData[],ReadMe!$M$3,FALSE)&amp;"  |  "&amp;VLOOKUP($K1013,TableInputsData[],ReadMe!$M$3,FALSE)</f>
        <v>SERVICE 04  |  PRIX MOYEN D'ACHAT PAR PRODUIT/SERVICE</v>
      </c>
      <c r="AS1013" s="264"/>
      <c r="AT1013" s="294"/>
    </row>
    <row r="1014" spans="1:46" ht="13" hidden="1" x14ac:dyDescent="0.2">
      <c r="A1014" s="294"/>
      <c r="B1014" s="925"/>
      <c r="C1014" s="272">
        <v>1007</v>
      </c>
      <c r="D1014" s="250">
        <f t="shared" si="2414"/>
        <v>0</v>
      </c>
      <c r="E1014" s="251"/>
      <c r="F1014" s="248" t="str">
        <f t="shared" si="2474"/>
        <v>YEAR6</v>
      </c>
      <c r="G1014" s="250">
        <f>VLOOKUP(F1014,TableInputsData[],$G$6,FALSE)</f>
        <v>2030</v>
      </c>
      <c r="H1014" s="250" t="str">
        <f t="shared" si="2415"/>
        <v>SERVICE</v>
      </c>
      <c r="I1014" s="248" t="str">
        <f t="shared" si="2415"/>
        <v>SERVICE 04</v>
      </c>
      <c r="J1014" s="248" t="str">
        <f>VLOOKUP(I1014,TableInputsData[],$J$6,FALSE)</f>
        <v>-</v>
      </c>
      <c r="K1014" s="248" t="str">
        <f t="shared" si="2479"/>
        <v>AVERAGE COST OF GOODS SOLD PER UNIT</v>
      </c>
      <c r="L1014" s="256"/>
      <c r="M1014" s="256"/>
      <c r="N1014" s="256"/>
      <c r="O1014" s="266"/>
      <c r="P1014" s="261"/>
      <c r="Q1014" s="261"/>
      <c r="R1014" s="261"/>
      <c r="S1014" s="629"/>
      <c r="T1014" s="629"/>
      <c r="U1014" s="629"/>
      <c r="V1014" s="629"/>
      <c r="W1014" s="261"/>
      <c r="X1014" s="261"/>
      <c r="Y1014" s="261"/>
      <c r="Z1014" s="261"/>
      <c r="AA1014" s="261"/>
      <c r="AB1014" s="261"/>
      <c r="AC1014" s="266"/>
      <c r="AD1014" s="633"/>
      <c r="AE1014" s="264">
        <f t="shared" ref="AE1014:AM1014" si="2489">IF(AE982=0,0,AE1006/AE982)</f>
        <v>0</v>
      </c>
      <c r="AF1014" s="264">
        <f t="shared" si="2489"/>
        <v>0</v>
      </c>
      <c r="AG1014" s="264">
        <f t="shared" si="2489"/>
        <v>0</v>
      </c>
      <c r="AH1014" s="264">
        <f t="shared" si="2489"/>
        <v>0</v>
      </c>
      <c r="AI1014" s="264">
        <f t="shared" si="2489"/>
        <v>0</v>
      </c>
      <c r="AJ1014" s="264">
        <f t="shared" si="2489"/>
        <v>0</v>
      </c>
      <c r="AK1014" s="264">
        <f t="shared" si="2489"/>
        <v>0</v>
      </c>
      <c r="AL1014" s="264">
        <f t="shared" si="2489"/>
        <v>0</v>
      </c>
      <c r="AM1014" s="264">
        <f t="shared" si="2489"/>
        <v>0</v>
      </c>
      <c r="AN1014" s="260"/>
      <c r="AO1014" s="264">
        <f t="shared" ref="AO1014" si="2490">IF(AO982=0,0,AO1006/AO982)</f>
        <v>0</v>
      </c>
      <c r="AP1014" s="260"/>
      <c r="AQ1014" s="264"/>
      <c r="AR1014" s="264" t="str">
        <f>VLOOKUP($I1014,TableInputsData[],ReadMe!$M$3,FALSE)&amp;"  |  "&amp;VLOOKUP($K1014,TableInputsData[],ReadMe!$M$3,FALSE)</f>
        <v>SERVICE 04  |  PRIX MOYEN D'ACHAT PAR PRODUIT/SERVICE</v>
      </c>
      <c r="AS1014" s="264"/>
      <c r="AT1014" s="294"/>
    </row>
    <row r="1015" spans="1:46" ht="13" x14ac:dyDescent="0.2">
      <c r="A1015" s="294"/>
      <c r="B1015" s="925"/>
      <c r="C1015" s="273">
        <v>1008</v>
      </c>
      <c r="D1015" s="253">
        <v>0</v>
      </c>
      <c r="E1015" s="253">
        <v>1</v>
      </c>
      <c r="F1015" s="252"/>
      <c r="G1015" s="253"/>
      <c r="H1015" s="253"/>
      <c r="I1015" s="252"/>
      <c r="J1015" s="252"/>
      <c r="K1015" s="252"/>
      <c r="L1015" s="257"/>
      <c r="M1015" s="257"/>
      <c r="N1015" s="257"/>
      <c r="O1015" s="267"/>
      <c r="P1015" s="262"/>
      <c r="Q1015" s="262"/>
      <c r="R1015" s="262"/>
      <c r="S1015" s="631"/>
      <c r="T1015" s="631"/>
      <c r="U1015" s="631"/>
      <c r="V1015" s="631"/>
      <c r="W1015" s="262"/>
      <c r="X1015" s="262"/>
      <c r="Y1015" s="262"/>
      <c r="Z1015" s="262"/>
      <c r="AA1015" s="262"/>
      <c r="AB1015" s="262"/>
      <c r="AC1015" s="267"/>
      <c r="AD1015" s="635"/>
      <c r="AE1015" s="270"/>
      <c r="AF1015" s="270"/>
      <c r="AG1015" s="270"/>
      <c r="AH1015" s="270"/>
      <c r="AI1015" s="270"/>
      <c r="AJ1015" s="270"/>
      <c r="AK1015" s="270"/>
      <c r="AL1015" s="270"/>
      <c r="AM1015" s="270"/>
      <c r="AN1015" s="643"/>
      <c r="AO1015" s="270"/>
      <c r="AP1015" s="270"/>
      <c r="AQ1015" s="270"/>
      <c r="AR1015" s="270"/>
      <c r="AS1015" s="270"/>
      <c r="AT1015" s="294"/>
    </row>
    <row r="1016" spans="1:46" ht="13" hidden="1" x14ac:dyDescent="0.2">
      <c r="A1016" s="294"/>
      <c r="B1016" s="924" t="str">
        <f>I1017&amp;"___"</f>
        <v>SERVICE 05___</v>
      </c>
      <c r="C1016" s="271">
        <v>1009</v>
      </c>
      <c r="D1016" s="250">
        <v>0</v>
      </c>
      <c r="E1016" s="250"/>
      <c r="F1016" s="248"/>
      <c r="G1016" s="250"/>
      <c r="H1016" s="250"/>
      <c r="I1016" s="248"/>
      <c r="J1016" s="248"/>
      <c r="K1016" s="248"/>
      <c r="L1016" s="254"/>
      <c r="M1016" s="254"/>
      <c r="N1016" s="254"/>
      <c r="O1016" s="264"/>
      <c r="P1016" s="259"/>
      <c r="Q1016" s="259"/>
      <c r="R1016" s="259"/>
      <c r="S1016" s="628"/>
      <c r="T1016" s="628"/>
      <c r="U1016" s="628"/>
      <c r="V1016" s="628"/>
      <c r="W1016" s="259"/>
      <c r="X1016" s="259"/>
      <c r="Y1016" s="259"/>
      <c r="Z1016" s="259"/>
      <c r="AA1016" s="259"/>
      <c r="AB1016" s="259"/>
      <c r="AC1016" s="264"/>
      <c r="AD1016" s="609"/>
      <c r="AE1016" s="269"/>
      <c r="AF1016" s="269"/>
      <c r="AG1016" s="269"/>
      <c r="AH1016" s="269"/>
      <c r="AI1016" s="269"/>
      <c r="AJ1016" s="269"/>
      <c r="AK1016" s="269"/>
      <c r="AL1016" s="269"/>
      <c r="AM1016" s="269"/>
      <c r="AN1016" s="642"/>
      <c r="AO1016" s="269"/>
      <c r="AP1016" s="269"/>
      <c r="AQ1016" s="269"/>
      <c r="AR1016" s="269"/>
      <c r="AS1016" s="269"/>
      <c r="AT1016" s="294"/>
    </row>
    <row r="1017" spans="1:46" ht="13" x14ac:dyDescent="0.2">
      <c r="A1017" s="294"/>
      <c r="B1017" s="924"/>
      <c r="C1017" s="271">
        <v>1010</v>
      </c>
      <c r="D1017" s="250">
        <f>VLOOKUP($I1017,TableInputsData[],$D$6,FALSE)</f>
        <v>0</v>
      </c>
      <c r="E1017" s="250">
        <v>1</v>
      </c>
      <c r="F1017" s="248" t="s">
        <v>392</v>
      </c>
      <c r="G1017" s="250">
        <f>VLOOKUP(F1017,TableInputsData[],$G$6,FALSE)</f>
        <v>2023</v>
      </c>
      <c r="H1017" s="250" t="s">
        <v>121</v>
      </c>
      <c r="I1017" s="248" t="s">
        <v>550</v>
      </c>
      <c r="J1017" s="248" t="str">
        <f>VLOOKUP(I1017,TableInputsData[],$J$6,FALSE)</f>
        <v>-</v>
      </c>
      <c r="K1017" s="248" t="s">
        <v>261</v>
      </c>
      <c r="L1017" s="499">
        <v>1000</v>
      </c>
      <c r="M1017" s="499">
        <v>0</v>
      </c>
      <c r="N1017" s="499">
        <v>0</v>
      </c>
      <c r="O1017" s="264">
        <f t="shared" ref="O1017:O1024" si="2491">$L1017*$P1017+$M1017*$Q1017+$N1017*$R1017</f>
        <v>1000</v>
      </c>
      <c r="P1017" s="500">
        <v>1</v>
      </c>
      <c r="Q1017" s="500">
        <v>0</v>
      </c>
      <c r="R1017" s="259">
        <f>1-$P1017-$Q1017</f>
        <v>0</v>
      </c>
      <c r="S1017" s="626">
        <v>500</v>
      </c>
      <c r="T1017" s="626">
        <v>0</v>
      </c>
      <c r="U1017" s="626">
        <v>0</v>
      </c>
      <c r="V1017" s="628">
        <f>($L1017*$P1017*$S1017+$M1017*$Q1017*$T1017+$N1017*$R1017*$U1017)/$O1017</f>
        <v>500</v>
      </c>
      <c r="W1017" s="500">
        <v>1</v>
      </c>
      <c r="X1017" s="500">
        <v>1</v>
      </c>
      <c r="Y1017" s="500">
        <v>1</v>
      </c>
      <c r="Z1017" s="259">
        <f t="shared" ref="Z1017:Z1024" si="2492">1-$W1017</f>
        <v>0</v>
      </c>
      <c r="AA1017" s="259">
        <f t="shared" ref="AA1017:AA1024" si="2493">1-$X1017</f>
        <v>0</v>
      </c>
      <c r="AB1017" s="259">
        <f t="shared" ref="AB1017:AB1024" si="2494">1-$Y1017</f>
        <v>0</v>
      </c>
      <c r="AC1017" s="628">
        <f>AM1049</f>
        <v>0</v>
      </c>
      <c r="AD1017" s="628">
        <f>AO1049</f>
        <v>0</v>
      </c>
      <c r="AE1017" s="501">
        <v>0</v>
      </c>
      <c r="AF1017" s="501">
        <v>0</v>
      </c>
      <c r="AG1017" s="501">
        <v>0</v>
      </c>
      <c r="AH1017" s="501">
        <v>0</v>
      </c>
      <c r="AI1017" s="264">
        <f>$AE1017+$AF1017+$AG1017+$AH1017</f>
        <v>0</v>
      </c>
      <c r="AJ1017" s="264">
        <f t="shared" ref="AJ1017:AJ1024" si="2495">$AI1017*$P1017</f>
        <v>0</v>
      </c>
      <c r="AK1017" s="264">
        <f t="shared" ref="AK1017:AK1024" si="2496">$AI1017*$Q1017</f>
        <v>0</v>
      </c>
      <c r="AL1017" s="264">
        <f t="shared" ref="AL1017:AL1024" si="2497">$AI1017*$R1017</f>
        <v>0</v>
      </c>
      <c r="AM1017" s="264">
        <f t="shared" ref="AM1017:AM1024" si="2498">$AJ1017*$W1017+$AK1017*$X1017+$AL1017*$Y1017</f>
        <v>0</v>
      </c>
      <c r="AN1017" s="640">
        <f>IF(AI1017=0,0,AM1017/AI1017)</f>
        <v>0</v>
      </c>
      <c r="AO1017" s="264">
        <f t="shared" ref="AO1017:AO1024" si="2499">$AJ1017*$Z1017+$AK1017*$AA1017+$AL1017*$AB1017</f>
        <v>0</v>
      </c>
      <c r="AP1017" s="640">
        <f t="shared" ref="AP1017:AP1032" si="2500">IF(AI1017=0,0,AO1017/AI1017)</f>
        <v>0</v>
      </c>
      <c r="AQ1017" s="264" t="str">
        <f>VLOOKUP(I1017,TableInputsData[],$AQ$6,FALSE)</f>
        <v>GAMME # : 1 + CANAL DE DISTRIBUTION # : 1</v>
      </c>
      <c r="AR1017" s="264" t="str">
        <f>VLOOKUP($I1017,TableInputsData[],ReadMe!$M$3,FALSE)&amp;"  |  "&amp;VLOOKUP($K1017,TableInputsData[],ReadMe!$M$3,FALSE)</f>
        <v>SERVICE 05  |  VOLUME</v>
      </c>
      <c r="AS1017" s="264" t="b">
        <f t="shared" ref="AS1017:AS1024" si="2501">AND(EXACT(ROUND(AI1017,2),ROUND(AJ1017+AK1017+AL1017,2)),EXACT(ROUND(AI1017,2),ROUND(AM1017+AO1017,2)),EXACT(SUM(P1017:R1017),1),IF(R1017&lt;0,FALSE,TRUE),EXACT(SUM(W1017:AB1017),3),MIN(W1017:Y1017)&gt;=0, MAX(W1017:Y1017)&lt;=1)</f>
        <v>1</v>
      </c>
      <c r="AT1017" s="294"/>
    </row>
    <row r="1018" spans="1:46" ht="13" x14ac:dyDescent="0.2">
      <c r="A1018" s="294"/>
      <c r="B1018" s="924"/>
      <c r="C1018" s="271">
        <v>1011</v>
      </c>
      <c r="D1018" s="250">
        <f>D1017</f>
        <v>0</v>
      </c>
      <c r="E1018" s="250">
        <v>1</v>
      </c>
      <c r="F1018" s="248" t="s">
        <v>391</v>
      </c>
      <c r="G1018" s="250">
        <f>VLOOKUP(F1018,TableInputsData[],$G$6,FALSE)</f>
        <v>2024</v>
      </c>
      <c r="H1018" s="250" t="str">
        <f>H1017</f>
        <v>SERVICE</v>
      </c>
      <c r="I1018" s="248" t="str">
        <f>I1017</f>
        <v>SERVICE 05</v>
      </c>
      <c r="J1018" s="248" t="str">
        <f>VLOOKUP(I1018,TableInputsData[],$J$6,FALSE)</f>
        <v>-</v>
      </c>
      <c r="K1018" s="248" t="str">
        <f>K1017</f>
        <v>VOLUME</v>
      </c>
      <c r="L1018" s="499">
        <v>1000</v>
      </c>
      <c r="M1018" s="499">
        <v>0</v>
      </c>
      <c r="N1018" s="499">
        <v>0</v>
      </c>
      <c r="O1018" s="264">
        <f t="shared" si="2491"/>
        <v>1000</v>
      </c>
      <c r="P1018" s="500">
        <v>1</v>
      </c>
      <c r="Q1018" s="500">
        <v>0</v>
      </c>
      <c r="R1018" s="259">
        <f t="shared" ref="R1018:R1024" si="2502">1-$P1018-$Q1018</f>
        <v>0</v>
      </c>
      <c r="S1018" s="626">
        <v>500</v>
      </c>
      <c r="T1018" s="626">
        <v>0</v>
      </c>
      <c r="U1018" s="626">
        <v>0</v>
      </c>
      <c r="V1018" s="628">
        <f t="shared" ref="V1018:V1024" si="2503">($L1018*$P1018*$S1018+$M1018*$Q1018*$T1018+$N1018*$R1018*$U1018)/$O1018</f>
        <v>500</v>
      </c>
      <c r="W1018" s="500">
        <v>1</v>
      </c>
      <c r="X1018" s="500">
        <v>1</v>
      </c>
      <c r="Y1018" s="500">
        <v>1</v>
      </c>
      <c r="Z1018" s="259">
        <f t="shared" si="2492"/>
        <v>0</v>
      </c>
      <c r="AA1018" s="259">
        <f t="shared" si="2493"/>
        <v>0</v>
      </c>
      <c r="AB1018" s="259">
        <f t="shared" si="2494"/>
        <v>0</v>
      </c>
      <c r="AC1018" s="628">
        <f t="shared" ref="AC1018:AC1024" si="2504">AM1050</f>
        <v>0</v>
      </c>
      <c r="AD1018" s="628">
        <f t="shared" ref="AD1018:AD1024" si="2505">AO1050</f>
        <v>0</v>
      </c>
      <c r="AE1018" s="501">
        <v>0</v>
      </c>
      <c r="AF1018" s="501">
        <v>0</v>
      </c>
      <c r="AG1018" s="501">
        <v>0</v>
      </c>
      <c r="AH1018" s="501">
        <v>0</v>
      </c>
      <c r="AI1018" s="264">
        <f>$AE1018+$AF1018+$AG1018+$AH1018</f>
        <v>0</v>
      </c>
      <c r="AJ1018" s="264">
        <f t="shared" si="2495"/>
        <v>0</v>
      </c>
      <c r="AK1018" s="264">
        <f t="shared" si="2496"/>
        <v>0</v>
      </c>
      <c r="AL1018" s="264">
        <f t="shared" si="2497"/>
        <v>0</v>
      </c>
      <c r="AM1018" s="264">
        <f t="shared" si="2498"/>
        <v>0</v>
      </c>
      <c r="AN1018" s="640">
        <f t="shared" ref="AN1018:AN1032" si="2506">IF(AI1018=0,0,AM1018/AI1018)</f>
        <v>0</v>
      </c>
      <c r="AO1018" s="264">
        <f t="shared" si="2499"/>
        <v>0</v>
      </c>
      <c r="AP1018" s="640">
        <f t="shared" si="2500"/>
        <v>0</v>
      </c>
      <c r="AQ1018" s="501"/>
      <c r="AR1018" s="264" t="str">
        <f>VLOOKUP($I1018,TableInputsData[],ReadMe!$M$3,FALSE)&amp;"  |  "&amp;VLOOKUP($K1018,TableInputsData[],ReadMe!$M$3,FALSE)</f>
        <v>SERVICE 05  |  VOLUME</v>
      </c>
      <c r="AS1018" s="264" t="b">
        <f t="shared" si="2501"/>
        <v>1</v>
      </c>
      <c r="AT1018" s="294"/>
    </row>
    <row r="1019" spans="1:46" ht="13" x14ac:dyDescent="0.2">
      <c r="A1019" s="294"/>
      <c r="B1019" s="924"/>
      <c r="C1019" s="271">
        <v>1012</v>
      </c>
      <c r="D1019" s="250">
        <f t="shared" ref="D1019:D1056" si="2507">D1018</f>
        <v>0</v>
      </c>
      <c r="E1019" s="250">
        <v>1</v>
      </c>
      <c r="F1019" s="248" t="s">
        <v>393</v>
      </c>
      <c r="G1019" s="250">
        <f>VLOOKUP(F1019,TableInputsData[],$G$6,FALSE)</f>
        <v>2025</v>
      </c>
      <c r="H1019" s="250" t="str">
        <f t="shared" ref="H1019:I1056" si="2508">H1018</f>
        <v>SERVICE</v>
      </c>
      <c r="I1019" s="248" t="str">
        <f t="shared" si="2508"/>
        <v>SERVICE 05</v>
      </c>
      <c r="J1019" s="248" t="str">
        <f>VLOOKUP(I1019,TableInputsData[],$J$6,FALSE)</f>
        <v>-</v>
      </c>
      <c r="K1019" s="248" t="str">
        <f t="shared" ref="K1019:K1024" si="2509">K1018</f>
        <v>VOLUME</v>
      </c>
      <c r="L1019" s="499">
        <v>1000</v>
      </c>
      <c r="M1019" s="499">
        <v>0</v>
      </c>
      <c r="N1019" s="499">
        <v>0</v>
      </c>
      <c r="O1019" s="264">
        <f t="shared" si="2491"/>
        <v>1000</v>
      </c>
      <c r="P1019" s="500">
        <v>1</v>
      </c>
      <c r="Q1019" s="500">
        <v>0</v>
      </c>
      <c r="R1019" s="259">
        <f t="shared" si="2502"/>
        <v>0</v>
      </c>
      <c r="S1019" s="626">
        <v>500</v>
      </c>
      <c r="T1019" s="626">
        <v>0</v>
      </c>
      <c r="U1019" s="626">
        <v>0</v>
      </c>
      <c r="V1019" s="628">
        <f t="shared" si="2503"/>
        <v>500</v>
      </c>
      <c r="W1019" s="500">
        <v>1</v>
      </c>
      <c r="X1019" s="500">
        <v>1</v>
      </c>
      <c r="Y1019" s="500">
        <v>1</v>
      </c>
      <c r="Z1019" s="259">
        <f t="shared" si="2492"/>
        <v>0</v>
      </c>
      <c r="AA1019" s="259">
        <f t="shared" si="2493"/>
        <v>0</v>
      </c>
      <c r="AB1019" s="259">
        <f t="shared" si="2494"/>
        <v>0</v>
      </c>
      <c r="AC1019" s="628">
        <f t="shared" si="2504"/>
        <v>0</v>
      </c>
      <c r="AD1019" s="628">
        <f t="shared" si="2505"/>
        <v>0</v>
      </c>
      <c r="AE1019" s="501">
        <v>0</v>
      </c>
      <c r="AF1019" s="501">
        <v>0</v>
      </c>
      <c r="AG1019" s="501">
        <v>0</v>
      </c>
      <c r="AH1019" s="501">
        <v>0</v>
      </c>
      <c r="AI1019" s="264">
        <f>$AE1019+$AF1019+$AG1019+$AH1019</f>
        <v>0</v>
      </c>
      <c r="AJ1019" s="264">
        <f t="shared" si="2495"/>
        <v>0</v>
      </c>
      <c r="AK1019" s="264">
        <f t="shared" si="2496"/>
        <v>0</v>
      </c>
      <c r="AL1019" s="264">
        <f t="shared" si="2497"/>
        <v>0</v>
      </c>
      <c r="AM1019" s="264">
        <f t="shared" si="2498"/>
        <v>0</v>
      </c>
      <c r="AN1019" s="640">
        <f t="shared" si="2506"/>
        <v>0</v>
      </c>
      <c r="AO1019" s="264">
        <f t="shared" si="2499"/>
        <v>0</v>
      </c>
      <c r="AP1019" s="640">
        <f t="shared" si="2500"/>
        <v>0</v>
      </c>
      <c r="AQ1019" s="501"/>
      <c r="AR1019" s="264" t="str">
        <f>VLOOKUP($I1019,TableInputsData[],ReadMe!$M$3,FALSE)&amp;"  |  "&amp;VLOOKUP($K1019,TableInputsData[],ReadMe!$M$3,FALSE)</f>
        <v>SERVICE 05  |  VOLUME</v>
      </c>
      <c r="AS1019" s="264" t="b">
        <f t="shared" si="2501"/>
        <v>1</v>
      </c>
      <c r="AT1019" s="294"/>
    </row>
    <row r="1020" spans="1:46" ht="13" x14ac:dyDescent="0.2">
      <c r="A1020" s="294"/>
      <c r="B1020" s="924"/>
      <c r="C1020" s="271">
        <v>1013</v>
      </c>
      <c r="D1020" s="250">
        <f t="shared" si="2507"/>
        <v>0</v>
      </c>
      <c r="E1020" s="250">
        <v>1</v>
      </c>
      <c r="F1020" s="248" t="s">
        <v>396</v>
      </c>
      <c r="G1020" s="250">
        <f>VLOOKUP(F1020,TableInputsData[],$G$6,FALSE)</f>
        <v>2026</v>
      </c>
      <c r="H1020" s="250" t="str">
        <f t="shared" si="2508"/>
        <v>SERVICE</v>
      </c>
      <c r="I1020" s="248" t="str">
        <f t="shared" si="2508"/>
        <v>SERVICE 05</v>
      </c>
      <c r="J1020" s="248" t="str">
        <f>VLOOKUP(I1020,TableInputsData[],$J$6,FALSE)</f>
        <v>-</v>
      </c>
      <c r="K1020" s="248" t="str">
        <f t="shared" si="2509"/>
        <v>VOLUME</v>
      </c>
      <c r="L1020" s="499">
        <v>1000</v>
      </c>
      <c r="M1020" s="499">
        <v>0</v>
      </c>
      <c r="N1020" s="499">
        <v>0</v>
      </c>
      <c r="O1020" s="264">
        <f t="shared" si="2491"/>
        <v>1000</v>
      </c>
      <c r="P1020" s="500">
        <v>1</v>
      </c>
      <c r="Q1020" s="500">
        <v>0</v>
      </c>
      <c r="R1020" s="259">
        <f t="shared" si="2502"/>
        <v>0</v>
      </c>
      <c r="S1020" s="626">
        <v>500</v>
      </c>
      <c r="T1020" s="626">
        <v>0</v>
      </c>
      <c r="U1020" s="626">
        <v>0</v>
      </c>
      <c r="V1020" s="628">
        <f t="shared" si="2503"/>
        <v>500</v>
      </c>
      <c r="W1020" s="500">
        <v>1</v>
      </c>
      <c r="X1020" s="500">
        <v>1</v>
      </c>
      <c r="Y1020" s="500">
        <v>1</v>
      </c>
      <c r="Z1020" s="259">
        <f t="shared" si="2492"/>
        <v>0</v>
      </c>
      <c r="AA1020" s="259">
        <f t="shared" si="2493"/>
        <v>0</v>
      </c>
      <c r="AB1020" s="259">
        <f t="shared" si="2494"/>
        <v>0</v>
      </c>
      <c r="AC1020" s="628">
        <f t="shared" si="2504"/>
        <v>0</v>
      </c>
      <c r="AD1020" s="628">
        <f t="shared" si="2505"/>
        <v>0</v>
      </c>
      <c r="AE1020" s="501">
        <v>0</v>
      </c>
      <c r="AF1020" s="501">
        <v>0</v>
      </c>
      <c r="AG1020" s="501">
        <v>0</v>
      </c>
      <c r="AH1020" s="501">
        <v>0</v>
      </c>
      <c r="AI1020" s="264">
        <f>$AE1020+$AF1020+$AG1020+$AH1020</f>
        <v>0</v>
      </c>
      <c r="AJ1020" s="264">
        <f t="shared" si="2495"/>
        <v>0</v>
      </c>
      <c r="AK1020" s="264">
        <f t="shared" si="2496"/>
        <v>0</v>
      </c>
      <c r="AL1020" s="264">
        <f t="shared" si="2497"/>
        <v>0</v>
      </c>
      <c r="AM1020" s="264">
        <f t="shared" si="2498"/>
        <v>0</v>
      </c>
      <c r="AN1020" s="640">
        <f t="shared" si="2506"/>
        <v>0</v>
      </c>
      <c r="AO1020" s="264">
        <f t="shared" si="2499"/>
        <v>0</v>
      </c>
      <c r="AP1020" s="640">
        <f t="shared" si="2500"/>
        <v>0</v>
      </c>
      <c r="AQ1020" s="501"/>
      <c r="AR1020" s="264" t="str">
        <f>VLOOKUP($I1020,TableInputsData[],ReadMe!$M$3,FALSE)&amp;"  |  "&amp;VLOOKUP($K1020,TableInputsData[],ReadMe!$M$3,FALSE)</f>
        <v>SERVICE 05  |  VOLUME</v>
      </c>
      <c r="AS1020" s="264" t="b">
        <f t="shared" si="2501"/>
        <v>1</v>
      </c>
      <c r="AT1020" s="294"/>
    </row>
    <row r="1021" spans="1:46" ht="13" x14ac:dyDescent="0.2">
      <c r="A1021" s="294"/>
      <c r="B1021" s="924"/>
      <c r="C1021" s="271">
        <v>1014</v>
      </c>
      <c r="D1021" s="250">
        <f t="shared" si="2507"/>
        <v>0</v>
      </c>
      <c r="E1021" s="250">
        <v>1</v>
      </c>
      <c r="F1021" s="248" t="s">
        <v>397</v>
      </c>
      <c r="G1021" s="250">
        <f>VLOOKUP(F1021,TableInputsData[],$G$6,FALSE)</f>
        <v>2027</v>
      </c>
      <c r="H1021" s="250" t="str">
        <f t="shared" si="2508"/>
        <v>SERVICE</v>
      </c>
      <c r="I1021" s="248" t="str">
        <f t="shared" si="2508"/>
        <v>SERVICE 05</v>
      </c>
      <c r="J1021" s="248" t="str">
        <f>VLOOKUP(I1021,TableInputsData[],$J$6,FALSE)</f>
        <v>-</v>
      </c>
      <c r="K1021" s="248" t="str">
        <f t="shared" si="2509"/>
        <v>VOLUME</v>
      </c>
      <c r="L1021" s="499">
        <v>1000</v>
      </c>
      <c r="M1021" s="499">
        <v>0</v>
      </c>
      <c r="N1021" s="499">
        <v>0</v>
      </c>
      <c r="O1021" s="264">
        <f t="shared" si="2491"/>
        <v>1000</v>
      </c>
      <c r="P1021" s="500">
        <v>1</v>
      </c>
      <c r="Q1021" s="500">
        <v>0</v>
      </c>
      <c r="R1021" s="259">
        <f t="shared" si="2502"/>
        <v>0</v>
      </c>
      <c r="S1021" s="626">
        <v>500</v>
      </c>
      <c r="T1021" s="626">
        <v>0</v>
      </c>
      <c r="U1021" s="626">
        <v>0</v>
      </c>
      <c r="V1021" s="628">
        <f t="shared" si="2503"/>
        <v>500</v>
      </c>
      <c r="W1021" s="500">
        <v>1</v>
      </c>
      <c r="X1021" s="500">
        <v>1</v>
      </c>
      <c r="Y1021" s="500">
        <v>1</v>
      </c>
      <c r="Z1021" s="259">
        <f t="shared" si="2492"/>
        <v>0</v>
      </c>
      <c r="AA1021" s="259">
        <f t="shared" si="2493"/>
        <v>0</v>
      </c>
      <c r="AB1021" s="259">
        <f t="shared" si="2494"/>
        <v>0</v>
      </c>
      <c r="AC1021" s="628">
        <f t="shared" si="2504"/>
        <v>0</v>
      </c>
      <c r="AD1021" s="628">
        <f t="shared" si="2505"/>
        <v>0</v>
      </c>
      <c r="AE1021" s="264">
        <f>$AI1021/4</f>
        <v>0</v>
      </c>
      <c r="AF1021" s="264">
        <f t="shared" ref="AF1021:AH1024" si="2510">$AI1021/4</f>
        <v>0</v>
      </c>
      <c r="AG1021" s="264">
        <f t="shared" si="2510"/>
        <v>0</v>
      </c>
      <c r="AH1021" s="264">
        <f t="shared" si="2510"/>
        <v>0</v>
      </c>
      <c r="AI1021" s="501">
        <v>0</v>
      </c>
      <c r="AJ1021" s="264">
        <f t="shared" si="2495"/>
        <v>0</v>
      </c>
      <c r="AK1021" s="264">
        <f t="shared" si="2496"/>
        <v>0</v>
      </c>
      <c r="AL1021" s="264">
        <f t="shared" si="2497"/>
        <v>0</v>
      </c>
      <c r="AM1021" s="264">
        <f t="shared" si="2498"/>
        <v>0</v>
      </c>
      <c r="AN1021" s="640">
        <f t="shared" si="2506"/>
        <v>0</v>
      </c>
      <c r="AO1021" s="264">
        <f t="shared" si="2499"/>
        <v>0</v>
      </c>
      <c r="AP1021" s="640">
        <f t="shared" si="2500"/>
        <v>0</v>
      </c>
      <c r="AQ1021" s="501"/>
      <c r="AR1021" s="264" t="str">
        <f>VLOOKUP($I1021,TableInputsData[],ReadMe!$M$3,FALSE)&amp;"  |  "&amp;VLOOKUP($K1021,TableInputsData[],ReadMe!$M$3,FALSE)</f>
        <v>SERVICE 05  |  VOLUME</v>
      </c>
      <c r="AS1021" s="264" t="b">
        <f t="shared" si="2501"/>
        <v>1</v>
      </c>
      <c r="AT1021" s="294"/>
    </row>
    <row r="1022" spans="1:46" ht="13" x14ac:dyDescent="0.2">
      <c r="A1022" s="294"/>
      <c r="B1022" s="924"/>
      <c r="C1022" s="271">
        <v>1015</v>
      </c>
      <c r="D1022" s="250">
        <f t="shared" si="2507"/>
        <v>0</v>
      </c>
      <c r="E1022" s="250">
        <v>1</v>
      </c>
      <c r="F1022" s="248" t="s">
        <v>398</v>
      </c>
      <c r="G1022" s="250">
        <f>VLOOKUP(F1022,TableInputsData[],$G$6,FALSE)</f>
        <v>2028</v>
      </c>
      <c r="H1022" s="250" t="str">
        <f t="shared" si="2508"/>
        <v>SERVICE</v>
      </c>
      <c r="I1022" s="248" t="str">
        <f t="shared" si="2508"/>
        <v>SERVICE 05</v>
      </c>
      <c r="J1022" s="248" t="str">
        <f>VLOOKUP(I1022,TableInputsData[],$J$6,FALSE)</f>
        <v>-</v>
      </c>
      <c r="K1022" s="248" t="str">
        <f t="shared" si="2509"/>
        <v>VOLUME</v>
      </c>
      <c r="L1022" s="499">
        <v>1000</v>
      </c>
      <c r="M1022" s="499">
        <v>0</v>
      </c>
      <c r="N1022" s="499">
        <v>0</v>
      </c>
      <c r="O1022" s="264">
        <f t="shared" si="2491"/>
        <v>1000</v>
      </c>
      <c r="P1022" s="500">
        <v>1</v>
      </c>
      <c r="Q1022" s="500">
        <v>0</v>
      </c>
      <c r="R1022" s="259">
        <f t="shared" si="2502"/>
        <v>0</v>
      </c>
      <c r="S1022" s="626">
        <v>500</v>
      </c>
      <c r="T1022" s="626">
        <v>0</v>
      </c>
      <c r="U1022" s="626">
        <v>0</v>
      </c>
      <c r="V1022" s="628">
        <f t="shared" si="2503"/>
        <v>500</v>
      </c>
      <c r="W1022" s="500">
        <v>1</v>
      </c>
      <c r="X1022" s="500">
        <v>1</v>
      </c>
      <c r="Y1022" s="500">
        <v>1</v>
      </c>
      <c r="Z1022" s="259">
        <f t="shared" si="2492"/>
        <v>0</v>
      </c>
      <c r="AA1022" s="259">
        <f t="shared" si="2493"/>
        <v>0</v>
      </c>
      <c r="AB1022" s="259">
        <f t="shared" si="2494"/>
        <v>0</v>
      </c>
      <c r="AC1022" s="628">
        <f t="shared" si="2504"/>
        <v>0</v>
      </c>
      <c r="AD1022" s="628">
        <f t="shared" si="2505"/>
        <v>0</v>
      </c>
      <c r="AE1022" s="264">
        <f t="shared" ref="AE1022:AE1024" si="2511">$AI1022/4</f>
        <v>0</v>
      </c>
      <c r="AF1022" s="264">
        <f t="shared" si="2510"/>
        <v>0</v>
      </c>
      <c r="AG1022" s="264">
        <f t="shared" si="2510"/>
        <v>0</v>
      </c>
      <c r="AH1022" s="264">
        <f t="shared" si="2510"/>
        <v>0</v>
      </c>
      <c r="AI1022" s="501">
        <v>0</v>
      </c>
      <c r="AJ1022" s="264">
        <f t="shared" si="2495"/>
        <v>0</v>
      </c>
      <c r="AK1022" s="264">
        <f t="shared" si="2496"/>
        <v>0</v>
      </c>
      <c r="AL1022" s="264">
        <f t="shared" si="2497"/>
        <v>0</v>
      </c>
      <c r="AM1022" s="264">
        <f t="shared" si="2498"/>
        <v>0</v>
      </c>
      <c r="AN1022" s="640">
        <f t="shared" si="2506"/>
        <v>0</v>
      </c>
      <c r="AO1022" s="264">
        <f t="shared" si="2499"/>
        <v>0</v>
      </c>
      <c r="AP1022" s="640">
        <f t="shared" si="2500"/>
        <v>0</v>
      </c>
      <c r="AQ1022" s="501"/>
      <c r="AR1022" s="264" t="str">
        <f>VLOOKUP($I1022,TableInputsData[],ReadMe!$M$3,FALSE)&amp;"  |  "&amp;VLOOKUP($K1022,TableInputsData[],ReadMe!$M$3,FALSE)</f>
        <v>SERVICE 05  |  VOLUME</v>
      </c>
      <c r="AS1022" s="264" t="b">
        <f t="shared" si="2501"/>
        <v>1</v>
      </c>
      <c r="AT1022" s="294"/>
    </row>
    <row r="1023" spans="1:46" ht="13" x14ac:dyDescent="0.2">
      <c r="A1023" s="294"/>
      <c r="B1023" s="924"/>
      <c r="C1023" s="271">
        <v>1016</v>
      </c>
      <c r="D1023" s="250">
        <f t="shared" si="2507"/>
        <v>0</v>
      </c>
      <c r="E1023" s="250">
        <v>1</v>
      </c>
      <c r="F1023" s="248" t="s">
        <v>399</v>
      </c>
      <c r="G1023" s="250">
        <f>VLOOKUP(F1023,TableInputsData[],$G$6,FALSE)</f>
        <v>2029</v>
      </c>
      <c r="H1023" s="250" t="str">
        <f t="shared" si="2508"/>
        <v>SERVICE</v>
      </c>
      <c r="I1023" s="248" t="str">
        <f t="shared" si="2508"/>
        <v>SERVICE 05</v>
      </c>
      <c r="J1023" s="248" t="str">
        <f>VLOOKUP(I1023,TableInputsData[],$J$6,FALSE)</f>
        <v>-</v>
      </c>
      <c r="K1023" s="248" t="str">
        <f t="shared" si="2509"/>
        <v>VOLUME</v>
      </c>
      <c r="L1023" s="499">
        <v>1000</v>
      </c>
      <c r="M1023" s="499">
        <v>0</v>
      </c>
      <c r="N1023" s="499">
        <v>0</v>
      </c>
      <c r="O1023" s="264">
        <f t="shared" si="2491"/>
        <v>1000</v>
      </c>
      <c r="P1023" s="500">
        <v>1</v>
      </c>
      <c r="Q1023" s="500">
        <v>0</v>
      </c>
      <c r="R1023" s="259">
        <f t="shared" si="2502"/>
        <v>0</v>
      </c>
      <c r="S1023" s="626">
        <v>500</v>
      </c>
      <c r="T1023" s="626">
        <v>0</v>
      </c>
      <c r="U1023" s="626">
        <v>0</v>
      </c>
      <c r="V1023" s="628">
        <f t="shared" si="2503"/>
        <v>500</v>
      </c>
      <c r="W1023" s="500">
        <v>1</v>
      </c>
      <c r="X1023" s="500">
        <v>1</v>
      </c>
      <c r="Y1023" s="500">
        <v>1</v>
      </c>
      <c r="Z1023" s="259">
        <f t="shared" si="2492"/>
        <v>0</v>
      </c>
      <c r="AA1023" s="259">
        <f t="shared" si="2493"/>
        <v>0</v>
      </c>
      <c r="AB1023" s="259">
        <f t="shared" si="2494"/>
        <v>0</v>
      </c>
      <c r="AC1023" s="628">
        <f t="shared" si="2504"/>
        <v>0</v>
      </c>
      <c r="AD1023" s="628">
        <f t="shared" si="2505"/>
        <v>0</v>
      </c>
      <c r="AE1023" s="264">
        <f t="shared" si="2511"/>
        <v>0</v>
      </c>
      <c r="AF1023" s="264">
        <f t="shared" si="2510"/>
        <v>0</v>
      </c>
      <c r="AG1023" s="264">
        <f t="shared" si="2510"/>
        <v>0</v>
      </c>
      <c r="AH1023" s="264">
        <f t="shared" si="2510"/>
        <v>0</v>
      </c>
      <c r="AI1023" s="501">
        <v>0</v>
      </c>
      <c r="AJ1023" s="264">
        <f t="shared" si="2495"/>
        <v>0</v>
      </c>
      <c r="AK1023" s="264">
        <f t="shared" si="2496"/>
        <v>0</v>
      </c>
      <c r="AL1023" s="264">
        <f t="shared" si="2497"/>
        <v>0</v>
      </c>
      <c r="AM1023" s="264">
        <f t="shared" si="2498"/>
        <v>0</v>
      </c>
      <c r="AN1023" s="640">
        <f t="shared" si="2506"/>
        <v>0</v>
      </c>
      <c r="AO1023" s="264">
        <f t="shared" si="2499"/>
        <v>0</v>
      </c>
      <c r="AP1023" s="640">
        <f t="shared" si="2500"/>
        <v>0</v>
      </c>
      <c r="AQ1023" s="501"/>
      <c r="AR1023" s="264" t="str">
        <f>VLOOKUP($I1023,TableInputsData[],ReadMe!$M$3,FALSE)&amp;"  |  "&amp;VLOOKUP($K1023,TableInputsData[],ReadMe!$M$3,FALSE)</f>
        <v>SERVICE 05  |  VOLUME</v>
      </c>
      <c r="AS1023" s="264" t="b">
        <f t="shared" si="2501"/>
        <v>1</v>
      </c>
      <c r="AT1023" s="294"/>
    </row>
    <row r="1024" spans="1:46" ht="13" x14ac:dyDescent="0.2">
      <c r="A1024" s="294"/>
      <c r="B1024" s="924"/>
      <c r="C1024" s="271">
        <v>1017</v>
      </c>
      <c r="D1024" s="250">
        <f t="shared" si="2507"/>
        <v>0</v>
      </c>
      <c r="E1024" s="250">
        <v>1</v>
      </c>
      <c r="F1024" s="248" t="s">
        <v>400</v>
      </c>
      <c r="G1024" s="250">
        <f>VLOOKUP(F1024,TableInputsData[],$G$6,FALSE)</f>
        <v>2030</v>
      </c>
      <c r="H1024" s="250" t="str">
        <f t="shared" si="2508"/>
        <v>SERVICE</v>
      </c>
      <c r="I1024" s="248" t="str">
        <f t="shared" si="2508"/>
        <v>SERVICE 05</v>
      </c>
      <c r="J1024" s="248" t="str">
        <f>VLOOKUP(I1024,TableInputsData[],$J$6,FALSE)</f>
        <v>-</v>
      </c>
      <c r="K1024" s="248" t="str">
        <f t="shared" si="2509"/>
        <v>VOLUME</v>
      </c>
      <c r="L1024" s="499">
        <v>1000</v>
      </c>
      <c r="M1024" s="499">
        <v>0</v>
      </c>
      <c r="N1024" s="499">
        <v>0</v>
      </c>
      <c r="O1024" s="264">
        <f t="shared" si="2491"/>
        <v>1000</v>
      </c>
      <c r="P1024" s="500">
        <v>1</v>
      </c>
      <c r="Q1024" s="500">
        <v>0</v>
      </c>
      <c r="R1024" s="259">
        <f t="shared" si="2502"/>
        <v>0</v>
      </c>
      <c r="S1024" s="626">
        <v>500</v>
      </c>
      <c r="T1024" s="626">
        <v>0</v>
      </c>
      <c r="U1024" s="626">
        <v>0</v>
      </c>
      <c r="V1024" s="628">
        <f t="shared" si="2503"/>
        <v>500</v>
      </c>
      <c r="W1024" s="500">
        <v>1</v>
      </c>
      <c r="X1024" s="500">
        <v>1</v>
      </c>
      <c r="Y1024" s="500">
        <v>1</v>
      </c>
      <c r="Z1024" s="259">
        <f t="shared" si="2492"/>
        <v>0</v>
      </c>
      <c r="AA1024" s="259">
        <f t="shared" si="2493"/>
        <v>0</v>
      </c>
      <c r="AB1024" s="259">
        <f t="shared" si="2494"/>
        <v>0</v>
      </c>
      <c r="AC1024" s="628">
        <f t="shared" si="2504"/>
        <v>0</v>
      </c>
      <c r="AD1024" s="628">
        <f t="shared" si="2505"/>
        <v>0</v>
      </c>
      <c r="AE1024" s="264">
        <f t="shared" si="2511"/>
        <v>0</v>
      </c>
      <c r="AF1024" s="264">
        <f t="shared" si="2510"/>
        <v>0</v>
      </c>
      <c r="AG1024" s="264">
        <f t="shared" si="2510"/>
        <v>0</v>
      </c>
      <c r="AH1024" s="264">
        <f t="shared" si="2510"/>
        <v>0</v>
      </c>
      <c r="AI1024" s="501">
        <v>0</v>
      </c>
      <c r="AJ1024" s="264">
        <f t="shared" si="2495"/>
        <v>0</v>
      </c>
      <c r="AK1024" s="264">
        <f t="shared" si="2496"/>
        <v>0</v>
      </c>
      <c r="AL1024" s="264">
        <f t="shared" si="2497"/>
        <v>0</v>
      </c>
      <c r="AM1024" s="264">
        <f t="shared" si="2498"/>
        <v>0</v>
      </c>
      <c r="AN1024" s="640">
        <f t="shared" si="2506"/>
        <v>0</v>
      </c>
      <c r="AO1024" s="264">
        <f t="shared" si="2499"/>
        <v>0</v>
      </c>
      <c r="AP1024" s="640">
        <f t="shared" si="2500"/>
        <v>0</v>
      </c>
      <c r="AQ1024" s="501"/>
      <c r="AR1024" s="264" t="str">
        <f>VLOOKUP($I1024,TableInputsData[],ReadMe!$M$3,FALSE)&amp;"  |  "&amp;VLOOKUP($K1024,TableInputsData[],ReadMe!$M$3,FALSE)</f>
        <v>SERVICE 05  |  VOLUME</v>
      </c>
      <c r="AS1024" s="264" t="b">
        <f t="shared" si="2501"/>
        <v>1</v>
      </c>
      <c r="AT1024" s="294"/>
    </row>
    <row r="1025" spans="1:46" ht="13" hidden="1" x14ac:dyDescent="0.2">
      <c r="A1025" s="294"/>
      <c r="B1025" s="924"/>
      <c r="C1025" s="272">
        <v>1018</v>
      </c>
      <c r="D1025" s="250">
        <f t="shared" si="2507"/>
        <v>0</v>
      </c>
      <c r="E1025" s="251"/>
      <c r="F1025" s="248" t="str">
        <f t="shared" ref="F1025:F1032" si="2512">F1033</f>
        <v>YEAR-2</v>
      </c>
      <c r="G1025" s="250">
        <f>VLOOKUP(F1025,TableInputsData[],$G$6,FALSE)</f>
        <v>2023</v>
      </c>
      <c r="H1025" s="250" t="str">
        <f t="shared" si="2508"/>
        <v>SERVICE</v>
      </c>
      <c r="I1025" s="248" t="str">
        <f t="shared" si="2508"/>
        <v>SERVICE 05</v>
      </c>
      <c r="J1025" s="248" t="str">
        <f>VLOOKUP(I1025,TableInputsData[],$J$6,FALSE)</f>
        <v>-</v>
      </c>
      <c r="K1025" s="248" t="s">
        <v>457</v>
      </c>
      <c r="L1025" s="256"/>
      <c r="M1025" s="256"/>
      <c r="N1025" s="256"/>
      <c r="O1025" s="266"/>
      <c r="P1025" s="261"/>
      <c r="Q1025" s="261"/>
      <c r="R1025" s="261"/>
      <c r="S1025" s="629"/>
      <c r="T1025" s="629"/>
      <c r="U1025" s="629"/>
      <c r="V1025" s="629"/>
      <c r="W1025" s="261"/>
      <c r="X1025" s="261"/>
      <c r="Y1025" s="261"/>
      <c r="Z1025" s="261"/>
      <c r="AA1025" s="261"/>
      <c r="AB1025" s="261"/>
      <c r="AC1025" s="266"/>
      <c r="AD1025" s="633"/>
      <c r="AE1025" s="264">
        <f>AE1017*($L1017*$P1017+$M1017*$Q1017+$N1017*$R1017)</f>
        <v>0</v>
      </c>
      <c r="AF1025" s="264">
        <f t="shared" ref="AF1025:AH1025" si="2513">AF1017*($L1017*$P1017+$M1017*$Q1017+$N1017*$R1017)</f>
        <v>0</v>
      </c>
      <c r="AG1025" s="264">
        <f t="shared" si="2513"/>
        <v>0</v>
      </c>
      <c r="AH1025" s="264">
        <f t="shared" si="2513"/>
        <v>0</v>
      </c>
      <c r="AI1025" s="264">
        <f>$AE1025+$AF1025+$AG1025+$AH1025</f>
        <v>0</v>
      </c>
      <c r="AJ1025" s="264">
        <f t="shared" ref="AJ1025:AJ1032" si="2514">$AJ1017*$L1017</f>
        <v>0</v>
      </c>
      <c r="AK1025" s="264">
        <f t="shared" ref="AK1025:AK1032" si="2515">$AK1017*$M1017</f>
        <v>0</v>
      </c>
      <c r="AL1025" s="264">
        <f t="shared" ref="AL1025:AL1032" si="2516">$AL1017*$N1017</f>
        <v>0</v>
      </c>
      <c r="AM1025" s="264">
        <f t="shared" ref="AM1025:AM1032" si="2517">$AJ1025*$W1017+$AK1025*$X1017+$AL1025*$Y1017</f>
        <v>0</v>
      </c>
      <c r="AN1025" s="640">
        <f t="shared" si="2506"/>
        <v>0</v>
      </c>
      <c r="AO1025" s="264">
        <f t="shared" ref="AO1025:AO1032" si="2518">$AJ1025*$Z1017+$AK1025*$AA1017+$AL1025*$AB1017</f>
        <v>0</v>
      </c>
      <c r="AP1025" s="640">
        <f t="shared" si="2500"/>
        <v>0</v>
      </c>
      <c r="AQ1025" s="264"/>
      <c r="AR1025" s="264" t="str">
        <f>VLOOKUP($I1025,TableInputsData[],ReadMe!$M$3,FALSE)&amp;"  |  "&amp;VLOOKUP($K1025,TableInputsData[],ReadMe!$M$3,FALSE)</f>
        <v>SERVICE 05  |  CHIFFRE D'AFFAIRES</v>
      </c>
      <c r="AS1025" s="264" t="b">
        <f t="shared" ref="AS1025:AS1032" si="2519">AND(EXACT(ROUND(AI1025,2),ROUND(AJ1025+AK1025+AL1025,2)),EXACT(ROUND(AI1025,2),ROUND(AM1025+AO1025,2)))</f>
        <v>1</v>
      </c>
      <c r="AT1025" s="294"/>
    </row>
    <row r="1026" spans="1:46" ht="13" hidden="1" x14ac:dyDescent="0.2">
      <c r="A1026" s="294"/>
      <c r="B1026" s="924"/>
      <c r="C1026" s="271">
        <v>1019</v>
      </c>
      <c r="D1026" s="250">
        <f t="shared" si="2507"/>
        <v>0</v>
      </c>
      <c r="E1026" s="250"/>
      <c r="F1026" s="248" t="str">
        <f t="shared" si="2512"/>
        <v>YEAR-1</v>
      </c>
      <c r="G1026" s="250">
        <f>VLOOKUP(F1026,TableInputsData[],$G$6,FALSE)</f>
        <v>2024</v>
      </c>
      <c r="H1026" s="250" t="str">
        <f t="shared" si="2508"/>
        <v>SERVICE</v>
      </c>
      <c r="I1026" s="248" t="str">
        <f t="shared" si="2508"/>
        <v>SERVICE 05</v>
      </c>
      <c r="J1026" s="248" t="str">
        <f>VLOOKUP(I1026,TableInputsData[],$J$6,FALSE)</f>
        <v>-</v>
      </c>
      <c r="K1026" s="248" t="str">
        <f>K1025</f>
        <v>REVENUE</v>
      </c>
      <c r="L1026" s="255"/>
      <c r="M1026" s="255"/>
      <c r="N1026" s="255"/>
      <c r="O1026" s="265"/>
      <c r="P1026" s="260"/>
      <c r="Q1026" s="260"/>
      <c r="R1026" s="260"/>
      <c r="S1026" s="630"/>
      <c r="T1026" s="630"/>
      <c r="U1026" s="630"/>
      <c r="V1026" s="630"/>
      <c r="W1026" s="260"/>
      <c r="X1026" s="260"/>
      <c r="Y1026" s="260"/>
      <c r="Z1026" s="260"/>
      <c r="AA1026" s="260"/>
      <c r="AB1026" s="260"/>
      <c r="AC1026" s="265"/>
      <c r="AD1026" s="634"/>
      <c r="AE1026" s="264">
        <f t="shared" ref="AE1026:AH1026" si="2520">AE1018*($L1018*$P1018+$M1018*$Q1018+$N1018*$R1018)</f>
        <v>0</v>
      </c>
      <c r="AF1026" s="264">
        <f t="shared" si="2520"/>
        <v>0</v>
      </c>
      <c r="AG1026" s="264">
        <f t="shared" si="2520"/>
        <v>0</v>
      </c>
      <c r="AH1026" s="264">
        <f t="shared" si="2520"/>
        <v>0</v>
      </c>
      <c r="AI1026" s="264">
        <f t="shared" ref="AI1026:AI1031" si="2521">$AE1026+$AF1026+$AG1026+$AH1026</f>
        <v>0</v>
      </c>
      <c r="AJ1026" s="264">
        <f t="shared" si="2514"/>
        <v>0</v>
      </c>
      <c r="AK1026" s="264">
        <f t="shared" si="2515"/>
        <v>0</v>
      </c>
      <c r="AL1026" s="264">
        <f t="shared" si="2516"/>
        <v>0</v>
      </c>
      <c r="AM1026" s="264">
        <f t="shared" si="2517"/>
        <v>0</v>
      </c>
      <c r="AN1026" s="640">
        <f t="shared" si="2506"/>
        <v>0</v>
      </c>
      <c r="AO1026" s="264">
        <f t="shared" si="2518"/>
        <v>0</v>
      </c>
      <c r="AP1026" s="640">
        <f t="shared" si="2500"/>
        <v>0</v>
      </c>
      <c r="AQ1026" s="264"/>
      <c r="AR1026" s="264" t="str">
        <f>VLOOKUP($I1026,TableInputsData[],ReadMe!$M$3,FALSE)&amp;"  |  "&amp;VLOOKUP($K1026,TableInputsData[],ReadMe!$M$3,FALSE)</f>
        <v>SERVICE 05  |  CHIFFRE D'AFFAIRES</v>
      </c>
      <c r="AS1026" s="264" t="b">
        <f t="shared" si="2519"/>
        <v>1</v>
      </c>
      <c r="AT1026" s="294"/>
    </row>
    <row r="1027" spans="1:46" ht="13" hidden="1" x14ac:dyDescent="0.2">
      <c r="A1027" s="294"/>
      <c r="B1027" s="924"/>
      <c r="C1027" s="271">
        <v>1020</v>
      </c>
      <c r="D1027" s="250">
        <f t="shared" si="2507"/>
        <v>0</v>
      </c>
      <c r="E1027" s="250"/>
      <c r="F1027" s="248" t="str">
        <f t="shared" si="2512"/>
        <v>CURRENT YEAR</v>
      </c>
      <c r="G1027" s="250">
        <f>VLOOKUP(F1027,TableInputsData[],$G$6,FALSE)</f>
        <v>2025</v>
      </c>
      <c r="H1027" s="250" t="str">
        <f t="shared" si="2508"/>
        <v>SERVICE</v>
      </c>
      <c r="I1027" s="248" t="str">
        <f t="shared" si="2508"/>
        <v>SERVICE 05</v>
      </c>
      <c r="J1027" s="248" t="str">
        <f>VLOOKUP(I1027,TableInputsData[],$J$6,FALSE)</f>
        <v>-</v>
      </c>
      <c r="K1027" s="248" t="str">
        <f t="shared" ref="K1027:K1032" si="2522">K1026</f>
        <v>REVENUE</v>
      </c>
      <c r="L1027" s="255"/>
      <c r="M1027" s="255"/>
      <c r="N1027" s="255"/>
      <c r="O1027" s="265"/>
      <c r="P1027" s="260"/>
      <c r="Q1027" s="260"/>
      <c r="R1027" s="260"/>
      <c r="S1027" s="630"/>
      <c r="T1027" s="630"/>
      <c r="U1027" s="630"/>
      <c r="V1027" s="630"/>
      <c r="W1027" s="260"/>
      <c r="X1027" s="260"/>
      <c r="Y1027" s="260"/>
      <c r="Z1027" s="260"/>
      <c r="AA1027" s="260"/>
      <c r="AB1027" s="260"/>
      <c r="AC1027" s="265"/>
      <c r="AD1027" s="634"/>
      <c r="AE1027" s="264">
        <f t="shared" ref="AE1027:AH1027" si="2523">AE1019*($L1019*$P1019+$M1019*$Q1019+$N1019*$R1019)</f>
        <v>0</v>
      </c>
      <c r="AF1027" s="264">
        <f t="shared" si="2523"/>
        <v>0</v>
      </c>
      <c r="AG1027" s="264">
        <f t="shared" si="2523"/>
        <v>0</v>
      </c>
      <c r="AH1027" s="264">
        <f t="shared" si="2523"/>
        <v>0</v>
      </c>
      <c r="AI1027" s="264">
        <f t="shared" si="2521"/>
        <v>0</v>
      </c>
      <c r="AJ1027" s="264">
        <f t="shared" si="2514"/>
        <v>0</v>
      </c>
      <c r="AK1027" s="264">
        <f t="shared" si="2515"/>
        <v>0</v>
      </c>
      <c r="AL1027" s="264">
        <f t="shared" si="2516"/>
        <v>0</v>
      </c>
      <c r="AM1027" s="264">
        <f t="shared" si="2517"/>
        <v>0</v>
      </c>
      <c r="AN1027" s="640">
        <f t="shared" si="2506"/>
        <v>0</v>
      </c>
      <c r="AO1027" s="264">
        <f t="shared" si="2518"/>
        <v>0</v>
      </c>
      <c r="AP1027" s="640">
        <f t="shared" si="2500"/>
        <v>0</v>
      </c>
      <c r="AQ1027" s="264"/>
      <c r="AR1027" s="264" t="str">
        <f>VLOOKUP($I1027,TableInputsData[],ReadMe!$M$3,FALSE)&amp;"  |  "&amp;VLOOKUP($K1027,TableInputsData[],ReadMe!$M$3,FALSE)</f>
        <v>SERVICE 05  |  CHIFFRE D'AFFAIRES</v>
      </c>
      <c r="AS1027" s="264" t="b">
        <f t="shared" si="2519"/>
        <v>1</v>
      </c>
      <c r="AT1027" s="294"/>
    </row>
    <row r="1028" spans="1:46" ht="13" hidden="1" x14ac:dyDescent="0.2">
      <c r="A1028" s="294"/>
      <c r="B1028" s="924"/>
      <c r="C1028" s="271">
        <v>1021</v>
      </c>
      <c r="D1028" s="250">
        <f t="shared" si="2507"/>
        <v>0</v>
      </c>
      <c r="E1028" s="250"/>
      <c r="F1028" s="248" t="str">
        <f t="shared" si="2512"/>
        <v>YEAR2</v>
      </c>
      <c r="G1028" s="250">
        <f>VLOOKUP(F1028,TableInputsData[],$G$6,FALSE)</f>
        <v>2026</v>
      </c>
      <c r="H1028" s="250" t="str">
        <f t="shared" si="2508"/>
        <v>SERVICE</v>
      </c>
      <c r="I1028" s="248" t="str">
        <f t="shared" si="2508"/>
        <v>SERVICE 05</v>
      </c>
      <c r="J1028" s="248" t="str">
        <f>VLOOKUP(I1028,TableInputsData[],$J$6,FALSE)</f>
        <v>-</v>
      </c>
      <c r="K1028" s="248" t="str">
        <f t="shared" si="2522"/>
        <v>REVENUE</v>
      </c>
      <c r="L1028" s="255"/>
      <c r="M1028" s="255"/>
      <c r="N1028" s="255"/>
      <c r="O1028" s="265"/>
      <c r="P1028" s="260"/>
      <c r="Q1028" s="260"/>
      <c r="R1028" s="260"/>
      <c r="S1028" s="630"/>
      <c r="T1028" s="630"/>
      <c r="U1028" s="630"/>
      <c r="V1028" s="630"/>
      <c r="W1028" s="260"/>
      <c r="X1028" s="260"/>
      <c r="Y1028" s="260"/>
      <c r="Z1028" s="260"/>
      <c r="AA1028" s="260"/>
      <c r="AB1028" s="260"/>
      <c r="AC1028" s="265"/>
      <c r="AD1028" s="634"/>
      <c r="AE1028" s="264">
        <f t="shared" ref="AE1028:AH1028" si="2524">AE1020*($L1020*$P1020+$M1020*$Q1020+$N1020*$R1020)</f>
        <v>0</v>
      </c>
      <c r="AF1028" s="264">
        <f t="shared" si="2524"/>
        <v>0</v>
      </c>
      <c r="AG1028" s="264">
        <f t="shared" si="2524"/>
        <v>0</v>
      </c>
      <c r="AH1028" s="264">
        <f t="shared" si="2524"/>
        <v>0</v>
      </c>
      <c r="AI1028" s="264">
        <f t="shared" si="2521"/>
        <v>0</v>
      </c>
      <c r="AJ1028" s="264">
        <f t="shared" si="2514"/>
        <v>0</v>
      </c>
      <c r="AK1028" s="264">
        <f t="shared" si="2515"/>
        <v>0</v>
      </c>
      <c r="AL1028" s="264">
        <f t="shared" si="2516"/>
        <v>0</v>
      </c>
      <c r="AM1028" s="264">
        <f t="shared" si="2517"/>
        <v>0</v>
      </c>
      <c r="AN1028" s="640">
        <f t="shared" si="2506"/>
        <v>0</v>
      </c>
      <c r="AO1028" s="264">
        <f t="shared" si="2518"/>
        <v>0</v>
      </c>
      <c r="AP1028" s="640">
        <f t="shared" si="2500"/>
        <v>0</v>
      </c>
      <c r="AQ1028" s="264"/>
      <c r="AR1028" s="264" t="str">
        <f>VLOOKUP($I1028,TableInputsData[],ReadMe!$M$3,FALSE)&amp;"  |  "&amp;VLOOKUP($K1028,TableInputsData[],ReadMe!$M$3,FALSE)</f>
        <v>SERVICE 05  |  CHIFFRE D'AFFAIRES</v>
      </c>
      <c r="AS1028" s="264" t="b">
        <f t="shared" si="2519"/>
        <v>1</v>
      </c>
      <c r="AT1028" s="294"/>
    </row>
    <row r="1029" spans="1:46" ht="13" hidden="1" x14ac:dyDescent="0.2">
      <c r="A1029" s="294"/>
      <c r="B1029" s="924"/>
      <c r="C1029" s="271">
        <v>1022</v>
      </c>
      <c r="D1029" s="250">
        <f t="shared" si="2507"/>
        <v>0</v>
      </c>
      <c r="E1029" s="250"/>
      <c r="F1029" s="248" t="str">
        <f t="shared" si="2512"/>
        <v>YEAR3</v>
      </c>
      <c r="G1029" s="250">
        <f>VLOOKUP(F1029,TableInputsData[],$G$6,FALSE)</f>
        <v>2027</v>
      </c>
      <c r="H1029" s="250" t="str">
        <f t="shared" si="2508"/>
        <v>SERVICE</v>
      </c>
      <c r="I1029" s="248" t="str">
        <f t="shared" si="2508"/>
        <v>SERVICE 05</v>
      </c>
      <c r="J1029" s="248" t="str">
        <f>VLOOKUP(I1029,TableInputsData[],$J$6,FALSE)</f>
        <v>-</v>
      </c>
      <c r="K1029" s="248" t="str">
        <f t="shared" si="2522"/>
        <v>REVENUE</v>
      </c>
      <c r="L1029" s="255"/>
      <c r="M1029" s="255"/>
      <c r="N1029" s="255"/>
      <c r="O1029" s="265"/>
      <c r="P1029" s="260"/>
      <c r="Q1029" s="260"/>
      <c r="R1029" s="260"/>
      <c r="S1029" s="630"/>
      <c r="T1029" s="630"/>
      <c r="U1029" s="630"/>
      <c r="V1029" s="630"/>
      <c r="W1029" s="260"/>
      <c r="X1029" s="260"/>
      <c r="Y1029" s="260"/>
      <c r="Z1029" s="260"/>
      <c r="AA1029" s="260"/>
      <c r="AB1029" s="260"/>
      <c r="AC1029" s="265"/>
      <c r="AD1029" s="634"/>
      <c r="AE1029" s="264">
        <f t="shared" ref="AE1029:AH1029" si="2525">AE1021*($L1021*$P1021+$M1021*$Q1021+$N1021*$R1021)</f>
        <v>0</v>
      </c>
      <c r="AF1029" s="264">
        <f t="shared" si="2525"/>
        <v>0</v>
      </c>
      <c r="AG1029" s="264">
        <f t="shared" si="2525"/>
        <v>0</v>
      </c>
      <c r="AH1029" s="264">
        <f t="shared" si="2525"/>
        <v>0</v>
      </c>
      <c r="AI1029" s="264">
        <f t="shared" si="2521"/>
        <v>0</v>
      </c>
      <c r="AJ1029" s="264">
        <f t="shared" si="2514"/>
        <v>0</v>
      </c>
      <c r="AK1029" s="264">
        <f t="shared" si="2515"/>
        <v>0</v>
      </c>
      <c r="AL1029" s="264">
        <f t="shared" si="2516"/>
        <v>0</v>
      </c>
      <c r="AM1029" s="264">
        <f t="shared" si="2517"/>
        <v>0</v>
      </c>
      <c r="AN1029" s="640">
        <f t="shared" si="2506"/>
        <v>0</v>
      </c>
      <c r="AO1029" s="264">
        <f t="shared" si="2518"/>
        <v>0</v>
      </c>
      <c r="AP1029" s="640">
        <f t="shared" si="2500"/>
        <v>0</v>
      </c>
      <c r="AQ1029" s="264"/>
      <c r="AR1029" s="264" t="str">
        <f>VLOOKUP($I1029,TableInputsData[],ReadMe!$M$3,FALSE)&amp;"  |  "&amp;VLOOKUP($K1029,TableInputsData[],ReadMe!$M$3,FALSE)</f>
        <v>SERVICE 05  |  CHIFFRE D'AFFAIRES</v>
      </c>
      <c r="AS1029" s="264" t="b">
        <f t="shared" si="2519"/>
        <v>1</v>
      </c>
      <c r="AT1029" s="294"/>
    </row>
    <row r="1030" spans="1:46" ht="13" hidden="1" x14ac:dyDescent="0.2">
      <c r="A1030" s="294"/>
      <c r="B1030" s="924"/>
      <c r="C1030" s="271">
        <v>1023</v>
      </c>
      <c r="D1030" s="250">
        <f t="shared" si="2507"/>
        <v>0</v>
      </c>
      <c r="E1030" s="250"/>
      <c r="F1030" s="248" t="str">
        <f t="shared" si="2512"/>
        <v>YEAR4</v>
      </c>
      <c r="G1030" s="250">
        <f>VLOOKUP(F1030,TableInputsData[],$G$6,FALSE)</f>
        <v>2028</v>
      </c>
      <c r="H1030" s="250" t="str">
        <f t="shared" si="2508"/>
        <v>SERVICE</v>
      </c>
      <c r="I1030" s="248" t="str">
        <f t="shared" si="2508"/>
        <v>SERVICE 05</v>
      </c>
      <c r="J1030" s="248" t="str">
        <f>VLOOKUP(I1030,TableInputsData[],$J$6,FALSE)</f>
        <v>-</v>
      </c>
      <c r="K1030" s="248" t="str">
        <f t="shared" si="2522"/>
        <v>REVENUE</v>
      </c>
      <c r="L1030" s="255"/>
      <c r="M1030" s="255"/>
      <c r="N1030" s="255"/>
      <c r="O1030" s="265"/>
      <c r="P1030" s="260"/>
      <c r="Q1030" s="260"/>
      <c r="R1030" s="260"/>
      <c r="S1030" s="630"/>
      <c r="T1030" s="630"/>
      <c r="U1030" s="630"/>
      <c r="V1030" s="630"/>
      <c r="W1030" s="260"/>
      <c r="X1030" s="260"/>
      <c r="Y1030" s="260"/>
      <c r="Z1030" s="260"/>
      <c r="AA1030" s="260"/>
      <c r="AB1030" s="260"/>
      <c r="AC1030" s="265"/>
      <c r="AD1030" s="634"/>
      <c r="AE1030" s="264">
        <f t="shared" ref="AE1030:AH1030" si="2526">AE1022*($L1022*$P1022+$M1022*$Q1022+$N1022*$R1022)</f>
        <v>0</v>
      </c>
      <c r="AF1030" s="264">
        <f t="shared" si="2526"/>
        <v>0</v>
      </c>
      <c r="AG1030" s="264">
        <f t="shared" si="2526"/>
        <v>0</v>
      </c>
      <c r="AH1030" s="264">
        <f t="shared" si="2526"/>
        <v>0</v>
      </c>
      <c r="AI1030" s="264">
        <f t="shared" si="2521"/>
        <v>0</v>
      </c>
      <c r="AJ1030" s="264">
        <f t="shared" si="2514"/>
        <v>0</v>
      </c>
      <c r="AK1030" s="264">
        <f t="shared" si="2515"/>
        <v>0</v>
      </c>
      <c r="AL1030" s="264">
        <f t="shared" si="2516"/>
        <v>0</v>
      </c>
      <c r="AM1030" s="264">
        <f t="shared" si="2517"/>
        <v>0</v>
      </c>
      <c r="AN1030" s="640">
        <f t="shared" si="2506"/>
        <v>0</v>
      </c>
      <c r="AO1030" s="264">
        <f t="shared" si="2518"/>
        <v>0</v>
      </c>
      <c r="AP1030" s="640">
        <f t="shared" si="2500"/>
        <v>0</v>
      </c>
      <c r="AQ1030" s="264"/>
      <c r="AR1030" s="264" t="str">
        <f>VLOOKUP($I1030,TableInputsData[],ReadMe!$M$3,FALSE)&amp;"  |  "&amp;VLOOKUP($K1030,TableInputsData[],ReadMe!$M$3,FALSE)</f>
        <v>SERVICE 05  |  CHIFFRE D'AFFAIRES</v>
      </c>
      <c r="AS1030" s="264" t="b">
        <f t="shared" si="2519"/>
        <v>1</v>
      </c>
      <c r="AT1030" s="294"/>
    </row>
    <row r="1031" spans="1:46" ht="13" hidden="1" x14ac:dyDescent="0.2">
      <c r="A1031" s="294"/>
      <c r="B1031" s="924"/>
      <c r="C1031" s="271">
        <v>1024</v>
      </c>
      <c r="D1031" s="250">
        <f t="shared" si="2507"/>
        <v>0</v>
      </c>
      <c r="E1031" s="250"/>
      <c r="F1031" s="248" t="str">
        <f t="shared" si="2512"/>
        <v>YEAR5</v>
      </c>
      <c r="G1031" s="250">
        <f>VLOOKUP(F1031,TableInputsData[],$G$6,FALSE)</f>
        <v>2029</v>
      </c>
      <c r="H1031" s="250" t="str">
        <f t="shared" si="2508"/>
        <v>SERVICE</v>
      </c>
      <c r="I1031" s="248" t="str">
        <f t="shared" si="2508"/>
        <v>SERVICE 05</v>
      </c>
      <c r="J1031" s="248" t="str">
        <f>VLOOKUP(I1031,TableInputsData[],$J$6,FALSE)</f>
        <v>-</v>
      </c>
      <c r="K1031" s="248" t="str">
        <f t="shared" si="2522"/>
        <v>REVENUE</v>
      </c>
      <c r="L1031" s="255"/>
      <c r="M1031" s="255"/>
      <c r="N1031" s="255"/>
      <c r="O1031" s="265"/>
      <c r="P1031" s="260"/>
      <c r="Q1031" s="260"/>
      <c r="R1031" s="260"/>
      <c r="S1031" s="630"/>
      <c r="T1031" s="630"/>
      <c r="U1031" s="630"/>
      <c r="V1031" s="630"/>
      <c r="W1031" s="260"/>
      <c r="X1031" s="260"/>
      <c r="Y1031" s="260"/>
      <c r="Z1031" s="260"/>
      <c r="AA1031" s="260"/>
      <c r="AB1031" s="260"/>
      <c r="AC1031" s="265"/>
      <c r="AD1031" s="634"/>
      <c r="AE1031" s="264">
        <f t="shared" ref="AE1031:AH1031" si="2527">AE1023*($L1023*$P1023+$M1023*$Q1023+$N1023*$R1023)</f>
        <v>0</v>
      </c>
      <c r="AF1031" s="264">
        <f t="shared" si="2527"/>
        <v>0</v>
      </c>
      <c r="AG1031" s="264">
        <f t="shared" si="2527"/>
        <v>0</v>
      </c>
      <c r="AH1031" s="264">
        <f t="shared" si="2527"/>
        <v>0</v>
      </c>
      <c r="AI1031" s="264">
        <f t="shared" si="2521"/>
        <v>0</v>
      </c>
      <c r="AJ1031" s="264">
        <f t="shared" si="2514"/>
        <v>0</v>
      </c>
      <c r="AK1031" s="264">
        <f t="shared" si="2515"/>
        <v>0</v>
      </c>
      <c r="AL1031" s="264">
        <f t="shared" si="2516"/>
        <v>0</v>
      </c>
      <c r="AM1031" s="264">
        <f t="shared" si="2517"/>
        <v>0</v>
      </c>
      <c r="AN1031" s="640">
        <f t="shared" si="2506"/>
        <v>0</v>
      </c>
      <c r="AO1031" s="264">
        <f t="shared" si="2518"/>
        <v>0</v>
      </c>
      <c r="AP1031" s="640">
        <f t="shared" si="2500"/>
        <v>0</v>
      </c>
      <c r="AQ1031" s="264"/>
      <c r="AR1031" s="264" t="str">
        <f>VLOOKUP($I1031,TableInputsData[],ReadMe!$M$3,FALSE)&amp;"  |  "&amp;VLOOKUP($K1031,TableInputsData[],ReadMe!$M$3,FALSE)</f>
        <v>SERVICE 05  |  CHIFFRE D'AFFAIRES</v>
      </c>
      <c r="AS1031" s="264" t="b">
        <f t="shared" si="2519"/>
        <v>1</v>
      </c>
      <c r="AT1031" s="294"/>
    </row>
    <row r="1032" spans="1:46" ht="13" hidden="1" x14ac:dyDescent="0.2">
      <c r="A1032" s="294"/>
      <c r="B1032" s="924"/>
      <c r="C1032" s="271">
        <v>1025</v>
      </c>
      <c r="D1032" s="250">
        <f t="shared" si="2507"/>
        <v>0</v>
      </c>
      <c r="E1032" s="250"/>
      <c r="F1032" s="248" t="str">
        <f t="shared" si="2512"/>
        <v>YEAR6</v>
      </c>
      <c r="G1032" s="250">
        <f>VLOOKUP(F1032,TableInputsData[],$G$6,FALSE)</f>
        <v>2030</v>
      </c>
      <c r="H1032" s="250" t="str">
        <f t="shared" si="2508"/>
        <v>SERVICE</v>
      </c>
      <c r="I1032" s="248" t="str">
        <f t="shared" si="2508"/>
        <v>SERVICE 05</v>
      </c>
      <c r="J1032" s="248" t="str">
        <f>VLOOKUP(I1032,TableInputsData[],$J$6,FALSE)</f>
        <v>-</v>
      </c>
      <c r="K1032" s="248" t="str">
        <f t="shared" si="2522"/>
        <v>REVENUE</v>
      </c>
      <c r="L1032" s="255"/>
      <c r="M1032" s="255"/>
      <c r="N1032" s="255"/>
      <c r="O1032" s="265"/>
      <c r="P1032" s="260"/>
      <c r="Q1032" s="260"/>
      <c r="R1032" s="260"/>
      <c r="S1032" s="630"/>
      <c r="T1032" s="630"/>
      <c r="U1032" s="630"/>
      <c r="V1032" s="630"/>
      <c r="W1032" s="260"/>
      <c r="X1032" s="260"/>
      <c r="Y1032" s="260"/>
      <c r="Z1032" s="260"/>
      <c r="AA1032" s="260"/>
      <c r="AB1032" s="260"/>
      <c r="AC1032" s="265"/>
      <c r="AD1032" s="634"/>
      <c r="AE1032" s="264">
        <f t="shared" ref="AE1032:AH1032" si="2528">AE1024*($L1024*$P1024+$M1024*$Q1024+$N1024*$R1024)</f>
        <v>0</v>
      </c>
      <c r="AF1032" s="264">
        <f t="shared" si="2528"/>
        <v>0</v>
      </c>
      <c r="AG1032" s="264">
        <f t="shared" si="2528"/>
        <v>0</v>
      </c>
      <c r="AH1032" s="264">
        <f t="shared" si="2528"/>
        <v>0</v>
      </c>
      <c r="AI1032" s="264">
        <f>$AE1032+$AF1032+$AG1032+$AH1032</f>
        <v>0</v>
      </c>
      <c r="AJ1032" s="264">
        <f t="shared" si="2514"/>
        <v>0</v>
      </c>
      <c r="AK1032" s="264">
        <f t="shared" si="2515"/>
        <v>0</v>
      </c>
      <c r="AL1032" s="264">
        <f t="shared" si="2516"/>
        <v>0</v>
      </c>
      <c r="AM1032" s="264">
        <f t="shared" si="2517"/>
        <v>0</v>
      </c>
      <c r="AN1032" s="640">
        <f t="shared" si="2506"/>
        <v>0</v>
      </c>
      <c r="AO1032" s="264">
        <f t="shared" si="2518"/>
        <v>0</v>
      </c>
      <c r="AP1032" s="640">
        <f t="shared" si="2500"/>
        <v>0</v>
      </c>
      <c r="AQ1032" s="264"/>
      <c r="AR1032" s="264" t="str">
        <f>VLOOKUP($I1032,TableInputsData[],ReadMe!$M$3,FALSE)&amp;"  |  "&amp;VLOOKUP($K1032,TableInputsData[],ReadMe!$M$3,FALSE)</f>
        <v>SERVICE 05  |  CHIFFRE D'AFFAIRES</v>
      </c>
      <c r="AS1032" s="264" t="b">
        <f t="shared" si="2519"/>
        <v>1</v>
      </c>
      <c r="AT1032" s="294"/>
    </row>
    <row r="1033" spans="1:46" ht="13" hidden="1" x14ac:dyDescent="0.2">
      <c r="A1033" s="294"/>
      <c r="B1033" s="924"/>
      <c r="C1033" s="271">
        <v>1026</v>
      </c>
      <c r="D1033" s="250">
        <f t="shared" si="2507"/>
        <v>0</v>
      </c>
      <c r="E1033" s="250"/>
      <c r="F1033" s="248" t="str">
        <f t="shared" ref="F1033:F1040" si="2529">F1017</f>
        <v>YEAR-2</v>
      </c>
      <c r="G1033" s="250">
        <f>VLOOKUP(F1033,TableInputsData[],$G$6,FALSE)</f>
        <v>2023</v>
      </c>
      <c r="H1033" s="250" t="str">
        <f t="shared" si="2508"/>
        <v>SERVICE</v>
      </c>
      <c r="I1033" s="248" t="str">
        <f t="shared" si="2508"/>
        <v>SERVICE 05</v>
      </c>
      <c r="J1033" s="248" t="str">
        <f>VLOOKUP(I1033,TableInputsData[],$J$6,FALSE)</f>
        <v>-</v>
      </c>
      <c r="K1033" s="248" t="s">
        <v>456</v>
      </c>
      <c r="L1033" s="255"/>
      <c r="M1033" s="255"/>
      <c r="N1033" s="255"/>
      <c r="O1033" s="265"/>
      <c r="P1033" s="260"/>
      <c r="Q1033" s="260"/>
      <c r="R1033" s="260"/>
      <c r="S1033" s="630"/>
      <c r="T1033" s="630"/>
      <c r="U1033" s="630"/>
      <c r="V1033" s="630"/>
      <c r="W1033" s="260"/>
      <c r="X1033" s="260"/>
      <c r="Y1033" s="260"/>
      <c r="Z1033" s="260"/>
      <c r="AA1033" s="260"/>
      <c r="AB1033" s="260"/>
      <c r="AC1033" s="265"/>
      <c r="AD1033" s="634"/>
      <c r="AE1033" s="264">
        <f>IF(AE1017=0,0,AE1025/AE1017)</f>
        <v>0</v>
      </c>
      <c r="AF1033" s="264">
        <f t="shared" ref="AF1033:AI1033" si="2530">IF(AF1017=0,0,AF1025/AF1017)</f>
        <v>0</v>
      </c>
      <c r="AG1033" s="264">
        <f t="shared" si="2530"/>
        <v>0</v>
      </c>
      <c r="AH1033" s="264">
        <f t="shared" si="2530"/>
        <v>0</v>
      </c>
      <c r="AI1033" s="264">
        <f t="shared" si="2530"/>
        <v>0</v>
      </c>
      <c r="AJ1033" s="264">
        <f>IF(AJ1017=0,0,AJ1025/AJ1017)</f>
        <v>0</v>
      </c>
      <c r="AK1033" s="264">
        <f t="shared" ref="AK1033:AL1033" si="2531">IF(AK1017=0,0,AK1025/AK1017)</f>
        <v>0</v>
      </c>
      <c r="AL1033" s="264">
        <f t="shared" si="2531"/>
        <v>0</v>
      </c>
      <c r="AM1033" s="264">
        <f>IF(AM1017=0,0,AM1025/AM1017)</f>
        <v>0</v>
      </c>
      <c r="AN1033" s="260"/>
      <c r="AO1033" s="264">
        <f t="shared" ref="AO1033" si="2532">IF(AO1017=0,0,AO1025/AO1017)</f>
        <v>0</v>
      </c>
      <c r="AP1033" s="260"/>
      <c r="AQ1033" s="264"/>
      <c r="AR1033" s="264" t="str">
        <f>VLOOKUP($I1033,TableInputsData[],ReadMe!$M$3,FALSE)&amp;"  |  "&amp;VLOOKUP($K1033,TableInputsData[],ReadMe!$M$3,FALSE)</f>
        <v>SERVICE 05  |  PRIX MOYEN DE VENTE PAR PRODUIT/SERVICE</v>
      </c>
      <c r="AS1033" s="264"/>
      <c r="AT1033" s="294"/>
    </row>
    <row r="1034" spans="1:46" ht="13" hidden="1" x14ac:dyDescent="0.2">
      <c r="A1034" s="294"/>
      <c r="B1034" s="924"/>
      <c r="C1034" s="271">
        <v>1027</v>
      </c>
      <c r="D1034" s="250">
        <f t="shared" si="2507"/>
        <v>0</v>
      </c>
      <c r="E1034" s="250"/>
      <c r="F1034" s="248" t="str">
        <f t="shared" si="2529"/>
        <v>YEAR-1</v>
      </c>
      <c r="G1034" s="250">
        <f>VLOOKUP(F1034,TableInputsData[],$G$6,FALSE)</f>
        <v>2024</v>
      </c>
      <c r="H1034" s="250" t="str">
        <f t="shared" si="2508"/>
        <v>SERVICE</v>
      </c>
      <c r="I1034" s="248" t="str">
        <f t="shared" si="2508"/>
        <v>SERVICE 05</v>
      </c>
      <c r="J1034" s="248" t="str">
        <f>VLOOKUP(I1034,TableInputsData[],$J$6,FALSE)</f>
        <v>-</v>
      </c>
      <c r="K1034" s="248" t="str">
        <f>K1033</f>
        <v>AVERAGE SELLING PRICE PER UNIT</v>
      </c>
      <c r="L1034" s="255"/>
      <c r="M1034" s="255"/>
      <c r="N1034" s="255"/>
      <c r="O1034" s="265"/>
      <c r="P1034" s="260"/>
      <c r="Q1034" s="260"/>
      <c r="R1034" s="260"/>
      <c r="S1034" s="630"/>
      <c r="T1034" s="630"/>
      <c r="U1034" s="630"/>
      <c r="V1034" s="630"/>
      <c r="W1034" s="260"/>
      <c r="X1034" s="260"/>
      <c r="Y1034" s="260"/>
      <c r="Z1034" s="260"/>
      <c r="AA1034" s="260"/>
      <c r="AB1034" s="260"/>
      <c r="AC1034" s="265"/>
      <c r="AD1034" s="634"/>
      <c r="AE1034" s="264">
        <f>IF(AE1018=0,0,AE1026/AE1018)</f>
        <v>0</v>
      </c>
      <c r="AF1034" s="264">
        <f t="shared" ref="AF1034:AM1034" si="2533">IF(AF1018=0,0,AF1026/AF1018)</f>
        <v>0</v>
      </c>
      <c r="AG1034" s="264">
        <f t="shared" si="2533"/>
        <v>0</v>
      </c>
      <c r="AH1034" s="264">
        <f t="shared" si="2533"/>
        <v>0</v>
      </c>
      <c r="AI1034" s="264">
        <f t="shared" si="2533"/>
        <v>0</v>
      </c>
      <c r="AJ1034" s="264">
        <f t="shared" si="2533"/>
        <v>0</v>
      </c>
      <c r="AK1034" s="264">
        <f t="shared" si="2533"/>
        <v>0</v>
      </c>
      <c r="AL1034" s="264">
        <f t="shared" si="2533"/>
        <v>0</v>
      </c>
      <c r="AM1034" s="264">
        <f t="shared" si="2533"/>
        <v>0</v>
      </c>
      <c r="AN1034" s="260"/>
      <c r="AO1034" s="264">
        <f t="shared" ref="AO1034" si="2534">IF(AO1018=0,0,AO1026/AO1018)</f>
        <v>0</v>
      </c>
      <c r="AP1034" s="260"/>
      <c r="AQ1034" s="264"/>
      <c r="AR1034" s="264" t="str">
        <f>VLOOKUP($I1034,TableInputsData[],ReadMe!$M$3,FALSE)&amp;"  |  "&amp;VLOOKUP($K1034,TableInputsData[],ReadMe!$M$3,FALSE)</f>
        <v>SERVICE 05  |  PRIX MOYEN DE VENTE PAR PRODUIT/SERVICE</v>
      </c>
      <c r="AS1034" s="264"/>
      <c r="AT1034" s="294"/>
    </row>
    <row r="1035" spans="1:46" ht="13" hidden="1" x14ac:dyDescent="0.2">
      <c r="A1035" s="294"/>
      <c r="B1035" s="924"/>
      <c r="C1035" s="271">
        <v>1028</v>
      </c>
      <c r="D1035" s="250">
        <f t="shared" si="2507"/>
        <v>0</v>
      </c>
      <c r="E1035" s="250"/>
      <c r="F1035" s="248" t="str">
        <f t="shared" si="2529"/>
        <v>CURRENT YEAR</v>
      </c>
      <c r="G1035" s="250">
        <f>VLOOKUP(F1035,TableInputsData[],$G$6,FALSE)</f>
        <v>2025</v>
      </c>
      <c r="H1035" s="250" t="str">
        <f t="shared" si="2508"/>
        <v>SERVICE</v>
      </c>
      <c r="I1035" s="248" t="str">
        <f t="shared" si="2508"/>
        <v>SERVICE 05</v>
      </c>
      <c r="J1035" s="248" t="str">
        <f>VLOOKUP(I1035,TableInputsData[],$J$6,FALSE)</f>
        <v>-</v>
      </c>
      <c r="K1035" s="248" t="str">
        <f t="shared" ref="K1035:K1040" si="2535">K1034</f>
        <v>AVERAGE SELLING PRICE PER UNIT</v>
      </c>
      <c r="L1035" s="255"/>
      <c r="M1035" s="255"/>
      <c r="N1035" s="255"/>
      <c r="O1035" s="265"/>
      <c r="P1035" s="260"/>
      <c r="Q1035" s="260"/>
      <c r="R1035" s="260"/>
      <c r="S1035" s="630"/>
      <c r="T1035" s="630"/>
      <c r="U1035" s="630"/>
      <c r="V1035" s="630"/>
      <c r="W1035" s="260"/>
      <c r="X1035" s="260"/>
      <c r="Y1035" s="260"/>
      <c r="Z1035" s="260"/>
      <c r="AA1035" s="260"/>
      <c r="AB1035" s="260"/>
      <c r="AC1035" s="265"/>
      <c r="AD1035" s="634"/>
      <c r="AE1035" s="264">
        <f>IF(AE1019=0,0,AE1027/AE1019)</f>
        <v>0</v>
      </c>
      <c r="AF1035" s="264">
        <f t="shared" ref="AF1035:AM1035" si="2536">IF(AF1019=0,0,AF1027/AF1019)</f>
        <v>0</v>
      </c>
      <c r="AG1035" s="264">
        <f t="shared" si="2536"/>
        <v>0</v>
      </c>
      <c r="AH1035" s="264">
        <f t="shared" si="2536"/>
        <v>0</v>
      </c>
      <c r="AI1035" s="264">
        <f t="shared" si="2536"/>
        <v>0</v>
      </c>
      <c r="AJ1035" s="264">
        <f t="shared" si="2536"/>
        <v>0</v>
      </c>
      <c r="AK1035" s="264">
        <f t="shared" si="2536"/>
        <v>0</v>
      </c>
      <c r="AL1035" s="264">
        <f t="shared" si="2536"/>
        <v>0</v>
      </c>
      <c r="AM1035" s="264">
        <f t="shared" si="2536"/>
        <v>0</v>
      </c>
      <c r="AN1035" s="260"/>
      <c r="AO1035" s="264">
        <f t="shared" ref="AO1035" si="2537">IF(AO1019=0,0,AO1027/AO1019)</f>
        <v>0</v>
      </c>
      <c r="AP1035" s="260"/>
      <c r="AQ1035" s="264"/>
      <c r="AR1035" s="264" t="str">
        <f>VLOOKUP($I1035,TableInputsData[],ReadMe!$M$3,FALSE)&amp;"  |  "&amp;VLOOKUP($K1035,TableInputsData[],ReadMe!$M$3,FALSE)</f>
        <v>SERVICE 05  |  PRIX MOYEN DE VENTE PAR PRODUIT/SERVICE</v>
      </c>
      <c r="AS1035" s="264"/>
      <c r="AT1035" s="294"/>
    </row>
    <row r="1036" spans="1:46" ht="13" hidden="1" x14ac:dyDescent="0.2">
      <c r="A1036" s="294"/>
      <c r="B1036" s="924"/>
      <c r="C1036" s="271">
        <v>1029</v>
      </c>
      <c r="D1036" s="250">
        <f t="shared" si="2507"/>
        <v>0</v>
      </c>
      <c r="E1036" s="250"/>
      <c r="F1036" s="248" t="str">
        <f t="shared" si="2529"/>
        <v>YEAR2</v>
      </c>
      <c r="G1036" s="250">
        <f>VLOOKUP(F1036,TableInputsData[],$G$6,FALSE)</f>
        <v>2026</v>
      </c>
      <c r="H1036" s="250" t="str">
        <f t="shared" si="2508"/>
        <v>SERVICE</v>
      </c>
      <c r="I1036" s="248" t="str">
        <f t="shared" si="2508"/>
        <v>SERVICE 05</v>
      </c>
      <c r="J1036" s="248" t="str">
        <f>VLOOKUP(I1036,TableInputsData[],$J$6,FALSE)</f>
        <v>-</v>
      </c>
      <c r="K1036" s="248" t="str">
        <f t="shared" si="2535"/>
        <v>AVERAGE SELLING PRICE PER UNIT</v>
      </c>
      <c r="L1036" s="255"/>
      <c r="M1036" s="255"/>
      <c r="N1036" s="255"/>
      <c r="O1036" s="265"/>
      <c r="P1036" s="260"/>
      <c r="Q1036" s="260"/>
      <c r="R1036" s="260"/>
      <c r="S1036" s="630"/>
      <c r="T1036" s="630"/>
      <c r="U1036" s="630"/>
      <c r="V1036" s="630"/>
      <c r="W1036" s="260"/>
      <c r="X1036" s="260"/>
      <c r="Y1036" s="260"/>
      <c r="Z1036" s="260"/>
      <c r="AA1036" s="260"/>
      <c r="AB1036" s="260"/>
      <c r="AC1036" s="265"/>
      <c r="AD1036" s="634"/>
      <c r="AE1036" s="264">
        <f>IF(AE1020=0,0,AE1028/AE1020)</f>
        <v>0</v>
      </c>
      <c r="AF1036" s="264">
        <f t="shared" ref="AF1036:AM1036" si="2538">IF(AF1020=0,0,AF1028/AF1020)</f>
        <v>0</v>
      </c>
      <c r="AG1036" s="264">
        <f t="shared" si="2538"/>
        <v>0</v>
      </c>
      <c r="AH1036" s="264">
        <f t="shared" si="2538"/>
        <v>0</v>
      </c>
      <c r="AI1036" s="264">
        <f t="shared" si="2538"/>
        <v>0</v>
      </c>
      <c r="AJ1036" s="264">
        <f t="shared" si="2538"/>
        <v>0</v>
      </c>
      <c r="AK1036" s="264">
        <f t="shared" si="2538"/>
        <v>0</v>
      </c>
      <c r="AL1036" s="264">
        <f t="shared" si="2538"/>
        <v>0</v>
      </c>
      <c r="AM1036" s="264">
        <f t="shared" si="2538"/>
        <v>0</v>
      </c>
      <c r="AN1036" s="260"/>
      <c r="AO1036" s="264">
        <f t="shared" ref="AO1036" si="2539">IF(AO1020=0,0,AO1028/AO1020)</f>
        <v>0</v>
      </c>
      <c r="AP1036" s="260"/>
      <c r="AQ1036" s="264"/>
      <c r="AR1036" s="264" t="str">
        <f>VLOOKUP($I1036,TableInputsData[],ReadMe!$M$3,FALSE)&amp;"  |  "&amp;VLOOKUP($K1036,TableInputsData[],ReadMe!$M$3,FALSE)</f>
        <v>SERVICE 05  |  PRIX MOYEN DE VENTE PAR PRODUIT/SERVICE</v>
      </c>
      <c r="AS1036" s="264"/>
      <c r="AT1036" s="294"/>
    </row>
    <row r="1037" spans="1:46" ht="13" hidden="1" x14ac:dyDescent="0.2">
      <c r="A1037" s="294"/>
      <c r="B1037" s="924"/>
      <c r="C1037" s="271">
        <v>1030</v>
      </c>
      <c r="D1037" s="250">
        <f t="shared" si="2507"/>
        <v>0</v>
      </c>
      <c r="E1037" s="250"/>
      <c r="F1037" s="248" t="str">
        <f t="shared" si="2529"/>
        <v>YEAR3</v>
      </c>
      <c r="G1037" s="250">
        <f>VLOOKUP(F1037,TableInputsData[],$G$6,FALSE)</f>
        <v>2027</v>
      </c>
      <c r="H1037" s="250" t="str">
        <f t="shared" si="2508"/>
        <v>SERVICE</v>
      </c>
      <c r="I1037" s="248" t="str">
        <f t="shared" si="2508"/>
        <v>SERVICE 05</v>
      </c>
      <c r="J1037" s="248" t="str">
        <f>VLOOKUP(I1037,TableInputsData[],$J$6,FALSE)</f>
        <v>-</v>
      </c>
      <c r="K1037" s="248" t="str">
        <f t="shared" si="2535"/>
        <v>AVERAGE SELLING PRICE PER UNIT</v>
      </c>
      <c r="L1037" s="255"/>
      <c r="M1037" s="255"/>
      <c r="N1037" s="255"/>
      <c r="O1037" s="265"/>
      <c r="P1037" s="260"/>
      <c r="Q1037" s="260"/>
      <c r="R1037" s="260"/>
      <c r="S1037" s="630"/>
      <c r="T1037" s="630"/>
      <c r="U1037" s="630"/>
      <c r="V1037" s="630"/>
      <c r="W1037" s="260"/>
      <c r="X1037" s="260"/>
      <c r="Y1037" s="260"/>
      <c r="Z1037" s="260"/>
      <c r="AA1037" s="260"/>
      <c r="AB1037" s="260"/>
      <c r="AC1037" s="265"/>
      <c r="AD1037" s="634"/>
      <c r="AE1037" s="264">
        <f t="shared" ref="AE1037:AM1037" si="2540">IF(AE1021=0,0,AE1029/AE1021)</f>
        <v>0</v>
      </c>
      <c r="AF1037" s="264">
        <f t="shared" si="2540"/>
        <v>0</v>
      </c>
      <c r="AG1037" s="264">
        <f t="shared" si="2540"/>
        <v>0</v>
      </c>
      <c r="AH1037" s="264">
        <f t="shared" si="2540"/>
        <v>0</v>
      </c>
      <c r="AI1037" s="264">
        <f t="shared" si="2540"/>
        <v>0</v>
      </c>
      <c r="AJ1037" s="264">
        <f t="shared" si="2540"/>
        <v>0</v>
      </c>
      <c r="AK1037" s="264">
        <f t="shared" si="2540"/>
        <v>0</v>
      </c>
      <c r="AL1037" s="264">
        <f t="shared" si="2540"/>
        <v>0</v>
      </c>
      <c r="AM1037" s="264">
        <f t="shared" si="2540"/>
        <v>0</v>
      </c>
      <c r="AN1037" s="260"/>
      <c r="AO1037" s="264">
        <f t="shared" ref="AO1037" si="2541">IF(AO1021=0,0,AO1029/AO1021)</f>
        <v>0</v>
      </c>
      <c r="AP1037" s="260"/>
      <c r="AQ1037" s="264"/>
      <c r="AR1037" s="264" t="str">
        <f>VLOOKUP($I1037,TableInputsData[],ReadMe!$M$3,FALSE)&amp;"  |  "&amp;VLOOKUP($K1037,TableInputsData[],ReadMe!$M$3,FALSE)</f>
        <v>SERVICE 05  |  PRIX MOYEN DE VENTE PAR PRODUIT/SERVICE</v>
      </c>
      <c r="AS1037" s="264"/>
      <c r="AT1037" s="294"/>
    </row>
    <row r="1038" spans="1:46" ht="13" hidden="1" x14ac:dyDescent="0.2">
      <c r="A1038" s="294"/>
      <c r="B1038" s="924"/>
      <c r="C1038" s="272">
        <v>1031</v>
      </c>
      <c r="D1038" s="250">
        <f t="shared" si="2507"/>
        <v>0</v>
      </c>
      <c r="E1038" s="251"/>
      <c r="F1038" s="248" t="str">
        <f t="shared" si="2529"/>
        <v>YEAR4</v>
      </c>
      <c r="G1038" s="250">
        <f>VLOOKUP(F1038,TableInputsData[],$G$6,FALSE)</f>
        <v>2028</v>
      </c>
      <c r="H1038" s="250" t="str">
        <f t="shared" si="2508"/>
        <v>SERVICE</v>
      </c>
      <c r="I1038" s="248" t="str">
        <f t="shared" si="2508"/>
        <v>SERVICE 05</v>
      </c>
      <c r="J1038" s="248" t="str">
        <f>VLOOKUP(I1038,TableInputsData[],$J$6,FALSE)</f>
        <v>-</v>
      </c>
      <c r="K1038" s="248" t="str">
        <f t="shared" si="2535"/>
        <v>AVERAGE SELLING PRICE PER UNIT</v>
      </c>
      <c r="L1038" s="256"/>
      <c r="M1038" s="256"/>
      <c r="N1038" s="256"/>
      <c r="O1038" s="266"/>
      <c r="P1038" s="261"/>
      <c r="Q1038" s="261"/>
      <c r="R1038" s="261"/>
      <c r="S1038" s="629"/>
      <c r="T1038" s="629"/>
      <c r="U1038" s="629"/>
      <c r="V1038" s="629"/>
      <c r="W1038" s="261"/>
      <c r="X1038" s="261"/>
      <c r="Y1038" s="261"/>
      <c r="Z1038" s="261"/>
      <c r="AA1038" s="261"/>
      <c r="AB1038" s="261"/>
      <c r="AC1038" s="266"/>
      <c r="AD1038" s="633"/>
      <c r="AE1038" s="264">
        <f t="shared" ref="AE1038:AM1038" si="2542">IF(AE1022=0,0,AE1030/AE1022)</f>
        <v>0</v>
      </c>
      <c r="AF1038" s="264">
        <f t="shared" si="2542"/>
        <v>0</v>
      </c>
      <c r="AG1038" s="264">
        <f t="shared" si="2542"/>
        <v>0</v>
      </c>
      <c r="AH1038" s="264">
        <f t="shared" si="2542"/>
        <v>0</v>
      </c>
      <c r="AI1038" s="264">
        <f t="shared" si="2542"/>
        <v>0</v>
      </c>
      <c r="AJ1038" s="264">
        <f t="shared" si="2542"/>
        <v>0</v>
      </c>
      <c r="AK1038" s="264">
        <f t="shared" si="2542"/>
        <v>0</v>
      </c>
      <c r="AL1038" s="264">
        <f t="shared" si="2542"/>
        <v>0</v>
      </c>
      <c r="AM1038" s="264">
        <f t="shared" si="2542"/>
        <v>0</v>
      </c>
      <c r="AN1038" s="260"/>
      <c r="AO1038" s="264">
        <f t="shared" ref="AO1038" si="2543">IF(AO1022=0,0,AO1030/AO1022)</f>
        <v>0</v>
      </c>
      <c r="AP1038" s="260"/>
      <c r="AQ1038" s="264"/>
      <c r="AR1038" s="264" t="str">
        <f>VLOOKUP($I1038,TableInputsData[],ReadMe!$M$3,FALSE)&amp;"  |  "&amp;VLOOKUP($K1038,TableInputsData[],ReadMe!$M$3,FALSE)</f>
        <v>SERVICE 05  |  PRIX MOYEN DE VENTE PAR PRODUIT/SERVICE</v>
      </c>
      <c r="AS1038" s="264"/>
      <c r="AT1038" s="294"/>
    </row>
    <row r="1039" spans="1:46" ht="13" hidden="1" x14ac:dyDescent="0.2">
      <c r="A1039" s="294"/>
      <c r="B1039" s="924"/>
      <c r="C1039" s="271">
        <v>1032</v>
      </c>
      <c r="D1039" s="250">
        <f t="shared" si="2507"/>
        <v>0</v>
      </c>
      <c r="E1039" s="250"/>
      <c r="F1039" s="248" t="str">
        <f t="shared" si="2529"/>
        <v>YEAR5</v>
      </c>
      <c r="G1039" s="250">
        <f>VLOOKUP(F1039,TableInputsData[],$G$6,FALSE)</f>
        <v>2029</v>
      </c>
      <c r="H1039" s="250" t="str">
        <f t="shared" si="2508"/>
        <v>SERVICE</v>
      </c>
      <c r="I1039" s="248" t="str">
        <f t="shared" si="2508"/>
        <v>SERVICE 05</v>
      </c>
      <c r="J1039" s="248" t="str">
        <f>VLOOKUP(I1039,TableInputsData[],$J$6,FALSE)</f>
        <v>-</v>
      </c>
      <c r="K1039" s="248" t="str">
        <f t="shared" si="2535"/>
        <v>AVERAGE SELLING PRICE PER UNIT</v>
      </c>
      <c r="L1039" s="255"/>
      <c r="M1039" s="255"/>
      <c r="N1039" s="255"/>
      <c r="O1039" s="265"/>
      <c r="P1039" s="260"/>
      <c r="Q1039" s="260"/>
      <c r="R1039" s="260"/>
      <c r="S1039" s="630"/>
      <c r="T1039" s="630"/>
      <c r="U1039" s="630"/>
      <c r="V1039" s="630"/>
      <c r="W1039" s="260"/>
      <c r="X1039" s="260"/>
      <c r="Y1039" s="260"/>
      <c r="Z1039" s="260"/>
      <c r="AA1039" s="260"/>
      <c r="AB1039" s="260"/>
      <c r="AC1039" s="265"/>
      <c r="AD1039" s="634"/>
      <c r="AE1039" s="264">
        <f t="shared" ref="AE1039:AM1039" si="2544">IF(AE1023=0,0,AE1031/AE1023)</f>
        <v>0</v>
      </c>
      <c r="AF1039" s="264">
        <f t="shared" si="2544"/>
        <v>0</v>
      </c>
      <c r="AG1039" s="264">
        <f t="shared" si="2544"/>
        <v>0</v>
      </c>
      <c r="AH1039" s="264">
        <f t="shared" si="2544"/>
        <v>0</v>
      </c>
      <c r="AI1039" s="264">
        <f t="shared" si="2544"/>
        <v>0</v>
      </c>
      <c r="AJ1039" s="264">
        <f t="shared" si="2544"/>
        <v>0</v>
      </c>
      <c r="AK1039" s="264">
        <f t="shared" si="2544"/>
        <v>0</v>
      </c>
      <c r="AL1039" s="264">
        <f t="shared" si="2544"/>
        <v>0</v>
      </c>
      <c r="AM1039" s="264">
        <f t="shared" si="2544"/>
        <v>0</v>
      </c>
      <c r="AN1039" s="260"/>
      <c r="AO1039" s="264">
        <f t="shared" ref="AO1039" si="2545">IF(AO1023=0,0,AO1031/AO1023)</f>
        <v>0</v>
      </c>
      <c r="AP1039" s="260"/>
      <c r="AQ1039" s="264"/>
      <c r="AR1039" s="264" t="str">
        <f>VLOOKUP($I1039,TableInputsData[],ReadMe!$M$3,FALSE)&amp;"  |  "&amp;VLOOKUP($K1039,TableInputsData[],ReadMe!$M$3,FALSE)</f>
        <v>SERVICE 05  |  PRIX MOYEN DE VENTE PAR PRODUIT/SERVICE</v>
      </c>
      <c r="AS1039" s="264"/>
      <c r="AT1039" s="294"/>
    </row>
    <row r="1040" spans="1:46" ht="13" hidden="1" x14ac:dyDescent="0.2">
      <c r="A1040" s="294"/>
      <c r="B1040" s="924"/>
      <c r="C1040" s="271">
        <v>1033</v>
      </c>
      <c r="D1040" s="250">
        <f t="shared" si="2507"/>
        <v>0</v>
      </c>
      <c r="E1040" s="250"/>
      <c r="F1040" s="248" t="str">
        <f t="shared" si="2529"/>
        <v>YEAR6</v>
      </c>
      <c r="G1040" s="250">
        <f>VLOOKUP(F1040,TableInputsData[],$G$6,FALSE)</f>
        <v>2030</v>
      </c>
      <c r="H1040" s="250" t="str">
        <f t="shared" si="2508"/>
        <v>SERVICE</v>
      </c>
      <c r="I1040" s="248" t="str">
        <f t="shared" si="2508"/>
        <v>SERVICE 05</v>
      </c>
      <c r="J1040" s="248" t="str">
        <f>VLOOKUP(I1040,TableInputsData[],$J$6,FALSE)</f>
        <v>-</v>
      </c>
      <c r="K1040" s="248" t="str">
        <f t="shared" si="2535"/>
        <v>AVERAGE SELLING PRICE PER UNIT</v>
      </c>
      <c r="L1040" s="255"/>
      <c r="M1040" s="255"/>
      <c r="N1040" s="255"/>
      <c r="O1040" s="265"/>
      <c r="P1040" s="260"/>
      <c r="Q1040" s="260"/>
      <c r="R1040" s="260"/>
      <c r="S1040" s="630"/>
      <c r="T1040" s="630"/>
      <c r="U1040" s="630"/>
      <c r="V1040" s="630"/>
      <c r="W1040" s="260"/>
      <c r="X1040" s="260"/>
      <c r="Y1040" s="260"/>
      <c r="Z1040" s="260"/>
      <c r="AA1040" s="260"/>
      <c r="AB1040" s="260"/>
      <c r="AC1040" s="265"/>
      <c r="AD1040" s="634"/>
      <c r="AE1040" s="264">
        <f t="shared" ref="AE1040:AM1040" si="2546">IF(AE1024=0,0,AE1032/AE1024)</f>
        <v>0</v>
      </c>
      <c r="AF1040" s="264">
        <f t="shared" si="2546"/>
        <v>0</v>
      </c>
      <c r="AG1040" s="264">
        <f t="shared" si="2546"/>
        <v>0</v>
      </c>
      <c r="AH1040" s="264">
        <f t="shared" si="2546"/>
        <v>0</v>
      </c>
      <c r="AI1040" s="264">
        <f t="shared" si="2546"/>
        <v>0</v>
      </c>
      <c r="AJ1040" s="264">
        <f t="shared" si="2546"/>
        <v>0</v>
      </c>
      <c r="AK1040" s="264">
        <f t="shared" si="2546"/>
        <v>0</v>
      </c>
      <c r="AL1040" s="264">
        <f t="shared" si="2546"/>
        <v>0</v>
      </c>
      <c r="AM1040" s="264">
        <f t="shared" si="2546"/>
        <v>0</v>
      </c>
      <c r="AN1040" s="260"/>
      <c r="AO1040" s="264">
        <f t="shared" ref="AO1040" si="2547">IF(AO1024=0,0,AO1032/AO1024)</f>
        <v>0</v>
      </c>
      <c r="AP1040" s="260"/>
      <c r="AQ1040" s="264"/>
      <c r="AR1040" s="264" t="str">
        <f>VLOOKUP($I1040,TableInputsData[],ReadMe!$M$3,FALSE)&amp;"  |  "&amp;VLOOKUP($K1040,TableInputsData[],ReadMe!$M$3,FALSE)</f>
        <v>SERVICE 05  |  PRIX MOYEN DE VENTE PAR PRODUIT/SERVICE</v>
      </c>
      <c r="AS1040" s="264"/>
      <c r="AT1040" s="294"/>
    </row>
    <row r="1041" spans="1:46" ht="13" hidden="1" x14ac:dyDescent="0.2">
      <c r="A1041" s="294"/>
      <c r="B1041" s="924"/>
      <c r="C1041" s="272">
        <v>1034</v>
      </c>
      <c r="D1041" s="250">
        <f t="shared" si="2507"/>
        <v>0</v>
      </c>
      <c r="E1041" s="251"/>
      <c r="F1041" s="248" t="str">
        <f t="shared" ref="F1041:F1048" si="2548">F1049</f>
        <v>YEAR-2</v>
      </c>
      <c r="G1041" s="250">
        <f>VLOOKUP(F1041,TableInputsData[],$G$6,FALSE)</f>
        <v>2023</v>
      </c>
      <c r="H1041" s="250" t="str">
        <f t="shared" si="2508"/>
        <v>SERVICE</v>
      </c>
      <c r="I1041" s="248" t="str">
        <f t="shared" si="2508"/>
        <v>SERVICE 05</v>
      </c>
      <c r="J1041" s="248" t="str">
        <f>VLOOKUP(I1041,TableInputsData[],$J$6,FALSE)</f>
        <v>-</v>
      </c>
      <c r="K1041" s="248" t="s">
        <v>531</v>
      </c>
      <c r="L1041" s="256"/>
      <c r="M1041" s="256"/>
      <c r="N1041" s="256"/>
      <c r="O1041" s="266"/>
      <c r="P1041" s="261"/>
      <c r="Q1041" s="261"/>
      <c r="R1041" s="261"/>
      <c r="S1041" s="629"/>
      <c r="T1041" s="629"/>
      <c r="U1041" s="629"/>
      <c r="V1041" s="629"/>
      <c r="W1041" s="261"/>
      <c r="X1041" s="261"/>
      <c r="Y1041" s="261"/>
      <c r="Z1041" s="261"/>
      <c r="AA1041" s="261"/>
      <c r="AB1041" s="261"/>
      <c r="AC1041" s="266"/>
      <c r="AD1041" s="633"/>
      <c r="AE1041" s="264">
        <f>AE1017*($S1017*$P1017+$T1017*$Q1017+$U1017*$R1017)</f>
        <v>0</v>
      </c>
      <c r="AF1041" s="264">
        <f t="shared" ref="AF1041:AH1041" si="2549">AF1017*($S1017*$P1017+$T1017*$Q1017+$U1017*$R1017)</f>
        <v>0</v>
      </c>
      <c r="AG1041" s="264">
        <f t="shared" si="2549"/>
        <v>0</v>
      </c>
      <c r="AH1041" s="264">
        <f t="shared" si="2549"/>
        <v>0</v>
      </c>
      <c r="AI1041" s="264">
        <f t="shared" ref="AI1041:AI1048" si="2550">$AE1041+$AF1041+$AG1041+$AH1041</f>
        <v>0</v>
      </c>
      <c r="AJ1041" s="264">
        <f t="shared" ref="AJ1041:AJ1048" si="2551">$AJ1017*$S1017</f>
        <v>0</v>
      </c>
      <c r="AK1041" s="264">
        <f t="shared" ref="AK1041:AK1048" si="2552">$AK1017*$T1017</f>
        <v>0</v>
      </c>
      <c r="AL1041" s="264">
        <f t="shared" ref="AL1041:AL1048" si="2553">$AL1017*$U1017</f>
        <v>0</v>
      </c>
      <c r="AM1041" s="264">
        <f t="shared" ref="AM1041:AM1048" si="2554">$AJ1041*$W1017+$AK1041*$X1017+$AL1041*$Y1017</f>
        <v>0</v>
      </c>
      <c r="AN1041" s="640">
        <f t="shared" ref="AN1041:AN1048" si="2555">IF(AI1041=0,0,AM1041/AI1041)</f>
        <v>0</v>
      </c>
      <c r="AO1041" s="264">
        <f t="shared" ref="AO1041:AO1048" si="2556">$AJ1041*$Z1017+$AK1041*$AA1017+$AL1041*$AB1017</f>
        <v>0</v>
      </c>
      <c r="AP1041" s="640">
        <f t="shared" ref="AP1041:AP1048" si="2557">IF(AI1041=0,0,AO1041/AI1041)</f>
        <v>0</v>
      </c>
      <c r="AQ1041" s="264"/>
      <c r="AR1041" s="264" t="str">
        <f>VLOOKUP($I1041,TableInputsData[],ReadMe!$M$3,FALSE)&amp;"  |  "&amp;VLOOKUP($K1041,TableInputsData[],ReadMe!$M$3,FALSE)</f>
        <v>SERVICE 05  |  DEPENSES SUR ACHATS</v>
      </c>
      <c r="AS1041" s="264" t="b">
        <f t="shared" ref="AS1041:AS1048" si="2558">AND(EXACT(ROUND(AI1041,2),ROUND(AJ1041+AK1041+AL1041,2)),EXACT(ROUND(AI1041,2),ROUND(AM1041+AO1041,2)))</f>
        <v>1</v>
      </c>
      <c r="AT1041" s="294"/>
    </row>
    <row r="1042" spans="1:46" ht="13" hidden="1" x14ac:dyDescent="0.2">
      <c r="A1042" s="294"/>
      <c r="B1042" s="924"/>
      <c r="C1042" s="271">
        <v>1035</v>
      </c>
      <c r="D1042" s="250">
        <f t="shared" si="2507"/>
        <v>0</v>
      </c>
      <c r="E1042" s="250"/>
      <c r="F1042" s="248" t="str">
        <f t="shared" si="2548"/>
        <v>YEAR-1</v>
      </c>
      <c r="G1042" s="250">
        <f>VLOOKUP(F1042,TableInputsData[],$G$6,FALSE)</f>
        <v>2024</v>
      </c>
      <c r="H1042" s="250" t="str">
        <f t="shared" si="2508"/>
        <v>SERVICE</v>
      </c>
      <c r="I1042" s="248" t="str">
        <f t="shared" si="2508"/>
        <v>SERVICE 05</v>
      </c>
      <c r="J1042" s="248" t="str">
        <f>VLOOKUP(I1042,TableInputsData[],$J$6,FALSE)</f>
        <v>-</v>
      </c>
      <c r="K1042" s="248" t="str">
        <f>K1041</f>
        <v>COST OF GOODS SOLD</v>
      </c>
      <c r="L1042" s="255"/>
      <c r="M1042" s="255"/>
      <c r="N1042" s="255"/>
      <c r="O1042" s="265"/>
      <c r="P1042" s="260"/>
      <c r="Q1042" s="260"/>
      <c r="R1042" s="260"/>
      <c r="S1042" s="630"/>
      <c r="T1042" s="630"/>
      <c r="U1042" s="630"/>
      <c r="V1042" s="630"/>
      <c r="W1042" s="260"/>
      <c r="X1042" s="260"/>
      <c r="Y1042" s="260"/>
      <c r="Z1042" s="260"/>
      <c r="AA1042" s="260"/>
      <c r="AB1042" s="260"/>
      <c r="AC1042" s="265"/>
      <c r="AD1042" s="634"/>
      <c r="AE1042" s="264">
        <f t="shared" ref="AE1042:AH1042" si="2559">AE1018*($S1018*$P1018+$T1018*$Q1018+$U1018*$R1018)</f>
        <v>0</v>
      </c>
      <c r="AF1042" s="264">
        <f t="shared" si="2559"/>
        <v>0</v>
      </c>
      <c r="AG1042" s="264">
        <f t="shared" si="2559"/>
        <v>0</v>
      </c>
      <c r="AH1042" s="264">
        <f t="shared" si="2559"/>
        <v>0</v>
      </c>
      <c r="AI1042" s="264">
        <f t="shared" si="2550"/>
        <v>0</v>
      </c>
      <c r="AJ1042" s="264">
        <f t="shared" si="2551"/>
        <v>0</v>
      </c>
      <c r="AK1042" s="264">
        <f t="shared" si="2552"/>
        <v>0</v>
      </c>
      <c r="AL1042" s="264">
        <f t="shared" si="2553"/>
        <v>0</v>
      </c>
      <c r="AM1042" s="264">
        <f t="shared" si="2554"/>
        <v>0</v>
      </c>
      <c r="AN1042" s="640">
        <f t="shared" si="2555"/>
        <v>0</v>
      </c>
      <c r="AO1042" s="264">
        <f t="shared" si="2556"/>
        <v>0</v>
      </c>
      <c r="AP1042" s="640">
        <f t="shared" si="2557"/>
        <v>0</v>
      </c>
      <c r="AQ1042" s="264"/>
      <c r="AR1042" s="264" t="str">
        <f>VLOOKUP($I1042,TableInputsData[],ReadMe!$M$3,FALSE)&amp;"  |  "&amp;VLOOKUP($K1042,TableInputsData[],ReadMe!$M$3,FALSE)</f>
        <v>SERVICE 05  |  DEPENSES SUR ACHATS</v>
      </c>
      <c r="AS1042" s="264" t="b">
        <f t="shared" si="2558"/>
        <v>1</v>
      </c>
      <c r="AT1042" s="294"/>
    </row>
    <row r="1043" spans="1:46" ht="13" hidden="1" x14ac:dyDescent="0.2">
      <c r="A1043" s="294"/>
      <c r="B1043" s="924"/>
      <c r="C1043" s="271">
        <v>1036</v>
      </c>
      <c r="D1043" s="250">
        <f t="shared" si="2507"/>
        <v>0</v>
      </c>
      <c r="E1043" s="250"/>
      <c r="F1043" s="248" t="str">
        <f t="shared" si="2548"/>
        <v>CURRENT YEAR</v>
      </c>
      <c r="G1043" s="250">
        <f>VLOOKUP(F1043,TableInputsData[],$G$6,FALSE)</f>
        <v>2025</v>
      </c>
      <c r="H1043" s="250" t="str">
        <f t="shared" si="2508"/>
        <v>SERVICE</v>
      </c>
      <c r="I1043" s="248" t="str">
        <f t="shared" si="2508"/>
        <v>SERVICE 05</v>
      </c>
      <c r="J1043" s="248" t="str">
        <f>VLOOKUP(I1043,TableInputsData[],$J$6,FALSE)</f>
        <v>-</v>
      </c>
      <c r="K1043" s="248" t="str">
        <f t="shared" ref="K1043:K1048" si="2560">K1042</f>
        <v>COST OF GOODS SOLD</v>
      </c>
      <c r="L1043" s="255"/>
      <c r="M1043" s="255"/>
      <c r="N1043" s="255"/>
      <c r="O1043" s="265"/>
      <c r="P1043" s="260"/>
      <c r="Q1043" s="260"/>
      <c r="R1043" s="260"/>
      <c r="S1043" s="630"/>
      <c r="T1043" s="630"/>
      <c r="U1043" s="630"/>
      <c r="V1043" s="630"/>
      <c r="W1043" s="260"/>
      <c r="X1043" s="260"/>
      <c r="Y1043" s="260"/>
      <c r="Z1043" s="260"/>
      <c r="AA1043" s="260"/>
      <c r="AB1043" s="260"/>
      <c r="AC1043" s="265"/>
      <c r="AD1043" s="634"/>
      <c r="AE1043" s="264">
        <f t="shared" ref="AE1043:AH1043" si="2561">AE1019*($S1019*$P1019+$T1019*$Q1019+$U1019*$R1019)</f>
        <v>0</v>
      </c>
      <c r="AF1043" s="264">
        <f t="shared" si="2561"/>
        <v>0</v>
      </c>
      <c r="AG1043" s="264">
        <f t="shared" si="2561"/>
        <v>0</v>
      </c>
      <c r="AH1043" s="264">
        <f t="shared" si="2561"/>
        <v>0</v>
      </c>
      <c r="AI1043" s="264">
        <f t="shared" si="2550"/>
        <v>0</v>
      </c>
      <c r="AJ1043" s="264">
        <f t="shared" si="2551"/>
        <v>0</v>
      </c>
      <c r="AK1043" s="264">
        <f t="shared" si="2552"/>
        <v>0</v>
      </c>
      <c r="AL1043" s="264">
        <f t="shared" si="2553"/>
        <v>0</v>
      </c>
      <c r="AM1043" s="264">
        <f t="shared" si="2554"/>
        <v>0</v>
      </c>
      <c r="AN1043" s="640">
        <f t="shared" si="2555"/>
        <v>0</v>
      </c>
      <c r="AO1043" s="264">
        <f t="shared" si="2556"/>
        <v>0</v>
      </c>
      <c r="AP1043" s="640">
        <f t="shared" si="2557"/>
        <v>0</v>
      </c>
      <c r="AQ1043" s="264"/>
      <c r="AR1043" s="264" t="str">
        <f>VLOOKUP($I1043,TableInputsData[],ReadMe!$M$3,FALSE)&amp;"  |  "&amp;VLOOKUP($K1043,TableInputsData[],ReadMe!$M$3,FALSE)</f>
        <v>SERVICE 05  |  DEPENSES SUR ACHATS</v>
      </c>
      <c r="AS1043" s="264" t="b">
        <f t="shared" si="2558"/>
        <v>1</v>
      </c>
      <c r="AT1043" s="294"/>
    </row>
    <row r="1044" spans="1:46" ht="13" hidden="1" x14ac:dyDescent="0.2">
      <c r="A1044" s="294"/>
      <c r="B1044" s="924"/>
      <c r="C1044" s="271">
        <v>1037</v>
      </c>
      <c r="D1044" s="250">
        <f t="shared" si="2507"/>
        <v>0</v>
      </c>
      <c r="E1044" s="250"/>
      <c r="F1044" s="248" t="str">
        <f t="shared" si="2548"/>
        <v>YEAR2</v>
      </c>
      <c r="G1044" s="250">
        <f>VLOOKUP(F1044,TableInputsData[],$G$6,FALSE)</f>
        <v>2026</v>
      </c>
      <c r="H1044" s="250" t="str">
        <f t="shared" si="2508"/>
        <v>SERVICE</v>
      </c>
      <c r="I1044" s="248" t="str">
        <f t="shared" si="2508"/>
        <v>SERVICE 05</v>
      </c>
      <c r="J1044" s="248" t="str">
        <f>VLOOKUP(I1044,TableInputsData[],$J$6,FALSE)</f>
        <v>-</v>
      </c>
      <c r="K1044" s="248" t="str">
        <f t="shared" si="2560"/>
        <v>COST OF GOODS SOLD</v>
      </c>
      <c r="L1044" s="255"/>
      <c r="M1044" s="255"/>
      <c r="N1044" s="255"/>
      <c r="O1044" s="265"/>
      <c r="P1044" s="260"/>
      <c r="Q1044" s="260"/>
      <c r="R1044" s="260"/>
      <c r="S1044" s="630"/>
      <c r="T1044" s="630"/>
      <c r="U1044" s="630"/>
      <c r="V1044" s="630"/>
      <c r="W1044" s="260"/>
      <c r="X1044" s="260"/>
      <c r="Y1044" s="260"/>
      <c r="Z1044" s="260"/>
      <c r="AA1044" s="260"/>
      <c r="AB1044" s="260"/>
      <c r="AC1044" s="265"/>
      <c r="AD1044" s="634"/>
      <c r="AE1044" s="264">
        <f t="shared" ref="AE1044:AH1044" si="2562">AE1020*($S1020*$P1020+$T1020*$Q1020+$U1020*$R1020)</f>
        <v>0</v>
      </c>
      <c r="AF1044" s="264">
        <f t="shared" si="2562"/>
        <v>0</v>
      </c>
      <c r="AG1044" s="264">
        <f t="shared" si="2562"/>
        <v>0</v>
      </c>
      <c r="AH1044" s="264">
        <f t="shared" si="2562"/>
        <v>0</v>
      </c>
      <c r="AI1044" s="264">
        <f t="shared" si="2550"/>
        <v>0</v>
      </c>
      <c r="AJ1044" s="264">
        <f t="shared" si="2551"/>
        <v>0</v>
      </c>
      <c r="AK1044" s="264">
        <f t="shared" si="2552"/>
        <v>0</v>
      </c>
      <c r="AL1044" s="264">
        <f t="shared" si="2553"/>
        <v>0</v>
      </c>
      <c r="AM1044" s="264">
        <f t="shared" si="2554"/>
        <v>0</v>
      </c>
      <c r="AN1044" s="640">
        <f t="shared" si="2555"/>
        <v>0</v>
      </c>
      <c r="AO1044" s="264">
        <f t="shared" si="2556"/>
        <v>0</v>
      </c>
      <c r="AP1044" s="640">
        <f t="shared" si="2557"/>
        <v>0</v>
      </c>
      <c r="AQ1044" s="264"/>
      <c r="AR1044" s="264" t="str">
        <f>VLOOKUP($I1044,TableInputsData[],ReadMe!$M$3,FALSE)&amp;"  |  "&amp;VLOOKUP($K1044,TableInputsData[],ReadMe!$M$3,FALSE)</f>
        <v>SERVICE 05  |  DEPENSES SUR ACHATS</v>
      </c>
      <c r="AS1044" s="264" t="b">
        <f t="shared" si="2558"/>
        <v>1</v>
      </c>
      <c r="AT1044" s="294"/>
    </row>
    <row r="1045" spans="1:46" ht="13" hidden="1" x14ac:dyDescent="0.2">
      <c r="A1045" s="294"/>
      <c r="B1045" s="924"/>
      <c r="C1045" s="271">
        <v>1038</v>
      </c>
      <c r="D1045" s="250">
        <f t="shared" si="2507"/>
        <v>0</v>
      </c>
      <c r="E1045" s="250"/>
      <c r="F1045" s="248" t="str">
        <f t="shared" si="2548"/>
        <v>YEAR3</v>
      </c>
      <c r="G1045" s="250">
        <f>VLOOKUP(F1045,TableInputsData[],$G$6,FALSE)</f>
        <v>2027</v>
      </c>
      <c r="H1045" s="250" t="str">
        <f t="shared" si="2508"/>
        <v>SERVICE</v>
      </c>
      <c r="I1045" s="248" t="str">
        <f t="shared" si="2508"/>
        <v>SERVICE 05</v>
      </c>
      <c r="J1045" s="248" t="str">
        <f>VLOOKUP(I1045,TableInputsData[],$J$6,FALSE)</f>
        <v>-</v>
      </c>
      <c r="K1045" s="248" t="str">
        <f t="shared" si="2560"/>
        <v>COST OF GOODS SOLD</v>
      </c>
      <c r="L1045" s="255"/>
      <c r="M1045" s="255"/>
      <c r="N1045" s="255"/>
      <c r="O1045" s="265"/>
      <c r="P1045" s="260"/>
      <c r="Q1045" s="260"/>
      <c r="R1045" s="260"/>
      <c r="S1045" s="630"/>
      <c r="T1045" s="630"/>
      <c r="U1045" s="630"/>
      <c r="V1045" s="630"/>
      <c r="W1045" s="260"/>
      <c r="X1045" s="260"/>
      <c r="Y1045" s="260"/>
      <c r="Z1045" s="260"/>
      <c r="AA1045" s="260"/>
      <c r="AB1045" s="260"/>
      <c r="AC1045" s="265"/>
      <c r="AD1045" s="634"/>
      <c r="AE1045" s="264">
        <f t="shared" ref="AE1045:AH1045" si="2563">AE1021*($S1021*$P1021+$T1021*$Q1021+$U1021*$R1021)</f>
        <v>0</v>
      </c>
      <c r="AF1045" s="264">
        <f t="shared" si="2563"/>
        <v>0</v>
      </c>
      <c r="AG1045" s="264">
        <f t="shared" si="2563"/>
        <v>0</v>
      </c>
      <c r="AH1045" s="264">
        <f t="shared" si="2563"/>
        <v>0</v>
      </c>
      <c r="AI1045" s="264">
        <f t="shared" si="2550"/>
        <v>0</v>
      </c>
      <c r="AJ1045" s="264">
        <f t="shared" si="2551"/>
        <v>0</v>
      </c>
      <c r="AK1045" s="264">
        <f t="shared" si="2552"/>
        <v>0</v>
      </c>
      <c r="AL1045" s="264">
        <f t="shared" si="2553"/>
        <v>0</v>
      </c>
      <c r="AM1045" s="264">
        <f t="shared" si="2554"/>
        <v>0</v>
      </c>
      <c r="AN1045" s="640">
        <f t="shared" si="2555"/>
        <v>0</v>
      </c>
      <c r="AO1045" s="264">
        <f t="shared" si="2556"/>
        <v>0</v>
      </c>
      <c r="AP1045" s="640">
        <f t="shared" si="2557"/>
        <v>0</v>
      </c>
      <c r="AQ1045" s="264"/>
      <c r="AR1045" s="264" t="str">
        <f>VLOOKUP($I1045,TableInputsData[],ReadMe!$M$3,FALSE)&amp;"  |  "&amp;VLOOKUP($K1045,TableInputsData[],ReadMe!$M$3,FALSE)</f>
        <v>SERVICE 05  |  DEPENSES SUR ACHATS</v>
      </c>
      <c r="AS1045" s="264" t="b">
        <f t="shared" si="2558"/>
        <v>1</v>
      </c>
      <c r="AT1045" s="294"/>
    </row>
    <row r="1046" spans="1:46" ht="13" hidden="1" x14ac:dyDescent="0.2">
      <c r="A1046" s="294"/>
      <c r="B1046" s="924"/>
      <c r="C1046" s="271">
        <v>1039</v>
      </c>
      <c r="D1046" s="250">
        <f t="shared" si="2507"/>
        <v>0</v>
      </c>
      <c r="E1046" s="250"/>
      <c r="F1046" s="248" t="str">
        <f t="shared" si="2548"/>
        <v>YEAR4</v>
      </c>
      <c r="G1046" s="250">
        <f>VLOOKUP(F1046,TableInputsData[],$G$6,FALSE)</f>
        <v>2028</v>
      </c>
      <c r="H1046" s="250" t="str">
        <f t="shared" si="2508"/>
        <v>SERVICE</v>
      </c>
      <c r="I1046" s="248" t="str">
        <f t="shared" si="2508"/>
        <v>SERVICE 05</v>
      </c>
      <c r="J1046" s="248" t="str">
        <f>VLOOKUP(I1046,TableInputsData[],$J$6,FALSE)</f>
        <v>-</v>
      </c>
      <c r="K1046" s="248" t="str">
        <f t="shared" si="2560"/>
        <v>COST OF GOODS SOLD</v>
      </c>
      <c r="L1046" s="255"/>
      <c r="M1046" s="255"/>
      <c r="N1046" s="255"/>
      <c r="O1046" s="265"/>
      <c r="P1046" s="260"/>
      <c r="Q1046" s="260"/>
      <c r="R1046" s="260"/>
      <c r="S1046" s="630"/>
      <c r="T1046" s="630"/>
      <c r="U1046" s="630"/>
      <c r="V1046" s="630"/>
      <c r="W1046" s="260"/>
      <c r="X1046" s="260"/>
      <c r="Y1046" s="260"/>
      <c r="Z1046" s="260"/>
      <c r="AA1046" s="260"/>
      <c r="AB1046" s="260"/>
      <c r="AC1046" s="265"/>
      <c r="AD1046" s="634"/>
      <c r="AE1046" s="264">
        <f t="shared" ref="AE1046:AH1046" si="2564">AE1022*($S1022*$P1022+$T1022*$Q1022+$U1022*$R1022)</f>
        <v>0</v>
      </c>
      <c r="AF1046" s="264">
        <f t="shared" si="2564"/>
        <v>0</v>
      </c>
      <c r="AG1046" s="264">
        <f t="shared" si="2564"/>
        <v>0</v>
      </c>
      <c r="AH1046" s="264">
        <f t="shared" si="2564"/>
        <v>0</v>
      </c>
      <c r="AI1046" s="264">
        <f t="shared" si="2550"/>
        <v>0</v>
      </c>
      <c r="AJ1046" s="264">
        <f t="shared" si="2551"/>
        <v>0</v>
      </c>
      <c r="AK1046" s="264">
        <f t="shared" si="2552"/>
        <v>0</v>
      </c>
      <c r="AL1046" s="264">
        <f t="shared" si="2553"/>
        <v>0</v>
      </c>
      <c r="AM1046" s="264">
        <f t="shared" si="2554"/>
        <v>0</v>
      </c>
      <c r="AN1046" s="640">
        <f t="shared" si="2555"/>
        <v>0</v>
      </c>
      <c r="AO1046" s="264">
        <f t="shared" si="2556"/>
        <v>0</v>
      </c>
      <c r="AP1046" s="640">
        <f t="shared" si="2557"/>
        <v>0</v>
      </c>
      <c r="AQ1046" s="264"/>
      <c r="AR1046" s="264" t="str">
        <f>VLOOKUP($I1046,TableInputsData[],ReadMe!$M$3,FALSE)&amp;"  |  "&amp;VLOOKUP($K1046,TableInputsData[],ReadMe!$M$3,FALSE)</f>
        <v>SERVICE 05  |  DEPENSES SUR ACHATS</v>
      </c>
      <c r="AS1046" s="264" t="b">
        <f t="shared" si="2558"/>
        <v>1</v>
      </c>
      <c r="AT1046" s="294"/>
    </row>
    <row r="1047" spans="1:46" ht="13" hidden="1" x14ac:dyDescent="0.2">
      <c r="A1047" s="294"/>
      <c r="B1047" s="924"/>
      <c r="C1047" s="271">
        <v>1040</v>
      </c>
      <c r="D1047" s="250">
        <f t="shared" si="2507"/>
        <v>0</v>
      </c>
      <c r="E1047" s="250"/>
      <c r="F1047" s="248" t="str">
        <f t="shared" si="2548"/>
        <v>YEAR5</v>
      </c>
      <c r="G1047" s="250">
        <f>VLOOKUP(F1047,TableInputsData[],$G$6,FALSE)</f>
        <v>2029</v>
      </c>
      <c r="H1047" s="250" t="str">
        <f t="shared" si="2508"/>
        <v>SERVICE</v>
      </c>
      <c r="I1047" s="248" t="str">
        <f t="shared" si="2508"/>
        <v>SERVICE 05</v>
      </c>
      <c r="J1047" s="248" t="str">
        <f>VLOOKUP(I1047,TableInputsData[],$J$6,FALSE)</f>
        <v>-</v>
      </c>
      <c r="K1047" s="248" t="str">
        <f t="shared" si="2560"/>
        <v>COST OF GOODS SOLD</v>
      </c>
      <c r="L1047" s="255"/>
      <c r="M1047" s="255"/>
      <c r="N1047" s="255"/>
      <c r="O1047" s="265"/>
      <c r="P1047" s="260"/>
      <c r="Q1047" s="260"/>
      <c r="R1047" s="260"/>
      <c r="S1047" s="630"/>
      <c r="T1047" s="630"/>
      <c r="U1047" s="630"/>
      <c r="V1047" s="630"/>
      <c r="W1047" s="260"/>
      <c r="X1047" s="260"/>
      <c r="Y1047" s="260"/>
      <c r="Z1047" s="260"/>
      <c r="AA1047" s="260"/>
      <c r="AB1047" s="260"/>
      <c r="AC1047" s="265"/>
      <c r="AD1047" s="634"/>
      <c r="AE1047" s="264">
        <f t="shared" ref="AE1047:AH1047" si="2565">AE1023*($S1023*$P1023+$T1023*$Q1023+$U1023*$R1023)</f>
        <v>0</v>
      </c>
      <c r="AF1047" s="264">
        <f t="shared" si="2565"/>
        <v>0</v>
      </c>
      <c r="AG1047" s="264">
        <f t="shared" si="2565"/>
        <v>0</v>
      </c>
      <c r="AH1047" s="264">
        <f t="shared" si="2565"/>
        <v>0</v>
      </c>
      <c r="AI1047" s="264">
        <f t="shared" si="2550"/>
        <v>0</v>
      </c>
      <c r="AJ1047" s="264">
        <f t="shared" si="2551"/>
        <v>0</v>
      </c>
      <c r="AK1047" s="264">
        <f t="shared" si="2552"/>
        <v>0</v>
      </c>
      <c r="AL1047" s="264">
        <f t="shared" si="2553"/>
        <v>0</v>
      </c>
      <c r="AM1047" s="264">
        <f t="shared" si="2554"/>
        <v>0</v>
      </c>
      <c r="AN1047" s="640">
        <f t="shared" si="2555"/>
        <v>0</v>
      </c>
      <c r="AO1047" s="264">
        <f t="shared" si="2556"/>
        <v>0</v>
      </c>
      <c r="AP1047" s="640">
        <f t="shared" si="2557"/>
        <v>0</v>
      </c>
      <c r="AQ1047" s="264"/>
      <c r="AR1047" s="264" t="str">
        <f>VLOOKUP($I1047,TableInputsData[],ReadMe!$M$3,FALSE)&amp;"  |  "&amp;VLOOKUP($K1047,TableInputsData[],ReadMe!$M$3,FALSE)</f>
        <v>SERVICE 05  |  DEPENSES SUR ACHATS</v>
      </c>
      <c r="AS1047" s="264" t="b">
        <f t="shared" si="2558"/>
        <v>1</v>
      </c>
      <c r="AT1047" s="294"/>
    </row>
    <row r="1048" spans="1:46" ht="13" hidden="1" x14ac:dyDescent="0.2">
      <c r="A1048" s="294"/>
      <c r="B1048" s="924"/>
      <c r="C1048" s="271">
        <v>1041</v>
      </c>
      <c r="D1048" s="250">
        <f t="shared" si="2507"/>
        <v>0</v>
      </c>
      <c r="E1048" s="250"/>
      <c r="F1048" s="248" t="str">
        <f t="shared" si="2548"/>
        <v>YEAR6</v>
      </c>
      <c r="G1048" s="250">
        <f>VLOOKUP(F1048,TableInputsData[],$G$6,FALSE)</f>
        <v>2030</v>
      </c>
      <c r="H1048" s="250" t="str">
        <f t="shared" si="2508"/>
        <v>SERVICE</v>
      </c>
      <c r="I1048" s="248" t="str">
        <f t="shared" si="2508"/>
        <v>SERVICE 05</v>
      </c>
      <c r="J1048" s="248" t="str">
        <f>VLOOKUP(I1048,TableInputsData[],$J$6,FALSE)</f>
        <v>-</v>
      </c>
      <c r="K1048" s="248" t="str">
        <f t="shared" si="2560"/>
        <v>COST OF GOODS SOLD</v>
      </c>
      <c r="L1048" s="255"/>
      <c r="M1048" s="255"/>
      <c r="N1048" s="255"/>
      <c r="O1048" s="265"/>
      <c r="P1048" s="260"/>
      <c r="Q1048" s="260"/>
      <c r="R1048" s="260"/>
      <c r="S1048" s="630"/>
      <c r="T1048" s="630"/>
      <c r="U1048" s="630"/>
      <c r="V1048" s="630"/>
      <c r="W1048" s="260"/>
      <c r="X1048" s="260"/>
      <c r="Y1048" s="260"/>
      <c r="Z1048" s="260"/>
      <c r="AA1048" s="260"/>
      <c r="AB1048" s="260"/>
      <c r="AC1048" s="265"/>
      <c r="AD1048" s="634"/>
      <c r="AE1048" s="264">
        <f t="shared" ref="AE1048:AH1048" si="2566">AE1024*($S1024*$P1024+$T1024*$Q1024+$U1024*$R1024)</f>
        <v>0</v>
      </c>
      <c r="AF1048" s="264">
        <f t="shared" si="2566"/>
        <v>0</v>
      </c>
      <c r="AG1048" s="264">
        <f t="shared" si="2566"/>
        <v>0</v>
      </c>
      <c r="AH1048" s="264">
        <f t="shared" si="2566"/>
        <v>0</v>
      </c>
      <c r="AI1048" s="264">
        <f t="shared" si="2550"/>
        <v>0</v>
      </c>
      <c r="AJ1048" s="264">
        <f t="shared" si="2551"/>
        <v>0</v>
      </c>
      <c r="AK1048" s="264">
        <f t="shared" si="2552"/>
        <v>0</v>
      </c>
      <c r="AL1048" s="264">
        <f t="shared" si="2553"/>
        <v>0</v>
      </c>
      <c r="AM1048" s="264">
        <f t="shared" si="2554"/>
        <v>0</v>
      </c>
      <c r="AN1048" s="640">
        <f t="shared" si="2555"/>
        <v>0</v>
      </c>
      <c r="AO1048" s="264">
        <f t="shared" si="2556"/>
        <v>0</v>
      </c>
      <c r="AP1048" s="640">
        <f t="shared" si="2557"/>
        <v>0</v>
      </c>
      <c r="AQ1048" s="264"/>
      <c r="AR1048" s="264" t="str">
        <f>VLOOKUP($I1048,TableInputsData[],ReadMe!$M$3,FALSE)&amp;"  |  "&amp;VLOOKUP($K1048,TableInputsData[],ReadMe!$M$3,FALSE)</f>
        <v>SERVICE 05  |  DEPENSES SUR ACHATS</v>
      </c>
      <c r="AS1048" s="264" t="b">
        <f t="shared" si="2558"/>
        <v>1</v>
      </c>
      <c r="AT1048" s="294"/>
    </row>
    <row r="1049" spans="1:46" ht="13" hidden="1" x14ac:dyDescent="0.2">
      <c r="A1049" s="294"/>
      <c r="B1049" s="924"/>
      <c r="C1049" s="272">
        <v>1042</v>
      </c>
      <c r="D1049" s="250">
        <f t="shared" si="2507"/>
        <v>0</v>
      </c>
      <c r="E1049" s="251"/>
      <c r="F1049" s="248" t="str">
        <f t="shared" ref="F1049:F1056" si="2567">F1025</f>
        <v>YEAR-2</v>
      </c>
      <c r="G1049" s="250">
        <f>VLOOKUP(F1049,TableInputsData[],$G$6,FALSE)</f>
        <v>2023</v>
      </c>
      <c r="H1049" s="250" t="str">
        <f t="shared" si="2508"/>
        <v>SERVICE</v>
      </c>
      <c r="I1049" s="248" t="str">
        <f t="shared" si="2508"/>
        <v>SERVICE 05</v>
      </c>
      <c r="J1049" s="248" t="str">
        <f>VLOOKUP(I1049,TableInputsData[],$J$6,FALSE)</f>
        <v>-</v>
      </c>
      <c r="K1049" s="248" t="s">
        <v>532</v>
      </c>
      <c r="L1049" s="256"/>
      <c r="M1049" s="256"/>
      <c r="N1049" s="256"/>
      <c r="O1049" s="266"/>
      <c r="P1049" s="261"/>
      <c r="Q1049" s="261"/>
      <c r="R1049" s="261"/>
      <c r="S1049" s="629"/>
      <c r="T1049" s="629"/>
      <c r="U1049" s="629"/>
      <c r="V1049" s="629"/>
      <c r="W1049" s="261"/>
      <c r="X1049" s="261"/>
      <c r="Y1049" s="261"/>
      <c r="Z1049" s="261"/>
      <c r="AA1049" s="261"/>
      <c r="AB1049" s="261"/>
      <c r="AC1049" s="266"/>
      <c r="AD1049" s="633"/>
      <c r="AE1049" s="264">
        <f>IF(AE1017=0,0,AE1041/AE1017)</f>
        <v>0</v>
      </c>
      <c r="AF1049" s="264">
        <f t="shared" ref="AF1049:AI1049" si="2568">IF(AF1017=0,0,AF1041/AF1017)</f>
        <v>0</v>
      </c>
      <c r="AG1049" s="264">
        <f t="shared" si="2568"/>
        <v>0</v>
      </c>
      <c r="AH1049" s="264">
        <f t="shared" si="2568"/>
        <v>0</v>
      </c>
      <c r="AI1049" s="264">
        <f t="shared" si="2568"/>
        <v>0</v>
      </c>
      <c r="AJ1049" s="264">
        <f>IF(AJ1017=0,0,AJ1041/AJ1017)</f>
        <v>0</v>
      </c>
      <c r="AK1049" s="264">
        <f t="shared" ref="AK1049:AL1049" si="2569">IF(AK1017=0,0,AK1041/AK1017)</f>
        <v>0</v>
      </c>
      <c r="AL1049" s="264">
        <f t="shared" si="2569"/>
        <v>0</v>
      </c>
      <c r="AM1049" s="264">
        <f>IF(AM1017=0,0,AM1041/AM1017)</f>
        <v>0</v>
      </c>
      <c r="AN1049" s="260"/>
      <c r="AO1049" s="264">
        <f t="shared" ref="AO1049" si="2570">IF(AO1017=0,0,AO1041/AO1017)</f>
        <v>0</v>
      </c>
      <c r="AP1049" s="260"/>
      <c r="AQ1049" s="264"/>
      <c r="AR1049" s="264" t="str">
        <f>VLOOKUP($I1049,TableInputsData[],ReadMe!$M$3,FALSE)&amp;"  |  "&amp;VLOOKUP($K1049,TableInputsData[],ReadMe!$M$3,FALSE)</f>
        <v>SERVICE 05  |  PRIX MOYEN D'ACHAT PAR PRODUIT/SERVICE</v>
      </c>
      <c r="AS1049" s="264"/>
      <c r="AT1049" s="294"/>
    </row>
    <row r="1050" spans="1:46" ht="13" hidden="1" x14ac:dyDescent="0.2">
      <c r="A1050" s="294"/>
      <c r="B1050" s="924"/>
      <c r="C1050" s="272">
        <v>1043</v>
      </c>
      <c r="D1050" s="250">
        <f t="shared" si="2507"/>
        <v>0</v>
      </c>
      <c r="E1050" s="251"/>
      <c r="F1050" s="248" t="str">
        <f t="shared" si="2567"/>
        <v>YEAR-1</v>
      </c>
      <c r="G1050" s="250">
        <f>VLOOKUP(F1050,TableInputsData[],$G$6,FALSE)</f>
        <v>2024</v>
      </c>
      <c r="H1050" s="250" t="str">
        <f t="shared" si="2508"/>
        <v>SERVICE</v>
      </c>
      <c r="I1050" s="248" t="str">
        <f t="shared" si="2508"/>
        <v>SERVICE 05</v>
      </c>
      <c r="J1050" s="248" t="str">
        <f>VLOOKUP(I1050,TableInputsData[],$J$6,FALSE)</f>
        <v>-</v>
      </c>
      <c r="K1050" s="248" t="str">
        <f>K1049</f>
        <v>AVERAGE COST OF GOODS SOLD PER UNIT</v>
      </c>
      <c r="L1050" s="256"/>
      <c r="M1050" s="256"/>
      <c r="N1050" s="256"/>
      <c r="O1050" s="266"/>
      <c r="P1050" s="261"/>
      <c r="Q1050" s="261"/>
      <c r="R1050" s="261"/>
      <c r="S1050" s="629"/>
      <c r="T1050" s="629"/>
      <c r="U1050" s="629"/>
      <c r="V1050" s="629"/>
      <c r="W1050" s="261"/>
      <c r="X1050" s="261"/>
      <c r="Y1050" s="261"/>
      <c r="Z1050" s="261"/>
      <c r="AA1050" s="261"/>
      <c r="AB1050" s="261"/>
      <c r="AC1050" s="266"/>
      <c r="AD1050" s="633"/>
      <c r="AE1050" s="264">
        <f t="shared" ref="AE1050:AL1050" si="2571">IF(AE1018=0,0,AE1042/AE1018)</f>
        <v>0</v>
      </c>
      <c r="AF1050" s="264">
        <f t="shared" si="2571"/>
        <v>0</v>
      </c>
      <c r="AG1050" s="264">
        <f t="shared" si="2571"/>
        <v>0</v>
      </c>
      <c r="AH1050" s="264">
        <f t="shared" si="2571"/>
        <v>0</v>
      </c>
      <c r="AI1050" s="264">
        <f t="shared" si="2571"/>
        <v>0</v>
      </c>
      <c r="AJ1050" s="264">
        <f t="shared" si="2571"/>
        <v>0</v>
      </c>
      <c r="AK1050" s="264">
        <f t="shared" si="2571"/>
        <v>0</v>
      </c>
      <c r="AL1050" s="264">
        <f t="shared" si="2571"/>
        <v>0</v>
      </c>
      <c r="AM1050" s="264">
        <f>IF(AM1018=0,0,AM1042/AM1018)</f>
        <v>0</v>
      </c>
      <c r="AN1050" s="260"/>
      <c r="AO1050" s="264">
        <f>IF(AO1018=0,0,AO1042/AO1018)</f>
        <v>0</v>
      </c>
      <c r="AP1050" s="260"/>
      <c r="AQ1050" s="264"/>
      <c r="AR1050" s="264" t="str">
        <f>VLOOKUP($I1050,TableInputsData[],ReadMe!$M$3,FALSE)&amp;"  |  "&amp;VLOOKUP($K1050,TableInputsData[],ReadMe!$M$3,FALSE)</f>
        <v>SERVICE 05  |  PRIX MOYEN D'ACHAT PAR PRODUIT/SERVICE</v>
      </c>
      <c r="AS1050" s="264"/>
      <c r="AT1050" s="294"/>
    </row>
    <row r="1051" spans="1:46" ht="13" hidden="1" x14ac:dyDescent="0.2">
      <c r="A1051" s="294"/>
      <c r="B1051" s="924"/>
      <c r="C1051" s="272">
        <v>1044</v>
      </c>
      <c r="D1051" s="250">
        <f t="shared" si="2507"/>
        <v>0</v>
      </c>
      <c r="E1051" s="251"/>
      <c r="F1051" s="248" t="str">
        <f t="shared" si="2567"/>
        <v>CURRENT YEAR</v>
      </c>
      <c r="G1051" s="250">
        <f>VLOOKUP(F1051,TableInputsData[],$G$6,FALSE)</f>
        <v>2025</v>
      </c>
      <c r="H1051" s="250" t="str">
        <f t="shared" si="2508"/>
        <v>SERVICE</v>
      </c>
      <c r="I1051" s="248" t="str">
        <f t="shared" si="2508"/>
        <v>SERVICE 05</v>
      </c>
      <c r="J1051" s="248" t="str">
        <f>VLOOKUP(I1051,TableInputsData[],$J$6,FALSE)</f>
        <v>-</v>
      </c>
      <c r="K1051" s="248" t="str">
        <f t="shared" ref="K1051:K1056" si="2572">K1050</f>
        <v>AVERAGE COST OF GOODS SOLD PER UNIT</v>
      </c>
      <c r="L1051" s="256"/>
      <c r="M1051" s="256"/>
      <c r="N1051" s="256"/>
      <c r="O1051" s="266"/>
      <c r="P1051" s="261"/>
      <c r="Q1051" s="261"/>
      <c r="R1051" s="261"/>
      <c r="S1051" s="629"/>
      <c r="T1051" s="629"/>
      <c r="U1051" s="629"/>
      <c r="V1051" s="629"/>
      <c r="W1051" s="261"/>
      <c r="X1051" s="261"/>
      <c r="Y1051" s="261"/>
      <c r="Z1051" s="261"/>
      <c r="AA1051" s="261"/>
      <c r="AB1051" s="261"/>
      <c r="AC1051" s="266"/>
      <c r="AD1051" s="633"/>
      <c r="AE1051" s="264">
        <f t="shared" ref="AE1051:AL1051" si="2573">IF(AE1019=0,0,AE1043/AE1019)</f>
        <v>0</v>
      </c>
      <c r="AF1051" s="264">
        <f t="shared" si="2573"/>
        <v>0</v>
      </c>
      <c r="AG1051" s="264">
        <f t="shared" si="2573"/>
        <v>0</v>
      </c>
      <c r="AH1051" s="264">
        <f t="shared" si="2573"/>
        <v>0</v>
      </c>
      <c r="AI1051" s="264">
        <f t="shared" si="2573"/>
        <v>0</v>
      </c>
      <c r="AJ1051" s="264">
        <f t="shared" si="2573"/>
        <v>0</v>
      </c>
      <c r="AK1051" s="264">
        <f t="shared" si="2573"/>
        <v>0</v>
      </c>
      <c r="AL1051" s="264">
        <f t="shared" si="2573"/>
        <v>0</v>
      </c>
      <c r="AM1051" s="264">
        <f>IF(AM1019=0,0,AM1043/AM1019)</f>
        <v>0</v>
      </c>
      <c r="AN1051" s="260"/>
      <c r="AO1051" s="264">
        <f>IF(AO1019=0,0,AO1043/AO1019)</f>
        <v>0</v>
      </c>
      <c r="AP1051" s="260"/>
      <c r="AQ1051" s="264"/>
      <c r="AR1051" s="264" t="str">
        <f>VLOOKUP($I1051,TableInputsData[],ReadMe!$M$3,FALSE)&amp;"  |  "&amp;VLOOKUP($K1051,TableInputsData[],ReadMe!$M$3,FALSE)</f>
        <v>SERVICE 05  |  PRIX MOYEN D'ACHAT PAR PRODUIT/SERVICE</v>
      </c>
      <c r="AS1051" s="264"/>
      <c r="AT1051" s="294"/>
    </row>
    <row r="1052" spans="1:46" ht="13" hidden="1" x14ac:dyDescent="0.2">
      <c r="A1052" s="294"/>
      <c r="B1052" s="924"/>
      <c r="C1052" s="272">
        <v>1045</v>
      </c>
      <c r="D1052" s="250">
        <f t="shared" si="2507"/>
        <v>0</v>
      </c>
      <c r="E1052" s="251"/>
      <c r="F1052" s="248" t="str">
        <f t="shared" si="2567"/>
        <v>YEAR2</v>
      </c>
      <c r="G1052" s="250">
        <f>VLOOKUP(F1052,TableInputsData[],$G$6,FALSE)</f>
        <v>2026</v>
      </c>
      <c r="H1052" s="250" t="str">
        <f t="shared" si="2508"/>
        <v>SERVICE</v>
      </c>
      <c r="I1052" s="248" t="str">
        <f t="shared" si="2508"/>
        <v>SERVICE 05</v>
      </c>
      <c r="J1052" s="248" t="str">
        <f>VLOOKUP(I1052,TableInputsData[],$J$6,FALSE)</f>
        <v>-</v>
      </c>
      <c r="K1052" s="248" t="str">
        <f t="shared" si="2572"/>
        <v>AVERAGE COST OF GOODS SOLD PER UNIT</v>
      </c>
      <c r="L1052" s="256"/>
      <c r="M1052" s="256"/>
      <c r="N1052" s="256"/>
      <c r="O1052" s="266"/>
      <c r="P1052" s="261"/>
      <c r="Q1052" s="261"/>
      <c r="R1052" s="261"/>
      <c r="S1052" s="629"/>
      <c r="T1052" s="629"/>
      <c r="U1052" s="629"/>
      <c r="V1052" s="629"/>
      <c r="W1052" s="261"/>
      <c r="X1052" s="261"/>
      <c r="Y1052" s="261"/>
      <c r="Z1052" s="261"/>
      <c r="AA1052" s="261"/>
      <c r="AB1052" s="261"/>
      <c r="AC1052" s="266"/>
      <c r="AD1052" s="633"/>
      <c r="AE1052" s="264">
        <f t="shared" ref="AE1052:AM1052" si="2574">IF(AE1020=0,0,AE1044/AE1020)</f>
        <v>0</v>
      </c>
      <c r="AF1052" s="264">
        <f t="shared" si="2574"/>
        <v>0</v>
      </c>
      <c r="AG1052" s="264">
        <f t="shared" si="2574"/>
        <v>0</v>
      </c>
      <c r="AH1052" s="264">
        <f t="shared" si="2574"/>
        <v>0</v>
      </c>
      <c r="AI1052" s="264">
        <f t="shared" si="2574"/>
        <v>0</v>
      </c>
      <c r="AJ1052" s="264">
        <f t="shared" si="2574"/>
        <v>0</v>
      </c>
      <c r="AK1052" s="264">
        <f t="shared" si="2574"/>
        <v>0</v>
      </c>
      <c r="AL1052" s="264">
        <f t="shared" si="2574"/>
        <v>0</v>
      </c>
      <c r="AM1052" s="264">
        <f t="shared" si="2574"/>
        <v>0</v>
      </c>
      <c r="AN1052" s="260"/>
      <c r="AO1052" s="264">
        <f t="shared" ref="AO1052" si="2575">IF(AO1020=0,0,AO1044/AO1020)</f>
        <v>0</v>
      </c>
      <c r="AP1052" s="260"/>
      <c r="AQ1052" s="264"/>
      <c r="AR1052" s="264" t="str">
        <f>VLOOKUP($I1052,TableInputsData[],ReadMe!$M$3,FALSE)&amp;"  |  "&amp;VLOOKUP($K1052,TableInputsData[],ReadMe!$M$3,FALSE)</f>
        <v>SERVICE 05  |  PRIX MOYEN D'ACHAT PAR PRODUIT/SERVICE</v>
      </c>
      <c r="AS1052" s="264"/>
      <c r="AT1052" s="294"/>
    </row>
    <row r="1053" spans="1:46" ht="13" hidden="1" x14ac:dyDescent="0.2">
      <c r="A1053" s="294"/>
      <c r="B1053" s="924"/>
      <c r="C1053" s="272">
        <v>1046</v>
      </c>
      <c r="D1053" s="250">
        <f t="shared" si="2507"/>
        <v>0</v>
      </c>
      <c r="E1053" s="251"/>
      <c r="F1053" s="248" t="str">
        <f t="shared" si="2567"/>
        <v>YEAR3</v>
      </c>
      <c r="G1053" s="250">
        <f>VLOOKUP(F1053,TableInputsData[],$G$6,FALSE)</f>
        <v>2027</v>
      </c>
      <c r="H1053" s="250" t="str">
        <f t="shared" si="2508"/>
        <v>SERVICE</v>
      </c>
      <c r="I1053" s="248" t="str">
        <f t="shared" si="2508"/>
        <v>SERVICE 05</v>
      </c>
      <c r="J1053" s="248" t="str">
        <f>VLOOKUP(I1053,TableInputsData[],$J$6,FALSE)</f>
        <v>-</v>
      </c>
      <c r="K1053" s="248" t="str">
        <f t="shared" si="2572"/>
        <v>AVERAGE COST OF GOODS SOLD PER UNIT</v>
      </c>
      <c r="L1053" s="256"/>
      <c r="M1053" s="256"/>
      <c r="N1053" s="256"/>
      <c r="O1053" s="266"/>
      <c r="P1053" s="261"/>
      <c r="Q1053" s="261"/>
      <c r="R1053" s="261"/>
      <c r="S1053" s="629"/>
      <c r="T1053" s="629"/>
      <c r="U1053" s="629"/>
      <c r="V1053" s="629"/>
      <c r="W1053" s="261"/>
      <c r="X1053" s="261"/>
      <c r="Y1053" s="261"/>
      <c r="Z1053" s="261"/>
      <c r="AA1053" s="261"/>
      <c r="AB1053" s="261"/>
      <c r="AC1053" s="266"/>
      <c r="AD1053" s="633"/>
      <c r="AE1053" s="264">
        <f t="shared" ref="AE1053:AM1053" si="2576">IF(AE1021=0,0,AE1045/AE1021)</f>
        <v>0</v>
      </c>
      <c r="AF1053" s="264">
        <f t="shared" si="2576"/>
        <v>0</v>
      </c>
      <c r="AG1053" s="264">
        <f t="shared" si="2576"/>
        <v>0</v>
      </c>
      <c r="AH1053" s="264">
        <f t="shared" si="2576"/>
        <v>0</v>
      </c>
      <c r="AI1053" s="264">
        <f t="shared" si="2576"/>
        <v>0</v>
      </c>
      <c r="AJ1053" s="264">
        <f t="shared" si="2576"/>
        <v>0</v>
      </c>
      <c r="AK1053" s="264">
        <f t="shared" si="2576"/>
        <v>0</v>
      </c>
      <c r="AL1053" s="264">
        <f t="shared" si="2576"/>
        <v>0</v>
      </c>
      <c r="AM1053" s="264">
        <f t="shared" si="2576"/>
        <v>0</v>
      </c>
      <c r="AN1053" s="260"/>
      <c r="AO1053" s="264">
        <f t="shared" ref="AO1053" si="2577">IF(AO1021=0,0,AO1045/AO1021)</f>
        <v>0</v>
      </c>
      <c r="AP1053" s="260"/>
      <c r="AQ1053" s="264"/>
      <c r="AR1053" s="264" t="str">
        <f>VLOOKUP($I1053,TableInputsData[],ReadMe!$M$3,FALSE)&amp;"  |  "&amp;VLOOKUP($K1053,TableInputsData[],ReadMe!$M$3,FALSE)</f>
        <v>SERVICE 05  |  PRIX MOYEN D'ACHAT PAR PRODUIT/SERVICE</v>
      </c>
      <c r="AS1053" s="264"/>
      <c r="AT1053" s="294"/>
    </row>
    <row r="1054" spans="1:46" ht="13" hidden="1" x14ac:dyDescent="0.2">
      <c r="A1054" s="294"/>
      <c r="B1054" s="924"/>
      <c r="C1054" s="272">
        <v>1047</v>
      </c>
      <c r="D1054" s="250">
        <f t="shared" si="2507"/>
        <v>0</v>
      </c>
      <c r="E1054" s="251"/>
      <c r="F1054" s="248" t="str">
        <f t="shared" si="2567"/>
        <v>YEAR4</v>
      </c>
      <c r="G1054" s="250">
        <f>VLOOKUP(F1054,TableInputsData[],$G$6,FALSE)</f>
        <v>2028</v>
      </c>
      <c r="H1054" s="250" t="str">
        <f t="shared" si="2508"/>
        <v>SERVICE</v>
      </c>
      <c r="I1054" s="248" t="str">
        <f t="shared" si="2508"/>
        <v>SERVICE 05</v>
      </c>
      <c r="J1054" s="248" t="str">
        <f>VLOOKUP(I1054,TableInputsData[],$J$6,FALSE)</f>
        <v>-</v>
      </c>
      <c r="K1054" s="248" t="str">
        <f t="shared" si="2572"/>
        <v>AVERAGE COST OF GOODS SOLD PER UNIT</v>
      </c>
      <c r="L1054" s="256"/>
      <c r="M1054" s="256"/>
      <c r="N1054" s="256"/>
      <c r="O1054" s="266"/>
      <c r="P1054" s="261"/>
      <c r="Q1054" s="261"/>
      <c r="R1054" s="261"/>
      <c r="S1054" s="629"/>
      <c r="T1054" s="629"/>
      <c r="U1054" s="629"/>
      <c r="V1054" s="629"/>
      <c r="W1054" s="261"/>
      <c r="X1054" s="261"/>
      <c r="Y1054" s="261"/>
      <c r="Z1054" s="261"/>
      <c r="AA1054" s="261"/>
      <c r="AB1054" s="261"/>
      <c r="AC1054" s="266"/>
      <c r="AD1054" s="633"/>
      <c r="AE1054" s="264">
        <f t="shared" ref="AE1054:AM1054" si="2578">IF(AE1022=0,0,AE1046/AE1022)</f>
        <v>0</v>
      </c>
      <c r="AF1054" s="264">
        <f t="shared" si="2578"/>
        <v>0</v>
      </c>
      <c r="AG1054" s="264">
        <f t="shared" si="2578"/>
        <v>0</v>
      </c>
      <c r="AH1054" s="264">
        <f t="shared" si="2578"/>
        <v>0</v>
      </c>
      <c r="AI1054" s="264">
        <f t="shared" si="2578"/>
        <v>0</v>
      </c>
      <c r="AJ1054" s="264">
        <f t="shared" si="2578"/>
        <v>0</v>
      </c>
      <c r="AK1054" s="264">
        <f t="shared" si="2578"/>
        <v>0</v>
      </c>
      <c r="AL1054" s="264">
        <f t="shared" si="2578"/>
        <v>0</v>
      </c>
      <c r="AM1054" s="264">
        <f t="shared" si="2578"/>
        <v>0</v>
      </c>
      <c r="AN1054" s="260"/>
      <c r="AO1054" s="264">
        <f t="shared" ref="AO1054" si="2579">IF(AO1022=0,0,AO1046/AO1022)</f>
        <v>0</v>
      </c>
      <c r="AP1054" s="260"/>
      <c r="AQ1054" s="264"/>
      <c r="AR1054" s="264" t="str">
        <f>VLOOKUP($I1054,TableInputsData[],ReadMe!$M$3,FALSE)&amp;"  |  "&amp;VLOOKUP($K1054,TableInputsData[],ReadMe!$M$3,FALSE)</f>
        <v>SERVICE 05  |  PRIX MOYEN D'ACHAT PAR PRODUIT/SERVICE</v>
      </c>
      <c r="AS1054" s="264"/>
      <c r="AT1054" s="294"/>
    </row>
    <row r="1055" spans="1:46" ht="13" hidden="1" x14ac:dyDescent="0.2">
      <c r="A1055" s="294"/>
      <c r="B1055" s="924"/>
      <c r="C1055" s="272">
        <v>1048</v>
      </c>
      <c r="D1055" s="250">
        <f t="shared" si="2507"/>
        <v>0</v>
      </c>
      <c r="E1055" s="251"/>
      <c r="F1055" s="248" t="str">
        <f t="shared" si="2567"/>
        <v>YEAR5</v>
      </c>
      <c r="G1055" s="250">
        <f>VLOOKUP(F1055,TableInputsData[],$G$6,FALSE)</f>
        <v>2029</v>
      </c>
      <c r="H1055" s="250" t="str">
        <f t="shared" si="2508"/>
        <v>SERVICE</v>
      </c>
      <c r="I1055" s="248" t="str">
        <f t="shared" si="2508"/>
        <v>SERVICE 05</v>
      </c>
      <c r="J1055" s="248" t="str">
        <f>VLOOKUP(I1055,TableInputsData[],$J$6,FALSE)</f>
        <v>-</v>
      </c>
      <c r="K1055" s="248" t="str">
        <f t="shared" si="2572"/>
        <v>AVERAGE COST OF GOODS SOLD PER UNIT</v>
      </c>
      <c r="L1055" s="256"/>
      <c r="M1055" s="256"/>
      <c r="N1055" s="256"/>
      <c r="O1055" s="266"/>
      <c r="P1055" s="261"/>
      <c r="Q1055" s="261"/>
      <c r="R1055" s="261"/>
      <c r="S1055" s="629"/>
      <c r="T1055" s="629"/>
      <c r="U1055" s="629"/>
      <c r="V1055" s="629"/>
      <c r="W1055" s="261"/>
      <c r="X1055" s="261"/>
      <c r="Y1055" s="261"/>
      <c r="Z1055" s="261"/>
      <c r="AA1055" s="261"/>
      <c r="AB1055" s="261"/>
      <c r="AC1055" s="266"/>
      <c r="AD1055" s="633"/>
      <c r="AE1055" s="264">
        <f t="shared" ref="AE1055:AM1055" si="2580">IF(AE1023=0,0,AE1047/AE1023)</f>
        <v>0</v>
      </c>
      <c r="AF1055" s="264">
        <f t="shared" si="2580"/>
        <v>0</v>
      </c>
      <c r="AG1055" s="264">
        <f t="shared" si="2580"/>
        <v>0</v>
      </c>
      <c r="AH1055" s="264">
        <f t="shared" si="2580"/>
        <v>0</v>
      </c>
      <c r="AI1055" s="264">
        <f t="shared" si="2580"/>
        <v>0</v>
      </c>
      <c r="AJ1055" s="264">
        <f t="shared" si="2580"/>
        <v>0</v>
      </c>
      <c r="AK1055" s="264">
        <f t="shared" si="2580"/>
        <v>0</v>
      </c>
      <c r="AL1055" s="264">
        <f t="shared" si="2580"/>
        <v>0</v>
      </c>
      <c r="AM1055" s="264">
        <f t="shared" si="2580"/>
        <v>0</v>
      </c>
      <c r="AN1055" s="260"/>
      <c r="AO1055" s="264">
        <f t="shared" ref="AO1055" si="2581">IF(AO1023=0,0,AO1047/AO1023)</f>
        <v>0</v>
      </c>
      <c r="AP1055" s="260"/>
      <c r="AQ1055" s="264"/>
      <c r="AR1055" s="264" t="str">
        <f>VLOOKUP($I1055,TableInputsData[],ReadMe!$M$3,FALSE)&amp;"  |  "&amp;VLOOKUP($K1055,TableInputsData[],ReadMe!$M$3,FALSE)</f>
        <v>SERVICE 05  |  PRIX MOYEN D'ACHAT PAR PRODUIT/SERVICE</v>
      </c>
      <c r="AS1055" s="264"/>
      <c r="AT1055" s="294"/>
    </row>
    <row r="1056" spans="1:46" ht="13" hidden="1" x14ac:dyDescent="0.2">
      <c r="A1056" s="294"/>
      <c r="B1056" s="924"/>
      <c r="C1056" s="272">
        <v>1049</v>
      </c>
      <c r="D1056" s="250">
        <f t="shared" si="2507"/>
        <v>0</v>
      </c>
      <c r="E1056" s="251"/>
      <c r="F1056" s="248" t="str">
        <f t="shared" si="2567"/>
        <v>YEAR6</v>
      </c>
      <c r="G1056" s="250">
        <f>VLOOKUP(F1056,TableInputsData[],$G$6,FALSE)</f>
        <v>2030</v>
      </c>
      <c r="H1056" s="250" t="str">
        <f t="shared" si="2508"/>
        <v>SERVICE</v>
      </c>
      <c r="I1056" s="248" t="str">
        <f t="shared" si="2508"/>
        <v>SERVICE 05</v>
      </c>
      <c r="J1056" s="248" t="str">
        <f>VLOOKUP(I1056,TableInputsData[],$J$6,FALSE)</f>
        <v>-</v>
      </c>
      <c r="K1056" s="248" t="str">
        <f t="shared" si="2572"/>
        <v>AVERAGE COST OF GOODS SOLD PER UNIT</v>
      </c>
      <c r="L1056" s="256"/>
      <c r="M1056" s="256"/>
      <c r="N1056" s="256"/>
      <c r="O1056" s="266"/>
      <c r="P1056" s="261"/>
      <c r="Q1056" s="261"/>
      <c r="R1056" s="261"/>
      <c r="S1056" s="629"/>
      <c r="T1056" s="629"/>
      <c r="U1056" s="629"/>
      <c r="V1056" s="629"/>
      <c r="W1056" s="261"/>
      <c r="X1056" s="261"/>
      <c r="Y1056" s="261"/>
      <c r="Z1056" s="261"/>
      <c r="AA1056" s="261"/>
      <c r="AB1056" s="261"/>
      <c r="AC1056" s="266"/>
      <c r="AD1056" s="633"/>
      <c r="AE1056" s="264">
        <f t="shared" ref="AE1056:AM1056" si="2582">IF(AE1024=0,0,AE1048/AE1024)</f>
        <v>0</v>
      </c>
      <c r="AF1056" s="264">
        <f t="shared" si="2582"/>
        <v>0</v>
      </c>
      <c r="AG1056" s="264">
        <f t="shared" si="2582"/>
        <v>0</v>
      </c>
      <c r="AH1056" s="264">
        <f t="shared" si="2582"/>
        <v>0</v>
      </c>
      <c r="AI1056" s="264">
        <f t="shared" si="2582"/>
        <v>0</v>
      </c>
      <c r="AJ1056" s="264">
        <f t="shared" si="2582"/>
        <v>0</v>
      </c>
      <c r="AK1056" s="264">
        <f t="shared" si="2582"/>
        <v>0</v>
      </c>
      <c r="AL1056" s="264">
        <f t="shared" si="2582"/>
        <v>0</v>
      </c>
      <c r="AM1056" s="264">
        <f t="shared" si="2582"/>
        <v>0</v>
      </c>
      <c r="AN1056" s="260"/>
      <c r="AO1056" s="264">
        <f t="shared" ref="AO1056" si="2583">IF(AO1024=0,0,AO1048/AO1024)</f>
        <v>0</v>
      </c>
      <c r="AP1056" s="260"/>
      <c r="AQ1056" s="264"/>
      <c r="AR1056" s="264" t="str">
        <f>VLOOKUP($I1056,TableInputsData[],ReadMe!$M$3,FALSE)&amp;"  |  "&amp;VLOOKUP($K1056,TableInputsData[],ReadMe!$M$3,FALSE)</f>
        <v>SERVICE 05  |  PRIX MOYEN D'ACHAT PAR PRODUIT/SERVICE</v>
      </c>
      <c r="AS1056" s="264"/>
      <c r="AT1056" s="294"/>
    </row>
    <row r="1057" spans="1:46" ht="13" x14ac:dyDescent="0.2">
      <c r="A1057" s="294"/>
      <c r="B1057" s="924"/>
      <c r="C1057" s="273">
        <v>1050</v>
      </c>
      <c r="D1057" s="253">
        <v>0</v>
      </c>
      <c r="E1057" s="253">
        <v>1</v>
      </c>
      <c r="F1057" s="252"/>
      <c r="G1057" s="253"/>
      <c r="H1057" s="253"/>
      <c r="I1057" s="252"/>
      <c r="J1057" s="252"/>
      <c r="K1057" s="252"/>
      <c r="L1057" s="257"/>
      <c r="M1057" s="257"/>
      <c r="N1057" s="257"/>
      <c r="O1057" s="267"/>
      <c r="P1057" s="262"/>
      <c r="Q1057" s="262"/>
      <c r="R1057" s="262"/>
      <c r="S1057" s="631"/>
      <c r="T1057" s="631"/>
      <c r="U1057" s="631"/>
      <c r="V1057" s="631"/>
      <c r="W1057" s="262"/>
      <c r="X1057" s="262"/>
      <c r="Y1057" s="262"/>
      <c r="Z1057" s="262"/>
      <c r="AA1057" s="262"/>
      <c r="AB1057" s="262"/>
      <c r="AC1057" s="267"/>
      <c r="AD1057" s="635"/>
      <c r="AE1057" s="270"/>
      <c r="AF1057" s="270"/>
      <c r="AG1057" s="270"/>
      <c r="AH1057" s="270"/>
      <c r="AI1057" s="270"/>
      <c r="AJ1057" s="270"/>
      <c r="AK1057" s="270"/>
      <c r="AL1057" s="270"/>
      <c r="AM1057" s="270"/>
      <c r="AN1057" s="643"/>
      <c r="AO1057" s="270"/>
      <c r="AP1057" s="270"/>
      <c r="AQ1057" s="270"/>
      <c r="AR1057" s="270"/>
      <c r="AS1057" s="270"/>
      <c r="AT1057" s="294"/>
    </row>
    <row r="1058" spans="1:46" ht="13" hidden="1" x14ac:dyDescent="0.2">
      <c r="A1058" s="294"/>
      <c r="B1058" s="925" t="str">
        <f>I1059&amp;"___"</f>
        <v>SERVICE 06___</v>
      </c>
      <c r="C1058" s="271">
        <v>1051</v>
      </c>
      <c r="D1058" s="250">
        <v>0</v>
      </c>
      <c r="E1058" s="250"/>
      <c r="F1058" s="248"/>
      <c r="G1058" s="250"/>
      <c r="H1058" s="250"/>
      <c r="I1058" s="248"/>
      <c r="J1058" s="248"/>
      <c r="K1058" s="248"/>
      <c r="L1058" s="254"/>
      <c r="M1058" s="254"/>
      <c r="N1058" s="254"/>
      <c r="O1058" s="264"/>
      <c r="P1058" s="259"/>
      <c r="Q1058" s="259"/>
      <c r="R1058" s="259"/>
      <c r="S1058" s="628"/>
      <c r="T1058" s="628"/>
      <c r="U1058" s="628"/>
      <c r="V1058" s="628"/>
      <c r="W1058" s="259"/>
      <c r="X1058" s="259"/>
      <c r="Y1058" s="259"/>
      <c r="Z1058" s="259"/>
      <c r="AA1058" s="259"/>
      <c r="AB1058" s="259"/>
      <c r="AC1058" s="264"/>
      <c r="AD1058" s="609"/>
      <c r="AE1058" s="269"/>
      <c r="AF1058" s="269"/>
      <c r="AG1058" s="269"/>
      <c r="AH1058" s="269"/>
      <c r="AI1058" s="269"/>
      <c r="AJ1058" s="269"/>
      <c r="AK1058" s="269"/>
      <c r="AL1058" s="269"/>
      <c r="AM1058" s="269"/>
      <c r="AN1058" s="642"/>
      <c r="AO1058" s="269"/>
      <c r="AP1058" s="269"/>
      <c r="AQ1058" s="269"/>
      <c r="AR1058" s="269"/>
      <c r="AS1058" s="269"/>
      <c r="AT1058" s="294"/>
    </row>
    <row r="1059" spans="1:46" ht="13" x14ac:dyDescent="0.2">
      <c r="A1059" s="294"/>
      <c r="B1059" s="925"/>
      <c r="C1059" s="271">
        <v>1052</v>
      </c>
      <c r="D1059" s="250">
        <f>VLOOKUP($I1059,TableInputsData[],$D$6,FALSE)</f>
        <v>0</v>
      </c>
      <c r="E1059" s="250">
        <v>1</v>
      </c>
      <c r="F1059" s="248" t="s">
        <v>392</v>
      </c>
      <c r="G1059" s="250">
        <f>VLOOKUP(F1059,TableInputsData[],$G$6,FALSE)</f>
        <v>2023</v>
      </c>
      <c r="H1059" s="250" t="s">
        <v>121</v>
      </c>
      <c r="I1059" s="248" t="s">
        <v>551</v>
      </c>
      <c r="J1059" s="248" t="str">
        <f>VLOOKUP(I1059,TableInputsData[],$J$6,FALSE)</f>
        <v>-</v>
      </c>
      <c r="K1059" s="248" t="s">
        <v>261</v>
      </c>
      <c r="L1059" s="499">
        <v>1000</v>
      </c>
      <c r="M1059" s="499">
        <v>0</v>
      </c>
      <c r="N1059" s="499">
        <v>0</v>
      </c>
      <c r="O1059" s="264">
        <f t="shared" ref="O1059:O1066" si="2584">$L1059*$P1059+$M1059*$Q1059+$N1059*$R1059</f>
        <v>1000</v>
      </c>
      <c r="P1059" s="500">
        <v>1</v>
      </c>
      <c r="Q1059" s="500">
        <v>0</v>
      </c>
      <c r="R1059" s="259">
        <f>1-$P1059-$Q1059</f>
        <v>0</v>
      </c>
      <c r="S1059" s="626">
        <v>500</v>
      </c>
      <c r="T1059" s="626">
        <v>0</v>
      </c>
      <c r="U1059" s="626">
        <v>0</v>
      </c>
      <c r="V1059" s="628">
        <f>($L1059*$P1059*$S1059+$M1059*$Q1059*$T1059+$N1059*$R1059*$U1059)/$O1059</f>
        <v>500</v>
      </c>
      <c r="W1059" s="500">
        <v>1</v>
      </c>
      <c r="X1059" s="500">
        <v>1</v>
      </c>
      <c r="Y1059" s="500">
        <v>1</v>
      </c>
      <c r="Z1059" s="259">
        <f t="shared" ref="Z1059:Z1066" si="2585">1-$W1059</f>
        <v>0</v>
      </c>
      <c r="AA1059" s="259">
        <f t="shared" ref="AA1059:AA1066" si="2586">1-$X1059</f>
        <v>0</v>
      </c>
      <c r="AB1059" s="259">
        <f t="shared" ref="AB1059:AB1066" si="2587">1-$Y1059</f>
        <v>0</v>
      </c>
      <c r="AC1059" s="628">
        <f>AM1091</f>
        <v>0</v>
      </c>
      <c r="AD1059" s="628">
        <f>AO1091</f>
        <v>0</v>
      </c>
      <c r="AE1059" s="501">
        <v>0</v>
      </c>
      <c r="AF1059" s="501">
        <v>0</v>
      </c>
      <c r="AG1059" s="501">
        <v>0</v>
      </c>
      <c r="AH1059" s="501">
        <v>0</v>
      </c>
      <c r="AI1059" s="264">
        <f>$AE1059+$AF1059+$AG1059+$AH1059</f>
        <v>0</v>
      </c>
      <c r="AJ1059" s="264">
        <f t="shared" ref="AJ1059:AJ1066" si="2588">$AI1059*$P1059</f>
        <v>0</v>
      </c>
      <c r="AK1059" s="264">
        <f t="shared" ref="AK1059:AK1066" si="2589">$AI1059*$Q1059</f>
        <v>0</v>
      </c>
      <c r="AL1059" s="264">
        <f t="shared" ref="AL1059:AL1066" si="2590">$AI1059*$R1059</f>
        <v>0</v>
      </c>
      <c r="AM1059" s="264">
        <f t="shared" ref="AM1059:AM1066" si="2591">$AJ1059*$W1059+$AK1059*$X1059+$AL1059*$Y1059</f>
        <v>0</v>
      </c>
      <c r="AN1059" s="640">
        <f>IF(AI1059=0,0,AM1059/AI1059)</f>
        <v>0</v>
      </c>
      <c r="AO1059" s="264">
        <f t="shared" ref="AO1059:AO1066" si="2592">$AJ1059*$Z1059+$AK1059*$AA1059+$AL1059*$AB1059</f>
        <v>0</v>
      </c>
      <c r="AP1059" s="640">
        <f t="shared" ref="AP1059:AP1074" si="2593">IF(AI1059=0,0,AO1059/AI1059)</f>
        <v>0</v>
      </c>
      <c r="AQ1059" s="264" t="str">
        <f>VLOOKUP(I1059,TableInputsData[],$AQ$6,FALSE)</f>
        <v>GAMME # : 1 + CANAL DE DISTRIBUTION # : 1</v>
      </c>
      <c r="AR1059" s="264" t="str">
        <f>VLOOKUP($I1059,TableInputsData[],ReadMe!$M$3,FALSE)&amp;"  |  "&amp;VLOOKUP($K1059,TableInputsData[],ReadMe!$M$3,FALSE)</f>
        <v>SERVICE 06  |  VOLUME</v>
      </c>
      <c r="AS1059" s="264" t="b">
        <f t="shared" ref="AS1059:AS1066" si="2594">AND(EXACT(ROUND(AI1059,2),ROUND(AJ1059+AK1059+AL1059,2)),EXACT(ROUND(AI1059,2),ROUND(AM1059+AO1059,2)),EXACT(SUM(P1059:R1059),1),IF(R1059&lt;0,FALSE,TRUE),EXACT(SUM(W1059:AB1059),3),MIN(W1059:Y1059)&gt;=0, MAX(W1059:Y1059)&lt;=1)</f>
        <v>1</v>
      </c>
      <c r="AT1059" s="294"/>
    </row>
    <row r="1060" spans="1:46" ht="13" x14ac:dyDescent="0.2">
      <c r="A1060" s="294"/>
      <c r="B1060" s="925"/>
      <c r="C1060" s="271">
        <v>1053</v>
      </c>
      <c r="D1060" s="250">
        <f>D1059</f>
        <v>0</v>
      </c>
      <c r="E1060" s="250">
        <v>1</v>
      </c>
      <c r="F1060" s="248" t="s">
        <v>391</v>
      </c>
      <c r="G1060" s="250">
        <f>VLOOKUP(F1060,TableInputsData[],$G$6,FALSE)</f>
        <v>2024</v>
      </c>
      <c r="H1060" s="250" t="str">
        <f>H1059</f>
        <v>SERVICE</v>
      </c>
      <c r="I1060" s="248" t="str">
        <f>I1059</f>
        <v>SERVICE 06</v>
      </c>
      <c r="J1060" s="248" t="str">
        <f>VLOOKUP(I1060,TableInputsData[],$J$6,FALSE)</f>
        <v>-</v>
      </c>
      <c r="K1060" s="248" t="str">
        <f>K1059</f>
        <v>VOLUME</v>
      </c>
      <c r="L1060" s="499">
        <v>1000</v>
      </c>
      <c r="M1060" s="499">
        <v>0</v>
      </c>
      <c r="N1060" s="499">
        <v>0</v>
      </c>
      <c r="O1060" s="264">
        <f t="shared" si="2584"/>
        <v>1000</v>
      </c>
      <c r="P1060" s="500">
        <v>1</v>
      </c>
      <c r="Q1060" s="500">
        <v>0</v>
      </c>
      <c r="R1060" s="259">
        <f t="shared" ref="R1060:R1066" si="2595">1-$P1060-$Q1060</f>
        <v>0</v>
      </c>
      <c r="S1060" s="626">
        <v>500</v>
      </c>
      <c r="T1060" s="626">
        <v>0</v>
      </c>
      <c r="U1060" s="626">
        <v>0</v>
      </c>
      <c r="V1060" s="628">
        <f t="shared" ref="V1060:V1066" si="2596">($L1060*$P1060*$S1060+$M1060*$Q1060*$T1060+$N1060*$R1060*$U1060)/$O1060</f>
        <v>500</v>
      </c>
      <c r="W1060" s="500">
        <v>1</v>
      </c>
      <c r="X1060" s="500">
        <v>1</v>
      </c>
      <c r="Y1060" s="500">
        <v>1</v>
      </c>
      <c r="Z1060" s="259">
        <f t="shared" si="2585"/>
        <v>0</v>
      </c>
      <c r="AA1060" s="259">
        <f t="shared" si="2586"/>
        <v>0</v>
      </c>
      <c r="AB1060" s="259">
        <f t="shared" si="2587"/>
        <v>0</v>
      </c>
      <c r="AC1060" s="628">
        <f t="shared" ref="AC1060:AC1066" si="2597">AM1092</f>
        <v>0</v>
      </c>
      <c r="AD1060" s="628">
        <f t="shared" ref="AD1060:AD1066" si="2598">AO1092</f>
        <v>0</v>
      </c>
      <c r="AE1060" s="501">
        <v>0</v>
      </c>
      <c r="AF1060" s="501">
        <v>0</v>
      </c>
      <c r="AG1060" s="501">
        <v>0</v>
      </c>
      <c r="AH1060" s="501">
        <v>0</v>
      </c>
      <c r="AI1060" s="264">
        <f>$AE1060+$AF1060+$AG1060+$AH1060</f>
        <v>0</v>
      </c>
      <c r="AJ1060" s="264">
        <f t="shared" si="2588"/>
        <v>0</v>
      </c>
      <c r="AK1060" s="264">
        <f t="shared" si="2589"/>
        <v>0</v>
      </c>
      <c r="AL1060" s="264">
        <f t="shared" si="2590"/>
        <v>0</v>
      </c>
      <c r="AM1060" s="264">
        <f t="shared" si="2591"/>
        <v>0</v>
      </c>
      <c r="AN1060" s="640">
        <f t="shared" ref="AN1060:AN1074" si="2599">IF(AI1060=0,0,AM1060/AI1060)</f>
        <v>0</v>
      </c>
      <c r="AO1060" s="264">
        <f t="shared" si="2592"/>
        <v>0</v>
      </c>
      <c r="AP1060" s="640">
        <f t="shared" si="2593"/>
        <v>0</v>
      </c>
      <c r="AQ1060" s="501"/>
      <c r="AR1060" s="264" t="str">
        <f>VLOOKUP($I1060,TableInputsData[],ReadMe!$M$3,FALSE)&amp;"  |  "&amp;VLOOKUP($K1060,TableInputsData[],ReadMe!$M$3,FALSE)</f>
        <v>SERVICE 06  |  VOLUME</v>
      </c>
      <c r="AS1060" s="264" t="b">
        <f t="shared" si="2594"/>
        <v>1</v>
      </c>
      <c r="AT1060" s="294"/>
    </row>
    <row r="1061" spans="1:46" ht="13" x14ac:dyDescent="0.2">
      <c r="A1061" s="294"/>
      <c r="B1061" s="925"/>
      <c r="C1061" s="271">
        <v>1054</v>
      </c>
      <c r="D1061" s="250">
        <f t="shared" ref="D1061:D1098" si="2600">D1060</f>
        <v>0</v>
      </c>
      <c r="E1061" s="250">
        <v>1</v>
      </c>
      <c r="F1061" s="248" t="s">
        <v>393</v>
      </c>
      <c r="G1061" s="250">
        <f>VLOOKUP(F1061,TableInputsData[],$G$6,FALSE)</f>
        <v>2025</v>
      </c>
      <c r="H1061" s="250" t="str">
        <f t="shared" ref="H1061:I1098" si="2601">H1060</f>
        <v>SERVICE</v>
      </c>
      <c r="I1061" s="248" t="str">
        <f t="shared" si="2601"/>
        <v>SERVICE 06</v>
      </c>
      <c r="J1061" s="248" t="str">
        <f>VLOOKUP(I1061,TableInputsData[],$J$6,FALSE)</f>
        <v>-</v>
      </c>
      <c r="K1061" s="248" t="str">
        <f t="shared" ref="K1061:K1066" si="2602">K1060</f>
        <v>VOLUME</v>
      </c>
      <c r="L1061" s="499">
        <v>1000</v>
      </c>
      <c r="M1061" s="499">
        <v>0</v>
      </c>
      <c r="N1061" s="499">
        <v>0</v>
      </c>
      <c r="O1061" s="264">
        <f t="shared" si="2584"/>
        <v>1000</v>
      </c>
      <c r="P1061" s="500">
        <v>1</v>
      </c>
      <c r="Q1061" s="500">
        <v>0</v>
      </c>
      <c r="R1061" s="259">
        <f t="shared" si="2595"/>
        <v>0</v>
      </c>
      <c r="S1061" s="626">
        <v>500</v>
      </c>
      <c r="T1061" s="626">
        <v>0</v>
      </c>
      <c r="U1061" s="626">
        <v>0</v>
      </c>
      <c r="V1061" s="628">
        <f t="shared" si="2596"/>
        <v>500</v>
      </c>
      <c r="W1061" s="500">
        <v>1</v>
      </c>
      <c r="X1061" s="500">
        <v>1</v>
      </c>
      <c r="Y1061" s="500">
        <v>1</v>
      </c>
      <c r="Z1061" s="259">
        <f t="shared" si="2585"/>
        <v>0</v>
      </c>
      <c r="AA1061" s="259">
        <f t="shared" si="2586"/>
        <v>0</v>
      </c>
      <c r="AB1061" s="259">
        <f t="shared" si="2587"/>
        <v>0</v>
      </c>
      <c r="AC1061" s="628">
        <f t="shared" si="2597"/>
        <v>0</v>
      </c>
      <c r="AD1061" s="628">
        <f t="shared" si="2598"/>
        <v>0</v>
      </c>
      <c r="AE1061" s="501">
        <v>0</v>
      </c>
      <c r="AF1061" s="501">
        <v>0</v>
      </c>
      <c r="AG1061" s="501">
        <v>0</v>
      </c>
      <c r="AH1061" s="501">
        <v>0</v>
      </c>
      <c r="AI1061" s="264">
        <f>$AE1061+$AF1061+$AG1061+$AH1061</f>
        <v>0</v>
      </c>
      <c r="AJ1061" s="264">
        <f t="shared" si="2588"/>
        <v>0</v>
      </c>
      <c r="AK1061" s="264">
        <f t="shared" si="2589"/>
        <v>0</v>
      </c>
      <c r="AL1061" s="264">
        <f t="shared" si="2590"/>
        <v>0</v>
      </c>
      <c r="AM1061" s="264">
        <f t="shared" si="2591"/>
        <v>0</v>
      </c>
      <c r="AN1061" s="640">
        <f t="shared" si="2599"/>
        <v>0</v>
      </c>
      <c r="AO1061" s="264">
        <f t="shared" si="2592"/>
        <v>0</v>
      </c>
      <c r="AP1061" s="640">
        <f t="shared" si="2593"/>
        <v>0</v>
      </c>
      <c r="AQ1061" s="501"/>
      <c r="AR1061" s="264" t="str">
        <f>VLOOKUP($I1061,TableInputsData[],ReadMe!$M$3,FALSE)&amp;"  |  "&amp;VLOOKUP($K1061,TableInputsData[],ReadMe!$M$3,FALSE)</f>
        <v>SERVICE 06  |  VOLUME</v>
      </c>
      <c r="AS1061" s="264" t="b">
        <f t="shared" si="2594"/>
        <v>1</v>
      </c>
      <c r="AT1061" s="294"/>
    </row>
    <row r="1062" spans="1:46" ht="13" x14ac:dyDescent="0.2">
      <c r="A1062" s="294"/>
      <c r="B1062" s="925"/>
      <c r="C1062" s="271">
        <v>1055</v>
      </c>
      <c r="D1062" s="250">
        <f t="shared" si="2600"/>
        <v>0</v>
      </c>
      <c r="E1062" s="250">
        <v>1</v>
      </c>
      <c r="F1062" s="248" t="s">
        <v>396</v>
      </c>
      <c r="G1062" s="250">
        <f>VLOOKUP(F1062,TableInputsData[],$G$6,FALSE)</f>
        <v>2026</v>
      </c>
      <c r="H1062" s="250" t="str">
        <f t="shared" si="2601"/>
        <v>SERVICE</v>
      </c>
      <c r="I1062" s="248" t="str">
        <f t="shared" si="2601"/>
        <v>SERVICE 06</v>
      </c>
      <c r="J1062" s="248" t="str">
        <f>VLOOKUP(I1062,TableInputsData[],$J$6,FALSE)</f>
        <v>-</v>
      </c>
      <c r="K1062" s="248" t="str">
        <f t="shared" si="2602"/>
        <v>VOLUME</v>
      </c>
      <c r="L1062" s="499">
        <v>1000</v>
      </c>
      <c r="M1062" s="499">
        <v>0</v>
      </c>
      <c r="N1062" s="499">
        <v>0</v>
      </c>
      <c r="O1062" s="264">
        <f t="shared" si="2584"/>
        <v>1000</v>
      </c>
      <c r="P1062" s="500">
        <v>1</v>
      </c>
      <c r="Q1062" s="500">
        <v>0</v>
      </c>
      <c r="R1062" s="259">
        <f t="shared" si="2595"/>
        <v>0</v>
      </c>
      <c r="S1062" s="626">
        <v>500</v>
      </c>
      <c r="T1062" s="626">
        <v>0</v>
      </c>
      <c r="U1062" s="626">
        <v>0</v>
      </c>
      <c r="V1062" s="628">
        <f t="shared" si="2596"/>
        <v>500</v>
      </c>
      <c r="W1062" s="500">
        <v>1</v>
      </c>
      <c r="X1062" s="500">
        <v>1</v>
      </c>
      <c r="Y1062" s="500">
        <v>1</v>
      </c>
      <c r="Z1062" s="259">
        <f t="shared" si="2585"/>
        <v>0</v>
      </c>
      <c r="AA1062" s="259">
        <f t="shared" si="2586"/>
        <v>0</v>
      </c>
      <c r="AB1062" s="259">
        <f t="shared" si="2587"/>
        <v>0</v>
      </c>
      <c r="AC1062" s="628">
        <f t="shared" si="2597"/>
        <v>0</v>
      </c>
      <c r="AD1062" s="628">
        <f t="shared" si="2598"/>
        <v>0</v>
      </c>
      <c r="AE1062" s="501">
        <v>0</v>
      </c>
      <c r="AF1062" s="501">
        <v>0</v>
      </c>
      <c r="AG1062" s="501">
        <v>0</v>
      </c>
      <c r="AH1062" s="501">
        <v>0</v>
      </c>
      <c r="AI1062" s="264">
        <f>$AE1062+$AF1062+$AG1062+$AH1062</f>
        <v>0</v>
      </c>
      <c r="AJ1062" s="264">
        <f t="shared" si="2588"/>
        <v>0</v>
      </c>
      <c r="AK1062" s="264">
        <f t="shared" si="2589"/>
        <v>0</v>
      </c>
      <c r="AL1062" s="264">
        <f t="shared" si="2590"/>
        <v>0</v>
      </c>
      <c r="AM1062" s="264">
        <f t="shared" si="2591"/>
        <v>0</v>
      </c>
      <c r="AN1062" s="640">
        <f t="shared" si="2599"/>
        <v>0</v>
      </c>
      <c r="AO1062" s="264">
        <f t="shared" si="2592"/>
        <v>0</v>
      </c>
      <c r="AP1062" s="640">
        <f t="shared" si="2593"/>
        <v>0</v>
      </c>
      <c r="AQ1062" s="501"/>
      <c r="AR1062" s="264" t="str">
        <f>VLOOKUP($I1062,TableInputsData[],ReadMe!$M$3,FALSE)&amp;"  |  "&amp;VLOOKUP($K1062,TableInputsData[],ReadMe!$M$3,FALSE)</f>
        <v>SERVICE 06  |  VOLUME</v>
      </c>
      <c r="AS1062" s="264" t="b">
        <f t="shared" si="2594"/>
        <v>1</v>
      </c>
      <c r="AT1062" s="294"/>
    </row>
    <row r="1063" spans="1:46" ht="13" x14ac:dyDescent="0.2">
      <c r="A1063" s="294"/>
      <c r="B1063" s="925"/>
      <c r="C1063" s="271">
        <v>1056</v>
      </c>
      <c r="D1063" s="250">
        <f t="shared" si="2600"/>
        <v>0</v>
      </c>
      <c r="E1063" s="250">
        <v>1</v>
      </c>
      <c r="F1063" s="248" t="s">
        <v>397</v>
      </c>
      <c r="G1063" s="250">
        <f>VLOOKUP(F1063,TableInputsData[],$G$6,FALSE)</f>
        <v>2027</v>
      </c>
      <c r="H1063" s="250" t="str">
        <f t="shared" si="2601"/>
        <v>SERVICE</v>
      </c>
      <c r="I1063" s="248" t="str">
        <f t="shared" si="2601"/>
        <v>SERVICE 06</v>
      </c>
      <c r="J1063" s="248" t="str">
        <f>VLOOKUP(I1063,TableInputsData[],$J$6,FALSE)</f>
        <v>-</v>
      </c>
      <c r="K1063" s="248" t="str">
        <f t="shared" si="2602"/>
        <v>VOLUME</v>
      </c>
      <c r="L1063" s="499">
        <v>1000</v>
      </c>
      <c r="M1063" s="499">
        <v>0</v>
      </c>
      <c r="N1063" s="499">
        <v>0</v>
      </c>
      <c r="O1063" s="264">
        <f t="shared" si="2584"/>
        <v>1000</v>
      </c>
      <c r="P1063" s="500">
        <v>1</v>
      </c>
      <c r="Q1063" s="500">
        <v>0</v>
      </c>
      <c r="R1063" s="259">
        <f t="shared" si="2595"/>
        <v>0</v>
      </c>
      <c r="S1063" s="626">
        <v>500</v>
      </c>
      <c r="T1063" s="626">
        <v>0</v>
      </c>
      <c r="U1063" s="626">
        <v>0</v>
      </c>
      <c r="V1063" s="628">
        <f t="shared" si="2596"/>
        <v>500</v>
      </c>
      <c r="W1063" s="500">
        <v>1</v>
      </c>
      <c r="X1063" s="500">
        <v>1</v>
      </c>
      <c r="Y1063" s="500">
        <v>1</v>
      </c>
      <c r="Z1063" s="259">
        <f t="shared" si="2585"/>
        <v>0</v>
      </c>
      <c r="AA1063" s="259">
        <f t="shared" si="2586"/>
        <v>0</v>
      </c>
      <c r="AB1063" s="259">
        <f t="shared" si="2587"/>
        <v>0</v>
      </c>
      <c r="AC1063" s="628">
        <f t="shared" si="2597"/>
        <v>0</v>
      </c>
      <c r="AD1063" s="628">
        <f t="shared" si="2598"/>
        <v>0</v>
      </c>
      <c r="AE1063" s="264">
        <f>$AI1063/4</f>
        <v>0</v>
      </c>
      <c r="AF1063" s="264">
        <f t="shared" ref="AF1063:AH1066" si="2603">$AI1063/4</f>
        <v>0</v>
      </c>
      <c r="AG1063" s="264">
        <f t="shared" si="2603"/>
        <v>0</v>
      </c>
      <c r="AH1063" s="264">
        <f t="shared" si="2603"/>
        <v>0</v>
      </c>
      <c r="AI1063" s="501">
        <v>0</v>
      </c>
      <c r="AJ1063" s="264">
        <f t="shared" si="2588"/>
        <v>0</v>
      </c>
      <c r="AK1063" s="264">
        <f t="shared" si="2589"/>
        <v>0</v>
      </c>
      <c r="AL1063" s="264">
        <f t="shared" si="2590"/>
        <v>0</v>
      </c>
      <c r="AM1063" s="264">
        <f t="shared" si="2591"/>
        <v>0</v>
      </c>
      <c r="AN1063" s="640">
        <f t="shared" si="2599"/>
        <v>0</v>
      </c>
      <c r="AO1063" s="264">
        <f t="shared" si="2592"/>
        <v>0</v>
      </c>
      <c r="AP1063" s="640">
        <f t="shared" si="2593"/>
        <v>0</v>
      </c>
      <c r="AQ1063" s="501"/>
      <c r="AR1063" s="264" t="str">
        <f>VLOOKUP($I1063,TableInputsData[],ReadMe!$M$3,FALSE)&amp;"  |  "&amp;VLOOKUP($K1063,TableInputsData[],ReadMe!$M$3,FALSE)</f>
        <v>SERVICE 06  |  VOLUME</v>
      </c>
      <c r="AS1063" s="264" t="b">
        <f t="shared" si="2594"/>
        <v>1</v>
      </c>
      <c r="AT1063" s="294"/>
    </row>
    <row r="1064" spans="1:46" ht="13" x14ac:dyDescent="0.2">
      <c r="A1064" s="294"/>
      <c r="B1064" s="925"/>
      <c r="C1064" s="271">
        <v>1057</v>
      </c>
      <c r="D1064" s="250">
        <f t="shared" si="2600"/>
        <v>0</v>
      </c>
      <c r="E1064" s="250">
        <v>1</v>
      </c>
      <c r="F1064" s="248" t="s">
        <v>398</v>
      </c>
      <c r="G1064" s="250">
        <f>VLOOKUP(F1064,TableInputsData[],$G$6,FALSE)</f>
        <v>2028</v>
      </c>
      <c r="H1064" s="250" t="str">
        <f t="shared" si="2601"/>
        <v>SERVICE</v>
      </c>
      <c r="I1064" s="248" t="str">
        <f t="shared" si="2601"/>
        <v>SERVICE 06</v>
      </c>
      <c r="J1064" s="248" t="str">
        <f>VLOOKUP(I1064,TableInputsData[],$J$6,FALSE)</f>
        <v>-</v>
      </c>
      <c r="K1064" s="248" t="str">
        <f t="shared" si="2602"/>
        <v>VOLUME</v>
      </c>
      <c r="L1064" s="499">
        <v>1000</v>
      </c>
      <c r="M1064" s="499">
        <v>0</v>
      </c>
      <c r="N1064" s="499">
        <v>0</v>
      </c>
      <c r="O1064" s="264">
        <f t="shared" si="2584"/>
        <v>1000</v>
      </c>
      <c r="P1064" s="500">
        <v>1</v>
      </c>
      <c r="Q1064" s="500">
        <v>0</v>
      </c>
      <c r="R1064" s="259">
        <f t="shared" si="2595"/>
        <v>0</v>
      </c>
      <c r="S1064" s="626">
        <v>500</v>
      </c>
      <c r="T1064" s="626">
        <v>0</v>
      </c>
      <c r="U1064" s="626">
        <v>0</v>
      </c>
      <c r="V1064" s="628">
        <f t="shared" si="2596"/>
        <v>500</v>
      </c>
      <c r="W1064" s="500">
        <v>1</v>
      </c>
      <c r="X1064" s="500">
        <v>1</v>
      </c>
      <c r="Y1064" s="500">
        <v>1</v>
      </c>
      <c r="Z1064" s="259">
        <f t="shared" si="2585"/>
        <v>0</v>
      </c>
      <c r="AA1064" s="259">
        <f t="shared" si="2586"/>
        <v>0</v>
      </c>
      <c r="AB1064" s="259">
        <f t="shared" si="2587"/>
        <v>0</v>
      </c>
      <c r="AC1064" s="628">
        <f t="shared" si="2597"/>
        <v>0</v>
      </c>
      <c r="AD1064" s="628">
        <f t="shared" si="2598"/>
        <v>0</v>
      </c>
      <c r="AE1064" s="264">
        <f t="shared" ref="AE1064:AE1066" si="2604">$AI1064/4</f>
        <v>0</v>
      </c>
      <c r="AF1064" s="264">
        <f t="shared" si="2603"/>
        <v>0</v>
      </c>
      <c r="AG1064" s="264">
        <f t="shared" si="2603"/>
        <v>0</v>
      </c>
      <c r="AH1064" s="264">
        <f t="shared" si="2603"/>
        <v>0</v>
      </c>
      <c r="AI1064" s="501">
        <v>0</v>
      </c>
      <c r="AJ1064" s="264">
        <f t="shared" si="2588"/>
        <v>0</v>
      </c>
      <c r="AK1064" s="264">
        <f t="shared" si="2589"/>
        <v>0</v>
      </c>
      <c r="AL1064" s="264">
        <f t="shared" si="2590"/>
        <v>0</v>
      </c>
      <c r="AM1064" s="264">
        <f t="shared" si="2591"/>
        <v>0</v>
      </c>
      <c r="AN1064" s="640">
        <f t="shared" si="2599"/>
        <v>0</v>
      </c>
      <c r="AO1064" s="264">
        <f t="shared" si="2592"/>
        <v>0</v>
      </c>
      <c r="AP1064" s="640">
        <f t="shared" si="2593"/>
        <v>0</v>
      </c>
      <c r="AQ1064" s="501"/>
      <c r="AR1064" s="264" t="str">
        <f>VLOOKUP($I1064,TableInputsData[],ReadMe!$M$3,FALSE)&amp;"  |  "&amp;VLOOKUP($K1064,TableInputsData[],ReadMe!$M$3,FALSE)</f>
        <v>SERVICE 06  |  VOLUME</v>
      </c>
      <c r="AS1064" s="264" t="b">
        <f t="shared" si="2594"/>
        <v>1</v>
      </c>
      <c r="AT1064" s="294"/>
    </row>
    <row r="1065" spans="1:46" ht="13" x14ac:dyDescent="0.2">
      <c r="A1065" s="294"/>
      <c r="B1065" s="925"/>
      <c r="C1065" s="271">
        <v>1058</v>
      </c>
      <c r="D1065" s="250">
        <f t="shared" si="2600"/>
        <v>0</v>
      </c>
      <c r="E1065" s="250">
        <v>1</v>
      </c>
      <c r="F1065" s="248" t="s">
        <v>399</v>
      </c>
      <c r="G1065" s="250">
        <f>VLOOKUP(F1065,TableInputsData[],$G$6,FALSE)</f>
        <v>2029</v>
      </c>
      <c r="H1065" s="250" t="str">
        <f t="shared" si="2601"/>
        <v>SERVICE</v>
      </c>
      <c r="I1065" s="248" t="str">
        <f t="shared" si="2601"/>
        <v>SERVICE 06</v>
      </c>
      <c r="J1065" s="248" t="str">
        <f>VLOOKUP(I1065,TableInputsData[],$J$6,FALSE)</f>
        <v>-</v>
      </c>
      <c r="K1065" s="248" t="str">
        <f t="shared" si="2602"/>
        <v>VOLUME</v>
      </c>
      <c r="L1065" s="499">
        <v>1000</v>
      </c>
      <c r="M1065" s="499">
        <v>0</v>
      </c>
      <c r="N1065" s="499">
        <v>0</v>
      </c>
      <c r="O1065" s="264">
        <f t="shared" si="2584"/>
        <v>1000</v>
      </c>
      <c r="P1065" s="500">
        <v>1</v>
      </c>
      <c r="Q1065" s="500">
        <v>0</v>
      </c>
      <c r="R1065" s="259">
        <f t="shared" si="2595"/>
        <v>0</v>
      </c>
      <c r="S1065" s="626">
        <v>500</v>
      </c>
      <c r="T1065" s="626">
        <v>0</v>
      </c>
      <c r="U1065" s="626">
        <v>0</v>
      </c>
      <c r="V1065" s="628">
        <f t="shared" si="2596"/>
        <v>500</v>
      </c>
      <c r="W1065" s="500">
        <v>1</v>
      </c>
      <c r="X1065" s="500">
        <v>1</v>
      </c>
      <c r="Y1065" s="500">
        <v>1</v>
      </c>
      <c r="Z1065" s="259">
        <f t="shared" si="2585"/>
        <v>0</v>
      </c>
      <c r="AA1065" s="259">
        <f t="shared" si="2586"/>
        <v>0</v>
      </c>
      <c r="AB1065" s="259">
        <f t="shared" si="2587"/>
        <v>0</v>
      </c>
      <c r="AC1065" s="628">
        <f t="shared" si="2597"/>
        <v>0</v>
      </c>
      <c r="AD1065" s="628">
        <f t="shared" si="2598"/>
        <v>0</v>
      </c>
      <c r="AE1065" s="264">
        <f t="shared" si="2604"/>
        <v>0</v>
      </c>
      <c r="AF1065" s="264">
        <f t="shared" si="2603"/>
        <v>0</v>
      </c>
      <c r="AG1065" s="264">
        <f t="shared" si="2603"/>
        <v>0</v>
      </c>
      <c r="AH1065" s="264">
        <f t="shared" si="2603"/>
        <v>0</v>
      </c>
      <c r="AI1065" s="501">
        <v>0</v>
      </c>
      <c r="AJ1065" s="264">
        <f t="shared" si="2588"/>
        <v>0</v>
      </c>
      <c r="AK1065" s="264">
        <f t="shared" si="2589"/>
        <v>0</v>
      </c>
      <c r="AL1065" s="264">
        <f t="shared" si="2590"/>
        <v>0</v>
      </c>
      <c r="AM1065" s="264">
        <f t="shared" si="2591"/>
        <v>0</v>
      </c>
      <c r="AN1065" s="640">
        <f t="shared" si="2599"/>
        <v>0</v>
      </c>
      <c r="AO1065" s="264">
        <f t="shared" si="2592"/>
        <v>0</v>
      </c>
      <c r="AP1065" s="640">
        <f t="shared" si="2593"/>
        <v>0</v>
      </c>
      <c r="AQ1065" s="501"/>
      <c r="AR1065" s="264" t="str">
        <f>VLOOKUP($I1065,TableInputsData[],ReadMe!$M$3,FALSE)&amp;"  |  "&amp;VLOOKUP($K1065,TableInputsData[],ReadMe!$M$3,FALSE)</f>
        <v>SERVICE 06  |  VOLUME</v>
      </c>
      <c r="AS1065" s="264" t="b">
        <f t="shared" si="2594"/>
        <v>1</v>
      </c>
      <c r="AT1065" s="294"/>
    </row>
    <row r="1066" spans="1:46" ht="13" x14ac:dyDescent="0.2">
      <c r="A1066" s="294"/>
      <c r="B1066" s="925"/>
      <c r="C1066" s="271">
        <v>1059</v>
      </c>
      <c r="D1066" s="250">
        <f t="shared" si="2600"/>
        <v>0</v>
      </c>
      <c r="E1066" s="250">
        <v>1</v>
      </c>
      <c r="F1066" s="248" t="s">
        <v>400</v>
      </c>
      <c r="G1066" s="250">
        <f>VLOOKUP(F1066,TableInputsData[],$G$6,FALSE)</f>
        <v>2030</v>
      </c>
      <c r="H1066" s="250" t="str">
        <f t="shared" si="2601"/>
        <v>SERVICE</v>
      </c>
      <c r="I1066" s="248" t="str">
        <f t="shared" si="2601"/>
        <v>SERVICE 06</v>
      </c>
      <c r="J1066" s="248" t="str">
        <f>VLOOKUP(I1066,TableInputsData[],$J$6,FALSE)</f>
        <v>-</v>
      </c>
      <c r="K1066" s="248" t="str">
        <f t="shared" si="2602"/>
        <v>VOLUME</v>
      </c>
      <c r="L1066" s="499">
        <v>1000</v>
      </c>
      <c r="M1066" s="499">
        <v>0</v>
      </c>
      <c r="N1066" s="499">
        <v>0</v>
      </c>
      <c r="O1066" s="264">
        <f t="shared" si="2584"/>
        <v>1000</v>
      </c>
      <c r="P1066" s="500">
        <v>1</v>
      </c>
      <c r="Q1066" s="500">
        <v>0</v>
      </c>
      <c r="R1066" s="259">
        <f t="shared" si="2595"/>
        <v>0</v>
      </c>
      <c r="S1066" s="626">
        <v>500</v>
      </c>
      <c r="T1066" s="626">
        <v>0</v>
      </c>
      <c r="U1066" s="626">
        <v>0</v>
      </c>
      <c r="V1066" s="628">
        <f t="shared" si="2596"/>
        <v>500</v>
      </c>
      <c r="W1066" s="500">
        <v>1</v>
      </c>
      <c r="X1066" s="500">
        <v>1</v>
      </c>
      <c r="Y1066" s="500">
        <v>1</v>
      </c>
      <c r="Z1066" s="259">
        <f t="shared" si="2585"/>
        <v>0</v>
      </c>
      <c r="AA1066" s="259">
        <f t="shared" si="2586"/>
        <v>0</v>
      </c>
      <c r="AB1066" s="259">
        <f t="shared" si="2587"/>
        <v>0</v>
      </c>
      <c r="AC1066" s="628">
        <f t="shared" si="2597"/>
        <v>0</v>
      </c>
      <c r="AD1066" s="628">
        <f t="shared" si="2598"/>
        <v>0</v>
      </c>
      <c r="AE1066" s="264">
        <f t="shared" si="2604"/>
        <v>0</v>
      </c>
      <c r="AF1066" s="264">
        <f t="shared" si="2603"/>
        <v>0</v>
      </c>
      <c r="AG1066" s="264">
        <f t="shared" si="2603"/>
        <v>0</v>
      </c>
      <c r="AH1066" s="264">
        <f t="shared" si="2603"/>
        <v>0</v>
      </c>
      <c r="AI1066" s="501">
        <v>0</v>
      </c>
      <c r="AJ1066" s="264">
        <f t="shared" si="2588"/>
        <v>0</v>
      </c>
      <c r="AK1066" s="264">
        <f t="shared" si="2589"/>
        <v>0</v>
      </c>
      <c r="AL1066" s="264">
        <f t="shared" si="2590"/>
        <v>0</v>
      </c>
      <c r="AM1066" s="264">
        <f t="shared" si="2591"/>
        <v>0</v>
      </c>
      <c r="AN1066" s="640">
        <f t="shared" si="2599"/>
        <v>0</v>
      </c>
      <c r="AO1066" s="264">
        <f t="shared" si="2592"/>
        <v>0</v>
      </c>
      <c r="AP1066" s="640">
        <f t="shared" si="2593"/>
        <v>0</v>
      </c>
      <c r="AQ1066" s="501"/>
      <c r="AR1066" s="264" t="str">
        <f>VLOOKUP($I1066,TableInputsData[],ReadMe!$M$3,FALSE)&amp;"  |  "&amp;VLOOKUP($K1066,TableInputsData[],ReadMe!$M$3,FALSE)</f>
        <v>SERVICE 06  |  VOLUME</v>
      </c>
      <c r="AS1066" s="264" t="b">
        <f t="shared" si="2594"/>
        <v>1</v>
      </c>
      <c r="AT1066" s="294"/>
    </row>
    <row r="1067" spans="1:46" ht="13" hidden="1" x14ac:dyDescent="0.2">
      <c r="A1067" s="294"/>
      <c r="B1067" s="925"/>
      <c r="C1067" s="272">
        <v>1060</v>
      </c>
      <c r="D1067" s="250">
        <f t="shared" si="2600"/>
        <v>0</v>
      </c>
      <c r="E1067" s="251"/>
      <c r="F1067" s="248" t="str">
        <f t="shared" ref="F1067:F1074" si="2605">F1075</f>
        <v>YEAR-2</v>
      </c>
      <c r="G1067" s="250">
        <f>VLOOKUP(F1067,TableInputsData[],$G$6,FALSE)</f>
        <v>2023</v>
      </c>
      <c r="H1067" s="250" t="str">
        <f t="shared" si="2601"/>
        <v>SERVICE</v>
      </c>
      <c r="I1067" s="248" t="str">
        <f t="shared" si="2601"/>
        <v>SERVICE 06</v>
      </c>
      <c r="J1067" s="248" t="str">
        <f>VLOOKUP(I1067,TableInputsData[],$J$6,FALSE)</f>
        <v>-</v>
      </c>
      <c r="K1067" s="248" t="s">
        <v>457</v>
      </c>
      <c r="L1067" s="256"/>
      <c r="M1067" s="256"/>
      <c r="N1067" s="256"/>
      <c r="O1067" s="266"/>
      <c r="P1067" s="261"/>
      <c r="Q1067" s="261"/>
      <c r="R1067" s="261"/>
      <c r="S1067" s="629"/>
      <c r="T1067" s="629"/>
      <c r="U1067" s="629"/>
      <c r="V1067" s="629"/>
      <c r="W1067" s="261"/>
      <c r="X1067" s="261"/>
      <c r="Y1067" s="261"/>
      <c r="Z1067" s="261"/>
      <c r="AA1067" s="261"/>
      <c r="AB1067" s="261"/>
      <c r="AC1067" s="266"/>
      <c r="AD1067" s="633"/>
      <c r="AE1067" s="264">
        <f>AE1059*($L1059*$P1059+$M1059*$Q1059+$N1059*$R1059)</f>
        <v>0</v>
      </c>
      <c r="AF1067" s="264">
        <f t="shared" ref="AF1067:AH1067" si="2606">AF1059*($L1059*$P1059+$M1059*$Q1059+$N1059*$R1059)</f>
        <v>0</v>
      </c>
      <c r="AG1067" s="264">
        <f t="shared" si="2606"/>
        <v>0</v>
      </c>
      <c r="AH1067" s="264">
        <f t="shared" si="2606"/>
        <v>0</v>
      </c>
      <c r="AI1067" s="264">
        <f>$AE1067+$AF1067+$AG1067+$AH1067</f>
        <v>0</v>
      </c>
      <c r="AJ1067" s="264">
        <f t="shared" ref="AJ1067:AJ1074" si="2607">$AJ1059*$L1059</f>
        <v>0</v>
      </c>
      <c r="AK1067" s="264">
        <f t="shared" ref="AK1067:AK1074" si="2608">$AK1059*$M1059</f>
        <v>0</v>
      </c>
      <c r="AL1067" s="264">
        <f t="shared" ref="AL1067:AL1074" si="2609">$AL1059*$N1059</f>
        <v>0</v>
      </c>
      <c r="AM1067" s="264">
        <f t="shared" ref="AM1067:AM1074" si="2610">$AJ1067*$W1059+$AK1067*$X1059+$AL1067*$Y1059</f>
        <v>0</v>
      </c>
      <c r="AN1067" s="640">
        <f t="shared" si="2599"/>
        <v>0</v>
      </c>
      <c r="AO1067" s="264">
        <f t="shared" ref="AO1067:AO1074" si="2611">$AJ1067*$Z1059+$AK1067*$AA1059+$AL1067*$AB1059</f>
        <v>0</v>
      </c>
      <c r="AP1067" s="640">
        <f t="shared" si="2593"/>
        <v>0</v>
      </c>
      <c r="AQ1067" s="264"/>
      <c r="AR1067" s="264" t="str">
        <f>VLOOKUP($I1067,TableInputsData[],ReadMe!$M$3,FALSE)&amp;"  |  "&amp;VLOOKUP($K1067,TableInputsData[],ReadMe!$M$3,FALSE)</f>
        <v>SERVICE 06  |  CHIFFRE D'AFFAIRES</v>
      </c>
      <c r="AS1067" s="264" t="b">
        <f t="shared" ref="AS1067:AS1074" si="2612">AND(EXACT(ROUND(AI1067,2),ROUND(AJ1067+AK1067+AL1067,2)),EXACT(ROUND(AI1067,2),ROUND(AM1067+AO1067,2)))</f>
        <v>1</v>
      </c>
      <c r="AT1067" s="294"/>
    </row>
    <row r="1068" spans="1:46" ht="13" hidden="1" x14ac:dyDescent="0.2">
      <c r="A1068" s="294"/>
      <c r="B1068" s="925"/>
      <c r="C1068" s="271">
        <v>1061</v>
      </c>
      <c r="D1068" s="250">
        <f t="shared" si="2600"/>
        <v>0</v>
      </c>
      <c r="E1068" s="250"/>
      <c r="F1068" s="248" t="str">
        <f t="shared" si="2605"/>
        <v>YEAR-1</v>
      </c>
      <c r="G1068" s="250">
        <f>VLOOKUP(F1068,TableInputsData[],$G$6,FALSE)</f>
        <v>2024</v>
      </c>
      <c r="H1068" s="250" t="str">
        <f t="shared" si="2601"/>
        <v>SERVICE</v>
      </c>
      <c r="I1068" s="248" t="str">
        <f t="shared" si="2601"/>
        <v>SERVICE 06</v>
      </c>
      <c r="J1068" s="248" t="str">
        <f>VLOOKUP(I1068,TableInputsData[],$J$6,FALSE)</f>
        <v>-</v>
      </c>
      <c r="K1068" s="248" t="str">
        <f>K1067</f>
        <v>REVENUE</v>
      </c>
      <c r="L1068" s="255"/>
      <c r="M1068" s="255"/>
      <c r="N1068" s="255"/>
      <c r="O1068" s="265"/>
      <c r="P1068" s="260"/>
      <c r="Q1068" s="260"/>
      <c r="R1068" s="260"/>
      <c r="S1068" s="630"/>
      <c r="T1068" s="630"/>
      <c r="U1068" s="630"/>
      <c r="V1068" s="630"/>
      <c r="W1068" s="260"/>
      <c r="X1068" s="260"/>
      <c r="Y1068" s="260"/>
      <c r="Z1068" s="260"/>
      <c r="AA1068" s="260"/>
      <c r="AB1068" s="260"/>
      <c r="AC1068" s="265"/>
      <c r="AD1068" s="634"/>
      <c r="AE1068" s="264">
        <f t="shared" ref="AE1068:AH1068" si="2613">AE1060*($L1060*$P1060+$M1060*$Q1060+$N1060*$R1060)</f>
        <v>0</v>
      </c>
      <c r="AF1068" s="264">
        <f t="shared" si="2613"/>
        <v>0</v>
      </c>
      <c r="AG1068" s="264">
        <f t="shared" si="2613"/>
        <v>0</v>
      </c>
      <c r="AH1068" s="264">
        <f t="shared" si="2613"/>
        <v>0</v>
      </c>
      <c r="AI1068" s="264">
        <f t="shared" ref="AI1068:AI1073" si="2614">$AE1068+$AF1068+$AG1068+$AH1068</f>
        <v>0</v>
      </c>
      <c r="AJ1068" s="264">
        <f t="shared" si="2607"/>
        <v>0</v>
      </c>
      <c r="AK1068" s="264">
        <f t="shared" si="2608"/>
        <v>0</v>
      </c>
      <c r="AL1068" s="264">
        <f t="shared" si="2609"/>
        <v>0</v>
      </c>
      <c r="AM1068" s="264">
        <f t="shared" si="2610"/>
        <v>0</v>
      </c>
      <c r="AN1068" s="640">
        <f t="shared" si="2599"/>
        <v>0</v>
      </c>
      <c r="AO1068" s="264">
        <f t="shared" si="2611"/>
        <v>0</v>
      </c>
      <c r="AP1068" s="640">
        <f t="shared" si="2593"/>
        <v>0</v>
      </c>
      <c r="AQ1068" s="264"/>
      <c r="AR1068" s="264" t="str">
        <f>VLOOKUP($I1068,TableInputsData[],ReadMe!$M$3,FALSE)&amp;"  |  "&amp;VLOOKUP($K1068,TableInputsData[],ReadMe!$M$3,FALSE)</f>
        <v>SERVICE 06  |  CHIFFRE D'AFFAIRES</v>
      </c>
      <c r="AS1068" s="264" t="b">
        <f t="shared" si="2612"/>
        <v>1</v>
      </c>
      <c r="AT1068" s="294"/>
    </row>
    <row r="1069" spans="1:46" ht="13" hidden="1" x14ac:dyDescent="0.2">
      <c r="A1069" s="294"/>
      <c r="B1069" s="925"/>
      <c r="C1069" s="271">
        <v>1062</v>
      </c>
      <c r="D1069" s="250">
        <f t="shared" si="2600"/>
        <v>0</v>
      </c>
      <c r="E1069" s="250"/>
      <c r="F1069" s="248" t="str">
        <f t="shared" si="2605"/>
        <v>CURRENT YEAR</v>
      </c>
      <c r="G1069" s="250">
        <f>VLOOKUP(F1069,TableInputsData[],$G$6,FALSE)</f>
        <v>2025</v>
      </c>
      <c r="H1069" s="250" t="str">
        <f t="shared" si="2601"/>
        <v>SERVICE</v>
      </c>
      <c r="I1069" s="248" t="str">
        <f t="shared" si="2601"/>
        <v>SERVICE 06</v>
      </c>
      <c r="J1069" s="248" t="str">
        <f>VLOOKUP(I1069,TableInputsData[],$J$6,FALSE)</f>
        <v>-</v>
      </c>
      <c r="K1069" s="248" t="str">
        <f t="shared" ref="K1069:K1074" si="2615">K1068</f>
        <v>REVENUE</v>
      </c>
      <c r="L1069" s="255"/>
      <c r="M1069" s="255"/>
      <c r="N1069" s="255"/>
      <c r="O1069" s="265"/>
      <c r="P1069" s="260"/>
      <c r="Q1069" s="260"/>
      <c r="R1069" s="260"/>
      <c r="S1069" s="630"/>
      <c r="T1069" s="630"/>
      <c r="U1069" s="630"/>
      <c r="V1069" s="630"/>
      <c r="W1069" s="260"/>
      <c r="X1069" s="260"/>
      <c r="Y1069" s="260"/>
      <c r="Z1069" s="260"/>
      <c r="AA1069" s="260"/>
      <c r="AB1069" s="260"/>
      <c r="AC1069" s="265"/>
      <c r="AD1069" s="634"/>
      <c r="AE1069" s="264">
        <f t="shared" ref="AE1069:AH1069" si="2616">AE1061*($L1061*$P1061+$M1061*$Q1061+$N1061*$R1061)</f>
        <v>0</v>
      </c>
      <c r="AF1069" s="264">
        <f t="shared" si="2616"/>
        <v>0</v>
      </c>
      <c r="AG1069" s="264">
        <f t="shared" si="2616"/>
        <v>0</v>
      </c>
      <c r="AH1069" s="264">
        <f t="shared" si="2616"/>
        <v>0</v>
      </c>
      <c r="AI1069" s="264">
        <f t="shared" si="2614"/>
        <v>0</v>
      </c>
      <c r="AJ1069" s="264">
        <f t="shared" si="2607"/>
        <v>0</v>
      </c>
      <c r="AK1069" s="264">
        <f t="shared" si="2608"/>
        <v>0</v>
      </c>
      <c r="AL1069" s="264">
        <f t="shared" si="2609"/>
        <v>0</v>
      </c>
      <c r="AM1069" s="264">
        <f t="shared" si="2610"/>
        <v>0</v>
      </c>
      <c r="AN1069" s="640">
        <f t="shared" si="2599"/>
        <v>0</v>
      </c>
      <c r="AO1069" s="264">
        <f t="shared" si="2611"/>
        <v>0</v>
      </c>
      <c r="AP1069" s="640">
        <f t="shared" si="2593"/>
        <v>0</v>
      </c>
      <c r="AQ1069" s="264"/>
      <c r="AR1069" s="264" t="str">
        <f>VLOOKUP($I1069,TableInputsData[],ReadMe!$M$3,FALSE)&amp;"  |  "&amp;VLOOKUP($K1069,TableInputsData[],ReadMe!$M$3,FALSE)</f>
        <v>SERVICE 06  |  CHIFFRE D'AFFAIRES</v>
      </c>
      <c r="AS1069" s="264" t="b">
        <f t="shared" si="2612"/>
        <v>1</v>
      </c>
      <c r="AT1069" s="294"/>
    </row>
    <row r="1070" spans="1:46" ht="13" hidden="1" x14ac:dyDescent="0.2">
      <c r="A1070" s="294"/>
      <c r="B1070" s="925"/>
      <c r="C1070" s="271">
        <v>1063</v>
      </c>
      <c r="D1070" s="250">
        <f t="shared" si="2600"/>
        <v>0</v>
      </c>
      <c r="E1070" s="250"/>
      <c r="F1070" s="248" t="str">
        <f t="shared" si="2605"/>
        <v>YEAR2</v>
      </c>
      <c r="G1070" s="250">
        <f>VLOOKUP(F1070,TableInputsData[],$G$6,FALSE)</f>
        <v>2026</v>
      </c>
      <c r="H1070" s="250" t="str">
        <f t="shared" si="2601"/>
        <v>SERVICE</v>
      </c>
      <c r="I1070" s="248" t="str">
        <f t="shared" si="2601"/>
        <v>SERVICE 06</v>
      </c>
      <c r="J1070" s="248" t="str">
        <f>VLOOKUP(I1070,TableInputsData[],$J$6,FALSE)</f>
        <v>-</v>
      </c>
      <c r="K1070" s="248" t="str">
        <f t="shared" si="2615"/>
        <v>REVENUE</v>
      </c>
      <c r="L1070" s="255"/>
      <c r="M1070" s="255"/>
      <c r="N1070" s="255"/>
      <c r="O1070" s="265"/>
      <c r="P1070" s="260"/>
      <c r="Q1070" s="260"/>
      <c r="R1070" s="260"/>
      <c r="S1070" s="630"/>
      <c r="T1070" s="630"/>
      <c r="U1070" s="630"/>
      <c r="V1070" s="630"/>
      <c r="W1070" s="260"/>
      <c r="X1070" s="260"/>
      <c r="Y1070" s="260"/>
      <c r="Z1070" s="260"/>
      <c r="AA1070" s="260"/>
      <c r="AB1070" s="260"/>
      <c r="AC1070" s="265"/>
      <c r="AD1070" s="634"/>
      <c r="AE1070" s="264">
        <f t="shared" ref="AE1070:AH1070" si="2617">AE1062*($L1062*$P1062+$M1062*$Q1062+$N1062*$R1062)</f>
        <v>0</v>
      </c>
      <c r="AF1070" s="264">
        <f t="shared" si="2617"/>
        <v>0</v>
      </c>
      <c r="AG1070" s="264">
        <f t="shared" si="2617"/>
        <v>0</v>
      </c>
      <c r="AH1070" s="264">
        <f t="shared" si="2617"/>
        <v>0</v>
      </c>
      <c r="AI1070" s="264">
        <f t="shared" si="2614"/>
        <v>0</v>
      </c>
      <c r="AJ1070" s="264">
        <f t="shared" si="2607"/>
        <v>0</v>
      </c>
      <c r="AK1070" s="264">
        <f t="shared" si="2608"/>
        <v>0</v>
      </c>
      <c r="AL1070" s="264">
        <f t="shared" si="2609"/>
        <v>0</v>
      </c>
      <c r="AM1070" s="264">
        <f t="shared" si="2610"/>
        <v>0</v>
      </c>
      <c r="AN1070" s="640">
        <f t="shared" si="2599"/>
        <v>0</v>
      </c>
      <c r="AO1070" s="264">
        <f t="shared" si="2611"/>
        <v>0</v>
      </c>
      <c r="AP1070" s="640">
        <f t="shared" si="2593"/>
        <v>0</v>
      </c>
      <c r="AQ1070" s="264"/>
      <c r="AR1070" s="264" t="str">
        <f>VLOOKUP($I1070,TableInputsData[],ReadMe!$M$3,FALSE)&amp;"  |  "&amp;VLOOKUP($K1070,TableInputsData[],ReadMe!$M$3,FALSE)</f>
        <v>SERVICE 06  |  CHIFFRE D'AFFAIRES</v>
      </c>
      <c r="AS1070" s="264" t="b">
        <f t="shared" si="2612"/>
        <v>1</v>
      </c>
      <c r="AT1070" s="294"/>
    </row>
    <row r="1071" spans="1:46" ht="13" hidden="1" x14ac:dyDescent="0.2">
      <c r="A1071" s="294"/>
      <c r="B1071" s="925"/>
      <c r="C1071" s="271">
        <v>1064</v>
      </c>
      <c r="D1071" s="250">
        <f t="shared" si="2600"/>
        <v>0</v>
      </c>
      <c r="E1071" s="250"/>
      <c r="F1071" s="248" t="str">
        <f t="shared" si="2605"/>
        <v>YEAR3</v>
      </c>
      <c r="G1071" s="250">
        <f>VLOOKUP(F1071,TableInputsData[],$G$6,FALSE)</f>
        <v>2027</v>
      </c>
      <c r="H1071" s="250" t="str">
        <f t="shared" si="2601"/>
        <v>SERVICE</v>
      </c>
      <c r="I1071" s="248" t="str">
        <f t="shared" si="2601"/>
        <v>SERVICE 06</v>
      </c>
      <c r="J1071" s="248" t="str">
        <f>VLOOKUP(I1071,TableInputsData[],$J$6,FALSE)</f>
        <v>-</v>
      </c>
      <c r="K1071" s="248" t="str">
        <f t="shared" si="2615"/>
        <v>REVENUE</v>
      </c>
      <c r="L1071" s="255"/>
      <c r="M1071" s="255"/>
      <c r="N1071" s="255"/>
      <c r="O1071" s="265"/>
      <c r="P1071" s="260"/>
      <c r="Q1071" s="260"/>
      <c r="R1071" s="260"/>
      <c r="S1071" s="630"/>
      <c r="T1071" s="630"/>
      <c r="U1071" s="630"/>
      <c r="V1071" s="630"/>
      <c r="W1071" s="260"/>
      <c r="X1071" s="260"/>
      <c r="Y1071" s="260"/>
      <c r="Z1071" s="260"/>
      <c r="AA1071" s="260"/>
      <c r="AB1071" s="260"/>
      <c r="AC1071" s="265"/>
      <c r="AD1071" s="634"/>
      <c r="AE1071" s="264">
        <f t="shared" ref="AE1071:AH1071" si="2618">AE1063*($L1063*$P1063+$M1063*$Q1063+$N1063*$R1063)</f>
        <v>0</v>
      </c>
      <c r="AF1071" s="264">
        <f t="shared" si="2618"/>
        <v>0</v>
      </c>
      <c r="AG1071" s="264">
        <f t="shared" si="2618"/>
        <v>0</v>
      </c>
      <c r="AH1071" s="264">
        <f t="shared" si="2618"/>
        <v>0</v>
      </c>
      <c r="AI1071" s="264">
        <f t="shared" si="2614"/>
        <v>0</v>
      </c>
      <c r="AJ1071" s="264">
        <f t="shared" si="2607"/>
        <v>0</v>
      </c>
      <c r="AK1071" s="264">
        <f t="shared" si="2608"/>
        <v>0</v>
      </c>
      <c r="AL1071" s="264">
        <f t="shared" si="2609"/>
        <v>0</v>
      </c>
      <c r="AM1071" s="264">
        <f t="shared" si="2610"/>
        <v>0</v>
      </c>
      <c r="AN1071" s="640">
        <f t="shared" si="2599"/>
        <v>0</v>
      </c>
      <c r="AO1071" s="264">
        <f t="shared" si="2611"/>
        <v>0</v>
      </c>
      <c r="AP1071" s="640">
        <f t="shared" si="2593"/>
        <v>0</v>
      </c>
      <c r="AQ1071" s="264"/>
      <c r="AR1071" s="264" t="str">
        <f>VLOOKUP($I1071,TableInputsData[],ReadMe!$M$3,FALSE)&amp;"  |  "&amp;VLOOKUP($K1071,TableInputsData[],ReadMe!$M$3,FALSE)</f>
        <v>SERVICE 06  |  CHIFFRE D'AFFAIRES</v>
      </c>
      <c r="AS1071" s="264" t="b">
        <f t="shared" si="2612"/>
        <v>1</v>
      </c>
      <c r="AT1071" s="294"/>
    </row>
    <row r="1072" spans="1:46" ht="13" hidden="1" x14ac:dyDescent="0.2">
      <c r="A1072" s="294"/>
      <c r="B1072" s="925"/>
      <c r="C1072" s="271">
        <v>1065</v>
      </c>
      <c r="D1072" s="250">
        <f t="shared" si="2600"/>
        <v>0</v>
      </c>
      <c r="E1072" s="250"/>
      <c r="F1072" s="248" t="str">
        <f t="shared" si="2605"/>
        <v>YEAR4</v>
      </c>
      <c r="G1072" s="250">
        <f>VLOOKUP(F1072,TableInputsData[],$G$6,FALSE)</f>
        <v>2028</v>
      </c>
      <c r="H1072" s="250" t="str">
        <f t="shared" si="2601"/>
        <v>SERVICE</v>
      </c>
      <c r="I1072" s="248" t="str">
        <f t="shared" si="2601"/>
        <v>SERVICE 06</v>
      </c>
      <c r="J1072" s="248" t="str">
        <f>VLOOKUP(I1072,TableInputsData[],$J$6,FALSE)</f>
        <v>-</v>
      </c>
      <c r="K1072" s="248" t="str">
        <f t="shared" si="2615"/>
        <v>REVENUE</v>
      </c>
      <c r="L1072" s="255"/>
      <c r="M1072" s="255"/>
      <c r="N1072" s="255"/>
      <c r="O1072" s="265"/>
      <c r="P1072" s="260"/>
      <c r="Q1072" s="260"/>
      <c r="R1072" s="260"/>
      <c r="S1072" s="630"/>
      <c r="T1072" s="630"/>
      <c r="U1072" s="630"/>
      <c r="V1072" s="630"/>
      <c r="W1072" s="260"/>
      <c r="X1072" s="260"/>
      <c r="Y1072" s="260"/>
      <c r="Z1072" s="260"/>
      <c r="AA1072" s="260"/>
      <c r="AB1072" s="260"/>
      <c r="AC1072" s="265"/>
      <c r="AD1072" s="634"/>
      <c r="AE1072" s="264">
        <f t="shared" ref="AE1072:AH1072" si="2619">AE1064*($L1064*$P1064+$M1064*$Q1064+$N1064*$R1064)</f>
        <v>0</v>
      </c>
      <c r="AF1072" s="264">
        <f t="shared" si="2619"/>
        <v>0</v>
      </c>
      <c r="AG1072" s="264">
        <f t="shared" si="2619"/>
        <v>0</v>
      </c>
      <c r="AH1072" s="264">
        <f t="shared" si="2619"/>
        <v>0</v>
      </c>
      <c r="AI1072" s="264">
        <f t="shared" si="2614"/>
        <v>0</v>
      </c>
      <c r="AJ1072" s="264">
        <f t="shared" si="2607"/>
        <v>0</v>
      </c>
      <c r="AK1072" s="264">
        <f t="shared" si="2608"/>
        <v>0</v>
      </c>
      <c r="AL1072" s="264">
        <f t="shared" si="2609"/>
        <v>0</v>
      </c>
      <c r="AM1072" s="264">
        <f t="shared" si="2610"/>
        <v>0</v>
      </c>
      <c r="AN1072" s="640">
        <f t="shared" si="2599"/>
        <v>0</v>
      </c>
      <c r="AO1072" s="264">
        <f t="shared" si="2611"/>
        <v>0</v>
      </c>
      <c r="AP1072" s="640">
        <f t="shared" si="2593"/>
        <v>0</v>
      </c>
      <c r="AQ1072" s="264"/>
      <c r="AR1072" s="264" t="str">
        <f>VLOOKUP($I1072,TableInputsData[],ReadMe!$M$3,FALSE)&amp;"  |  "&amp;VLOOKUP($K1072,TableInputsData[],ReadMe!$M$3,FALSE)</f>
        <v>SERVICE 06  |  CHIFFRE D'AFFAIRES</v>
      </c>
      <c r="AS1072" s="264" t="b">
        <f t="shared" si="2612"/>
        <v>1</v>
      </c>
      <c r="AT1072" s="294"/>
    </row>
    <row r="1073" spans="1:46" ht="13" hidden="1" x14ac:dyDescent="0.2">
      <c r="A1073" s="294"/>
      <c r="B1073" s="925"/>
      <c r="C1073" s="271">
        <v>1066</v>
      </c>
      <c r="D1073" s="250">
        <f t="shared" si="2600"/>
        <v>0</v>
      </c>
      <c r="E1073" s="250"/>
      <c r="F1073" s="248" t="str">
        <f t="shared" si="2605"/>
        <v>YEAR5</v>
      </c>
      <c r="G1073" s="250">
        <f>VLOOKUP(F1073,TableInputsData[],$G$6,FALSE)</f>
        <v>2029</v>
      </c>
      <c r="H1073" s="250" t="str">
        <f t="shared" si="2601"/>
        <v>SERVICE</v>
      </c>
      <c r="I1073" s="248" t="str">
        <f t="shared" si="2601"/>
        <v>SERVICE 06</v>
      </c>
      <c r="J1073" s="248" t="str">
        <f>VLOOKUP(I1073,TableInputsData[],$J$6,FALSE)</f>
        <v>-</v>
      </c>
      <c r="K1073" s="248" t="str">
        <f t="shared" si="2615"/>
        <v>REVENUE</v>
      </c>
      <c r="L1073" s="255"/>
      <c r="M1073" s="255"/>
      <c r="N1073" s="255"/>
      <c r="O1073" s="265"/>
      <c r="P1073" s="260"/>
      <c r="Q1073" s="260"/>
      <c r="R1073" s="260"/>
      <c r="S1073" s="630"/>
      <c r="T1073" s="630"/>
      <c r="U1073" s="630"/>
      <c r="V1073" s="630"/>
      <c r="W1073" s="260"/>
      <c r="X1073" s="260"/>
      <c r="Y1073" s="260"/>
      <c r="Z1073" s="260"/>
      <c r="AA1073" s="260"/>
      <c r="AB1073" s="260"/>
      <c r="AC1073" s="265"/>
      <c r="AD1073" s="634"/>
      <c r="AE1073" s="264">
        <f t="shared" ref="AE1073:AH1073" si="2620">AE1065*($L1065*$P1065+$M1065*$Q1065+$N1065*$R1065)</f>
        <v>0</v>
      </c>
      <c r="AF1073" s="264">
        <f t="shared" si="2620"/>
        <v>0</v>
      </c>
      <c r="AG1073" s="264">
        <f t="shared" si="2620"/>
        <v>0</v>
      </c>
      <c r="AH1073" s="264">
        <f t="shared" si="2620"/>
        <v>0</v>
      </c>
      <c r="AI1073" s="264">
        <f t="shared" si="2614"/>
        <v>0</v>
      </c>
      <c r="AJ1073" s="264">
        <f t="shared" si="2607"/>
        <v>0</v>
      </c>
      <c r="AK1073" s="264">
        <f t="shared" si="2608"/>
        <v>0</v>
      </c>
      <c r="AL1073" s="264">
        <f t="shared" si="2609"/>
        <v>0</v>
      </c>
      <c r="AM1073" s="264">
        <f t="shared" si="2610"/>
        <v>0</v>
      </c>
      <c r="AN1073" s="640">
        <f t="shared" si="2599"/>
        <v>0</v>
      </c>
      <c r="AO1073" s="264">
        <f t="shared" si="2611"/>
        <v>0</v>
      </c>
      <c r="AP1073" s="640">
        <f t="shared" si="2593"/>
        <v>0</v>
      </c>
      <c r="AQ1073" s="264"/>
      <c r="AR1073" s="264" t="str">
        <f>VLOOKUP($I1073,TableInputsData[],ReadMe!$M$3,FALSE)&amp;"  |  "&amp;VLOOKUP($K1073,TableInputsData[],ReadMe!$M$3,FALSE)</f>
        <v>SERVICE 06  |  CHIFFRE D'AFFAIRES</v>
      </c>
      <c r="AS1073" s="264" t="b">
        <f t="shared" si="2612"/>
        <v>1</v>
      </c>
      <c r="AT1073" s="294"/>
    </row>
    <row r="1074" spans="1:46" ht="13" hidden="1" x14ac:dyDescent="0.2">
      <c r="A1074" s="294"/>
      <c r="B1074" s="925"/>
      <c r="C1074" s="271">
        <v>1067</v>
      </c>
      <c r="D1074" s="250">
        <f t="shared" si="2600"/>
        <v>0</v>
      </c>
      <c r="E1074" s="250"/>
      <c r="F1074" s="248" t="str">
        <f t="shared" si="2605"/>
        <v>YEAR6</v>
      </c>
      <c r="G1074" s="250">
        <f>VLOOKUP(F1074,TableInputsData[],$G$6,FALSE)</f>
        <v>2030</v>
      </c>
      <c r="H1074" s="250" t="str">
        <f t="shared" si="2601"/>
        <v>SERVICE</v>
      </c>
      <c r="I1074" s="248" t="str">
        <f t="shared" si="2601"/>
        <v>SERVICE 06</v>
      </c>
      <c r="J1074" s="248" t="str">
        <f>VLOOKUP(I1074,TableInputsData[],$J$6,FALSE)</f>
        <v>-</v>
      </c>
      <c r="K1074" s="248" t="str">
        <f t="shared" si="2615"/>
        <v>REVENUE</v>
      </c>
      <c r="L1074" s="255"/>
      <c r="M1074" s="255"/>
      <c r="N1074" s="255"/>
      <c r="O1074" s="265"/>
      <c r="P1074" s="260"/>
      <c r="Q1074" s="260"/>
      <c r="R1074" s="260"/>
      <c r="S1074" s="630"/>
      <c r="T1074" s="630"/>
      <c r="U1074" s="630"/>
      <c r="V1074" s="630"/>
      <c r="W1074" s="260"/>
      <c r="X1074" s="260"/>
      <c r="Y1074" s="260"/>
      <c r="Z1074" s="260"/>
      <c r="AA1074" s="260"/>
      <c r="AB1074" s="260"/>
      <c r="AC1074" s="265"/>
      <c r="AD1074" s="634"/>
      <c r="AE1074" s="264">
        <f t="shared" ref="AE1074:AH1074" si="2621">AE1066*($L1066*$P1066+$M1066*$Q1066+$N1066*$R1066)</f>
        <v>0</v>
      </c>
      <c r="AF1074" s="264">
        <f t="shared" si="2621"/>
        <v>0</v>
      </c>
      <c r="AG1074" s="264">
        <f t="shared" si="2621"/>
        <v>0</v>
      </c>
      <c r="AH1074" s="264">
        <f t="shared" si="2621"/>
        <v>0</v>
      </c>
      <c r="AI1074" s="264">
        <f>$AE1074+$AF1074+$AG1074+$AH1074</f>
        <v>0</v>
      </c>
      <c r="AJ1074" s="264">
        <f t="shared" si="2607"/>
        <v>0</v>
      </c>
      <c r="AK1074" s="264">
        <f t="shared" si="2608"/>
        <v>0</v>
      </c>
      <c r="AL1074" s="264">
        <f t="shared" si="2609"/>
        <v>0</v>
      </c>
      <c r="AM1074" s="264">
        <f t="shared" si="2610"/>
        <v>0</v>
      </c>
      <c r="AN1074" s="640">
        <f t="shared" si="2599"/>
        <v>0</v>
      </c>
      <c r="AO1074" s="264">
        <f t="shared" si="2611"/>
        <v>0</v>
      </c>
      <c r="AP1074" s="640">
        <f t="shared" si="2593"/>
        <v>0</v>
      </c>
      <c r="AQ1074" s="264"/>
      <c r="AR1074" s="264" t="str">
        <f>VLOOKUP($I1074,TableInputsData[],ReadMe!$M$3,FALSE)&amp;"  |  "&amp;VLOOKUP($K1074,TableInputsData[],ReadMe!$M$3,FALSE)</f>
        <v>SERVICE 06  |  CHIFFRE D'AFFAIRES</v>
      </c>
      <c r="AS1074" s="264" t="b">
        <f t="shared" si="2612"/>
        <v>1</v>
      </c>
      <c r="AT1074" s="294"/>
    </row>
    <row r="1075" spans="1:46" ht="13" hidden="1" x14ac:dyDescent="0.2">
      <c r="A1075" s="294"/>
      <c r="B1075" s="925"/>
      <c r="C1075" s="271">
        <v>1068</v>
      </c>
      <c r="D1075" s="250">
        <f t="shared" si="2600"/>
        <v>0</v>
      </c>
      <c r="E1075" s="250"/>
      <c r="F1075" s="248" t="str">
        <f t="shared" ref="F1075:F1082" si="2622">F1059</f>
        <v>YEAR-2</v>
      </c>
      <c r="G1075" s="250">
        <f>VLOOKUP(F1075,TableInputsData[],$G$6,FALSE)</f>
        <v>2023</v>
      </c>
      <c r="H1075" s="250" t="str">
        <f t="shared" si="2601"/>
        <v>SERVICE</v>
      </c>
      <c r="I1075" s="248" t="str">
        <f t="shared" si="2601"/>
        <v>SERVICE 06</v>
      </c>
      <c r="J1075" s="248" t="str">
        <f>VLOOKUP(I1075,TableInputsData[],$J$6,FALSE)</f>
        <v>-</v>
      </c>
      <c r="K1075" s="248" t="s">
        <v>456</v>
      </c>
      <c r="L1075" s="255"/>
      <c r="M1075" s="255"/>
      <c r="N1075" s="255"/>
      <c r="O1075" s="265"/>
      <c r="P1075" s="260"/>
      <c r="Q1075" s="260"/>
      <c r="R1075" s="260"/>
      <c r="S1075" s="630"/>
      <c r="T1075" s="630"/>
      <c r="U1075" s="630"/>
      <c r="V1075" s="630"/>
      <c r="W1075" s="260"/>
      <c r="X1075" s="260"/>
      <c r="Y1075" s="260"/>
      <c r="Z1075" s="260"/>
      <c r="AA1075" s="260"/>
      <c r="AB1075" s="260"/>
      <c r="AC1075" s="265"/>
      <c r="AD1075" s="634"/>
      <c r="AE1075" s="264">
        <f>IF(AE1059=0,0,AE1067/AE1059)</f>
        <v>0</v>
      </c>
      <c r="AF1075" s="264">
        <f t="shared" ref="AF1075:AI1075" si="2623">IF(AF1059=0,0,AF1067/AF1059)</f>
        <v>0</v>
      </c>
      <c r="AG1075" s="264">
        <f t="shared" si="2623"/>
        <v>0</v>
      </c>
      <c r="AH1075" s="264">
        <f t="shared" si="2623"/>
        <v>0</v>
      </c>
      <c r="AI1075" s="264">
        <f t="shared" si="2623"/>
        <v>0</v>
      </c>
      <c r="AJ1075" s="264">
        <f>IF(AJ1059=0,0,AJ1067/AJ1059)</f>
        <v>0</v>
      </c>
      <c r="AK1075" s="264">
        <f t="shared" ref="AK1075:AL1075" si="2624">IF(AK1059=0,0,AK1067/AK1059)</f>
        <v>0</v>
      </c>
      <c r="AL1075" s="264">
        <f t="shared" si="2624"/>
        <v>0</v>
      </c>
      <c r="AM1075" s="264">
        <f>IF(AM1059=0,0,AM1067/AM1059)</f>
        <v>0</v>
      </c>
      <c r="AN1075" s="260"/>
      <c r="AO1075" s="264">
        <f t="shared" ref="AO1075" si="2625">IF(AO1059=0,0,AO1067/AO1059)</f>
        <v>0</v>
      </c>
      <c r="AP1075" s="260"/>
      <c r="AQ1075" s="264"/>
      <c r="AR1075" s="264" t="str">
        <f>VLOOKUP($I1075,TableInputsData[],ReadMe!$M$3,FALSE)&amp;"  |  "&amp;VLOOKUP($K1075,TableInputsData[],ReadMe!$M$3,FALSE)</f>
        <v>SERVICE 06  |  PRIX MOYEN DE VENTE PAR PRODUIT/SERVICE</v>
      </c>
      <c r="AS1075" s="264"/>
      <c r="AT1075" s="294"/>
    </row>
    <row r="1076" spans="1:46" ht="13" hidden="1" x14ac:dyDescent="0.2">
      <c r="A1076" s="294"/>
      <c r="B1076" s="925"/>
      <c r="C1076" s="271">
        <v>1069</v>
      </c>
      <c r="D1076" s="250">
        <f t="shared" si="2600"/>
        <v>0</v>
      </c>
      <c r="E1076" s="250"/>
      <c r="F1076" s="248" t="str">
        <f t="shared" si="2622"/>
        <v>YEAR-1</v>
      </c>
      <c r="G1076" s="250">
        <f>VLOOKUP(F1076,TableInputsData[],$G$6,FALSE)</f>
        <v>2024</v>
      </c>
      <c r="H1076" s="250" t="str">
        <f t="shared" si="2601"/>
        <v>SERVICE</v>
      </c>
      <c r="I1076" s="248" t="str">
        <f t="shared" si="2601"/>
        <v>SERVICE 06</v>
      </c>
      <c r="J1076" s="248" t="str">
        <f>VLOOKUP(I1076,TableInputsData[],$J$6,FALSE)</f>
        <v>-</v>
      </c>
      <c r="K1076" s="248" t="str">
        <f>K1075</f>
        <v>AVERAGE SELLING PRICE PER UNIT</v>
      </c>
      <c r="L1076" s="255"/>
      <c r="M1076" s="255"/>
      <c r="N1076" s="255"/>
      <c r="O1076" s="265"/>
      <c r="P1076" s="260"/>
      <c r="Q1076" s="260"/>
      <c r="R1076" s="260"/>
      <c r="S1076" s="630"/>
      <c r="T1076" s="630"/>
      <c r="U1076" s="630"/>
      <c r="V1076" s="630"/>
      <c r="W1076" s="260"/>
      <c r="X1076" s="260"/>
      <c r="Y1076" s="260"/>
      <c r="Z1076" s="260"/>
      <c r="AA1076" s="260"/>
      <c r="AB1076" s="260"/>
      <c r="AC1076" s="265"/>
      <c r="AD1076" s="634"/>
      <c r="AE1076" s="264">
        <f>IF(AE1060=0,0,AE1068/AE1060)</f>
        <v>0</v>
      </c>
      <c r="AF1076" s="264">
        <f t="shared" ref="AF1076:AM1076" si="2626">IF(AF1060=0,0,AF1068/AF1060)</f>
        <v>0</v>
      </c>
      <c r="AG1076" s="264">
        <f t="shared" si="2626"/>
        <v>0</v>
      </c>
      <c r="AH1076" s="264">
        <f t="shared" si="2626"/>
        <v>0</v>
      </c>
      <c r="AI1076" s="264">
        <f t="shared" si="2626"/>
        <v>0</v>
      </c>
      <c r="AJ1076" s="264">
        <f t="shared" si="2626"/>
        <v>0</v>
      </c>
      <c r="AK1076" s="264">
        <f t="shared" si="2626"/>
        <v>0</v>
      </c>
      <c r="AL1076" s="264">
        <f t="shared" si="2626"/>
        <v>0</v>
      </c>
      <c r="AM1076" s="264">
        <f t="shared" si="2626"/>
        <v>0</v>
      </c>
      <c r="AN1076" s="260"/>
      <c r="AO1076" s="264">
        <f t="shared" ref="AO1076" si="2627">IF(AO1060=0,0,AO1068/AO1060)</f>
        <v>0</v>
      </c>
      <c r="AP1076" s="260"/>
      <c r="AQ1076" s="264"/>
      <c r="AR1076" s="264" t="str">
        <f>VLOOKUP($I1076,TableInputsData[],ReadMe!$M$3,FALSE)&amp;"  |  "&amp;VLOOKUP($K1076,TableInputsData[],ReadMe!$M$3,FALSE)</f>
        <v>SERVICE 06  |  PRIX MOYEN DE VENTE PAR PRODUIT/SERVICE</v>
      </c>
      <c r="AS1076" s="264"/>
      <c r="AT1076" s="294"/>
    </row>
    <row r="1077" spans="1:46" ht="13" hidden="1" x14ac:dyDescent="0.2">
      <c r="A1077" s="294"/>
      <c r="B1077" s="925"/>
      <c r="C1077" s="271">
        <v>1070</v>
      </c>
      <c r="D1077" s="250">
        <f t="shared" si="2600"/>
        <v>0</v>
      </c>
      <c r="E1077" s="250"/>
      <c r="F1077" s="248" t="str">
        <f t="shared" si="2622"/>
        <v>CURRENT YEAR</v>
      </c>
      <c r="G1077" s="250">
        <f>VLOOKUP(F1077,TableInputsData[],$G$6,FALSE)</f>
        <v>2025</v>
      </c>
      <c r="H1077" s="250" t="str">
        <f t="shared" si="2601"/>
        <v>SERVICE</v>
      </c>
      <c r="I1077" s="248" t="str">
        <f t="shared" si="2601"/>
        <v>SERVICE 06</v>
      </c>
      <c r="J1077" s="248" t="str">
        <f>VLOOKUP(I1077,TableInputsData[],$J$6,FALSE)</f>
        <v>-</v>
      </c>
      <c r="K1077" s="248" t="str">
        <f t="shared" ref="K1077:K1082" si="2628">K1076</f>
        <v>AVERAGE SELLING PRICE PER UNIT</v>
      </c>
      <c r="L1077" s="255"/>
      <c r="M1077" s="255"/>
      <c r="N1077" s="255"/>
      <c r="O1077" s="265"/>
      <c r="P1077" s="260"/>
      <c r="Q1077" s="260"/>
      <c r="R1077" s="260"/>
      <c r="S1077" s="630"/>
      <c r="T1077" s="630"/>
      <c r="U1077" s="630"/>
      <c r="V1077" s="630"/>
      <c r="W1077" s="260"/>
      <c r="X1077" s="260"/>
      <c r="Y1077" s="260"/>
      <c r="Z1077" s="260"/>
      <c r="AA1077" s="260"/>
      <c r="AB1077" s="260"/>
      <c r="AC1077" s="265"/>
      <c r="AD1077" s="634"/>
      <c r="AE1077" s="264">
        <f>IF(AE1061=0,0,AE1069/AE1061)</f>
        <v>0</v>
      </c>
      <c r="AF1077" s="264">
        <f t="shared" ref="AF1077:AM1077" si="2629">IF(AF1061=0,0,AF1069/AF1061)</f>
        <v>0</v>
      </c>
      <c r="AG1077" s="264">
        <f t="shared" si="2629"/>
        <v>0</v>
      </c>
      <c r="AH1077" s="264">
        <f t="shared" si="2629"/>
        <v>0</v>
      </c>
      <c r="AI1077" s="264">
        <f t="shared" si="2629"/>
        <v>0</v>
      </c>
      <c r="AJ1077" s="264">
        <f t="shared" si="2629"/>
        <v>0</v>
      </c>
      <c r="AK1077" s="264">
        <f t="shared" si="2629"/>
        <v>0</v>
      </c>
      <c r="AL1077" s="264">
        <f t="shared" si="2629"/>
        <v>0</v>
      </c>
      <c r="AM1077" s="264">
        <f t="shared" si="2629"/>
        <v>0</v>
      </c>
      <c r="AN1077" s="260"/>
      <c r="AO1077" s="264">
        <f t="shared" ref="AO1077" si="2630">IF(AO1061=0,0,AO1069/AO1061)</f>
        <v>0</v>
      </c>
      <c r="AP1077" s="260"/>
      <c r="AQ1077" s="264"/>
      <c r="AR1077" s="264" t="str">
        <f>VLOOKUP($I1077,TableInputsData[],ReadMe!$M$3,FALSE)&amp;"  |  "&amp;VLOOKUP($K1077,TableInputsData[],ReadMe!$M$3,FALSE)</f>
        <v>SERVICE 06  |  PRIX MOYEN DE VENTE PAR PRODUIT/SERVICE</v>
      </c>
      <c r="AS1077" s="264"/>
      <c r="AT1077" s="294"/>
    </row>
    <row r="1078" spans="1:46" ht="13" hidden="1" x14ac:dyDescent="0.2">
      <c r="A1078" s="294"/>
      <c r="B1078" s="925"/>
      <c r="C1078" s="271">
        <v>1071</v>
      </c>
      <c r="D1078" s="250">
        <f t="shared" si="2600"/>
        <v>0</v>
      </c>
      <c r="E1078" s="250"/>
      <c r="F1078" s="248" t="str">
        <f t="shared" si="2622"/>
        <v>YEAR2</v>
      </c>
      <c r="G1078" s="250">
        <f>VLOOKUP(F1078,TableInputsData[],$G$6,FALSE)</f>
        <v>2026</v>
      </c>
      <c r="H1078" s="250" t="str">
        <f t="shared" si="2601"/>
        <v>SERVICE</v>
      </c>
      <c r="I1078" s="248" t="str">
        <f t="shared" si="2601"/>
        <v>SERVICE 06</v>
      </c>
      <c r="J1078" s="248" t="str">
        <f>VLOOKUP(I1078,TableInputsData[],$J$6,FALSE)</f>
        <v>-</v>
      </c>
      <c r="K1078" s="248" t="str">
        <f t="shared" si="2628"/>
        <v>AVERAGE SELLING PRICE PER UNIT</v>
      </c>
      <c r="L1078" s="255"/>
      <c r="M1078" s="255"/>
      <c r="N1078" s="255"/>
      <c r="O1078" s="265"/>
      <c r="P1078" s="260"/>
      <c r="Q1078" s="260"/>
      <c r="R1078" s="260"/>
      <c r="S1078" s="630"/>
      <c r="T1078" s="630"/>
      <c r="U1078" s="630"/>
      <c r="V1078" s="630"/>
      <c r="W1078" s="260"/>
      <c r="X1078" s="260"/>
      <c r="Y1078" s="260"/>
      <c r="Z1078" s="260"/>
      <c r="AA1078" s="260"/>
      <c r="AB1078" s="260"/>
      <c r="AC1078" s="265"/>
      <c r="AD1078" s="634"/>
      <c r="AE1078" s="264">
        <f>IF(AE1062=0,0,AE1070/AE1062)</f>
        <v>0</v>
      </c>
      <c r="AF1078" s="264">
        <f t="shared" ref="AF1078:AM1078" si="2631">IF(AF1062=0,0,AF1070/AF1062)</f>
        <v>0</v>
      </c>
      <c r="AG1078" s="264">
        <f t="shared" si="2631"/>
        <v>0</v>
      </c>
      <c r="AH1078" s="264">
        <f t="shared" si="2631"/>
        <v>0</v>
      </c>
      <c r="AI1078" s="264">
        <f t="shared" si="2631"/>
        <v>0</v>
      </c>
      <c r="AJ1078" s="264">
        <f t="shared" si="2631"/>
        <v>0</v>
      </c>
      <c r="AK1078" s="264">
        <f t="shared" si="2631"/>
        <v>0</v>
      </c>
      <c r="AL1078" s="264">
        <f t="shared" si="2631"/>
        <v>0</v>
      </c>
      <c r="AM1078" s="264">
        <f t="shared" si="2631"/>
        <v>0</v>
      </c>
      <c r="AN1078" s="260"/>
      <c r="AO1078" s="264">
        <f t="shared" ref="AO1078" si="2632">IF(AO1062=0,0,AO1070/AO1062)</f>
        <v>0</v>
      </c>
      <c r="AP1078" s="260"/>
      <c r="AQ1078" s="264"/>
      <c r="AR1078" s="264" t="str">
        <f>VLOOKUP($I1078,TableInputsData[],ReadMe!$M$3,FALSE)&amp;"  |  "&amp;VLOOKUP($K1078,TableInputsData[],ReadMe!$M$3,FALSE)</f>
        <v>SERVICE 06  |  PRIX MOYEN DE VENTE PAR PRODUIT/SERVICE</v>
      </c>
      <c r="AS1078" s="264"/>
      <c r="AT1078" s="294"/>
    </row>
    <row r="1079" spans="1:46" ht="13" hidden="1" x14ac:dyDescent="0.2">
      <c r="A1079" s="294"/>
      <c r="B1079" s="925"/>
      <c r="C1079" s="271">
        <v>1072</v>
      </c>
      <c r="D1079" s="250">
        <f t="shared" si="2600"/>
        <v>0</v>
      </c>
      <c r="E1079" s="250"/>
      <c r="F1079" s="248" t="str">
        <f t="shared" si="2622"/>
        <v>YEAR3</v>
      </c>
      <c r="G1079" s="250">
        <f>VLOOKUP(F1079,TableInputsData[],$G$6,FALSE)</f>
        <v>2027</v>
      </c>
      <c r="H1079" s="250" t="str">
        <f t="shared" si="2601"/>
        <v>SERVICE</v>
      </c>
      <c r="I1079" s="248" t="str">
        <f t="shared" si="2601"/>
        <v>SERVICE 06</v>
      </c>
      <c r="J1079" s="248" t="str">
        <f>VLOOKUP(I1079,TableInputsData[],$J$6,FALSE)</f>
        <v>-</v>
      </c>
      <c r="K1079" s="248" t="str">
        <f t="shared" si="2628"/>
        <v>AVERAGE SELLING PRICE PER UNIT</v>
      </c>
      <c r="L1079" s="255"/>
      <c r="M1079" s="255"/>
      <c r="N1079" s="255"/>
      <c r="O1079" s="265"/>
      <c r="P1079" s="260"/>
      <c r="Q1079" s="260"/>
      <c r="R1079" s="260"/>
      <c r="S1079" s="630"/>
      <c r="T1079" s="630"/>
      <c r="U1079" s="630"/>
      <c r="V1079" s="630"/>
      <c r="W1079" s="260"/>
      <c r="X1079" s="260"/>
      <c r="Y1079" s="260"/>
      <c r="Z1079" s="260"/>
      <c r="AA1079" s="260"/>
      <c r="AB1079" s="260"/>
      <c r="AC1079" s="265"/>
      <c r="AD1079" s="634"/>
      <c r="AE1079" s="264">
        <f t="shared" ref="AE1079:AM1079" si="2633">IF(AE1063=0,0,AE1071/AE1063)</f>
        <v>0</v>
      </c>
      <c r="AF1079" s="264">
        <f t="shared" si="2633"/>
        <v>0</v>
      </c>
      <c r="AG1079" s="264">
        <f t="shared" si="2633"/>
        <v>0</v>
      </c>
      <c r="AH1079" s="264">
        <f t="shared" si="2633"/>
        <v>0</v>
      </c>
      <c r="AI1079" s="264">
        <f t="shared" si="2633"/>
        <v>0</v>
      </c>
      <c r="AJ1079" s="264">
        <f t="shared" si="2633"/>
        <v>0</v>
      </c>
      <c r="AK1079" s="264">
        <f t="shared" si="2633"/>
        <v>0</v>
      </c>
      <c r="AL1079" s="264">
        <f t="shared" si="2633"/>
        <v>0</v>
      </c>
      <c r="AM1079" s="264">
        <f t="shared" si="2633"/>
        <v>0</v>
      </c>
      <c r="AN1079" s="260"/>
      <c r="AO1079" s="264">
        <f t="shared" ref="AO1079" si="2634">IF(AO1063=0,0,AO1071/AO1063)</f>
        <v>0</v>
      </c>
      <c r="AP1079" s="260"/>
      <c r="AQ1079" s="264"/>
      <c r="AR1079" s="264" t="str">
        <f>VLOOKUP($I1079,TableInputsData[],ReadMe!$M$3,FALSE)&amp;"  |  "&amp;VLOOKUP($K1079,TableInputsData[],ReadMe!$M$3,FALSE)</f>
        <v>SERVICE 06  |  PRIX MOYEN DE VENTE PAR PRODUIT/SERVICE</v>
      </c>
      <c r="AS1079" s="264"/>
      <c r="AT1079" s="294"/>
    </row>
    <row r="1080" spans="1:46" ht="13" hidden="1" x14ac:dyDescent="0.2">
      <c r="A1080" s="294"/>
      <c r="B1080" s="925"/>
      <c r="C1080" s="272">
        <v>1073</v>
      </c>
      <c r="D1080" s="250">
        <f t="shared" si="2600"/>
        <v>0</v>
      </c>
      <c r="E1080" s="251"/>
      <c r="F1080" s="248" t="str">
        <f t="shared" si="2622"/>
        <v>YEAR4</v>
      </c>
      <c r="G1080" s="250">
        <f>VLOOKUP(F1080,TableInputsData[],$G$6,FALSE)</f>
        <v>2028</v>
      </c>
      <c r="H1080" s="250" t="str">
        <f t="shared" si="2601"/>
        <v>SERVICE</v>
      </c>
      <c r="I1080" s="248" t="str">
        <f t="shared" si="2601"/>
        <v>SERVICE 06</v>
      </c>
      <c r="J1080" s="248" t="str">
        <f>VLOOKUP(I1080,TableInputsData[],$J$6,FALSE)</f>
        <v>-</v>
      </c>
      <c r="K1080" s="248" t="str">
        <f t="shared" si="2628"/>
        <v>AVERAGE SELLING PRICE PER UNIT</v>
      </c>
      <c r="L1080" s="256"/>
      <c r="M1080" s="256"/>
      <c r="N1080" s="256"/>
      <c r="O1080" s="266"/>
      <c r="P1080" s="261"/>
      <c r="Q1080" s="261"/>
      <c r="R1080" s="261"/>
      <c r="S1080" s="629"/>
      <c r="T1080" s="629"/>
      <c r="U1080" s="629"/>
      <c r="V1080" s="629"/>
      <c r="W1080" s="261"/>
      <c r="X1080" s="261"/>
      <c r="Y1080" s="261"/>
      <c r="Z1080" s="261"/>
      <c r="AA1080" s="261"/>
      <c r="AB1080" s="261"/>
      <c r="AC1080" s="266"/>
      <c r="AD1080" s="633"/>
      <c r="AE1080" s="264">
        <f t="shared" ref="AE1080:AM1080" si="2635">IF(AE1064=0,0,AE1072/AE1064)</f>
        <v>0</v>
      </c>
      <c r="AF1080" s="264">
        <f t="shared" si="2635"/>
        <v>0</v>
      </c>
      <c r="AG1080" s="264">
        <f t="shared" si="2635"/>
        <v>0</v>
      </c>
      <c r="AH1080" s="264">
        <f t="shared" si="2635"/>
        <v>0</v>
      </c>
      <c r="AI1080" s="264">
        <f t="shared" si="2635"/>
        <v>0</v>
      </c>
      <c r="AJ1080" s="264">
        <f t="shared" si="2635"/>
        <v>0</v>
      </c>
      <c r="AK1080" s="264">
        <f t="shared" si="2635"/>
        <v>0</v>
      </c>
      <c r="AL1080" s="264">
        <f t="shared" si="2635"/>
        <v>0</v>
      </c>
      <c r="AM1080" s="264">
        <f t="shared" si="2635"/>
        <v>0</v>
      </c>
      <c r="AN1080" s="260"/>
      <c r="AO1080" s="264">
        <f t="shared" ref="AO1080" si="2636">IF(AO1064=0,0,AO1072/AO1064)</f>
        <v>0</v>
      </c>
      <c r="AP1080" s="260"/>
      <c r="AQ1080" s="264"/>
      <c r="AR1080" s="264" t="str">
        <f>VLOOKUP($I1080,TableInputsData[],ReadMe!$M$3,FALSE)&amp;"  |  "&amp;VLOOKUP($K1080,TableInputsData[],ReadMe!$M$3,FALSE)</f>
        <v>SERVICE 06  |  PRIX MOYEN DE VENTE PAR PRODUIT/SERVICE</v>
      </c>
      <c r="AS1080" s="264"/>
      <c r="AT1080" s="294"/>
    </row>
    <row r="1081" spans="1:46" ht="13" hidden="1" x14ac:dyDescent="0.2">
      <c r="A1081" s="294"/>
      <c r="B1081" s="925"/>
      <c r="C1081" s="271">
        <v>1074</v>
      </c>
      <c r="D1081" s="250">
        <f t="shared" si="2600"/>
        <v>0</v>
      </c>
      <c r="E1081" s="250"/>
      <c r="F1081" s="248" t="str">
        <f t="shared" si="2622"/>
        <v>YEAR5</v>
      </c>
      <c r="G1081" s="250">
        <f>VLOOKUP(F1081,TableInputsData[],$G$6,FALSE)</f>
        <v>2029</v>
      </c>
      <c r="H1081" s="250" t="str">
        <f t="shared" si="2601"/>
        <v>SERVICE</v>
      </c>
      <c r="I1081" s="248" t="str">
        <f t="shared" si="2601"/>
        <v>SERVICE 06</v>
      </c>
      <c r="J1081" s="248" t="str">
        <f>VLOOKUP(I1081,TableInputsData[],$J$6,FALSE)</f>
        <v>-</v>
      </c>
      <c r="K1081" s="248" t="str">
        <f t="shared" si="2628"/>
        <v>AVERAGE SELLING PRICE PER UNIT</v>
      </c>
      <c r="L1081" s="255"/>
      <c r="M1081" s="255"/>
      <c r="N1081" s="255"/>
      <c r="O1081" s="265"/>
      <c r="P1081" s="260"/>
      <c r="Q1081" s="260"/>
      <c r="R1081" s="260"/>
      <c r="S1081" s="630"/>
      <c r="T1081" s="630"/>
      <c r="U1081" s="630"/>
      <c r="V1081" s="630"/>
      <c r="W1081" s="260"/>
      <c r="X1081" s="260"/>
      <c r="Y1081" s="260"/>
      <c r="Z1081" s="260"/>
      <c r="AA1081" s="260"/>
      <c r="AB1081" s="260"/>
      <c r="AC1081" s="265"/>
      <c r="AD1081" s="634"/>
      <c r="AE1081" s="264">
        <f t="shared" ref="AE1081:AM1081" si="2637">IF(AE1065=0,0,AE1073/AE1065)</f>
        <v>0</v>
      </c>
      <c r="AF1081" s="264">
        <f t="shared" si="2637"/>
        <v>0</v>
      </c>
      <c r="AG1081" s="264">
        <f t="shared" si="2637"/>
        <v>0</v>
      </c>
      <c r="AH1081" s="264">
        <f t="shared" si="2637"/>
        <v>0</v>
      </c>
      <c r="AI1081" s="264">
        <f t="shared" si="2637"/>
        <v>0</v>
      </c>
      <c r="AJ1081" s="264">
        <f t="shared" si="2637"/>
        <v>0</v>
      </c>
      <c r="AK1081" s="264">
        <f t="shared" si="2637"/>
        <v>0</v>
      </c>
      <c r="AL1081" s="264">
        <f t="shared" si="2637"/>
        <v>0</v>
      </c>
      <c r="AM1081" s="264">
        <f t="shared" si="2637"/>
        <v>0</v>
      </c>
      <c r="AN1081" s="260"/>
      <c r="AO1081" s="264">
        <f t="shared" ref="AO1081" si="2638">IF(AO1065=0,0,AO1073/AO1065)</f>
        <v>0</v>
      </c>
      <c r="AP1081" s="260"/>
      <c r="AQ1081" s="264"/>
      <c r="AR1081" s="264" t="str">
        <f>VLOOKUP($I1081,TableInputsData[],ReadMe!$M$3,FALSE)&amp;"  |  "&amp;VLOOKUP($K1081,TableInputsData[],ReadMe!$M$3,FALSE)</f>
        <v>SERVICE 06  |  PRIX MOYEN DE VENTE PAR PRODUIT/SERVICE</v>
      </c>
      <c r="AS1081" s="264"/>
      <c r="AT1081" s="294"/>
    </row>
    <row r="1082" spans="1:46" ht="13" hidden="1" x14ac:dyDescent="0.2">
      <c r="A1082" s="294"/>
      <c r="B1082" s="925"/>
      <c r="C1082" s="271">
        <v>1075</v>
      </c>
      <c r="D1082" s="250">
        <f t="shared" si="2600"/>
        <v>0</v>
      </c>
      <c r="E1082" s="250"/>
      <c r="F1082" s="248" t="str">
        <f t="shared" si="2622"/>
        <v>YEAR6</v>
      </c>
      <c r="G1082" s="250">
        <f>VLOOKUP(F1082,TableInputsData[],$G$6,FALSE)</f>
        <v>2030</v>
      </c>
      <c r="H1082" s="250" t="str">
        <f t="shared" si="2601"/>
        <v>SERVICE</v>
      </c>
      <c r="I1082" s="248" t="str">
        <f t="shared" si="2601"/>
        <v>SERVICE 06</v>
      </c>
      <c r="J1082" s="248" t="str">
        <f>VLOOKUP(I1082,TableInputsData[],$J$6,FALSE)</f>
        <v>-</v>
      </c>
      <c r="K1082" s="248" t="str">
        <f t="shared" si="2628"/>
        <v>AVERAGE SELLING PRICE PER UNIT</v>
      </c>
      <c r="L1082" s="255"/>
      <c r="M1082" s="255"/>
      <c r="N1082" s="255"/>
      <c r="O1082" s="265"/>
      <c r="P1082" s="260"/>
      <c r="Q1082" s="260"/>
      <c r="R1082" s="260"/>
      <c r="S1082" s="630"/>
      <c r="T1082" s="630"/>
      <c r="U1082" s="630"/>
      <c r="V1082" s="630"/>
      <c r="W1082" s="260"/>
      <c r="X1082" s="260"/>
      <c r="Y1082" s="260"/>
      <c r="Z1082" s="260"/>
      <c r="AA1082" s="260"/>
      <c r="AB1082" s="260"/>
      <c r="AC1082" s="265"/>
      <c r="AD1082" s="634"/>
      <c r="AE1082" s="264">
        <f t="shared" ref="AE1082:AM1082" si="2639">IF(AE1066=0,0,AE1074/AE1066)</f>
        <v>0</v>
      </c>
      <c r="AF1082" s="264">
        <f t="shared" si="2639"/>
        <v>0</v>
      </c>
      <c r="AG1082" s="264">
        <f t="shared" si="2639"/>
        <v>0</v>
      </c>
      <c r="AH1082" s="264">
        <f t="shared" si="2639"/>
        <v>0</v>
      </c>
      <c r="AI1082" s="264">
        <f t="shared" si="2639"/>
        <v>0</v>
      </c>
      <c r="AJ1082" s="264">
        <f t="shared" si="2639"/>
        <v>0</v>
      </c>
      <c r="AK1082" s="264">
        <f t="shared" si="2639"/>
        <v>0</v>
      </c>
      <c r="AL1082" s="264">
        <f t="shared" si="2639"/>
        <v>0</v>
      </c>
      <c r="AM1082" s="264">
        <f t="shared" si="2639"/>
        <v>0</v>
      </c>
      <c r="AN1082" s="260"/>
      <c r="AO1082" s="264">
        <f t="shared" ref="AO1082" si="2640">IF(AO1066=0,0,AO1074/AO1066)</f>
        <v>0</v>
      </c>
      <c r="AP1082" s="260"/>
      <c r="AQ1082" s="264"/>
      <c r="AR1082" s="264" t="str">
        <f>VLOOKUP($I1082,TableInputsData[],ReadMe!$M$3,FALSE)&amp;"  |  "&amp;VLOOKUP($K1082,TableInputsData[],ReadMe!$M$3,FALSE)</f>
        <v>SERVICE 06  |  PRIX MOYEN DE VENTE PAR PRODUIT/SERVICE</v>
      </c>
      <c r="AS1082" s="264"/>
      <c r="AT1082" s="294"/>
    </row>
    <row r="1083" spans="1:46" ht="13" hidden="1" x14ac:dyDescent="0.2">
      <c r="A1083" s="294"/>
      <c r="B1083" s="925"/>
      <c r="C1083" s="272">
        <v>1076</v>
      </c>
      <c r="D1083" s="250">
        <f t="shared" si="2600"/>
        <v>0</v>
      </c>
      <c r="E1083" s="251"/>
      <c r="F1083" s="248" t="str">
        <f t="shared" ref="F1083:F1090" si="2641">F1091</f>
        <v>YEAR-2</v>
      </c>
      <c r="G1083" s="250">
        <f>VLOOKUP(F1083,TableInputsData[],$G$6,FALSE)</f>
        <v>2023</v>
      </c>
      <c r="H1083" s="250" t="str">
        <f t="shared" si="2601"/>
        <v>SERVICE</v>
      </c>
      <c r="I1083" s="248" t="str">
        <f t="shared" si="2601"/>
        <v>SERVICE 06</v>
      </c>
      <c r="J1083" s="248" t="str">
        <f>VLOOKUP(I1083,TableInputsData[],$J$6,FALSE)</f>
        <v>-</v>
      </c>
      <c r="K1083" s="248" t="s">
        <v>531</v>
      </c>
      <c r="L1083" s="256"/>
      <c r="M1083" s="256"/>
      <c r="N1083" s="256"/>
      <c r="O1083" s="266"/>
      <c r="P1083" s="261"/>
      <c r="Q1083" s="261"/>
      <c r="R1083" s="261"/>
      <c r="S1083" s="629"/>
      <c r="T1083" s="629"/>
      <c r="U1083" s="629"/>
      <c r="V1083" s="629"/>
      <c r="W1083" s="261"/>
      <c r="X1083" s="261"/>
      <c r="Y1083" s="261"/>
      <c r="Z1083" s="261"/>
      <c r="AA1083" s="261"/>
      <c r="AB1083" s="261"/>
      <c r="AC1083" s="266"/>
      <c r="AD1083" s="633"/>
      <c r="AE1083" s="264">
        <f>AE1059*($S1059*$P1059+$T1059*$Q1059+$U1059*$R1059)</f>
        <v>0</v>
      </c>
      <c r="AF1083" s="264">
        <f t="shared" ref="AF1083:AH1083" si="2642">AF1059*($S1059*$P1059+$T1059*$Q1059+$U1059*$R1059)</f>
        <v>0</v>
      </c>
      <c r="AG1083" s="264">
        <f t="shared" si="2642"/>
        <v>0</v>
      </c>
      <c r="AH1083" s="264">
        <f t="shared" si="2642"/>
        <v>0</v>
      </c>
      <c r="AI1083" s="264">
        <f t="shared" ref="AI1083:AI1090" si="2643">$AE1083+$AF1083+$AG1083+$AH1083</f>
        <v>0</v>
      </c>
      <c r="AJ1083" s="264">
        <f t="shared" ref="AJ1083:AJ1090" si="2644">$AJ1059*$S1059</f>
        <v>0</v>
      </c>
      <c r="AK1083" s="264">
        <f t="shared" ref="AK1083:AK1090" si="2645">$AK1059*$T1059</f>
        <v>0</v>
      </c>
      <c r="AL1083" s="264">
        <f t="shared" ref="AL1083:AL1090" si="2646">$AL1059*$U1059</f>
        <v>0</v>
      </c>
      <c r="AM1083" s="264">
        <f t="shared" ref="AM1083:AM1090" si="2647">$AJ1083*$W1059+$AK1083*$X1059+$AL1083*$Y1059</f>
        <v>0</v>
      </c>
      <c r="AN1083" s="640">
        <f t="shared" ref="AN1083:AN1090" si="2648">IF(AI1083=0,0,AM1083/AI1083)</f>
        <v>0</v>
      </c>
      <c r="AO1083" s="264">
        <f t="shared" ref="AO1083:AO1090" si="2649">$AJ1083*$Z1059+$AK1083*$AA1059+$AL1083*$AB1059</f>
        <v>0</v>
      </c>
      <c r="AP1083" s="640">
        <f t="shared" ref="AP1083:AP1090" si="2650">IF(AI1083=0,0,AO1083/AI1083)</f>
        <v>0</v>
      </c>
      <c r="AQ1083" s="264"/>
      <c r="AR1083" s="264" t="str">
        <f>VLOOKUP($I1083,TableInputsData[],ReadMe!$M$3,FALSE)&amp;"  |  "&amp;VLOOKUP($K1083,TableInputsData[],ReadMe!$M$3,FALSE)</f>
        <v>SERVICE 06  |  DEPENSES SUR ACHATS</v>
      </c>
      <c r="AS1083" s="264" t="b">
        <f t="shared" ref="AS1083:AS1090" si="2651">AND(EXACT(ROUND(AI1083,2),ROUND(AJ1083+AK1083+AL1083,2)),EXACT(ROUND(AI1083,2),ROUND(AM1083+AO1083,2)))</f>
        <v>1</v>
      </c>
      <c r="AT1083" s="294"/>
    </row>
    <row r="1084" spans="1:46" ht="13" hidden="1" x14ac:dyDescent="0.2">
      <c r="A1084" s="294"/>
      <c r="B1084" s="925"/>
      <c r="C1084" s="271">
        <v>1077</v>
      </c>
      <c r="D1084" s="250">
        <f t="shared" si="2600"/>
        <v>0</v>
      </c>
      <c r="E1084" s="250"/>
      <c r="F1084" s="248" t="str">
        <f t="shared" si="2641"/>
        <v>YEAR-1</v>
      </c>
      <c r="G1084" s="250">
        <f>VLOOKUP(F1084,TableInputsData[],$G$6,FALSE)</f>
        <v>2024</v>
      </c>
      <c r="H1084" s="250" t="str">
        <f t="shared" si="2601"/>
        <v>SERVICE</v>
      </c>
      <c r="I1084" s="248" t="str">
        <f t="shared" si="2601"/>
        <v>SERVICE 06</v>
      </c>
      <c r="J1084" s="248" t="str">
        <f>VLOOKUP(I1084,TableInputsData[],$J$6,FALSE)</f>
        <v>-</v>
      </c>
      <c r="K1084" s="248" t="str">
        <f>K1083</f>
        <v>COST OF GOODS SOLD</v>
      </c>
      <c r="L1084" s="255"/>
      <c r="M1084" s="255"/>
      <c r="N1084" s="255"/>
      <c r="O1084" s="265"/>
      <c r="P1084" s="260"/>
      <c r="Q1084" s="260"/>
      <c r="R1084" s="260"/>
      <c r="S1084" s="630"/>
      <c r="T1084" s="630"/>
      <c r="U1084" s="630"/>
      <c r="V1084" s="630"/>
      <c r="W1084" s="260"/>
      <c r="X1084" s="260"/>
      <c r="Y1084" s="260"/>
      <c r="Z1084" s="260"/>
      <c r="AA1084" s="260"/>
      <c r="AB1084" s="260"/>
      <c r="AC1084" s="265"/>
      <c r="AD1084" s="634"/>
      <c r="AE1084" s="264">
        <f t="shared" ref="AE1084:AH1084" si="2652">AE1060*($S1060*$P1060+$T1060*$Q1060+$U1060*$R1060)</f>
        <v>0</v>
      </c>
      <c r="AF1084" s="264">
        <f t="shared" si="2652"/>
        <v>0</v>
      </c>
      <c r="AG1084" s="264">
        <f t="shared" si="2652"/>
        <v>0</v>
      </c>
      <c r="AH1084" s="264">
        <f t="shared" si="2652"/>
        <v>0</v>
      </c>
      <c r="AI1084" s="264">
        <f t="shared" si="2643"/>
        <v>0</v>
      </c>
      <c r="AJ1084" s="264">
        <f t="shared" si="2644"/>
        <v>0</v>
      </c>
      <c r="AK1084" s="264">
        <f t="shared" si="2645"/>
        <v>0</v>
      </c>
      <c r="AL1084" s="264">
        <f t="shared" si="2646"/>
        <v>0</v>
      </c>
      <c r="AM1084" s="264">
        <f t="shared" si="2647"/>
        <v>0</v>
      </c>
      <c r="AN1084" s="640">
        <f t="shared" si="2648"/>
        <v>0</v>
      </c>
      <c r="AO1084" s="264">
        <f t="shared" si="2649"/>
        <v>0</v>
      </c>
      <c r="AP1084" s="640">
        <f t="shared" si="2650"/>
        <v>0</v>
      </c>
      <c r="AQ1084" s="264"/>
      <c r="AR1084" s="264" t="str">
        <f>VLOOKUP($I1084,TableInputsData[],ReadMe!$M$3,FALSE)&amp;"  |  "&amp;VLOOKUP($K1084,TableInputsData[],ReadMe!$M$3,FALSE)</f>
        <v>SERVICE 06  |  DEPENSES SUR ACHATS</v>
      </c>
      <c r="AS1084" s="264" t="b">
        <f t="shared" si="2651"/>
        <v>1</v>
      </c>
      <c r="AT1084" s="294"/>
    </row>
    <row r="1085" spans="1:46" ht="13" hidden="1" x14ac:dyDescent="0.2">
      <c r="A1085" s="294"/>
      <c r="B1085" s="925"/>
      <c r="C1085" s="271">
        <v>1078</v>
      </c>
      <c r="D1085" s="250">
        <f t="shared" si="2600"/>
        <v>0</v>
      </c>
      <c r="E1085" s="250"/>
      <c r="F1085" s="248" t="str">
        <f t="shared" si="2641"/>
        <v>CURRENT YEAR</v>
      </c>
      <c r="G1085" s="250">
        <f>VLOOKUP(F1085,TableInputsData[],$G$6,FALSE)</f>
        <v>2025</v>
      </c>
      <c r="H1085" s="250" t="str">
        <f t="shared" si="2601"/>
        <v>SERVICE</v>
      </c>
      <c r="I1085" s="248" t="str">
        <f t="shared" si="2601"/>
        <v>SERVICE 06</v>
      </c>
      <c r="J1085" s="248" t="str">
        <f>VLOOKUP(I1085,TableInputsData[],$J$6,FALSE)</f>
        <v>-</v>
      </c>
      <c r="K1085" s="248" t="str">
        <f t="shared" ref="K1085:K1090" si="2653">K1084</f>
        <v>COST OF GOODS SOLD</v>
      </c>
      <c r="L1085" s="255"/>
      <c r="M1085" s="255"/>
      <c r="N1085" s="255"/>
      <c r="O1085" s="265"/>
      <c r="P1085" s="260"/>
      <c r="Q1085" s="260"/>
      <c r="R1085" s="260"/>
      <c r="S1085" s="630"/>
      <c r="T1085" s="630"/>
      <c r="U1085" s="630"/>
      <c r="V1085" s="630"/>
      <c r="W1085" s="260"/>
      <c r="X1085" s="260"/>
      <c r="Y1085" s="260"/>
      <c r="Z1085" s="260"/>
      <c r="AA1085" s="260"/>
      <c r="AB1085" s="260"/>
      <c r="AC1085" s="265"/>
      <c r="AD1085" s="634"/>
      <c r="AE1085" s="264">
        <f t="shared" ref="AE1085:AH1085" si="2654">AE1061*($S1061*$P1061+$T1061*$Q1061+$U1061*$R1061)</f>
        <v>0</v>
      </c>
      <c r="AF1085" s="264">
        <f t="shared" si="2654"/>
        <v>0</v>
      </c>
      <c r="AG1085" s="264">
        <f t="shared" si="2654"/>
        <v>0</v>
      </c>
      <c r="AH1085" s="264">
        <f t="shared" si="2654"/>
        <v>0</v>
      </c>
      <c r="AI1085" s="264">
        <f t="shared" si="2643"/>
        <v>0</v>
      </c>
      <c r="AJ1085" s="264">
        <f t="shared" si="2644"/>
        <v>0</v>
      </c>
      <c r="AK1085" s="264">
        <f t="shared" si="2645"/>
        <v>0</v>
      </c>
      <c r="AL1085" s="264">
        <f t="shared" si="2646"/>
        <v>0</v>
      </c>
      <c r="AM1085" s="264">
        <f t="shared" si="2647"/>
        <v>0</v>
      </c>
      <c r="AN1085" s="640">
        <f t="shared" si="2648"/>
        <v>0</v>
      </c>
      <c r="AO1085" s="264">
        <f t="shared" si="2649"/>
        <v>0</v>
      </c>
      <c r="AP1085" s="640">
        <f t="shared" si="2650"/>
        <v>0</v>
      </c>
      <c r="AQ1085" s="264"/>
      <c r="AR1085" s="264" t="str">
        <f>VLOOKUP($I1085,TableInputsData[],ReadMe!$M$3,FALSE)&amp;"  |  "&amp;VLOOKUP($K1085,TableInputsData[],ReadMe!$M$3,FALSE)</f>
        <v>SERVICE 06  |  DEPENSES SUR ACHATS</v>
      </c>
      <c r="AS1085" s="264" t="b">
        <f t="shared" si="2651"/>
        <v>1</v>
      </c>
      <c r="AT1085" s="294"/>
    </row>
    <row r="1086" spans="1:46" ht="13" hidden="1" x14ac:dyDescent="0.2">
      <c r="A1086" s="294"/>
      <c r="B1086" s="925"/>
      <c r="C1086" s="271">
        <v>1079</v>
      </c>
      <c r="D1086" s="250">
        <f t="shared" si="2600"/>
        <v>0</v>
      </c>
      <c r="E1086" s="250"/>
      <c r="F1086" s="248" t="str">
        <f t="shared" si="2641"/>
        <v>YEAR2</v>
      </c>
      <c r="G1086" s="250">
        <f>VLOOKUP(F1086,TableInputsData[],$G$6,FALSE)</f>
        <v>2026</v>
      </c>
      <c r="H1086" s="250" t="str">
        <f t="shared" si="2601"/>
        <v>SERVICE</v>
      </c>
      <c r="I1086" s="248" t="str">
        <f t="shared" si="2601"/>
        <v>SERVICE 06</v>
      </c>
      <c r="J1086" s="248" t="str">
        <f>VLOOKUP(I1086,TableInputsData[],$J$6,FALSE)</f>
        <v>-</v>
      </c>
      <c r="K1086" s="248" t="str">
        <f t="shared" si="2653"/>
        <v>COST OF GOODS SOLD</v>
      </c>
      <c r="L1086" s="255"/>
      <c r="M1086" s="255"/>
      <c r="N1086" s="255"/>
      <c r="O1086" s="265"/>
      <c r="P1086" s="260"/>
      <c r="Q1086" s="260"/>
      <c r="R1086" s="260"/>
      <c r="S1086" s="630"/>
      <c r="T1086" s="630"/>
      <c r="U1086" s="630"/>
      <c r="V1086" s="630"/>
      <c r="W1086" s="260"/>
      <c r="X1086" s="260"/>
      <c r="Y1086" s="260"/>
      <c r="Z1086" s="260"/>
      <c r="AA1086" s="260"/>
      <c r="AB1086" s="260"/>
      <c r="AC1086" s="265"/>
      <c r="AD1086" s="634"/>
      <c r="AE1086" s="264">
        <f t="shared" ref="AE1086:AH1086" si="2655">AE1062*($S1062*$P1062+$T1062*$Q1062+$U1062*$R1062)</f>
        <v>0</v>
      </c>
      <c r="AF1086" s="264">
        <f t="shared" si="2655"/>
        <v>0</v>
      </c>
      <c r="AG1086" s="264">
        <f t="shared" si="2655"/>
        <v>0</v>
      </c>
      <c r="AH1086" s="264">
        <f t="shared" si="2655"/>
        <v>0</v>
      </c>
      <c r="AI1086" s="264">
        <f t="shared" si="2643"/>
        <v>0</v>
      </c>
      <c r="AJ1086" s="264">
        <f t="shared" si="2644"/>
        <v>0</v>
      </c>
      <c r="AK1086" s="264">
        <f t="shared" si="2645"/>
        <v>0</v>
      </c>
      <c r="AL1086" s="264">
        <f t="shared" si="2646"/>
        <v>0</v>
      </c>
      <c r="AM1086" s="264">
        <f t="shared" si="2647"/>
        <v>0</v>
      </c>
      <c r="AN1086" s="640">
        <f t="shared" si="2648"/>
        <v>0</v>
      </c>
      <c r="AO1086" s="264">
        <f t="shared" si="2649"/>
        <v>0</v>
      </c>
      <c r="AP1086" s="640">
        <f t="shared" si="2650"/>
        <v>0</v>
      </c>
      <c r="AQ1086" s="264"/>
      <c r="AR1086" s="264" t="str">
        <f>VLOOKUP($I1086,TableInputsData[],ReadMe!$M$3,FALSE)&amp;"  |  "&amp;VLOOKUP($K1086,TableInputsData[],ReadMe!$M$3,FALSE)</f>
        <v>SERVICE 06  |  DEPENSES SUR ACHATS</v>
      </c>
      <c r="AS1086" s="264" t="b">
        <f t="shared" si="2651"/>
        <v>1</v>
      </c>
      <c r="AT1086" s="294"/>
    </row>
    <row r="1087" spans="1:46" ht="13" hidden="1" x14ac:dyDescent="0.2">
      <c r="A1087" s="294"/>
      <c r="B1087" s="925"/>
      <c r="C1087" s="271">
        <v>1080</v>
      </c>
      <c r="D1087" s="250">
        <f t="shared" si="2600"/>
        <v>0</v>
      </c>
      <c r="E1087" s="250"/>
      <c r="F1087" s="248" t="str">
        <f t="shared" si="2641"/>
        <v>YEAR3</v>
      </c>
      <c r="G1087" s="250">
        <f>VLOOKUP(F1087,TableInputsData[],$G$6,FALSE)</f>
        <v>2027</v>
      </c>
      <c r="H1087" s="250" t="str">
        <f t="shared" si="2601"/>
        <v>SERVICE</v>
      </c>
      <c r="I1087" s="248" t="str">
        <f t="shared" si="2601"/>
        <v>SERVICE 06</v>
      </c>
      <c r="J1087" s="248" t="str">
        <f>VLOOKUP(I1087,TableInputsData[],$J$6,FALSE)</f>
        <v>-</v>
      </c>
      <c r="K1087" s="248" t="str">
        <f t="shared" si="2653"/>
        <v>COST OF GOODS SOLD</v>
      </c>
      <c r="L1087" s="255"/>
      <c r="M1087" s="255"/>
      <c r="N1087" s="255"/>
      <c r="O1087" s="265"/>
      <c r="P1087" s="260"/>
      <c r="Q1087" s="260"/>
      <c r="R1087" s="260"/>
      <c r="S1087" s="630"/>
      <c r="T1087" s="630"/>
      <c r="U1087" s="630"/>
      <c r="V1087" s="630"/>
      <c r="W1087" s="260"/>
      <c r="X1087" s="260"/>
      <c r="Y1087" s="260"/>
      <c r="Z1087" s="260"/>
      <c r="AA1087" s="260"/>
      <c r="AB1087" s="260"/>
      <c r="AC1087" s="265"/>
      <c r="AD1087" s="634"/>
      <c r="AE1087" s="264">
        <f t="shared" ref="AE1087:AH1087" si="2656">AE1063*($S1063*$P1063+$T1063*$Q1063+$U1063*$R1063)</f>
        <v>0</v>
      </c>
      <c r="AF1087" s="264">
        <f t="shared" si="2656"/>
        <v>0</v>
      </c>
      <c r="AG1087" s="264">
        <f t="shared" si="2656"/>
        <v>0</v>
      </c>
      <c r="AH1087" s="264">
        <f t="shared" si="2656"/>
        <v>0</v>
      </c>
      <c r="AI1087" s="264">
        <f t="shared" si="2643"/>
        <v>0</v>
      </c>
      <c r="AJ1087" s="264">
        <f t="shared" si="2644"/>
        <v>0</v>
      </c>
      <c r="AK1087" s="264">
        <f t="shared" si="2645"/>
        <v>0</v>
      </c>
      <c r="AL1087" s="264">
        <f t="shared" si="2646"/>
        <v>0</v>
      </c>
      <c r="AM1087" s="264">
        <f t="shared" si="2647"/>
        <v>0</v>
      </c>
      <c r="AN1087" s="640">
        <f t="shared" si="2648"/>
        <v>0</v>
      </c>
      <c r="AO1087" s="264">
        <f t="shared" si="2649"/>
        <v>0</v>
      </c>
      <c r="AP1087" s="640">
        <f t="shared" si="2650"/>
        <v>0</v>
      </c>
      <c r="AQ1087" s="264"/>
      <c r="AR1087" s="264" t="str">
        <f>VLOOKUP($I1087,TableInputsData[],ReadMe!$M$3,FALSE)&amp;"  |  "&amp;VLOOKUP($K1087,TableInputsData[],ReadMe!$M$3,FALSE)</f>
        <v>SERVICE 06  |  DEPENSES SUR ACHATS</v>
      </c>
      <c r="AS1087" s="264" t="b">
        <f t="shared" si="2651"/>
        <v>1</v>
      </c>
      <c r="AT1087" s="294"/>
    </row>
    <row r="1088" spans="1:46" ht="13" hidden="1" x14ac:dyDescent="0.2">
      <c r="A1088" s="294"/>
      <c r="B1088" s="925"/>
      <c r="C1088" s="271">
        <v>1081</v>
      </c>
      <c r="D1088" s="250">
        <f t="shared" si="2600"/>
        <v>0</v>
      </c>
      <c r="E1088" s="250"/>
      <c r="F1088" s="248" t="str">
        <f t="shared" si="2641"/>
        <v>YEAR4</v>
      </c>
      <c r="G1088" s="250">
        <f>VLOOKUP(F1088,TableInputsData[],$G$6,FALSE)</f>
        <v>2028</v>
      </c>
      <c r="H1088" s="250" t="str">
        <f t="shared" si="2601"/>
        <v>SERVICE</v>
      </c>
      <c r="I1088" s="248" t="str">
        <f t="shared" si="2601"/>
        <v>SERVICE 06</v>
      </c>
      <c r="J1088" s="248" t="str">
        <f>VLOOKUP(I1088,TableInputsData[],$J$6,FALSE)</f>
        <v>-</v>
      </c>
      <c r="K1088" s="248" t="str">
        <f t="shared" si="2653"/>
        <v>COST OF GOODS SOLD</v>
      </c>
      <c r="L1088" s="255"/>
      <c r="M1088" s="255"/>
      <c r="N1088" s="255"/>
      <c r="O1088" s="265"/>
      <c r="P1088" s="260"/>
      <c r="Q1088" s="260"/>
      <c r="R1088" s="260"/>
      <c r="S1088" s="630"/>
      <c r="T1088" s="630"/>
      <c r="U1088" s="630"/>
      <c r="V1088" s="630"/>
      <c r="W1088" s="260"/>
      <c r="X1088" s="260"/>
      <c r="Y1088" s="260"/>
      <c r="Z1088" s="260"/>
      <c r="AA1088" s="260"/>
      <c r="AB1088" s="260"/>
      <c r="AC1088" s="265"/>
      <c r="AD1088" s="634"/>
      <c r="AE1088" s="264">
        <f t="shared" ref="AE1088:AH1088" si="2657">AE1064*($S1064*$P1064+$T1064*$Q1064+$U1064*$R1064)</f>
        <v>0</v>
      </c>
      <c r="AF1088" s="264">
        <f t="shared" si="2657"/>
        <v>0</v>
      </c>
      <c r="AG1088" s="264">
        <f t="shared" si="2657"/>
        <v>0</v>
      </c>
      <c r="AH1088" s="264">
        <f t="shared" si="2657"/>
        <v>0</v>
      </c>
      <c r="AI1088" s="264">
        <f t="shared" si="2643"/>
        <v>0</v>
      </c>
      <c r="AJ1088" s="264">
        <f t="shared" si="2644"/>
        <v>0</v>
      </c>
      <c r="AK1088" s="264">
        <f t="shared" si="2645"/>
        <v>0</v>
      </c>
      <c r="AL1088" s="264">
        <f t="shared" si="2646"/>
        <v>0</v>
      </c>
      <c r="AM1088" s="264">
        <f t="shared" si="2647"/>
        <v>0</v>
      </c>
      <c r="AN1088" s="640">
        <f t="shared" si="2648"/>
        <v>0</v>
      </c>
      <c r="AO1088" s="264">
        <f t="shared" si="2649"/>
        <v>0</v>
      </c>
      <c r="AP1088" s="640">
        <f t="shared" si="2650"/>
        <v>0</v>
      </c>
      <c r="AQ1088" s="264"/>
      <c r="AR1088" s="264" t="str">
        <f>VLOOKUP($I1088,TableInputsData[],ReadMe!$M$3,FALSE)&amp;"  |  "&amp;VLOOKUP($K1088,TableInputsData[],ReadMe!$M$3,FALSE)</f>
        <v>SERVICE 06  |  DEPENSES SUR ACHATS</v>
      </c>
      <c r="AS1088" s="264" t="b">
        <f t="shared" si="2651"/>
        <v>1</v>
      </c>
      <c r="AT1088" s="294"/>
    </row>
    <row r="1089" spans="1:46" ht="13" hidden="1" x14ac:dyDescent="0.2">
      <c r="A1089" s="294"/>
      <c r="B1089" s="925"/>
      <c r="C1089" s="271">
        <v>1082</v>
      </c>
      <c r="D1089" s="250">
        <f t="shared" si="2600"/>
        <v>0</v>
      </c>
      <c r="E1089" s="250"/>
      <c r="F1089" s="248" t="str">
        <f t="shared" si="2641"/>
        <v>YEAR5</v>
      </c>
      <c r="G1089" s="250">
        <f>VLOOKUP(F1089,TableInputsData[],$G$6,FALSE)</f>
        <v>2029</v>
      </c>
      <c r="H1089" s="250" t="str">
        <f t="shared" si="2601"/>
        <v>SERVICE</v>
      </c>
      <c r="I1089" s="248" t="str">
        <f t="shared" si="2601"/>
        <v>SERVICE 06</v>
      </c>
      <c r="J1089" s="248" t="str">
        <f>VLOOKUP(I1089,TableInputsData[],$J$6,FALSE)</f>
        <v>-</v>
      </c>
      <c r="K1089" s="248" t="str">
        <f t="shared" si="2653"/>
        <v>COST OF GOODS SOLD</v>
      </c>
      <c r="L1089" s="255"/>
      <c r="M1089" s="255"/>
      <c r="N1089" s="255"/>
      <c r="O1089" s="265"/>
      <c r="P1089" s="260"/>
      <c r="Q1089" s="260"/>
      <c r="R1089" s="260"/>
      <c r="S1089" s="630"/>
      <c r="T1089" s="630"/>
      <c r="U1089" s="630"/>
      <c r="V1089" s="630"/>
      <c r="W1089" s="260"/>
      <c r="X1089" s="260"/>
      <c r="Y1089" s="260"/>
      <c r="Z1089" s="260"/>
      <c r="AA1089" s="260"/>
      <c r="AB1089" s="260"/>
      <c r="AC1089" s="265"/>
      <c r="AD1089" s="634"/>
      <c r="AE1089" s="264">
        <f t="shared" ref="AE1089:AH1089" si="2658">AE1065*($S1065*$P1065+$T1065*$Q1065+$U1065*$R1065)</f>
        <v>0</v>
      </c>
      <c r="AF1089" s="264">
        <f t="shared" si="2658"/>
        <v>0</v>
      </c>
      <c r="AG1089" s="264">
        <f t="shared" si="2658"/>
        <v>0</v>
      </c>
      <c r="AH1089" s="264">
        <f t="shared" si="2658"/>
        <v>0</v>
      </c>
      <c r="AI1089" s="264">
        <f t="shared" si="2643"/>
        <v>0</v>
      </c>
      <c r="AJ1089" s="264">
        <f t="shared" si="2644"/>
        <v>0</v>
      </c>
      <c r="AK1089" s="264">
        <f t="shared" si="2645"/>
        <v>0</v>
      </c>
      <c r="AL1089" s="264">
        <f t="shared" si="2646"/>
        <v>0</v>
      </c>
      <c r="AM1089" s="264">
        <f t="shared" si="2647"/>
        <v>0</v>
      </c>
      <c r="AN1089" s="640">
        <f t="shared" si="2648"/>
        <v>0</v>
      </c>
      <c r="AO1089" s="264">
        <f t="shared" si="2649"/>
        <v>0</v>
      </c>
      <c r="AP1089" s="640">
        <f t="shared" si="2650"/>
        <v>0</v>
      </c>
      <c r="AQ1089" s="264"/>
      <c r="AR1089" s="264" t="str">
        <f>VLOOKUP($I1089,TableInputsData[],ReadMe!$M$3,FALSE)&amp;"  |  "&amp;VLOOKUP($K1089,TableInputsData[],ReadMe!$M$3,FALSE)</f>
        <v>SERVICE 06  |  DEPENSES SUR ACHATS</v>
      </c>
      <c r="AS1089" s="264" t="b">
        <f t="shared" si="2651"/>
        <v>1</v>
      </c>
      <c r="AT1089" s="294"/>
    </row>
    <row r="1090" spans="1:46" ht="13" hidden="1" x14ac:dyDescent="0.2">
      <c r="A1090" s="294"/>
      <c r="B1090" s="925"/>
      <c r="C1090" s="271">
        <v>1083</v>
      </c>
      <c r="D1090" s="250">
        <f t="shared" si="2600"/>
        <v>0</v>
      </c>
      <c r="E1090" s="250"/>
      <c r="F1090" s="248" t="str">
        <f t="shared" si="2641"/>
        <v>YEAR6</v>
      </c>
      <c r="G1090" s="250">
        <f>VLOOKUP(F1090,TableInputsData[],$G$6,FALSE)</f>
        <v>2030</v>
      </c>
      <c r="H1090" s="250" t="str">
        <f t="shared" si="2601"/>
        <v>SERVICE</v>
      </c>
      <c r="I1090" s="248" t="str">
        <f t="shared" si="2601"/>
        <v>SERVICE 06</v>
      </c>
      <c r="J1090" s="248" t="str">
        <f>VLOOKUP(I1090,TableInputsData[],$J$6,FALSE)</f>
        <v>-</v>
      </c>
      <c r="K1090" s="248" t="str">
        <f t="shared" si="2653"/>
        <v>COST OF GOODS SOLD</v>
      </c>
      <c r="L1090" s="255"/>
      <c r="M1090" s="255"/>
      <c r="N1090" s="255"/>
      <c r="O1090" s="265"/>
      <c r="P1090" s="260"/>
      <c r="Q1090" s="260"/>
      <c r="R1090" s="260"/>
      <c r="S1090" s="630"/>
      <c r="T1090" s="630"/>
      <c r="U1090" s="630"/>
      <c r="V1090" s="630"/>
      <c r="W1090" s="260"/>
      <c r="X1090" s="260"/>
      <c r="Y1090" s="260"/>
      <c r="Z1090" s="260"/>
      <c r="AA1090" s="260"/>
      <c r="AB1090" s="260"/>
      <c r="AC1090" s="265"/>
      <c r="AD1090" s="634"/>
      <c r="AE1090" s="264">
        <f t="shared" ref="AE1090:AH1090" si="2659">AE1066*($S1066*$P1066+$T1066*$Q1066+$U1066*$R1066)</f>
        <v>0</v>
      </c>
      <c r="AF1090" s="264">
        <f t="shared" si="2659"/>
        <v>0</v>
      </c>
      <c r="AG1090" s="264">
        <f t="shared" si="2659"/>
        <v>0</v>
      </c>
      <c r="AH1090" s="264">
        <f t="shared" si="2659"/>
        <v>0</v>
      </c>
      <c r="AI1090" s="264">
        <f t="shared" si="2643"/>
        <v>0</v>
      </c>
      <c r="AJ1090" s="264">
        <f t="shared" si="2644"/>
        <v>0</v>
      </c>
      <c r="AK1090" s="264">
        <f t="shared" si="2645"/>
        <v>0</v>
      </c>
      <c r="AL1090" s="264">
        <f t="shared" si="2646"/>
        <v>0</v>
      </c>
      <c r="AM1090" s="264">
        <f t="shared" si="2647"/>
        <v>0</v>
      </c>
      <c r="AN1090" s="640">
        <f t="shared" si="2648"/>
        <v>0</v>
      </c>
      <c r="AO1090" s="264">
        <f t="shared" si="2649"/>
        <v>0</v>
      </c>
      <c r="AP1090" s="640">
        <f t="shared" si="2650"/>
        <v>0</v>
      </c>
      <c r="AQ1090" s="264"/>
      <c r="AR1090" s="264" t="str">
        <f>VLOOKUP($I1090,TableInputsData[],ReadMe!$M$3,FALSE)&amp;"  |  "&amp;VLOOKUP($K1090,TableInputsData[],ReadMe!$M$3,FALSE)</f>
        <v>SERVICE 06  |  DEPENSES SUR ACHATS</v>
      </c>
      <c r="AS1090" s="264" t="b">
        <f t="shared" si="2651"/>
        <v>1</v>
      </c>
      <c r="AT1090" s="294"/>
    </row>
    <row r="1091" spans="1:46" ht="13" hidden="1" x14ac:dyDescent="0.2">
      <c r="A1091" s="294"/>
      <c r="B1091" s="925"/>
      <c r="C1091" s="272">
        <v>1084</v>
      </c>
      <c r="D1091" s="250">
        <f t="shared" si="2600"/>
        <v>0</v>
      </c>
      <c r="E1091" s="251"/>
      <c r="F1091" s="248" t="str">
        <f t="shared" ref="F1091:F1098" si="2660">F1067</f>
        <v>YEAR-2</v>
      </c>
      <c r="G1091" s="250">
        <f>VLOOKUP(F1091,TableInputsData[],$G$6,FALSE)</f>
        <v>2023</v>
      </c>
      <c r="H1091" s="250" t="str">
        <f t="shared" si="2601"/>
        <v>SERVICE</v>
      </c>
      <c r="I1091" s="248" t="str">
        <f t="shared" si="2601"/>
        <v>SERVICE 06</v>
      </c>
      <c r="J1091" s="248" t="str">
        <f>VLOOKUP(I1091,TableInputsData[],$J$6,FALSE)</f>
        <v>-</v>
      </c>
      <c r="K1091" s="248" t="s">
        <v>532</v>
      </c>
      <c r="L1091" s="256"/>
      <c r="M1091" s="256"/>
      <c r="N1091" s="256"/>
      <c r="O1091" s="266"/>
      <c r="P1091" s="261"/>
      <c r="Q1091" s="261"/>
      <c r="R1091" s="261"/>
      <c r="S1091" s="629"/>
      <c r="T1091" s="629"/>
      <c r="U1091" s="629"/>
      <c r="V1091" s="629"/>
      <c r="W1091" s="261"/>
      <c r="X1091" s="261"/>
      <c r="Y1091" s="261"/>
      <c r="Z1091" s="261"/>
      <c r="AA1091" s="261"/>
      <c r="AB1091" s="261"/>
      <c r="AC1091" s="266"/>
      <c r="AD1091" s="633"/>
      <c r="AE1091" s="264">
        <f>IF(AE1059=0,0,AE1083/AE1059)</f>
        <v>0</v>
      </c>
      <c r="AF1091" s="264">
        <f t="shared" ref="AF1091:AI1091" si="2661">IF(AF1059=0,0,AF1083/AF1059)</f>
        <v>0</v>
      </c>
      <c r="AG1091" s="264">
        <f t="shared" si="2661"/>
        <v>0</v>
      </c>
      <c r="AH1091" s="264">
        <f t="shared" si="2661"/>
        <v>0</v>
      </c>
      <c r="AI1091" s="264">
        <f t="shared" si="2661"/>
        <v>0</v>
      </c>
      <c r="AJ1091" s="264">
        <f>IF(AJ1059=0,0,AJ1083/AJ1059)</f>
        <v>0</v>
      </c>
      <c r="AK1091" s="264">
        <f t="shared" ref="AK1091:AL1091" si="2662">IF(AK1059=0,0,AK1083/AK1059)</f>
        <v>0</v>
      </c>
      <c r="AL1091" s="264">
        <f t="shared" si="2662"/>
        <v>0</v>
      </c>
      <c r="AM1091" s="264">
        <f>IF(AM1059=0,0,AM1083/AM1059)</f>
        <v>0</v>
      </c>
      <c r="AN1091" s="260"/>
      <c r="AO1091" s="264">
        <f t="shared" ref="AO1091" si="2663">IF(AO1059=0,0,AO1083/AO1059)</f>
        <v>0</v>
      </c>
      <c r="AP1091" s="260"/>
      <c r="AQ1091" s="264"/>
      <c r="AR1091" s="264" t="str">
        <f>VLOOKUP($I1091,TableInputsData[],ReadMe!$M$3,FALSE)&amp;"  |  "&amp;VLOOKUP($K1091,TableInputsData[],ReadMe!$M$3,FALSE)</f>
        <v>SERVICE 06  |  PRIX MOYEN D'ACHAT PAR PRODUIT/SERVICE</v>
      </c>
      <c r="AS1091" s="264"/>
      <c r="AT1091" s="294"/>
    </row>
    <row r="1092" spans="1:46" ht="13" hidden="1" x14ac:dyDescent="0.2">
      <c r="A1092" s="294"/>
      <c r="B1092" s="925"/>
      <c r="C1092" s="272">
        <v>1085</v>
      </c>
      <c r="D1092" s="250">
        <f t="shared" si="2600"/>
        <v>0</v>
      </c>
      <c r="E1092" s="251"/>
      <c r="F1092" s="248" t="str">
        <f t="shared" si="2660"/>
        <v>YEAR-1</v>
      </c>
      <c r="G1092" s="250">
        <f>VLOOKUP(F1092,TableInputsData[],$G$6,FALSE)</f>
        <v>2024</v>
      </c>
      <c r="H1092" s="250" t="str">
        <f t="shared" si="2601"/>
        <v>SERVICE</v>
      </c>
      <c r="I1092" s="248" t="str">
        <f t="shared" si="2601"/>
        <v>SERVICE 06</v>
      </c>
      <c r="J1092" s="248" t="str">
        <f>VLOOKUP(I1092,TableInputsData[],$J$6,FALSE)</f>
        <v>-</v>
      </c>
      <c r="K1092" s="248" t="str">
        <f>K1091</f>
        <v>AVERAGE COST OF GOODS SOLD PER UNIT</v>
      </c>
      <c r="L1092" s="256"/>
      <c r="M1092" s="256"/>
      <c r="N1092" s="256"/>
      <c r="O1092" s="266"/>
      <c r="P1092" s="261"/>
      <c r="Q1092" s="261"/>
      <c r="R1092" s="261"/>
      <c r="S1092" s="629"/>
      <c r="T1092" s="629"/>
      <c r="U1092" s="629"/>
      <c r="V1092" s="629"/>
      <c r="W1092" s="261"/>
      <c r="X1092" s="261"/>
      <c r="Y1092" s="261"/>
      <c r="Z1092" s="261"/>
      <c r="AA1092" s="261"/>
      <c r="AB1092" s="261"/>
      <c r="AC1092" s="266"/>
      <c r="AD1092" s="633"/>
      <c r="AE1092" s="264">
        <f t="shared" ref="AE1092:AL1092" si="2664">IF(AE1060=0,0,AE1084/AE1060)</f>
        <v>0</v>
      </c>
      <c r="AF1092" s="264">
        <f t="shared" si="2664"/>
        <v>0</v>
      </c>
      <c r="AG1092" s="264">
        <f t="shared" si="2664"/>
        <v>0</v>
      </c>
      <c r="AH1092" s="264">
        <f t="shared" si="2664"/>
        <v>0</v>
      </c>
      <c r="AI1092" s="264">
        <f t="shared" si="2664"/>
        <v>0</v>
      </c>
      <c r="AJ1092" s="264">
        <f t="shared" si="2664"/>
        <v>0</v>
      </c>
      <c r="AK1092" s="264">
        <f t="shared" si="2664"/>
        <v>0</v>
      </c>
      <c r="AL1092" s="264">
        <f t="shared" si="2664"/>
        <v>0</v>
      </c>
      <c r="AM1092" s="264">
        <f>IF(AM1060=0,0,AM1084/AM1060)</f>
        <v>0</v>
      </c>
      <c r="AN1092" s="260"/>
      <c r="AO1092" s="264">
        <f>IF(AO1060=0,0,AO1084/AO1060)</f>
        <v>0</v>
      </c>
      <c r="AP1092" s="260"/>
      <c r="AQ1092" s="264"/>
      <c r="AR1092" s="264" t="str">
        <f>VLOOKUP($I1092,TableInputsData[],ReadMe!$M$3,FALSE)&amp;"  |  "&amp;VLOOKUP($K1092,TableInputsData[],ReadMe!$M$3,FALSE)</f>
        <v>SERVICE 06  |  PRIX MOYEN D'ACHAT PAR PRODUIT/SERVICE</v>
      </c>
      <c r="AS1092" s="264"/>
      <c r="AT1092" s="294"/>
    </row>
    <row r="1093" spans="1:46" ht="13" hidden="1" x14ac:dyDescent="0.2">
      <c r="A1093" s="294"/>
      <c r="B1093" s="925"/>
      <c r="C1093" s="272">
        <v>1086</v>
      </c>
      <c r="D1093" s="250">
        <f t="shared" si="2600"/>
        <v>0</v>
      </c>
      <c r="E1093" s="251"/>
      <c r="F1093" s="248" t="str">
        <f t="shared" si="2660"/>
        <v>CURRENT YEAR</v>
      </c>
      <c r="G1093" s="250">
        <f>VLOOKUP(F1093,TableInputsData[],$G$6,FALSE)</f>
        <v>2025</v>
      </c>
      <c r="H1093" s="250" t="str">
        <f t="shared" si="2601"/>
        <v>SERVICE</v>
      </c>
      <c r="I1093" s="248" t="str">
        <f t="shared" si="2601"/>
        <v>SERVICE 06</v>
      </c>
      <c r="J1093" s="248" t="str">
        <f>VLOOKUP(I1093,TableInputsData[],$J$6,FALSE)</f>
        <v>-</v>
      </c>
      <c r="K1093" s="248" t="str">
        <f t="shared" ref="K1093:K1098" si="2665">K1092</f>
        <v>AVERAGE COST OF GOODS SOLD PER UNIT</v>
      </c>
      <c r="L1093" s="256"/>
      <c r="M1093" s="256"/>
      <c r="N1093" s="256"/>
      <c r="O1093" s="266"/>
      <c r="P1093" s="261"/>
      <c r="Q1093" s="261"/>
      <c r="R1093" s="261"/>
      <c r="S1093" s="629"/>
      <c r="T1093" s="629"/>
      <c r="U1093" s="629"/>
      <c r="V1093" s="629"/>
      <c r="W1093" s="261"/>
      <c r="X1093" s="261"/>
      <c r="Y1093" s="261"/>
      <c r="Z1093" s="261"/>
      <c r="AA1093" s="261"/>
      <c r="AB1093" s="261"/>
      <c r="AC1093" s="266"/>
      <c r="AD1093" s="633"/>
      <c r="AE1093" s="264">
        <f t="shared" ref="AE1093:AL1093" si="2666">IF(AE1061=0,0,AE1085/AE1061)</f>
        <v>0</v>
      </c>
      <c r="AF1093" s="264">
        <f t="shared" si="2666"/>
        <v>0</v>
      </c>
      <c r="AG1093" s="264">
        <f t="shared" si="2666"/>
        <v>0</v>
      </c>
      <c r="AH1093" s="264">
        <f t="shared" si="2666"/>
        <v>0</v>
      </c>
      <c r="AI1093" s="264">
        <f t="shared" si="2666"/>
        <v>0</v>
      </c>
      <c r="AJ1093" s="264">
        <f t="shared" si="2666"/>
        <v>0</v>
      </c>
      <c r="AK1093" s="264">
        <f t="shared" si="2666"/>
        <v>0</v>
      </c>
      <c r="AL1093" s="264">
        <f t="shared" si="2666"/>
        <v>0</v>
      </c>
      <c r="AM1093" s="264">
        <f>IF(AM1061=0,0,AM1085/AM1061)</f>
        <v>0</v>
      </c>
      <c r="AN1093" s="260"/>
      <c r="AO1093" s="264">
        <f>IF(AO1061=0,0,AO1085/AO1061)</f>
        <v>0</v>
      </c>
      <c r="AP1093" s="260"/>
      <c r="AQ1093" s="264"/>
      <c r="AR1093" s="264" t="str">
        <f>VLOOKUP($I1093,TableInputsData[],ReadMe!$M$3,FALSE)&amp;"  |  "&amp;VLOOKUP($K1093,TableInputsData[],ReadMe!$M$3,FALSE)</f>
        <v>SERVICE 06  |  PRIX MOYEN D'ACHAT PAR PRODUIT/SERVICE</v>
      </c>
      <c r="AS1093" s="264"/>
      <c r="AT1093" s="294"/>
    </row>
    <row r="1094" spans="1:46" ht="13" hidden="1" x14ac:dyDescent="0.2">
      <c r="A1094" s="294"/>
      <c r="B1094" s="925"/>
      <c r="C1094" s="272">
        <v>1087</v>
      </c>
      <c r="D1094" s="250">
        <f t="shared" si="2600"/>
        <v>0</v>
      </c>
      <c r="E1094" s="251"/>
      <c r="F1094" s="248" t="str">
        <f t="shared" si="2660"/>
        <v>YEAR2</v>
      </c>
      <c r="G1094" s="250">
        <f>VLOOKUP(F1094,TableInputsData[],$G$6,FALSE)</f>
        <v>2026</v>
      </c>
      <c r="H1094" s="250" t="str">
        <f t="shared" si="2601"/>
        <v>SERVICE</v>
      </c>
      <c r="I1094" s="248" t="str">
        <f t="shared" si="2601"/>
        <v>SERVICE 06</v>
      </c>
      <c r="J1094" s="248" t="str">
        <f>VLOOKUP(I1094,TableInputsData[],$J$6,FALSE)</f>
        <v>-</v>
      </c>
      <c r="K1094" s="248" t="str">
        <f t="shared" si="2665"/>
        <v>AVERAGE COST OF GOODS SOLD PER UNIT</v>
      </c>
      <c r="L1094" s="256"/>
      <c r="M1094" s="256"/>
      <c r="N1094" s="256"/>
      <c r="O1094" s="266"/>
      <c r="P1094" s="261"/>
      <c r="Q1094" s="261"/>
      <c r="R1094" s="261"/>
      <c r="S1094" s="629"/>
      <c r="T1094" s="629"/>
      <c r="U1094" s="629"/>
      <c r="V1094" s="629"/>
      <c r="W1094" s="261"/>
      <c r="X1094" s="261"/>
      <c r="Y1094" s="261"/>
      <c r="Z1094" s="261"/>
      <c r="AA1094" s="261"/>
      <c r="AB1094" s="261"/>
      <c r="AC1094" s="266"/>
      <c r="AD1094" s="633"/>
      <c r="AE1094" s="264">
        <f t="shared" ref="AE1094:AM1094" si="2667">IF(AE1062=0,0,AE1086/AE1062)</f>
        <v>0</v>
      </c>
      <c r="AF1094" s="264">
        <f t="shared" si="2667"/>
        <v>0</v>
      </c>
      <c r="AG1094" s="264">
        <f t="shared" si="2667"/>
        <v>0</v>
      </c>
      <c r="AH1094" s="264">
        <f t="shared" si="2667"/>
        <v>0</v>
      </c>
      <c r="AI1094" s="264">
        <f t="shared" si="2667"/>
        <v>0</v>
      </c>
      <c r="AJ1094" s="264">
        <f t="shared" si="2667"/>
        <v>0</v>
      </c>
      <c r="AK1094" s="264">
        <f t="shared" si="2667"/>
        <v>0</v>
      </c>
      <c r="AL1094" s="264">
        <f t="shared" si="2667"/>
        <v>0</v>
      </c>
      <c r="AM1094" s="264">
        <f t="shared" si="2667"/>
        <v>0</v>
      </c>
      <c r="AN1094" s="260"/>
      <c r="AO1094" s="264">
        <f t="shared" ref="AO1094" si="2668">IF(AO1062=0,0,AO1086/AO1062)</f>
        <v>0</v>
      </c>
      <c r="AP1094" s="260"/>
      <c r="AQ1094" s="264"/>
      <c r="AR1094" s="264" t="str">
        <f>VLOOKUP($I1094,TableInputsData[],ReadMe!$M$3,FALSE)&amp;"  |  "&amp;VLOOKUP($K1094,TableInputsData[],ReadMe!$M$3,FALSE)</f>
        <v>SERVICE 06  |  PRIX MOYEN D'ACHAT PAR PRODUIT/SERVICE</v>
      </c>
      <c r="AS1094" s="264"/>
      <c r="AT1094" s="294"/>
    </row>
    <row r="1095" spans="1:46" ht="13" hidden="1" x14ac:dyDescent="0.2">
      <c r="A1095" s="294"/>
      <c r="B1095" s="925"/>
      <c r="C1095" s="272">
        <v>1088</v>
      </c>
      <c r="D1095" s="250">
        <f t="shared" si="2600"/>
        <v>0</v>
      </c>
      <c r="E1095" s="251"/>
      <c r="F1095" s="248" t="str">
        <f t="shared" si="2660"/>
        <v>YEAR3</v>
      </c>
      <c r="G1095" s="250">
        <f>VLOOKUP(F1095,TableInputsData[],$G$6,FALSE)</f>
        <v>2027</v>
      </c>
      <c r="H1095" s="250" t="str">
        <f t="shared" si="2601"/>
        <v>SERVICE</v>
      </c>
      <c r="I1095" s="248" t="str">
        <f t="shared" si="2601"/>
        <v>SERVICE 06</v>
      </c>
      <c r="J1095" s="248" t="str">
        <f>VLOOKUP(I1095,TableInputsData[],$J$6,FALSE)</f>
        <v>-</v>
      </c>
      <c r="K1095" s="248" t="str">
        <f t="shared" si="2665"/>
        <v>AVERAGE COST OF GOODS SOLD PER UNIT</v>
      </c>
      <c r="L1095" s="256"/>
      <c r="M1095" s="256"/>
      <c r="N1095" s="256"/>
      <c r="O1095" s="266"/>
      <c r="P1095" s="261"/>
      <c r="Q1095" s="261"/>
      <c r="R1095" s="261"/>
      <c r="S1095" s="629"/>
      <c r="T1095" s="629"/>
      <c r="U1095" s="629"/>
      <c r="V1095" s="629"/>
      <c r="W1095" s="261"/>
      <c r="X1095" s="261"/>
      <c r="Y1095" s="261"/>
      <c r="Z1095" s="261"/>
      <c r="AA1095" s="261"/>
      <c r="AB1095" s="261"/>
      <c r="AC1095" s="266"/>
      <c r="AD1095" s="633"/>
      <c r="AE1095" s="264">
        <f t="shared" ref="AE1095:AM1095" si="2669">IF(AE1063=0,0,AE1087/AE1063)</f>
        <v>0</v>
      </c>
      <c r="AF1095" s="264">
        <f t="shared" si="2669"/>
        <v>0</v>
      </c>
      <c r="AG1095" s="264">
        <f t="shared" si="2669"/>
        <v>0</v>
      </c>
      <c r="AH1095" s="264">
        <f t="shared" si="2669"/>
        <v>0</v>
      </c>
      <c r="AI1095" s="264">
        <f t="shared" si="2669"/>
        <v>0</v>
      </c>
      <c r="AJ1095" s="264">
        <f t="shared" si="2669"/>
        <v>0</v>
      </c>
      <c r="AK1095" s="264">
        <f t="shared" si="2669"/>
        <v>0</v>
      </c>
      <c r="AL1095" s="264">
        <f t="shared" si="2669"/>
        <v>0</v>
      </c>
      <c r="AM1095" s="264">
        <f t="shared" si="2669"/>
        <v>0</v>
      </c>
      <c r="AN1095" s="260"/>
      <c r="AO1095" s="264">
        <f t="shared" ref="AO1095" si="2670">IF(AO1063=0,0,AO1087/AO1063)</f>
        <v>0</v>
      </c>
      <c r="AP1095" s="260"/>
      <c r="AQ1095" s="264"/>
      <c r="AR1095" s="264" t="str">
        <f>VLOOKUP($I1095,TableInputsData[],ReadMe!$M$3,FALSE)&amp;"  |  "&amp;VLOOKUP($K1095,TableInputsData[],ReadMe!$M$3,FALSE)</f>
        <v>SERVICE 06  |  PRIX MOYEN D'ACHAT PAR PRODUIT/SERVICE</v>
      </c>
      <c r="AS1095" s="264"/>
      <c r="AT1095" s="294"/>
    </row>
    <row r="1096" spans="1:46" ht="13" hidden="1" x14ac:dyDescent="0.2">
      <c r="A1096" s="294"/>
      <c r="B1096" s="925"/>
      <c r="C1096" s="272">
        <v>1089</v>
      </c>
      <c r="D1096" s="250">
        <f t="shared" si="2600"/>
        <v>0</v>
      </c>
      <c r="E1096" s="251"/>
      <c r="F1096" s="248" t="str">
        <f t="shared" si="2660"/>
        <v>YEAR4</v>
      </c>
      <c r="G1096" s="250">
        <f>VLOOKUP(F1096,TableInputsData[],$G$6,FALSE)</f>
        <v>2028</v>
      </c>
      <c r="H1096" s="250" t="str">
        <f t="shared" si="2601"/>
        <v>SERVICE</v>
      </c>
      <c r="I1096" s="248" t="str">
        <f t="shared" si="2601"/>
        <v>SERVICE 06</v>
      </c>
      <c r="J1096" s="248" t="str">
        <f>VLOOKUP(I1096,TableInputsData[],$J$6,FALSE)</f>
        <v>-</v>
      </c>
      <c r="K1096" s="248" t="str">
        <f t="shared" si="2665"/>
        <v>AVERAGE COST OF GOODS SOLD PER UNIT</v>
      </c>
      <c r="L1096" s="256"/>
      <c r="M1096" s="256"/>
      <c r="N1096" s="256"/>
      <c r="O1096" s="266"/>
      <c r="P1096" s="261"/>
      <c r="Q1096" s="261"/>
      <c r="R1096" s="261"/>
      <c r="S1096" s="629"/>
      <c r="T1096" s="629"/>
      <c r="U1096" s="629"/>
      <c r="V1096" s="629"/>
      <c r="W1096" s="261"/>
      <c r="X1096" s="261"/>
      <c r="Y1096" s="261"/>
      <c r="Z1096" s="261"/>
      <c r="AA1096" s="261"/>
      <c r="AB1096" s="261"/>
      <c r="AC1096" s="266"/>
      <c r="AD1096" s="633"/>
      <c r="AE1096" s="264">
        <f t="shared" ref="AE1096:AM1096" si="2671">IF(AE1064=0,0,AE1088/AE1064)</f>
        <v>0</v>
      </c>
      <c r="AF1096" s="264">
        <f t="shared" si="2671"/>
        <v>0</v>
      </c>
      <c r="AG1096" s="264">
        <f t="shared" si="2671"/>
        <v>0</v>
      </c>
      <c r="AH1096" s="264">
        <f t="shared" si="2671"/>
        <v>0</v>
      </c>
      <c r="AI1096" s="264">
        <f t="shared" si="2671"/>
        <v>0</v>
      </c>
      <c r="AJ1096" s="264">
        <f t="shared" si="2671"/>
        <v>0</v>
      </c>
      <c r="AK1096" s="264">
        <f t="shared" si="2671"/>
        <v>0</v>
      </c>
      <c r="AL1096" s="264">
        <f t="shared" si="2671"/>
        <v>0</v>
      </c>
      <c r="AM1096" s="264">
        <f t="shared" si="2671"/>
        <v>0</v>
      </c>
      <c r="AN1096" s="260"/>
      <c r="AO1096" s="264">
        <f t="shared" ref="AO1096" si="2672">IF(AO1064=0,0,AO1088/AO1064)</f>
        <v>0</v>
      </c>
      <c r="AP1096" s="260"/>
      <c r="AQ1096" s="264"/>
      <c r="AR1096" s="264" t="str">
        <f>VLOOKUP($I1096,TableInputsData[],ReadMe!$M$3,FALSE)&amp;"  |  "&amp;VLOOKUP($K1096,TableInputsData[],ReadMe!$M$3,FALSE)</f>
        <v>SERVICE 06  |  PRIX MOYEN D'ACHAT PAR PRODUIT/SERVICE</v>
      </c>
      <c r="AS1096" s="264"/>
      <c r="AT1096" s="294"/>
    </row>
    <row r="1097" spans="1:46" ht="13" hidden="1" x14ac:dyDescent="0.2">
      <c r="A1097" s="294"/>
      <c r="B1097" s="925"/>
      <c r="C1097" s="272">
        <v>1090</v>
      </c>
      <c r="D1097" s="250">
        <f t="shared" si="2600"/>
        <v>0</v>
      </c>
      <c r="E1097" s="251"/>
      <c r="F1097" s="248" t="str">
        <f t="shared" si="2660"/>
        <v>YEAR5</v>
      </c>
      <c r="G1097" s="250">
        <f>VLOOKUP(F1097,TableInputsData[],$G$6,FALSE)</f>
        <v>2029</v>
      </c>
      <c r="H1097" s="250" t="str">
        <f t="shared" si="2601"/>
        <v>SERVICE</v>
      </c>
      <c r="I1097" s="248" t="str">
        <f t="shared" si="2601"/>
        <v>SERVICE 06</v>
      </c>
      <c r="J1097" s="248" t="str">
        <f>VLOOKUP(I1097,TableInputsData[],$J$6,FALSE)</f>
        <v>-</v>
      </c>
      <c r="K1097" s="248" t="str">
        <f t="shared" si="2665"/>
        <v>AVERAGE COST OF GOODS SOLD PER UNIT</v>
      </c>
      <c r="L1097" s="256"/>
      <c r="M1097" s="256"/>
      <c r="N1097" s="256"/>
      <c r="O1097" s="266"/>
      <c r="P1097" s="261"/>
      <c r="Q1097" s="261"/>
      <c r="R1097" s="261"/>
      <c r="S1097" s="629"/>
      <c r="T1097" s="629"/>
      <c r="U1097" s="629"/>
      <c r="V1097" s="629"/>
      <c r="W1097" s="261"/>
      <c r="X1097" s="261"/>
      <c r="Y1097" s="261"/>
      <c r="Z1097" s="261"/>
      <c r="AA1097" s="261"/>
      <c r="AB1097" s="261"/>
      <c r="AC1097" s="266"/>
      <c r="AD1097" s="633"/>
      <c r="AE1097" s="264">
        <f t="shared" ref="AE1097:AM1097" si="2673">IF(AE1065=0,0,AE1089/AE1065)</f>
        <v>0</v>
      </c>
      <c r="AF1097" s="264">
        <f t="shared" si="2673"/>
        <v>0</v>
      </c>
      <c r="AG1097" s="264">
        <f t="shared" si="2673"/>
        <v>0</v>
      </c>
      <c r="AH1097" s="264">
        <f t="shared" si="2673"/>
        <v>0</v>
      </c>
      <c r="AI1097" s="264">
        <f t="shared" si="2673"/>
        <v>0</v>
      </c>
      <c r="AJ1097" s="264">
        <f t="shared" si="2673"/>
        <v>0</v>
      </c>
      <c r="AK1097" s="264">
        <f t="shared" si="2673"/>
        <v>0</v>
      </c>
      <c r="AL1097" s="264">
        <f t="shared" si="2673"/>
        <v>0</v>
      </c>
      <c r="AM1097" s="264">
        <f t="shared" si="2673"/>
        <v>0</v>
      </c>
      <c r="AN1097" s="260"/>
      <c r="AO1097" s="264">
        <f t="shared" ref="AO1097" si="2674">IF(AO1065=0,0,AO1089/AO1065)</f>
        <v>0</v>
      </c>
      <c r="AP1097" s="260"/>
      <c r="AQ1097" s="264"/>
      <c r="AR1097" s="264" t="str">
        <f>VLOOKUP($I1097,TableInputsData[],ReadMe!$M$3,FALSE)&amp;"  |  "&amp;VLOOKUP($K1097,TableInputsData[],ReadMe!$M$3,FALSE)</f>
        <v>SERVICE 06  |  PRIX MOYEN D'ACHAT PAR PRODUIT/SERVICE</v>
      </c>
      <c r="AS1097" s="264"/>
      <c r="AT1097" s="294"/>
    </row>
    <row r="1098" spans="1:46" ht="13" hidden="1" x14ac:dyDescent="0.2">
      <c r="A1098" s="294"/>
      <c r="B1098" s="925"/>
      <c r="C1098" s="272">
        <v>1091</v>
      </c>
      <c r="D1098" s="250">
        <f t="shared" si="2600"/>
        <v>0</v>
      </c>
      <c r="E1098" s="251"/>
      <c r="F1098" s="248" t="str">
        <f t="shared" si="2660"/>
        <v>YEAR6</v>
      </c>
      <c r="G1098" s="250">
        <f>VLOOKUP(F1098,TableInputsData[],$G$6,FALSE)</f>
        <v>2030</v>
      </c>
      <c r="H1098" s="250" t="str">
        <f t="shared" si="2601"/>
        <v>SERVICE</v>
      </c>
      <c r="I1098" s="248" t="str">
        <f t="shared" si="2601"/>
        <v>SERVICE 06</v>
      </c>
      <c r="J1098" s="248" t="str">
        <f>VLOOKUP(I1098,TableInputsData[],$J$6,FALSE)</f>
        <v>-</v>
      </c>
      <c r="K1098" s="248" t="str">
        <f t="shared" si="2665"/>
        <v>AVERAGE COST OF GOODS SOLD PER UNIT</v>
      </c>
      <c r="L1098" s="256"/>
      <c r="M1098" s="256"/>
      <c r="N1098" s="256"/>
      <c r="O1098" s="266"/>
      <c r="P1098" s="261"/>
      <c r="Q1098" s="261"/>
      <c r="R1098" s="261"/>
      <c r="S1098" s="629"/>
      <c r="T1098" s="629"/>
      <c r="U1098" s="629"/>
      <c r="V1098" s="629"/>
      <c r="W1098" s="261"/>
      <c r="X1098" s="261"/>
      <c r="Y1098" s="261"/>
      <c r="Z1098" s="261"/>
      <c r="AA1098" s="261"/>
      <c r="AB1098" s="261"/>
      <c r="AC1098" s="266"/>
      <c r="AD1098" s="633"/>
      <c r="AE1098" s="264">
        <f t="shared" ref="AE1098:AM1098" si="2675">IF(AE1066=0,0,AE1090/AE1066)</f>
        <v>0</v>
      </c>
      <c r="AF1098" s="264">
        <f t="shared" si="2675"/>
        <v>0</v>
      </c>
      <c r="AG1098" s="264">
        <f t="shared" si="2675"/>
        <v>0</v>
      </c>
      <c r="AH1098" s="264">
        <f t="shared" si="2675"/>
        <v>0</v>
      </c>
      <c r="AI1098" s="264">
        <f t="shared" si="2675"/>
        <v>0</v>
      </c>
      <c r="AJ1098" s="264">
        <f t="shared" si="2675"/>
        <v>0</v>
      </c>
      <c r="AK1098" s="264">
        <f t="shared" si="2675"/>
        <v>0</v>
      </c>
      <c r="AL1098" s="264">
        <f t="shared" si="2675"/>
        <v>0</v>
      </c>
      <c r="AM1098" s="264">
        <f t="shared" si="2675"/>
        <v>0</v>
      </c>
      <c r="AN1098" s="260"/>
      <c r="AO1098" s="264">
        <f t="shared" ref="AO1098" si="2676">IF(AO1066=0,0,AO1090/AO1066)</f>
        <v>0</v>
      </c>
      <c r="AP1098" s="260"/>
      <c r="AQ1098" s="264"/>
      <c r="AR1098" s="264" t="str">
        <f>VLOOKUP($I1098,TableInputsData[],ReadMe!$M$3,FALSE)&amp;"  |  "&amp;VLOOKUP($K1098,TableInputsData[],ReadMe!$M$3,FALSE)</f>
        <v>SERVICE 06  |  PRIX MOYEN D'ACHAT PAR PRODUIT/SERVICE</v>
      </c>
      <c r="AS1098" s="264"/>
      <c r="AT1098" s="294"/>
    </row>
    <row r="1099" spans="1:46" ht="13" x14ac:dyDescent="0.2">
      <c r="A1099" s="294"/>
      <c r="B1099" s="925"/>
      <c r="C1099" s="273">
        <v>1092</v>
      </c>
      <c r="D1099" s="253">
        <v>0</v>
      </c>
      <c r="E1099" s="253">
        <v>1</v>
      </c>
      <c r="F1099" s="252"/>
      <c r="G1099" s="253"/>
      <c r="H1099" s="253"/>
      <c r="I1099" s="252"/>
      <c r="J1099" s="252"/>
      <c r="K1099" s="252"/>
      <c r="L1099" s="257"/>
      <c r="M1099" s="257"/>
      <c r="N1099" s="257"/>
      <c r="O1099" s="267"/>
      <c r="P1099" s="262"/>
      <c r="Q1099" s="262"/>
      <c r="R1099" s="262"/>
      <c r="S1099" s="631"/>
      <c r="T1099" s="631"/>
      <c r="U1099" s="631"/>
      <c r="V1099" s="631"/>
      <c r="W1099" s="262"/>
      <c r="X1099" s="262"/>
      <c r="Y1099" s="262"/>
      <c r="Z1099" s="262"/>
      <c r="AA1099" s="262"/>
      <c r="AB1099" s="262"/>
      <c r="AC1099" s="267"/>
      <c r="AD1099" s="635"/>
      <c r="AE1099" s="270"/>
      <c r="AF1099" s="270"/>
      <c r="AG1099" s="270"/>
      <c r="AH1099" s="270"/>
      <c r="AI1099" s="270"/>
      <c r="AJ1099" s="270"/>
      <c r="AK1099" s="270"/>
      <c r="AL1099" s="270"/>
      <c r="AM1099" s="270"/>
      <c r="AN1099" s="643"/>
      <c r="AO1099" s="270"/>
      <c r="AP1099" s="270"/>
      <c r="AQ1099" s="270"/>
      <c r="AR1099" s="270"/>
      <c r="AS1099" s="270"/>
      <c r="AT1099" s="294"/>
    </row>
    <row r="1100" spans="1:46" ht="13" hidden="1" x14ac:dyDescent="0.2">
      <c r="A1100" s="294"/>
      <c r="B1100" s="924" t="str">
        <f>I1101&amp;"___"</f>
        <v>SERVICE 07___</v>
      </c>
      <c r="C1100" s="271">
        <v>1093</v>
      </c>
      <c r="D1100" s="250">
        <v>0</v>
      </c>
      <c r="E1100" s="250"/>
      <c r="F1100" s="248"/>
      <c r="G1100" s="250"/>
      <c r="H1100" s="250"/>
      <c r="I1100" s="248"/>
      <c r="J1100" s="248"/>
      <c r="K1100" s="248"/>
      <c r="L1100" s="254"/>
      <c r="M1100" s="254"/>
      <c r="N1100" s="254"/>
      <c r="O1100" s="264"/>
      <c r="P1100" s="259"/>
      <c r="Q1100" s="259"/>
      <c r="R1100" s="259"/>
      <c r="S1100" s="628"/>
      <c r="T1100" s="628"/>
      <c r="U1100" s="628"/>
      <c r="V1100" s="628"/>
      <c r="W1100" s="259"/>
      <c r="X1100" s="259"/>
      <c r="Y1100" s="259"/>
      <c r="Z1100" s="259"/>
      <c r="AA1100" s="259"/>
      <c r="AB1100" s="259"/>
      <c r="AC1100" s="264"/>
      <c r="AD1100" s="609"/>
      <c r="AE1100" s="269"/>
      <c r="AF1100" s="269"/>
      <c r="AG1100" s="269"/>
      <c r="AH1100" s="269"/>
      <c r="AI1100" s="269"/>
      <c r="AJ1100" s="269"/>
      <c r="AK1100" s="269"/>
      <c r="AL1100" s="269"/>
      <c r="AM1100" s="269"/>
      <c r="AN1100" s="642"/>
      <c r="AO1100" s="269"/>
      <c r="AP1100" s="269"/>
      <c r="AQ1100" s="269"/>
      <c r="AR1100" s="269"/>
      <c r="AS1100" s="269"/>
      <c r="AT1100" s="294"/>
    </row>
    <row r="1101" spans="1:46" ht="13" x14ac:dyDescent="0.2">
      <c r="A1101" s="294"/>
      <c r="B1101" s="924"/>
      <c r="C1101" s="271">
        <v>1094</v>
      </c>
      <c r="D1101" s="250">
        <f>VLOOKUP($I1101,TableInputsData[],$D$6,FALSE)</f>
        <v>0</v>
      </c>
      <c r="E1101" s="250">
        <v>1</v>
      </c>
      <c r="F1101" s="248" t="s">
        <v>392</v>
      </c>
      <c r="G1101" s="250">
        <f>VLOOKUP(F1101,TableInputsData[],$G$6,FALSE)</f>
        <v>2023</v>
      </c>
      <c r="H1101" s="250" t="s">
        <v>121</v>
      </c>
      <c r="I1101" s="248" t="s">
        <v>552</v>
      </c>
      <c r="J1101" s="248" t="str">
        <f>VLOOKUP(I1101,TableInputsData[],$J$6,FALSE)</f>
        <v>-</v>
      </c>
      <c r="K1101" s="248" t="s">
        <v>261</v>
      </c>
      <c r="L1101" s="499">
        <v>1000</v>
      </c>
      <c r="M1101" s="499">
        <v>0</v>
      </c>
      <c r="N1101" s="499">
        <v>0</v>
      </c>
      <c r="O1101" s="264">
        <f t="shared" ref="O1101:O1108" si="2677">$L1101*$P1101+$M1101*$Q1101+$N1101*$R1101</f>
        <v>1000</v>
      </c>
      <c r="P1101" s="500">
        <v>1</v>
      </c>
      <c r="Q1101" s="500">
        <v>0</v>
      </c>
      <c r="R1101" s="259">
        <f>1-$P1101-$Q1101</f>
        <v>0</v>
      </c>
      <c r="S1101" s="626">
        <v>500</v>
      </c>
      <c r="T1101" s="626">
        <v>0</v>
      </c>
      <c r="U1101" s="626">
        <v>0</v>
      </c>
      <c r="V1101" s="628">
        <f>($L1101*$P1101*$S1101+$M1101*$Q1101*$T1101+$N1101*$R1101*$U1101)/$O1101</f>
        <v>500</v>
      </c>
      <c r="W1101" s="500">
        <v>1</v>
      </c>
      <c r="X1101" s="500">
        <v>1</v>
      </c>
      <c r="Y1101" s="500">
        <v>1</v>
      </c>
      <c r="Z1101" s="259">
        <f t="shared" ref="Z1101:Z1108" si="2678">1-$W1101</f>
        <v>0</v>
      </c>
      <c r="AA1101" s="259">
        <f t="shared" ref="AA1101:AA1108" si="2679">1-$X1101</f>
        <v>0</v>
      </c>
      <c r="AB1101" s="259">
        <f t="shared" ref="AB1101:AB1108" si="2680">1-$Y1101</f>
        <v>0</v>
      </c>
      <c r="AC1101" s="628">
        <f>AM1133</f>
        <v>0</v>
      </c>
      <c r="AD1101" s="628">
        <f>AO1133</f>
        <v>0</v>
      </c>
      <c r="AE1101" s="501">
        <v>0</v>
      </c>
      <c r="AF1101" s="501">
        <v>0</v>
      </c>
      <c r="AG1101" s="501">
        <v>0</v>
      </c>
      <c r="AH1101" s="501">
        <v>0</v>
      </c>
      <c r="AI1101" s="264">
        <f>$AE1101+$AF1101+$AG1101+$AH1101</f>
        <v>0</v>
      </c>
      <c r="AJ1101" s="264">
        <f t="shared" ref="AJ1101:AJ1108" si="2681">$AI1101*$P1101</f>
        <v>0</v>
      </c>
      <c r="AK1101" s="264">
        <f t="shared" ref="AK1101:AK1108" si="2682">$AI1101*$Q1101</f>
        <v>0</v>
      </c>
      <c r="AL1101" s="264">
        <f t="shared" ref="AL1101:AL1108" si="2683">$AI1101*$R1101</f>
        <v>0</v>
      </c>
      <c r="AM1101" s="264">
        <f t="shared" ref="AM1101:AM1108" si="2684">$AJ1101*$W1101+$AK1101*$X1101+$AL1101*$Y1101</f>
        <v>0</v>
      </c>
      <c r="AN1101" s="640">
        <f>IF(AI1101=0,0,AM1101/AI1101)</f>
        <v>0</v>
      </c>
      <c r="AO1101" s="264">
        <f t="shared" ref="AO1101:AO1108" si="2685">$AJ1101*$Z1101+$AK1101*$AA1101+$AL1101*$AB1101</f>
        <v>0</v>
      </c>
      <c r="AP1101" s="640">
        <f t="shared" ref="AP1101:AP1116" si="2686">IF(AI1101=0,0,AO1101/AI1101)</f>
        <v>0</v>
      </c>
      <c r="AQ1101" s="264" t="str">
        <f>VLOOKUP(I1101,TableInputsData[],$AQ$6,FALSE)</f>
        <v>GAMME # : 1 + CANAL DE DISTRIBUTION # : 1</v>
      </c>
      <c r="AR1101" s="264" t="str">
        <f>VLOOKUP($I1101,TableInputsData[],ReadMe!$M$3,FALSE)&amp;"  |  "&amp;VLOOKUP($K1101,TableInputsData[],ReadMe!$M$3,FALSE)</f>
        <v>SERVICE 07  |  VOLUME</v>
      </c>
      <c r="AS1101" s="264" t="b">
        <f t="shared" ref="AS1101:AS1108" si="2687">AND(EXACT(ROUND(AI1101,2),ROUND(AJ1101+AK1101+AL1101,2)),EXACT(ROUND(AI1101,2),ROUND(AM1101+AO1101,2)),EXACT(SUM(P1101:R1101),1),IF(R1101&lt;0,FALSE,TRUE),EXACT(SUM(W1101:AB1101),3),MIN(W1101:Y1101)&gt;=0, MAX(W1101:Y1101)&lt;=1)</f>
        <v>1</v>
      </c>
      <c r="AT1101" s="294"/>
    </row>
    <row r="1102" spans="1:46" ht="13" x14ac:dyDescent="0.2">
      <c r="A1102" s="294"/>
      <c r="B1102" s="924"/>
      <c r="C1102" s="271">
        <v>1095</v>
      </c>
      <c r="D1102" s="250">
        <f>D1101</f>
        <v>0</v>
      </c>
      <c r="E1102" s="250">
        <v>1</v>
      </c>
      <c r="F1102" s="248" t="s">
        <v>391</v>
      </c>
      <c r="G1102" s="250">
        <f>VLOOKUP(F1102,TableInputsData[],$G$6,FALSE)</f>
        <v>2024</v>
      </c>
      <c r="H1102" s="250" t="str">
        <f>H1101</f>
        <v>SERVICE</v>
      </c>
      <c r="I1102" s="248" t="str">
        <f>I1101</f>
        <v>SERVICE 07</v>
      </c>
      <c r="J1102" s="248" t="str">
        <f>VLOOKUP(I1102,TableInputsData[],$J$6,FALSE)</f>
        <v>-</v>
      </c>
      <c r="K1102" s="248" t="str">
        <f>K1101</f>
        <v>VOLUME</v>
      </c>
      <c r="L1102" s="499">
        <v>1000</v>
      </c>
      <c r="M1102" s="499">
        <v>0</v>
      </c>
      <c r="N1102" s="499">
        <v>0</v>
      </c>
      <c r="O1102" s="264">
        <f t="shared" si="2677"/>
        <v>1000</v>
      </c>
      <c r="P1102" s="500">
        <v>1</v>
      </c>
      <c r="Q1102" s="500">
        <v>0</v>
      </c>
      <c r="R1102" s="259">
        <f t="shared" ref="R1102:R1108" si="2688">1-$P1102-$Q1102</f>
        <v>0</v>
      </c>
      <c r="S1102" s="626">
        <v>500</v>
      </c>
      <c r="T1102" s="626">
        <v>0</v>
      </c>
      <c r="U1102" s="626">
        <v>0</v>
      </c>
      <c r="V1102" s="628">
        <f t="shared" ref="V1102:V1108" si="2689">($L1102*$P1102*$S1102+$M1102*$Q1102*$T1102+$N1102*$R1102*$U1102)/$O1102</f>
        <v>500</v>
      </c>
      <c r="W1102" s="500">
        <v>1</v>
      </c>
      <c r="X1102" s="500">
        <v>1</v>
      </c>
      <c r="Y1102" s="500">
        <v>1</v>
      </c>
      <c r="Z1102" s="259">
        <f t="shared" si="2678"/>
        <v>0</v>
      </c>
      <c r="AA1102" s="259">
        <f t="shared" si="2679"/>
        <v>0</v>
      </c>
      <c r="AB1102" s="259">
        <f t="shared" si="2680"/>
        <v>0</v>
      </c>
      <c r="AC1102" s="628">
        <f t="shared" ref="AC1102:AC1108" si="2690">AM1134</f>
        <v>0</v>
      </c>
      <c r="AD1102" s="628">
        <f t="shared" ref="AD1102:AD1108" si="2691">AO1134</f>
        <v>0</v>
      </c>
      <c r="AE1102" s="501">
        <v>0</v>
      </c>
      <c r="AF1102" s="501">
        <v>0</v>
      </c>
      <c r="AG1102" s="501">
        <v>0</v>
      </c>
      <c r="AH1102" s="501">
        <v>0</v>
      </c>
      <c r="AI1102" s="264">
        <f>$AE1102+$AF1102+$AG1102+$AH1102</f>
        <v>0</v>
      </c>
      <c r="AJ1102" s="264">
        <f t="shared" si="2681"/>
        <v>0</v>
      </c>
      <c r="AK1102" s="264">
        <f t="shared" si="2682"/>
        <v>0</v>
      </c>
      <c r="AL1102" s="264">
        <f t="shared" si="2683"/>
        <v>0</v>
      </c>
      <c r="AM1102" s="264">
        <f t="shared" si="2684"/>
        <v>0</v>
      </c>
      <c r="AN1102" s="640">
        <f t="shared" ref="AN1102:AN1116" si="2692">IF(AI1102=0,0,AM1102/AI1102)</f>
        <v>0</v>
      </c>
      <c r="AO1102" s="264">
        <f t="shared" si="2685"/>
        <v>0</v>
      </c>
      <c r="AP1102" s="640">
        <f t="shared" si="2686"/>
        <v>0</v>
      </c>
      <c r="AQ1102" s="501"/>
      <c r="AR1102" s="264" t="str">
        <f>VLOOKUP($I1102,TableInputsData[],ReadMe!$M$3,FALSE)&amp;"  |  "&amp;VLOOKUP($K1102,TableInputsData[],ReadMe!$M$3,FALSE)</f>
        <v>SERVICE 07  |  VOLUME</v>
      </c>
      <c r="AS1102" s="264" t="b">
        <f t="shared" si="2687"/>
        <v>1</v>
      </c>
      <c r="AT1102" s="294"/>
    </row>
    <row r="1103" spans="1:46" ht="13" x14ac:dyDescent="0.2">
      <c r="A1103" s="294"/>
      <c r="B1103" s="924"/>
      <c r="C1103" s="271">
        <v>1096</v>
      </c>
      <c r="D1103" s="250">
        <f t="shared" ref="D1103:D1140" si="2693">D1102</f>
        <v>0</v>
      </c>
      <c r="E1103" s="250">
        <v>1</v>
      </c>
      <c r="F1103" s="248" t="s">
        <v>393</v>
      </c>
      <c r="G1103" s="250">
        <f>VLOOKUP(F1103,TableInputsData[],$G$6,FALSE)</f>
        <v>2025</v>
      </c>
      <c r="H1103" s="250" t="str">
        <f t="shared" ref="H1103:I1140" si="2694">H1102</f>
        <v>SERVICE</v>
      </c>
      <c r="I1103" s="248" t="str">
        <f t="shared" si="2694"/>
        <v>SERVICE 07</v>
      </c>
      <c r="J1103" s="248" t="str">
        <f>VLOOKUP(I1103,TableInputsData[],$J$6,FALSE)</f>
        <v>-</v>
      </c>
      <c r="K1103" s="248" t="str">
        <f t="shared" ref="K1103:K1108" si="2695">K1102</f>
        <v>VOLUME</v>
      </c>
      <c r="L1103" s="499">
        <v>1000</v>
      </c>
      <c r="M1103" s="499">
        <v>0</v>
      </c>
      <c r="N1103" s="499">
        <v>0</v>
      </c>
      <c r="O1103" s="264">
        <f t="shared" si="2677"/>
        <v>1000</v>
      </c>
      <c r="P1103" s="500">
        <v>1</v>
      </c>
      <c r="Q1103" s="500">
        <v>0</v>
      </c>
      <c r="R1103" s="259">
        <f t="shared" si="2688"/>
        <v>0</v>
      </c>
      <c r="S1103" s="626">
        <v>500</v>
      </c>
      <c r="T1103" s="626">
        <v>0</v>
      </c>
      <c r="U1103" s="626">
        <v>0</v>
      </c>
      <c r="V1103" s="628">
        <f t="shared" si="2689"/>
        <v>500</v>
      </c>
      <c r="W1103" s="500">
        <v>1</v>
      </c>
      <c r="X1103" s="500">
        <v>1</v>
      </c>
      <c r="Y1103" s="500">
        <v>1</v>
      </c>
      <c r="Z1103" s="259">
        <f t="shared" si="2678"/>
        <v>0</v>
      </c>
      <c r="AA1103" s="259">
        <f t="shared" si="2679"/>
        <v>0</v>
      </c>
      <c r="AB1103" s="259">
        <f t="shared" si="2680"/>
        <v>0</v>
      </c>
      <c r="AC1103" s="628">
        <f t="shared" si="2690"/>
        <v>0</v>
      </c>
      <c r="AD1103" s="628">
        <f t="shared" si="2691"/>
        <v>0</v>
      </c>
      <c r="AE1103" s="501">
        <v>0</v>
      </c>
      <c r="AF1103" s="501">
        <v>0</v>
      </c>
      <c r="AG1103" s="501">
        <v>0</v>
      </c>
      <c r="AH1103" s="501">
        <v>0</v>
      </c>
      <c r="AI1103" s="264">
        <f>$AE1103+$AF1103+$AG1103+$AH1103</f>
        <v>0</v>
      </c>
      <c r="AJ1103" s="264">
        <f t="shared" si="2681"/>
        <v>0</v>
      </c>
      <c r="AK1103" s="264">
        <f t="shared" si="2682"/>
        <v>0</v>
      </c>
      <c r="AL1103" s="264">
        <f t="shared" si="2683"/>
        <v>0</v>
      </c>
      <c r="AM1103" s="264">
        <f t="shared" si="2684"/>
        <v>0</v>
      </c>
      <c r="AN1103" s="640">
        <f t="shared" si="2692"/>
        <v>0</v>
      </c>
      <c r="AO1103" s="264">
        <f t="shared" si="2685"/>
        <v>0</v>
      </c>
      <c r="AP1103" s="640">
        <f t="shared" si="2686"/>
        <v>0</v>
      </c>
      <c r="AQ1103" s="501"/>
      <c r="AR1103" s="264" t="str">
        <f>VLOOKUP($I1103,TableInputsData[],ReadMe!$M$3,FALSE)&amp;"  |  "&amp;VLOOKUP($K1103,TableInputsData[],ReadMe!$M$3,FALSE)</f>
        <v>SERVICE 07  |  VOLUME</v>
      </c>
      <c r="AS1103" s="264" t="b">
        <f t="shared" si="2687"/>
        <v>1</v>
      </c>
      <c r="AT1103" s="294"/>
    </row>
    <row r="1104" spans="1:46" ht="13" x14ac:dyDescent="0.2">
      <c r="A1104" s="294"/>
      <c r="B1104" s="924"/>
      <c r="C1104" s="271">
        <v>1097</v>
      </c>
      <c r="D1104" s="250">
        <f t="shared" si="2693"/>
        <v>0</v>
      </c>
      <c r="E1104" s="250">
        <v>1</v>
      </c>
      <c r="F1104" s="248" t="s">
        <v>396</v>
      </c>
      <c r="G1104" s="250">
        <f>VLOOKUP(F1104,TableInputsData[],$G$6,FALSE)</f>
        <v>2026</v>
      </c>
      <c r="H1104" s="250" t="str">
        <f t="shared" si="2694"/>
        <v>SERVICE</v>
      </c>
      <c r="I1104" s="248" t="str">
        <f t="shared" si="2694"/>
        <v>SERVICE 07</v>
      </c>
      <c r="J1104" s="248" t="str">
        <f>VLOOKUP(I1104,TableInputsData[],$J$6,FALSE)</f>
        <v>-</v>
      </c>
      <c r="K1104" s="248" t="str">
        <f t="shared" si="2695"/>
        <v>VOLUME</v>
      </c>
      <c r="L1104" s="499">
        <v>1000</v>
      </c>
      <c r="M1104" s="499">
        <v>0</v>
      </c>
      <c r="N1104" s="499">
        <v>0</v>
      </c>
      <c r="O1104" s="264">
        <f t="shared" si="2677"/>
        <v>1000</v>
      </c>
      <c r="P1104" s="500">
        <v>1</v>
      </c>
      <c r="Q1104" s="500">
        <v>0</v>
      </c>
      <c r="R1104" s="259">
        <f t="shared" si="2688"/>
        <v>0</v>
      </c>
      <c r="S1104" s="626">
        <v>500</v>
      </c>
      <c r="T1104" s="626">
        <v>0</v>
      </c>
      <c r="U1104" s="626">
        <v>0</v>
      </c>
      <c r="V1104" s="628">
        <f t="shared" si="2689"/>
        <v>500</v>
      </c>
      <c r="W1104" s="500">
        <v>1</v>
      </c>
      <c r="X1104" s="500">
        <v>1</v>
      </c>
      <c r="Y1104" s="500">
        <v>1</v>
      </c>
      <c r="Z1104" s="259">
        <f t="shared" si="2678"/>
        <v>0</v>
      </c>
      <c r="AA1104" s="259">
        <f t="shared" si="2679"/>
        <v>0</v>
      </c>
      <c r="AB1104" s="259">
        <f t="shared" si="2680"/>
        <v>0</v>
      </c>
      <c r="AC1104" s="628">
        <f t="shared" si="2690"/>
        <v>0</v>
      </c>
      <c r="AD1104" s="628">
        <f t="shared" si="2691"/>
        <v>0</v>
      </c>
      <c r="AE1104" s="501">
        <v>0</v>
      </c>
      <c r="AF1104" s="501">
        <v>0</v>
      </c>
      <c r="AG1104" s="501">
        <v>0</v>
      </c>
      <c r="AH1104" s="501">
        <v>0</v>
      </c>
      <c r="AI1104" s="264">
        <f>$AE1104+$AF1104+$AG1104+$AH1104</f>
        <v>0</v>
      </c>
      <c r="AJ1104" s="264">
        <f t="shared" si="2681"/>
        <v>0</v>
      </c>
      <c r="AK1104" s="264">
        <f t="shared" si="2682"/>
        <v>0</v>
      </c>
      <c r="AL1104" s="264">
        <f t="shared" si="2683"/>
        <v>0</v>
      </c>
      <c r="AM1104" s="264">
        <f t="shared" si="2684"/>
        <v>0</v>
      </c>
      <c r="AN1104" s="640">
        <f t="shared" si="2692"/>
        <v>0</v>
      </c>
      <c r="AO1104" s="264">
        <f t="shared" si="2685"/>
        <v>0</v>
      </c>
      <c r="AP1104" s="640">
        <f t="shared" si="2686"/>
        <v>0</v>
      </c>
      <c r="AQ1104" s="501"/>
      <c r="AR1104" s="264" t="str">
        <f>VLOOKUP($I1104,TableInputsData[],ReadMe!$M$3,FALSE)&amp;"  |  "&amp;VLOOKUP($K1104,TableInputsData[],ReadMe!$M$3,FALSE)</f>
        <v>SERVICE 07  |  VOLUME</v>
      </c>
      <c r="AS1104" s="264" t="b">
        <f t="shared" si="2687"/>
        <v>1</v>
      </c>
      <c r="AT1104" s="294"/>
    </row>
    <row r="1105" spans="1:46" ht="13" x14ac:dyDescent="0.2">
      <c r="A1105" s="294"/>
      <c r="B1105" s="924"/>
      <c r="C1105" s="271">
        <v>1098</v>
      </c>
      <c r="D1105" s="250">
        <f t="shared" si="2693"/>
        <v>0</v>
      </c>
      <c r="E1105" s="250">
        <v>1</v>
      </c>
      <c r="F1105" s="248" t="s">
        <v>397</v>
      </c>
      <c r="G1105" s="250">
        <f>VLOOKUP(F1105,TableInputsData[],$G$6,FALSE)</f>
        <v>2027</v>
      </c>
      <c r="H1105" s="250" t="str">
        <f t="shared" si="2694"/>
        <v>SERVICE</v>
      </c>
      <c r="I1105" s="248" t="str">
        <f t="shared" si="2694"/>
        <v>SERVICE 07</v>
      </c>
      <c r="J1105" s="248" t="str">
        <f>VLOOKUP(I1105,TableInputsData[],$J$6,FALSE)</f>
        <v>-</v>
      </c>
      <c r="K1105" s="248" t="str">
        <f t="shared" si="2695"/>
        <v>VOLUME</v>
      </c>
      <c r="L1105" s="499">
        <v>1000</v>
      </c>
      <c r="M1105" s="499">
        <v>0</v>
      </c>
      <c r="N1105" s="499">
        <v>0</v>
      </c>
      <c r="O1105" s="264">
        <f t="shared" si="2677"/>
        <v>1000</v>
      </c>
      <c r="P1105" s="500">
        <v>1</v>
      </c>
      <c r="Q1105" s="500">
        <v>0</v>
      </c>
      <c r="R1105" s="259">
        <f t="shared" si="2688"/>
        <v>0</v>
      </c>
      <c r="S1105" s="626">
        <v>500</v>
      </c>
      <c r="T1105" s="626">
        <v>0</v>
      </c>
      <c r="U1105" s="626">
        <v>0</v>
      </c>
      <c r="V1105" s="628">
        <f t="shared" si="2689"/>
        <v>500</v>
      </c>
      <c r="W1105" s="500">
        <v>1</v>
      </c>
      <c r="X1105" s="500">
        <v>1</v>
      </c>
      <c r="Y1105" s="500">
        <v>1</v>
      </c>
      <c r="Z1105" s="259">
        <f t="shared" si="2678"/>
        <v>0</v>
      </c>
      <c r="AA1105" s="259">
        <f t="shared" si="2679"/>
        <v>0</v>
      </c>
      <c r="AB1105" s="259">
        <f t="shared" si="2680"/>
        <v>0</v>
      </c>
      <c r="AC1105" s="628">
        <f t="shared" si="2690"/>
        <v>0</v>
      </c>
      <c r="AD1105" s="628">
        <f t="shared" si="2691"/>
        <v>0</v>
      </c>
      <c r="AE1105" s="264">
        <f>$AI1105/4</f>
        <v>0</v>
      </c>
      <c r="AF1105" s="264">
        <f t="shared" ref="AF1105:AH1108" si="2696">$AI1105/4</f>
        <v>0</v>
      </c>
      <c r="AG1105" s="264">
        <f t="shared" si="2696"/>
        <v>0</v>
      </c>
      <c r="AH1105" s="264">
        <f t="shared" si="2696"/>
        <v>0</v>
      </c>
      <c r="AI1105" s="501">
        <v>0</v>
      </c>
      <c r="AJ1105" s="264">
        <f t="shared" si="2681"/>
        <v>0</v>
      </c>
      <c r="AK1105" s="264">
        <f t="shared" si="2682"/>
        <v>0</v>
      </c>
      <c r="AL1105" s="264">
        <f t="shared" si="2683"/>
        <v>0</v>
      </c>
      <c r="AM1105" s="264">
        <f t="shared" si="2684"/>
        <v>0</v>
      </c>
      <c r="AN1105" s="640">
        <f t="shared" si="2692"/>
        <v>0</v>
      </c>
      <c r="AO1105" s="264">
        <f t="shared" si="2685"/>
        <v>0</v>
      </c>
      <c r="AP1105" s="640">
        <f t="shared" si="2686"/>
        <v>0</v>
      </c>
      <c r="AQ1105" s="501"/>
      <c r="AR1105" s="264" t="str">
        <f>VLOOKUP($I1105,TableInputsData[],ReadMe!$M$3,FALSE)&amp;"  |  "&amp;VLOOKUP($K1105,TableInputsData[],ReadMe!$M$3,FALSE)</f>
        <v>SERVICE 07  |  VOLUME</v>
      </c>
      <c r="AS1105" s="264" t="b">
        <f t="shared" si="2687"/>
        <v>1</v>
      </c>
      <c r="AT1105" s="294"/>
    </row>
    <row r="1106" spans="1:46" ht="13" x14ac:dyDescent="0.2">
      <c r="A1106" s="294"/>
      <c r="B1106" s="924"/>
      <c r="C1106" s="271">
        <v>1099</v>
      </c>
      <c r="D1106" s="250">
        <f t="shared" si="2693"/>
        <v>0</v>
      </c>
      <c r="E1106" s="250">
        <v>1</v>
      </c>
      <c r="F1106" s="248" t="s">
        <v>398</v>
      </c>
      <c r="G1106" s="250">
        <f>VLOOKUP(F1106,TableInputsData[],$G$6,FALSE)</f>
        <v>2028</v>
      </c>
      <c r="H1106" s="250" t="str">
        <f t="shared" si="2694"/>
        <v>SERVICE</v>
      </c>
      <c r="I1106" s="248" t="str">
        <f t="shared" si="2694"/>
        <v>SERVICE 07</v>
      </c>
      <c r="J1106" s="248" t="str">
        <f>VLOOKUP(I1106,TableInputsData[],$J$6,FALSE)</f>
        <v>-</v>
      </c>
      <c r="K1106" s="248" t="str">
        <f t="shared" si="2695"/>
        <v>VOLUME</v>
      </c>
      <c r="L1106" s="499">
        <v>1000</v>
      </c>
      <c r="M1106" s="499">
        <v>0</v>
      </c>
      <c r="N1106" s="499">
        <v>0</v>
      </c>
      <c r="O1106" s="264">
        <f t="shared" si="2677"/>
        <v>1000</v>
      </c>
      <c r="P1106" s="500">
        <v>1</v>
      </c>
      <c r="Q1106" s="500">
        <v>0</v>
      </c>
      <c r="R1106" s="259">
        <f t="shared" si="2688"/>
        <v>0</v>
      </c>
      <c r="S1106" s="626">
        <v>500</v>
      </c>
      <c r="T1106" s="626">
        <v>0</v>
      </c>
      <c r="U1106" s="626">
        <v>0</v>
      </c>
      <c r="V1106" s="628">
        <f t="shared" si="2689"/>
        <v>500</v>
      </c>
      <c r="W1106" s="500">
        <v>1</v>
      </c>
      <c r="X1106" s="500">
        <v>1</v>
      </c>
      <c r="Y1106" s="500">
        <v>1</v>
      </c>
      <c r="Z1106" s="259">
        <f t="shared" si="2678"/>
        <v>0</v>
      </c>
      <c r="AA1106" s="259">
        <f t="shared" si="2679"/>
        <v>0</v>
      </c>
      <c r="AB1106" s="259">
        <f t="shared" si="2680"/>
        <v>0</v>
      </c>
      <c r="AC1106" s="628">
        <f t="shared" si="2690"/>
        <v>0</v>
      </c>
      <c r="AD1106" s="628">
        <f t="shared" si="2691"/>
        <v>0</v>
      </c>
      <c r="AE1106" s="264">
        <f t="shared" ref="AE1106:AE1108" si="2697">$AI1106/4</f>
        <v>0</v>
      </c>
      <c r="AF1106" s="264">
        <f t="shared" si="2696"/>
        <v>0</v>
      </c>
      <c r="AG1106" s="264">
        <f t="shared" si="2696"/>
        <v>0</v>
      </c>
      <c r="AH1106" s="264">
        <f t="shared" si="2696"/>
        <v>0</v>
      </c>
      <c r="AI1106" s="501">
        <v>0</v>
      </c>
      <c r="AJ1106" s="264">
        <f t="shared" si="2681"/>
        <v>0</v>
      </c>
      <c r="AK1106" s="264">
        <f t="shared" si="2682"/>
        <v>0</v>
      </c>
      <c r="AL1106" s="264">
        <f t="shared" si="2683"/>
        <v>0</v>
      </c>
      <c r="AM1106" s="264">
        <f t="shared" si="2684"/>
        <v>0</v>
      </c>
      <c r="AN1106" s="640">
        <f t="shared" si="2692"/>
        <v>0</v>
      </c>
      <c r="AO1106" s="264">
        <f t="shared" si="2685"/>
        <v>0</v>
      </c>
      <c r="AP1106" s="640">
        <f t="shared" si="2686"/>
        <v>0</v>
      </c>
      <c r="AQ1106" s="501"/>
      <c r="AR1106" s="264" t="str">
        <f>VLOOKUP($I1106,TableInputsData[],ReadMe!$M$3,FALSE)&amp;"  |  "&amp;VLOOKUP($K1106,TableInputsData[],ReadMe!$M$3,FALSE)</f>
        <v>SERVICE 07  |  VOLUME</v>
      </c>
      <c r="AS1106" s="264" t="b">
        <f t="shared" si="2687"/>
        <v>1</v>
      </c>
      <c r="AT1106" s="294"/>
    </row>
    <row r="1107" spans="1:46" ht="13" x14ac:dyDescent="0.2">
      <c r="A1107" s="294"/>
      <c r="B1107" s="924"/>
      <c r="C1107" s="271">
        <v>1100</v>
      </c>
      <c r="D1107" s="250">
        <f t="shared" si="2693"/>
        <v>0</v>
      </c>
      <c r="E1107" s="250">
        <v>1</v>
      </c>
      <c r="F1107" s="248" t="s">
        <v>399</v>
      </c>
      <c r="G1107" s="250">
        <f>VLOOKUP(F1107,TableInputsData[],$G$6,FALSE)</f>
        <v>2029</v>
      </c>
      <c r="H1107" s="250" t="str">
        <f t="shared" si="2694"/>
        <v>SERVICE</v>
      </c>
      <c r="I1107" s="248" t="str">
        <f t="shared" si="2694"/>
        <v>SERVICE 07</v>
      </c>
      <c r="J1107" s="248" t="str">
        <f>VLOOKUP(I1107,TableInputsData[],$J$6,FALSE)</f>
        <v>-</v>
      </c>
      <c r="K1107" s="248" t="str">
        <f t="shared" si="2695"/>
        <v>VOLUME</v>
      </c>
      <c r="L1107" s="499">
        <v>1000</v>
      </c>
      <c r="M1107" s="499">
        <v>0</v>
      </c>
      <c r="N1107" s="499">
        <v>0</v>
      </c>
      <c r="O1107" s="264">
        <f t="shared" si="2677"/>
        <v>1000</v>
      </c>
      <c r="P1107" s="500">
        <v>1</v>
      </c>
      <c r="Q1107" s="500">
        <v>0</v>
      </c>
      <c r="R1107" s="259">
        <f t="shared" si="2688"/>
        <v>0</v>
      </c>
      <c r="S1107" s="626">
        <v>500</v>
      </c>
      <c r="T1107" s="626">
        <v>0</v>
      </c>
      <c r="U1107" s="626">
        <v>0</v>
      </c>
      <c r="V1107" s="628">
        <f t="shared" si="2689"/>
        <v>500</v>
      </c>
      <c r="W1107" s="500">
        <v>1</v>
      </c>
      <c r="X1107" s="500">
        <v>1</v>
      </c>
      <c r="Y1107" s="500">
        <v>1</v>
      </c>
      <c r="Z1107" s="259">
        <f t="shared" si="2678"/>
        <v>0</v>
      </c>
      <c r="AA1107" s="259">
        <f t="shared" si="2679"/>
        <v>0</v>
      </c>
      <c r="AB1107" s="259">
        <f t="shared" si="2680"/>
        <v>0</v>
      </c>
      <c r="AC1107" s="628">
        <f t="shared" si="2690"/>
        <v>0</v>
      </c>
      <c r="AD1107" s="628">
        <f t="shared" si="2691"/>
        <v>0</v>
      </c>
      <c r="AE1107" s="264">
        <f t="shared" si="2697"/>
        <v>0</v>
      </c>
      <c r="AF1107" s="264">
        <f t="shared" si="2696"/>
        <v>0</v>
      </c>
      <c r="AG1107" s="264">
        <f t="shared" si="2696"/>
        <v>0</v>
      </c>
      <c r="AH1107" s="264">
        <f t="shared" si="2696"/>
        <v>0</v>
      </c>
      <c r="AI1107" s="501">
        <v>0</v>
      </c>
      <c r="AJ1107" s="264">
        <f t="shared" si="2681"/>
        <v>0</v>
      </c>
      <c r="AK1107" s="264">
        <f t="shared" si="2682"/>
        <v>0</v>
      </c>
      <c r="AL1107" s="264">
        <f t="shared" si="2683"/>
        <v>0</v>
      </c>
      <c r="AM1107" s="264">
        <f t="shared" si="2684"/>
        <v>0</v>
      </c>
      <c r="AN1107" s="640">
        <f t="shared" si="2692"/>
        <v>0</v>
      </c>
      <c r="AO1107" s="264">
        <f t="shared" si="2685"/>
        <v>0</v>
      </c>
      <c r="AP1107" s="640">
        <f t="shared" si="2686"/>
        <v>0</v>
      </c>
      <c r="AQ1107" s="501"/>
      <c r="AR1107" s="264" t="str">
        <f>VLOOKUP($I1107,TableInputsData[],ReadMe!$M$3,FALSE)&amp;"  |  "&amp;VLOOKUP($K1107,TableInputsData[],ReadMe!$M$3,FALSE)</f>
        <v>SERVICE 07  |  VOLUME</v>
      </c>
      <c r="AS1107" s="264" t="b">
        <f t="shared" si="2687"/>
        <v>1</v>
      </c>
      <c r="AT1107" s="294"/>
    </row>
    <row r="1108" spans="1:46" ht="13" x14ac:dyDescent="0.2">
      <c r="A1108" s="294"/>
      <c r="B1108" s="924"/>
      <c r="C1108" s="271">
        <v>1101</v>
      </c>
      <c r="D1108" s="250">
        <f t="shared" si="2693"/>
        <v>0</v>
      </c>
      <c r="E1108" s="250">
        <v>1</v>
      </c>
      <c r="F1108" s="248" t="s">
        <v>400</v>
      </c>
      <c r="G1108" s="250">
        <f>VLOOKUP(F1108,TableInputsData[],$G$6,FALSE)</f>
        <v>2030</v>
      </c>
      <c r="H1108" s="250" t="str">
        <f t="shared" si="2694"/>
        <v>SERVICE</v>
      </c>
      <c r="I1108" s="248" t="str">
        <f t="shared" si="2694"/>
        <v>SERVICE 07</v>
      </c>
      <c r="J1108" s="248" t="str">
        <f>VLOOKUP(I1108,TableInputsData[],$J$6,FALSE)</f>
        <v>-</v>
      </c>
      <c r="K1108" s="248" t="str">
        <f t="shared" si="2695"/>
        <v>VOLUME</v>
      </c>
      <c r="L1108" s="499">
        <v>1000</v>
      </c>
      <c r="M1108" s="499">
        <v>0</v>
      </c>
      <c r="N1108" s="499">
        <v>0</v>
      </c>
      <c r="O1108" s="264">
        <f t="shared" si="2677"/>
        <v>1000</v>
      </c>
      <c r="P1108" s="500">
        <v>1</v>
      </c>
      <c r="Q1108" s="500">
        <v>0</v>
      </c>
      <c r="R1108" s="259">
        <f t="shared" si="2688"/>
        <v>0</v>
      </c>
      <c r="S1108" s="626">
        <v>500</v>
      </c>
      <c r="T1108" s="626">
        <v>0</v>
      </c>
      <c r="U1108" s="626">
        <v>0</v>
      </c>
      <c r="V1108" s="628">
        <f t="shared" si="2689"/>
        <v>500</v>
      </c>
      <c r="W1108" s="500">
        <v>1</v>
      </c>
      <c r="X1108" s="500">
        <v>1</v>
      </c>
      <c r="Y1108" s="500">
        <v>1</v>
      </c>
      <c r="Z1108" s="259">
        <f t="shared" si="2678"/>
        <v>0</v>
      </c>
      <c r="AA1108" s="259">
        <f t="shared" si="2679"/>
        <v>0</v>
      </c>
      <c r="AB1108" s="259">
        <f t="shared" si="2680"/>
        <v>0</v>
      </c>
      <c r="AC1108" s="628">
        <f t="shared" si="2690"/>
        <v>0</v>
      </c>
      <c r="AD1108" s="628">
        <f t="shared" si="2691"/>
        <v>0</v>
      </c>
      <c r="AE1108" s="264">
        <f t="shared" si="2697"/>
        <v>0</v>
      </c>
      <c r="AF1108" s="264">
        <f t="shared" si="2696"/>
        <v>0</v>
      </c>
      <c r="AG1108" s="264">
        <f t="shared" si="2696"/>
        <v>0</v>
      </c>
      <c r="AH1108" s="264">
        <f t="shared" si="2696"/>
        <v>0</v>
      </c>
      <c r="AI1108" s="501">
        <v>0</v>
      </c>
      <c r="AJ1108" s="264">
        <f t="shared" si="2681"/>
        <v>0</v>
      </c>
      <c r="AK1108" s="264">
        <f t="shared" si="2682"/>
        <v>0</v>
      </c>
      <c r="AL1108" s="264">
        <f t="shared" si="2683"/>
        <v>0</v>
      </c>
      <c r="AM1108" s="264">
        <f t="shared" si="2684"/>
        <v>0</v>
      </c>
      <c r="AN1108" s="640">
        <f t="shared" si="2692"/>
        <v>0</v>
      </c>
      <c r="AO1108" s="264">
        <f t="shared" si="2685"/>
        <v>0</v>
      </c>
      <c r="AP1108" s="640">
        <f t="shared" si="2686"/>
        <v>0</v>
      </c>
      <c r="AQ1108" s="501"/>
      <c r="AR1108" s="264" t="str">
        <f>VLOOKUP($I1108,TableInputsData[],ReadMe!$M$3,FALSE)&amp;"  |  "&amp;VLOOKUP($K1108,TableInputsData[],ReadMe!$M$3,FALSE)</f>
        <v>SERVICE 07  |  VOLUME</v>
      </c>
      <c r="AS1108" s="264" t="b">
        <f t="shared" si="2687"/>
        <v>1</v>
      </c>
      <c r="AT1108" s="294"/>
    </row>
    <row r="1109" spans="1:46" ht="13" hidden="1" x14ac:dyDescent="0.2">
      <c r="A1109" s="294"/>
      <c r="B1109" s="924"/>
      <c r="C1109" s="272">
        <v>1102</v>
      </c>
      <c r="D1109" s="250">
        <f t="shared" si="2693"/>
        <v>0</v>
      </c>
      <c r="E1109" s="251"/>
      <c r="F1109" s="248" t="str">
        <f t="shared" ref="F1109:F1116" si="2698">F1117</f>
        <v>YEAR-2</v>
      </c>
      <c r="G1109" s="250">
        <f>VLOOKUP(F1109,TableInputsData[],$G$6,FALSE)</f>
        <v>2023</v>
      </c>
      <c r="H1109" s="250" t="str">
        <f t="shared" si="2694"/>
        <v>SERVICE</v>
      </c>
      <c r="I1109" s="248" t="str">
        <f t="shared" si="2694"/>
        <v>SERVICE 07</v>
      </c>
      <c r="J1109" s="248" t="str">
        <f>VLOOKUP(I1109,TableInputsData[],$J$6,FALSE)</f>
        <v>-</v>
      </c>
      <c r="K1109" s="248" t="s">
        <v>457</v>
      </c>
      <c r="L1109" s="256"/>
      <c r="M1109" s="256"/>
      <c r="N1109" s="256"/>
      <c r="O1109" s="266"/>
      <c r="P1109" s="261"/>
      <c r="Q1109" s="261"/>
      <c r="R1109" s="261"/>
      <c r="S1109" s="629"/>
      <c r="T1109" s="629"/>
      <c r="U1109" s="629"/>
      <c r="V1109" s="629"/>
      <c r="W1109" s="261"/>
      <c r="X1109" s="261"/>
      <c r="Y1109" s="261"/>
      <c r="Z1109" s="261"/>
      <c r="AA1109" s="261"/>
      <c r="AB1109" s="261"/>
      <c r="AC1109" s="266"/>
      <c r="AD1109" s="633"/>
      <c r="AE1109" s="264">
        <f>AE1101*($L1101*$P1101+$M1101*$Q1101+$N1101*$R1101)</f>
        <v>0</v>
      </c>
      <c r="AF1109" s="264">
        <f t="shared" ref="AF1109:AH1109" si="2699">AF1101*($L1101*$P1101+$M1101*$Q1101+$N1101*$R1101)</f>
        <v>0</v>
      </c>
      <c r="AG1109" s="264">
        <f t="shared" si="2699"/>
        <v>0</v>
      </c>
      <c r="AH1109" s="264">
        <f t="shared" si="2699"/>
        <v>0</v>
      </c>
      <c r="AI1109" s="264">
        <f>$AE1109+$AF1109+$AG1109+$AH1109</f>
        <v>0</v>
      </c>
      <c r="AJ1109" s="264">
        <f t="shared" ref="AJ1109:AJ1116" si="2700">$AJ1101*$L1101</f>
        <v>0</v>
      </c>
      <c r="AK1109" s="264">
        <f t="shared" ref="AK1109:AK1116" si="2701">$AK1101*$M1101</f>
        <v>0</v>
      </c>
      <c r="AL1109" s="264">
        <f t="shared" ref="AL1109:AL1116" si="2702">$AL1101*$N1101</f>
        <v>0</v>
      </c>
      <c r="AM1109" s="264">
        <f t="shared" ref="AM1109:AM1116" si="2703">$AJ1109*$W1101+$AK1109*$X1101+$AL1109*$Y1101</f>
        <v>0</v>
      </c>
      <c r="AN1109" s="640">
        <f t="shared" si="2692"/>
        <v>0</v>
      </c>
      <c r="AO1109" s="264">
        <f t="shared" ref="AO1109:AO1116" si="2704">$AJ1109*$Z1101+$AK1109*$AA1101+$AL1109*$AB1101</f>
        <v>0</v>
      </c>
      <c r="AP1109" s="640">
        <f t="shared" si="2686"/>
        <v>0</v>
      </c>
      <c r="AQ1109" s="264"/>
      <c r="AR1109" s="264" t="str">
        <f>VLOOKUP($I1109,TableInputsData[],ReadMe!$M$3,FALSE)&amp;"  |  "&amp;VLOOKUP($K1109,TableInputsData[],ReadMe!$M$3,FALSE)</f>
        <v>SERVICE 07  |  CHIFFRE D'AFFAIRES</v>
      </c>
      <c r="AS1109" s="264" t="b">
        <f t="shared" ref="AS1109:AS1116" si="2705">AND(EXACT(ROUND(AI1109,2),ROUND(AJ1109+AK1109+AL1109,2)),EXACT(ROUND(AI1109,2),ROUND(AM1109+AO1109,2)))</f>
        <v>1</v>
      </c>
      <c r="AT1109" s="294"/>
    </row>
    <row r="1110" spans="1:46" ht="13" hidden="1" x14ac:dyDescent="0.2">
      <c r="A1110" s="294"/>
      <c r="B1110" s="924"/>
      <c r="C1110" s="271">
        <v>1103</v>
      </c>
      <c r="D1110" s="250">
        <f t="shared" si="2693"/>
        <v>0</v>
      </c>
      <c r="E1110" s="250"/>
      <c r="F1110" s="248" t="str">
        <f t="shared" si="2698"/>
        <v>YEAR-1</v>
      </c>
      <c r="G1110" s="250">
        <f>VLOOKUP(F1110,TableInputsData[],$G$6,FALSE)</f>
        <v>2024</v>
      </c>
      <c r="H1110" s="250" t="str">
        <f t="shared" si="2694"/>
        <v>SERVICE</v>
      </c>
      <c r="I1110" s="248" t="str">
        <f t="shared" si="2694"/>
        <v>SERVICE 07</v>
      </c>
      <c r="J1110" s="248" t="str">
        <f>VLOOKUP(I1110,TableInputsData[],$J$6,FALSE)</f>
        <v>-</v>
      </c>
      <c r="K1110" s="248" t="str">
        <f>K1109</f>
        <v>REVENUE</v>
      </c>
      <c r="L1110" s="255"/>
      <c r="M1110" s="255"/>
      <c r="N1110" s="255"/>
      <c r="O1110" s="265"/>
      <c r="P1110" s="260"/>
      <c r="Q1110" s="260"/>
      <c r="R1110" s="260"/>
      <c r="S1110" s="630"/>
      <c r="T1110" s="630"/>
      <c r="U1110" s="630"/>
      <c r="V1110" s="630"/>
      <c r="W1110" s="260"/>
      <c r="X1110" s="260"/>
      <c r="Y1110" s="260"/>
      <c r="Z1110" s="260"/>
      <c r="AA1110" s="260"/>
      <c r="AB1110" s="260"/>
      <c r="AC1110" s="265"/>
      <c r="AD1110" s="634"/>
      <c r="AE1110" s="264">
        <f t="shared" ref="AE1110:AH1110" si="2706">AE1102*($L1102*$P1102+$M1102*$Q1102+$N1102*$R1102)</f>
        <v>0</v>
      </c>
      <c r="AF1110" s="264">
        <f t="shared" si="2706"/>
        <v>0</v>
      </c>
      <c r="AG1110" s="264">
        <f t="shared" si="2706"/>
        <v>0</v>
      </c>
      <c r="AH1110" s="264">
        <f t="shared" si="2706"/>
        <v>0</v>
      </c>
      <c r="AI1110" s="264">
        <f t="shared" ref="AI1110:AI1115" si="2707">$AE1110+$AF1110+$AG1110+$AH1110</f>
        <v>0</v>
      </c>
      <c r="AJ1110" s="264">
        <f t="shared" si="2700"/>
        <v>0</v>
      </c>
      <c r="AK1110" s="264">
        <f t="shared" si="2701"/>
        <v>0</v>
      </c>
      <c r="AL1110" s="264">
        <f t="shared" si="2702"/>
        <v>0</v>
      </c>
      <c r="AM1110" s="264">
        <f t="shared" si="2703"/>
        <v>0</v>
      </c>
      <c r="AN1110" s="640">
        <f t="shared" si="2692"/>
        <v>0</v>
      </c>
      <c r="AO1110" s="264">
        <f t="shared" si="2704"/>
        <v>0</v>
      </c>
      <c r="AP1110" s="640">
        <f t="shared" si="2686"/>
        <v>0</v>
      </c>
      <c r="AQ1110" s="264"/>
      <c r="AR1110" s="264" t="str">
        <f>VLOOKUP($I1110,TableInputsData[],ReadMe!$M$3,FALSE)&amp;"  |  "&amp;VLOOKUP($K1110,TableInputsData[],ReadMe!$M$3,FALSE)</f>
        <v>SERVICE 07  |  CHIFFRE D'AFFAIRES</v>
      </c>
      <c r="AS1110" s="264" t="b">
        <f t="shared" si="2705"/>
        <v>1</v>
      </c>
      <c r="AT1110" s="294"/>
    </row>
    <row r="1111" spans="1:46" ht="13" hidden="1" x14ac:dyDescent="0.2">
      <c r="A1111" s="294"/>
      <c r="B1111" s="924"/>
      <c r="C1111" s="271">
        <v>1104</v>
      </c>
      <c r="D1111" s="250">
        <f t="shared" si="2693"/>
        <v>0</v>
      </c>
      <c r="E1111" s="250"/>
      <c r="F1111" s="248" t="str">
        <f t="shared" si="2698"/>
        <v>CURRENT YEAR</v>
      </c>
      <c r="G1111" s="250">
        <f>VLOOKUP(F1111,TableInputsData[],$G$6,FALSE)</f>
        <v>2025</v>
      </c>
      <c r="H1111" s="250" t="str">
        <f t="shared" si="2694"/>
        <v>SERVICE</v>
      </c>
      <c r="I1111" s="248" t="str">
        <f t="shared" si="2694"/>
        <v>SERVICE 07</v>
      </c>
      <c r="J1111" s="248" t="str">
        <f>VLOOKUP(I1111,TableInputsData[],$J$6,FALSE)</f>
        <v>-</v>
      </c>
      <c r="K1111" s="248" t="str">
        <f t="shared" ref="K1111:K1116" si="2708">K1110</f>
        <v>REVENUE</v>
      </c>
      <c r="L1111" s="255"/>
      <c r="M1111" s="255"/>
      <c r="N1111" s="255"/>
      <c r="O1111" s="265"/>
      <c r="P1111" s="260"/>
      <c r="Q1111" s="260"/>
      <c r="R1111" s="260"/>
      <c r="S1111" s="630"/>
      <c r="T1111" s="630"/>
      <c r="U1111" s="630"/>
      <c r="V1111" s="630"/>
      <c r="W1111" s="260"/>
      <c r="X1111" s="260"/>
      <c r="Y1111" s="260"/>
      <c r="Z1111" s="260"/>
      <c r="AA1111" s="260"/>
      <c r="AB1111" s="260"/>
      <c r="AC1111" s="265"/>
      <c r="AD1111" s="634"/>
      <c r="AE1111" s="264">
        <f t="shared" ref="AE1111:AH1111" si="2709">AE1103*($L1103*$P1103+$M1103*$Q1103+$N1103*$R1103)</f>
        <v>0</v>
      </c>
      <c r="AF1111" s="264">
        <f t="shared" si="2709"/>
        <v>0</v>
      </c>
      <c r="AG1111" s="264">
        <f t="shared" si="2709"/>
        <v>0</v>
      </c>
      <c r="AH1111" s="264">
        <f t="shared" si="2709"/>
        <v>0</v>
      </c>
      <c r="AI1111" s="264">
        <f t="shared" si="2707"/>
        <v>0</v>
      </c>
      <c r="AJ1111" s="264">
        <f t="shared" si="2700"/>
        <v>0</v>
      </c>
      <c r="AK1111" s="264">
        <f t="shared" si="2701"/>
        <v>0</v>
      </c>
      <c r="AL1111" s="264">
        <f t="shared" si="2702"/>
        <v>0</v>
      </c>
      <c r="AM1111" s="264">
        <f t="shared" si="2703"/>
        <v>0</v>
      </c>
      <c r="AN1111" s="640">
        <f t="shared" si="2692"/>
        <v>0</v>
      </c>
      <c r="AO1111" s="264">
        <f t="shared" si="2704"/>
        <v>0</v>
      </c>
      <c r="AP1111" s="640">
        <f t="shared" si="2686"/>
        <v>0</v>
      </c>
      <c r="AQ1111" s="264"/>
      <c r="AR1111" s="264" t="str">
        <f>VLOOKUP($I1111,TableInputsData[],ReadMe!$M$3,FALSE)&amp;"  |  "&amp;VLOOKUP($K1111,TableInputsData[],ReadMe!$M$3,FALSE)</f>
        <v>SERVICE 07  |  CHIFFRE D'AFFAIRES</v>
      </c>
      <c r="AS1111" s="264" t="b">
        <f t="shared" si="2705"/>
        <v>1</v>
      </c>
      <c r="AT1111" s="294"/>
    </row>
    <row r="1112" spans="1:46" ht="13" hidden="1" x14ac:dyDescent="0.2">
      <c r="A1112" s="294"/>
      <c r="B1112" s="924"/>
      <c r="C1112" s="271">
        <v>1105</v>
      </c>
      <c r="D1112" s="250">
        <f t="shared" si="2693"/>
        <v>0</v>
      </c>
      <c r="E1112" s="250"/>
      <c r="F1112" s="248" t="str">
        <f t="shared" si="2698"/>
        <v>YEAR2</v>
      </c>
      <c r="G1112" s="250">
        <f>VLOOKUP(F1112,TableInputsData[],$G$6,FALSE)</f>
        <v>2026</v>
      </c>
      <c r="H1112" s="250" t="str">
        <f t="shared" si="2694"/>
        <v>SERVICE</v>
      </c>
      <c r="I1112" s="248" t="str">
        <f t="shared" si="2694"/>
        <v>SERVICE 07</v>
      </c>
      <c r="J1112" s="248" t="str">
        <f>VLOOKUP(I1112,TableInputsData[],$J$6,FALSE)</f>
        <v>-</v>
      </c>
      <c r="K1112" s="248" t="str">
        <f t="shared" si="2708"/>
        <v>REVENUE</v>
      </c>
      <c r="L1112" s="255"/>
      <c r="M1112" s="255"/>
      <c r="N1112" s="255"/>
      <c r="O1112" s="265"/>
      <c r="P1112" s="260"/>
      <c r="Q1112" s="260"/>
      <c r="R1112" s="260"/>
      <c r="S1112" s="630"/>
      <c r="T1112" s="630"/>
      <c r="U1112" s="630"/>
      <c r="V1112" s="630"/>
      <c r="W1112" s="260"/>
      <c r="X1112" s="260"/>
      <c r="Y1112" s="260"/>
      <c r="Z1112" s="260"/>
      <c r="AA1112" s="260"/>
      <c r="AB1112" s="260"/>
      <c r="AC1112" s="265"/>
      <c r="AD1112" s="634"/>
      <c r="AE1112" s="264">
        <f t="shared" ref="AE1112:AH1112" si="2710">AE1104*($L1104*$P1104+$M1104*$Q1104+$N1104*$R1104)</f>
        <v>0</v>
      </c>
      <c r="AF1112" s="264">
        <f t="shared" si="2710"/>
        <v>0</v>
      </c>
      <c r="AG1112" s="264">
        <f t="shared" si="2710"/>
        <v>0</v>
      </c>
      <c r="AH1112" s="264">
        <f t="shared" si="2710"/>
        <v>0</v>
      </c>
      <c r="AI1112" s="264">
        <f t="shared" si="2707"/>
        <v>0</v>
      </c>
      <c r="AJ1112" s="264">
        <f t="shared" si="2700"/>
        <v>0</v>
      </c>
      <c r="AK1112" s="264">
        <f t="shared" si="2701"/>
        <v>0</v>
      </c>
      <c r="AL1112" s="264">
        <f t="shared" si="2702"/>
        <v>0</v>
      </c>
      <c r="AM1112" s="264">
        <f t="shared" si="2703"/>
        <v>0</v>
      </c>
      <c r="AN1112" s="640">
        <f t="shared" si="2692"/>
        <v>0</v>
      </c>
      <c r="AO1112" s="264">
        <f t="shared" si="2704"/>
        <v>0</v>
      </c>
      <c r="AP1112" s="640">
        <f t="shared" si="2686"/>
        <v>0</v>
      </c>
      <c r="AQ1112" s="264"/>
      <c r="AR1112" s="264" t="str">
        <f>VLOOKUP($I1112,TableInputsData[],ReadMe!$M$3,FALSE)&amp;"  |  "&amp;VLOOKUP($K1112,TableInputsData[],ReadMe!$M$3,FALSE)</f>
        <v>SERVICE 07  |  CHIFFRE D'AFFAIRES</v>
      </c>
      <c r="AS1112" s="264" t="b">
        <f t="shared" si="2705"/>
        <v>1</v>
      </c>
      <c r="AT1112" s="294"/>
    </row>
    <row r="1113" spans="1:46" ht="13" hidden="1" x14ac:dyDescent="0.2">
      <c r="A1113" s="294"/>
      <c r="B1113" s="924"/>
      <c r="C1113" s="271">
        <v>1106</v>
      </c>
      <c r="D1113" s="250">
        <f t="shared" si="2693"/>
        <v>0</v>
      </c>
      <c r="E1113" s="250"/>
      <c r="F1113" s="248" t="str">
        <f t="shared" si="2698"/>
        <v>YEAR3</v>
      </c>
      <c r="G1113" s="250">
        <f>VLOOKUP(F1113,TableInputsData[],$G$6,FALSE)</f>
        <v>2027</v>
      </c>
      <c r="H1113" s="250" t="str">
        <f t="shared" si="2694"/>
        <v>SERVICE</v>
      </c>
      <c r="I1113" s="248" t="str">
        <f t="shared" si="2694"/>
        <v>SERVICE 07</v>
      </c>
      <c r="J1113" s="248" t="str">
        <f>VLOOKUP(I1113,TableInputsData[],$J$6,FALSE)</f>
        <v>-</v>
      </c>
      <c r="K1113" s="248" t="str">
        <f t="shared" si="2708"/>
        <v>REVENUE</v>
      </c>
      <c r="L1113" s="255"/>
      <c r="M1113" s="255"/>
      <c r="N1113" s="255"/>
      <c r="O1113" s="265"/>
      <c r="P1113" s="260"/>
      <c r="Q1113" s="260"/>
      <c r="R1113" s="260"/>
      <c r="S1113" s="630"/>
      <c r="T1113" s="630"/>
      <c r="U1113" s="630"/>
      <c r="V1113" s="630"/>
      <c r="W1113" s="260"/>
      <c r="X1113" s="260"/>
      <c r="Y1113" s="260"/>
      <c r="Z1113" s="260"/>
      <c r="AA1113" s="260"/>
      <c r="AB1113" s="260"/>
      <c r="AC1113" s="265"/>
      <c r="AD1113" s="634"/>
      <c r="AE1113" s="264">
        <f t="shared" ref="AE1113:AH1113" si="2711">AE1105*($L1105*$P1105+$M1105*$Q1105+$N1105*$R1105)</f>
        <v>0</v>
      </c>
      <c r="AF1113" s="264">
        <f t="shared" si="2711"/>
        <v>0</v>
      </c>
      <c r="AG1113" s="264">
        <f t="shared" si="2711"/>
        <v>0</v>
      </c>
      <c r="AH1113" s="264">
        <f t="shared" si="2711"/>
        <v>0</v>
      </c>
      <c r="AI1113" s="264">
        <f t="shared" si="2707"/>
        <v>0</v>
      </c>
      <c r="AJ1113" s="264">
        <f t="shared" si="2700"/>
        <v>0</v>
      </c>
      <c r="AK1113" s="264">
        <f t="shared" si="2701"/>
        <v>0</v>
      </c>
      <c r="AL1113" s="264">
        <f t="shared" si="2702"/>
        <v>0</v>
      </c>
      <c r="AM1113" s="264">
        <f t="shared" si="2703"/>
        <v>0</v>
      </c>
      <c r="AN1113" s="640">
        <f t="shared" si="2692"/>
        <v>0</v>
      </c>
      <c r="AO1113" s="264">
        <f t="shared" si="2704"/>
        <v>0</v>
      </c>
      <c r="AP1113" s="640">
        <f t="shared" si="2686"/>
        <v>0</v>
      </c>
      <c r="AQ1113" s="264"/>
      <c r="AR1113" s="264" t="str">
        <f>VLOOKUP($I1113,TableInputsData[],ReadMe!$M$3,FALSE)&amp;"  |  "&amp;VLOOKUP($K1113,TableInputsData[],ReadMe!$M$3,FALSE)</f>
        <v>SERVICE 07  |  CHIFFRE D'AFFAIRES</v>
      </c>
      <c r="AS1113" s="264" t="b">
        <f t="shared" si="2705"/>
        <v>1</v>
      </c>
      <c r="AT1113" s="294"/>
    </row>
    <row r="1114" spans="1:46" ht="13" hidden="1" x14ac:dyDescent="0.2">
      <c r="A1114" s="294"/>
      <c r="B1114" s="924"/>
      <c r="C1114" s="271">
        <v>1107</v>
      </c>
      <c r="D1114" s="250">
        <f t="shared" si="2693"/>
        <v>0</v>
      </c>
      <c r="E1114" s="250"/>
      <c r="F1114" s="248" t="str">
        <f t="shared" si="2698"/>
        <v>YEAR4</v>
      </c>
      <c r="G1114" s="250">
        <f>VLOOKUP(F1114,TableInputsData[],$G$6,FALSE)</f>
        <v>2028</v>
      </c>
      <c r="H1114" s="250" t="str">
        <f t="shared" si="2694"/>
        <v>SERVICE</v>
      </c>
      <c r="I1114" s="248" t="str">
        <f t="shared" si="2694"/>
        <v>SERVICE 07</v>
      </c>
      <c r="J1114" s="248" t="str">
        <f>VLOOKUP(I1114,TableInputsData[],$J$6,FALSE)</f>
        <v>-</v>
      </c>
      <c r="K1114" s="248" t="str">
        <f t="shared" si="2708"/>
        <v>REVENUE</v>
      </c>
      <c r="L1114" s="255"/>
      <c r="M1114" s="255"/>
      <c r="N1114" s="255"/>
      <c r="O1114" s="265"/>
      <c r="P1114" s="260"/>
      <c r="Q1114" s="260"/>
      <c r="R1114" s="260"/>
      <c r="S1114" s="630"/>
      <c r="T1114" s="630"/>
      <c r="U1114" s="630"/>
      <c r="V1114" s="630"/>
      <c r="W1114" s="260"/>
      <c r="X1114" s="260"/>
      <c r="Y1114" s="260"/>
      <c r="Z1114" s="260"/>
      <c r="AA1114" s="260"/>
      <c r="AB1114" s="260"/>
      <c r="AC1114" s="265"/>
      <c r="AD1114" s="634"/>
      <c r="AE1114" s="264">
        <f t="shared" ref="AE1114:AH1114" si="2712">AE1106*($L1106*$P1106+$M1106*$Q1106+$N1106*$R1106)</f>
        <v>0</v>
      </c>
      <c r="AF1114" s="264">
        <f t="shared" si="2712"/>
        <v>0</v>
      </c>
      <c r="AG1114" s="264">
        <f t="shared" si="2712"/>
        <v>0</v>
      </c>
      <c r="AH1114" s="264">
        <f t="shared" si="2712"/>
        <v>0</v>
      </c>
      <c r="AI1114" s="264">
        <f t="shared" si="2707"/>
        <v>0</v>
      </c>
      <c r="AJ1114" s="264">
        <f t="shared" si="2700"/>
        <v>0</v>
      </c>
      <c r="AK1114" s="264">
        <f t="shared" si="2701"/>
        <v>0</v>
      </c>
      <c r="AL1114" s="264">
        <f t="shared" si="2702"/>
        <v>0</v>
      </c>
      <c r="AM1114" s="264">
        <f t="shared" si="2703"/>
        <v>0</v>
      </c>
      <c r="AN1114" s="640">
        <f t="shared" si="2692"/>
        <v>0</v>
      </c>
      <c r="AO1114" s="264">
        <f t="shared" si="2704"/>
        <v>0</v>
      </c>
      <c r="AP1114" s="640">
        <f t="shared" si="2686"/>
        <v>0</v>
      </c>
      <c r="AQ1114" s="264"/>
      <c r="AR1114" s="264" t="str">
        <f>VLOOKUP($I1114,TableInputsData[],ReadMe!$M$3,FALSE)&amp;"  |  "&amp;VLOOKUP($K1114,TableInputsData[],ReadMe!$M$3,FALSE)</f>
        <v>SERVICE 07  |  CHIFFRE D'AFFAIRES</v>
      </c>
      <c r="AS1114" s="264" t="b">
        <f t="shared" si="2705"/>
        <v>1</v>
      </c>
      <c r="AT1114" s="294"/>
    </row>
    <row r="1115" spans="1:46" ht="13" hidden="1" x14ac:dyDescent="0.2">
      <c r="A1115" s="294"/>
      <c r="B1115" s="924"/>
      <c r="C1115" s="271">
        <v>1108</v>
      </c>
      <c r="D1115" s="250">
        <f t="shared" si="2693"/>
        <v>0</v>
      </c>
      <c r="E1115" s="250"/>
      <c r="F1115" s="248" t="str">
        <f t="shared" si="2698"/>
        <v>YEAR5</v>
      </c>
      <c r="G1115" s="250">
        <f>VLOOKUP(F1115,TableInputsData[],$G$6,FALSE)</f>
        <v>2029</v>
      </c>
      <c r="H1115" s="250" t="str">
        <f t="shared" si="2694"/>
        <v>SERVICE</v>
      </c>
      <c r="I1115" s="248" t="str">
        <f t="shared" si="2694"/>
        <v>SERVICE 07</v>
      </c>
      <c r="J1115" s="248" t="str">
        <f>VLOOKUP(I1115,TableInputsData[],$J$6,FALSE)</f>
        <v>-</v>
      </c>
      <c r="K1115" s="248" t="str">
        <f t="shared" si="2708"/>
        <v>REVENUE</v>
      </c>
      <c r="L1115" s="255"/>
      <c r="M1115" s="255"/>
      <c r="N1115" s="255"/>
      <c r="O1115" s="265"/>
      <c r="P1115" s="260"/>
      <c r="Q1115" s="260"/>
      <c r="R1115" s="260"/>
      <c r="S1115" s="630"/>
      <c r="T1115" s="630"/>
      <c r="U1115" s="630"/>
      <c r="V1115" s="630"/>
      <c r="W1115" s="260"/>
      <c r="X1115" s="260"/>
      <c r="Y1115" s="260"/>
      <c r="Z1115" s="260"/>
      <c r="AA1115" s="260"/>
      <c r="AB1115" s="260"/>
      <c r="AC1115" s="265"/>
      <c r="AD1115" s="634"/>
      <c r="AE1115" s="264">
        <f t="shared" ref="AE1115:AH1115" si="2713">AE1107*($L1107*$P1107+$M1107*$Q1107+$N1107*$R1107)</f>
        <v>0</v>
      </c>
      <c r="AF1115" s="264">
        <f t="shared" si="2713"/>
        <v>0</v>
      </c>
      <c r="AG1115" s="264">
        <f t="shared" si="2713"/>
        <v>0</v>
      </c>
      <c r="AH1115" s="264">
        <f t="shared" si="2713"/>
        <v>0</v>
      </c>
      <c r="AI1115" s="264">
        <f t="shared" si="2707"/>
        <v>0</v>
      </c>
      <c r="AJ1115" s="264">
        <f t="shared" si="2700"/>
        <v>0</v>
      </c>
      <c r="AK1115" s="264">
        <f t="shared" si="2701"/>
        <v>0</v>
      </c>
      <c r="AL1115" s="264">
        <f t="shared" si="2702"/>
        <v>0</v>
      </c>
      <c r="AM1115" s="264">
        <f t="shared" si="2703"/>
        <v>0</v>
      </c>
      <c r="AN1115" s="640">
        <f t="shared" si="2692"/>
        <v>0</v>
      </c>
      <c r="AO1115" s="264">
        <f t="shared" si="2704"/>
        <v>0</v>
      </c>
      <c r="AP1115" s="640">
        <f t="shared" si="2686"/>
        <v>0</v>
      </c>
      <c r="AQ1115" s="264"/>
      <c r="AR1115" s="264" t="str">
        <f>VLOOKUP($I1115,TableInputsData[],ReadMe!$M$3,FALSE)&amp;"  |  "&amp;VLOOKUP($K1115,TableInputsData[],ReadMe!$M$3,FALSE)</f>
        <v>SERVICE 07  |  CHIFFRE D'AFFAIRES</v>
      </c>
      <c r="AS1115" s="264" t="b">
        <f t="shared" si="2705"/>
        <v>1</v>
      </c>
      <c r="AT1115" s="294"/>
    </row>
    <row r="1116" spans="1:46" ht="13" hidden="1" x14ac:dyDescent="0.2">
      <c r="A1116" s="294"/>
      <c r="B1116" s="924"/>
      <c r="C1116" s="271">
        <v>1109</v>
      </c>
      <c r="D1116" s="250">
        <f t="shared" si="2693"/>
        <v>0</v>
      </c>
      <c r="E1116" s="250"/>
      <c r="F1116" s="248" t="str">
        <f t="shared" si="2698"/>
        <v>YEAR6</v>
      </c>
      <c r="G1116" s="250">
        <f>VLOOKUP(F1116,TableInputsData[],$G$6,FALSE)</f>
        <v>2030</v>
      </c>
      <c r="H1116" s="250" t="str">
        <f t="shared" si="2694"/>
        <v>SERVICE</v>
      </c>
      <c r="I1116" s="248" t="str">
        <f t="shared" si="2694"/>
        <v>SERVICE 07</v>
      </c>
      <c r="J1116" s="248" t="str">
        <f>VLOOKUP(I1116,TableInputsData[],$J$6,FALSE)</f>
        <v>-</v>
      </c>
      <c r="K1116" s="248" t="str">
        <f t="shared" si="2708"/>
        <v>REVENUE</v>
      </c>
      <c r="L1116" s="255"/>
      <c r="M1116" s="255"/>
      <c r="N1116" s="255"/>
      <c r="O1116" s="265"/>
      <c r="P1116" s="260"/>
      <c r="Q1116" s="260"/>
      <c r="R1116" s="260"/>
      <c r="S1116" s="630"/>
      <c r="T1116" s="630"/>
      <c r="U1116" s="630"/>
      <c r="V1116" s="630"/>
      <c r="W1116" s="260"/>
      <c r="X1116" s="260"/>
      <c r="Y1116" s="260"/>
      <c r="Z1116" s="260"/>
      <c r="AA1116" s="260"/>
      <c r="AB1116" s="260"/>
      <c r="AC1116" s="265"/>
      <c r="AD1116" s="634"/>
      <c r="AE1116" s="264">
        <f t="shared" ref="AE1116:AH1116" si="2714">AE1108*($L1108*$P1108+$M1108*$Q1108+$N1108*$R1108)</f>
        <v>0</v>
      </c>
      <c r="AF1116" s="264">
        <f t="shared" si="2714"/>
        <v>0</v>
      </c>
      <c r="AG1116" s="264">
        <f t="shared" si="2714"/>
        <v>0</v>
      </c>
      <c r="AH1116" s="264">
        <f t="shared" si="2714"/>
        <v>0</v>
      </c>
      <c r="AI1116" s="264">
        <f>$AE1116+$AF1116+$AG1116+$AH1116</f>
        <v>0</v>
      </c>
      <c r="AJ1116" s="264">
        <f t="shared" si="2700"/>
        <v>0</v>
      </c>
      <c r="AK1116" s="264">
        <f t="shared" si="2701"/>
        <v>0</v>
      </c>
      <c r="AL1116" s="264">
        <f t="shared" si="2702"/>
        <v>0</v>
      </c>
      <c r="AM1116" s="264">
        <f t="shared" si="2703"/>
        <v>0</v>
      </c>
      <c r="AN1116" s="640">
        <f t="shared" si="2692"/>
        <v>0</v>
      </c>
      <c r="AO1116" s="264">
        <f t="shared" si="2704"/>
        <v>0</v>
      </c>
      <c r="AP1116" s="640">
        <f t="shared" si="2686"/>
        <v>0</v>
      </c>
      <c r="AQ1116" s="264"/>
      <c r="AR1116" s="264" t="str">
        <f>VLOOKUP($I1116,TableInputsData[],ReadMe!$M$3,FALSE)&amp;"  |  "&amp;VLOOKUP($K1116,TableInputsData[],ReadMe!$M$3,FALSE)</f>
        <v>SERVICE 07  |  CHIFFRE D'AFFAIRES</v>
      </c>
      <c r="AS1116" s="264" t="b">
        <f t="shared" si="2705"/>
        <v>1</v>
      </c>
      <c r="AT1116" s="294"/>
    </row>
    <row r="1117" spans="1:46" ht="13" hidden="1" x14ac:dyDescent="0.2">
      <c r="A1117" s="294"/>
      <c r="B1117" s="924"/>
      <c r="C1117" s="271">
        <v>1110</v>
      </c>
      <c r="D1117" s="250">
        <f t="shared" si="2693"/>
        <v>0</v>
      </c>
      <c r="E1117" s="250"/>
      <c r="F1117" s="248" t="str">
        <f t="shared" ref="F1117:F1124" si="2715">F1101</f>
        <v>YEAR-2</v>
      </c>
      <c r="G1117" s="250">
        <f>VLOOKUP(F1117,TableInputsData[],$G$6,FALSE)</f>
        <v>2023</v>
      </c>
      <c r="H1117" s="250" t="str">
        <f t="shared" si="2694"/>
        <v>SERVICE</v>
      </c>
      <c r="I1117" s="248" t="str">
        <f t="shared" si="2694"/>
        <v>SERVICE 07</v>
      </c>
      <c r="J1117" s="248" t="str">
        <f>VLOOKUP(I1117,TableInputsData[],$J$6,FALSE)</f>
        <v>-</v>
      </c>
      <c r="K1117" s="248" t="s">
        <v>456</v>
      </c>
      <c r="L1117" s="255"/>
      <c r="M1117" s="255"/>
      <c r="N1117" s="255"/>
      <c r="O1117" s="265"/>
      <c r="P1117" s="260"/>
      <c r="Q1117" s="260"/>
      <c r="R1117" s="260"/>
      <c r="S1117" s="630"/>
      <c r="T1117" s="630"/>
      <c r="U1117" s="630"/>
      <c r="V1117" s="630"/>
      <c r="W1117" s="260"/>
      <c r="X1117" s="260"/>
      <c r="Y1117" s="260"/>
      <c r="Z1117" s="260"/>
      <c r="AA1117" s="260"/>
      <c r="AB1117" s="260"/>
      <c r="AC1117" s="265"/>
      <c r="AD1117" s="634"/>
      <c r="AE1117" s="264">
        <f>IF(AE1101=0,0,AE1109/AE1101)</f>
        <v>0</v>
      </c>
      <c r="AF1117" s="264">
        <f t="shared" ref="AF1117:AI1117" si="2716">IF(AF1101=0,0,AF1109/AF1101)</f>
        <v>0</v>
      </c>
      <c r="AG1117" s="264">
        <f t="shared" si="2716"/>
        <v>0</v>
      </c>
      <c r="AH1117" s="264">
        <f t="shared" si="2716"/>
        <v>0</v>
      </c>
      <c r="AI1117" s="264">
        <f t="shared" si="2716"/>
        <v>0</v>
      </c>
      <c r="AJ1117" s="264">
        <f>IF(AJ1101=0,0,AJ1109/AJ1101)</f>
        <v>0</v>
      </c>
      <c r="AK1117" s="264">
        <f t="shared" ref="AK1117:AL1117" si="2717">IF(AK1101=0,0,AK1109/AK1101)</f>
        <v>0</v>
      </c>
      <c r="AL1117" s="264">
        <f t="shared" si="2717"/>
        <v>0</v>
      </c>
      <c r="AM1117" s="264">
        <f>IF(AM1101=0,0,AM1109/AM1101)</f>
        <v>0</v>
      </c>
      <c r="AN1117" s="260"/>
      <c r="AO1117" s="264">
        <f t="shared" ref="AO1117" si="2718">IF(AO1101=0,0,AO1109/AO1101)</f>
        <v>0</v>
      </c>
      <c r="AP1117" s="260"/>
      <c r="AQ1117" s="264"/>
      <c r="AR1117" s="264" t="str">
        <f>VLOOKUP($I1117,TableInputsData[],ReadMe!$M$3,FALSE)&amp;"  |  "&amp;VLOOKUP($K1117,TableInputsData[],ReadMe!$M$3,FALSE)</f>
        <v>SERVICE 07  |  PRIX MOYEN DE VENTE PAR PRODUIT/SERVICE</v>
      </c>
      <c r="AS1117" s="264"/>
      <c r="AT1117" s="294"/>
    </row>
    <row r="1118" spans="1:46" ht="13" hidden="1" x14ac:dyDescent="0.2">
      <c r="A1118" s="294"/>
      <c r="B1118" s="924"/>
      <c r="C1118" s="271">
        <v>1111</v>
      </c>
      <c r="D1118" s="250">
        <f t="shared" si="2693"/>
        <v>0</v>
      </c>
      <c r="E1118" s="250"/>
      <c r="F1118" s="248" t="str">
        <f t="shared" si="2715"/>
        <v>YEAR-1</v>
      </c>
      <c r="G1118" s="250">
        <f>VLOOKUP(F1118,TableInputsData[],$G$6,FALSE)</f>
        <v>2024</v>
      </c>
      <c r="H1118" s="250" t="str">
        <f t="shared" si="2694"/>
        <v>SERVICE</v>
      </c>
      <c r="I1118" s="248" t="str">
        <f t="shared" si="2694"/>
        <v>SERVICE 07</v>
      </c>
      <c r="J1118" s="248" t="str">
        <f>VLOOKUP(I1118,TableInputsData[],$J$6,FALSE)</f>
        <v>-</v>
      </c>
      <c r="K1118" s="248" t="str">
        <f>K1117</f>
        <v>AVERAGE SELLING PRICE PER UNIT</v>
      </c>
      <c r="L1118" s="255"/>
      <c r="M1118" s="255"/>
      <c r="N1118" s="255"/>
      <c r="O1118" s="265"/>
      <c r="P1118" s="260"/>
      <c r="Q1118" s="260"/>
      <c r="R1118" s="260"/>
      <c r="S1118" s="630"/>
      <c r="T1118" s="630"/>
      <c r="U1118" s="630"/>
      <c r="V1118" s="630"/>
      <c r="W1118" s="260"/>
      <c r="X1118" s="260"/>
      <c r="Y1118" s="260"/>
      <c r="Z1118" s="260"/>
      <c r="AA1118" s="260"/>
      <c r="AB1118" s="260"/>
      <c r="AC1118" s="265"/>
      <c r="AD1118" s="634"/>
      <c r="AE1118" s="264">
        <f>IF(AE1102=0,0,AE1110/AE1102)</f>
        <v>0</v>
      </c>
      <c r="AF1118" s="264">
        <f t="shared" ref="AF1118:AM1118" si="2719">IF(AF1102=0,0,AF1110/AF1102)</f>
        <v>0</v>
      </c>
      <c r="AG1118" s="264">
        <f t="shared" si="2719"/>
        <v>0</v>
      </c>
      <c r="AH1118" s="264">
        <f t="shared" si="2719"/>
        <v>0</v>
      </c>
      <c r="AI1118" s="264">
        <f t="shared" si="2719"/>
        <v>0</v>
      </c>
      <c r="AJ1118" s="264">
        <f t="shared" si="2719"/>
        <v>0</v>
      </c>
      <c r="AK1118" s="264">
        <f t="shared" si="2719"/>
        <v>0</v>
      </c>
      <c r="AL1118" s="264">
        <f t="shared" si="2719"/>
        <v>0</v>
      </c>
      <c r="AM1118" s="264">
        <f t="shared" si="2719"/>
        <v>0</v>
      </c>
      <c r="AN1118" s="260"/>
      <c r="AO1118" s="264">
        <f t="shared" ref="AO1118" si="2720">IF(AO1102=0,0,AO1110/AO1102)</f>
        <v>0</v>
      </c>
      <c r="AP1118" s="260"/>
      <c r="AQ1118" s="264"/>
      <c r="AR1118" s="264" t="str">
        <f>VLOOKUP($I1118,TableInputsData[],ReadMe!$M$3,FALSE)&amp;"  |  "&amp;VLOOKUP($K1118,TableInputsData[],ReadMe!$M$3,FALSE)</f>
        <v>SERVICE 07  |  PRIX MOYEN DE VENTE PAR PRODUIT/SERVICE</v>
      </c>
      <c r="AS1118" s="264"/>
      <c r="AT1118" s="294"/>
    </row>
    <row r="1119" spans="1:46" ht="13" hidden="1" x14ac:dyDescent="0.2">
      <c r="A1119" s="294"/>
      <c r="B1119" s="924"/>
      <c r="C1119" s="271">
        <v>1112</v>
      </c>
      <c r="D1119" s="250">
        <f t="shared" si="2693"/>
        <v>0</v>
      </c>
      <c r="E1119" s="250"/>
      <c r="F1119" s="248" t="str">
        <f t="shared" si="2715"/>
        <v>CURRENT YEAR</v>
      </c>
      <c r="G1119" s="250">
        <f>VLOOKUP(F1119,TableInputsData[],$G$6,FALSE)</f>
        <v>2025</v>
      </c>
      <c r="H1119" s="250" t="str">
        <f t="shared" si="2694"/>
        <v>SERVICE</v>
      </c>
      <c r="I1119" s="248" t="str">
        <f t="shared" si="2694"/>
        <v>SERVICE 07</v>
      </c>
      <c r="J1119" s="248" t="str">
        <f>VLOOKUP(I1119,TableInputsData[],$J$6,FALSE)</f>
        <v>-</v>
      </c>
      <c r="K1119" s="248" t="str">
        <f t="shared" ref="K1119:K1124" si="2721">K1118</f>
        <v>AVERAGE SELLING PRICE PER UNIT</v>
      </c>
      <c r="L1119" s="255"/>
      <c r="M1119" s="255"/>
      <c r="N1119" s="255"/>
      <c r="O1119" s="265"/>
      <c r="P1119" s="260"/>
      <c r="Q1119" s="260"/>
      <c r="R1119" s="260"/>
      <c r="S1119" s="630"/>
      <c r="T1119" s="630"/>
      <c r="U1119" s="630"/>
      <c r="V1119" s="630"/>
      <c r="W1119" s="260"/>
      <c r="X1119" s="260"/>
      <c r="Y1119" s="260"/>
      <c r="Z1119" s="260"/>
      <c r="AA1119" s="260"/>
      <c r="AB1119" s="260"/>
      <c r="AC1119" s="265"/>
      <c r="AD1119" s="634"/>
      <c r="AE1119" s="264">
        <f>IF(AE1103=0,0,AE1111/AE1103)</f>
        <v>0</v>
      </c>
      <c r="AF1119" s="264">
        <f t="shared" ref="AF1119:AM1119" si="2722">IF(AF1103=0,0,AF1111/AF1103)</f>
        <v>0</v>
      </c>
      <c r="AG1119" s="264">
        <f t="shared" si="2722"/>
        <v>0</v>
      </c>
      <c r="AH1119" s="264">
        <f t="shared" si="2722"/>
        <v>0</v>
      </c>
      <c r="AI1119" s="264">
        <f t="shared" si="2722"/>
        <v>0</v>
      </c>
      <c r="AJ1119" s="264">
        <f t="shared" si="2722"/>
        <v>0</v>
      </c>
      <c r="AK1119" s="264">
        <f t="shared" si="2722"/>
        <v>0</v>
      </c>
      <c r="AL1119" s="264">
        <f t="shared" si="2722"/>
        <v>0</v>
      </c>
      <c r="AM1119" s="264">
        <f t="shared" si="2722"/>
        <v>0</v>
      </c>
      <c r="AN1119" s="260"/>
      <c r="AO1119" s="264">
        <f t="shared" ref="AO1119" si="2723">IF(AO1103=0,0,AO1111/AO1103)</f>
        <v>0</v>
      </c>
      <c r="AP1119" s="260"/>
      <c r="AQ1119" s="264"/>
      <c r="AR1119" s="264" t="str">
        <f>VLOOKUP($I1119,TableInputsData[],ReadMe!$M$3,FALSE)&amp;"  |  "&amp;VLOOKUP($K1119,TableInputsData[],ReadMe!$M$3,FALSE)</f>
        <v>SERVICE 07  |  PRIX MOYEN DE VENTE PAR PRODUIT/SERVICE</v>
      </c>
      <c r="AS1119" s="264"/>
      <c r="AT1119" s="294"/>
    </row>
    <row r="1120" spans="1:46" ht="13" hidden="1" x14ac:dyDescent="0.2">
      <c r="A1120" s="294"/>
      <c r="B1120" s="924"/>
      <c r="C1120" s="271">
        <v>1113</v>
      </c>
      <c r="D1120" s="250">
        <f t="shared" si="2693"/>
        <v>0</v>
      </c>
      <c r="E1120" s="250"/>
      <c r="F1120" s="248" t="str">
        <f t="shared" si="2715"/>
        <v>YEAR2</v>
      </c>
      <c r="G1120" s="250">
        <f>VLOOKUP(F1120,TableInputsData[],$G$6,FALSE)</f>
        <v>2026</v>
      </c>
      <c r="H1120" s="250" t="str">
        <f t="shared" si="2694"/>
        <v>SERVICE</v>
      </c>
      <c r="I1120" s="248" t="str">
        <f t="shared" si="2694"/>
        <v>SERVICE 07</v>
      </c>
      <c r="J1120" s="248" t="str">
        <f>VLOOKUP(I1120,TableInputsData[],$J$6,FALSE)</f>
        <v>-</v>
      </c>
      <c r="K1120" s="248" t="str">
        <f t="shared" si="2721"/>
        <v>AVERAGE SELLING PRICE PER UNIT</v>
      </c>
      <c r="L1120" s="255"/>
      <c r="M1120" s="255"/>
      <c r="N1120" s="255"/>
      <c r="O1120" s="265"/>
      <c r="P1120" s="260"/>
      <c r="Q1120" s="260"/>
      <c r="R1120" s="260"/>
      <c r="S1120" s="630"/>
      <c r="T1120" s="630"/>
      <c r="U1120" s="630"/>
      <c r="V1120" s="630"/>
      <c r="W1120" s="260"/>
      <c r="X1120" s="260"/>
      <c r="Y1120" s="260"/>
      <c r="Z1120" s="260"/>
      <c r="AA1120" s="260"/>
      <c r="AB1120" s="260"/>
      <c r="AC1120" s="265"/>
      <c r="AD1120" s="634"/>
      <c r="AE1120" s="264">
        <f>IF(AE1104=0,0,AE1112/AE1104)</f>
        <v>0</v>
      </c>
      <c r="AF1120" s="264">
        <f t="shared" ref="AF1120:AM1120" si="2724">IF(AF1104=0,0,AF1112/AF1104)</f>
        <v>0</v>
      </c>
      <c r="AG1120" s="264">
        <f t="shared" si="2724"/>
        <v>0</v>
      </c>
      <c r="AH1120" s="264">
        <f t="shared" si="2724"/>
        <v>0</v>
      </c>
      <c r="AI1120" s="264">
        <f t="shared" si="2724"/>
        <v>0</v>
      </c>
      <c r="AJ1120" s="264">
        <f t="shared" si="2724"/>
        <v>0</v>
      </c>
      <c r="AK1120" s="264">
        <f t="shared" si="2724"/>
        <v>0</v>
      </c>
      <c r="AL1120" s="264">
        <f t="shared" si="2724"/>
        <v>0</v>
      </c>
      <c r="AM1120" s="264">
        <f t="shared" si="2724"/>
        <v>0</v>
      </c>
      <c r="AN1120" s="260"/>
      <c r="AO1120" s="264">
        <f t="shared" ref="AO1120" si="2725">IF(AO1104=0,0,AO1112/AO1104)</f>
        <v>0</v>
      </c>
      <c r="AP1120" s="260"/>
      <c r="AQ1120" s="264"/>
      <c r="AR1120" s="264" t="str">
        <f>VLOOKUP($I1120,TableInputsData[],ReadMe!$M$3,FALSE)&amp;"  |  "&amp;VLOOKUP($K1120,TableInputsData[],ReadMe!$M$3,FALSE)</f>
        <v>SERVICE 07  |  PRIX MOYEN DE VENTE PAR PRODUIT/SERVICE</v>
      </c>
      <c r="AS1120" s="264"/>
      <c r="AT1120" s="294"/>
    </row>
    <row r="1121" spans="1:46" ht="13" hidden="1" x14ac:dyDescent="0.2">
      <c r="A1121" s="294"/>
      <c r="B1121" s="924"/>
      <c r="C1121" s="271">
        <v>1114</v>
      </c>
      <c r="D1121" s="250">
        <f t="shared" si="2693"/>
        <v>0</v>
      </c>
      <c r="E1121" s="250"/>
      <c r="F1121" s="248" t="str">
        <f t="shared" si="2715"/>
        <v>YEAR3</v>
      </c>
      <c r="G1121" s="250">
        <f>VLOOKUP(F1121,TableInputsData[],$G$6,FALSE)</f>
        <v>2027</v>
      </c>
      <c r="H1121" s="250" t="str">
        <f t="shared" si="2694"/>
        <v>SERVICE</v>
      </c>
      <c r="I1121" s="248" t="str">
        <f t="shared" si="2694"/>
        <v>SERVICE 07</v>
      </c>
      <c r="J1121" s="248" t="str">
        <f>VLOOKUP(I1121,TableInputsData[],$J$6,FALSE)</f>
        <v>-</v>
      </c>
      <c r="K1121" s="248" t="str">
        <f t="shared" si="2721"/>
        <v>AVERAGE SELLING PRICE PER UNIT</v>
      </c>
      <c r="L1121" s="255"/>
      <c r="M1121" s="255"/>
      <c r="N1121" s="255"/>
      <c r="O1121" s="265"/>
      <c r="P1121" s="260"/>
      <c r="Q1121" s="260"/>
      <c r="R1121" s="260"/>
      <c r="S1121" s="630"/>
      <c r="T1121" s="630"/>
      <c r="U1121" s="630"/>
      <c r="V1121" s="630"/>
      <c r="W1121" s="260"/>
      <c r="X1121" s="260"/>
      <c r="Y1121" s="260"/>
      <c r="Z1121" s="260"/>
      <c r="AA1121" s="260"/>
      <c r="AB1121" s="260"/>
      <c r="AC1121" s="265"/>
      <c r="AD1121" s="634"/>
      <c r="AE1121" s="264">
        <f t="shared" ref="AE1121:AM1121" si="2726">IF(AE1105=0,0,AE1113/AE1105)</f>
        <v>0</v>
      </c>
      <c r="AF1121" s="264">
        <f t="shared" si="2726"/>
        <v>0</v>
      </c>
      <c r="AG1121" s="264">
        <f t="shared" si="2726"/>
        <v>0</v>
      </c>
      <c r="AH1121" s="264">
        <f t="shared" si="2726"/>
        <v>0</v>
      </c>
      <c r="AI1121" s="264">
        <f t="shared" si="2726"/>
        <v>0</v>
      </c>
      <c r="AJ1121" s="264">
        <f t="shared" si="2726"/>
        <v>0</v>
      </c>
      <c r="AK1121" s="264">
        <f t="shared" si="2726"/>
        <v>0</v>
      </c>
      <c r="AL1121" s="264">
        <f t="shared" si="2726"/>
        <v>0</v>
      </c>
      <c r="AM1121" s="264">
        <f t="shared" si="2726"/>
        <v>0</v>
      </c>
      <c r="AN1121" s="260"/>
      <c r="AO1121" s="264">
        <f t="shared" ref="AO1121" si="2727">IF(AO1105=0,0,AO1113/AO1105)</f>
        <v>0</v>
      </c>
      <c r="AP1121" s="260"/>
      <c r="AQ1121" s="264"/>
      <c r="AR1121" s="264" t="str">
        <f>VLOOKUP($I1121,TableInputsData[],ReadMe!$M$3,FALSE)&amp;"  |  "&amp;VLOOKUP($K1121,TableInputsData[],ReadMe!$M$3,FALSE)</f>
        <v>SERVICE 07  |  PRIX MOYEN DE VENTE PAR PRODUIT/SERVICE</v>
      </c>
      <c r="AS1121" s="264"/>
      <c r="AT1121" s="294"/>
    </row>
    <row r="1122" spans="1:46" ht="13" hidden="1" x14ac:dyDescent="0.2">
      <c r="A1122" s="294"/>
      <c r="B1122" s="924"/>
      <c r="C1122" s="272">
        <v>1115</v>
      </c>
      <c r="D1122" s="250">
        <f t="shared" si="2693"/>
        <v>0</v>
      </c>
      <c r="E1122" s="251"/>
      <c r="F1122" s="248" t="str">
        <f t="shared" si="2715"/>
        <v>YEAR4</v>
      </c>
      <c r="G1122" s="250">
        <f>VLOOKUP(F1122,TableInputsData[],$G$6,FALSE)</f>
        <v>2028</v>
      </c>
      <c r="H1122" s="250" t="str">
        <f t="shared" si="2694"/>
        <v>SERVICE</v>
      </c>
      <c r="I1122" s="248" t="str">
        <f t="shared" si="2694"/>
        <v>SERVICE 07</v>
      </c>
      <c r="J1122" s="248" t="str">
        <f>VLOOKUP(I1122,TableInputsData[],$J$6,FALSE)</f>
        <v>-</v>
      </c>
      <c r="K1122" s="248" t="str">
        <f t="shared" si="2721"/>
        <v>AVERAGE SELLING PRICE PER UNIT</v>
      </c>
      <c r="L1122" s="256"/>
      <c r="M1122" s="256"/>
      <c r="N1122" s="256"/>
      <c r="O1122" s="266"/>
      <c r="P1122" s="261"/>
      <c r="Q1122" s="261"/>
      <c r="R1122" s="261"/>
      <c r="S1122" s="629"/>
      <c r="T1122" s="629"/>
      <c r="U1122" s="629"/>
      <c r="V1122" s="629"/>
      <c r="W1122" s="261"/>
      <c r="X1122" s="261"/>
      <c r="Y1122" s="261"/>
      <c r="Z1122" s="261"/>
      <c r="AA1122" s="261"/>
      <c r="AB1122" s="261"/>
      <c r="AC1122" s="266"/>
      <c r="AD1122" s="633"/>
      <c r="AE1122" s="264">
        <f t="shared" ref="AE1122:AM1122" si="2728">IF(AE1106=0,0,AE1114/AE1106)</f>
        <v>0</v>
      </c>
      <c r="AF1122" s="264">
        <f t="shared" si="2728"/>
        <v>0</v>
      </c>
      <c r="AG1122" s="264">
        <f t="shared" si="2728"/>
        <v>0</v>
      </c>
      <c r="AH1122" s="264">
        <f t="shared" si="2728"/>
        <v>0</v>
      </c>
      <c r="AI1122" s="264">
        <f t="shared" si="2728"/>
        <v>0</v>
      </c>
      <c r="AJ1122" s="264">
        <f t="shared" si="2728"/>
        <v>0</v>
      </c>
      <c r="AK1122" s="264">
        <f t="shared" si="2728"/>
        <v>0</v>
      </c>
      <c r="AL1122" s="264">
        <f t="shared" si="2728"/>
        <v>0</v>
      </c>
      <c r="AM1122" s="264">
        <f t="shared" si="2728"/>
        <v>0</v>
      </c>
      <c r="AN1122" s="260"/>
      <c r="AO1122" s="264">
        <f t="shared" ref="AO1122" si="2729">IF(AO1106=0,0,AO1114/AO1106)</f>
        <v>0</v>
      </c>
      <c r="AP1122" s="260"/>
      <c r="AQ1122" s="264"/>
      <c r="AR1122" s="264" t="str">
        <f>VLOOKUP($I1122,TableInputsData[],ReadMe!$M$3,FALSE)&amp;"  |  "&amp;VLOOKUP($K1122,TableInputsData[],ReadMe!$M$3,FALSE)</f>
        <v>SERVICE 07  |  PRIX MOYEN DE VENTE PAR PRODUIT/SERVICE</v>
      </c>
      <c r="AS1122" s="264"/>
      <c r="AT1122" s="294"/>
    </row>
    <row r="1123" spans="1:46" ht="13" hidden="1" x14ac:dyDescent="0.2">
      <c r="A1123" s="294"/>
      <c r="B1123" s="924"/>
      <c r="C1123" s="271">
        <v>1116</v>
      </c>
      <c r="D1123" s="250">
        <f t="shared" si="2693"/>
        <v>0</v>
      </c>
      <c r="E1123" s="250"/>
      <c r="F1123" s="248" t="str">
        <f t="shared" si="2715"/>
        <v>YEAR5</v>
      </c>
      <c r="G1123" s="250">
        <f>VLOOKUP(F1123,TableInputsData[],$G$6,FALSE)</f>
        <v>2029</v>
      </c>
      <c r="H1123" s="250" t="str">
        <f t="shared" si="2694"/>
        <v>SERVICE</v>
      </c>
      <c r="I1123" s="248" t="str">
        <f t="shared" si="2694"/>
        <v>SERVICE 07</v>
      </c>
      <c r="J1123" s="248" t="str">
        <f>VLOOKUP(I1123,TableInputsData[],$J$6,FALSE)</f>
        <v>-</v>
      </c>
      <c r="K1123" s="248" t="str">
        <f t="shared" si="2721"/>
        <v>AVERAGE SELLING PRICE PER UNIT</v>
      </c>
      <c r="L1123" s="255"/>
      <c r="M1123" s="255"/>
      <c r="N1123" s="255"/>
      <c r="O1123" s="265"/>
      <c r="P1123" s="260"/>
      <c r="Q1123" s="260"/>
      <c r="R1123" s="260"/>
      <c r="S1123" s="630"/>
      <c r="T1123" s="630"/>
      <c r="U1123" s="630"/>
      <c r="V1123" s="630"/>
      <c r="W1123" s="260"/>
      <c r="X1123" s="260"/>
      <c r="Y1123" s="260"/>
      <c r="Z1123" s="260"/>
      <c r="AA1123" s="260"/>
      <c r="AB1123" s="260"/>
      <c r="AC1123" s="265"/>
      <c r="AD1123" s="634"/>
      <c r="AE1123" s="264">
        <f t="shared" ref="AE1123:AM1123" si="2730">IF(AE1107=0,0,AE1115/AE1107)</f>
        <v>0</v>
      </c>
      <c r="AF1123" s="264">
        <f t="shared" si="2730"/>
        <v>0</v>
      </c>
      <c r="AG1123" s="264">
        <f t="shared" si="2730"/>
        <v>0</v>
      </c>
      <c r="AH1123" s="264">
        <f t="shared" si="2730"/>
        <v>0</v>
      </c>
      <c r="AI1123" s="264">
        <f t="shared" si="2730"/>
        <v>0</v>
      </c>
      <c r="AJ1123" s="264">
        <f t="shared" si="2730"/>
        <v>0</v>
      </c>
      <c r="AK1123" s="264">
        <f t="shared" si="2730"/>
        <v>0</v>
      </c>
      <c r="AL1123" s="264">
        <f t="shared" si="2730"/>
        <v>0</v>
      </c>
      <c r="AM1123" s="264">
        <f t="shared" si="2730"/>
        <v>0</v>
      </c>
      <c r="AN1123" s="260"/>
      <c r="AO1123" s="264">
        <f t="shared" ref="AO1123" si="2731">IF(AO1107=0,0,AO1115/AO1107)</f>
        <v>0</v>
      </c>
      <c r="AP1123" s="260"/>
      <c r="AQ1123" s="264"/>
      <c r="AR1123" s="264" t="str">
        <f>VLOOKUP($I1123,TableInputsData[],ReadMe!$M$3,FALSE)&amp;"  |  "&amp;VLOOKUP($K1123,TableInputsData[],ReadMe!$M$3,FALSE)</f>
        <v>SERVICE 07  |  PRIX MOYEN DE VENTE PAR PRODUIT/SERVICE</v>
      </c>
      <c r="AS1123" s="264"/>
      <c r="AT1123" s="294"/>
    </row>
    <row r="1124" spans="1:46" ht="13" hidden="1" x14ac:dyDescent="0.2">
      <c r="A1124" s="294"/>
      <c r="B1124" s="924"/>
      <c r="C1124" s="271">
        <v>1117</v>
      </c>
      <c r="D1124" s="250">
        <f t="shared" si="2693"/>
        <v>0</v>
      </c>
      <c r="E1124" s="250"/>
      <c r="F1124" s="248" t="str">
        <f t="shared" si="2715"/>
        <v>YEAR6</v>
      </c>
      <c r="G1124" s="250">
        <f>VLOOKUP(F1124,TableInputsData[],$G$6,FALSE)</f>
        <v>2030</v>
      </c>
      <c r="H1124" s="250" t="str">
        <f t="shared" si="2694"/>
        <v>SERVICE</v>
      </c>
      <c r="I1124" s="248" t="str">
        <f t="shared" si="2694"/>
        <v>SERVICE 07</v>
      </c>
      <c r="J1124" s="248" t="str">
        <f>VLOOKUP(I1124,TableInputsData[],$J$6,FALSE)</f>
        <v>-</v>
      </c>
      <c r="K1124" s="248" t="str">
        <f t="shared" si="2721"/>
        <v>AVERAGE SELLING PRICE PER UNIT</v>
      </c>
      <c r="L1124" s="255"/>
      <c r="M1124" s="255"/>
      <c r="N1124" s="255"/>
      <c r="O1124" s="265"/>
      <c r="P1124" s="260"/>
      <c r="Q1124" s="260"/>
      <c r="R1124" s="260"/>
      <c r="S1124" s="630"/>
      <c r="T1124" s="630"/>
      <c r="U1124" s="630"/>
      <c r="V1124" s="630"/>
      <c r="W1124" s="260"/>
      <c r="X1124" s="260"/>
      <c r="Y1124" s="260"/>
      <c r="Z1124" s="260"/>
      <c r="AA1124" s="260"/>
      <c r="AB1124" s="260"/>
      <c r="AC1124" s="265"/>
      <c r="AD1124" s="634"/>
      <c r="AE1124" s="264">
        <f t="shared" ref="AE1124:AM1124" si="2732">IF(AE1108=0,0,AE1116/AE1108)</f>
        <v>0</v>
      </c>
      <c r="AF1124" s="264">
        <f t="shared" si="2732"/>
        <v>0</v>
      </c>
      <c r="AG1124" s="264">
        <f t="shared" si="2732"/>
        <v>0</v>
      </c>
      <c r="AH1124" s="264">
        <f t="shared" si="2732"/>
        <v>0</v>
      </c>
      <c r="AI1124" s="264">
        <f t="shared" si="2732"/>
        <v>0</v>
      </c>
      <c r="AJ1124" s="264">
        <f t="shared" si="2732"/>
        <v>0</v>
      </c>
      <c r="AK1124" s="264">
        <f t="shared" si="2732"/>
        <v>0</v>
      </c>
      <c r="AL1124" s="264">
        <f t="shared" si="2732"/>
        <v>0</v>
      </c>
      <c r="AM1124" s="264">
        <f t="shared" si="2732"/>
        <v>0</v>
      </c>
      <c r="AN1124" s="260"/>
      <c r="AO1124" s="264">
        <f t="shared" ref="AO1124" si="2733">IF(AO1108=0,0,AO1116/AO1108)</f>
        <v>0</v>
      </c>
      <c r="AP1124" s="260"/>
      <c r="AQ1124" s="264"/>
      <c r="AR1124" s="264" t="str">
        <f>VLOOKUP($I1124,TableInputsData[],ReadMe!$M$3,FALSE)&amp;"  |  "&amp;VLOOKUP($K1124,TableInputsData[],ReadMe!$M$3,FALSE)</f>
        <v>SERVICE 07  |  PRIX MOYEN DE VENTE PAR PRODUIT/SERVICE</v>
      </c>
      <c r="AS1124" s="264"/>
      <c r="AT1124" s="294"/>
    </row>
    <row r="1125" spans="1:46" ht="13" hidden="1" x14ac:dyDescent="0.2">
      <c r="A1125" s="294"/>
      <c r="B1125" s="924"/>
      <c r="C1125" s="272">
        <v>1118</v>
      </c>
      <c r="D1125" s="250">
        <f t="shared" si="2693"/>
        <v>0</v>
      </c>
      <c r="E1125" s="251"/>
      <c r="F1125" s="248" t="str">
        <f t="shared" ref="F1125:F1132" si="2734">F1133</f>
        <v>YEAR-2</v>
      </c>
      <c r="G1125" s="250">
        <f>VLOOKUP(F1125,TableInputsData[],$G$6,FALSE)</f>
        <v>2023</v>
      </c>
      <c r="H1125" s="250" t="str">
        <f t="shared" si="2694"/>
        <v>SERVICE</v>
      </c>
      <c r="I1125" s="248" t="str">
        <f t="shared" si="2694"/>
        <v>SERVICE 07</v>
      </c>
      <c r="J1125" s="248" t="str">
        <f>VLOOKUP(I1125,TableInputsData[],$J$6,FALSE)</f>
        <v>-</v>
      </c>
      <c r="K1125" s="248" t="s">
        <v>531</v>
      </c>
      <c r="L1125" s="256"/>
      <c r="M1125" s="256"/>
      <c r="N1125" s="256"/>
      <c r="O1125" s="266"/>
      <c r="P1125" s="261"/>
      <c r="Q1125" s="261"/>
      <c r="R1125" s="261"/>
      <c r="S1125" s="629"/>
      <c r="T1125" s="629"/>
      <c r="U1125" s="629"/>
      <c r="V1125" s="629"/>
      <c r="W1125" s="261"/>
      <c r="X1125" s="261"/>
      <c r="Y1125" s="261"/>
      <c r="Z1125" s="261"/>
      <c r="AA1125" s="261"/>
      <c r="AB1125" s="261"/>
      <c r="AC1125" s="266"/>
      <c r="AD1125" s="633"/>
      <c r="AE1125" s="264">
        <f>AE1101*($S1101*$P1101+$T1101*$Q1101+$U1101*$R1101)</f>
        <v>0</v>
      </c>
      <c r="AF1125" s="264">
        <f t="shared" ref="AF1125:AH1125" si="2735">AF1101*($S1101*$P1101+$T1101*$Q1101+$U1101*$R1101)</f>
        <v>0</v>
      </c>
      <c r="AG1125" s="264">
        <f t="shared" si="2735"/>
        <v>0</v>
      </c>
      <c r="AH1125" s="264">
        <f t="shared" si="2735"/>
        <v>0</v>
      </c>
      <c r="AI1125" s="264">
        <f t="shared" ref="AI1125:AI1132" si="2736">$AE1125+$AF1125+$AG1125+$AH1125</f>
        <v>0</v>
      </c>
      <c r="AJ1125" s="264">
        <f t="shared" ref="AJ1125:AJ1132" si="2737">$AJ1101*$S1101</f>
        <v>0</v>
      </c>
      <c r="AK1125" s="264">
        <f t="shared" ref="AK1125:AK1132" si="2738">$AK1101*$T1101</f>
        <v>0</v>
      </c>
      <c r="AL1125" s="264">
        <f t="shared" ref="AL1125:AL1132" si="2739">$AL1101*$U1101</f>
        <v>0</v>
      </c>
      <c r="AM1125" s="264">
        <f t="shared" ref="AM1125:AM1132" si="2740">$AJ1125*$W1101+$AK1125*$X1101+$AL1125*$Y1101</f>
        <v>0</v>
      </c>
      <c r="AN1125" s="640">
        <f t="shared" ref="AN1125:AN1132" si="2741">IF(AI1125=0,0,AM1125/AI1125)</f>
        <v>0</v>
      </c>
      <c r="AO1125" s="264">
        <f t="shared" ref="AO1125:AO1132" si="2742">$AJ1125*$Z1101+$AK1125*$AA1101+$AL1125*$AB1101</f>
        <v>0</v>
      </c>
      <c r="AP1125" s="640">
        <f t="shared" ref="AP1125:AP1132" si="2743">IF(AI1125=0,0,AO1125/AI1125)</f>
        <v>0</v>
      </c>
      <c r="AQ1125" s="264"/>
      <c r="AR1125" s="264" t="str">
        <f>VLOOKUP($I1125,TableInputsData[],ReadMe!$M$3,FALSE)&amp;"  |  "&amp;VLOOKUP($K1125,TableInputsData[],ReadMe!$M$3,FALSE)</f>
        <v>SERVICE 07  |  DEPENSES SUR ACHATS</v>
      </c>
      <c r="AS1125" s="264" t="b">
        <f t="shared" ref="AS1125:AS1132" si="2744">AND(EXACT(ROUND(AI1125,2),ROUND(AJ1125+AK1125+AL1125,2)),EXACT(ROUND(AI1125,2),ROUND(AM1125+AO1125,2)))</f>
        <v>1</v>
      </c>
      <c r="AT1125" s="294"/>
    </row>
    <row r="1126" spans="1:46" ht="13" hidden="1" x14ac:dyDescent="0.2">
      <c r="A1126" s="294"/>
      <c r="B1126" s="924"/>
      <c r="C1126" s="271">
        <v>1119</v>
      </c>
      <c r="D1126" s="250">
        <f t="shared" si="2693"/>
        <v>0</v>
      </c>
      <c r="E1126" s="250"/>
      <c r="F1126" s="248" t="str">
        <f t="shared" si="2734"/>
        <v>YEAR-1</v>
      </c>
      <c r="G1126" s="250">
        <f>VLOOKUP(F1126,TableInputsData[],$G$6,FALSE)</f>
        <v>2024</v>
      </c>
      <c r="H1126" s="250" t="str">
        <f t="shared" si="2694"/>
        <v>SERVICE</v>
      </c>
      <c r="I1126" s="248" t="str">
        <f t="shared" si="2694"/>
        <v>SERVICE 07</v>
      </c>
      <c r="J1126" s="248" t="str">
        <f>VLOOKUP(I1126,TableInputsData[],$J$6,FALSE)</f>
        <v>-</v>
      </c>
      <c r="K1126" s="248" t="str">
        <f>K1125</f>
        <v>COST OF GOODS SOLD</v>
      </c>
      <c r="L1126" s="255"/>
      <c r="M1126" s="255"/>
      <c r="N1126" s="255"/>
      <c r="O1126" s="265"/>
      <c r="P1126" s="260"/>
      <c r="Q1126" s="260"/>
      <c r="R1126" s="260"/>
      <c r="S1126" s="630"/>
      <c r="T1126" s="630"/>
      <c r="U1126" s="630"/>
      <c r="V1126" s="630"/>
      <c r="W1126" s="260"/>
      <c r="X1126" s="260"/>
      <c r="Y1126" s="260"/>
      <c r="Z1126" s="260"/>
      <c r="AA1126" s="260"/>
      <c r="AB1126" s="260"/>
      <c r="AC1126" s="265"/>
      <c r="AD1126" s="634"/>
      <c r="AE1126" s="264">
        <f t="shared" ref="AE1126:AH1126" si="2745">AE1102*($S1102*$P1102+$T1102*$Q1102+$U1102*$R1102)</f>
        <v>0</v>
      </c>
      <c r="AF1126" s="264">
        <f t="shared" si="2745"/>
        <v>0</v>
      </c>
      <c r="AG1126" s="264">
        <f t="shared" si="2745"/>
        <v>0</v>
      </c>
      <c r="AH1126" s="264">
        <f t="shared" si="2745"/>
        <v>0</v>
      </c>
      <c r="AI1126" s="264">
        <f t="shared" si="2736"/>
        <v>0</v>
      </c>
      <c r="AJ1126" s="264">
        <f t="shared" si="2737"/>
        <v>0</v>
      </c>
      <c r="AK1126" s="264">
        <f t="shared" si="2738"/>
        <v>0</v>
      </c>
      <c r="AL1126" s="264">
        <f t="shared" si="2739"/>
        <v>0</v>
      </c>
      <c r="AM1126" s="264">
        <f t="shared" si="2740"/>
        <v>0</v>
      </c>
      <c r="AN1126" s="640">
        <f t="shared" si="2741"/>
        <v>0</v>
      </c>
      <c r="AO1126" s="264">
        <f t="shared" si="2742"/>
        <v>0</v>
      </c>
      <c r="AP1126" s="640">
        <f t="shared" si="2743"/>
        <v>0</v>
      </c>
      <c r="AQ1126" s="264"/>
      <c r="AR1126" s="264" t="str">
        <f>VLOOKUP($I1126,TableInputsData[],ReadMe!$M$3,FALSE)&amp;"  |  "&amp;VLOOKUP($K1126,TableInputsData[],ReadMe!$M$3,FALSE)</f>
        <v>SERVICE 07  |  DEPENSES SUR ACHATS</v>
      </c>
      <c r="AS1126" s="264" t="b">
        <f t="shared" si="2744"/>
        <v>1</v>
      </c>
      <c r="AT1126" s="294"/>
    </row>
    <row r="1127" spans="1:46" ht="13" hidden="1" x14ac:dyDescent="0.2">
      <c r="A1127" s="294"/>
      <c r="B1127" s="924"/>
      <c r="C1127" s="271">
        <v>1120</v>
      </c>
      <c r="D1127" s="250">
        <f t="shared" si="2693"/>
        <v>0</v>
      </c>
      <c r="E1127" s="250"/>
      <c r="F1127" s="248" t="str">
        <f t="shared" si="2734"/>
        <v>CURRENT YEAR</v>
      </c>
      <c r="G1127" s="250">
        <f>VLOOKUP(F1127,TableInputsData[],$G$6,FALSE)</f>
        <v>2025</v>
      </c>
      <c r="H1127" s="250" t="str">
        <f t="shared" si="2694"/>
        <v>SERVICE</v>
      </c>
      <c r="I1127" s="248" t="str">
        <f t="shared" si="2694"/>
        <v>SERVICE 07</v>
      </c>
      <c r="J1127" s="248" t="str">
        <f>VLOOKUP(I1127,TableInputsData[],$J$6,FALSE)</f>
        <v>-</v>
      </c>
      <c r="K1127" s="248" t="str">
        <f t="shared" ref="K1127:K1132" si="2746">K1126</f>
        <v>COST OF GOODS SOLD</v>
      </c>
      <c r="L1127" s="255"/>
      <c r="M1127" s="255"/>
      <c r="N1127" s="255"/>
      <c r="O1127" s="265"/>
      <c r="P1127" s="260"/>
      <c r="Q1127" s="260"/>
      <c r="R1127" s="260"/>
      <c r="S1127" s="630"/>
      <c r="T1127" s="630"/>
      <c r="U1127" s="630"/>
      <c r="V1127" s="630"/>
      <c r="W1127" s="260"/>
      <c r="X1127" s="260"/>
      <c r="Y1127" s="260"/>
      <c r="Z1127" s="260"/>
      <c r="AA1127" s="260"/>
      <c r="AB1127" s="260"/>
      <c r="AC1127" s="265"/>
      <c r="AD1127" s="634"/>
      <c r="AE1127" s="264">
        <f t="shared" ref="AE1127:AH1127" si="2747">AE1103*($S1103*$P1103+$T1103*$Q1103+$U1103*$R1103)</f>
        <v>0</v>
      </c>
      <c r="AF1127" s="264">
        <f t="shared" si="2747"/>
        <v>0</v>
      </c>
      <c r="AG1127" s="264">
        <f t="shared" si="2747"/>
        <v>0</v>
      </c>
      <c r="AH1127" s="264">
        <f t="shared" si="2747"/>
        <v>0</v>
      </c>
      <c r="AI1127" s="264">
        <f t="shared" si="2736"/>
        <v>0</v>
      </c>
      <c r="AJ1127" s="264">
        <f t="shared" si="2737"/>
        <v>0</v>
      </c>
      <c r="AK1127" s="264">
        <f t="shared" si="2738"/>
        <v>0</v>
      </c>
      <c r="AL1127" s="264">
        <f t="shared" si="2739"/>
        <v>0</v>
      </c>
      <c r="AM1127" s="264">
        <f t="shared" si="2740"/>
        <v>0</v>
      </c>
      <c r="AN1127" s="640">
        <f t="shared" si="2741"/>
        <v>0</v>
      </c>
      <c r="AO1127" s="264">
        <f t="shared" si="2742"/>
        <v>0</v>
      </c>
      <c r="AP1127" s="640">
        <f t="shared" si="2743"/>
        <v>0</v>
      </c>
      <c r="AQ1127" s="264"/>
      <c r="AR1127" s="264" t="str">
        <f>VLOOKUP($I1127,TableInputsData[],ReadMe!$M$3,FALSE)&amp;"  |  "&amp;VLOOKUP($K1127,TableInputsData[],ReadMe!$M$3,FALSE)</f>
        <v>SERVICE 07  |  DEPENSES SUR ACHATS</v>
      </c>
      <c r="AS1127" s="264" t="b">
        <f t="shared" si="2744"/>
        <v>1</v>
      </c>
      <c r="AT1127" s="294"/>
    </row>
    <row r="1128" spans="1:46" ht="13" hidden="1" x14ac:dyDescent="0.2">
      <c r="A1128" s="294"/>
      <c r="B1128" s="924"/>
      <c r="C1128" s="271">
        <v>1121</v>
      </c>
      <c r="D1128" s="250">
        <f t="shared" si="2693"/>
        <v>0</v>
      </c>
      <c r="E1128" s="250"/>
      <c r="F1128" s="248" t="str">
        <f t="shared" si="2734"/>
        <v>YEAR2</v>
      </c>
      <c r="G1128" s="250">
        <f>VLOOKUP(F1128,TableInputsData[],$G$6,FALSE)</f>
        <v>2026</v>
      </c>
      <c r="H1128" s="250" t="str">
        <f t="shared" si="2694"/>
        <v>SERVICE</v>
      </c>
      <c r="I1128" s="248" t="str">
        <f t="shared" si="2694"/>
        <v>SERVICE 07</v>
      </c>
      <c r="J1128" s="248" t="str">
        <f>VLOOKUP(I1128,TableInputsData[],$J$6,FALSE)</f>
        <v>-</v>
      </c>
      <c r="K1128" s="248" t="str">
        <f t="shared" si="2746"/>
        <v>COST OF GOODS SOLD</v>
      </c>
      <c r="L1128" s="255"/>
      <c r="M1128" s="255"/>
      <c r="N1128" s="255"/>
      <c r="O1128" s="265"/>
      <c r="P1128" s="260"/>
      <c r="Q1128" s="260"/>
      <c r="R1128" s="260"/>
      <c r="S1128" s="630"/>
      <c r="T1128" s="630"/>
      <c r="U1128" s="630"/>
      <c r="V1128" s="630"/>
      <c r="W1128" s="260"/>
      <c r="X1128" s="260"/>
      <c r="Y1128" s="260"/>
      <c r="Z1128" s="260"/>
      <c r="AA1128" s="260"/>
      <c r="AB1128" s="260"/>
      <c r="AC1128" s="265"/>
      <c r="AD1128" s="634"/>
      <c r="AE1128" s="264">
        <f t="shared" ref="AE1128:AH1128" si="2748">AE1104*($S1104*$P1104+$T1104*$Q1104+$U1104*$R1104)</f>
        <v>0</v>
      </c>
      <c r="AF1128" s="264">
        <f t="shared" si="2748"/>
        <v>0</v>
      </c>
      <c r="AG1128" s="264">
        <f t="shared" si="2748"/>
        <v>0</v>
      </c>
      <c r="AH1128" s="264">
        <f t="shared" si="2748"/>
        <v>0</v>
      </c>
      <c r="AI1128" s="264">
        <f t="shared" si="2736"/>
        <v>0</v>
      </c>
      <c r="AJ1128" s="264">
        <f t="shared" si="2737"/>
        <v>0</v>
      </c>
      <c r="AK1128" s="264">
        <f t="shared" si="2738"/>
        <v>0</v>
      </c>
      <c r="AL1128" s="264">
        <f t="shared" si="2739"/>
        <v>0</v>
      </c>
      <c r="AM1128" s="264">
        <f t="shared" si="2740"/>
        <v>0</v>
      </c>
      <c r="AN1128" s="640">
        <f t="shared" si="2741"/>
        <v>0</v>
      </c>
      <c r="AO1128" s="264">
        <f t="shared" si="2742"/>
        <v>0</v>
      </c>
      <c r="AP1128" s="640">
        <f t="shared" si="2743"/>
        <v>0</v>
      </c>
      <c r="AQ1128" s="264"/>
      <c r="AR1128" s="264" t="str">
        <f>VLOOKUP($I1128,TableInputsData[],ReadMe!$M$3,FALSE)&amp;"  |  "&amp;VLOOKUP($K1128,TableInputsData[],ReadMe!$M$3,FALSE)</f>
        <v>SERVICE 07  |  DEPENSES SUR ACHATS</v>
      </c>
      <c r="AS1128" s="264" t="b">
        <f t="shared" si="2744"/>
        <v>1</v>
      </c>
      <c r="AT1128" s="294"/>
    </row>
    <row r="1129" spans="1:46" ht="13" hidden="1" x14ac:dyDescent="0.2">
      <c r="A1129" s="294"/>
      <c r="B1129" s="924"/>
      <c r="C1129" s="271">
        <v>1122</v>
      </c>
      <c r="D1129" s="250">
        <f t="shared" si="2693"/>
        <v>0</v>
      </c>
      <c r="E1129" s="250"/>
      <c r="F1129" s="248" t="str">
        <f t="shared" si="2734"/>
        <v>YEAR3</v>
      </c>
      <c r="G1129" s="250">
        <f>VLOOKUP(F1129,TableInputsData[],$G$6,FALSE)</f>
        <v>2027</v>
      </c>
      <c r="H1129" s="250" t="str">
        <f t="shared" si="2694"/>
        <v>SERVICE</v>
      </c>
      <c r="I1129" s="248" t="str">
        <f t="shared" si="2694"/>
        <v>SERVICE 07</v>
      </c>
      <c r="J1129" s="248" t="str">
        <f>VLOOKUP(I1129,TableInputsData[],$J$6,FALSE)</f>
        <v>-</v>
      </c>
      <c r="K1129" s="248" t="str">
        <f t="shared" si="2746"/>
        <v>COST OF GOODS SOLD</v>
      </c>
      <c r="L1129" s="255"/>
      <c r="M1129" s="255"/>
      <c r="N1129" s="255"/>
      <c r="O1129" s="265"/>
      <c r="P1129" s="260"/>
      <c r="Q1129" s="260"/>
      <c r="R1129" s="260"/>
      <c r="S1129" s="630"/>
      <c r="T1129" s="630"/>
      <c r="U1129" s="630"/>
      <c r="V1129" s="630"/>
      <c r="W1129" s="260"/>
      <c r="X1129" s="260"/>
      <c r="Y1129" s="260"/>
      <c r="Z1129" s="260"/>
      <c r="AA1129" s="260"/>
      <c r="AB1129" s="260"/>
      <c r="AC1129" s="265"/>
      <c r="AD1129" s="634"/>
      <c r="AE1129" s="264">
        <f t="shared" ref="AE1129:AH1129" si="2749">AE1105*($S1105*$P1105+$T1105*$Q1105+$U1105*$R1105)</f>
        <v>0</v>
      </c>
      <c r="AF1129" s="264">
        <f t="shared" si="2749"/>
        <v>0</v>
      </c>
      <c r="AG1129" s="264">
        <f t="shared" si="2749"/>
        <v>0</v>
      </c>
      <c r="AH1129" s="264">
        <f t="shared" si="2749"/>
        <v>0</v>
      </c>
      <c r="AI1129" s="264">
        <f t="shared" si="2736"/>
        <v>0</v>
      </c>
      <c r="AJ1129" s="264">
        <f t="shared" si="2737"/>
        <v>0</v>
      </c>
      <c r="AK1129" s="264">
        <f t="shared" si="2738"/>
        <v>0</v>
      </c>
      <c r="AL1129" s="264">
        <f t="shared" si="2739"/>
        <v>0</v>
      </c>
      <c r="AM1129" s="264">
        <f t="shared" si="2740"/>
        <v>0</v>
      </c>
      <c r="AN1129" s="640">
        <f t="shared" si="2741"/>
        <v>0</v>
      </c>
      <c r="AO1129" s="264">
        <f t="shared" si="2742"/>
        <v>0</v>
      </c>
      <c r="AP1129" s="640">
        <f t="shared" si="2743"/>
        <v>0</v>
      </c>
      <c r="AQ1129" s="264"/>
      <c r="AR1129" s="264" t="str">
        <f>VLOOKUP($I1129,TableInputsData[],ReadMe!$M$3,FALSE)&amp;"  |  "&amp;VLOOKUP($K1129,TableInputsData[],ReadMe!$M$3,FALSE)</f>
        <v>SERVICE 07  |  DEPENSES SUR ACHATS</v>
      </c>
      <c r="AS1129" s="264" t="b">
        <f t="shared" si="2744"/>
        <v>1</v>
      </c>
      <c r="AT1129" s="294"/>
    </row>
    <row r="1130" spans="1:46" ht="13" hidden="1" x14ac:dyDescent="0.2">
      <c r="A1130" s="294"/>
      <c r="B1130" s="924"/>
      <c r="C1130" s="271">
        <v>1123</v>
      </c>
      <c r="D1130" s="250">
        <f t="shared" si="2693"/>
        <v>0</v>
      </c>
      <c r="E1130" s="250"/>
      <c r="F1130" s="248" t="str">
        <f t="shared" si="2734"/>
        <v>YEAR4</v>
      </c>
      <c r="G1130" s="250">
        <f>VLOOKUP(F1130,TableInputsData[],$G$6,FALSE)</f>
        <v>2028</v>
      </c>
      <c r="H1130" s="250" t="str">
        <f t="shared" si="2694"/>
        <v>SERVICE</v>
      </c>
      <c r="I1130" s="248" t="str">
        <f t="shared" si="2694"/>
        <v>SERVICE 07</v>
      </c>
      <c r="J1130" s="248" t="str">
        <f>VLOOKUP(I1130,TableInputsData[],$J$6,FALSE)</f>
        <v>-</v>
      </c>
      <c r="K1130" s="248" t="str">
        <f t="shared" si="2746"/>
        <v>COST OF GOODS SOLD</v>
      </c>
      <c r="L1130" s="255"/>
      <c r="M1130" s="255"/>
      <c r="N1130" s="255"/>
      <c r="O1130" s="265"/>
      <c r="P1130" s="260"/>
      <c r="Q1130" s="260"/>
      <c r="R1130" s="260"/>
      <c r="S1130" s="630"/>
      <c r="T1130" s="630"/>
      <c r="U1130" s="630"/>
      <c r="V1130" s="630"/>
      <c r="W1130" s="260"/>
      <c r="X1130" s="260"/>
      <c r="Y1130" s="260"/>
      <c r="Z1130" s="260"/>
      <c r="AA1130" s="260"/>
      <c r="AB1130" s="260"/>
      <c r="AC1130" s="265"/>
      <c r="AD1130" s="634"/>
      <c r="AE1130" s="264">
        <f t="shared" ref="AE1130:AH1130" si="2750">AE1106*($S1106*$P1106+$T1106*$Q1106+$U1106*$R1106)</f>
        <v>0</v>
      </c>
      <c r="AF1130" s="264">
        <f t="shared" si="2750"/>
        <v>0</v>
      </c>
      <c r="AG1130" s="264">
        <f t="shared" si="2750"/>
        <v>0</v>
      </c>
      <c r="AH1130" s="264">
        <f t="shared" si="2750"/>
        <v>0</v>
      </c>
      <c r="AI1130" s="264">
        <f t="shared" si="2736"/>
        <v>0</v>
      </c>
      <c r="AJ1130" s="264">
        <f t="shared" si="2737"/>
        <v>0</v>
      </c>
      <c r="AK1130" s="264">
        <f t="shared" si="2738"/>
        <v>0</v>
      </c>
      <c r="AL1130" s="264">
        <f t="shared" si="2739"/>
        <v>0</v>
      </c>
      <c r="AM1130" s="264">
        <f t="shared" si="2740"/>
        <v>0</v>
      </c>
      <c r="AN1130" s="640">
        <f t="shared" si="2741"/>
        <v>0</v>
      </c>
      <c r="AO1130" s="264">
        <f t="shared" si="2742"/>
        <v>0</v>
      </c>
      <c r="AP1130" s="640">
        <f t="shared" si="2743"/>
        <v>0</v>
      </c>
      <c r="AQ1130" s="264"/>
      <c r="AR1130" s="264" t="str">
        <f>VLOOKUP($I1130,TableInputsData[],ReadMe!$M$3,FALSE)&amp;"  |  "&amp;VLOOKUP($K1130,TableInputsData[],ReadMe!$M$3,FALSE)</f>
        <v>SERVICE 07  |  DEPENSES SUR ACHATS</v>
      </c>
      <c r="AS1130" s="264" t="b">
        <f t="shared" si="2744"/>
        <v>1</v>
      </c>
      <c r="AT1130" s="294"/>
    </row>
    <row r="1131" spans="1:46" ht="13" hidden="1" x14ac:dyDescent="0.2">
      <c r="A1131" s="294"/>
      <c r="B1131" s="924"/>
      <c r="C1131" s="271">
        <v>1124</v>
      </c>
      <c r="D1131" s="250">
        <f t="shared" si="2693"/>
        <v>0</v>
      </c>
      <c r="E1131" s="250"/>
      <c r="F1131" s="248" t="str">
        <f t="shared" si="2734"/>
        <v>YEAR5</v>
      </c>
      <c r="G1131" s="250">
        <f>VLOOKUP(F1131,TableInputsData[],$G$6,FALSE)</f>
        <v>2029</v>
      </c>
      <c r="H1131" s="250" t="str">
        <f t="shared" si="2694"/>
        <v>SERVICE</v>
      </c>
      <c r="I1131" s="248" t="str">
        <f t="shared" si="2694"/>
        <v>SERVICE 07</v>
      </c>
      <c r="J1131" s="248" t="str">
        <f>VLOOKUP(I1131,TableInputsData[],$J$6,FALSE)</f>
        <v>-</v>
      </c>
      <c r="K1131" s="248" t="str">
        <f t="shared" si="2746"/>
        <v>COST OF GOODS SOLD</v>
      </c>
      <c r="L1131" s="255"/>
      <c r="M1131" s="255"/>
      <c r="N1131" s="255"/>
      <c r="O1131" s="265"/>
      <c r="P1131" s="260"/>
      <c r="Q1131" s="260"/>
      <c r="R1131" s="260"/>
      <c r="S1131" s="630"/>
      <c r="T1131" s="630"/>
      <c r="U1131" s="630"/>
      <c r="V1131" s="630"/>
      <c r="W1131" s="260"/>
      <c r="X1131" s="260"/>
      <c r="Y1131" s="260"/>
      <c r="Z1131" s="260"/>
      <c r="AA1131" s="260"/>
      <c r="AB1131" s="260"/>
      <c r="AC1131" s="265"/>
      <c r="AD1131" s="634"/>
      <c r="AE1131" s="264">
        <f t="shared" ref="AE1131:AH1131" si="2751">AE1107*($S1107*$P1107+$T1107*$Q1107+$U1107*$R1107)</f>
        <v>0</v>
      </c>
      <c r="AF1131" s="264">
        <f t="shared" si="2751"/>
        <v>0</v>
      </c>
      <c r="AG1131" s="264">
        <f t="shared" si="2751"/>
        <v>0</v>
      </c>
      <c r="AH1131" s="264">
        <f t="shared" si="2751"/>
        <v>0</v>
      </c>
      <c r="AI1131" s="264">
        <f t="shared" si="2736"/>
        <v>0</v>
      </c>
      <c r="AJ1131" s="264">
        <f t="shared" si="2737"/>
        <v>0</v>
      </c>
      <c r="AK1131" s="264">
        <f t="shared" si="2738"/>
        <v>0</v>
      </c>
      <c r="AL1131" s="264">
        <f t="shared" si="2739"/>
        <v>0</v>
      </c>
      <c r="AM1131" s="264">
        <f t="shared" si="2740"/>
        <v>0</v>
      </c>
      <c r="AN1131" s="640">
        <f t="shared" si="2741"/>
        <v>0</v>
      </c>
      <c r="AO1131" s="264">
        <f t="shared" si="2742"/>
        <v>0</v>
      </c>
      <c r="AP1131" s="640">
        <f t="shared" si="2743"/>
        <v>0</v>
      </c>
      <c r="AQ1131" s="264"/>
      <c r="AR1131" s="264" t="str">
        <f>VLOOKUP($I1131,TableInputsData[],ReadMe!$M$3,FALSE)&amp;"  |  "&amp;VLOOKUP($K1131,TableInputsData[],ReadMe!$M$3,FALSE)</f>
        <v>SERVICE 07  |  DEPENSES SUR ACHATS</v>
      </c>
      <c r="AS1131" s="264" t="b">
        <f t="shared" si="2744"/>
        <v>1</v>
      </c>
      <c r="AT1131" s="294"/>
    </row>
    <row r="1132" spans="1:46" ht="13" hidden="1" x14ac:dyDescent="0.2">
      <c r="A1132" s="294"/>
      <c r="B1132" s="924"/>
      <c r="C1132" s="271">
        <v>1125</v>
      </c>
      <c r="D1132" s="250">
        <f t="shared" si="2693"/>
        <v>0</v>
      </c>
      <c r="E1132" s="250"/>
      <c r="F1132" s="248" t="str">
        <f t="shared" si="2734"/>
        <v>YEAR6</v>
      </c>
      <c r="G1132" s="250">
        <f>VLOOKUP(F1132,TableInputsData[],$G$6,FALSE)</f>
        <v>2030</v>
      </c>
      <c r="H1132" s="250" t="str">
        <f t="shared" si="2694"/>
        <v>SERVICE</v>
      </c>
      <c r="I1132" s="248" t="str">
        <f t="shared" si="2694"/>
        <v>SERVICE 07</v>
      </c>
      <c r="J1132" s="248" t="str">
        <f>VLOOKUP(I1132,TableInputsData[],$J$6,FALSE)</f>
        <v>-</v>
      </c>
      <c r="K1132" s="248" t="str">
        <f t="shared" si="2746"/>
        <v>COST OF GOODS SOLD</v>
      </c>
      <c r="L1132" s="255"/>
      <c r="M1132" s="255"/>
      <c r="N1132" s="255"/>
      <c r="O1132" s="265"/>
      <c r="P1132" s="260"/>
      <c r="Q1132" s="260"/>
      <c r="R1132" s="260"/>
      <c r="S1132" s="630"/>
      <c r="T1132" s="630"/>
      <c r="U1132" s="630"/>
      <c r="V1132" s="630"/>
      <c r="W1132" s="260"/>
      <c r="X1132" s="260"/>
      <c r="Y1132" s="260"/>
      <c r="Z1132" s="260"/>
      <c r="AA1132" s="260"/>
      <c r="AB1132" s="260"/>
      <c r="AC1132" s="265"/>
      <c r="AD1132" s="634"/>
      <c r="AE1132" s="264">
        <f t="shared" ref="AE1132:AH1132" si="2752">AE1108*($S1108*$P1108+$T1108*$Q1108+$U1108*$R1108)</f>
        <v>0</v>
      </c>
      <c r="AF1132" s="264">
        <f t="shared" si="2752"/>
        <v>0</v>
      </c>
      <c r="AG1132" s="264">
        <f t="shared" si="2752"/>
        <v>0</v>
      </c>
      <c r="AH1132" s="264">
        <f t="shared" si="2752"/>
        <v>0</v>
      </c>
      <c r="AI1132" s="264">
        <f t="shared" si="2736"/>
        <v>0</v>
      </c>
      <c r="AJ1132" s="264">
        <f t="shared" si="2737"/>
        <v>0</v>
      </c>
      <c r="AK1132" s="264">
        <f t="shared" si="2738"/>
        <v>0</v>
      </c>
      <c r="AL1132" s="264">
        <f t="shared" si="2739"/>
        <v>0</v>
      </c>
      <c r="AM1132" s="264">
        <f t="shared" si="2740"/>
        <v>0</v>
      </c>
      <c r="AN1132" s="640">
        <f t="shared" si="2741"/>
        <v>0</v>
      </c>
      <c r="AO1132" s="264">
        <f t="shared" si="2742"/>
        <v>0</v>
      </c>
      <c r="AP1132" s="640">
        <f t="shared" si="2743"/>
        <v>0</v>
      </c>
      <c r="AQ1132" s="264"/>
      <c r="AR1132" s="264" t="str">
        <f>VLOOKUP($I1132,TableInputsData[],ReadMe!$M$3,FALSE)&amp;"  |  "&amp;VLOOKUP($K1132,TableInputsData[],ReadMe!$M$3,FALSE)</f>
        <v>SERVICE 07  |  DEPENSES SUR ACHATS</v>
      </c>
      <c r="AS1132" s="264" t="b">
        <f t="shared" si="2744"/>
        <v>1</v>
      </c>
      <c r="AT1132" s="294"/>
    </row>
    <row r="1133" spans="1:46" ht="13" hidden="1" x14ac:dyDescent="0.2">
      <c r="A1133" s="294"/>
      <c r="B1133" s="924"/>
      <c r="C1133" s="272">
        <v>1126</v>
      </c>
      <c r="D1133" s="250">
        <f t="shared" si="2693"/>
        <v>0</v>
      </c>
      <c r="E1133" s="251"/>
      <c r="F1133" s="248" t="str">
        <f t="shared" ref="F1133:F1140" si="2753">F1109</f>
        <v>YEAR-2</v>
      </c>
      <c r="G1133" s="250">
        <f>VLOOKUP(F1133,TableInputsData[],$G$6,FALSE)</f>
        <v>2023</v>
      </c>
      <c r="H1133" s="250" t="str">
        <f t="shared" si="2694"/>
        <v>SERVICE</v>
      </c>
      <c r="I1133" s="248" t="str">
        <f t="shared" si="2694"/>
        <v>SERVICE 07</v>
      </c>
      <c r="J1133" s="248" t="str">
        <f>VLOOKUP(I1133,TableInputsData[],$J$6,FALSE)</f>
        <v>-</v>
      </c>
      <c r="K1133" s="248" t="s">
        <v>532</v>
      </c>
      <c r="L1133" s="256"/>
      <c r="M1133" s="256"/>
      <c r="N1133" s="256"/>
      <c r="O1133" s="266"/>
      <c r="P1133" s="261"/>
      <c r="Q1133" s="261"/>
      <c r="R1133" s="261"/>
      <c r="S1133" s="629"/>
      <c r="T1133" s="629"/>
      <c r="U1133" s="629"/>
      <c r="V1133" s="629"/>
      <c r="W1133" s="261"/>
      <c r="X1133" s="261"/>
      <c r="Y1133" s="261"/>
      <c r="Z1133" s="261"/>
      <c r="AA1133" s="261"/>
      <c r="AB1133" s="261"/>
      <c r="AC1133" s="266"/>
      <c r="AD1133" s="633"/>
      <c r="AE1133" s="264">
        <f>IF(AE1101=0,0,AE1125/AE1101)</f>
        <v>0</v>
      </c>
      <c r="AF1133" s="264">
        <f t="shared" ref="AF1133:AI1133" si="2754">IF(AF1101=0,0,AF1125/AF1101)</f>
        <v>0</v>
      </c>
      <c r="AG1133" s="264">
        <f t="shared" si="2754"/>
        <v>0</v>
      </c>
      <c r="AH1133" s="264">
        <f t="shared" si="2754"/>
        <v>0</v>
      </c>
      <c r="AI1133" s="264">
        <f t="shared" si="2754"/>
        <v>0</v>
      </c>
      <c r="AJ1133" s="264">
        <f>IF(AJ1101=0,0,AJ1125/AJ1101)</f>
        <v>0</v>
      </c>
      <c r="AK1133" s="264">
        <f t="shared" ref="AK1133:AL1133" si="2755">IF(AK1101=0,0,AK1125/AK1101)</f>
        <v>0</v>
      </c>
      <c r="AL1133" s="264">
        <f t="shared" si="2755"/>
        <v>0</v>
      </c>
      <c r="AM1133" s="264">
        <f>IF(AM1101=0,0,AM1125/AM1101)</f>
        <v>0</v>
      </c>
      <c r="AN1133" s="260"/>
      <c r="AO1133" s="264">
        <f t="shared" ref="AO1133" si="2756">IF(AO1101=0,0,AO1125/AO1101)</f>
        <v>0</v>
      </c>
      <c r="AP1133" s="260"/>
      <c r="AQ1133" s="264"/>
      <c r="AR1133" s="264" t="str">
        <f>VLOOKUP($I1133,TableInputsData[],ReadMe!$M$3,FALSE)&amp;"  |  "&amp;VLOOKUP($K1133,TableInputsData[],ReadMe!$M$3,FALSE)</f>
        <v>SERVICE 07  |  PRIX MOYEN D'ACHAT PAR PRODUIT/SERVICE</v>
      </c>
      <c r="AS1133" s="264"/>
      <c r="AT1133" s="294"/>
    </row>
    <row r="1134" spans="1:46" ht="13" hidden="1" x14ac:dyDescent="0.2">
      <c r="A1134" s="294"/>
      <c r="B1134" s="924"/>
      <c r="C1134" s="272">
        <v>1127</v>
      </c>
      <c r="D1134" s="250">
        <f t="shared" si="2693"/>
        <v>0</v>
      </c>
      <c r="E1134" s="251"/>
      <c r="F1134" s="248" t="str">
        <f t="shared" si="2753"/>
        <v>YEAR-1</v>
      </c>
      <c r="G1134" s="250">
        <f>VLOOKUP(F1134,TableInputsData[],$G$6,FALSE)</f>
        <v>2024</v>
      </c>
      <c r="H1134" s="250" t="str">
        <f t="shared" si="2694"/>
        <v>SERVICE</v>
      </c>
      <c r="I1134" s="248" t="str">
        <f t="shared" si="2694"/>
        <v>SERVICE 07</v>
      </c>
      <c r="J1134" s="248" t="str">
        <f>VLOOKUP(I1134,TableInputsData[],$J$6,FALSE)</f>
        <v>-</v>
      </c>
      <c r="K1134" s="248" t="str">
        <f>K1133</f>
        <v>AVERAGE COST OF GOODS SOLD PER UNIT</v>
      </c>
      <c r="L1134" s="256"/>
      <c r="M1134" s="256"/>
      <c r="N1134" s="256"/>
      <c r="O1134" s="266"/>
      <c r="P1134" s="261"/>
      <c r="Q1134" s="261"/>
      <c r="R1134" s="261"/>
      <c r="S1134" s="629"/>
      <c r="T1134" s="629"/>
      <c r="U1134" s="629"/>
      <c r="V1134" s="629"/>
      <c r="W1134" s="261"/>
      <c r="X1134" s="261"/>
      <c r="Y1134" s="261"/>
      <c r="Z1134" s="261"/>
      <c r="AA1134" s="261"/>
      <c r="AB1134" s="261"/>
      <c r="AC1134" s="266"/>
      <c r="AD1134" s="633"/>
      <c r="AE1134" s="264">
        <f t="shared" ref="AE1134:AL1134" si="2757">IF(AE1102=0,0,AE1126/AE1102)</f>
        <v>0</v>
      </c>
      <c r="AF1134" s="264">
        <f t="shared" si="2757"/>
        <v>0</v>
      </c>
      <c r="AG1134" s="264">
        <f t="shared" si="2757"/>
        <v>0</v>
      </c>
      <c r="AH1134" s="264">
        <f t="shared" si="2757"/>
        <v>0</v>
      </c>
      <c r="AI1134" s="264">
        <f t="shared" si="2757"/>
        <v>0</v>
      </c>
      <c r="AJ1134" s="264">
        <f t="shared" si="2757"/>
        <v>0</v>
      </c>
      <c r="AK1134" s="264">
        <f t="shared" si="2757"/>
        <v>0</v>
      </c>
      <c r="AL1134" s="264">
        <f t="shared" si="2757"/>
        <v>0</v>
      </c>
      <c r="AM1134" s="264">
        <f>IF(AM1102=0,0,AM1126/AM1102)</f>
        <v>0</v>
      </c>
      <c r="AN1134" s="260"/>
      <c r="AO1134" s="264">
        <f>IF(AO1102=0,0,AO1126/AO1102)</f>
        <v>0</v>
      </c>
      <c r="AP1134" s="260"/>
      <c r="AQ1134" s="264"/>
      <c r="AR1134" s="264" t="str">
        <f>VLOOKUP($I1134,TableInputsData[],ReadMe!$M$3,FALSE)&amp;"  |  "&amp;VLOOKUP($K1134,TableInputsData[],ReadMe!$M$3,FALSE)</f>
        <v>SERVICE 07  |  PRIX MOYEN D'ACHAT PAR PRODUIT/SERVICE</v>
      </c>
      <c r="AS1134" s="264"/>
      <c r="AT1134" s="294"/>
    </row>
    <row r="1135" spans="1:46" ht="13" hidden="1" x14ac:dyDescent="0.2">
      <c r="A1135" s="294"/>
      <c r="B1135" s="924"/>
      <c r="C1135" s="272">
        <v>1128</v>
      </c>
      <c r="D1135" s="250">
        <f t="shared" si="2693"/>
        <v>0</v>
      </c>
      <c r="E1135" s="251"/>
      <c r="F1135" s="248" t="str">
        <f t="shared" si="2753"/>
        <v>CURRENT YEAR</v>
      </c>
      <c r="G1135" s="250">
        <f>VLOOKUP(F1135,TableInputsData[],$G$6,FALSE)</f>
        <v>2025</v>
      </c>
      <c r="H1135" s="250" t="str">
        <f t="shared" si="2694"/>
        <v>SERVICE</v>
      </c>
      <c r="I1135" s="248" t="str">
        <f t="shared" si="2694"/>
        <v>SERVICE 07</v>
      </c>
      <c r="J1135" s="248" t="str">
        <f>VLOOKUP(I1135,TableInputsData[],$J$6,FALSE)</f>
        <v>-</v>
      </c>
      <c r="K1135" s="248" t="str">
        <f t="shared" ref="K1135:K1140" si="2758">K1134</f>
        <v>AVERAGE COST OF GOODS SOLD PER UNIT</v>
      </c>
      <c r="L1135" s="256"/>
      <c r="M1135" s="256"/>
      <c r="N1135" s="256"/>
      <c r="O1135" s="266"/>
      <c r="P1135" s="261"/>
      <c r="Q1135" s="261"/>
      <c r="R1135" s="261"/>
      <c r="S1135" s="629"/>
      <c r="T1135" s="629"/>
      <c r="U1135" s="629"/>
      <c r="V1135" s="629"/>
      <c r="W1135" s="261"/>
      <c r="X1135" s="261"/>
      <c r="Y1135" s="261"/>
      <c r="Z1135" s="261"/>
      <c r="AA1135" s="261"/>
      <c r="AB1135" s="261"/>
      <c r="AC1135" s="266"/>
      <c r="AD1135" s="633"/>
      <c r="AE1135" s="264">
        <f t="shared" ref="AE1135:AL1135" si="2759">IF(AE1103=0,0,AE1127/AE1103)</f>
        <v>0</v>
      </c>
      <c r="AF1135" s="264">
        <f t="shared" si="2759"/>
        <v>0</v>
      </c>
      <c r="AG1135" s="264">
        <f t="shared" si="2759"/>
        <v>0</v>
      </c>
      <c r="AH1135" s="264">
        <f t="shared" si="2759"/>
        <v>0</v>
      </c>
      <c r="AI1135" s="264">
        <f t="shared" si="2759"/>
        <v>0</v>
      </c>
      <c r="AJ1135" s="264">
        <f t="shared" si="2759"/>
        <v>0</v>
      </c>
      <c r="AK1135" s="264">
        <f t="shared" si="2759"/>
        <v>0</v>
      </c>
      <c r="AL1135" s="264">
        <f t="shared" si="2759"/>
        <v>0</v>
      </c>
      <c r="AM1135" s="264">
        <f>IF(AM1103=0,0,AM1127/AM1103)</f>
        <v>0</v>
      </c>
      <c r="AN1135" s="260"/>
      <c r="AO1135" s="264">
        <f>IF(AO1103=0,0,AO1127/AO1103)</f>
        <v>0</v>
      </c>
      <c r="AP1135" s="260"/>
      <c r="AQ1135" s="264"/>
      <c r="AR1135" s="264" t="str">
        <f>VLOOKUP($I1135,TableInputsData[],ReadMe!$M$3,FALSE)&amp;"  |  "&amp;VLOOKUP($K1135,TableInputsData[],ReadMe!$M$3,FALSE)</f>
        <v>SERVICE 07  |  PRIX MOYEN D'ACHAT PAR PRODUIT/SERVICE</v>
      </c>
      <c r="AS1135" s="264"/>
      <c r="AT1135" s="294"/>
    </row>
    <row r="1136" spans="1:46" ht="13" hidden="1" x14ac:dyDescent="0.2">
      <c r="A1136" s="294"/>
      <c r="B1136" s="924"/>
      <c r="C1136" s="272">
        <v>1129</v>
      </c>
      <c r="D1136" s="250">
        <f t="shared" si="2693"/>
        <v>0</v>
      </c>
      <c r="E1136" s="251"/>
      <c r="F1136" s="248" t="str">
        <f t="shared" si="2753"/>
        <v>YEAR2</v>
      </c>
      <c r="G1136" s="250">
        <f>VLOOKUP(F1136,TableInputsData[],$G$6,FALSE)</f>
        <v>2026</v>
      </c>
      <c r="H1136" s="250" t="str">
        <f t="shared" si="2694"/>
        <v>SERVICE</v>
      </c>
      <c r="I1136" s="248" t="str">
        <f t="shared" si="2694"/>
        <v>SERVICE 07</v>
      </c>
      <c r="J1136" s="248" t="str">
        <f>VLOOKUP(I1136,TableInputsData[],$J$6,FALSE)</f>
        <v>-</v>
      </c>
      <c r="K1136" s="248" t="str">
        <f t="shared" si="2758"/>
        <v>AVERAGE COST OF GOODS SOLD PER UNIT</v>
      </c>
      <c r="L1136" s="256"/>
      <c r="M1136" s="256"/>
      <c r="N1136" s="256"/>
      <c r="O1136" s="266"/>
      <c r="P1136" s="261"/>
      <c r="Q1136" s="261"/>
      <c r="R1136" s="261"/>
      <c r="S1136" s="629"/>
      <c r="T1136" s="629"/>
      <c r="U1136" s="629"/>
      <c r="V1136" s="629"/>
      <c r="W1136" s="261"/>
      <c r="X1136" s="261"/>
      <c r="Y1136" s="261"/>
      <c r="Z1136" s="261"/>
      <c r="AA1136" s="261"/>
      <c r="AB1136" s="261"/>
      <c r="AC1136" s="266"/>
      <c r="AD1136" s="633"/>
      <c r="AE1136" s="264">
        <f t="shared" ref="AE1136:AM1136" si="2760">IF(AE1104=0,0,AE1128/AE1104)</f>
        <v>0</v>
      </c>
      <c r="AF1136" s="264">
        <f t="shared" si="2760"/>
        <v>0</v>
      </c>
      <c r="AG1136" s="264">
        <f t="shared" si="2760"/>
        <v>0</v>
      </c>
      <c r="AH1136" s="264">
        <f t="shared" si="2760"/>
        <v>0</v>
      </c>
      <c r="AI1136" s="264">
        <f t="shared" si="2760"/>
        <v>0</v>
      </c>
      <c r="AJ1136" s="264">
        <f t="shared" si="2760"/>
        <v>0</v>
      </c>
      <c r="AK1136" s="264">
        <f t="shared" si="2760"/>
        <v>0</v>
      </c>
      <c r="AL1136" s="264">
        <f t="shared" si="2760"/>
        <v>0</v>
      </c>
      <c r="AM1136" s="264">
        <f t="shared" si="2760"/>
        <v>0</v>
      </c>
      <c r="AN1136" s="260"/>
      <c r="AO1136" s="264">
        <f t="shared" ref="AO1136" si="2761">IF(AO1104=0,0,AO1128/AO1104)</f>
        <v>0</v>
      </c>
      <c r="AP1136" s="260"/>
      <c r="AQ1136" s="264"/>
      <c r="AR1136" s="264" t="str">
        <f>VLOOKUP($I1136,TableInputsData[],ReadMe!$M$3,FALSE)&amp;"  |  "&amp;VLOOKUP($K1136,TableInputsData[],ReadMe!$M$3,FALSE)</f>
        <v>SERVICE 07  |  PRIX MOYEN D'ACHAT PAR PRODUIT/SERVICE</v>
      </c>
      <c r="AS1136" s="264"/>
      <c r="AT1136" s="294"/>
    </row>
    <row r="1137" spans="1:46" ht="13" hidden="1" x14ac:dyDescent="0.2">
      <c r="A1137" s="294"/>
      <c r="B1137" s="924"/>
      <c r="C1137" s="272">
        <v>1130</v>
      </c>
      <c r="D1137" s="250">
        <f t="shared" si="2693"/>
        <v>0</v>
      </c>
      <c r="E1137" s="251"/>
      <c r="F1137" s="248" t="str">
        <f t="shared" si="2753"/>
        <v>YEAR3</v>
      </c>
      <c r="G1137" s="250">
        <f>VLOOKUP(F1137,TableInputsData[],$G$6,FALSE)</f>
        <v>2027</v>
      </c>
      <c r="H1137" s="250" t="str">
        <f t="shared" si="2694"/>
        <v>SERVICE</v>
      </c>
      <c r="I1137" s="248" t="str">
        <f t="shared" si="2694"/>
        <v>SERVICE 07</v>
      </c>
      <c r="J1137" s="248" t="str">
        <f>VLOOKUP(I1137,TableInputsData[],$J$6,FALSE)</f>
        <v>-</v>
      </c>
      <c r="K1137" s="248" t="str">
        <f t="shared" si="2758"/>
        <v>AVERAGE COST OF GOODS SOLD PER UNIT</v>
      </c>
      <c r="L1137" s="256"/>
      <c r="M1137" s="256"/>
      <c r="N1137" s="256"/>
      <c r="O1137" s="266"/>
      <c r="P1137" s="261"/>
      <c r="Q1137" s="261"/>
      <c r="R1137" s="261"/>
      <c r="S1137" s="629"/>
      <c r="T1137" s="629"/>
      <c r="U1137" s="629"/>
      <c r="V1137" s="629"/>
      <c r="W1137" s="261"/>
      <c r="X1137" s="261"/>
      <c r="Y1137" s="261"/>
      <c r="Z1137" s="261"/>
      <c r="AA1137" s="261"/>
      <c r="AB1137" s="261"/>
      <c r="AC1137" s="266"/>
      <c r="AD1137" s="633"/>
      <c r="AE1137" s="264">
        <f t="shared" ref="AE1137:AM1137" si="2762">IF(AE1105=0,0,AE1129/AE1105)</f>
        <v>0</v>
      </c>
      <c r="AF1137" s="264">
        <f t="shared" si="2762"/>
        <v>0</v>
      </c>
      <c r="AG1137" s="264">
        <f t="shared" si="2762"/>
        <v>0</v>
      </c>
      <c r="AH1137" s="264">
        <f t="shared" si="2762"/>
        <v>0</v>
      </c>
      <c r="AI1137" s="264">
        <f t="shared" si="2762"/>
        <v>0</v>
      </c>
      <c r="AJ1137" s="264">
        <f t="shared" si="2762"/>
        <v>0</v>
      </c>
      <c r="AK1137" s="264">
        <f t="shared" si="2762"/>
        <v>0</v>
      </c>
      <c r="AL1137" s="264">
        <f t="shared" si="2762"/>
        <v>0</v>
      </c>
      <c r="AM1137" s="264">
        <f t="shared" si="2762"/>
        <v>0</v>
      </c>
      <c r="AN1137" s="260"/>
      <c r="AO1137" s="264">
        <f t="shared" ref="AO1137" si="2763">IF(AO1105=0,0,AO1129/AO1105)</f>
        <v>0</v>
      </c>
      <c r="AP1137" s="260"/>
      <c r="AQ1137" s="264"/>
      <c r="AR1137" s="264" t="str">
        <f>VLOOKUP($I1137,TableInputsData[],ReadMe!$M$3,FALSE)&amp;"  |  "&amp;VLOOKUP($K1137,TableInputsData[],ReadMe!$M$3,FALSE)</f>
        <v>SERVICE 07  |  PRIX MOYEN D'ACHAT PAR PRODUIT/SERVICE</v>
      </c>
      <c r="AS1137" s="264"/>
      <c r="AT1137" s="294"/>
    </row>
    <row r="1138" spans="1:46" ht="13" hidden="1" x14ac:dyDescent="0.2">
      <c r="A1138" s="294"/>
      <c r="B1138" s="924"/>
      <c r="C1138" s="272">
        <v>1131</v>
      </c>
      <c r="D1138" s="250">
        <f t="shared" si="2693"/>
        <v>0</v>
      </c>
      <c r="E1138" s="251"/>
      <c r="F1138" s="248" t="str">
        <f t="shared" si="2753"/>
        <v>YEAR4</v>
      </c>
      <c r="G1138" s="250">
        <f>VLOOKUP(F1138,TableInputsData[],$G$6,FALSE)</f>
        <v>2028</v>
      </c>
      <c r="H1138" s="250" t="str">
        <f t="shared" si="2694"/>
        <v>SERVICE</v>
      </c>
      <c r="I1138" s="248" t="str">
        <f t="shared" si="2694"/>
        <v>SERVICE 07</v>
      </c>
      <c r="J1138" s="248" t="str">
        <f>VLOOKUP(I1138,TableInputsData[],$J$6,FALSE)</f>
        <v>-</v>
      </c>
      <c r="K1138" s="248" t="str">
        <f t="shared" si="2758"/>
        <v>AVERAGE COST OF GOODS SOLD PER UNIT</v>
      </c>
      <c r="L1138" s="256"/>
      <c r="M1138" s="256"/>
      <c r="N1138" s="256"/>
      <c r="O1138" s="266"/>
      <c r="P1138" s="261"/>
      <c r="Q1138" s="261"/>
      <c r="R1138" s="261"/>
      <c r="S1138" s="629"/>
      <c r="T1138" s="629"/>
      <c r="U1138" s="629"/>
      <c r="V1138" s="629"/>
      <c r="W1138" s="261"/>
      <c r="X1138" s="261"/>
      <c r="Y1138" s="261"/>
      <c r="Z1138" s="261"/>
      <c r="AA1138" s="261"/>
      <c r="AB1138" s="261"/>
      <c r="AC1138" s="266"/>
      <c r="AD1138" s="633"/>
      <c r="AE1138" s="264">
        <f t="shared" ref="AE1138:AM1138" si="2764">IF(AE1106=0,0,AE1130/AE1106)</f>
        <v>0</v>
      </c>
      <c r="AF1138" s="264">
        <f t="shared" si="2764"/>
        <v>0</v>
      </c>
      <c r="AG1138" s="264">
        <f t="shared" si="2764"/>
        <v>0</v>
      </c>
      <c r="AH1138" s="264">
        <f t="shared" si="2764"/>
        <v>0</v>
      </c>
      <c r="AI1138" s="264">
        <f t="shared" si="2764"/>
        <v>0</v>
      </c>
      <c r="AJ1138" s="264">
        <f t="shared" si="2764"/>
        <v>0</v>
      </c>
      <c r="AK1138" s="264">
        <f t="shared" si="2764"/>
        <v>0</v>
      </c>
      <c r="AL1138" s="264">
        <f t="shared" si="2764"/>
        <v>0</v>
      </c>
      <c r="AM1138" s="264">
        <f t="shared" si="2764"/>
        <v>0</v>
      </c>
      <c r="AN1138" s="260"/>
      <c r="AO1138" s="264">
        <f t="shared" ref="AO1138" si="2765">IF(AO1106=0,0,AO1130/AO1106)</f>
        <v>0</v>
      </c>
      <c r="AP1138" s="260"/>
      <c r="AQ1138" s="264"/>
      <c r="AR1138" s="264" t="str">
        <f>VLOOKUP($I1138,TableInputsData[],ReadMe!$M$3,FALSE)&amp;"  |  "&amp;VLOOKUP($K1138,TableInputsData[],ReadMe!$M$3,FALSE)</f>
        <v>SERVICE 07  |  PRIX MOYEN D'ACHAT PAR PRODUIT/SERVICE</v>
      </c>
      <c r="AS1138" s="264"/>
      <c r="AT1138" s="294"/>
    </row>
    <row r="1139" spans="1:46" ht="13" hidden="1" x14ac:dyDescent="0.2">
      <c r="A1139" s="294"/>
      <c r="B1139" s="924"/>
      <c r="C1139" s="272">
        <v>1132</v>
      </c>
      <c r="D1139" s="250">
        <f t="shared" si="2693"/>
        <v>0</v>
      </c>
      <c r="E1139" s="251"/>
      <c r="F1139" s="248" t="str">
        <f t="shared" si="2753"/>
        <v>YEAR5</v>
      </c>
      <c r="G1139" s="250">
        <f>VLOOKUP(F1139,TableInputsData[],$G$6,FALSE)</f>
        <v>2029</v>
      </c>
      <c r="H1139" s="250" t="str">
        <f t="shared" si="2694"/>
        <v>SERVICE</v>
      </c>
      <c r="I1139" s="248" t="str">
        <f t="shared" si="2694"/>
        <v>SERVICE 07</v>
      </c>
      <c r="J1139" s="248" t="str">
        <f>VLOOKUP(I1139,TableInputsData[],$J$6,FALSE)</f>
        <v>-</v>
      </c>
      <c r="K1139" s="248" t="str">
        <f t="shared" si="2758"/>
        <v>AVERAGE COST OF GOODS SOLD PER UNIT</v>
      </c>
      <c r="L1139" s="256"/>
      <c r="M1139" s="256"/>
      <c r="N1139" s="256"/>
      <c r="O1139" s="266"/>
      <c r="P1139" s="261"/>
      <c r="Q1139" s="261"/>
      <c r="R1139" s="261"/>
      <c r="S1139" s="629"/>
      <c r="T1139" s="629"/>
      <c r="U1139" s="629"/>
      <c r="V1139" s="629"/>
      <c r="W1139" s="261"/>
      <c r="X1139" s="261"/>
      <c r="Y1139" s="261"/>
      <c r="Z1139" s="261"/>
      <c r="AA1139" s="261"/>
      <c r="AB1139" s="261"/>
      <c r="AC1139" s="266"/>
      <c r="AD1139" s="633"/>
      <c r="AE1139" s="264">
        <f t="shared" ref="AE1139:AM1139" si="2766">IF(AE1107=0,0,AE1131/AE1107)</f>
        <v>0</v>
      </c>
      <c r="AF1139" s="264">
        <f t="shared" si="2766"/>
        <v>0</v>
      </c>
      <c r="AG1139" s="264">
        <f t="shared" si="2766"/>
        <v>0</v>
      </c>
      <c r="AH1139" s="264">
        <f t="shared" si="2766"/>
        <v>0</v>
      </c>
      <c r="AI1139" s="264">
        <f t="shared" si="2766"/>
        <v>0</v>
      </c>
      <c r="AJ1139" s="264">
        <f t="shared" si="2766"/>
        <v>0</v>
      </c>
      <c r="AK1139" s="264">
        <f t="shared" si="2766"/>
        <v>0</v>
      </c>
      <c r="AL1139" s="264">
        <f t="shared" si="2766"/>
        <v>0</v>
      </c>
      <c r="AM1139" s="264">
        <f t="shared" si="2766"/>
        <v>0</v>
      </c>
      <c r="AN1139" s="260"/>
      <c r="AO1139" s="264">
        <f t="shared" ref="AO1139" si="2767">IF(AO1107=0,0,AO1131/AO1107)</f>
        <v>0</v>
      </c>
      <c r="AP1139" s="260"/>
      <c r="AQ1139" s="264"/>
      <c r="AR1139" s="264" t="str">
        <f>VLOOKUP($I1139,TableInputsData[],ReadMe!$M$3,FALSE)&amp;"  |  "&amp;VLOOKUP($K1139,TableInputsData[],ReadMe!$M$3,FALSE)</f>
        <v>SERVICE 07  |  PRIX MOYEN D'ACHAT PAR PRODUIT/SERVICE</v>
      </c>
      <c r="AS1139" s="264"/>
      <c r="AT1139" s="294"/>
    </row>
    <row r="1140" spans="1:46" ht="13" hidden="1" x14ac:dyDescent="0.2">
      <c r="A1140" s="294"/>
      <c r="B1140" s="924"/>
      <c r="C1140" s="272">
        <v>1133</v>
      </c>
      <c r="D1140" s="250">
        <f t="shared" si="2693"/>
        <v>0</v>
      </c>
      <c r="E1140" s="251"/>
      <c r="F1140" s="248" t="str">
        <f t="shared" si="2753"/>
        <v>YEAR6</v>
      </c>
      <c r="G1140" s="250">
        <f>VLOOKUP(F1140,TableInputsData[],$G$6,FALSE)</f>
        <v>2030</v>
      </c>
      <c r="H1140" s="250" t="str">
        <f t="shared" si="2694"/>
        <v>SERVICE</v>
      </c>
      <c r="I1140" s="248" t="str">
        <f t="shared" si="2694"/>
        <v>SERVICE 07</v>
      </c>
      <c r="J1140" s="248" t="str">
        <f>VLOOKUP(I1140,TableInputsData[],$J$6,FALSE)</f>
        <v>-</v>
      </c>
      <c r="K1140" s="248" t="str">
        <f t="shared" si="2758"/>
        <v>AVERAGE COST OF GOODS SOLD PER UNIT</v>
      </c>
      <c r="L1140" s="256"/>
      <c r="M1140" s="256"/>
      <c r="N1140" s="256"/>
      <c r="O1140" s="266"/>
      <c r="P1140" s="261"/>
      <c r="Q1140" s="261"/>
      <c r="R1140" s="261"/>
      <c r="S1140" s="629"/>
      <c r="T1140" s="629"/>
      <c r="U1140" s="629"/>
      <c r="V1140" s="629"/>
      <c r="W1140" s="261"/>
      <c r="X1140" s="261"/>
      <c r="Y1140" s="261"/>
      <c r="Z1140" s="261"/>
      <c r="AA1140" s="261"/>
      <c r="AB1140" s="261"/>
      <c r="AC1140" s="266"/>
      <c r="AD1140" s="633"/>
      <c r="AE1140" s="264">
        <f t="shared" ref="AE1140:AM1140" si="2768">IF(AE1108=0,0,AE1132/AE1108)</f>
        <v>0</v>
      </c>
      <c r="AF1140" s="264">
        <f t="shared" si="2768"/>
        <v>0</v>
      </c>
      <c r="AG1140" s="264">
        <f t="shared" si="2768"/>
        <v>0</v>
      </c>
      <c r="AH1140" s="264">
        <f t="shared" si="2768"/>
        <v>0</v>
      </c>
      <c r="AI1140" s="264">
        <f t="shared" si="2768"/>
        <v>0</v>
      </c>
      <c r="AJ1140" s="264">
        <f t="shared" si="2768"/>
        <v>0</v>
      </c>
      <c r="AK1140" s="264">
        <f t="shared" si="2768"/>
        <v>0</v>
      </c>
      <c r="AL1140" s="264">
        <f t="shared" si="2768"/>
        <v>0</v>
      </c>
      <c r="AM1140" s="264">
        <f t="shared" si="2768"/>
        <v>0</v>
      </c>
      <c r="AN1140" s="260"/>
      <c r="AO1140" s="264">
        <f t="shared" ref="AO1140" si="2769">IF(AO1108=0,0,AO1132/AO1108)</f>
        <v>0</v>
      </c>
      <c r="AP1140" s="260"/>
      <c r="AQ1140" s="264"/>
      <c r="AR1140" s="264" t="str">
        <f>VLOOKUP($I1140,TableInputsData[],ReadMe!$M$3,FALSE)&amp;"  |  "&amp;VLOOKUP($K1140,TableInputsData[],ReadMe!$M$3,FALSE)</f>
        <v>SERVICE 07  |  PRIX MOYEN D'ACHAT PAR PRODUIT/SERVICE</v>
      </c>
      <c r="AS1140" s="264"/>
      <c r="AT1140" s="294"/>
    </row>
    <row r="1141" spans="1:46" ht="13" x14ac:dyDescent="0.2">
      <c r="A1141" s="294"/>
      <c r="B1141" s="924"/>
      <c r="C1141" s="273">
        <v>1134</v>
      </c>
      <c r="D1141" s="253">
        <v>0</v>
      </c>
      <c r="E1141" s="253">
        <v>1</v>
      </c>
      <c r="F1141" s="252"/>
      <c r="G1141" s="253"/>
      <c r="H1141" s="253"/>
      <c r="I1141" s="252"/>
      <c r="J1141" s="252"/>
      <c r="K1141" s="252"/>
      <c r="L1141" s="257"/>
      <c r="M1141" s="257"/>
      <c r="N1141" s="257"/>
      <c r="O1141" s="267"/>
      <c r="P1141" s="262"/>
      <c r="Q1141" s="262"/>
      <c r="R1141" s="262"/>
      <c r="S1141" s="631"/>
      <c r="T1141" s="631"/>
      <c r="U1141" s="631"/>
      <c r="V1141" s="631"/>
      <c r="W1141" s="262"/>
      <c r="X1141" s="262"/>
      <c r="Y1141" s="262"/>
      <c r="Z1141" s="262"/>
      <c r="AA1141" s="262"/>
      <c r="AB1141" s="262"/>
      <c r="AC1141" s="267"/>
      <c r="AD1141" s="635"/>
      <c r="AE1141" s="270"/>
      <c r="AF1141" s="270"/>
      <c r="AG1141" s="270"/>
      <c r="AH1141" s="270"/>
      <c r="AI1141" s="270"/>
      <c r="AJ1141" s="270"/>
      <c r="AK1141" s="270"/>
      <c r="AL1141" s="270"/>
      <c r="AM1141" s="270"/>
      <c r="AN1141" s="643"/>
      <c r="AO1141" s="270"/>
      <c r="AP1141" s="270"/>
      <c r="AQ1141" s="270"/>
      <c r="AR1141" s="270"/>
      <c r="AS1141" s="270"/>
      <c r="AT1141" s="294"/>
    </row>
    <row r="1142" spans="1:46" ht="13" hidden="1" x14ac:dyDescent="0.2">
      <c r="A1142" s="294"/>
      <c r="B1142" s="925" t="str">
        <f>I1143&amp;"___"</f>
        <v>SERVICE 08___</v>
      </c>
      <c r="C1142" s="271">
        <v>1135</v>
      </c>
      <c r="D1142" s="250">
        <v>0</v>
      </c>
      <c r="E1142" s="250"/>
      <c r="F1142" s="248"/>
      <c r="G1142" s="250"/>
      <c r="H1142" s="250"/>
      <c r="I1142" s="248"/>
      <c r="J1142" s="248"/>
      <c r="K1142" s="248"/>
      <c r="L1142" s="254"/>
      <c r="M1142" s="254"/>
      <c r="N1142" s="254"/>
      <c r="O1142" s="264"/>
      <c r="P1142" s="259"/>
      <c r="Q1142" s="259"/>
      <c r="R1142" s="259"/>
      <c r="S1142" s="628"/>
      <c r="T1142" s="628"/>
      <c r="U1142" s="628"/>
      <c r="V1142" s="628"/>
      <c r="W1142" s="259"/>
      <c r="X1142" s="259"/>
      <c r="Y1142" s="259"/>
      <c r="Z1142" s="259"/>
      <c r="AA1142" s="259"/>
      <c r="AB1142" s="259"/>
      <c r="AC1142" s="264"/>
      <c r="AD1142" s="609"/>
      <c r="AE1142" s="269"/>
      <c r="AF1142" s="269"/>
      <c r="AG1142" s="269"/>
      <c r="AH1142" s="269"/>
      <c r="AI1142" s="269"/>
      <c r="AJ1142" s="269"/>
      <c r="AK1142" s="269"/>
      <c r="AL1142" s="269"/>
      <c r="AM1142" s="269"/>
      <c r="AN1142" s="642"/>
      <c r="AO1142" s="269"/>
      <c r="AP1142" s="269"/>
      <c r="AQ1142" s="269"/>
      <c r="AR1142" s="269"/>
      <c r="AS1142" s="269"/>
      <c r="AT1142" s="294"/>
    </row>
    <row r="1143" spans="1:46" ht="13" x14ac:dyDescent="0.2">
      <c r="A1143" s="294"/>
      <c r="B1143" s="925"/>
      <c r="C1143" s="271">
        <v>1136</v>
      </c>
      <c r="D1143" s="250">
        <f>VLOOKUP($I1143,TableInputsData[],$D$6,FALSE)</f>
        <v>0</v>
      </c>
      <c r="E1143" s="250">
        <v>1</v>
      </c>
      <c r="F1143" s="248" t="s">
        <v>392</v>
      </c>
      <c r="G1143" s="250">
        <f>VLOOKUP(F1143,TableInputsData[],$G$6,FALSE)</f>
        <v>2023</v>
      </c>
      <c r="H1143" s="250" t="s">
        <v>121</v>
      </c>
      <c r="I1143" s="248" t="s">
        <v>553</v>
      </c>
      <c r="J1143" s="248" t="str">
        <f>VLOOKUP(I1143,TableInputsData[],$J$6,FALSE)</f>
        <v>-</v>
      </c>
      <c r="K1143" s="248" t="s">
        <v>261</v>
      </c>
      <c r="L1143" s="499">
        <v>1000</v>
      </c>
      <c r="M1143" s="499">
        <v>0</v>
      </c>
      <c r="N1143" s="499">
        <v>0</v>
      </c>
      <c r="O1143" s="264">
        <f t="shared" ref="O1143:O1150" si="2770">$L1143*$P1143+$M1143*$Q1143+$N1143*$R1143</f>
        <v>1000</v>
      </c>
      <c r="P1143" s="500">
        <v>1</v>
      </c>
      <c r="Q1143" s="500">
        <v>0</v>
      </c>
      <c r="R1143" s="259">
        <f>1-$P1143-$Q1143</f>
        <v>0</v>
      </c>
      <c r="S1143" s="626">
        <v>500</v>
      </c>
      <c r="T1143" s="626">
        <v>0</v>
      </c>
      <c r="U1143" s="626">
        <v>0</v>
      </c>
      <c r="V1143" s="628">
        <f>($L1143*$P1143*$S1143+$M1143*$Q1143*$T1143+$N1143*$R1143*$U1143)/$O1143</f>
        <v>500</v>
      </c>
      <c r="W1143" s="500">
        <v>1</v>
      </c>
      <c r="X1143" s="500">
        <v>1</v>
      </c>
      <c r="Y1143" s="500">
        <v>1</v>
      </c>
      <c r="Z1143" s="259">
        <f t="shared" ref="Z1143:Z1150" si="2771">1-$W1143</f>
        <v>0</v>
      </c>
      <c r="AA1143" s="259">
        <f t="shared" ref="AA1143:AA1150" si="2772">1-$X1143</f>
        <v>0</v>
      </c>
      <c r="AB1143" s="259">
        <f t="shared" ref="AB1143:AB1150" si="2773">1-$Y1143</f>
        <v>0</v>
      </c>
      <c r="AC1143" s="628">
        <f>AM1175</f>
        <v>0</v>
      </c>
      <c r="AD1143" s="628">
        <f>AO1175</f>
        <v>0</v>
      </c>
      <c r="AE1143" s="501">
        <v>0</v>
      </c>
      <c r="AF1143" s="501">
        <v>0</v>
      </c>
      <c r="AG1143" s="501">
        <v>0</v>
      </c>
      <c r="AH1143" s="501">
        <v>0</v>
      </c>
      <c r="AI1143" s="264">
        <f>$AE1143+$AF1143+$AG1143+$AH1143</f>
        <v>0</v>
      </c>
      <c r="AJ1143" s="264">
        <f t="shared" ref="AJ1143:AJ1150" si="2774">$AI1143*$P1143</f>
        <v>0</v>
      </c>
      <c r="AK1143" s="264">
        <f t="shared" ref="AK1143:AK1150" si="2775">$AI1143*$Q1143</f>
        <v>0</v>
      </c>
      <c r="AL1143" s="264">
        <f t="shared" ref="AL1143:AL1150" si="2776">$AI1143*$R1143</f>
        <v>0</v>
      </c>
      <c r="AM1143" s="264">
        <f t="shared" ref="AM1143:AM1150" si="2777">$AJ1143*$W1143+$AK1143*$X1143+$AL1143*$Y1143</f>
        <v>0</v>
      </c>
      <c r="AN1143" s="640">
        <f>IF(AI1143=0,0,AM1143/AI1143)</f>
        <v>0</v>
      </c>
      <c r="AO1143" s="264">
        <f t="shared" ref="AO1143:AO1150" si="2778">$AJ1143*$Z1143+$AK1143*$AA1143+$AL1143*$AB1143</f>
        <v>0</v>
      </c>
      <c r="AP1143" s="640">
        <f t="shared" ref="AP1143:AP1158" si="2779">IF(AI1143=0,0,AO1143/AI1143)</f>
        <v>0</v>
      </c>
      <c r="AQ1143" s="264" t="str">
        <f>VLOOKUP(I1143,TableInputsData[],$AQ$6,FALSE)</f>
        <v>GAMME # : 1 + CANAL DE DISTRIBUTION # : 1</v>
      </c>
      <c r="AR1143" s="264" t="str">
        <f>VLOOKUP($I1143,TableInputsData[],ReadMe!$M$3,FALSE)&amp;"  |  "&amp;VLOOKUP($K1143,TableInputsData[],ReadMe!$M$3,FALSE)</f>
        <v>SERVICE 08  |  VOLUME</v>
      </c>
      <c r="AS1143" s="264" t="b">
        <f t="shared" ref="AS1143:AS1150" si="2780">AND(EXACT(ROUND(AI1143,2),ROUND(AJ1143+AK1143+AL1143,2)),EXACT(ROUND(AI1143,2),ROUND(AM1143+AO1143,2)),EXACT(SUM(P1143:R1143),1),IF(R1143&lt;0,FALSE,TRUE),EXACT(SUM(W1143:AB1143),3),MIN(W1143:Y1143)&gt;=0, MAX(W1143:Y1143)&lt;=1)</f>
        <v>1</v>
      </c>
      <c r="AT1143" s="294"/>
    </row>
    <row r="1144" spans="1:46" ht="13" x14ac:dyDescent="0.2">
      <c r="A1144" s="294"/>
      <c r="B1144" s="925"/>
      <c r="C1144" s="271">
        <v>1137</v>
      </c>
      <c r="D1144" s="250">
        <f>D1143</f>
        <v>0</v>
      </c>
      <c r="E1144" s="250">
        <v>1</v>
      </c>
      <c r="F1144" s="248" t="s">
        <v>391</v>
      </c>
      <c r="G1144" s="250">
        <f>VLOOKUP(F1144,TableInputsData[],$G$6,FALSE)</f>
        <v>2024</v>
      </c>
      <c r="H1144" s="250" t="str">
        <f>H1143</f>
        <v>SERVICE</v>
      </c>
      <c r="I1144" s="248" t="str">
        <f>I1143</f>
        <v>SERVICE 08</v>
      </c>
      <c r="J1144" s="248" t="str">
        <f>VLOOKUP(I1144,TableInputsData[],$J$6,FALSE)</f>
        <v>-</v>
      </c>
      <c r="K1144" s="248" t="str">
        <f>K1143</f>
        <v>VOLUME</v>
      </c>
      <c r="L1144" s="499">
        <v>1000</v>
      </c>
      <c r="M1144" s="499">
        <v>0</v>
      </c>
      <c r="N1144" s="499">
        <v>0</v>
      </c>
      <c r="O1144" s="264">
        <f t="shared" si="2770"/>
        <v>1000</v>
      </c>
      <c r="P1144" s="500">
        <v>1</v>
      </c>
      <c r="Q1144" s="500">
        <v>0</v>
      </c>
      <c r="R1144" s="259">
        <f t="shared" ref="R1144:R1150" si="2781">1-$P1144-$Q1144</f>
        <v>0</v>
      </c>
      <c r="S1144" s="626">
        <v>500</v>
      </c>
      <c r="T1144" s="626">
        <v>0</v>
      </c>
      <c r="U1144" s="626">
        <v>0</v>
      </c>
      <c r="V1144" s="628">
        <f t="shared" ref="V1144:V1150" si="2782">($L1144*$P1144*$S1144+$M1144*$Q1144*$T1144+$N1144*$R1144*$U1144)/$O1144</f>
        <v>500</v>
      </c>
      <c r="W1144" s="500">
        <v>1</v>
      </c>
      <c r="X1144" s="500">
        <v>1</v>
      </c>
      <c r="Y1144" s="500">
        <v>1</v>
      </c>
      <c r="Z1144" s="259">
        <f t="shared" si="2771"/>
        <v>0</v>
      </c>
      <c r="AA1144" s="259">
        <f t="shared" si="2772"/>
        <v>0</v>
      </c>
      <c r="AB1144" s="259">
        <f t="shared" si="2773"/>
        <v>0</v>
      </c>
      <c r="AC1144" s="628">
        <f t="shared" ref="AC1144:AC1150" si="2783">AM1176</f>
        <v>0</v>
      </c>
      <c r="AD1144" s="628">
        <f t="shared" ref="AD1144:AD1150" si="2784">AO1176</f>
        <v>0</v>
      </c>
      <c r="AE1144" s="501">
        <v>0</v>
      </c>
      <c r="AF1144" s="501">
        <v>0</v>
      </c>
      <c r="AG1144" s="501">
        <v>0</v>
      </c>
      <c r="AH1144" s="501">
        <v>0</v>
      </c>
      <c r="AI1144" s="264">
        <f>$AE1144+$AF1144+$AG1144+$AH1144</f>
        <v>0</v>
      </c>
      <c r="AJ1144" s="264">
        <f t="shared" si="2774"/>
        <v>0</v>
      </c>
      <c r="AK1144" s="264">
        <f t="shared" si="2775"/>
        <v>0</v>
      </c>
      <c r="AL1144" s="264">
        <f t="shared" si="2776"/>
        <v>0</v>
      </c>
      <c r="AM1144" s="264">
        <f t="shared" si="2777"/>
        <v>0</v>
      </c>
      <c r="AN1144" s="640">
        <f t="shared" ref="AN1144:AN1158" si="2785">IF(AI1144=0,0,AM1144/AI1144)</f>
        <v>0</v>
      </c>
      <c r="AO1144" s="264">
        <f t="shared" si="2778"/>
        <v>0</v>
      </c>
      <c r="AP1144" s="640">
        <f t="shared" si="2779"/>
        <v>0</v>
      </c>
      <c r="AQ1144" s="501"/>
      <c r="AR1144" s="264" t="str">
        <f>VLOOKUP($I1144,TableInputsData[],ReadMe!$M$3,FALSE)&amp;"  |  "&amp;VLOOKUP($K1144,TableInputsData[],ReadMe!$M$3,FALSE)</f>
        <v>SERVICE 08  |  VOLUME</v>
      </c>
      <c r="AS1144" s="264" t="b">
        <f t="shared" si="2780"/>
        <v>1</v>
      </c>
      <c r="AT1144" s="294"/>
    </row>
    <row r="1145" spans="1:46" ht="13" x14ac:dyDescent="0.2">
      <c r="A1145" s="294"/>
      <c r="B1145" s="925"/>
      <c r="C1145" s="271">
        <v>1138</v>
      </c>
      <c r="D1145" s="250">
        <f t="shared" ref="D1145:D1182" si="2786">D1144</f>
        <v>0</v>
      </c>
      <c r="E1145" s="250">
        <v>1</v>
      </c>
      <c r="F1145" s="248" t="s">
        <v>393</v>
      </c>
      <c r="G1145" s="250">
        <f>VLOOKUP(F1145,TableInputsData[],$G$6,FALSE)</f>
        <v>2025</v>
      </c>
      <c r="H1145" s="250" t="str">
        <f t="shared" ref="H1145:I1182" si="2787">H1144</f>
        <v>SERVICE</v>
      </c>
      <c r="I1145" s="248" t="str">
        <f t="shared" si="2787"/>
        <v>SERVICE 08</v>
      </c>
      <c r="J1145" s="248" t="str">
        <f>VLOOKUP(I1145,TableInputsData[],$J$6,FALSE)</f>
        <v>-</v>
      </c>
      <c r="K1145" s="248" t="str">
        <f t="shared" ref="K1145:K1150" si="2788">K1144</f>
        <v>VOLUME</v>
      </c>
      <c r="L1145" s="499">
        <v>1000</v>
      </c>
      <c r="M1145" s="499">
        <v>0</v>
      </c>
      <c r="N1145" s="499">
        <v>0</v>
      </c>
      <c r="O1145" s="264">
        <f t="shared" si="2770"/>
        <v>1000</v>
      </c>
      <c r="P1145" s="500">
        <v>1</v>
      </c>
      <c r="Q1145" s="500">
        <v>0</v>
      </c>
      <c r="R1145" s="259">
        <f t="shared" si="2781"/>
        <v>0</v>
      </c>
      <c r="S1145" s="626">
        <v>500</v>
      </c>
      <c r="T1145" s="626">
        <v>0</v>
      </c>
      <c r="U1145" s="626">
        <v>0</v>
      </c>
      <c r="V1145" s="628">
        <f t="shared" si="2782"/>
        <v>500</v>
      </c>
      <c r="W1145" s="500">
        <v>1</v>
      </c>
      <c r="X1145" s="500">
        <v>1</v>
      </c>
      <c r="Y1145" s="500">
        <v>1</v>
      </c>
      <c r="Z1145" s="259">
        <f t="shared" si="2771"/>
        <v>0</v>
      </c>
      <c r="AA1145" s="259">
        <f t="shared" si="2772"/>
        <v>0</v>
      </c>
      <c r="AB1145" s="259">
        <f t="shared" si="2773"/>
        <v>0</v>
      </c>
      <c r="AC1145" s="628">
        <f t="shared" si="2783"/>
        <v>0</v>
      </c>
      <c r="AD1145" s="628">
        <f t="shared" si="2784"/>
        <v>0</v>
      </c>
      <c r="AE1145" s="501">
        <v>0</v>
      </c>
      <c r="AF1145" s="501">
        <v>0</v>
      </c>
      <c r="AG1145" s="501">
        <v>0</v>
      </c>
      <c r="AH1145" s="501">
        <v>0</v>
      </c>
      <c r="AI1145" s="264">
        <f>$AE1145+$AF1145+$AG1145+$AH1145</f>
        <v>0</v>
      </c>
      <c r="AJ1145" s="264">
        <f t="shared" si="2774"/>
        <v>0</v>
      </c>
      <c r="AK1145" s="264">
        <f t="shared" si="2775"/>
        <v>0</v>
      </c>
      <c r="AL1145" s="264">
        <f t="shared" si="2776"/>
        <v>0</v>
      </c>
      <c r="AM1145" s="264">
        <f t="shared" si="2777"/>
        <v>0</v>
      </c>
      <c r="AN1145" s="640">
        <f t="shared" si="2785"/>
        <v>0</v>
      </c>
      <c r="AO1145" s="264">
        <f t="shared" si="2778"/>
        <v>0</v>
      </c>
      <c r="AP1145" s="640">
        <f t="shared" si="2779"/>
        <v>0</v>
      </c>
      <c r="AQ1145" s="501"/>
      <c r="AR1145" s="264" t="str">
        <f>VLOOKUP($I1145,TableInputsData[],ReadMe!$M$3,FALSE)&amp;"  |  "&amp;VLOOKUP($K1145,TableInputsData[],ReadMe!$M$3,FALSE)</f>
        <v>SERVICE 08  |  VOLUME</v>
      </c>
      <c r="AS1145" s="264" t="b">
        <f t="shared" si="2780"/>
        <v>1</v>
      </c>
      <c r="AT1145" s="294"/>
    </row>
    <row r="1146" spans="1:46" ht="13" x14ac:dyDescent="0.2">
      <c r="A1146" s="294"/>
      <c r="B1146" s="925"/>
      <c r="C1146" s="271">
        <v>1139</v>
      </c>
      <c r="D1146" s="250">
        <f t="shared" si="2786"/>
        <v>0</v>
      </c>
      <c r="E1146" s="250">
        <v>1</v>
      </c>
      <c r="F1146" s="248" t="s">
        <v>396</v>
      </c>
      <c r="G1146" s="250">
        <f>VLOOKUP(F1146,TableInputsData[],$G$6,FALSE)</f>
        <v>2026</v>
      </c>
      <c r="H1146" s="250" t="str">
        <f t="shared" si="2787"/>
        <v>SERVICE</v>
      </c>
      <c r="I1146" s="248" t="str">
        <f t="shared" si="2787"/>
        <v>SERVICE 08</v>
      </c>
      <c r="J1146" s="248" t="str">
        <f>VLOOKUP(I1146,TableInputsData[],$J$6,FALSE)</f>
        <v>-</v>
      </c>
      <c r="K1146" s="248" t="str">
        <f t="shared" si="2788"/>
        <v>VOLUME</v>
      </c>
      <c r="L1146" s="499">
        <v>1000</v>
      </c>
      <c r="M1146" s="499">
        <v>0</v>
      </c>
      <c r="N1146" s="499">
        <v>0</v>
      </c>
      <c r="O1146" s="264">
        <f t="shared" si="2770"/>
        <v>1000</v>
      </c>
      <c r="P1146" s="500">
        <v>1</v>
      </c>
      <c r="Q1146" s="500">
        <v>0</v>
      </c>
      <c r="R1146" s="259">
        <f t="shared" si="2781"/>
        <v>0</v>
      </c>
      <c r="S1146" s="626">
        <v>500</v>
      </c>
      <c r="T1146" s="626">
        <v>0</v>
      </c>
      <c r="U1146" s="626">
        <v>0</v>
      </c>
      <c r="V1146" s="628">
        <f t="shared" si="2782"/>
        <v>500</v>
      </c>
      <c r="W1146" s="500">
        <v>1</v>
      </c>
      <c r="X1146" s="500">
        <v>1</v>
      </c>
      <c r="Y1146" s="500">
        <v>1</v>
      </c>
      <c r="Z1146" s="259">
        <f t="shared" si="2771"/>
        <v>0</v>
      </c>
      <c r="AA1146" s="259">
        <f t="shared" si="2772"/>
        <v>0</v>
      </c>
      <c r="AB1146" s="259">
        <f t="shared" si="2773"/>
        <v>0</v>
      </c>
      <c r="AC1146" s="628">
        <f t="shared" si="2783"/>
        <v>0</v>
      </c>
      <c r="AD1146" s="628">
        <f t="shared" si="2784"/>
        <v>0</v>
      </c>
      <c r="AE1146" s="501">
        <v>0</v>
      </c>
      <c r="AF1146" s="501">
        <v>0</v>
      </c>
      <c r="AG1146" s="501">
        <v>0</v>
      </c>
      <c r="AH1146" s="501">
        <v>0</v>
      </c>
      <c r="AI1146" s="264">
        <f>$AE1146+$AF1146+$AG1146+$AH1146</f>
        <v>0</v>
      </c>
      <c r="AJ1146" s="264">
        <f t="shared" si="2774"/>
        <v>0</v>
      </c>
      <c r="AK1146" s="264">
        <f t="shared" si="2775"/>
        <v>0</v>
      </c>
      <c r="AL1146" s="264">
        <f t="shared" si="2776"/>
        <v>0</v>
      </c>
      <c r="AM1146" s="264">
        <f t="shared" si="2777"/>
        <v>0</v>
      </c>
      <c r="AN1146" s="640">
        <f t="shared" si="2785"/>
        <v>0</v>
      </c>
      <c r="AO1146" s="264">
        <f t="shared" si="2778"/>
        <v>0</v>
      </c>
      <c r="AP1146" s="640">
        <f t="shared" si="2779"/>
        <v>0</v>
      </c>
      <c r="AQ1146" s="501"/>
      <c r="AR1146" s="264" t="str">
        <f>VLOOKUP($I1146,TableInputsData[],ReadMe!$M$3,FALSE)&amp;"  |  "&amp;VLOOKUP($K1146,TableInputsData[],ReadMe!$M$3,FALSE)</f>
        <v>SERVICE 08  |  VOLUME</v>
      </c>
      <c r="AS1146" s="264" t="b">
        <f t="shared" si="2780"/>
        <v>1</v>
      </c>
      <c r="AT1146" s="294"/>
    </row>
    <row r="1147" spans="1:46" ht="13" x14ac:dyDescent="0.2">
      <c r="A1147" s="294"/>
      <c r="B1147" s="925"/>
      <c r="C1147" s="271">
        <v>1140</v>
      </c>
      <c r="D1147" s="250">
        <f t="shared" si="2786"/>
        <v>0</v>
      </c>
      <c r="E1147" s="250">
        <v>1</v>
      </c>
      <c r="F1147" s="248" t="s">
        <v>397</v>
      </c>
      <c r="G1147" s="250">
        <f>VLOOKUP(F1147,TableInputsData[],$G$6,FALSE)</f>
        <v>2027</v>
      </c>
      <c r="H1147" s="250" t="str">
        <f t="shared" si="2787"/>
        <v>SERVICE</v>
      </c>
      <c r="I1147" s="248" t="str">
        <f t="shared" si="2787"/>
        <v>SERVICE 08</v>
      </c>
      <c r="J1147" s="248" t="str">
        <f>VLOOKUP(I1147,TableInputsData[],$J$6,FALSE)</f>
        <v>-</v>
      </c>
      <c r="K1147" s="248" t="str">
        <f t="shared" si="2788"/>
        <v>VOLUME</v>
      </c>
      <c r="L1147" s="499">
        <v>1000</v>
      </c>
      <c r="M1147" s="499">
        <v>0</v>
      </c>
      <c r="N1147" s="499">
        <v>0</v>
      </c>
      <c r="O1147" s="264">
        <f t="shared" si="2770"/>
        <v>1000</v>
      </c>
      <c r="P1147" s="500">
        <v>1</v>
      </c>
      <c r="Q1147" s="500">
        <v>0</v>
      </c>
      <c r="R1147" s="259">
        <f t="shared" si="2781"/>
        <v>0</v>
      </c>
      <c r="S1147" s="626">
        <v>500</v>
      </c>
      <c r="T1147" s="626">
        <v>0</v>
      </c>
      <c r="U1147" s="626">
        <v>0</v>
      </c>
      <c r="V1147" s="628">
        <f t="shared" si="2782"/>
        <v>500</v>
      </c>
      <c r="W1147" s="500">
        <v>1</v>
      </c>
      <c r="X1147" s="500">
        <v>1</v>
      </c>
      <c r="Y1147" s="500">
        <v>1</v>
      </c>
      <c r="Z1147" s="259">
        <f t="shared" si="2771"/>
        <v>0</v>
      </c>
      <c r="AA1147" s="259">
        <f t="shared" si="2772"/>
        <v>0</v>
      </c>
      <c r="AB1147" s="259">
        <f t="shared" si="2773"/>
        <v>0</v>
      </c>
      <c r="AC1147" s="628">
        <f t="shared" si="2783"/>
        <v>0</v>
      </c>
      <c r="AD1147" s="628">
        <f t="shared" si="2784"/>
        <v>0</v>
      </c>
      <c r="AE1147" s="264">
        <f>$AI1147/4</f>
        <v>0</v>
      </c>
      <c r="AF1147" s="264">
        <f t="shared" ref="AF1147:AH1150" si="2789">$AI1147/4</f>
        <v>0</v>
      </c>
      <c r="AG1147" s="264">
        <f t="shared" si="2789"/>
        <v>0</v>
      </c>
      <c r="AH1147" s="264">
        <f t="shared" si="2789"/>
        <v>0</v>
      </c>
      <c r="AI1147" s="501">
        <v>0</v>
      </c>
      <c r="AJ1147" s="264">
        <f t="shared" si="2774"/>
        <v>0</v>
      </c>
      <c r="AK1147" s="264">
        <f t="shared" si="2775"/>
        <v>0</v>
      </c>
      <c r="AL1147" s="264">
        <f t="shared" si="2776"/>
        <v>0</v>
      </c>
      <c r="AM1147" s="264">
        <f t="shared" si="2777"/>
        <v>0</v>
      </c>
      <c r="AN1147" s="640">
        <f t="shared" si="2785"/>
        <v>0</v>
      </c>
      <c r="AO1147" s="264">
        <f t="shared" si="2778"/>
        <v>0</v>
      </c>
      <c r="AP1147" s="640">
        <f t="shared" si="2779"/>
        <v>0</v>
      </c>
      <c r="AQ1147" s="501"/>
      <c r="AR1147" s="264" t="str">
        <f>VLOOKUP($I1147,TableInputsData[],ReadMe!$M$3,FALSE)&amp;"  |  "&amp;VLOOKUP($K1147,TableInputsData[],ReadMe!$M$3,FALSE)</f>
        <v>SERVICE 08  |  VOLUME</v>
      </c>
      <c r="AS1147" s="264" t="b">
        <f t="shared" si="2780"/>
        <v>1</v>
      </c>
      <c r="AT1147" s="294"/>
    </row>
    <row r="1148" spans="1:46" ht="13" x14ac:dyDescent="0.2">
      <c r="A1148" s="294"/>
      <c r="B1148" s="925"/>
      <c r="C1148" s="271">
        <v>1141</v>
      </c>
      <c r="D1148" s="250">
        <f t="shared" si="2786"/>
        <v>0</v>
      </c>
      <c r="E1148" s="250">
        <v>1</v>
      </c>
      <c r="F1148" s="248" t="s">
        <v>398</v>
      </c>
      <c r="G1148" s="250">
        <f>VLOOKUP(F1148,TableInputsData[],$G$6,FALSE)</f>
        <v>2028</v>
      </c>
      <c r="H1148" s="250" t="str">
        <f t="shared" si="2787"/>
        <v>SERVICE</v>
      </c>
      <c r="I1148" s="248" t="str">
        <f t="shared" si="2787"/>
        <v>SERVICE 08</v>
      </c>
      <c r="J1148" s="248" t="str">
        <f>VLOOKUP(I1148,TableInputsData[],$J$6,FALSE)</f>
        <v>-</v>
      </c>
      <c r="K1148" s="248" t="str">
        <f t="shared" si="2788"/>
        <v>VOLUME</v>
      </c>
      <c r="L1148" s="499">
        <v>1000</v>
      </c>
      <c r="M1148" s="499">
        <v>0</v>
      </c>
      <c r="N1148" s="499">
        <v>0</v>
      </c>
      <c r="O1148" s="264">
        <f t="shared" si="2770"/>
        <v>1000</v>
      </c>
      <c r="P1148" s="500">
        <v>1</v>
      </c>
      <c r="Q1148" s="500">
        <v>0</v>
      </c>
      <c r="R1148" s="259">
        <f t="shared" si="2781"/>
        <v>0</v>
      </c>
      <c r="S1148" s="626">
        <v>500</v>
      </c>
      <c r="T1148" s="626">
        <v>0</v>
      </c>
      <c r="U1148" s="626">
        <v>0</v>
      </c>
      <c r="V1148" s="628">
        <f t="shared" si="2782"/>
        <v>500</v>
      </c>
      <c r="W1148" s="500">
        <v>1</v>
      </c>
      <c r="X1148" s="500">
        <v>1</v>
      </c>
      <c r="Y1148" s="500">
        <v>1</v>
      </c>
      <c r="Z1148" s="259">
        <f t="shared" si="2771"/>
        <v>0</v>
      </c>
      <c r="AA1148" s="259">
        <f t="shared" si="2772"/>
        <v>0</v>
      </c>
      <c r="AB1148" s="259">
        <f t="shared" si="2773"/>
        <v>0</v>
      </c>
      <c r="AC1148" s="628">
        <f t="shared" si="2783"/>
        <v>0</v>
      </c>
      <c r="AD1148" s="628">
        <f t="shared" si="2784"/>
        <v>0</v>
      </c>
      <c r="AE1148" s="264">
        <f t="shared" ref="AE1148:AE1150" si="2790">$AI1148/4</f>
        <v>0</v>
      </c>
      <c r="AF1148" s="264">
        <f t="shared" si="2789"/>
        <v>0</v>
      </c>
      <c r="AG1148" s="264">
        <f t="shared" si="2789"/>
        <v>0</v>
      </c>
      <c r="AH1148" s="264">
        <f t="shared" si="2789"/>
        <v>0</v>
      </c>
      <c r="AI1148" s="501">
        <v>0</v>
      </c>
      <c r="AJ1148" s="264">
        <f t="shared" si="2774"/>
        <v>0</v>
      </c>
      <c r="AK1148" s="264">
        <f t="shared" si="2775"/>
        <v>0</v>
      </c>
      <c r="AL1148" s="264">
        <f t="shared" si="2776"/>
        <v>0</v>
      </c>
      <c r="AM1148" s="264">
        <f t="shared" si="2777"/>
        <v>0</v>
      </c>
      <c r="AN1148" s="640">
        <f t="shared" si="2785"/>
        <v>0</v>
      </c>
      <c r="AO1148" s="264">
        <f t="shared" si="2778"/>
        <v>0</v>
      </c>
      <c r="AP1148" s="640">
        <f t="shared" si="2779"/>
        <v>0</v>
      </c>
      <c r="AQ1148" s="501"/>
      <c r="AR1148" s="264" t="str">
        <f>VLOOKUP($I1148,TableInputsData[],ReadMe!$M$3,FALSE)&amp;"  |  "&amp;VLOOKUP($K1148,TableInputsData[],ReadMe!$M$3,FALSE)</f>
        <v>SERVICE 08  |  VOLUME</v>
      </c>
      <c r="AS1148" s="264" t="b">
        <f t="shared" si="2780"/>
        <v>1</v>
      </c>
      <c r="AT1148" s="294"/>
    </row>
    <row r="1149" spans="1:46" ht="13" x14ac:dyDescent="0.2">
      <c r="A1149" s="294"/>
      <c r="B1149" s="925"/>
      <c r="C1149" s="271">
        <v>1142</v>
      </c>
      <c r="D1149" s="250">
        <f t="shared" si="2786"/>
        <v>0</v>
      </c>
      <c r="E1149" s="250">
        <v>1</v>
      </c>
      <c r="F1149" s="248" t="s">
        <v>399</v>
      </c>
      <c r="G1149" s="250">
        <f>VLOOKUP(F1149,TableInputsData[],$G$6,FALSE)</f>
        <v>2029</v>
      </c>
      <c r="H1149" s="250" t="str">
        <f t="shared" si="2787"/>
        <v>SERVICE</v>
      </c>
      <c r="I1149" s="248" t="str">
        <f t="shared" si="2787"/>
        <v>SERVICE 08</v>
      </c>
      <c r="J1149" s="248" t="str">
        <f>VLOOKUP(I1149,TableInputsData[],$J$6,FALSE)</f>
        <v>-</v>
      </c>
      <c r="K1149" s="248" t="str">
        <f t="shared" si="2788"/>
        <v>VOLUME</v>
      </c>
      <c r="L1149" s="499">
        <v>1000</v>
      </c>
      <c r="M1149" s="499">
        <v>0</v>
      </c>
      <c r="N1149" s="499">
        <v>0</v>
      </c>
      <c r="O1149" s="264">
        <f t="shared" si="2770"/>
        <v>1000</v>
      </c>
      <c r="P1149" s="500">
        <v>1</v>
      </c>
      <c r="Q1149" s="500">
        <v>0</v>
      </c>
      <c r="R1149" s="259">
        <f t="shared" si="2781"/>
        <v>0</v>
      </c>
      <c r="S1149" s="626">
        <v>500</v>
      </c>
      <c r="T1149" s="626">
        <v>0</v>
      </c>
      <c r="U1149" s="626">
        <v>0</v>
      </c>
      <c r="V1149" s="628">
        <f t="shared" si="2782"/>
        <v>500</v>
      </c>
      <c r="W1149" s="500">
        <v>1</v>
      </c>
      <c r="X1149" s="500">
        <v>1</v>
      </c>
      <c r="Y1149" s="500">
        <v>1</v>
      </c>
      <c r="Z1149" s="259">
        <f t="shared" si="2771"/>
        <v>0</v>
      </c>
      <c r="AA1149" s="259">
        <f t="shared" si="2772"/>
        <v>0</v>
      </c>
      <c r="AB1149" s="259">
        <f t="shared" si="2773"/>
        <v>0</v>
      </c>
      <c r="AC1149" s="628">
        <f t="shared" si="2783"/>
        <v>0</v>
      </c>
      <c r="AD1149" s="628">
        <f t="shared" si="2784"/>
        <v>0</v>
      </c>
      <c r="AE1149" s="264">
        <f t="shared" si="2790"/>
        <v>0</v>
      </c>
      <c r="AF1149" s="264">
        <f t="shared" si="2789"/>
        <v>0</v>
      </c>
      <c r="AG1149" s="264">
        <f t="shared" si="2789"/>
        <v>0</v>
      </c>
      <c r="AH1149" s="264">
        <f t="shared" si="2789"/>
        <v>0</v>
      </c>
      <c r="AI1149" s="501">
        <v>0</v>
      </c>
      <c r="AJ1149" s="264">
        <f t="shared" si="2774"/>
        <v>0</v>
      </c>
      <c r="AK1149" s="264">
        <f t="shared" si="2775"/>
        <v>0</v>
      </c>
      <c r="AL1149" s="264">
        <f t="shared" si="2776"/>
        <v>0</v>
      </c>
      <c r="AM1149" s="264">
        <f t="shared" si="2777"/>
        <v>0</v>
      </c>
      <c r="AN1149" s="640">
        <f t="shared" si="2785"/>
        <v>0</v>
      </c>
      <c r="AO1149" s="264">
        <f t="shared" si="2778"/>
        <v>0</v>
      </c>
      <c r="AP1149" s="640">
        <f t="shared" si="2779"/>
        <v>0</v>
      </c>
      <c r="AQ1149" s="501"/>
      <c r="AR1149" s="264" t="str">
        <f>VLOOKUP($I1149,TableInputsData[],ReadMe!$M$3,FALSE)&amp;"  |  "&amp;VLOOKUP($K1149,TableInputsData[],ReadMe!$M$3,FALSE)</f>
        <v>SERVICE 08  |  VOLUME</v>
      </c>
      <c r="AS1149" s="264" t="b">
        <f t="shared" si="2780"/>
        <v>1</v>
      </c>
      <c r="AT1149" s="294"/>
    </row>
    <row r="1150" spans="1:46" ht="13" x14ac:dyDescent="0.2">
      <c r="A1150" s="294"/>
      <c r="B1150" s="925"/>
      <c r="C1150" s="271">
        <v>1143</v>
      </c>
      <c r="D1150" s="250">
        <f t="shared" si="2786"/>
        <v>0</v>
      </c>
      <c r="E1150" s="250">
        <v>1</v>
      </c>
      <c r="F1150" s="248" t="s">
        <v>400</v>
      </c>
      <c r="G1150" s="250">
        <f>VLOOKUP(F1150,TableInputsData[],$G$6,FALSE)</f>
        <v>2030</v>
      </c>
      <c r="H1150" s="250" t="str">
        <f t="shared" si="2787"/>
        <v>SERVICE</v>
      </c>
      <c r="I1150" s="248" t="str">
        <f t="shared" si="2787"/>
        <v>SERVICE 08</v>
      </c>
      <c r="J1150" s="248" t="str">
        <f>VLOOKUP(I1150,TableInputsData[],$J$6,FALSE)</f>
        <v>-</v>
      </c>
      <c r="K1150" s="248" t="str">
        <f t="shared" si="2788"/>
        <v>VOLUME</v>
      </c>
      <c r="L1150" s="499">
        <v>1000</v>
      </c>
      <c r="M1150" s="499">
        <v>0</v>
      </c>
      <c r="N1150" s="499">
        <v>0</v>
      </c>
      <c r="O1150" s="264">
        <f t="shared" si="2770"/>
        <v>1000</v>
      </c>
      <c r="P1150" s="500">
        <v>1</v>
      </c>
      <c r="Q1150" s="500">
        <v>0</v>
      </c>
      <c r="R1150" s="259">
        <f t="shared" si="2781"/>
        <v>0</v>
      </c>
      <c r="S1150" s="626">
        <v>500</v>
      </c>
      <c r="T1150" s="626">
        <v>0</v>
      </c>
      <c r="U1150" s="626">
        <v>0</v>
      </c>
      <c r="V1150" s="628">
        <f t="shared" si="2782"/>
        <v>500</v>
      </c>
      <c r="W1150" s="500">
        <v>1</v>
      </c>
      <c r="X1150" s="500">
        <v>1</v>
      </c>
      <c r="Y1150" s="500">
        <v>1</v>
      </c>
      <c r="Z1150" s="259">
        <f t="shared" si="2771"/>
        <v>0</v>
      </c>
      <c r="AA1150" s="259">
        <f t="shared" si="2772"/>
        <v>0</v>
      </c>
      <c r="AB1150" s="259">
        <f t="shared" si="2773"/>
        <v>0</v>
      </c>
      <c r="AC1150" s="628">
        <f t="shared" si="2783"/>
        <v>0</v>
      </c>
      <c r="AD1150" s="628">
        <f t="shared" si="2784"/>
        <v>0</v>
      </c>
      <c r="AE1150" s="264">
        <f t="shared" si="2790"/>
        <v>0</v>
      </c>
      <c r="AF1150" s="264">
        <f t="shared" si="2789"/>
        <v>0</v>
      </c>
      <c r="AG1150" s="264">
        <f t="shared" si="2789"/>
        <v>0</v>
      </c>
      <c r="AH1150" s="264">
        <f t="shared" si="2789"/>
        <v>0</v>
      </c>
      <c r="AI1150" s="501">
        <v>0</v>
      </c>
      <c r="AJ1150" s="264">
        <f t="shared" si="2774"/>
        <v>0</v>
      </c>
      <c r="AK1150" s="264">
        <f t="shared" si="2775"/>
        <v>0</v>
      </c>
      <c r="AL1150" s="264">
        <f t="shared" si="2776"/>
        <v>0</v>
      </c>
      <c r="AM1150" s="264">
        <f t="shared" si="2777"/>
        <v>0</v>
      </c>
      <c r="AN1150" s="640">
        <f t="shared" si="2785"/>
        <v>0</v>
      </c>
      <c r="AO1150" s="264">
        <f t="shared" si="2778"/>
        <v>0</v>
      </c>
      <c r="AP1150" s="640">
        <f t="shared" si="2779"/>
        <v>0</v>
      </c>
      <c r="AQ1150" s="501"/>
      <c r="AR1150" s="264" t="str">
        <f>VLOOKUP($I1150,TableInputsData[],ReadMe!$M$3,FALSE)&amp;"  |  "&amp;VLOOKUP($K1150,TableInputsData[],ReadMe!$M$3,FALSE)</f>
        <v>SERVICE 08  |  VOLUME</v>
      </c>
      <c r="AS1150" s="264" t="b">
        <f t="shared" si="2780"/>
        <v>1</v>
      </c>
      <c r="AT1150" s="294"/>
    </row>
    <row r="1151" spans="1:46" ht="13" hidden="1" x14ac:dyDescent="0.2">
      <c r="A1151" s="294"/>
      <c r="B1151" s="925"/>
      <c r="C1151" s="272">
        <v>1144</v>
      </c>
      <c r="D1151" s="250">
        <f t="shared" si="2786"/>
        <v>0</v>
      </c>
      <c r="E1151" s="251"/>
      <c r="F1151" s="248" t="str">
        <f t="shared" ref="F1151:F1158" si="2791">F1159</f>
        <v>YEAR-2</v>
      </c>
      <c r="G1151" s="250">
        <f>VLOOKUP(F1151,TableInputsData[],$G$6,FALSE)</f>
        <v>2023</v>
      </c>
      <c r="H1151" s="250" t="str">
        <f t="shared" si="2787"/>
        <v>SERVICE</v>
      </c>
      <c r="I1151" s="248" t="str">
        <f t="shared" si="2787"/>
        <v>SERVICE 08</v>
      </c>
      <c r="J1151" s="248" t="str">
        <f>VLOOKUP(I1151,TableInputsData[],$J$6,FALSE)</f>
        <v>-</v>
      </c>
      <c r="K1151" s="248" t="s">
        <v>457</v>
      </c>
      <c r="L1151" s="256"/>
      <c r="M1151" s="256"/>
      <c r="N1151" s="256"/>
      <c r="O1151" s="266"/>
      <c r="P1151" s="261"/>
      <c r="Q1151" s="261"/>
      <c r="R1151" s="261"/>
      <c r="S1151" s="629"/>
      <c r="T1151" s="629"/>
      <c r="U1151" s="629"/>
      <c r="V1151" s="629"/>
      <c r="W1151" s="261"/>
      <c r="X1151" s="261"/>
      <c r="Y1151" s="261"/>
      <c r="Z1151" s="261"/>
      <c r="AA1151" s="261"/>
      <c r="AB1151" s="261"/>
      <c r="AC1151" s="266"/>
      <c r="AD1151" s="633"/>
      <c r="AE1151" s="264">
        <f>AE1143*($L1143*$P1143+$M1143*$Q1143+$N1143*$R1143)</f>
        <v>0</v>
      </c>
      <c r="AF1151" s="264">
        <f t="shared" ref="AF1151:AH1151" si="2792">AF1143*($L1143*$P1143+$M1143*$Q1143+$N1143*$R1143)</f>
        <v>0</v>
      </c>
      <c r="AG1151" s="264">
        <f t="shared" si="2792"/>
        <v>0</v>
      </c>
      <c r="AH1151" s="264">
        <f t="shared" si="2792"/>
        <v>0</v>
      </c>
      <c r="AI1151" s="264">
        <f>$AE1151+$AF1151+$AG1151+$AH1151</f>
        <v>0</v>
      </c>
      <c r="AJ1151" s="264">
        <f t="shared" ref="AJ1151:AJ1158" si="2793">$AJ1143*$L1143</f>
        <v>0</v>
      </c>
      <c r="AK1151" s="264">
        <f t="shared" ref="AK1151:AK1158" si="2794">$AK1143*$M1143</f>
        <v>0</v>
      </c>
      <c r="AL1151" s="264">
        <f t="shared" ref="AL1151:AL1158" si="2795">$AL1143*$N1143</f>
        <v>0</v>
      </c>
      <c r="AM1151" s="264">
        <f t="shared" ref="AM1151:AM1158" si="2796">$AJ1151*$W1143+$AK1151*$X1143+$AL1151*$Y1143</f>
        <v>0</v>
      </c>
      <c r="AN1151" s="640">
        <f t="shared" si="2785"/>
        <v>0</v>
      </c>
      <c r="AO1151" s="264">
        <f t="shared" ref="AO1151:AO1158" si="2797">$AJ1151*$Z1143+$AK1151*$AA1143+$AL1151*$AB1143</f>
        <v>0</v>
      </c>
      <c r="AP1151" s="640">
        <f t="shared" si="2779"/>
        <v>0</v>
      </c>
      <c r="AQ1151" s="264"/>
      <c r="AR1151" s="264" t="str">
        <f>VLOOKUP($I1151,TableInputsData[],ReadMe!$M$3,FALSE)&amp;"  |  "&amp;VLOOKUP($K1151,TableInputsData[],ReadMe!$M$3,FALSE)</f>
        <v>SERVICE 08  |  CHIFFRE D'AFFAIRES</v>
      </c>
      <c r="AS1151" s="264" t="b">
        <f t="shared" ref="AS1151:AS1158" si="2798">AND(EXACT(ROUND(AI1151,2),ROUND(AJ1151+AK1151+AL1151,2)),EXACT(ROUND(AI1151,2),ROUND(AM1151+AO1151,2)))</f>
        <v>1</v>
      </c>
      <c r="AT1151" s="294"/>
    </row>
    <row r="1152" spans="1:46" ht="13" hidden="1" x14ac:dyDescent="0.2">
      <c r="A1152" s="294"/>
      <c r="B1152" s="925"/>
      <c r="C1152" s="271">
        <v>1145</v>
      </c>
      <c r="D1152" s="250">
        <f t="shared" si="2786"/>
        <v>0</v>
      </c>
      <c r="E1152" s="250"/>
      <c r="F1152" s="248" t="str">
        <f t="shared" si="2791"/>
        <v>YEAR-1</v>
      </c>
      <c r="G1152" s="250">
        <f>VLOOKUP(F1152,TableInputsData[],$G$6,FALSE)</f>
        <v>2024</v>
      </c>
      <c r="H1152" s="250" t="str">
        <f t="shared" si="2787"/>
        <v>SERVICE</v>
      </c>
      <c r="I1152" s="248" t="str">
        <f t="shared" si="2787"/>
        <v>SERVICE 08</v>
      </c>
      <c r="J1152" s="248" t="str">
        <f>VLOOKUP(I1152,TableInputsData[],$J$6,FALSE)</f>
        <v>-</v>
      </c>
      <c r="K1152" s="248" t="str">
        <f>K1151</f>
        <v>REVENUE</v>
      </c>
      <c r="L1152" s="255"/>
      <c r="M1152" s="255"/>
      <c r="N1152" s="255"/>
      <c r="O1152" s="265"/>
      <c r="P1152" s="260"/>
      <c r="Q1152" s="260"/>
      <c r="R1152" s="260"/>
      <c r="S1152" s="630"/>
      <c r="T1152" s="630"/>
      <c r="U1152" s="630"/>
      <c r="V1152" s="630"/>
      <c r="W1152" s="260"/>
      <c r="X1152" s="260"/>
      <c r="Y1152" s="260"/>
      <c r="Z1152" s="260"/>
      <c r="AA1152" s="260"/>
      <c r="AB1152" s="260"/>
      <c r="AC1152" s="265"/>
      <c r="AD1152" s="634"/>
      <c r="AE1152" s="264">
        <f t="shared" ref="AE1152:AH1152" si="2799">AE1144*($L1144*$P1144+$M1144*$Q1144+$N1144*$R1144)</f>
        <v>0</v>
      </c>
      <c r="AF1152" s="264">
        <f t="shared" si="2799"/>
        <v>0</v>
      </c>
      <c r="AG1152" s="264">
        <f t="shared" si="2799"/>
        <v>0</v>
      </c>
      <c r="AH1152" s="264">
        <f t="shared" si="2799"/>
        <v>0</v>
      </c>
      <c r="AI1152" s="264">
        <f t="shared" ref="AI1152:AI1157" si="2800">$AE1152+$AF1152+$AG1152+$AH1152</f>
        <v>0</v>
      </c>
      <c r="AJ1152" s="264">
        <f t="shared" si="2793"/>
        <v>0</v>
      </c>
      <c r="AK1152" s="264">
        <f t="shared" si="2794"/>
        <v>0</v>
      </c>
      <c r="AL1152" s="264">
        <f t="shared" si="2795"/>
        <v>0</v>
      </c>
      <c r="AM1152" s="264">
        <f t="shared" si="2796"/>
        <v>0</v>
      </c>
      <c r="AN1152" s="640">
        <f t="shared" si="2785"/>
        <v>0</v>
      </c>
      <c r="AO1152" s="264">
        <f t="shared" si="2797"/>
        <v>0</v>
      </c>
      <c r="AP1152" s="640">
        <f t="shared" si="2779"/>
        <v>0</v>
      </c>
      <c r="AQ1152" s="264"/>
      <c r="AR1152" s="264" t="str">
        <f>VLOOKUP($I1152,TableInputsData[],ReadMe!$M$3,FALSE)&amp;"  |  "&amp;VLOOKUP($K1152,TableInputsData[],ReadMe!$M$3,FALSE)</f>
        <v>SERVICE 08  |  CHIFFRE D'AFFAIRES</v>
      </c>
      <c r="AS1152" s="264" t="b">
        <f t="shared" si="2798"/>
        <v>1</v>
      </c>
      <c r="AT1152" s="294"/>
    </row>
    <row r="1153" spans="1:46" ht="13" hidden="1" x14ac:dyDescent="0.2">
      <c r="A1153" s="294"/>
      <c r="B1153" s="925"/>
      <c r="C1153" s="271">
        <v>1146</v>
      </c>
      <c r="D1153" s="250">
        <f t="shared" si="2786"/>
        <v>0</v>
      </c>
      <c r="E1153" s="250"/>
      <c r="F1153" s="248" t="str">
        <f t="shared" si="2791"/>
        <v>CURRENT YEAR</v>
      </c>
      <c r="G1153" s="250">
        <f>VLOOKUP(F1153,TableInputsData[],$G$6,FALSE)</f>
        <v>2025</v>
      </c>
      <c r="H1153" s="250" t="str">
        <f t="shared" si="2787"/>
        <v>SERVICE</v>
      </c>
      <c r="I1153" s="248" t="str">
        <f t="shared" si="2787"/>
        <v>SERVICE 08</v>
      </c>
      <c r="J1153" s="248" t="str">
        <f>VLOOKUP(I1153,TableInputsData[],$J$6,FALSE)</f>
        <v>-</v>
      </c>
      <c r="K1153" s="248" t="str">
        <f t="shared" ref="K1153:K1158" si="2801">K1152</f>
        <v>REVENUE</v>
      </c>
      <c r="L1153" s="255"/>
      <c r="M1153" s="255"/>
      <c r="N1153" s="255"/>
      <c r="O1153" s="265"/>
      <c r="P1153" s="260"/>
      <c r="Q1153" s="260"/>
      <c r="R1153" s="260"/>
      <c r="S1153" s="630"/>
      <c r="T1153" s="630"/>
      <c r="U1153" s="630"/>
      <c r="V1153" s="630"/>
      <c r="W1153" s="260"/>
      <c r="X1153" s="260"/>
      <c r="Y1153" s="260"/>
      <c r="Z1153" s="260"/>
      <c r="AA1153" s="260"/>
      <c r="AB1153" s="260"/>
      <c r="AC1153" s="265"/>
      <c r="AD1153" s="634"/>
      <c r="AE1153" s="264">
        <f t="shared" ref="AE1153:AH1153" si="2802">AE1145*($L1145*$P1145+$M1145*$Q1145+$N1145*$R1145)</f>
        <v>0</v>
      </c>
      <c r="AF1153" s="264">
        <f t="shared" si="2802"/>
        <v>0</v>
      </c>
      <c r="AG1153" s="264">
        <f t="shared" si="2802"/>
        <v>0</v>
      </c>
      <c r="AH1153" s="264">
        <f t="shared" si="2802"/>
        <v>0</v>
      </c>
      <c r="AI1153" s="264">
        <f t="shared" si="2800"/>
        <v>0</v>
      </c>
      <c r="AJ1153" s="264">
        <f t="shared" si="2793"/>
        <v>0</v>
      </c>
      <c r="AK1153" s="264">
        <f t="shared" si="2794"/>
        <v>0</v>
      </c>
      <c r="AL1153" s="264">
        <f t="shared" si="2795"/>
        <v>0</v>
      </c>
      <c r="AM1153" s="264">
        <f t="shared" si="2796"/>
        <v>0</v>
      </c>
      <c r="AN1153" s="640">
        <f t="shared" si="2785"/>
        <v>0</v>
      </c>
      <c r="AO1153" s="264">
        <f t="shared" si="2797"/>
        <v>0</v>
      </c>
      <c r="AP1153" s="640">
        <f t="shared" si="2779"/>
        <v>0</v>
      </c>
      <c r="AQ1153" s="264"/>
      <c r="AR1153" s="264" t="str">
        <f>VLOOKUP($I1153,TableInputsData[],ReadMe!$M$3,FALSE)&amp;"  |  "&amp;VLOOKUP($K1153,TableInputsData[],ReadMe!$M$3,FALSE)</f>
        <v>SERVICE 08  |  CHIFFRE D'AFFAIRES</v>
      </c>
      <c r="AS1153" s="264" t="b">
        <f t="shared" si="2798"/>
        <v>1</v>
      </c>
      <c r="AT1153" s="294"/>
    </row>
    <row r="1154" spans="1:46" ht="13" hidden="1" x14ac:dyDescent="0.2">
      <c r="A1154" s="294"/>
      <c r="B1154" s="925"/>
      <c r="C1154" s="271">
        <v>1147</v>
      </c>
      <c r="D1154" s="250">
        <f t="shared" si="2786"/>
        <v>0</v>
      </c>
      <c r="E1154" s="250"/>
      <c r="F1154" s="248" t="str">
        <f t="shared" si="2791"/>
        <v>YEAR2</v>
      </c>
      <c r="G1154" s="250">
        <f>VLOOKUP(F1154,TableInputsData[],$G$6,FALSE)</f>
        <v>2026</v>
      </c>
      <c r="H1154" s="250" t="str">
        <f t="shared" si="2787"/>
        <v>SERVICE</v>
      </c>
      <c r="I1154" s="248" t="str">
        <f t="shared" si="2787"/>
        <v>SERVICE 08</v>
      </c>
      <c r="J1154" s="248" t="str">
        <f>VLOOKUP(I1154,TableInputsData[],$J$6,FALSE)</f>
        <v>-</v>
      </c>
      <c r="K1154" s="248" t="str">
        <f t="shared" si="2801"/>
        <v>REVENUE</v>
      </c>
      <c r="L1154" s="255"/>
      <c r="M1154" s="255"/>
      <c r="N1154" s="255"/>
      <c r="O1154" s="265"/>
      <c r="P1154" s="260"/>
      <c r="Q1154" s="260"/>
      <c r="R1154" s="260"/>
      <c r="S1154" s="630"/>
      <c r="T1154" s="630"/>
      <c r="U1154" s="630"/>
      <c r="V1154" s="630"/>
      <c r="W1154" s="260"/>
      <c r="X1154" s="260"/>
      <c r="Y1154" s="260"/>
      <c r="Z1154" s="260"/>
      <c r="AA1154" s="260"/>
      <c r="AB1154" s="260"/>
      <c r="AC1154" s="265"/>
      <c r="AD1154" s="634"/>
      <c r="AE1154" s="264">
        <f t="shared" ref="AE1154:AH1154" si="2803">AE1146*($L1146*$P1146+$M1146*$Q1146+$N1146*$R1146)</f>
        <v>0</v>
      </c>
      <c r="AF1154" s="264">
        <f t="shared" si="2803"/>
        <v>0</v>
      </c>
      <c r="AG1154" s="264">
        <f t="shared" si="2803"/>
        <v>0</v>
      </c>
      <c r="AH1154" s="264">
        <f t="shared" si="2803"/>
        <v>0</v>
      </c>
      <c r="AI1154" s="264">
        <f t="shared" si="2800"/>
        <v>0</v>
      </c>
      <c r="AJ1154" s="264">
        <f t="shared" si="2793"/>
        <v>0</v>
      </c>
      <c r="AK1154" s="264">
        <f t="shared" si="2794"/>
        <v>0</v>
      </c>
      <c r="AL1154" s="264">
        <f t="shared" si="2795"/>
        <v>0</v>
      </c>
      <c r="AM1154" s="264">
        <f t="shared" si="2796"/>
        <v>0</v>
      </c>
      <c r="AN1154" s="640">
        <f t="shared" si="2785"/>
        <v>0</v>
      </c>
      <c r="AO1154" s="264">
        <f t="shared" si="2797"/>
        <v>0</v>
      </c>
      <c r="AP1154" s="640">
        <f t="shared" si="2779"/>
        <v>0</v>
      </c>
      <c r="AQ1154" s="264"/>
      <c r="AR1154" s="264" t="str">
        <f>VLOOKUP($I1154,TableInputsData[],ReadMe!$M$3,FALSE)&amp;"  |  "&amp;VLOOKUP($K1154,TableInputsData[],ReadMe!$M$3,FALSE)</f>
        <v>SERVICE 08  |  CHIFFRE D'AFFAIRES</v>
      </c>
      <c r="AS1154" s="264" t="b">
        <f t="shared" si="2798"/>
        <v>1</v>
      </c>
      <c r="AT1154" s="294"/>
    </row>
    <row r="1155" spans="1:46" ht="13" hidden="1" x14ac:dyDescent="0.2">
      <c r="A1155" s="294"/>
      <c r="B1155" s="925"/>
      <c r="C1155" s="271">
        <v>1148</v>
      </c>
      <c r="D1155" s="250">
        <f t="shared" si="2786"/>
        <v>0</v>
      </c>
      <c r="E1155" s="250"/>
      <c r="F1155" s="248" t="str">
        <f t="shared" si="2791"/>
        <v>YEAR3</v>
      </c>
      <c r="G1155" s="250">
        <f>VLOOKUP(F1155,TableInputsData[],$G$6,FALSE)</f>
        <v>2027</v>
      </c>
      <c r="H1155" s="250" t="str">
        <f t="shared" si="2787"/>
        <v>SERVICE</v>
      </c>
      <c r="I1155" s="248" t="str">
        <f t="shared" si="2787"/>
        <v>SERVICE 08</v>
      </c>
      <c r="J1155" s="248" t="str">
        <f>VLOOKUP(I1155,TableInputsData[],$J$6,FALSE)</f>
        <v>-</v>
      </c>
      <c r="K1155" s="248" t="str">
        <f t="shared" si="2801"/>
        <v>REVENUE</v>
      </c>
      <c r="L1155" s="255"/>
      <c r="M1155" s="255"/>
      <c r="N1155" s="255"/>
      <c r="O1155" s="265"/>
      <c r="P1155" s="260"/>
      <c r="Q1155" s="260"/>
      <c r="R1155" s="260"/>
      <c r="S1155" s="630"/>
      <c r="T1155" s="630"/>
      <c r="U1155" s="630"/>
      <c r="V1155" s="630"/>
      <c r="W1155" s="260"/>
      <c r="X1155" s="260"/>
      <c r="Y1155" s="260"/>
      <c r="Z1155" s="260"/>
      <c r="AA1155" s="260"/>
      <c r="AB1155" s="260"/>
      <c r="AC1155" s="265"/>
      <c r="AD1155" s="634"/>
      <c r="AE1155" s="264">
        <f t="shared" ref="AE1155:AH1155" si="2804">AE1147*($L1147*$P1147+$M1147*$Q1147+$N1147*$R1147)</f>
        <v>0</v>
      </c>
      <c r="AF1155" s="264">
        <f t="shared" si="2804"/>
        <v>0</v>
      </c>
      <c r="AG1155" s="264">
        <f t="shared" si="2804"/>
        <v>0</v>
      </c>
      <c r="AH1155" s="264">
        <f t="shared" si="2804"/>
        <v>0</v>
      </c>
      <c r="AI1155" s="264">
        <f t="shared" si="2800"/>
        <v>0</v>
      </c>
      <c r="AJ1155" s="264">
        <f t="shared" si="2793"/>
        <v>0</v>
      </c>
      <c r="AK1155" s="264">
        <f t="shared" si="2794"/>
        <v>0</v>
      </c>
      <c r="AL1155" s="264">
        <f t="shared" si="2795"/>
        <v>0</v>
      </c>
      <c r="AM1155" s="264">
        <f t="shared" si="2796"/>
        <v>0</v>
      </c>
      <c r="AN1155" s="640">
        <f t="shared" si="2785"/>
        <v>0</v>
      </c>
      <c r="AO1155" s="264">
        <f t="shared" si="2797"/>
        <v>0</v>
      </c>
      <c r="AP1155" s="640">
        <f t="shared" si="2779"/>
        <v>0</v>
      </c>
      <c r="AQ1155" s="264"/>
      <c r="AR1155" s="264" t="str">
        <f>VLOOKUP($I1155,TableInputsData[],ReadMe!$M$3,FALSE)&amp;"  |  "&amp;VLOOKUP($K1155,TableInputsData[],ReadMe!$M$3,FALSE)</f>
        <v>SERVICE 08  |  CHIFFRE D'AFFAIRES</v>
      </c>
      <c r="AS1155" s="264" t="b">
        <f t="shared" si="2798"/>
        <v>1</v>
      </c>
      <c r="AT1155" s="294"/>
    </row>
    <row r="1156" spans="1:46" ht="13" hidden="1" x14ac:dyDescent="0.2">
      <c r="A1156" s="294"/>
      <c r="B1156" s="925"/>
      <c r="C1156" s="271">
        <v>1149</v>
      </c>
      <c r="D1156" s="250">
        <f t="shared" si="2786"/>
        <v>0</v>
      </c>
      <c r="E1156" s="250"/>
      <c r="F1156" s="248" t="str">
        <f t="shared" si="2791"/>
        <v>YEAR4</v>
      </c>
      <c r="G1156" s="250">
        <f>VLOOKUP(F1156,TableInputsData[],$G$6,FALSE)</f>
        <v>2028</v>
      </c>
      <c r="H1156" s="250" t="str">
        <f t="shared" si="2787"/>
        <v>SERVICE</v>
      </c>
      <c r="I1156" s="248" t="str">
        <f t="shared" si="2787"/>
        <v>SERVICE 08</v>
      </c>
      <c r="J1156" s="248" t="str">
        <f>VLOOKUP(I1156,TableInputsData[],$J$6,FALSE)</f>
        <v>-</v>
      </c>
      <c r="K1156" s="248" t="str">
        <f t="shared" si="2801"/>
        <v>REVENUE</v>
      </c>
      <c r="L1156" s="255"/>
      <c r="M1156" s="255"/>
      <c r="N1156" s="255"/>
      <c r="O1156" s="265"/>
      <c r="P1156" s="260"/>
      <c r="Q1156" s="260"/>
      <c r="R1156" s="260"/>
      <c r="S1156" s="630"/>
      <c r="T1156" s="630"/>
      <c r="U1156" s="630"/>
      <c r="V1156" s="630"/>
      <c r="W1156" s="260"/>
      <c r="X1156" s="260"/>
      <c r="Y1156" s="260"/>
      <c r="Z1156" s="260"/>
      <c r="AA1156" s="260"/>
      <c r="AB1156" s="260"/>
      <c r="AC1156" s="265"/>
      <c r="AD1156" s="634"/>
      <c r="AE1156" s="264">
        <f t="shared" ref="AE1156:AH1156" si="2805">AE1148*($L1148*$P1148+$M1148*$Q1148+$N1148*$R1148)</f>
        <v>0</v>
      </c>
      <c r="AF1156" s="264">
        <f t="shared" si="2805"/>
        <v>0</v>
      </c>
      <c r="AG1156" s="264">
        <f t="shared" si="2805"/>
        <v>0</v>
      </c>
      <c r="AH1156" s="264">
        <f t="shared" si="2805"/>
        <v>0</v>
      </c>
      <c r="AI1156" s="264">
        <f t="shared" si="2800"/>
        <v>0</v>
      </c>
      <c r="AJ1156" s="264">
        <f t="shared" si="2793"/>
        <v>0</v>
      </c>
      <c r="AK1156" s="264">
        <f t="shared" si="2794"/>
        <v>0</v>
      </c>
      <c r="AL1156" s="264">
        <f t="shared" si="2795"/>
        <v>0</v>
      </c>
      <c r="AM1156" s="264">
        <f t="shared" si="2796"/>
        <v>0</v>
      </c>
      <c r="AN1156" s="640">
        <f t="shared" si="2785"/>
        <v>0</v>
      </c>
      <c r="AO1156" s="264">
        <f t="shared" si="2797"/>
        <v>0</v>
      </c>
      <c r="AP1156" s="640">
        <f t="shared" si="2779"/>
        <v>0</v>
      </c>
      <c r="AQ1156" s="264"/>
      <c r="AR1156" s="264" t="str">
        <f>VLOOKUP($I1156,TableInputsData[],ReadMe!$M$3,FALSE)&amp;"  |  "&amp;VLOOKUP($K1156,TableInputsData[],ReadMe!$M$3,FALSE)</f>
        <v>SERVICE 08  |  CHIFFRE D'AFFAIRES</v>
      </c>
      <c r="AS1156" s="264" t="b">
        <f t="shared" si="2798"/>
        <v>1</v>
      </c>
      <c r="AT1156" s="294"/>
    </row>
    <row r="1157" spans="1:46" ht="13" hidden="1" x14ac:dyDescent="0.2">
      <c r="A1157" s="294"/>
      <c r="B1157" s="925"/>
      <c r="C1157" s="271">
        <v>1150</v>
      </c>
      <c r="D1157" s="250">
        <f t="shared" si="2786"/>
        <v>0</v>
      </c>
      <c r="E1157" s="250"/>
      <c r="F1157" s="248" t="str">
        <f t="shared" si="2791"/>
        <v>YEAR5</v>
      </c>
      <c r="G1157" s="250">
        <f>VLOOKUP(F1157,TableInputsData[],$G$6,FALSE)</f>
        <v>2029</v>
      </c>
      <c r="H1157" s="250" t="str">
        <f t="shared" si="2787"/>
        <v>SERVICE</v>
      </c>
      <c r="I1157" s="248" t="str">
        <f t="shared" si="2787"/>
        <v>SERVICE 08</v>
      </c>
      <c r="J1157" s="248" t="str">
        <f>VLOOKUP(I1157,TableInputsData[],$J$6,FALSE)</f>
        <v>-</v>
      </c>
      <c r="K1157" s="248" t="str">
        <f t="shared" si="2801"/>
        <v>REVENUE</v>
      </c>
      <c r="L1157" s="255"/>
      <c r="M1157" s="255"/>
      <c r="N1157" s="255"/>
      <c r="O1157" s="265"/>
      <c r="P1157" s="260"/>
      <c r="Q1157" s="260"/>
      <c r="R1157" s="260"/>
      <c r="S1157" s="630"/>
      <c r="T1157" s="630"/>
      <c r="U1157" s="630"/>
      <c r="V1157" s="630"/>
      <c r="W1157" s="260"/>
      <c r="X1157" s="260"/>
      <c r="Y1157" s="260"/>
      <c r="Z1157" s="260"/>
      <c r="AA1157" s="260"/>
      <c r="AB1157" s="260"/>
      <c r="AC1157" s="265"/>
      <c r="AD1157" s="634"/>
      <c r="AE1157" s="264">
        <f t="shared" ref="AE1157:AH1157" si="2806">AE1149*($L1149*$P1149+$M1149*$Q1149+$N1149*$R1149)</f>
        <v>0</v>
      </c>
      <c r="AF1157" s="264">
        <f t="shared" si="2806"/>
        <v>0</v>
      </c>
      <c r="AG1157" s="264">
        <f t="shared" si="2806"/>
        <v>0</v>
      </c>
      <c r="AH1157" s="264">
        <f t="shared" si="2806"/>
        <v>0</v>
      </c>
      <c r="AI1157" s="264">
        <f t="shared" si="2800"/>
        <v>0</v>
      </c>
      <c r="AJ1157" s="264">
        <f t="shared" si="2793"/>
        <v>0</v>
      </c>
      <c r="AK1157" s="264">
        <f t="shared" si="2794"/>
        <v>0</v>
      </c>
      <c r="AL1157" s="264">
        <f t="shared" si="2795"/>
        <v>0</v>
      </c>
      <c r="AM1157" s="264">
        <f t="shared" si="2796"/>
        <v>0</v>
      </c>
      <c r="AN1157" s="640">
        <f t="shared" si="2785"/>
        <v>0</v>
      </c>
      <c r="AO1157" s="264">
        <f t="shared" si="2797"/>
        <v>0</v>
      </c>
      <c r="AP1157" s="640">
        <f t="shared" si="2779"/>
        <v>0</v>
      </c>
      <c r="AQ1157" s="264"/>
      <c r="AR1157" s="264" t="str">
        <f>VLOOKUP($I1157,TableInputsData[],ReadMe!$M$3,FALSE)&amp;"  |  "&amp;VLOOKUP($K1157,TableInputsData[],ReadMe!$M$3,FALSE)</f>
        <v>SERVICE 08  |  CHIFFRE D'AFFAIRES</v>
      </c>
      <c r="AS1157" s="264" t="b">
        <f t="shared" si="2798"/>
        <v>1</v>
      </c>
      <c r="AT1157" s="294"/>
    </row>
    <row r="1158" spans="1:46" ht="13" hidden="1" x14ac:dyDescent="0.2">
      <c r="A1158" s="294"/>
      <c r="B1158" s="925"/>
      <c r="C1158" s="271">
        <v>1151</v>
      </c>
      <c r="D1158" s="250">
        <f t="shared" si="2786"/>
        <v>0</v>
      </c>
      <c r="E1158" s="250"/>
      <c r="F1158" s="248" t="str">
        <f t="shared" si="2791"/>
        <v>YEAR6</v>
      </c>
      <c r="G1158" s="250">
        <f>VLOOKUP(F1158,TableInputsData[],$G$6,FALSE)</f>
        <v>2030</v>
      </c>
      <c r="H1158" s="250" t="str">
        <f t="shared" si="2787"/>
        <v>SERVICE</v>
      </c>
      <c r="I1158" s="248" t="str">
        <f t="shared" si="2787"/>
        <v>SERVICE 08</v>
      </c>
      <c r="J1158" s="248" t="str">
        <f>VLOOKUP(I1158,TableInputsData[],$J$6,FALSE)</f>
        <v>-</v>
      </c>
      <c r="K1158" s="248" t="str">
        <f t="shared" si="2801"/>
        <v>REVENUE</v>
      </c>
      <c r="L1158" s="255"/>
      <c r="M1158" s="255"/>
      <c r="N1158" s="255"/>
      <c r="O1158" s="265"/>
      <c r="P1158" s="260"/>
      <c r="Q1158" s="260"/>
      <c r="R1158" s="260"/>
      <c r="S1158" s="630"/>
      <c r="T1158" s="630"/>
      <c r="U1158" s="630"/>
      <c r="V1158" s="630"/>
      <c r="W1158" s="260"/>
      <c r="X1158" s="260"/>
      <c r="Y1158" s="260"/>
      <c r="Z1158" s="260"/>
      <c r="AA1158" s="260"/>
      <c r="AB1158" s="260"/>
      <c r="AC1158" s="265"/>
      <c r="AD1158" s="634"/>
      <c r="AE1158" s="264">
        <f t="shared" ref="AE1158:AH1158" si="2807">AE1150*($L1150*$P1150+$M1150*$Q1150+$N1150*$R1150)</f>
        <v>0</v>
      </c>
      <c r="AF1158" s="264">
        <f t="shared" si="2807"/>
        <v>0</v>
      </c>
      <c r="AG1158" s="264">
        <f t="shared" si="2807"/>
        <v>0</v>
      </c>
      <c r="AH1158" s="264">
        <f t="shared" si="2807"/>
        <v>0</v>
      </c>
      <c r="AI1158" s="264">
        <f>$AE1158+$AF1158+$AG1158+$AH1158</f>
        <v>0</v>
      </c>
      <c r="AJ1158" s="264">
        <f t="shared" si="2793"/>
        <v>0</v>
      </c>
      <c r="AK1158" s="264">
        <f t="shared" si="2794"/>
        <v>0</v>
      </c>
      <c r="AL1158" s="264">
        <f t="shared" si="2795"/>
        <v>0</v>
      </c>
      <c r="AM1158" s="264">
        <f t="shared" si="2796"/>
        <v>0</v>
      </c>
      <c r="AN1158" s="640">
        <f t="shared" si="2785"/>
        <v>0</v>
      </c>
      <c r="AO1158" s="264">
        <f t="shared" si="2797"/>
        <v>0</v>
      </c>
      <c r="AP1158" s="640">
        <f t="shared" si="2779"/>
        <v>0</v>
      </c>
      <c r="AQ1158" s="264"/>
      <c r="AR1158" s="264" t="str">
        <f>VLOOKUP($I1158,TableInputsData[],ReadMe!$M$3,FALSE)&amp;"  |  "&amp;VLOOKUP($K1158,TableInputsData[],ReadMe!$M$3,FALSE)</f>
        <v>SERVICE 08  |  CHIFFRE D'AFFAIRES</v>
      </c>
      <c r="AS1158" s="264" t="b">
        <f t="shared" si="2798"/>
        <v>1</v>
      </c>
      <c r="AT1158" s="294"/>
    </row>
    <row r="1159" spans="1:46" ht="13" hidden="1" x14ac:dyDescent="0.2">
      <c r="A1159" s="294"/>
      <c r="B1159" s="925"/>
      <c r="C1159" s="271">
        <v>1152</v>
      </c>
      <c r="D1159" s="250">
        <f t="shared" si="2786"/>
        <v>0</v>
      </c>
      <c r="E1159" s="250"/>
      <c r="F1159" s="248" t="str">
        <f t="shared" ref="F1159:F1166" si="2808">F1143</f>
        <v>YEAR-2</v>
      </c>
      <c r="G1159" s="250">
        <f>VLOOKUP(F1159,TableInputsData[],$G$6,FALSE)</f>
        <v>2023</v>
      </c>
      <c r="H1159" s="250" t="str">
        <f t="shared" si="2787"/>
        <v>SERVICE</v>
      </c>
      <c r="I1159" s="248" t="str">
        <f t="shared" si="2787"/>
        <v>SERVICE 08</v>
      </c>
      <c r="J1159" s="248" t="str">
        <f>VLOOKUP(I1159,TableInputsData[],$J$6,FALSE)</f>
        <v>-</v>
      </c>
      <c r="K1159" s="248" t="s">
        <v>456</v>
      </c>
      <c r="L1159" s="255"/>
      <c r="M1159" s="255"/>
      <c r="N1159" s="255"/>
      <c r="O1159" s="265"/>
      <c r="P1159" s="260"/>
      <c r="Q1159" s="260"/>
      <c r="R1159" s="260"/>
      <c r="S1159" s="630"/>
      <c r="T1159" s="630"/>
      <c r="U1159" s="630"/>
      <c r="V1159" s="630"/>
      <c r="W1159" s="260"/>
      <c r="X1159" s="260"/>
      <c r="Y1159" s="260"/>
      <c r="Z1159" s="260"/>
      <c r="AA1159" s="260"/>
      <c r="AB1159" s="260"/>
      <c r="AC1159" s="265"/>
      <c r="AD1159" s="634"/>
      <c r="AE1159" s="264">
        <f>IF(AE1143=0,0,AE1151/AE1143)</f>
        <v>0</v>
      </c>
      <c r="AF1159" s="264">
        <f t="shared" ref="AF1159:AI1159" si="2809">IF(AF1143=0,0,AF1151/AF1143)</f>
        <v>0</v>
      </c>
      <c r="AG1159" s="264">
        <f t="shared" si="2809"/>
        <v>0</v>
      </c>
      <c r="AH1159" s="264">
        <f t="shared" si="2809"/>
        <v>0</v>
      </c>
      <c r="AI1159" s="264">
        <f t="shared" si="2809"/>
        <v>0</v>
      </c>
      <c r="AJ1159" s="264">
        <f>IF(AJ1143=0,0,AJ1151/AJ1143)</f>
        <v>0</v>
      </c>
      <c r="AK1159" s="264">
        <f t="shared" ref="AK1159:AL1159" si="2810">IF(AK1143=0,0,AK1151/AK1143)</f>
        <v>0</v>
      </c>
      <c r="AL1159" s="264">
        <f t="shared" si="2810"/>
        <v>0</v>
      </c>
      <c r="AM1159" s="264">
        <f>IF(AM1143=0,0,AM1151/AM1143)</f>
        <v>0</v>
      </c>
      <c r="AN1159" s="260"/>
      <c r="AO1159" s="264">
        <f t="shared" ref="AO1159" si="2811">IF(AO1143=0,0,AO1151/AO1143)</f>
        <v>0</v>
      </c>
      <c r="AP1159" s="260"/>
      <c r="AQ1159" s="264"/>
      <c r="AR1159" s="264" t="str">
        <f>VLOOKUP($I1159,TableInputsData[],ReadMe!$M$3,FALSE)&amp;"  |  "&amp;VLOOKUP($K1159,TableInputsData[],ReadMe!$M$3,FALSE)</f>
        <v>SERVICE 08  |  PRIX MOYEN DE VENTE PAR PRODUIT/SERVICE</v>
      </c>
      <c r="AS1159" s="264"/>
      <c r="AT1159" s="294"/>
    </row>
    <row r="1160" spans="1:46" ht="13" hidden="1" x14ac:dyDescent="0.2">
      <c r="A1160" s="294"/>
      <c r="B1160" s="925"/>
      <c r="C1160" s="271">
        <v>1153</v>
      </c>
      <c r="D1160" s="250">
        <f t="shared" si="2786"/>
        <v>0</v>
      </c>
      <c r="E1160" s="250"/>
      <c r="F1160" s="248" t="str">
        <f t="shared" si="2808"/>
        <v>YEAR-1</v>
      </c>
      <c r="G1160" s="250">
        <f>VLOOKUP(F1160,TableInputsData[],$G$6,FALSE)</f>
        <v>2024</v>
      </c>
      <c r="H1160" s="250" t="str">
        <f t="shared" si="2787"/>
        <v>SERVICE</v>
      </c>
      <c r="I1160" s="248" t="str">
        <f t="shared" si="2787"/>
        <v>SERVICE 08</v>
      </c>
      <c r="J1160" s="248" t="str">
        <f>VLOOKUP(I1160,TableInputsData[],$J$6,FALSE)</f>
        <v>-</v>
      </c>
      <c r="K1160" s="248" t="str">
        <f>K1159</f>
        <v>AVERAGE SELLING PRICE PER UNIT</v>
      </c>
      <c r="L1160" s="255"/>
      <c r="M1160" s="255"/>
      <c r="N1160" s="255"/>
      <c r="O1160" s="265"/>
      <c r="P1160" s="260"/>
      <c r="Q1160" s="260"/>
      <c r="R1160" s="260"/>
      <c r="S1160" s="630"/>
      <c r="T1160" s="630"/>
      <c r="U1160" s="630"/>
      <c r="V1160" s="630"/>
      <c r="W1160" s="260"/>
      <c r="X1160" s="260"/>
      <c r="Y1160" s="260"/>
      <c r="Z1160" s="260"/>
      <c r="AA1160" s="260"/>
      <c r="AB1160" s="260"/>
      <c r="AC1160" s="265"/>
      <c r="AD1160" s="634"/>
      <c r="AE1160" s="264">
        <f>IF(AE1144=0,0,AE1152/AE1144)</f>
        <v>0</v>
      </c>
      <c r="AF1160" s="264">
        <f t="shared" ref="AF1160:AM1160" si="2812">IF(AF1144=0,0,AF1152/AF1144)</f>
        <v>0</v>
      </c>
      <c r="AG1160" s="264">
        <f t="shared" si="2812"/>
        <v>0</v>
      </c>
      <c r="AH1160" s="264">
        <f t="shared" si="2812"/>
        <v>0</v>
      </c>
      <c r="AI1160" s="264">
        <f t="shared" si="2812"/>
        <v>0</v>
      </c>
      <c r="AJ1160" s="264">
        <f t="shared" si="2812"/>
        <v>0</v>
      </c>
      <c r="AK1160" s="264">
        <f t="shared" si="2812"/>
        <v>0</v>
      </c>
      <c r="AL1160" s="264">
        <f t="shared" si="2812"/>
        <v>0</v>
      </c>
      <c r="AM1160" s="264">
        <f t="shared" si="2812"/>
        <v>0</v>
      </c>
      <c r="AN1160" s="260"/>
      <c r="AO1160" s="264">
        <f t="shared" ref="AO1160" si="2813">IF(AO1144=0,0,AO1152/AO1144)</f>
        <v>0</v>
      </c>
      <c r="AP1160" s="260"/>
      <c r="AQ1160" s="264"/>
      <c r="AR1160" s="264" t="str">
        <f>VLOOKUP($I1160,TableInputsData[],ReadMe!$M$3,FALSE)&amp;"  |  "&amp;VLOOKUP($K1160,TableInputsData[],ReadMe!$M$3,FALSE)</f>
        <v>SERVICE 08  |  PRIX MOYEN DE VENTE PAR PRODUIT/SERVICE</v>
      </c>
      <c r="AS1160" s="264"/>
      <c r="AT1160" s="294"/>
    </row>
    <row r="1161" spans="1:46" ht="13" hidden="1" x14ac:dyDescent="0.2">
      <c r="A1161" s="294"/>
      <c r="B1161" s="925"/>
      <c r="C1161" s="271">
        <v>1154</v>
      </c>
      <c r="D1161" s="250">
        <f t="shared" si="2786"/>
        <v>0</v>
      </c>
      <c r="E1161" s="250"/>
      <c r="F1161" s="248" t="str">
        <f t="shared" si="2808"/>
        <v>CURRENT YEAR</v>
      </c>
      <c r="G1161" s="250">
        <f>VLOOKUP(F1161,TableInputsData[],$G$6,FALSE)</f>
        <v>2025</v>
      </c>
      <c r="H1161" s="250" t="str">
        <f t="shared" si="2787"/>
        <v>SERVICE</v>
      </c>
      <c r="I1161" s="248" t="str">
        <f t="shared" si="2787"/>
        <v>SERVICE 08</v>
      </c>
      <c r="J1161" s="248" t="str">
        <f>VLOOKUP(I1161,TableInputsData[],$J$6,FALSE)</f>
        <v>-</v>
      </c>
      <c r="K1161" s="248" t="str">
        <f t="shared" ref="K1161:K1166" si="2814">K1160</f>
        <v>AVERAGE SELLING PRICE PER UNIT</v>
      </c>
      <c r="L1161" s="255"/>
      <c r="M1161" s="255"/>
      <c r="N1161" s="255"/>
      <c r="O1161" s="265"/>
      <c r="P1161" s="260"/>
      <c r="Q1161" s="260"/>
      <c r="R1161" s="260"/>
      <c r="S1161" s="630"/>
      <c r="T1161" s="630"/>
      <c r="U1161" s="630"/>
      <c r="V1161" s="630"/>
      <c r="W1161" s="260"/>
      <c r="X1161" s="260"/>
      <c r="Y1161" s="260"/>
      <c r="Z1161" s="260"/>
      <c r="AA1161" s="260"/>
      <c r="AB1161" s="260"/>
      <c r="AC1161" s="265"/>
      <c r="AD1161" s="634"/>
      <c r="AE1161" s="264">
        <f>IF(AE1145=0,0,AE1153/AE1145)</f>
        <v>0</v>
      </c>
      <c r="AF1161" s="264">
        <f t="shared" ref="AF1161:AM1161" si="2815">IF(AF1145=0,0,AF1153/AF1145)</f>
        <v>0</v>
      </c>
      <c r="AG1161" s="264">
        <f t="shared" si="2815"/>
        <v>0</v>
      </c>
      <c r="AH1161" s="264">
        <f t="shared" si="2815"/>
        <v>0</v>
      </c>
      <c r="AI1161" s="264">
        <f t="shared" si="2815"/>
        <v>0</v>
      </c>
      <c r="AJ1161" s="264">
        <f t="shared" si="2815"/>
        <v>0</v>
      </c>
      <c r="AK1161" s="264">
        <f t="shared" si="2815"/>
        <v>0</v>
      </c>
      <c r="AL1161" s="264">
        <f t="shared" si="2815"/>
        <v>0</v>
      </c>
      <c r="AM1161" s="264">
        <f t="shared" si="2815"/>
        <v>0</v>
      </c>
      <c r="AN1161" s="260"/>
      <c r="AO1161" s="264">
        <f t="shared" ref="AO1161" si="2816">IF(AO1145=0,0,AO1153/AO1145)</f>
        <v>0</v>
      </c>
      <c r="AP1161" s="260"/>
      <c r="AQ1161" s="264"/>
      <c r="AR1161" s="264" t="str">
        <f>VLOOKUP($I1161,TableInputsData[],ReadMe!$M$3,FALSE)&amp;"  |  "&amp;VLOOKUP($K1161,TableInputsData[],ReadMe!$M$3,FALSE)</f>
        <v>SERVICE 08  |  PRIX MOYEN DE VENTE PAR PRODUIT/SERVICE</v>
      </c>
      <c r="AS1161" s="264"/>
      <c r="AT1161" s="294"/>
    </row>
    <row r="1162" spans="1:46" ht="13" hidden="1" x14ac:dyDescent="0.2">
      <c r="A1162" s="294"/>
      <c r="B1162" s="925"/>
      <c r="C1162" s="271">
        <v>1155</v>
      </c>
      <c r="D1162" s="250">
        <f t="shared" si="2786"/>
        <v>0</v>
      </c>
      <c r="E1162" s="250"/>
      <c r="F1162" s="248" t="str">
        <f t="shared" si="2808"/>
        <v>YEAR2</v>
      </c>
      <c r="G1162" s="250">
        <f>VLOOKUP(F1162,TableInputsData[],$G$6,FALSE)</f>
        <v>2026</v>
      </c>
      <c r="H1162" s="250" t="str">
        <f t="shared" si="2787"/>
        <v>SERVICE</v>
      </c>
      <c r="I1162" s="248" t="str">
        <f t="shared" si="2787"/>
        <v>SERVICE 08</v>
      </c>
      <c r="J1162" s="248" t="str">
        <f>VLOOKUP(I1162,TableInputsData[],$J$6,FALSE)</f>
        <v>-</v>
      </c>
      <c r="K1162" s="248" t="str">
        <f t="shared" si="2814"/>
        <v>AVERAGE SELLING PRICE PER UNIT</v>
      </c>
      <c r="L1162" s="255"/>
      <c r="M1162" s="255"/>
      <c r="N1162" s="255"/>
      <c r="O1162" s="265"/>
      <c r="P1162" s="260"/>
      <c r="Q1162" s="260"/>
      <c r="R1162" s="260"/>
      <c r="S1162" s="630"/>
      <c r="T1162" s="630"/>
      <c r="U1162" s="630"/>
      <c r="V1162" s="630"/>
      <c r="W1162" s="260"/>
      <c r="X1162" s="260"/>
      <c r="Y1162" s="260"/>
      <c r="Z1162" s="260"/>
      <c r="AA1162" s="260"/>
      <c r="AB1162" s="260"/>
      <c r="AC1162" s="265"/>
      <c r="AD1162" s="634"/>
      <c r="AE1162" s="264">
        <f>IF(AE1146=0,0,AE1154/AE1146)</f>
        <v>0</v>
      </c>
      <c r="AF1162" s="264">
        <f t="shared" ref="AF1162:AM1162" si="2817">IF(AF1146=0,0,AF1154/AF1146)</f>
        <v>0</v>
      </c>
      <c r="AG1162" s="264">
        <f t="shared" si="2817"/>
        <v>0</v>
      </c>
      <c r="AH1162" s="264">
        <f t="shared" si="2817"/>
        <v>0</v>
      </c>
      <c r="AI1162" s="264">
        <f t="shared" si="2817"/>
        <v>0</v>
      </c>
      <c r="AJ1162" s="264">
        <f t="shared" si="2817"/>
        <v>0</v>
      </c>
      <c r="AK1162" s="264">
        <f t="shared" si="2817"/>
        <v>0</v>
      </c>
      <c r="AL1162" s="264">
        <f t="shared" si="2817"/>
        <v>0</v>
      </c>
      <c r="AM1162" s="264">
        <f t="shared" si="2817"/>
        <v>0</v>
      </c>
      <c r="AN1162" s="260"/>
      <c r="AO1162" s="264">
        <f t="shared" ref="AO1162" si="2818">IF(AO1146=0,0,AO1154/AO1146)</f>
        <v>0</v>
      </c>
      <c r="AP1162" s="260"/>
      <c r="AQ1162" s="264"/>
      <c r="AR1162" s="264" t="str">
        <f>VLOOKUP($I1162,TableInputsData[],ReadMe!$M$3,FALSE)&amp;"  |  "&amp;VLOOKUP($K1162,TableInputsData[],ReadMe!$M$3,FALSE)</f>
        <v>SERVICE 08  |  PRIX MOYEN DE VENTE PAR PRODUIT/SERVICE</v>
      </c>
      <c r="AS1162" s="264"/>
      <c r="AT1162" s="294"/>
    </row>
    <row r="1163" spans="1:46" ht="13" hidden="1" x14ac:dyDescent="0.2">
      <c r="A1163" s="294"/>
      <c r="B1163" s="925"/>
      <c r="C1163" s="271">
        <v>1156</v>
      </c>
      <c r="D1163" s="250">
        <f t="shared" si="2786"/>
        <v>0</v>
      </c>
      <c r="E1163" s="250"/>
      <c r="F1163" s="248" t="str">
        <f t="shared" si="2808"/>
        <v>YEAR3</v>
      </c>
      <c r="G1163" s="250">
        <f>VLOOKUP(F1163,TableInputsData[],$G$6,FALSE)</f>
        <v>2027</v>
      </c>
      <c r="H1163" s="250" t="str">
        <f t="shared" si="2787"/>
        <v>SERVICE</v>
      </c>
      <c r="I1163" s="248" t="str">
        <f t="shared" si="2787"/>
        <v>SERVICE 08</v>
      </c>
      <c r="J1163" s="248" t="str">
        <f>VLOOKUP(I1163,TableInputsData[],$J$6,FALSE)</f>
        <v>-</v>
      </c>
      <c r="K1163" s="248" t="str">
        <f t="shared" si="2814"/>
        <v>AVERAGE SELLING PRICE PER UNIT</v>
      </c>
      <c r="L1163" s="255"/>
      <c r="M1163" s="255"/>
      <c r="N1163" s="255"/>
      <c r="O1163" s="265"/>
      <c r="P1163" s="260"/>
      <c r="Q1163" s="260"/>
      <c r="R1163" s="260"/>
      <c r="S1163" s="630"/>
      <c r="T1163" s="630"/>
      <c r="U1163" s="630"/>
      <c r="V1163" s="630"/>
      <c r="W1163" s="260"/>
      <c r="X1163" s="260"/>
      <c r="Y1163" s="260"/>
      <c r="Z1163" s="260"/>
      <c r="AA1163" s="260"/>
      <c r="AB1163" s="260"/>
      <c r="AC1163" s="265"/>
      <c r="AD1163" s="634"/>
      <c r="AE1163" s="264">
        <f t="shared" ref="AE1163:AM1163" si="2819">IF(AE1147=0,0,AE1155/AE1147)</f>
        <v>0</v>
      </c>
      <c r="AF1163" s="264">
        <f t="shared" si="2819"/>
        <v>0</v>
      </c>
      <c r="AG1163" s="264">
        <f t="shared" si="2819"/>
        <v>0</v>
      </c>
      <c r="AH1163" s="264">
        <f t="shared" si="2819"/>
        <v>0</v>
      </c>
      <c r="AI1163" s="264">
        <f t="shared" si="2819"/>
        <v>0</v>
      </c>
      <c r="AJ1163" s="264">
        <f t="shared" si="2819"/>
        <v>0</v>
      </c>
      <c r="AK1163" s="264">
        <f t="shared" si="2819"/>
        <v>0</v>
      </c>
      <c r="AL1163" s="264">
        <f t="shared" si="2819"/>
        <v>0</v>
      </c>
      <c r="AM1163" s="264">
        <f t="shared" si="2819"/>
        <v>0</v>
      </c>
      <c r="AN1163" s="260"/>
      <c r="AO1163" s="264">
        <f t="shared" ref="AO1163" si="2820">IF(AO1147=0,0,AO1155/AO1147)</f>
        <v>0</v>
      </c>
      <c r="AP1163" s="260"/>
      <c r="AQ1163" s="264"/>
      <c r="AR1163" s="264" t="str">
        <f>VLOOKUP($I1163,TableInputsData[],ReadMe!$M$3,FALSE)&amp;"  |  "&amp;VLOOKUP($K1163,TableInputsData[],ReadMe!$M$3,FALSE)</f>
        <v>SERVICE 08  |  PRIX MOYEN DE VENTE PAR PRODUIT/SERVICE</v>
      </c>
      <c r="AS1163" s="264"/>
      <c r="AT1163" s="294"/>
    </row>
    <row r="1164" spans="1:46" ht="13" hidden="1" x14ac:dyDescent="0.2">
      <c r="A1164" s="294"/>
      <c r="B1164" s="925"/>
      <c r="C1164" s="272">
        <v>1157</v>
      </c>
      <c r="D1164" s="250">
        <f t="shared" si="2786"/>
        <v>0</v>
      </c>
      <c r="E1164" s="251"/>
      <c r="F1164" s="248" t="str">
        <f t="shared" si="2808"/>
        <v>YEAR4</v>
      </c>
      <c r="G1164" s="250">
        <f>VLOOKUP(F1164,TableInputsData[],$G$6,FALSE)</f>
        <v>2028</v>
      </c>
      <c r="H1164" s="250" t="str">
        <f t="shared" si="2787"/>
        <v>SERVICE</v>
      </c>
      <c r="I1164" s="248" t="str">
        <f t="shared" si="2787"/>
        <v>SERVICE 08</v>
      </c>
      <c r="J1164" s="248" t="str">
        <f>VLOOKUP(I1164,TableInputsData[],$J$6,FALSE)</f>
        <v>-</v>
      </c>
      <c r="K1164" s="248" t="str">
        <f t="shared" si="2814"/>
        <v>AVERAGE SELLING PRICE PER UNIT</v>
      </c>
      <c r="L1164" s="256"/>
      <c r="M1164" s="256"/>
      <c r="N1164" s="256"/>
      <c r="O1164" s="266"/>
      <c r="P1164" s="261"/>
      <c r="Q1164" s="261"/>
      <c r="R1164" s="261"/>
      <c r="S1164" s="629"/>
      <c r="T1164" s="629"/>
      <c r="U1164" s="629"/>
      <c r="V1164" s="629"/>
      <c r="W1164" s="261"/>
      <c r="X1164" s="261"/>
      <c r="Y1164" s="261"/>
      <c r="Z1164" s="261"/>
      <c r="AA1164" s="261"/>
      <c r="AB1164" s="261"/>
      <c r="AC1164" s="266"/>
      <c r="AD1164" s="633"/>
      <c r="AE1164" s="264">
        <f t="shared" ref="AE1164:AM1164" si="2821">IF(AE1148=0,0,AE1156/AE1148)</f>
        <v>0</v>
      </c>
      <c r="AF1164" s="264">
        <f t="shared" si="2821"/>
        <v>0</v>
      </c>
      <c r="AG1164" s="264">
        <f t="shared" si="2821"/>
        <v>0</v>
      </c>
      <c r="AH1164" s="264">
        <f t="shared" si="2821"/>
        <v>0</v>
      </c>
      <c r="AI1164" s="264">
        <f t="shared" si="2821"/>
        <v>0</v>
      </c>
      <c r="AJ1164" s="264">
        <f t="shared" si="2821"/>
        <v>0</v>
      </c>
      <c r="AK1164" s="264">
        <f t="shared" si="2821"/>
        <v>0</v>
      </c>
      <c r="AL1164" s="264">
        <f t="shared" si="2821"/>
        <v>0</v>
      </c>
      <c r="AM1164" s="264">
        <f t="shared" si="2821"/>
        <v>0</v>
      </c>
      <c r="AN1164" s="260"/>
      <c r="AO1164" s="264">
        <f t="shared" ref="AO1164" si="2822">IF(AO1148=0,0,AO1156/AO1148)</f>
        <v>0</v>
      </c>
      <c r="AP1164" s="260"/>
      <c r="AQ1164" s="264"/>
      <c r="AR1164" s="264" t="str">
        <f>VLOOKUP($I1164,TableInputsData[],ReadMe!$M$3,FALSE)&amp;"  |  "&amp;VLOOKUP($K1164,TableInputsData[],ReadMe!$M$3,FALSE)</f>
        <v>SERVICE 08  |  PRIX MOYEN DE VENTE PAR PRODUIT/SERVICE</v>
      </c>
      <c r="AS1164" s="264"/>
      <c r="AT1164" s="294"/>
    </row>
    <row r="1165" spans="1:46" ht="13" hidden="1" x14ac:dyDescent="0.2">
      <c r="A1165" s="294"/>
      <c r="B1165" s="925"/>
      <c r="C1165" s="271">
        <v>1158</v>
      </c>
      <c r="D1165" s="250">
        <f t="shared" si="2786"/>
        <v>0</v>
      </c>
      <c r="E1165" s="250"/>
      <c r="F1165" s="248" t="str">
        <f t="shared" si="2808"/>
        <v>YEAR5</v>
      </c>
      <c r="G1165" s="250">
        <f>VLOOKUP(F1165,TableInputsData[],$G$6,FALSE)</f>
        <v>2029</v>
      </c>
      <c r="H1165" s="250" t="str">
        <f t="shared" si="2787"/>
        <v>SERVICE</v>
      </c>
      <c r="I1165" s="248" t="str">
        <f t="shared" si="2787"/>
        <v>SERVICE 08</v>
      </c>
      <c r="J1165" s="248" t="str">
        <f>VLOOKUP(I1165,TableInputsData[],$J$6,FALSE)</f>
        <v>-</v>
      </c>
      <c r="K1165" s="248" t="str">
        <f t="shared" si="2814"/>
        <v>AVERAGE SELLING PRICE PER UNIT</v>
      </c>
      <c r="L1165" s="255"/>
      <c r="M1165" s="255"/>
      <c r="N1165" s="255"/>
      <c r="O1165" s="265"/>
      <c r="P1165" s="260"/>
      <c r="Q1165" s="260"/>
      <c r="R1165" s="260"/>
      <c r="S1165" s="630"/>
      <c r="T1165" s="630"/>
      <c r="U1165" s="630"/>
      <c r="V1165" s="630"/>
      <c r="W1165" s="260"/>
      <c r="X1165" s="260"/>
      <c r="Y1165" s="260"/>
      <c r="Z1165" s="260"/>
      <c r="AA1165" s="260"/>
      <c r="AB1165" s="260"/>
      <c r="AC1165" s="265"/>
      <c r="AD1165" s="634"/>
      <c r="AE1165" s="264">
        <f t="shared" ref="AE1165:AM1165" si="2823">IF(AE1149=0,0,AE1157/AE1149)</f>
        <v>0</v>
      </c>
      <c r="AF1165" s="264">
        <f t="shared" si="2823"/>
        <v>0</v>
      </c>
      <c r="AG1165" s="264">
        <f t="shared" si="2823"/>
        <v>0</v>
      </c>
      <c r="AH1165" s="264">
        <f t="shared" si="2823"/>
        <v>0</v>
      </c>
      <c r="AI1165" s="264">
        <f t="shared" si="2823"/>
        <v>0</v>
      </c>
      <c r="AJ1165" s="264">
        <f t="shared" si="2823"/>
        <v>0</v>
      </c>
      <c r="AK1165" s="264">
        <f t="shared" si="2823"/>
        <v>0</v>
      </c>
      <c r="AL1165" s="264">
        <f t="shared" si="2823"/>
        <v>0</v>
      </c>
      <c r="AM1165" s="264">
        <f t="shared" si="2823"/>
        <v>0</v>
      </c>
      <c r="AN1165" s="260"/>
      <c r="AO1165" s="264">
        <f t="shared" ref="AO1165" si="2824">IF(AO1149=0,0,AO1157/AO1149)</f>
        <v>0</v>
      </c>
      <c r="AP1165" s="260"/>
      <c r="AQ1165" s="264"/>
      <c r="AR1165" s="264" t="str">
        <f>VLOOKUP($I1165,TableInputsData[],ReadMe!$M$3,FALSE)&amp;"  |  "&amp;VLOOKUP($K1165,TableInputsData[],ReadMe!$M$3,FALSE)</f>
        <v>SERVICE 08  |  PRIX MOYEN DE VENTE PAR PRODUIT/SERVICE</v>
      </c>
      <c r="AS1165" s="264"/>
      <c r="AT1165" s="294"/>
    </row>
    <row r="1166" spans="1:46" ht="13" hidden="1" x14ac:dyDescent="0.2">
      <c r="A1166" s="294"/>
      <c r="B1166" s="925"/>
      <c r="C1166" s="271">
        <v>1159</v>
      </c>
      <c r="D1166" s="250">
        <f t="shared" si="2786"/>
        <v>0</v>
      </c>
      <c r="E1166" s="250"/>
      <c r="F1166" s="248" t="str">
        <f t="shared" si="2808"/>
        <v>YEAR6</v>
      </c>
      <c r="G1166" s="250">
        <f>VLOOKUP(F1166,TableInputsData[],$G$6,FALSE)</f>
        <v>2030</v>
      </c>
      <c r="H1166" s="250" t="str">
        <f t="shared" si="2787"/>
        <v>SERVICE</v>
      </c>
      <c r="I1166" s="248" t="str">
        <f t="shared" si="2787"/>
        <v>SERVICE 08</v>
      </c>
      <c r="J1166" s="248" t="str">
        <f>VLOOKUP(I1166,TableInputsData[],$J$6,FALSE)</f>
        <v>-</v>
      </c>
      <c r="K1166" s="248" t="str">
        <f t="shared" si="2814"/>
        <v>AVERAGE SELLING PRICE PER UNIT</v>
      </c>
      <c r="L1166" s="255"/>
      <c r="M1166" s="255"/>
      <c r="N1166" s="255"/>
      <c r="O1166" s="265"/>
      <c r="P1166" s="260"/>
      <c r="Q1166" s="260"/>
      <c r="R1166" s="260"/>
      <c r="S1166" s="630"/>
      <c r="T1166" s="630"/>
      <c r="U1166" s="630"/>
      <c r="V1166" s="630"/>
      <c r="W1166" s="260"/>
      <c r="X1166" s="260"/>
      <c r="Y1166" s="260"/>
      <c r="Z1166" s="260"/>
      <c r="AA1166" s="260"/>
      <c r="AB1166" s="260"/>
      <c r="AC1166" s="265"/>
      <c r="AD1166" s="634"/>
      <c r="AE1166" s="264">
        <f t="shared" ref="AE1166:AM1166" si="2825">IF(AE1150=0,0,AE1158/AE1150)</f>
        <v>0</v>
      </c>
      <c r="AF1166" s="264">
        <f t="shared" si="2825"/>
        <v>0</v>
      </c>
      <c r="AG1166" s="264">
        <f t="shared" si="2825"/>
        <v>0</v>
      </c>
      <c r="AH1166" s="264">
        <f t="shared" si="2825"/>
        <v>0</v>
      </c>
      <c r="AI1166" s="264">
        <f t="shared" si="2825"/>
        <v>0</v>
      </c>
      <c r="AJ1166" s="264">
        <f t="shared" si="2825"/>
        <v>0</v>
      </c>
      <c r="AK1166" s="264">
        <f t="shared" si="2825"/>
        <v>0</v>
      </c>
      <c r="AL1166" s="264">
        <f t="shared" si="2825"/>
        <v>0</v>
      </c>
      <c r="AM1166" s="264">
        <f t="shared" si="2825"/>
        <v>0</v>
      </c>
      <c r="AN1166" s="260"/>
      <c r="AO1166" s="264">
        <f t="shared" ref="AO1166" si="2826">IF(AO1150=0,0,AO1158/AO1150)</f>
        <v>0</v>
      </c>
      <c r="AP1166" s="260"/>
      <c r="AQ1166" s="264"/>
      <c r="AR1166" s="264" t="str">
        <f>VLOOKUP($I1166,TableInputsData[],ReadMe!$M$3,FALSE)&amp;"  |  "&amp;VLOOKUP($K1166,TableInputsData[],ReadMe!$M$3,FALSE)</f>
        <v>SERVICE 08  |  PRIX MOYEN DE VENTE PAR PRODUIT/SERVICE</v>
      </c>
      <c r="AS1166" s="264"/>
      <c r="AT1166" s="294"/>
    </row>
    <row r="1167" spans="1:46" ht="13" hidden="1" x14ac:dyDescent="0.2">
      <c r="A1167" s="294"/>
      <c r="B1167" s="925"/>
      <c r="C1167" s="272">
        <v>1160</v>
      </c>
      <c r="D1167" s="250">
        <f t="shared" si="2786"/>
        <v>0</v>
      </c>
      <c r="E1167" s="251"/>
      <c r="F1167" s="248" t="str">
        <f t="shared" ref="F1167:F1174" si="2827">F1175</f>
        <v>YEAR-2</v>
      </c>
      <c r="G1167" s="250">
        <f>VLOOKUP(F1167,TableInputsData[],$G$6,FALSE)</f>
        <v>2023</v>
      </c>
      <c r="H1167" s="250" t="str">
        <f t="shared" si="2787"/>
        <v>SERVICE</v>
      </c>
      <c r="I1167" s="248" t="str">
        <f t="shared" si="2787"/>
        <v>SERVICE 08</v>
      </c>
      <c r="J1167" s="248" t="str">
        <f>VLOOKUP(I1167,TableInputsData[],$J$6,FALSE)</f>
        <v>-</v>
      </c>
      <c r="K1167" s="248" t="s">
        <v>531</v>
      </c>
      <c r="L1167" s="256"/>
      <c r="M1167" s="256"/>
      <c r="N1167" s="256"/>
      <c r="O1167" s="266"/>
      <c r="P1167" s="261"/>
      <c r="Q1167" s="261"/>
      <c r="R1167" s="261"/>
      <c r="S1167" s="629"/>
      <c r="T1167" s="629"/>
      <c r="U1167" s="629"/>
      <c r="V1167" s="629"/>
      <c r="W1167" s="261"/>
      <c r="X1167" s="261"/>
      <c r="Y1167" s="261"/>
      <c r="Z1167" s="261"/>
      <c r="AA1167" s="261"/>
      <c r="AB1167" s="261"/>
      <c r="AC1167" s="266"/>
      <c r="AD1167" s="633"/>
      <c r="AE1167" s="264">
        <f>AE1143*($S1143*$P1143+$T1143*$Q1143+$U1143*$R1143)</f>
        <v>0</v>
      </c>
      <c r="AF1167" s="264">
        <f t="shared" ref="AF1167:AH1167" si="2828">AF1143*($S1143*$P1143+$T1143*$Q1143+$U1143*$R1143)</f>
        <v>0</v>
      </c>
      <c r="AG1167" s="264">
        <f t="shared" si="2828"/>
        <v>0</v>
      </c>
      <c r="AH1167" s="264">
        <f t="shared" si="2828"/>
        <v>0</v>
      </c>
      <c r="AI1167" s="264">
        <f t="shared" ref="AI1167:AI1174" si="2829">$AE1167+$AF1167+$AG1167+$AH1167</f>
        <v>0</v>
      </c>
      <c r="AJ1167" s="264">
        <f t="shared" ref="AJ1167:AJ1174" si="2830">$AJ1143*$S1143</f>
        <v>0</v>
      </c>
      <c r="AK1167" s="264">
        <f t="shared" ref="AK1167:AK1174" si="2831">$AK1143*$T1143</f>
        <v>0</v>
      </c>
      <c r="AL1167" s="264">
        <f t="shared" ref="AL1167:AL1174" si="2832">$AL1143*$U1143</f>
        <v>0</v>
      </c>
      <c r="AM1167" s="264">
        <f t="shared" ref="AM1167:AM1174" si="2833">$AJ1167*$W1143+$AK1167*$X1143+$AL1167*$Y1143</f>
        <v>0</v>
      </c>
      <c r="AN1167" s="640">
        <f t="shared" ref="AN1167:AN1174" si="2834">IF(AI1167=0,0,AM1167/AI1167)</f>
        <v>0</v>
      </c>
      <c r="AO1167" s="264">
        <f t="shared" ref="AO1167:AO1174" si="2835">$AJ1167*$Z1143+$AK1167*$AA1143+$AL1167*$AB1143</f>
        <v>0</v>
      </c>
      <c r="AP1167" s="640">
        <f t="shared" ref="AP1167:AP1174" si="2836">IF(AI1167=0,0,AO1167/AI1167)</f>
        <v>0</v>
      </c>
      <c r="AQ1167" s="264"/>
      <c r="AR1167" s="264" t="str">
        <f>VLOOKUP($I1167,TableInputsData[],ReadMe!$M$3,FALSE)&amp;"  |  "&amp;VLOOKUP($K1167,TableInputsData[],ReadMe!$M$3,FALSE)</f>
        <v>SERVICE 08  |  DEPENSES SUR ACHATS</v>
      </c>
      <c r="AS1167" s="264" t="b">
        <f t="shared" ref="AS1167:AS1174" si="2837">AND(EXACT(ROUND(AI1167,2),ROUND(AJ1167+AK1167+AL1167,2)),EXACT(ROUND(AI1167,2),ROUND(AM1167+AO1167,2)))</f>
        <v>1</v>
      </c>
      <c r="AT1167" s="294"/>
    </row>
    <row r="1168" spans="1:46" ht="13" hidden="1" x14ac:dyDescent="0.2">
      <c r="A1168" s="294"/>
      <c r="B1168" s="925"/>
      <c r="C1168" s="271">
        <v>1161</v>
      </c>
      <c r="D1168" s="250">
        <f t="shared" si="2786"/>
        <v>0</v>
      </c>
      <c r="E1168" s="250"/>
      <c r="F1168" s="248" t="str">
        <f t="shared" si="2827"/>
        <v>YEAR-1</v>
      </c>
      <c r="G1168" s="250">
        <f>VLOOKUP(F1168,TableInputsData[],$G$6,FALSE)</f>
        <v>2024</v>
      </c>
      <c r="H1168" s="250" t="str">
        <f t="shared" si="2787"/>
        <v>SERVICE</v>
      </c>
      <c r="I1168" s="248" t="str">
        <f t="shared" si="2787"/>
        <v>SERVICE 08</v>
      </c>
      <c r="J1168" s="248" t="str">
        <f>VLOOKUP(I1168,TableInputsData[],$J$6,FALSE)</f>
        <v>-</v>
      </c>
      <c r="K1168" s="248" t="str">
        <f>K1167</f>
        <v>COST OF GOODS SOLD</v>
      </c>
      <c r="L1168" s="255"/>
      <c r="M1168" s="255"/>
      <c r="N1168" s="255"/>
      <c r="O1168" s="265"/>
      <c r="P1168" s="260"/>
      <c r="Q1168" s="260"/>
      <c r="R1168" s="260"/>
      <c r="S1168" s="630"/>
      <c r="T1168" s="630"/>
      <c r="U1168" s="630"/>
      <c r="V1168" s="630"/>
      <c r="W1168" s="260"/>
      <c r="X1168" s="260"/>
      <c r="Y1168" s="260"/>
      <c r="Z1168" s="260"/>
      <c r="AA1168" s="260"/>
      <c r="AB1168" s="260"/>
      <c r="AC1168" s="265"/>
      <c r="AD1168" s="634"/>
      <c r="AE1168" s="264">
        <f t="shared" ref="AE1168:AH1168" si="2838">AE1144*($S1144*$P1144+$T1144*$Q1144+$U1144*$R1144)</f>
        <v>0</v>
      </c>
      <c r="AF1168" s="264">
        <f t="shared" si="2838"/>
        <v>0</v>
      </c>
      <c r="AG1168" s="264">
        <f t="shared" si="2838"/>
        <v>0</v>
      </c>
      <c r="AH1168" s="264">
        <f t="shared" si="2838"/>
        <v>0</v>
      </c>
      <c r="AI1168" s="264">
        <f t="shared" si="2829"/>
        <v>0</v>
      </c>
      <c r="AJ1168" s="264">
        <f t="shared" si="2830"/>
        <v>0</v>
      </c>
      <c r="AK1168" s="264">
        <f t="shared" si="2831"/>
        <v>0</v>
      </c>
      <c r="AL1168" s="264">
        <f t="shared" si="2832"/>
        <v>0</v>
      </c>
      <c r="AM1168" s="264">
        <f t="shared" si="2833"/>
        <v>0</v>
      </c>
      <c r="AN1168" s="640">
        <f t="shared" si="2834"/>
        <v>0</v>
      </c>
      <c r="AO1168" s="264">
        <f t="shared" si="2835"/>
        <v>0</v>
      </c>
      <c r="AP1168" s="640">
        <f t="shared" si="2836"/>
        <v>0</v>
      </c>
      <c r="AQ1168" s="264"/>
      <c r="AR1168" s="264" t="str">
        <f>VLOOKUP($I1168,TableInputsData[],ReadMe!$M$3,FALSE)&amp;"  |  "&amp;VLOOKUP($K1168,TableInputsData[],ReadMe!$M$3,FALSE)</f>
        <v>SERVICE 08  |  DEPENSES SUR ACHATS</v>
      </c>
      <c r="AS1168" s="264" t="b">
        <f t="shared" si="2837"/>
        <v>1</v>
      </c>
      <c r="AT1168" s="294"/>
    </row>
    <row r="1169" spans="1:46" ht="13" hidden="1" x14ac:dyDescent="0.2">
      <c r="A1169" s="294"/>
      <c r="B1169" s="925"/>
      <c r="C1169" s="271">
        <v>1162</v>
      </c>
      <c r="D1169" s="250">
        <f t="shared" si="2786"/>
        <v>0</v>
      </c>
      <c r="E1169" s="250"/>
      <c r="F1169" s="248" t="str">
        <f t="shared" si="2827"/>
        <v>CURRENT YEAR</v>
      </c>
      <c r="G1169" s="250">
        <f>VLOOKUP(F1169,TableInputsData[],$G$6,FALSE)</f>
        <v>2025</v>
      </c>
      <c r="H1169" s="250" t="str">
        <f t="shared" si="2787"/>
        <v>SERVICE</v>
      </c>
      <c r="I1169" s="248" t="str">
        <f t="shared" si="2787"/>
        <v>SERVICE 08</v>
      </c>
      <c r="J1169" s="248" t="str">
        <f>VLOOKUP(I1169,TableInputsData[],$J$6,FALSE)</f>
        <v>-</v>
      </c>
      <c r="K1169" s="248" t="str">
        <f t="shared" ref="K1169:K1174" si="2839">K1168</f>
        <v>COST OF GOODS SOLD</v>
      </c>
      <c r="L1169" s="255"/>
      <c r="M1169" s="255"/>
      <c r="N1169" s="255"/>
      <c r="O1169" s="265"/>
      <c r="P1169" s="260"/>
      <c r="Q1169" s="260"/>
      <c r="R1169" s="260"/>
      <c r="S1169" s="630"/>
      <c r="T1169" s="630"/>
      <c r="U1169" s="630"/>
      <c r="V1169" s="630"/>
      <c r="W1169" s="260"/>
      <c r="X1169" s="260"/>
      <c r="Y1169" s="260"/>
      <c r="Z1169" s="260"/>
      <c r="AA1169" s="260"/>
      <c r="AB1169" s="260"/>
      <c r="AC1169" s="265"/>
      <c r="AD1169" s="634"/>
      <c r="AE1169" s="264">
        <f t="shared" ref="AE1169:AH1169" si="2840">AE1145*($S1145*$P1145+$T1145*$Q1145+$U1145*$R1145)</f>
        <v>0</v>
      </c>
      <c r="AF1169" s="264">
        <f t="shared" si="2840"/>
        <v>0</v>
      </c>
      <c r="AG1169" s="264">
        <f t="shared" si="2840"/>
        <v>0</v>
      </c>
      <c r="AH1169" s="264">
        <f t="shared" si="2840"/>
        <v>0</v>
      </c>
      <c r="AI1169" s="264">
        <f t="shared" si="2829"/>
        <v>0</v>
      </c>
      <c r="AJ1169" s="264">
        <f t="shared" si="2830"/>
        <v>0</v>
      </c>
      <c r="AK1169" s="264">
        <f t="shared" si="2831"/>
        <v>0</v>
      </c>
      <c r="AL1169" s="264">
        <f t="shared" si="2832"/>
        <v>0</v>
      </c>
      <c r="AM1169" s="264">
        <f t="shared" si="2833"/>
        <v>0</v>
      </c>
      <c r="AN1169" s="640">
        <f t="shared" si="2834"/>
        <v>0</v>
      </c>
      <c r="AO1169" s="264">
        <f t="shared" si="2835"/>
        <v>0</v>
      </c>
      <c r="AP1169" s="640">
        <f t="shared" si="2836"/>
        <v>0</v>
      </c>
      <c r="AQ1169" s="264"/>
      <c r="AR1169" s="264" t="str">
        <f>VLOOKUP($I1169,TableInputsData[],ReadMe!$M$3,FALSE)&amp;"  |  "&amp;VLOOKUP($K1169,TableInputsData[],ReadMe!$M$3,FALSE)</f>
        <v>SERVICE 08  |  DEPENSES SUR ACHATS</v>
      </c>
      <c r="AS1169" s="264" t="b">
        <f t="shared" si="2837"/>
        <v>1</v>
      </c>
      <c r="AT1169" s="294"/>
    </row>
    <row r="1170" spans="1:46" ht="13" hidden="1" x14ac:dyDescent="0.2">
      <c r="A1170" s="294"/>
      <c r="B1170" s="925"/>
      <c r="C1170" s="271">
        <v>1163</v>
      </c>
      <c r="D1170" s="250">
        <f t="shared" si="2786"/>
        <v>0</v>
      </c>
      <c r="E1170" s="250"/>
      <c r="F1170" s="248" t="str">
        <f t="shared" si="2827"/>
        <v>YEAR2</v>
      </c>
      <c r="G1170" s="250">
        <f>VLOOKUP(F1170,TableInputsData[],$G$6,FALSE)</f>
        <v>2026</v>
      </c>
      <c r="H1170" s="250" t="str">
        <f t="shared" si="2787"/>
        <v>SERVICE</v>
      </c>
      <c r="I1170" s="248" t="str">
        <f t="shared" si="2787"/>
        <v>SERVICE 08</v>
      </c>
      <c r="J1170" s="248" t="str">
        <f>VLOOKUP(I1170,TableInputsData[],$J$6,FALSE)</f>
        <v>-</v>
      </c>
      <c r="K1170" s="248" t="str">
        <f t="shared" si="2839"/>
        <v>COST OF GOODS SOLD</v>
      </c>
      <c r="L1170" s="255"/>
      <c r="M1170" s="255"/>
      <c r="N1170" s="255"/>
      <c r="O1170" s="265"/>
      <c r="P1170" s="260"/>
      <c r="Q1170" s="260"/>
      <c r="R1170" s="260"/>
      <c r="S1170" s="630"/>
      <c r="T1170" s="630"/>
      <c r="U1170" s="630"/>
      <c r="V1170" s="630"/>
      <c r="W1170" s="260"/>
      <c r="X1170" s="260"/>
      <c r="Y1170" s="260"/>
      <c r="Z1170" s="260"/>
      <c r="AA1170" s="260"/>
      <c r="AB1170" s="260"/>
      <c r="AC1170" s="265"/>
      <c r="AD1170" s="634"/>
      <c r="AE1170" s="264">
        <f t="shared" ref="AE1170:AH1170" si="2841">AE1146*($S1146*$P1146+$T1146*$Q1146+$U1146*$R1146)</f>
        <v>0</v>
      </c>
      <c r="AF1170" s="264">
        <f t="shared" si="2841"/>
        <v>0</v>
      </c>
      <c r="AG1170" s="264">
        <f t="shared" si="2841"/>
        <v>0</v>
      </c>
      <c r="AH1170" s="264">
        <f t="shared" si="2841"/>
        <v>0</v>
      </c>
      <c r="AI1170" s="264">
        <f t="shared" si="2829"/>
        <v>0</v>
      </c>
      <c r="AJ1170" s="264">
        <f t="shared" si="2830"/>
        <v>0</v>
      </c>
      <c r="AK1170" s="264">
        <f t="shared" si="2831"/>
        <v>0</v>
      </c>
      <c r="AL1170" s="264">
        <f t="shared" si="2832"/>
        <v>0</v>
      </c>
      <c r="AM1170" s="264">
        <f t="shared" si="2833"/>
        <v>0</v>
      </c>
      <c r="AN1170" s="640">
        <f t="shared" si="2834"/>
        <v>0</v>
      </c>
      <c r="AO1170" s="264">
        <f t="shared" si="2835"/>
        <v>0</v>
      </c>
      <c r="AP1170" s="640">
        <f t="shared" si="2836"/>
        <v>0</v>
      </c>
      <c r="AQ1170" s="264"/>
      <c r="AR1170" s="264" t="str">
        <f>VLOOKUP($I1170,TableInputsData[],ReadMe!$M$3,FALSE)&amp;"  |  "&amp;VLOOKUP($K1170,TableInputsData[],ReadMe!$M$3,FALSE)</f>
        <v>SERVICE 08  |  DEPENSES SUR ACHATS</v>
      </c>
      <c r="AS1170" s="264" t="b">
        <f t="shared" si="2837"/>
        <v>1</v>
      </c>
      <c r="AT1170" s="294"/>
    </row>
    <row r="1171" spans="1:46" ht="13" hidden="1" x14ac:dyDescent="0.2">
      <c r="A1171" s="294"/>
      <c r="B1171" s="925"/>
      <c r="C1171" s="271">
        <v>1164</v>
      </c>
      <c r="D1171" s="250">
        <f t="shared" si="2786"/>
        <v>0</v>
      </c>
      <c r="E1171" s="250"/>
      <c r="F1171" s="248" t="str">
        <f t="shared" si="2827"/>
        <v>YEAR3</v>
      </c>
      <c r="G1171" s="250">
        <f>VLOOKUP(F1171,TableInputsData[],$G$6,FALSE)</f>
        <v>2027</v>
      </c>
      <c r="H1171" s="250" t="str">
        <f t="shared" si="2787"/>
        <v>SERVICE</v>
      </c>
      <c r="I1171" s="248" t="str">
        <f t="shared" si="2787"/>
        <v>SERVICE 08</v>
      </c>
      <c r="J1171" s="248" t="str">
        <f>VLOOKUP(I1171,TableInputsData[],$J$6,FALSE)</f>
        <v>-</v>
      </c>
      <c r="K1171" s="248" t="str">
        <f t="shared" si="2839"/>
        <v>COST OF GOODS SOLD</v>
      </c>
      <c r="L1171" s="255"/>
      <c r="M1171" s="255"/>
      <c r="N1171" s="255"/>
      <c r="O1171" s="265"/>
      <c r="P1171" s="260"/>
      <c r="Q1171" s="260"/>
      <c r="R1171" s="260"/>
      <c r="S1171" s="630"/>
      <c r="T1171" s="630"/>
      <c r="U1171" s="630"/>
      <c r="V1171" s="630"/>
      <c r="W1171" s="260"/>
      <c r="X1171" s="260"/>
      <c r="Y1171" s="260"/>
      <c r="Z1171" s="260"/>
      <c r="AA1171" s="260"/>
      <c r="AB1171" s="260"/>
      <c r="AC1171" s="265"/>
      <c r="AD1171" s="634"/>
      <c r="AE1171" s="264">
        <f t="shared" ref="AE1171:AH1171" si="2842">AE1147*($S1147*$P1147+$T1147*$Q1147+$U1147*$R1147)</f>
        <v>0</v>
      </c>
      <c r="AF1171" s="264">
        <f t="shared" si="2842"/>
        <v>0</v>
      </c>
      <c r="AG1171" s="264">
        <f t="shared" si="2842"/>
        <v>0</v>
      </c>
      <c r="AH1171" s="264">
        <f t="shared" si="2842"/>
        <v>0</v>
      </c>
      <c r="AI1171" s="264">
        <f t="shared" si="2829"/>
        <v>0</v>
      </c>
      <c r="AJ1171" s="264">
        <f t="shared" si="2830"/>
        <v>0</v>
      </c>
      <c r="AK1171" s="264">
        <f t="shared" si="2831"/>
        <v>0</v>
      </c>
      <c r="AL1171" s="264">
        <f t="shared" si="2832"/>
        <v>0</v>
      </c>
      <c r="AM1171" s="264">
        <f t="shared" si="2833"/>
        <v>0</v>
      </c>
      <c r="AN1171" s="640">
        <f t="shared" si="2834"/>
        <v>0</v>
      </c>
      <c r="AO1171" s="264">
        <f t="shared" si="2835"/>
        <v>0</v>
      </c>
      <c r="AP1171" s="640">
        <f t="shared" si="2836"/>
        <v>0</v>
      </c>
      <c r="AQ1171" s="264"/>
      <c r="AR1171" s="264" t="str">
        <f>VLOOKUP($I1171,TableInputsData[],ReadMe!$M$3,FALSE)&amp;"  |  "&amp;VLOOKUP($K1171,TableInputsData[],ReadMe!$M$3,FALSE)</f>
        <v>SERVICE 08  |  DEPENSES SUR ACHATS</v>
      </c>
      <c r="AS1171" s="264" t="b">
        <f t="shared" si="2837"/>
        <v>1</v>
      </c>
      <c r="AT1171" s="294"/>
    </row>
    <row r="1172" spans="1:46" ht="13" hidden="1" x14ac:dyDescent="0.2">
      <c r="A1172" s="294"/>
      <c r="B1172" s="925"/>
      <c r="C1172" s="271">
        <v>1165</v>
      </c>
      <c r="D1172" s="250">
        <f t="shared" si="2786"/>
        <v>0</v>
      </c>
      <c r="E1172" s="250"/>
      <c r="F1172" s="248" t="str">
        <f t="shared" si="2827"/>
        <v>YEAR4</v>
      </c>
      <c r="G1172" s="250">
        <f>VLOOKUP(F1172,TableInputsData[],$G$6,FALSE)</f>
        <v>2028</v>
      </c>
      <c r="H1172" s="250" t="str">
        <f t="shared" si="2787"/>
        <v>SERVICE</v>
      </c>
      <c r="I1172" s="248" t="str">
        <f t="shared" si="2787"/>
        <v>SERVICE 08</v>
      </c>
      <c r="J1172" s="248" t="str">
        <f>VLOOKUP(I1172,TableInputsData[],$J$6,FALSE)</f>
        <v>-</v>
      </c>
      <c r="K1172" s="248" t="str">
        <f t="shared" si="2839"/>
        <v>COST OF GOODS SOLD</v>
      </c>
      <c r="L1172" s="255"/>
      <c r="M1172" s="255"/>
      <c r="N1172" s="255"/>
      <c r="O1172" s="265"/>
      <c r="P1172" s="260"/>
      <c r="Q1172" s="260"/>
      <c r="R1172" s="260"/>
      <c r="S1172" s="630"/>
      <c r="T1172" s="630"/>
      <c r="U1172" s="630"/>
      <c r="V1172" s="630"/>
      <c r="W1172" s="260"/>
      <c r="X1172" s="260"/>
      <c r="Y1172" s="260"/>
      <c r="Z1172" s="260"/>
      <c r="AA1172" s="260"/>
      <c r="AB1172" s="260"/>
      <c r="AC1172" s="265"/>
      <c r="AD1172" s="634"/>
      <c r="AE1172" s="264">
        <f t="shared" ref="AE1172:AH1172" si="2843">AE1148*($S1148*$P1148+$T1148*$Q1148+$U1148*$R1148)</f>
        <v>0</v>
      </c>
      <c r="AF1172" s="264">
        <f t="shared" si="2843"/>
        <v>0</v>
      </c>
      <c r="AG1172" s="264">
        <f t="shared" si="2843"/>
        <v>0</v>
      </c>
      <c r="AH1172" s="264">
        <f t="shared" si="2843"/>
        <v>0</v>
      </c>
      <c r="AI1172" s="264">
        <f t="shared" si="2829"/>
        <v>0</v>
      </c>
      <c r="AJ1172" s="264">
        <f t="shared" si="2830"/>
        <v>0</v>
      </c>
      <c r="AK1172" s="264">
        <f t="shared" si="2831"/>
        <v>0</v>
      </c>
      <c r="AL1172" s="264">
        <f t="shared" si="2832"/>
        <v>0</v>
      </c>
      <c r="AM1172" s="264">
        <f t="shared" si="2833"/>
        <v>0</v>
      </c>
      <c r="AN1172" s="640">
        <f t="shared" si="2834"/>
        <v>0</v>
      </c>
      <c r="AO1172" s="264">
        <f t="shared" si="2835"/>
        <v>0</v>
      </c>
      <c r="AP1172" s="640">
        <f t="shared" si="2836"/>
        <v>0</v>
      </c>
      <c r="AQ1172" s="264"/>
      <c r="AR1172" s="264" t="str">
        <f>VLOOKUP($I1172,TableInputsData[],ReadMe!$M$3,FALSE)&amp;"  |  "&amp;VLOOKUP($K1172,TableInputsData[],ReadMe!$M$3,FALSE)</f>
        <v>SERVICE 08  |  DEPENSES SUR ACHATS</v>
      </c>
      <c r="AS1172" s="264" t="b">
        <f t="shared" si="2837"/>
        <v>1</v>
      </c>
      <c r="AT1172" s="294"/>
    </row>
    <row r="1173" spans="1:46" ht="13" hidden="1" x14ac:dyDescent="0.2">
      <c r="A1173" s="294"/>
      <c r="B1173" s="925"/>
      <c r="C1173" s="271">
        <v>1166</v>
      </c>
      <c r="D1173" s="250">
        <f t="shared" si="2786"/>
        <v>0</v>
      </c>
      <c r="E1173" s="250"/>
      <c r="F1173" s="248" t="str">
        <f t="shared" si="2827"/>
        <v>YEAR5</v>
      </c>
      <c r="G1173" s="250">
        <f>VLOOKUP(F1173,TableInputsData[],$G$6,FALSE)</f>
        <v>2029</v>
      </c>
      <c r="H1173" s="250" t="str">
        <f t="shared" si="2787"/>
        <v>SERVICE</v>
      </c>
      <c r="I1173" s="248" t="str">
        <f t="shared" si="2787"/>
        <v>SERVICE 08</v>
      </c>
      <c r="J1173" s="248" t="str">
        <f>VLOOKUP(I1173,TableInputsData[],$J$6,FALSE)</f>
        <v>-</v>
      </c>
      <c r="K1173" s="248" t="str">
        <f t="shared" si="2839"/>
        <v>COST OF GOODS SOLD</v>
      </c>
      <c r="L1173" s="255"/>
      <c r="M1173" s="255"/>
      <c r="N1173" s="255"/>
      <c r="O1173" s="265"/>
      <c r="P1173" s="260"/>
      <c r="Q1173" s="260"/>
      <c r="R1173" s="260"/>
      <c r="S1173" s="630"/>
      <c r="T1173" s="630"/>
      <c r="U1173" s="630"/>
      <c r="V1173" s="630"/>
      <c r="W1173" s="260"/>
      <c r="X1173" s="260"/>
      <c r="Y1173" s="260"/>
      <c r="Z1173" s="260"/>
      <c r="AA1173" s="260"/>
      <c r="AB1173" s="260"/>
      <c r="AC1173" s="265"/>
      <c r="AD1173" s="634"/>
      <c r="AE1173" s="264">
        <f t="shared" ref="AE1173:AH1173" si="2844">AE1149*($S1149*$P1149+$T1149*$Q1149+$U1149*$R1149)</f>
        <v>0</v>
      </c>
      <c r="AF1173" s="264">
        <f t="shared" si="2844"/>
        <v>0</v>
      </c>
      <c r="AG1173" s="264">
        <f t="shared" si="2844"/>
        <v>0</v>
      </c>
      <c r="AH1173" s="264">
        <f t="shared" si="2844"/>
        <v>0</v>
      </c>
      <c r="AI1173" s="264">
        <f t="shared" si="2829"/>
        <v>0</v>
      </c>
      <c r="AJ1173" s="264">
        <f t="shared" si="2830"/>
        <v>0</v>
      </c>
      <c r="AK1173" s="264">
        <f t="shared" si="2831"/>
        <v>0</v>
      </c>
      <c r="AL1173" s="264">
        <f t="shared" si="2832"/>
        <v>0</v>
      </c>
      <c r="AM1173" s="264">
        <f t="shared" si="2833"/>
        <v>0</v>
      </c>
      <c r="AN1173" s="640">
        <f t="shared" si="2834"/>
        <v>0</v>
      </c>
      <c r="AO1173" s="264">
        <f t="shared" si="2835"/>
        <v>0</v>
      </c>
      <c r="AP1173" s="640">
        <f t="shared" si="2836"/>
        <v>0</v>
      </c>
      <c r="AQ1173" s="264"/>
      <c r="AR1173" s="264" t="str">
        <f>VLOOKUP($I1173,TableInputsData[],ReadMe!$M$3,FALSE)&amp;"  |  "&amp;VLOOKUP($K1173,TableInputsData[],ReadMe!$M$3,FALSE)</f>
        <v>SERVICE 08  |  DEPENSES SUR ACHATS</v>
      </c>
      <c r="AS1173" s="264" t="b">
        <f t="shared" si="2837"/>
        <v>1</v>
      </c>
      <c r="AT1173" s="294"/>
    </row>
    <row r="1174" spans="1:46" ht="13" hidden="1" x14ac:dyDescent="0.2">
      <c r="A1174" s="294"/>
      <c r="B1174" s="925"/>
      <c r="C1174" s="271">
        <v>1167</v>
      </c>
      <c r="D1174" s="250">
        <f t="shared" si="2786"/>
        <v>0</v>
      </c>
      <c r="E1174" s="250"/>
      <c r="F1174" s="248" t="str">
        <f t="shared" si="2827"/>
        <v>YEAR6</v>
      </c>
      <c r="G1174" s="250">
        <f>VLOOKUP(F1174,TableInputsData[],$G$6,FALSE)</f>
        <v>2030</v>
      </c>
      <c r="H1174" s="250" t="str">
        <f t="shared" si="2787"/>
        <v>SERVICE</v>
      </c>
      <c r="I1174" s="248" t="str">
        <f t="shared" si="2787"/>
        <v>SERVICE 08</v>
      </c>
      <c r="J1174" s="248" t="str">
        <f>VLOOKUP(I1174,TableInputsData[],$J$6,FALSE)</f>
        <v>-</v>
      </c>
      <c r="K1174" s="248" t="str">
        <f t="shared" si="2839"/>
        <v>COST OF GOODS SOLD</v>
      </c>
      <c r="L1174" s="255"/>
      <c r="M1174" s="255"/>
      <c r="N1174" s="255"/>
      <c r="O1174" s="265"/>
      <c r="P1174" s="260"/>
      <c r="Q1174" s="260"/>
      <c r="R1174" s="260"/>
      <c r="S1174" s="630"/>
      <c r="T1174" s="630"/>
      <c r="U1174" s="630"/>
      <c r="V1174" s="630"/>
      <c r="W1174" s="260"/>
      <c r="X1174" s="260"/>
      <c r="Y1174" s="260"/>
      <c r="Z1174" s="260"/>
      <c r="AA1174" s="260"/>
      <c r="AB1174" s="260"/>
      <c r="AC1174" s="265"/>
      <c r="AD1174" s="634"/>
      <c r="AE1174" s="264">
        <f t="shared" ref="AE1174:AH1174" si="2845">AE1150*($S1150*$P1150+$T1150*$Q1150+$U1150*$R1150)</f>
        <v>0</v>
      </c>
      <c r="AF1174" s="264">
        <f t="shared" si="2845"/>
        <v>0</v>
      </c>
      <c r="AG1174" s="264">
        <f t="shared" si="2845"/>
        <v>0</v>
      </c>
      <c r="AH1174" s="264">
        <f t="shared" si="2845"/>
        <v>0</v>
      </c>
      <c r="AI1174" s="264">
        <f t="shared" si="2829"/>
        <v>0</v>
      </c>
      <c r="AJ1174" s="264">
        <f t="shared" si="2830"/>
        <v>0</v>
      </c>
      <c r="AK1174" s="264">
        <f t="shared" si="2831"/>
        <v>0</v>
      </c>
      <c r="AL1174" s="264">
        <f t="shared" si="2832"/>
        <v>0</v>
      </c>
      <c r="AM1174" s="264">
        <f t="shared" si="2833"/>
        <v>0</v>
      </c>
      <c r="AN1174" s="640">
        <f t="shared" si="2834"/>
        <v>0</v>
      </c>
      <c r="AO1174" s="264">
        <f t="shared" si="2835"/>
        <v>0</v>
      </c>
      <c r="AP1174" s="640">
        <f t="shared" si="2836"/>
        <v>0</v>
      </c>
      <c r="AQ1174" s="264"/>
      <c r="AR1174" s="264" t="str">
        <f>VLOOKUP($I1174,TableInputsData[],ReadMe!$M$3,FALSE)&amp;"  |  "&amp;VLOOKUP($K1174,TableInputsData[],ReadMe!$M$3,FALSE)</f>
        <v>SERVICE 08  |  DEPENSES SUR ACHATS</v>
      </c>
      <c r="AS1174" s="264" t="b">
        <f t="shared" si="2837"/>
        <v>1</v>
      </c>
      <c r="AT1174" s="294"/>
    </row>
    <row r="1175" spans="1:46" ht="13" hidden="1" x14ac:dyDescent="0.2">
      <c r="A1175" s="294"/>
      <c r="B1175" s="925"/>
      <c r="C1175" s="272">
        <v>1168</v>
      </c>
      <c r="D1175" s="250">
        <f t="shared" si="2786"/>
        <v>0</v>
      </c>
      <c r="E1175" s="251"/>
      <c r="F1175" s="248" t="str">
        <f t="shared" ref="F1175:F1182" si="2846">F1151</f>
        <v>YEAR-2</v>
      </c>
      <c r="G1175" s="250">
        <f>VLOOKUP(F1175,TableInputsData[],$G$6,FALSE)</f>
        <v>2023</v>
      </c>
      <c r="H1175" s="250" t="str">
        <f t="shared" si="2787"/>
        <v>SERVICE</v>
      </c>
      <c r="I1175" s="248" t="str">
        <f t="shared" si="2787"/>
        <v>SERVICE 08</v>
      </c>
      <c r="J1175" s="248" t="str">
        <f>VLOOKUP(I1175,TableInputsData[],$J$6,FALSE)</f>
        <v>-</v>
      </c>
      <c r="K1175" s="248" t="s">
        <v>532</v>
      </c>
      <c r="L1175" s="256"/>
      <c r="M1175" s="256"/>
      <c r="N1175" s="256"/>
      <c r="O1175" s="266"/>
      <c r="P1175" s="261"/>
      <c r="Q1175" s="261"/>
      <c r="R1175" s="261"/>
      <c r="S1175" s="629"/>
      <c r="T1175" s="629"/>
      <c r="U1175" s="629"/>
      <c r="V1175" s="629"/>
      <c r="W1175" s="261"/>
      <c r="X1175" s="261"/>
      <c r="Y1175" s="261"/>
      <c r="Z1175" s="261"/>
      <c r="AA1175" s="261"/>
      <c r="AB1175" s="261"/>
      <c r="AC1175" s="266"/>
      <c r="AD1175" s="633"/>
      <c r="AE1175" s="264">
        <f>IF(AE1143=0,0,AE1167/AE1143)</f>
        <v>0</v>
      </c>
      <c r="AF1175" s="264">
        <f t="shared" ref="AF1175:AI1175" si="2847">IF(AF1143=0,0,AF1167/AF1143)</f>
        <v>0</v>
      </c>
      <c r="AG1175" s="264">
        <f t="shared" si="2847"/>
        <v>0</v>
      </c>
      <c r="AH1175" s="264">
        <f t="shared" si="2847"/>
        <v>0</v>
      </c>
      <c r="AI1175" s="264">
        <f t="shared" si="2847"/>
        <v>0</v>
      </c>
      <c r="AJ1175" s="264">
        <f>IF(AJ1143=0,0,AJ1167/AJ1143)</f>
        <v>0</v>
      </c>
      <c r="AK1175" s="264">
        <f t="shared" ref="AK1175:AL1175" si="2848">IF(AK1143=0,0,AK1167/AK1143)</f>
        <v>0</v>
      </c>
      <c r="AL1175" s="264">
        <f t="shared" si="2848"/>
        <v>0</v>
      </c>
      <c r="AM1175" s="264">
        <f>IF(AM1143=0,0,AM1167/AM1143)</f>
        <v>0</v>
      </c>
      <c r="AN1175" s="260"/>
      <c r="AO1175" s="264">
        <f t="shared" ref="AO1175" si="2849">IF(AO1143=0,0,AO1167/AO1143)</f>
        <v>0</v>
      </c>
      <c r="AP1175" s="260"/>
      <c r="AQ1175" s="264"/>
      <c r="AR1175" s="264" t="str">
        <f>VLOOKUP($I1175,TableInputsData[],ReadMe!$M$3,FALSE)&amp;"  |  "&amp;VLOOKUP($K1175,TableInputsData[],ReadMe!$M$3,FALSE)</f>
        <v>SERVICE 08  |  PRIX MOYEN D'ACHAT PAR PRODUIT/SERVICE</v>
      </c>
      <c r="AS1175" s="264"/>
      <c r="AT1175" s="294"/>
    </row>
    <row r="1176" spans="1:46" ht="13" hidden="1" x14ac:dyDescent="0.2">
      <c r="A1176" s="294"/>
      <c r="B1176" s="925"/>
      <c r="C1176" s="272">
        <v>1169</v>
      </c>
      <c r="D1176" s="250">
        <f t="shared" si="2786"/>
        <v>0</v>
      </c>
      <c r="E1176" s="251"/>
      <c r="F1176" s="248" t="str">
        <f t="shared" si="2846"/>
        <v>YEAR-1</v>
      </c>
      <c r="G1176" s="250">
        <f>VLOOKUP(F1176,TableInputsData[],$G$6,FALSE)</f>
        <v>2024</v>
      </c>
      <c r="H1176" s="250" t="str">
        <f t="shared" si="2787"/>
        <v>SERVICE</v>
      </c>
      <c r="I1176" s="248" t="str">
        <f t="shared" si="2787"/>
        <v>SERVICE 08</v>
      </c>
      <c r="J1176" s="248" t="str">
        <f>VLOOKUP(I1176,TableInputsData[],$J$6,FALSE)</f>
        <v>-</v>
      </c>
      <c r="K1176" s="248" t="str">
        <f>K1175</f>
        <v>AVERAGE COST OF GOODS SOLD PER UNIT</v>
      </c>
      <c r="L1176" s="256"/>
      <c r="M1176" s="256"/>
      <c r="N1176" s="256"/>
      <c r="O1176" s="266"/>
      <c r="P1176" s="261"/>
      <c r="Q1176" s="261"/>
      <c r="R1176" s="261"/>
      <c r="S1176" s="629"/>
      <c r="T1176" s="629"/>
      <c r="U1176" s="629"/>
      <c r="V1176" s="629"/>
      <c r="W1176" s="261"/>
      <c r="X1176" s="261"/>
      <c r="Y1176" s="261"/>
      <c r="Z1176" s="261"/>
      <c r="AA1176" s="261"/>
      <c r="AB1176" s="261"/>
      <c r="AC1176" s="266"/>
      <c r="AD1176" s="633"/>
      <c r="AE1176" s="264">
        <f t="shared" ref="AE1176:AL1176" si="2850">IF(AE1144=0,0,AE1168/AE1144)</f>
        <v>0</v>
      </c>
      <c r="AF1176" s="264">
        <f t="shared" si="2850"/>
        <v>0</v>
      </c>
      <c r="AG1176" s="264">
        <f t="shared" si="2850"/>
        <v>0</v>
      </c>
      <c r="AH1176" s="264">
        <f t="shared" si="2850"/>
        <v>0</v>
      </c>
      <c r="AI1176" s="264">
        <f t="shared" si="2850"/>
        <v>0</v>
      </c>
      <c r="AJ1176" s="264">
        <f t="shared" si="2850"/>
        <v>0</v>
      </c>
      <c r="AK1176" s="264">
        <f t="shared" si="2850"/>
        <v>0</v>
      </c>
      <c r="AL1176" s="264">
        <f t="shared" si="2850"/>
        <v>0</v>
      </c>
      <c r="AM1176" s="264">
        <f>IF(AM1144=0,0,AM1168/AM1144)</f>
        <v>0</v>
      </c>
      <c r="AN1176" s="260"/>
      <c r="AO1176" s="264">
        <f>IF(AO1144=0,0,AO1168/AO1144)</f>
        <v>0</v>
      </c>
      <c r="AP1176" s="260"/>
      <c r="AQ1176" s="264"/>
      <c r="AR1176" s="264" t="str">
        <f>VLOOKUP($I1176,TableInputsData[],ReadMe!$M$3,FALSE)&amp;"  |  "&amp;VLOOKUP($K1176,TableInputsData[],ReadMe!$M$3,FALSE)</f>
        <v>SERVICE 08  |  PRIX MOYEN D'ACHAT PAR PRODUIT/SERVICE</v>
      </c>
      <c r="AS1176" s="264"/>
      <c r="AT1176" s="294"/>
    </row>
    <row r="1177" spans="1:46" ht="13" hidden="1" x14ac:dyDescent="0.2">
      <c r="A1177" s="294"/>
      <c r="B1177" s="925"/>
      <c r="C1177" s="272">
        <v>1170</v>
      </c>
      <c r="D1177" s="250">
        <f t="shared" si="2786"/>
        <v>0</v>
      </c>
      <c r="E1177" s="251"/>
      <c r="F1177" s="248" t="str">
        <f t="shared" si="2846"/>
        <v>CURRENT YEAR</v>
      </c>
      <c r="G1177" s="250">
        <f>VLOOKUP(F1177,TableInputsData[],$G$6,FALSE)</f>
        <v>2025</v>
      </c>
      <c r="H1177" s="250" t="str">
        <f t="shared" si="2787"/>
        <v>SERVICE</v>
      </c>
      <c r="I1177" s="248" t="str">
        <f t="shared" si="2787"/>
        <v>SERVICE 08</v>
      </c>
      <c r="J1177" s="248" t="str">
        <f>VLOOKUP(I1177,TableInputsData[],$J$6,FALSE)</f>
        <v>-</v>
      </c>
      <c r="K1177" s="248" t="str">
        <f t="shared" ref="K1177:K1182" si="2851">K1176</f>
        <v>AVERAGE COST OF GOODS SOLD PER UNIT</v>
      </c>
      <c r="L1177" s="256"/>
      <c r="M1177" s="256"/>
      <c r="N1177" s="256"/>
      <c r="O1177" s="266"/>
      <c r="P1177" s="261"/>
      <c r="Q1177" s="261"/>
      <c r="R1177" s="261"/>
      <c r="S1177" s="629"/>
      <c r="T1177" s="629"/>
      <c r="U1177" s="629"/>
      <c r="V1177" s="629"/>
      <c r="W1177" s="261"/>
      <c r="X1177" s="261"/>
      <c r="Y1177" s="261"/>
      <c r="Z1177" s="261"/>
      <c r="AA1177" s="261"/>
      <c r="AB1177" s="261"/>
      <c r="AC1177" s="266"/>
      <c r="AD1177" s="633"/>
      <c r="AE1177" s="264">
        <f t="shared" ref="AE1177:AL1177" si="2852">IF(AE1145=0,0,AE1169/AE1145)</f>
        <v>0</v>
      </c>
      <c r="AF1177" s="264">
        <f t="shared" si="2852"/>
        <v>0</v>
      </c>
      <c r="AG1177" s="264">
        <f t="shared" si="2852"/>
        <v>0</v>
      </c>
      <c r="AH1177" s="264">
        <f t="shared" si="2852"/>
        <v>0</v>
      </c>
      <c r="AI1177" s="264">
        <f t="shared" si="2852"/>
        <v>0</v>
      </c>
      <c r="AJ1177" s="264">
        <f t="shared" si="2852"/>
        <v>0</v>
      </c>
      <c r="AK1177" s="264">
        <f t="shared" si="2852"/>
        <v>0</v>
      </c>
      <c r="AL1177" s="264">
        <f t="shared" si="2852"/>
        <v>0</v>
      </c>
      <c r="AM1177" s="264">
        <f>IF(AM1145=0,0,AM1169/AM1145)</f>
        <v>0</v>
      </c>
      <c r="AN1177" s="260"/>
      <c r="AO1177" s="264">
        <f>IF(AO1145=0,0,AO1169/AO1145)</f>
        <v>0</v>
      </c>
      <c r="AP1177" s="260"/>
      <c r="AQ1177" s="264"/>
      <c r="AR1177" s="264" t="str">
        <f>VLOOKUP($I1177,TableInputsData[],ReadMe!$M$3,FALSE)&amp;"  |  "&amp;VLOOKUP($K1177,TableInputsData[],ReadMe!$M$3,FALSE)</f>
        <v>SERVICE 08  |  PRIX MOYEN D'ACHAT PAR PRODUIT/SERVICE</v>
      </c>
      <c r="AS1177" s="264"/>
      <c r="AT1177" s="294"/>
    </row>
    <row r="1178" spans="1:46" ht="13" hidden="1" x14ac:dyDescent="0.2">
      <c r="A1178" s="294"/>
      <c r="B1178" s="925"/>
      <c r="C1178" s="272">
        <v>1171</v>
      </c>
      <c r="D1178" s="250">
        <f t="shared" si="2786"/>
        <v>0</v>
      </c>
      <c r="E1178" s="251"/>
      <c r="F1178" s="248" t="str">
        <f t="shared" si="2846"/>
        <v>YEAR2</v>
      </c>
      <c r="G1178" s="250">
        <f>VLOOKUP(F1178,TableInputsData[],$G$6,FALSE)</f>
        <v>2026</v>
      </c>
      <c r="H1178" s="250" t="str">
        <f t="shared" si="2787"/>
        <v>SERVICE</v>
      </c>
      <c r="I1178" s="248" t="str">
        <f t="shared" si="2787"/>
        <v>SERVICE 08</v>
      </c>
      <c r="J1178" s="248" t="str">
        <f>VLOOKUP(I1178,TableInputsData[],$J$6,FALSE)</f>
        <v>-</v>
      </c>
      <c r="K1178" s="248" t="str">
        <f t="shared" si="2851"/>
        <v>AVERAGE COST OF GOODS SOLD PER UNIT</v>
      </c>
      <c r="L1178" s="256"/>
      <c r="M1178" s="256"/>
      <c r="N1178" s="256"/>
      <c r="O1178" s="266"/>
      <c r="P1178" s="261"/>
      <c r="Q1178" s="261"/>
      <c r="R1178" s="261"/>
      <c r="S1178" s="629"/>
      <c r="T1178" s="629"/>
      <c r="U1178" s="629"/>
      <c r="V1178" s="629"/>
      <c r="W1178" s="261"/>
      <c r="X1178" s="261"/>
      <c r="Y1178" s="261"/>
      <c r="Z1178" s="261"/>
      <c r="AA1178" s="261"/>
      <c r="AB1178" s="261"/>
      <c r="AC1178" s="266"/>
      <c r="AD1178" s="633"/>
      <c r="AE1178" s="264">
        <f t="shared" ref="AE1178:AM1178" si="2853">IF(AE1146=0,0,AE1170/AE1146)</f>
        <v>0</v>
      </c>
      <c r="AF1178" s="264">
        <f t="shared" si="2853"/>
        <v>0</v>
      </c>
      <c r="AG1178" s="264">
        <f t="shared" si="2853"/>
        <v>0</v>
      </c>
      <c r="AH1178" s="264">
        <f t="shared" si="2853"/>
        <v>0</v>
      </c>
      <c r="AI1178" s="264">
        <f t="shared" si="2853"/>
        <v>0</v>
      </c>
      <c r="AJ1178" s="264">
        <f t="shared" si="2853"/>
        <v>0</v>
      </c>
      <c r="AK1178" s="264">
        <f t="shared" si="2853"/>
        <v>0</v>
      </c>
      <c r="AL1178" s="264">
        <f t="shared" si="2853"/>
        <v>0</v>
      </c>
      <c r="AM1178" s="264">
        <f t="shared" si="2853"/>
        <v>0</v>
      </c>
      <c r="AN1178" s="260"/>
      <c r="AO1178" s="264">
        <f t="shared" ref="AO1178" si="2854">IF(AO1146=0,0,AO1170/AO1146)</f>
        <v>0</v>
      </c>
      <c r="AP1178" s="260"/>
      <c r="AQ1178" s="264"/>
      <c r="AR1178" s="264" t="str">
        <f>VLOOKUP($I1178,TableInputsData[],ReadMe!$M$3,FALSE)&amp;"  |  "&amp;VLOOKUP($K1178,TableInputsData[],ReadMe!$M$3,FALSE)</f>
        <v>SERVICE 08  |  PRIX MOYEN D'ACHAT PAR PRODUIT/SERVICE</v>
      </c>
      <c r="AS1178" s="264"/>
      <c r="AT1178" s="294"/>
    </row>
    <row r="1179" spans="1:46" ht="13" hidden="1" x14ac:dyDescent="0.2">
      <c r="A1179" s="294"/>
      <c r="B1179" s="925"/>
      <c r="C1179" s="272">
        <v>1172</v>
      </c>
      <c r="D1179" s="250">
        <f t="shared" si="2786"/>
        <v>0</v>
      </c>
      <c r="E1179" s="251"/>
      <c r="F1179" s="248" t="str">
        <f t="shared" si="2846"/>
        <v>YEAR3</v>
      </c>
      <c r="G1179" s="250">
        <f>VLOOKUP(F1179,TableInputsData[],$G$6,FALSE)</f>
        <v>2027</v>
      </c>
      <c r="H1179" s="250" t="str">
        <f t="shared" si="2787"/>
        <v>SERVICE</v>
      </c>
      <c r="I1179" s="248" t="str">
        <f t="shared" si="2787"/>
        <v>SERVICE 08</v>
      </c>
      <c r="J1179" s="248" t="str">
        <f>VLOOKUP(I1179,TableInputsData[],$J$6,FALSE)</f>
        <v>-</v>
      </c>
      <c r="K1179" s="248" t="str">
        <f t="shared" si="2851"/>
        <v>AVERAGE COST OF GOODS SOLD PER UNIT</v>
      </c>
      <c r="L1179" s="256"/>
      <c r="M1179" s="256"/>
      <c r="N1179" s="256"/>
      <c r="O1179" s="266"/>
      <c r="P1179" s="261"/>
      <c r="Q1179" s="261"/>
      <c r="R1179" s="261"/>
      <c r="S1179" s="629"/>
      <c r="T1179" s="629"/>
      <c r="U1179" s="629"/>
      <c r="V1179" s="629"/>
      <c r="W1179" s="261"/>
      <c r="X1179" s="261"/>
      <c r="Y1179" s="261"/>
      <c r="Z1179" s="261"/>
      <c r="AA1179" s="261"/>
      <c r="AB1179" s="261"/>
      <c r="AC1179" s="266"/>
      <c r="AD1179" s="633"/>
      <c r="AE1179" s="264">
        <f t="shared" ref="AE1179:AM1179" si="2855">IF(AE1147=0,0,AE1171/AE1147)</f>
        <v>0</v>
      </c>
      <c r="AF1179" s="264">
        <f t="shared" si="2855"/>
        <v>0</v>
      </c>
      <c r="AG1179" s="264">
        <f t="shared" si="2855"/>
        <v>0</v>
      </c>
      <c r="AH1179" s="264">
        <f t="shared" si="2855"/>
        <v>0</v>
      </c>
      <c r="AI1179" s="264">
        <f t="shared" si="2855"/>
        <v>0</v>
      </c>
      <c r="AJ1179" s="264">
        <f t="shared" si="2855"/>
        <v>0</v>
      </c>
      <c r="AK1179" s="264">
        <f t="shared" si="2855"/>
        <v>0</v>
      </c>
      <c r="AL1179" s="264">
        <f t="shared" si="2855"/>
        <v>0</v>
      </c>
      <c r="AM1179" s="264">
        <f t="shared" si="2855"/>
        <v>0</v>
      </c>
      <c r="AN1179" s="260"/>
      <c r="AO1179" s="264">
        <f t="shared" ref="AO1179" si="2856">IF(AO1147=0,0,AO1171/AO1147)</f>
        <v>0</v>
      </c>
      <c r="AP1179" s="260"/>
      <c r="AQ1179" s="264"/>
      <c r="AR1179" s="264" t="str">
        <f>VLOOKUP($I1179,TableInputsData[],ReadMe!$M$3,FALSE)&amp;"  |  "&amp;VLOOKUP($K1179,TableInputsData[],ReadMe!$M$3,FALSE)</f>
        <v>SERVICE 08  |  PRIX MOYEN D'ACHAT PAR PRODUIT/SERVICE</v>
      </c>
      <c r="AS1179" s="264"/>
      <c r="AT1179" s="294"/>
    </row>
    <row r="1180" spans="1:46" ht="13" hidden="1" x14ac:dyDescent="0.2">
      <c r="A1180" s="294"/>
      <c r="B1180" s="925"/>
      <c r="C1180" s="272">
        <v>1173</v>
      </c>
      <c r="D1180" s="250">
        <f t="shared" si="2786"/>
        <v>0</v>
      </c>
      <c r="E1180" s="251"/>
      <c r="F1180" s="248" t="str">
        <f t="shared" si="2846"/>
        <v>YEAR4</v>
      </c>
      <c r="G1180" s="250">
        <f>VLOOKUP(F1180,TableInputsData[],$G$6,FALSE)</f>
        <v>2028</v>
      </c>
      <c r="H1180" s="250" t="str">
        <f t="shared" si="2787"/>
        <v>SERVICE</v>
      </c>
      <c r="I1180" s="248" t="str">
        <f t="shared" si="2787"/>
        <v>SERVICE 08</v>
      </c>
      <c r="J1180" s="248" t="str">
        <f>VLOOKUP(I1180,TableInputsData[],$J$6,FALSE)</f>
        <v>-</v>
      </c>
      <c r="K1180" s="248" t="str">
        <f t="shared" si="2851"/>
        <v>AVERAGE COST OF GOODS SOLD PER UNIT</v>
      </c>
      <c r="L1180" s="256"/>
      <c r="M1180" s="256"/>
      <c r="N1180" s="256"/>
      <c r="O1180" s="266"/>
      <c r="P1180" s="261"/>
      <c r="Q1180" s="261"/>
      <c r="R1180" s="261"/>
      <c r="S1180" s="629"/>
      <c r="T1180" s="629"/>
      <c r="U1180" s="629"/>
      <c r="V1180" s="629"/>
      <c r="W1180" s="261"/>
      <c r="X1180" s="261"/>
      <c r="Y1180" s="261"/>
      <c r="Z1180" s="261"/>
      <c r="AA1180" s="261"/>
      <c r="AB1180" s="261"/>
      <c r="AC1180" s="266"/>
      <c r="AD1180" s="633"/>
      <c r="AE1180" s="264">
        <f t="shared" ref="AE1180:AM1180" si="2857">IF(AE1148=0,0,AE1172/AE1148)</f>
        <v>0</v>
      </c>
      <c r="AF1180" s="264">
        <f t="shared" si="2857"/>
        <v>0</v>
      </c>
      <c r="AG1180" s="264">
        <f t="shared" si="2857"/>
        <v>0</v>
      </c>
      <c r="AH1180" s="264">
        <f t="shared" si="2857"/>
        <v>0</v>
      </c>
      <c r="AI1180" s="264">
        <f t="shared" si="2857"/>
        <v>0</v>
      </c>
      <c r="AJ1180" s="264">
        <f t="shared" si="2857"/>
        <v>0</v>
      </c>
      <c r="AK1180" s="264">
        <f t="shared" si="2857"/>
        <v>0</v>
      </c>
      <c r="AL1180" s="264">
        <f t="shared" si="2857"/>
        <v>0</v>
      </c>
      <c r="AM1180" s="264">
        <f t="shared" si="2857"/>
        <v>0</v>
      </c>
      <c r="AN1180" s="260"/>
      <c r="AO1180" s="264">
        <f t="shared" ref="AO1180" si="2858">IF(AO1148=0,0,AO1172/AO1148)</f>
        <v>0</v>
      </c>
      <c r="AP1180" s="260"/>
      <c r="AQ1180" s="264"/>
      <c r="AR1180" s="264" t="str">
        <f>VLOOKUP($I1180,TableInputsData[],ReadMe!$M$3,FALSE)&amp;"  |  "&amp;VLOOKUP($K1180,TableInputsData[],ReadMe!$M$3,FALSE)</f>
        <v>SERVICE 08  |  PRIX MOYEN D'ACHAT PAR PRODUIT/SERVICE</v>
      </c>
      <c r="AS1180" s="264"/>
      <c r="AT1180" s="294"/>
    </row>
    <row r="1181" spans="1:46" ht="13" hidden="1" x14ac:dyDescent="0.2">
      <c r="A1181" s="294"/>
      <c r="B1181" s="925"/>
      <c r="C1181" s="272">
        <v>1174</v>
      </c>
      <c r="D1181" s="250">
        <f t="shared" si="2786"/>
        <v>0</v>
      </c>
      <c r="E1181" s="251"/>
      <c r="F1181" s="248" t="str">
        <f t="shared" si="2846"/>
        <v>YEAR5</v>
      </c>
      <c r="G1181" s="250">
        <f>VLOOKUP(F1181,TableInputsData[],$G$6,FALSE)</f>
        <v>2029</v>
      </c>
      <c r="H1181" s="250" t="str">
        <f t="shared" si="2787"/>
        <v>SERVICE</v>
      </c>
      <c r="I1181" s="248" t="str">
        <f t="shared" si="2787"/>
        <v>SERVICE 08</v>
      </c>
      <c r="J1181" s="248" t="str">
        <f>VLOOKUP(I1181,TableInputsData[],$J$6,FALSE)</f>
        <v>-</v>
      </c>
      <c r="K1181" s="248" t="str">
        <f t="shared" si="2851"/>
        <v>AVERAGE COST OF GOODS SOLD PER UNIT</v>
      </c>
      <c r="L1181" s="256"/>
      <c r="M1181" s="256"/>
      <c r="N1181" s="256"/>
      <c r="O1181" s="266"/>
      <c r="P1181" s="261"/>
      <c r="Q1181" s="261"/>
      <c r="R1181" s="261"/>
      <c r="S1181" s="629"/>
      <c r="T1181" s="629"/>
      <c r="U1181" s="629"/>
      <c r="V1181" s="629"/>
      <c r="W1181" s="261"/>
      <c r="X1181" s="261"/>
      <c r="Y1181" s="261"/>
      <c r="Z1181" s="261"/>
      <c r="AA1181" s="261"/>
      <c r="AB1181" s="261"/>
      <c r="AC1181" s="266"/>
      <c r="AD1181" s="633"/>
      <c r="AE1181" s="264">
        <f t="shared" ref="AE1181:AM1181" si="2859">IF(AE1149=0,0,AE1173/AE1149)</f>
        <v>0</v>
      </c>
      <c r="AF1181" s="264">
        <f t="shared" si="2859"/>
        <v>0</v>
      </c>
      <c r="AG1181" s="264">
        <f t="shared" si="2859"/>
        <v>0</v>
      </c>
      <c r="AH1181" s="264">
        <f t="shared" si="2859"/>
        <v>0</v>
      </c>
      <c r="AI1181" s="264">
        <f t="shared" si="2859"/>
        <v>0</v>
      </c>
      <c r="AJ1181" s="264">
        <f t="shared" si="2859"/>
        <v>0</v>
      </c>
      <c r="AK1181" s="264">
        <f t="shared" si="2859"/>
        <v>0</v>
      </c>
      <c r="AL1181" s="264">
        <f t="shared" si="2859"/>
        <v>0</v>
      </c>
      <c r="AM1181" s="264">
        <f t="shared" si="2859"/>
        <v>0</v>
      </c>
      <c r="AN1181" s="260"/>
      <c r="AO1181" s="264">
        <f t="shared" ref="AO1181" si="2860">IF(AO1149=0,0,AO1173/AO1149)</f>
        <v>0</v>
      </c>
      <c r="AP1181" s="260"/>
      <c r="AQ1181" s="264"/>
      <c r="AR1181" s="264" t="str">
        <f>VLOOKUP($I1181,TableInputsData[],ReadMe!$M$3,FALSE)&amp;"  |  "&amp;VLOOKUP($K1181,TableInputsData[],ReadMe!$M$3,FALSE)</f>
        <v>SERVICE 08  |  PRIX MOYEN D'ACHAT PAR PRODUIT/SERVICE</v>
      </c>
      <c r="AS1181" s="264"/>
      <c r="AT1181" s="294"/>
    </row>
    <row r="1182" spans="1:46" ht="13" hidden="1" x14ac:dyDescent="0.2">
      <c r="A1182" s="294"/>
      <c r="B1182" s="925"/>
      <c r="C1182" s="272">
        <v>1175</v>
      </c>
      <c r="D1182" s="250">
        <f t="shared" si="2786"/>
        <v>0</v>
      </c>
      <c r="E1182" s="251"/>
      <c r="F1182" s="248" t="str">
        <f t="shared" si="2846"/>
        <v>YEAR6</v>
      </c>
      <c r="G1182" s="250">
        <f>VLOOKUP(F1182,TableInputsData[],$G$6,FALSE)</f>
        <v>2030</v>
      </c>
      <c r="H1182" s="250" t="str">
        <f t="shared" si="2787"/>
        <v>SERVICE</v>
      </c>
      <c r="I1182" s="248" t="str">
        <f t="shared" si="2787"/>
        <v>SERVICE 08</v>
      </c>
      <c r="J1182" s="248" t="str">
        <f>VLOOKUP(I1182,TableInputsData[],$J$6,FALSE)</f>
        <v>-</v>
      </c>
      <c r="K1182" s="248" t="str">
        <f t="shared" si="2851"/>
        <v>AVERAGE COST OF GOODS SOLD PER UNIT</v>
      </c>
      <c r="L1182" s="256"/>
      <c r="M1182" s="256"/>
      <c r="N1182" s="256"/>
      <c r="O1182" s="266"/>
      <c r="P1182" s="261"/>
      <c r="Q1182" s="261"/>
      <c r="R1182" s="261"/>
      <c r="S1182" s="629"/>
      <c r="T1182" s="629"/>
      <c r="U1182" s="629"/>
      <c r="V1182" s="629"/>
      <c r="W1182" s="261"/>
      <c r="X1182" s="261"/>
      <c r="Y1182" s="261"/>
      <c r="Z1182" s="261"/>
      <c r="AA1182" s="261"/>
      <c r="AB1182" s="261"/>
      <c r="AC1182" s="266"/>
      <c r="AD1182" s="633"/>
      <c r="AE1182" s="264">
        <f t="shared" ref="AE1182:AM1182" si="2861">IF(AE1150=0,0,AE1174/AE1150)</f>
        <v>0</v>
      </c>
      <c r="AF1182" s="264">
        <f t="shared" si="2861"/>
        <v>0</v>
      </c>
      <c r="AG1182" s="264">
        <f t="shared" si="2861"/>
        <v>0</v>
      </c>
      <c r="AH1182" s="264">
        <f t="shared" si="2861"/>
        <v>0</v>
      </c>
      <c r="AI1182" s="264">
        <f t="shared" si="2861"/>
        <v>0</v>
      </c>
      <c r="AJ1182" s="264">
        <f t="shared" si="2861"/>
        <v>0</v>
      </c>
      <c r="AK1182" s="264">
        <f t="shared" si="2861"/>
        <v>0</v>
      </c>
      <c r="AL1182" s="264">
        <f t="shared" si="2861"/>
        <v>0</v>
      </c>
      <c r="AM1182" s="264">
        <f t="shared" si="2861"/>
        <v>0</v>
      </c>
      <c r="AN1182" s="260"/>
      <c r="AO1182" s="264">
        <f t="shared" ref="AO1182" si="2862">IF(AO1150=0,0,AO1174/AO1150)</f>
        <v>0</v>
      </c>
      <c r="AP1182" s="260"/>
      <c r="AQ1182" s="264"/>
      <c r="AR1182" s="264" t="str">
        <f>VLOOKUP($I1182,TableInputsData[],ReadMe!$M$3,FALSE)&amp;"  |  "&amp;VLOOKUP($K1182,TableInputsData[],ReadMe!$M$3,FALSE)</f>
        <v>SERVICE 08  |  PRIX MOYEN D'ACHAT PAR PRODUIT/SERVICE</v>
      </c>
      <c r="AS1182" s="264"/>
      <c r="AT1182" s="294"/>
    </row>
    <row r="1183" spans="1:46" ht="13" x14ac:dyDescent="0.2">
      <c r="A1183" s="294"/>
      <c r="B1183" s="925"/>
      <c r="C1183" s="273">
        <v>1176</v>
      </c>
      <c r="D1183" s="253">
        <v>0</v>
      </c>
      <c r="E1183" s="253">
        <v>1</v>
      </c>
      <c r="F1183" s="252"/>
      <c r="G1183" s="253"/>
      <c r="H1183" s="253"/>
      <c r="I1183" s="252"/>
      <c r="J1183" s="252"/>
      <c r="K1183" s="252"/>
      <c r="L1183" s="257"/>
      <c r="M1183" s="257"/>
      <c r="N1183" s="257"/>
      <c r="O1183" s="267"/>
      <c r="P1183" s="262"/>
      <c r="Q1183" s="262"/>
      <c r="R1183" s="262"/>
      <c r="S1183" s="631"/>
      <c r="T1183" s="631"/>
      <c r="U1183" s="631"/>
      <c r="V1183" s="631"/>
      <c r="W1183" s="262"/>
      <c r="X1183" s="262"/>
      <c r="Y1183" s="262"/>
      <c r="Z1183" s="262"/>
      <c r="AA1183" s="262"/>
      <c r="AB1183" s="262"/>
      <c r="AC1183" s="267"/>
      <c r="AD1183" s="635"/>
      <c r="AE1183" s="270"/>
      <c r="AF1183" s="270"/>
      <c r="AG1183" s="270"/>
      <c r="AH1183" s="270"/>
      <c r="AI1183" s="270"/>
      <c r="AJ1183" s="270"/>
      <c r="AK1183" s="270"/>
      <c r="AL1183" s="270"/>
      <c r="AM1183" s="270"/>
      <c r="AN1183" s="643"/>
      <c r="AO1183" s="270"/>
      <c r="AP1183" s="270"/>
      <c r="AQ1183" s="270"/>
      <c r="AR1183" s="270"/>
      <c r="AS1183" s="270"/>
      <c r="AT1183" s="294"/>
    </row>
    <row r="1184" spans="1:46" ht="13" hidden="1" x14ac:dyDescent="0.2">
      <c r="A1184" s="294"/>
      <c r="B1184" s="924" t="str">
        <f>I1185&amp;"___"</f>
        <v>SERVICE 09___</v>
      </c>
      <c r="C1184" s="271">
        <v>1177</v>
      </c>
      <c r="D1184" s="250">
        <v>0</v>
      </c>
      <c r="E1184" s="250"/>
      <c r="F1184" s="248"/>
      <c r="G1184" s="250"/>
      <c r="H1184" s="250"/>
      <c r="I1184" s="248"/>
      <c r="J1184" s="248"/>
      <c r="K1184" s="248"/>
      <c r="L1184" s="254"/>
      <c r="M1184" s="254"/>
      <c r="N1184" s="254"/>
      <c r="O1184" s="264"/>
      <c r="P1184" s="259"/>
      <c r="Q1184" s="259"/>
      <c r="R1184" s="259"/>
      <c r="S1184" s="628"/>
      <c r="T1184" s="628"/>
      <c r="U1184" s="628"/>
      <c r="V1184" s="628"/>
      <c r="W1184" s="259"/>
      <c r="X1184" s="259"/>
      <c r="Y1184" s="259"/>
      <c r="Z1184" s="259"/>
      <c r="AA1184" s="259"/>
      <c r="AB1184" s="259"/>
      <c r="AC1184" s="264"/>
      <c r="AD1184" s="609"/>
      <c r="AE1184" s="269"/>
      <c r="AF1184" s="269"/>
      <c r="AG1184" s="269"/>
      <c r="AH1184" s="269"/>
      <c r="AI1184" s="269"/>
      <c r="AJ1184" s="269"/>
      <c r="AK1184" s="269"/>
      <c r="AL1184" s="269"/>
      <c r="AM1184" s="269"/>
      <c r="AN1184" s="642"/>
      <c r="AO1184" s="269"/>
      <c r="AP1184" s="269"/>
      <c r="AQ1184" s="269"/>
      <c r="AR1184" s="269"/>
      <c r="AS1184" s="269"/>
      <c r="AT1184" s="294"/>
    </row>
    <row r="1185" spans="1:46" ht="13" x14ac:dyDescent="0.2">
      <c r="A1185" s="294"/>
      <c r="B1185" s="924"/>
      <c r="C1185" s="271">
        <v>1178</v>
      </c>
      <c r="D1185" s="250">
        <f>VLOOKUP($I1185,TableInputsData[],$D$6,FALSE)</f>
        <v>0</v>
      </c>
      <c r="E1185" s="250">
        <v>1</v>
      </c>
      <c r="F1185" s="248" t="s">
        <v>392</v>
      </c>
      <c r="G1185" s="250">
        <f>VLOOKUP(F1185,TableInputsData[],$G$6,FALSE)</f>
        <v>2023</v>
      </c>
      <c r="H1185" s="250" t="s">
        <v>121</v>
      </c>
      <c r="I1185" s="248" t="s">
        <v>554</v>
      </c>
      <c r="J1185" s="248" t="str">
        <f>VLOOKUP(I1185,TableInputsData[],$J$6,FALSE)</f>
        <v>-</v>
      </c>
      <c r="K1185" s="248" t="s">
        <v>261</v>
      </c>
      <c r="L1185" s="499">
        <v>1000</v>
      </c>
      <c r="M1185" s="499">
        <v>0</v>
      </c>
      <c r="N1185" s="499">
        <v>0</v>
      </c>
      <c r="O1185" s="264">
        <f t="shared" ref="O1185:O1192" si="2863">$L1185*$P1185+$M1185*$Q1185+$N1185*$R1185</f>
        <v>1000</v>
      </c>
      <c r="P1185" s="500">
        <v>1</v>
      </c>
      <c r="Q1185" s="500">
        <v>0</v>
      </c>
      <c r="R1185" s="259">
        <f>1-$P1185-$Q1185</f>
        <v>0</v>
      </c>
      <c r="S1185" s="626">
        <v>500</v>
      </c>
      <c r="T1185" s="626">
        <v>0</v>
      </c>
      <c r="U1185" s="626">
        <v>0</v>
      </c>
      <c r="V1185" s="628">
        <f>($L1185*$P1185*$S1185+$M1185*$Q1185*$T1185+$N1185*$R1185*$U1185)/$O1185</f>
        <v>500</v>
      </c>
      <c r="W1185" s="500">
        <v>1</v>
      </c>
      <c r="X1185" s="500">
        <v>1</v>
      </c>
      <c r="Y1185" s="500">
        <v>1</v>
      </c>
      <c r="Z1185" s="259">
        <f t="shared" ref="Z1185:Z1192" si="2864">1-$W1185</f>
        <v>0</v>
      </c>
      <c r="AA1185" s="259">
        <f t="shared" ref="AA1185:AA1192" si="2865">1-$X1185</f>
        <v>0</v>
      </c>
      <c r="AB1185" s="259">
        <f t="shared" ref="AB1185:AB1192" si="2866">1-$Y1185</f>
        <v>0</v>
      </c>
      <c r="AC1185" s="628">
        <f>AM1217</f>
        <v>0</v>
      </c>
      <c r="AD1185" s="628">
        <f>AO1217</f>
        <v>0</v>
      </c>
      <c r="AE1185" s="501">
        <v>0</v>
      </c>
      <c r="AF1185" s="501">
        <v>0</v>
      </c>
      <c r="AG1185" s="501">
        <v>0</v>
      </c>
      <c r="AH1185" s="501">
        <v>0</v>
      </c>
      <c r="AI1185" s="264">
        <f>$AE1185+$AF1185+$AG1185+$AH1185</f>
        <v>0</v>
      </c>
      <c r="AJ1185" s="264">
        <f t="shared" ref="AJ1185:AJ1192" si="2867">$AI1185*$P1185</f>
        <v>0</v>
      </c>
      <c r="AK1185" s="264">
        <f t="shared" ref="AK1185:AK1192" si="2868">$AI1185*$Q1185</f>
        <v>0</v>
      </c>
      <c r="AL1185" s="264">
        <f t="shared" ref="AL1185:AL1192" si="2869">$AI1185*$R1185</f>
        <v>0</v>
      </c>
      <c r="AM1185" s="264">
        <f t="shared" ref="AM1185:AM1192" si="2870">$AJ1185*$W1185+$AK1185*$X1185+$AL1185*$Y1185</f>
        <v>0</v>
      </c>
      <c r="AN1185" s="640">
        <f>IF(AI1185=0,0,AM1185/AI1185)</f>
        <v>0</v>
      </c>
      <c r="AO1185" s="264">
        <f t="shared" ref="AO1185:AO1192" si="2871">$AJ1185*$Z1185+$AK1185*$AA1185+$AL1185*$AB1185</f>
        <v>0</v>
      </c>
      <c r="AP1185" s="640">
        <f t="shared" ref="AP1185:AP1200" si="2872">IF(AI1185=0,0,AO1185/AI1185)</f>
        <v>0</v>
      </c>
      <c r="AQ1185" s="264" t="str">
        <f>VLOOKUP(I1185,TableInputsData[],$AQ$6,FALSE)</f>
        <v>GAMME # : 1 + CANAL DE DISTRIBUTION # : 1</v>
      </c>
      <c r="AR1185" s="264" t="str">
        <f>VLOOKUP($I1185,TableInputsData[],ReadMe!$M$3,FALSE)&amp;"  |  "&amp;VLOOKUP($K1185,TableInputsData[],ReadMe!$M$3,FALSE)</f>
        <v>SERVICE 09  |  VOLUME</v>
      </c>
      <c r="AS1185" s="264" t="b">
        <f t="shared" ref="AS1185:AS1192" si="2873">AND(EXACT(ROUND(AI1185,2),ROUND(AJ1185+AK1185+AL1185,2)),EXACT(ROUND(AI1185,2),ROUND(AM1185+AO1185,2)),EXACT(SUM(P1185:R1185),1),IF(R1185&lt;0,FALSE,TRUE),EXACT(SUM(W1185:AB1185),3),MIN(W1185:Y1185)&gt;=0, MAX(W1185:Y1185)&lt;=1)</f>
        <v>1</v>
      </c>
      <c r="AT1185" s="294"/>
    </row>
    <row r="1186" spans="1:46" ht="13" x14ac:dyDescent="0.2">
      <c r="A1186" s="294"/>
      <c r="B1186" s="924"/>
      <c r="C1186" s="271">
        <v>1179</v>
      </c>
      <c r="D1186" s="250">
        <f>D1185</f>
        <v>0</v>
      </c>
      <c r="E1186" s="250">
        <v>1</v>
      </c>
      <c r="F1186" s="248" t="s">
        <v>391</v>
      </c>
      <c r="G1186" s="250">
        <f>VLOOKUP(F1186,TableInputsData[],$G$6,FALSE)</f>
        <v>2024</v>
      </c>
      <c r="H1186" s="250" t="str">
        <f>H1185</f>
        <v>SERVICE</v>
      </c>
      <c r="I1186" s="248" t="str">
        <f>I1185</f>
        <v>SERVICE 09</v>
      </c>
      <c r="J1186" s="248" t="str">
        <f>VLOOKUP(I1186,TableInputsData[],$J$6,FALSE)</f>
        <v>-</v>
      </c>
      <c r="K1186" s="248" t="str">
        <f>K1185</f>
        <v>VOLUME</v>
      </c>
      <c r="L1186" s="499">
        <v>1000</v>
      </c>
      <c r="M1186" s="499">
        <v>0</v>
      </c>
      <c r="N1186" s="499">
        <v>0</v>
      </c>
      <c r="O1186" s="264">
        <f t="shared" si="2863"/>
        <v>1000</v>
      </c>
      <c r="P1186" s="500">
        <v>1</v>
      </c>
      <c r="Q1186" s="500">
        <v>0</v>
      </c>
      <c r="R1186" s="259">
        <f t="shared" ref="R1186:R1192" si="2874">1-$P1186-$Q1186</f>
        <v>0</v>
      </c>
      <c r="S1186" s="626">
        <v>500</v>
      </c>
      <c r="T1186" s="626">
        <v>0</v>
      </c>
      <c r="U1186" s="626">
        <v>0</v>
      </c>
      <c r="V1186" s="628">
        <f t="shared" ref="V1186:V1192" si="2875">($L1186*$P1186*$S1186+$M1186*$Q1186*$T1186+$N1186*$R1186*$U1186)/$O1186</f>
        <v>500</v>
      </c>
      <c r="W1186" s="500">
        <v>1</v>
      </c>
      <c r="X1186" s="500">
        <v>1</v>
      </c>
      <c r="Y1186" s="500">
        <v>1</v>
      </c>
      <c r="Z1186" s="259">
        <f t="shared" si="2864"/>
        <v>0</v>
      </c>
      <c r="AA1186" s="259">
        <f t="shared" si="2865"/>
        <v>0</v>
      </c>
      <c r="AB1186" s="259">
        <f t="shared" si="2866"/>
        <v>0</v>
      </c>
      <c r="AC1186" s="628">
        <f t="shared" ref="AC1186:AC1192" si="2876">AM1218</f>
        <v>0</v>
      </c>
      <c r="AD1186" s="628">
        <f t="shared" ref="AD1186:AD1192" si="2877">AO1218</f>
        <v>0</v>
      </c>
      <c r="AE1186" s="501">
        <v>0</v>
      </c>
      <c r="AF1186" s="501">
        <v>0</v>
      </c>
      <c r="AG1186" s="501">
        <v>0</v>
      </c>
      <c r="AH1186" s="501">
        <v>0</v>
      </c>
      <c r="AI1186" s="264">
        <f>$AE1186+$AF1186+$AG1186+$AH1186</f>
        <v>0</v>
      </c>
      <c r="AJ1186" s="264">
        <f t="shared" si="2867"/>
        <v>0</v>
      </c>
      <c r="AK1186" s="264">
        <f t="shared" si="2868"/>
        <v>0</v>
      </c>
      <c r="AL1186" s="264">
        <f t="shared" si="2869"/>
        <v>0</v>
      </c>
      <c r="AM1186" s="264">
        <f t="shared" si="2870"/>
        <v>0</v>
      </c>
      <c r="AN1186" s="640">
        <f t="shared" ref="AN1186:AN1200" si="2878">IF(AI1186=0,0,AM1186/AI1186)</f>
        <v>0</v>
      </c>
      <c r="AO1186" s="264">
        <f t="shared" si="2871"/>
        <v>0</v>
      </c>
      <c r="AP1186" s="640">
        <f t="shared" si="2872"/>
        <v>0</v>
      </c>
      <c r="AQ1186" s="501"/>
      <c r="AR1186" s="264" t="str">
        <f>VLOOKUP($I1186,TableInputsData[],ReadMe!$M$3,FALSE)&amp;"  |  "&amp;VLOOKUP($K1186,TableInputsData[],ReadMe!$M$3,FALSE)</f>
        <v>SERVICE 09  |  VOLUME</v>
      </c>
      <c r="AS1186" s="264" t="b">
        <f t="shared" si="2873"/>
        <v>1</v>
      </c>
      <c r="AT1186" s="294"/>
    </row>
    <row r="1187" spans="1:46" ht="13" x14ac:dyDescent="0.2">
      <c r="A1187" s="294"/>
      <c r="B1187" s="924"/>
      <c r="C1187" s="271">
        <v>1180</v>
      </c>
      <c r="D1187" s="250">
        <f t="shared" ref="D1187:D1224" si="2879">D1186</f>
        <v>0</v>
      </c>
      <c r="E1187" s="250">
        <v>1</v>
      </c>
      <c r="F1187" s="248" t="s">
        <v>393</v>
      </c>
      <c r="G1187" s="250">
        <f>VLOOKUP(F1187,TableInputsData[],$G$6,FALSE)</f>
        <v>2025</v>
      </c>
      <c r="H1187" s="250" t="str">
        <f t="shared" ref="H1187:I1224" si="2880">H1186</f>
        <v>SERVICE</v>
      </c>
      <c r="I1187" s="248" t="str">
        <f t="shared" si="2880"/>
        <v>SERVICE 09</v>
      </c>
      <c r="J1187" s="248" t="str">
        <f>VLOOKUP(I1187,TableInputsData[],$J$6,FALSE)</f>
        <v>-</v>
      </c>
      <c r="K1187" s="248" t="str">
        <f t="shared" ref="K1187:K1192" si="2881">K1186</f>
        <v>VOLUME</v>
      </c>
      <c r="L1187" s="499">
        <v>1000</v>
      </c>
      <c r="M1187" s="499">
        <v>0</v>
      </c>
      <c r="N1187" s="499">
        <v>0</v>
      </c>
      <c r="O1187" s="264">
        <f t="shared" si="2863"/>
        <v>1000</v>
      </c>
      <c r="P1187" s="500">
        <v>1</v>
      </c>
      <c r="Q1187" s="500">
        <v>0</v>
      </c>
      <c r="R1187" s="259">
        <f t="shared" si="2874"/>
        <v>0</v>
      </c>
      <c r="S1187" s="626">
        <v>500</v>
      </c>
      <c r="T1187" s="626">
        <v>0</v>
      </c>
      <c r="U1187" s="626">
        <v>0</v>
      </c>
      <c r="V1187" s="628">
        <f t="shared" si="2875"/>
        <v>500</v>
      </c>
      <c r="W1187" s="500">
        <v>1</v>
      </c>
      <c r="X1187" s="500">
        <v>1</v>
      </c>
      <c r="Y1187" s="500">
        <v>1</v>
      </c>
      <c r="Z1187" s="259">
        <f t="shared" si="2864"/>
        <v>0</v>
      </c>
      <c r="AA1187" s="259">
        <f t="shared" si="2865"/>
        <v>0</v>
      </c>
      <c r="AB1187" s="259">
        <f t="shared" si="2866"/>
        <v>0</v>
      </c>
      <c r="AC1187" s="628">
        <f t="shared" si="2876"/>
        <v>0</v>
      </c>
      <c r="AD1187" s="628">
        <f t="shared" si="2877"/>
        <v>0</v>
      </c>
      <c r="AE1187" s="501">
        <v>0</v>
      </c>
      <c r="AF1187" s="501">
        <v>0</v>
      </c>
      <c r="AG1187" s="501">
        <v>0</v>
      </c>
      <c r="AH1187" s="501">
        <v>0</v>
      </c>
      <c r="AI1187" s="264">
        <f>$AE1187+$AF1187+$AG1187+$AH1187</f>
        <v>0</v>
      </c>
      <c r="AJ1187" s="264">
        <f t="shared" si="2867"/>
        <v>0</v>
      </c>
      <c r="AK1187" s="264">
        <f t="shared" si="2868"/>
        <v>0</v>
      </c>
      <c r="AL1187" s="264">
        <f t="shared" si="2869"/>
        <v>0</v>
      </c>
      <c r="AM1187" s="264">
        <f t="shared" si="2870"/>
        <v>0</v>
      </c>
      <c r="AN1187" s="640">
        <f t="shared" si="2878"/>
        <v>0</v>
      </c>
      <c r="AO1187" s="264">
        <f t="shared" si="2871"/>
        <v>0</v>
      </c>
      <c r="AP1187" s="640">
        <f t="shared" si="2872"/>
        <v>0</v>
      </c>
      <c r="AQ1187" s="501"/>
      <c r="AR1187" s="264" t="str">
        <f>VLOOKUP($I1187,TableInputsData[],ReadMe!$M$3,FALSE)&amp;"  |  "&amp;VLOOKUP($K1187,TableInputsData[],ReadMe!$M$3,FALSE)</f>
        <v>SERVICE 09  |  VOLUME</v>
      </c>
      <c r="AS1187" s="264" t="b">
        <f t="shared" si="2873"/>
        <v>1</v>
      </c>
      <c r="AT1187" s="294"/>
    </row>
    <row r="1188" spans="1:46" ht="13" x14ac:dyDescent="0.2">
      <c r="A1188" s="294"/>
      <c r="B1188" s="924"/>
      <c r="C1188" s="271">
        <v>1181</v>
      </c>
      <c r="D1188" s="250">
        <f t="shared" si="2879"/>
        <v>0</v>
      </c>
      <c r="E1188" s="250">
        <v>1</v>
      </c>
      <c r="F1188" s="248" t="s">
        <v>396</v>
      </c>
      <c r="G1188" s="250">
        <f>VLOOKUP(F1188,TableInputsData[],$G$6,FALSE)</f>
        <v>2026</v>
      </c>
      <c r="H1188" s="250" t="str">
        <f t="shared" si="2880"/>
        <v>SERVICE</v>
      </c>
      <c r="I1188" s="248" t="str">
        <f t="shared" si="2880"/>
        <v>SERVICE 09</v>
      </c>
      <c r="J1188" s="248" t="str">
        <f>VLOOKUP(I1188,TableInputsData[],$J$6,FALSE)</f>
        <v>-</v>
      </c>
      <c r="K1188" s="248" t="str">
        <f t="shared" si="2881"/>
        <v>VOLUME</v>
      </c>
      <c r="L1188" s="499">
        <v>1000</v>
      </c>
      <c r="M1188" s="499">
        <v>0</v>
      </c>
      <c r="N1188" s="499">
        <v>0</v>
      </c>
      <c r="O1188" s="264">
        <f t="shared" si="2863"/>
        <v>1000</v>
      </c>
      <c r="P1188" s="500">
        <v>1</v>
      </c>
      <c r="Q1188" s="500">
        <v>0</v>
      </c>
      <c r="R1188" s="259">
        <f t="shared" si="2874"/>
        <v>0</v>
      </c>
      <c r="S1188" s="626">
        <v>500</v>
      </c>
      <c r="T1188" s="626">
        <v>0</v>
      </c>
      <c r="U1188" s="626">
        <v>0</v>
      </c>
      <c r="V1188" s="628">
        <f t="shared" si="2875"/>
        <v>500</v>
      </c>
      <c r="W1188" s="500">
        <v>1</v>
      </c>
      <c r="X1188" s="500">
        <v>1</v>
      </c>
      <c r="Y1188" s="500">
        <v>1</v>
      </c>
      <c r="Z1188" s="259">
        <f t="shared" si="2864"/>
        <v>0</v>
      </c>
      <c r="AA1188" s="259">
        <f t="shared" si="2865"/>
        <v>0</v>
      </c>
      <c r="AB1188" s="259">
        <f t="shared" si="2866"/>
        <v>0</v>
      </c>
      <c r="AC1188" s="628">
        <f t="shared" si="2876"/>
        <v>0</v>
      </c>
      <c r="AD1188" s="628">
        <f t="shared" si="2877"/>
        <v>0</v>
      </c>
      <c r="AE1188" s="501">
        <v>0</v>
      </c>
      <c r="AF1188" s="501">
        <v>0</v>
      </c>
      <c r="AG1188" s="501">
        <v>0</v>
      </c>
      <c r="AH1188" s="501">
        <v>0</v>
      </c>
      <c r="AI1188" s="264">
        <f>$AE1188+$AF1188+$AG1188+$AH1188</f>
        <v>0</v>
      </c>
      <c r="AJ1188" s="264">
        <f t="shared" si="2867"/>
        <v>0</v>
      </c>
      <c r="AK1188" s="264">
        <f t="shared" si="2868"/>
        <v>0</v>
      </c>
      <c r="AL1188" s="264">
        <f t="shared" si="2869"/>
        <v>0</v>
      </c>
      <c r="AM1188" s="264">
        <f t="shared" si="2870"/>
        <v>0</v>
      </c>
      <c r="AN1188" s="640">
        <f t="shared" si="2878"/>
        <v>0</v>
      </c>
      <c r="AO1188" s="264">
        <f t="shared" si="2871"/>
        <v>0</v>
      </c>
      <c r="AP1188" s="640">
        <f t="shared" si="2872"/>
        <v>0</v>
      </c>
      <c r="AQ1188" s="501"/>
      <c r="AR1188" s="264" t="str">
        <f>VLOOKUP($I1188,TableInputsData[],ReadMe!$M$3,FALSE)&amp;"  |  "&amp;VLOOKUP($K1188,TableInputsData[],ReadMe!$M$3,FALSE)</f>
        <v>SERVICE 09  |  VOLUME</v>
      </c>
      <c r="AS1188" s="264" t="b">
        <f t="shared" si="2873"/>
        <v>1</v>
      </c>
      <c r="AT1188" s="294"/>
    </row>
    <row r="1189" spans="1:46" ht="13" x14ac:dyDescent="0.2">
      <c r="A1189" s="294"/>
      <c r="B1189" s="924"/>
      <c r="C1189" s="271">
        <v>1182</v>
      </c>
      <c r="D1189" s="250">
        <f t="shared" si="2879"/>
        <v>0</v>
      </c>
      <c r="E1189" s="250">
        <v>1</v>
      </c>
      <c r="F1189" s="248" t="s">
        <v>397</v>
      </c>
      <c r="G1189" s="250">
        <f>VLOOKUP(F1189,TableInputsData[],$G$6,FALSE)</f>
        <v>2027</v>
      </c>
      <c r="H1189" s="250" t="str">
        <f t="shared" si="2880"/>
        <v>SERVICE</v>
      </c>
      <c r="I1189" s="248" t="str">
        <f t="shared" si="2880"/>
        <v>SERVICE 09</v>
      </c>
      <c r="J1189" s="248" t="str">
        <f>VLOOKUP(I1189,TableInputsData[],$J$6,FALSE)</f>
        <v>-</v>
      </c>
      <c r="K1189" s="248" t="str">
        <f t="shared" si="2881"/>
        <v>VOLUME</v>
      </c>
      <c r="L1189" s="499">
        <v>1000</v>
      </c>
      <c r="M1189" s="499">
        <v>0</v>
      </c>
      <c r="N1189" s="499">
        <v>0</v>
      </c>
      <c r="O1189" s="264">
        <f t="shared" si="2863"/>
        <v>1000</v>
      </c>
      <c r="P1189" s="500">
        <v>1</v>
      </c>
      <c r="Q1189" s="500">
        <v>0</v>
      </c>
      <c r="R1189" s="259">
        <f t="shared" si="2874"/>
        <v>0</v>
      </c>
      <c r="S1189" s="626">
        <v>500</v>
      </c>
      <c r="T1189" s="626">
        <v>0</v>
      </c>
      <c r="U1189" s="626">
        <v>0</v>
      </c>
      <c r="V1189" s="628">
        <f t="shared" si="2875"/>
        <v>500</v>
      </c>
      <c r="W1189" s="500">
        <v>1</v>
      </c>
      <c r="X1189" s="500">
        <v>1</v>
      </c>
      <c r="Y1189" s="500">
        <v>1</v>
      </c>
      <c r="Z1189" s="259">
        <f t="shared" si="2864"/>
        <v>0</v>
      </c>
      <c r="AA1189" s="259">
        <f t="shared" si="2865"/>
        <v>0</v>
      </c>
      <c r="AB1189" s="259">
        <f t="shared" si="2866"/>
        <v>0</v>
      </c>
      <c r="AC1189" s="628">
        <f t="shared" si="2876"/>
        <v>0</v>
      </c>
      <c r="AD1189" s="628">
        <f t="shared" si="2877"/>
        <v>0</v>
      </c>
      <c r="AE1189" s="264">
        <f>$AI1189/4</f>
        <v>0</v>
      </c>
      <c r="AF1189" s="264">
        <f t="shared" ref="AF1189:AH1192" si="2882">$AI1189/4</f>
        <v>0</v>
      </c>
      <c r="AG1189" s="264">
        <f t="shared" si="2882"/>
        <v>0</v>
      </c>
      <c r="AH1189" s="264">
        <f t="shared" si="2882"/>
        <v>0</v>
      </c>
      <c r="AI1189" s="501">
        <v>0</v>
      </c>
      <c r="AJ1189" s="264">
        <f t="shared" si="2867"/>
        <v>0</v>
      </c>
      <c r="AK1189" s="264">
        <f t="shared" si="2868"/>
        <v>0</v>
      </c>
      <c r="AL1189" s="264">
        <f t="shared" si="2869"/>
        <v>0</v>
      </c>
      <c r="AM1189" s="264">
        <f t="shared" si="2870"/>
        <v>0</v>
      </c>
      <c r="AN1189" s="640">
        <f t="shared" si="2878"/>
        <v>0</v>
      </c>
      <c r="AO1189" s="264">
        <f t="shared" si="2871"/>
        <v>0</v>
      </c>
      <c r="AP1189" s="640">
        <f t="shared" si="2872"/>
        <v>0</v>
      </c>
      <c r="AQ1189" s="501"/>
      <c r="AR1189" s="264" t="str">
        <f>VLOOKUP($I1189,TableInputsData[],ReadMe!$M$3,FALSE)&amp;"  |  "&amp;VLOOKUP($K1189,TableInputsData[],ReadMe!$M$3,FALSE)</f>
        <v>SERVICE 09  |  VOLUME</v>
      </c>
      <c r="AS1189" s="264" t="b">
        <f t="shared" si="2873"/>
        <v>1</v>
      </c>
      <c r="AT1189" s="294"/>
    </row>
    <row r="1190" spans="1:46" ht="13" x14ac:dyDescent="0.2">
      <c r="A1190" s="294"/>
      <c r="B1190" s="924"/>
      <c r="C1190" s="271">
        <v>1183</v>
      </c>
      <c r="D1190" s="250">
        <f t="shared" si="2879"/>
        <v>0</v>
      </c>
      <c r="E1190" s="250">
        <v>1</v>
      </c>
      <c r="F1190" s="248" t="s">
        <v>398</v>
      </c>
      <c r="G1190" s="250">
        <f>VLOOKUP(F1190,TableInputsData[],$G$6,FALSE)</f>
        <v>2028</v>
      </c>
      <c r="H1190" s="250" t="str">
        <f t="shared" si="2880"/>
        <v>SERVICE</v>
      </c>
      <c r="I1190" s="248" t="str">
        <f t="shared" si="2880"/>
        <v>SERVICE 09</v>
      </c>
      <c r="J1190" s="248" t="str">
        <f>VLOOKUP(I1190,TableInputsData[],$J$6,FALSE)</f>
        <v>-</v>
      </c>
      <c r="K1190" s="248" t="str">
        <f t="shared" si="2881"/>
        <v>VOLUME</v>
      </c>
      <c r="L1190" s="499">
        <v>1000</v>
      </c>
      <c r="M1190" s="499">
        <v>0</v>
      </c>
      <c r="N1190" s="499">
        <v>0</v>
      </c>
      <c r="O1190" s="264">
        <f t="shared" si="2863"/>
        <v>1000</v>
      </c>
      <c r="P1190" s="500">
        <v>1</v>
      </c>
      <c r="Q1190" s="500">
        <v>0</v>
      </c>
      <c r="R1190" s="259">
        <f t="shared" si="2874"/>
        <v>0</v>
      </c>
      <c r="S1190" s="626">
        <v>500</v>
      </c>
      <c r="T1190" s="626">
        <v>0</v>
      </c>
      <c r="U1190" s="626">
        <v>0</v>
      </c>
      <c r="V1190" s="628">
        <f t="shared" si="2875"/>
        <v>500</v>
      </c>
      <c r="W1190" s="500">
        <v>1</v>
      </c>
      <c r="X1190" s="500">
        <v>1</v>
      </c>
      <c r="Y1190" s="500">
        <v>1</v>
      </c>
      <c r="Z1190" s="259">
        <f t="shared" si="2864"/>
        <v>0</v>
      </c>
      <c r="AA1190" s="259">
        <f t="shared" si="2865"/>
        <v>0</v>
      </c>
      <c r="AB1190" s="259">
        <f t="shared" si="2866"/>
        <v>0</v>
      </c>
      <c r="AC1190" s="628">
        <f t="shared" si="2876"/>
        <v>0</v>
      </c>
      <c r="AD1190" s="628">
        <f t="shared" si="2877"/>
        <v>0</v>
      </c>
      <c r="AE1190" s="264">
        <f t="shared" ref="AE1190:AE1192" si="2883">$AI1190/4</f>
        <v>0</v>
      </c>
      <c r="AF1190" s="264">
        <f t="shared" si="2882"/>
        <v>0</v>
      </c>
      <c r="AG1190" s="264">
        <f t="shared" si="2882"/>
        <v>0</v>
      </c>
      <c r="AH1190" s="264">
        <f t="shared" si="2882"/>
        <v>0</v>
      </c>
      <c r="AI1190" s="501">
        <v>0</v>
      </c>
      <c r="AJ1190" s="264">
        <f t="shared" si="2867"/>
        <v>0</v>
      </c>
      <c r="AK1190" s="264">
        <f t="shared" si="2868"/>
        <v>0</v>
      </c>
      <c r="AL1190" s="264">
        <f t="shared" si="2869"/>
        <v>0</v>
      </c>
      <c r="AM1190" s="264">
        <f t="shared" si="2870"/>
        <v>0</v>
      </c>
      <c r="AN1190" s="640">
        <f t="shared" si="2878"/>
        <v>0</v>
      </c>
      <c r="AO1190" s="264">
        <f t="shared" si="2871"/>
        <v>0</v>
      </c>
      <c r="AP1190" s="640">
        <f t="shared" si="2872"/>
        <v>0</v>
      </c>
      <c r="AQ1190" s="501"/>
      <c r="AR1190" s="264" t="str">
        <f>VLOOKUP($I1190,TableInputsData[],ReadMe!$M$3,FALSE)&amp;"  |  "&amp;VLOOKUP($K1190,TableInputsData[],ReadMe!$M$3,FALSE)</f>
        <v>SERVICE 09  |  VOLUME</v>
      </c>
      <c r="AS1190" s="264" t="b">
        <f t="shared" si="2873"/>
        <v>1</v>
      </c>
      <c r="AT1190" s="294"/>
    </row>
    <row r="1191" spans="1:46" ht="13" x14ac:dyDescent="0.2">
      <c r="A1191" s="294"/>
      <c r="B1191" s="924"/>
      <c r="C1191" s="271">
        <v>1184</v>
      </c>
      <c r="D1191" s="250">
        <f t="shared" si="2879"/>
        <v>0</v>
      </c>
      <c r="E1191" s="250">
        <v>1</v>
      </c>
      <c r="F1191" s="248" t="s">
        <v>399</v>
      </c>
      <c r="G1191" s="250">
        <f>VLOOKUP(F1191,TableInputsData[],$G$6,FALSE)</f>
        <v>2029</v>
      </c>
      <c r="H1191" s="250" t="str">
        <f t="shared" si="2880"/>
        <v>SERVICE</v>
      </c>
      <c r="I1191" s="248" t="str">
        <f t="shared" si="2880"/>
        <v>SERVICE 09</v>
      </c>
      <c r="J1191" s="248" t="str">
        <f>VLOOKUP(I1191,TableInputsData[],$J$6,FALSE)</f>
        <v>-</v>
      </c>
      <c r="K1191" s="248" t="str">
        <f t="shared" si="2881"/>
        <v>VOLUME</v>
      </c>
      <c r="L1191" s="499">
        <v>1000</v>
      </c>
      <c r="M1191" s="499">
        <v>0</v>
      </c>
      <c r="N1191" s="499">
        <v>0</v>
      </c>
      <c r="O1191" s="264">
        <f t="shared" si="2863"/>
        <v>1000</v>
      </c>
      <c r="P1191" s="500">
        <v>1</v>
      </c>
      <c r="Q1191" s="500">
        <v>0</v>
      </c>
      <c r="R1191" s="259">
        <f t="shared" si="2874"/>
        <v>0</v>
      </c>
      <c r="S1191" s="626">
        <v>500</v>
      </c>
      <c r="T1191" s="626">
        <v>0</v>
      </c>
      <c r="U1191" s="626">
        <v>0</v>
      </c>
      <c r="V1191" s="628">
        <f t="shared" si="2875"/>
        <v>500</v>
      </c>
      <c r="W1191" s="500">
        <v>1</v>
      </c>
      <c r="X1191" s="500">
        <v>1</v>
      </c>
      <c r="Y1191" s="500">
        <v>1</v>
      </c>
      <c r="Z1191" s="259">
        <f t="shared" si="2864"/>
        <v>0</v>
      </c>
      <c r="AA1191" s="259">
        <f t="shared" si="2865"/>
        <v>0</v>
      </c>
      <c r="AB1191" s="259">
        <f t="shared" si="2866"/>
        <v>0</v>
      </c>
      <c r="AC1191" s="628">
        <f t="shared" si="2876"/>
        <v>0</v>
      </c>
      <c r="AD1191" s="628">
        <f t="shared" si="2877"/>
        <v>0</v>
      </c>
      <c r="AE1191" s="264">
        <f t="shared" si="2883"/>
        <v>0</v>
      </c>
      <c r="AF1191" s="264">
        <f t="shared" si="2882"/>
        <v>0</v>
      </c>
      <c r="AG1191" s="264">
        <f t="shared" si="2882"/>
        <v>0</v>
      </c>
      <c r="AH1191" s="264">
        <f t="shared" si="2882"/>
        <v>0</v>
      </c>
      <c r="AI1191" s="501">
        <v>0</v>
      </c>
      <c r="AJ1191" s="264">
        <f t="shared" si="2867"/>
        <v>0</v>
      </c>
      <c r="AK1191" s="264">
        <f t="shared" si="2868"/>
        <v>0</v>
      </c>
      <c r="AL1191" s="264">
        <f t="shared" si="2869"/>
        <v>0</v>
      </c>
      <c r="AM1191" s="264">
        <f t="shared" si="2870"/>
        <v>0</v>
      </c>
      <c r="AN1191" s="640">
        <f t="shared" si="2878"/>
        <v>0</v>
      </c>
      <c r="AO1191" s="264">
        <f t="shared" si="2871"/>
        <v>0</v>
      </c>
      <c r="AP1191" s="640">
        <f t="shared" si="2872"/>
        <v>0</v>
      </c>
      <c r="AQ1191" s="501"/>
      <c r="AR1191" s="264" t="str">
        <f>VLOOKUP($I1191,TableInputsData[],ReadMe!$M$3,FALSE)&amp;"  |  "&amp;VLOOKUP($K1191,TableInputsData[],ReadMe!$M$3,FALSE)</f>
        <v>SERVICE 09  |  VOLUME</v>
      </c>
      <c r="AS1191" s="264" t="b">
        <f t="shared" si="2873"/>
        <v>1</v>
      </c>
      <c r="AT1191" s="294"/>
    </row>
    <row r="1192" spans="1:46" ht="13" x14ac:dyDescent="0.2">
      <c r="A1192" s="294"/>
      <c r="B1192" s="924"/>
      <c r="C1192" s="271">
        <v>1185</v>
      </c>
      <c r="D1192" s="250">
        <f t="shared" si="2879"/>
        <v>0</v>
      </c>
      <c r="E1192" s="250">
        <v>1</v>
      </c>
      <c r="F1192" s="248" t="s">
        <v>400</v>
      </c>
      <c r="G1192" s="250">
        <f>VLOOKUP(F1192,TableInputsData[],$G$6,FALSE)</f>
        <v>2030</v>
      </c>
      <c r="H1192" s="250" t="str">
        <f t="shared" si="2880"/>
        <v>SERVICE</v>
      </c>
      <c r="I1192" s="248" t="str">
        <f t="shared" si="2880"/>
        <v>SERVICE 09</v>
      </c>
      <c r="J1192" s="248" t="str">
        <f>VLOOKUP(I1192,TableInputsData[],$J$6,FALSE)</f>
        <v>-</v>
      </c>
      <c r="K1192" s="248" t="str">
        <f t="shared" si="2881"/>
        <v>VOLUME</v>
      </c>
      <c r="L1192" s="499">
        <v>1000</v>
      </c>
      <c r="M1192" s="499">
        <v>0</v>
      </c>
      <c r="N1192" s="499">
        <v>0</v>
      </c>
      <c r="O1192" s="264">
        <f t="shared" si="2863"/>
        <v>1000</v>
      </c>
      <c r="P1192" s="500">
        <v>1</v>
      </c>
      <c r="Q1192" s="500">
        <v>0</v>
      </c>
      <c r="R1192" s="259">
        <f t="shared" si="2874"/>
        <v>0</v>
      </c>
      <c r="S1192" s="626">
        <v>500</v>
      </c>
      <c r="T1192" s="626">
        <v>0</v>
      </c>
      <c r="U1192" s="626">
        <v>0</v>
      </c>
      <c r="V1192" s="628">
        <f t="shared" si="2875"/>
        <v>500</v>
      </c>
      <c r="W1192" s="500">
        <v>1</v>
      </c>
      <c r="X1192" s="500">
        <v>1</v>
      </c>
      <c r="Y1192" s="500">
        <v>1</v>
      </c>
      <c r="Z1192" s="259">
        <f t="shared" si="2864"/>
        <v>0</v>
      </c>
      <c r="AA1192" s="259">
        <f t="shared" si="2865"/>
        <v>0</v>
      </c>
      <c r="AB1192" s="259">
        <f t="shared" si="2866"/>
        <v>0</v>
      </c>
      <c r="AC1192" s="628">
        <f t="shared" si="2876"/>
        <v>0</v>
      </c>
      <c r="AD1192" s="628">
        <f t="shared" si="2877"/>
        <v>0</v>
      </c>
      <c r="AE1192" s="264">
        <f t="shared" si="2883"/>
        <v>0</v>
      </c>
      <c r="AF1192" s="264">
        <f t="shared" si="2882"/>
        <v>0</v>
      </c>
      <c r="AG1192" s="264">
        <f t="shared" si="2882"/>
        <v>0</v>
      </c>
      <c r="AH1192" s="264">
        <f t="shared" si="2882"/>
        <v>0</v>
      </c>
      <c r="AI1192" s="501">
        <v>0</v>
      </c>
      <c r="AJ1192" s="264">
        <f t="shared" si="2867"/>
        <v>0</v>
      </c>
      <c r="AK1192" s="264">
        <f t="shared" si="2868"/>
        <v>0</v>
      </c>
      <c r="AL1192" s="264">
        <f t="shared" si="2869"/>
        <v>0</v>
      </c>
      <c r="AM1192" s="264">
        <f t="shared" si="2870"/>
        <v>0</v>
      </c>
      <c r="AN1192" s="640">
        <f t="shared" si="2878"/>
        <v>0</v>
      </c>
      <c r="AO1192" s="264">
        <f t="shared" si="2871"/>
        <v>0</v>
      </c>
      <c r="AP1192" s="640">
        <f t="shared" si="2872"/>
        <v>0</v>
      </c>
      <c r="AQ1192" s="501"/>
      <c r="AR1192" s="264" t="str">
        <f>VLOOKUP($I1192,TableInputsData[],ReadMe!$M$3,FALSE)&amp;"  |  "&amp;VLOOKUP($K1192,TableInputsData[],ReadMe!$M$3,FALSE)</f>
        <v>SERVICE 09  |  VOLUME</v>
      </c>
      <c r="AS1192" s="264" t="b">
        <f t="shared" si="2873"/>
        <v>1</v>
      </c>
      <c r="AT1192" s="294"/>
    </row>
    <row r="1193" spans="1:46" ht="13" hidden="1" x14ac:dyDescent="0.2">
      <c r="A1193" s="294"/>
      <c r="B1193" s="924"/>
      <c r="C1193" s="272">
        <v>1186</v>
      </c>
      <c r="D1193" s="250">
        <f t="shared" si="2879"/>
        <v>0</v>
      </c>
      <c r="E1193" s="251"/>
      <c r="F1193" s="248" t="str">
        <f t="shared" ref="F1193:F1200" si="2884">F1201</f>
        <v>YEAR-2</v>
      </c>
      <c r="G1193" s="250">
        <f>VLOOKUP(F1193,TableInputsData[],$G$6,FALSE)</f>
        <v>2023</v>
      </c>
      <c r="H1193" s="250" t="str">
        <f t="shared" si="2880"/>
        <v>SERVICE</v>
      </c>
      <c r="I1193" s="248" t="str">
        <f t="shared" si="2880"/>
        <v>SERVICE 09</v>
      </c>
      <c r="J1193" s="248" t="str">
        <f>VLOOKUP(I1193,TableInputsData[],$J$6,FALSE)</f>
        <v>-</v>
      </c>
      <c r="K1193" s="248" t="s">
        <v>457</v>
      </c>
      <c r="L1193" s="256"/>
      <c r="M1193" s="256"/>
      <c r="N1193" s="256"/>
      <c r="O1193" s="266"/>
      <c r="P1193" s="261"/>
      <c r="Q1193" s="261"/>
      <c r="R1193" s="261"/>
      <c r="S1193" s="629"/>
      <c r="T1193" s="629"/>
      <c r="U1193" s="629"/>
      <c r="V1193" s="629"/>
      <c r="W1193" s="261"/>
      <c r="X1193" s="261"/>
      <c r="Y1193" s="261"/>
      <c r="Z1193" s="261"/>
      <c r="AA1193" s="261"/>
      <c r="AB1193" s="261"/>
      <c r="AC1193" s="266"/>
      <c r="AD1193" s="633"/>
      <c r="AE1193" s="264">
        <f>AE1185*($L1185*$P1185+$M1185*$Q1185+$N1185*$R1185)</f>
        <v>0</v>
      </c>
      <c r="AF1193" s="264">
        <f t="shared" ref="AF1193:AH1193" si="2885">AF1185*($L1185*$P1185+$M1185*$Q1185+$N1185*$R1185)</f>
        <v>0</v>
      </c>
      <c r="AG1193" s="264">
        <f t="shared" si="2885"/>
        <v>0</v>
      </c>
      <c r="AH1193" s="264">
        <f t="shared" si="2885"/>
        <v>0</v>
      </c>
      <c r="AI1193" s="264">
        <f>$AE1193+$AF1193+$AG1193+$AH1193</f>
        <v>0</v>
      </c>
      <c r="AJ1193" s="264">
        <f t="shared" ref="AJ1193:AJ1200" si="2886">$AJ1185*$L1185</f>
        <v>0</v>
      </c>
      <c r="AK1193" s="264">
        <f t="shared" ref="AK1193:AK1200" si="2887">$AK1185*$M1185</f>
        <v>0</v>
      </c>
      <c r="AL1193" s="264">
        <f t="shared" ref="AL1193:AL1200" si="2888">$AL1185*$N1185</f>
        <v>0</v>
      </c>
      <c r="AM1193" s="264">
        <f t="shared" ref="AM1193:AM1200" si="2889">$AJ1193*$W1185+$AK1193*$X1185+$AL1193*$Y1185</f>
        <v>0</v>
      </c>
      <c r="AN1193" s="640">
        <f t="shared" si="2878"/>
        <v>0</v>
      </c>
      <c r="AO1193" s="264">
        <f t="shared" ref="AO1193:AO1200" si="2890">$AJ1193*$Z1185+$AK1193*$AA1185+$AL1193*$AB1185</f>
        <v>0</v>
      </c>
      <c r="AP1193" s="640">
        <f t="shared" si="2872"/>
        <v>0</v>
      </c>
      <c r="AQ1193" s="264"/>
      <c r="AR1193" s="264" t="str">
        <f>VLOOKUP($I1193,TableInputsData[],ReadMe!$M$3,FALSE)&amp;"  |  "&amp;VLOOKUP($K1193,TableInputsData[],ReadMe!$M$3,FALSE)</f>
        <v>SERVICE 09  |  CHIFFRE D'AFFAIRES</v>
      </c>
      <c r="AS1193" s="264" t="b">
        <f t="shared" ref="AS1193:AS1200" si="2891">AND(EXACT(ROUND(AI1193,2),ROUND(AJ1193+AK1193+AL1193,2)),EXACT(ROUND(AI1193,2),ROUND(AM1193+AO1193,2)))</f>
        <v>1</v>
      </c>
      <c r="AT1193" s="294"/>
    </row>
    <row r="1194" spans="1:46" ht="13" hidden="1" x14ac:dyDescent="0.2">
      <c r="A1194" s="294"/>
      <c r="B1194" s="924"/>
      <c r="C1194" s="271">
        <v>1187</v>
      </c>
      <c r="D1194" s="250">
        <f t="shared" si="2879"/>
        <v>0</v>
      </c>
      <c r="E1194" s="250"/>
      <c r="F1194" s="248" t="str">
        <f t="shared" si="2884"/>
        <v>YEAR-1</v>
      </c>
      <c r="G1194" s="250">
        <f>VLOOKUP(F1194,TableInputsData[],$G$6,FALSE)</f>
        <v>2024</v>
      </c>
      <c r="H1194" s="250" t="str">
        <f t="shared" si="2880"/>
        <v>SERVICE</v>
      </c>
      <c r="I1194" s="248" t="str">
        <f t="shared" si="2880"/>
        <v>SERVICE 09</v>
      </c>
      <c r="J1194" s="248" t="str">
        <f>VLOOKUP(I1194,TableInputsData[],$J$6,FALSE)</f>
        <v>-</v>
      </c>
      <c r="K1194" s="248" t="str">
        <f>K1193</f>
        <v>REVENUE</v>
      </c>
      <c r="L1194" s="255"/>
      <c r="M1194" s="255"/>
      <c r="N1194" s="255"/>
      <c r="O1194" s="265"/>
      <c r="P1194" s="260"/>
      <c r="Q1194" s="260"/>
      <c r="R1194" s="260"/>
      <c r="S1194" s="630"/>
      <c r="T1194" s="630"/>
      <c r="U1194" s="630"/>
      <c r="V1194" s="630"/>
      <c r="W1194" s="260"/>
      <c r="X1194" s="260"/>
      <c r="Y1194" s="260"/>
      <c r="Z1194" s="260"/>
      <c r="AA1194" s="260"/>
      <c r="AB1194" s="260"/>
      <c r="AC1194" s="265"/>
      <c r="AD1194" s="634"/>
      <c r="AE1194" s="264">
        <f t="shared" ref="AE1194:AH1194" si="2892">AE1186*($L1186*$P1186+$M1186*$Q1186+$N1186*$R1186)</f>
        <v>0</v>
      </c>
      <c r="AF1194" s="264">
        <f t="shared" si="2892"/>
        <v>0</v>
      </c>
      <c r="AG1194" s="264">
        <f t="shared" si="2892"/>
        <v>0</v>
      </c>
      <c r="AH1194" s="264">
        <f t="shared" si="2892"/>
        <v>0</v>
      </c>
      <c r="AI1194" s="264">
        <f t="shared" ref="AI1194:AI1199" si="2893">$AE1194+$AF1194+$AG1194+$AH1194</f>
        <v>0</v>
      </c>
      <c r="AJ1194" s="264">
        <f t="shared" si="2886"/>
        <v>0</v>
      </c>
      <c r="AK1194" s="264">
        <f t="shared" si="2887"/>
        <v>0</v>
      </c>
      <c r="AL1194" s="264">
        <f t="shared" si="2888"/>
        <v>0</v>
      </c>
      <c r="AM1194" s="264">
        <f t="shared" si="2889"/>
        <v>0</v>
      </c>
      <c r="AN1194" s="640">
        <f t="shared" si="2878"/>
        <v>0</v>
      </c>
      <c r="AO1194" s="264">
        <f t="shared" si="2890"/>
        <v>0</v>
      </c>
      <c r="AP1194" s="640">
        <f t="shared" si="2872"/>
        <v>0</v>
      </c>
      <c r="AQ1194" s="264"/>
      <c r="AR1194" s="264" t="str">
        <f>VLOOKUP($I1194,TableInputsData[],ReadMe!$M$3,FALSE)&amp;"  |  "&amp;VLOOKUP($K1194,TableInputsData[],ReadMe!$M$3,FALSE)</f>
        <v>SERVICE 09  |  CHIFFRE D'AFFAIRES</v>
      </c>
      <c r="AS1194" s="264" t="b">
        <f t="shared" si="2891"/>
        <v>1</v>
      </c>
      <c r="AT1194" s="294"/>
    </row>
    <row r="1195" spans="1:46" ht="13" hidden="1" x14ac:dyDescent="0.2">
      <c r="A1195" s="294"/>
      <c r="B1195" s="924"/>
      <c r="C1195" s="271">
        <v>1188</v>
      </c>
      <c r="D1195" s="250">
        <f t="shared" si="2879"/>
        <v>0</v>
      </c>
      <c r="E1195" s="250"/>
      <c r="F1195" s="248" t="str">
        <f t="shared" si="2884"/>
        <v>CURRENT YEAR</v>
      </c>
      <c r="G1195" s="250">
        <f>VLOOKUP(F1195,TableInputsData[],$G$6,FALSE)</f>
        <v>2025</v>
      </c>
      <c r="H1195" s="250" t="str">
        <f t="shared" si="2880"/>
        <v>SERVICE</v>
      </c>
      <c r="I1195" s="248" t="str">
        <f t="shared" si="2880"/>
        <v>SERVICE 09</v>
      </c>
      <c r="J1195" s="248" t="str">
        <f>VLOOKUP(I1195,TableInputsData[],$J$6,FALSE)</f>
        <v>-</v>
      </c>
      <c r="K1195" s="248" t="str">
        <f t="shared" ref="K1195:K1200" si="2894">K1194</f>
        <v>REVENUE</v>
      </c>
      <c r="L1195" s="255"/>
      <c r="M1195" s="255"/>
      <c r="N1195" s="255"/>
      <c r="O1195" s="265"/>
      <c r="P1195" s="260"/>
      <c r="Q1195" s="260"/>
      <c r="R1195" s="260"/>
      <c r="S1195" s="630"/>
      <c r="T1195" s="630"/>
      <c r="U1195" s="630"/>
      <c r="V1195" s="630"/>
      <c r="W1195" s="260"/>
      <c r="X1195" s="260"/>
      <c r="Y1195" s="260"/>
      <c r="Z1195" s="260"/>
      <c r="AA1195" s="260"/>
      <c r="AB1195" s="260"/>
      <c r="AC1195" s="265"/>
      <c r="AD1195" s="634"/>
      <c r="AE1195" s="264">
        <f t="shared" ref="AE1195:AH1195" si="2895">AE1187*($L1187*$P1187+$M1187*$Q1187+$N1187*$R1187)</f>
        <v>0</v>
      </c>
      <c r="AF1195" s="264">
        <f t="shared" si="2895"/>
        <v>0</v>
      </c>
      <c r="AG1195" s="264">
        <f t="shared" si="2895"/>
        <v>0</v>
      </c>
      <c r="AH1195" s="264">
        <f t="shared" si="2895"/>
        <v>0</v>
      </c>
      <c r="AI1195" s="264">
        <f t="shared" si="2893"/>
        <v>0</v>
      </c>
      <c r="AJ1195" s="264">
        <f t="shared" si="2886"/>
        <v>0</v>
      </c>
      <c r="AK1195" s="264">
        <f t="shared" si="2887"/>
        <v>0</v>
      </c>
      <c r="AL1195" s="264">
        <f t="shared" si="2888"/>
        <v>0</v>
      </c>
      <c r="AM1195" s="264">
        <f t="shared" si="2889"/>
        <v>0</v>
      </c>
      <c r="AN1195" s="640">
        <f t="shared" si="2878"/>
        <v>0</v>
      </c>
      <c r="AO1195" s="264">
        <f t="shared" si="2890"/>
        <v>0</v>
      </c>
      <c r="AP1195" s="640">
        <f t="shared" si="2872"/>
        <v>0</v>
      </c>
      <c r="AQ1195" s="264"/>
      <c r="AR1195" s="264" t="str">
        <f>VLOOKUP($I1195,TableInputsData[],ReadMe!$M$3,FALSE)&amp;"  |  "&amp;VLOOKUP($K1195,TableInputsData[],ReadMe!$M$3,FALSE)</f>
        <v>SERVICE 09  |  CHIFFRE D'AFFAIRES</v>
      </c>
      <c r="AS1195" s="264" t="b">
        <f t="shared" si="2891"/>
        <v>1</v>
      </c>
      <c r="AT1195" s="294"/>
    </row>
    <row r="1196" spans="1:46" ht="13" hidden="1" x14ac:dyDescent="0.2">
      <c r="A1196" s="294"/>
      <c r="B1196" s="924"/>
      <c r="C1196" s="271">
        <v>1189</v>
      </c>
      <c r="D1196" s="250">
        <f t="shared" si="2879"/>
        <v>0</v>
      </c>
      <c r="E1196" s="250"/>
      <c r="F1196" s="248" t="str">
        <f t="shared" si="2884"/>
        <v>YEAR2</v>
      </c>
      <c r="G1196" s="250">
        <f>VLOOKUP(F1196,TableInputsData[],$G$6,FALSE)</f>
        <v>2026</v>
      </c>
      <c r="H1196" s="250" t="str">
        <f t="shared" si="2880"/>
        <v>SERVICE</v>
      </c>
      <c r="I1196" s="248" t="str">
        <f t="shared" si="2880"/>
        <v>SERVICE 09</v>
      </c>
      <c r="J1196" s="248" t="str">
        <f>VLOOKUP(I1196,TableInputsData[],$J$6,FALSE)</f>
        <v>-</v>
      </c>
      <c r="K1196" s="248" t="str">
        <f t="shared" si="2894"/>
        <v>REVENUE</v>
      </c>
      <c r="L1196" s="255"/>
      <c r="M1196" s="255"/>
      <c r="N1196" s="255"/>
      <c r="O1196" s="265"/>
      <c r="P1196" s="260"/>
      <c r="Q1196" s="260"/>
      <c r="R1196" s="260"/>
      <c r="S1196" s="630"/>
      <c r="T1196" s="630"/>
      <c r="U1196" s="630"/>
      <c r="V1196" s="630"/>
      <c r="W1196" s="260"/>
      <c r="X1196" s="260"/>
      <c r="Y1196" s="260"/>
      <c r="Z1196" s="260"/>
      <c r="AA1196" s="260"/>
      <c r="AB1196" s="260"/>
      <c r="AC1196" s="265"/>
      <c r="AD1196" s="634"/>
      <c r="AE1196" s="264">
        <f t="shared" ref="AE1196:AH1196" si="2896">AE1188*($L1188*$P1188+$M1188*$Q1188+$N1188*$R1188)</f>
        <v>0</v>
      </c>
      <c r="AF1196" s="264">
        <f t="shared" si="2896"/>
        <v>0</v>
      </c>
      <c r="AG1196" s="264">
        <f t="shared" si="2896"/>
        <v>0</v>
      </c>
      <c r="AH1196" s="264">
        <f t="shared" si="2896"/>
        <v>0</v>
      </c>
      <c r="AI1196" s="264">
        <f t="shared" si="2893"/>
        <v>0</v>
      </c>
      <c r="AJ1196" s="264">
        <f t="shared" si="2886"/>
        <v>0</v>
      </c>
      <c r="AK1196" s="264">
        <f t="shared" si="2887"/>
        <v>0</v>
      </c>
      <c r="AL1196" s="264">
        <f t="shared" si="2888"/>
        <v>0</v>
      </c>
      <c r="AM1196" s="264">
        <f t="shared" si="2889"/>
        <v>0</v>
      </c>
      <c r="AN1196" s="640">
        <f t="shared" si="2878"/>
        <v>0</v>
      </c>
      <c r="AO1196" s="264">
        <f t="shared" si="2890"/>
        <v>0</v>
      </c>
      <c r="AP1196" s="640">
        <f t="shared" si="2872"/>
        <v>0</v>
      </c>
      <c r="AQ1196" s="264"/>
      <c r="AR1196" s="264" t="str">
        <f>VLOOKUP($I1196,TableInputsData[],ReadMe!$M$3,FALSE)&amp;"  |  "&amp;VLOOKUP($K1196,TableInputsData[],ReadMe!$M$3,FALSE)</f>
        <v>SERVICE 09  |  CHIFFRE D'AFFAIRES</v>
      </c>
      <c r="AS1196" s="264" t="b">
        <f t="shared" si="2891"/>
        <v>1</v>
      </c>
      <c r="AT1196" s="294"/>
    </row>
    <row r="1197" spans="1:46" ht="13" hidden="1" x14ac:dyDescent="0.2">
      <c r="A1197" s="294"/>
      <c r="B1197" s="924"/>
      <c r="C1197" s="271">
        <v>1190</v>
      </c>
      <c r="D1197" s="250">
        <f t="shared" si="2879"/>
        <v>0</v>
      </c>
      <c r="E1197" s="250"/>
      <c r="F1197" s="248" t="str">
        <f t="shared" si="2884"/>
        <v>YEAR3</v>
      </c>
      <c r="G1197" s="250">
        <f>VLOOKUP(F1197,TableInputsData[],$G$6,FALSE)</f>
        <v>2027</v>
      </c>
      <c r="H1197" s="250" t="str">
        <f t="shared" si="2880"/>
        <v>SERVICE</v>
      </c>
      <c r="I1197" s="248" t="str">
        <f t="shared" si="2880"/>
        <v>SERVICE 09</v>
      </c>
      <c r="J1197" s="248" t="str">
        <f>VLOOKUP(I1197,TableInputsData[],$J$6,FALSE)</f>
        <v>-</v>
      </c>
      <c r="K1197" s="248" t="str">
        <f t="shared" si="2894"/>
        <v>REVENUE</v>
      </c>
      <c r="L1197" s="255"/>
      <c r="M1197" s="255"/>
      <c r="N1197" s="255"/>
      <c r="O1197" s="265"/>
      <c r="P1197" s="260"/>
      <c r="Q1197" s="260"/>
      <c r="R1197" s="260"/>
      <c r="S1197" s="630"/>
      <c r="T1197" s="630"/>
      <c r="U1197" s="630"/>
      <c r="V1197" s="630"/>
      <c r="W1197" s="260"/>
      <c r="X1197" s="260"/>
      <c r="Y1197" s="260"/>
      <c r="Z1197" s="260"/>
      <c r="AA1197" s="260"/>
      <c r="AB1197" s="260"/>
      <c r="AC1197" s="265"/>
      <c r="AD1197" s="634"/>
      <c r="AE1197" s="264">
        <f t="shared" ref="AE1197:AH1197" si="2897">AE1189*($L1189*$P1189+$M1189*$Q1189+$N1189*$R1189)</f>
        <v>0</v>
      </c>
      <c r="AF1197" s="264">
        <f t="shared" si="2897"/>
        <v>0</v>
      </c>
      <c r="AG1197" s="264">
        <f t="shared" si="2897"/>
        <v>0</v>
      </c>
      <c r="AH1197" s="264">
        <f t="shared" si="2897"/>
        <v>0</v>
      </c>
      <c r="AI1197" s="264">
        <f t="shared" si="2893"/>
        <v>0</v>
      </c>
      <c r="AJ1197" s="264">
        <f t="shared" si="2886"/>
        <v>0</v>
      </c>
      <c r="AK1197" s="264">
        <f t="shared" si="2887"/>
        <v>0</v>
      </c>
      <c r="AL1197" s="264">
        <f t="shared" si="2888"/>
        <v>0</v>
      </c>
      <c r="AM1197" s="264">
        <f t="shared" si="2889"/>
        <v>0</v>
      </c>
      <c r="AN1197" s="640">
        <f t="shared" si="2878"/>
        <v>0</v>
      </c>
      <c r="AO1197" s="264">
        <f t="shared" si="2890"/>
        <v>0</v>
      </c>
      <c r="AP1197" s="640">
        <f t="shared" si="2872"/>
        <v>0</v>
      </c>
      <c r="AQ1197" s="264"/>
      <c r="AR1197" s="264" t="str">
        <f>VLOOKUP($I1197,TableInputsData[],ReadMe!$M$3,FALSE)&amp;"  |  "&amp;VLOOKUP($K1197,TableInputsData[],ReadMe!$M$3,FALSE)</f>
        <v>SERVICE 09  |  CHIFFRE D'AFFAIRES</v>
      </c>
      <c r="AS1197" s="264" t="b">
        <f t="shared" si="2891"/>
        <v>1</v>
      </c>
      <c r="AT1197" s="294"/>
    </row>
    <row r="1198" spans="1:46" ht="13" hidden="1" x14ac:dyDescent="0.2">
      <c r="A1198" s="294"/>
      <c r="B1198" s="924"/>
      <c r="C1198" s="271">
        <v>1191</v>
      </c>
      <c r="D1198" s="250">
        <f t="shared" si="2879"/>
        <v>0</v>
      </c>
      <c r="E1198" s="250"/>
      <c r="F1198" s="248" t="str">
        <f t="shared" si="2884"/>
        <v>YEAR4</v>
      </c>
      <c r="G1198" s="250">
        <f>VLOOKUP(F1198,TableInputsData[],$G$6,FALSE)</f>
        <v>2028</v>
      </c>
      <c r="H1198" s="250" t="str">
        <f t="shared" si="2880"/>
        <v>SERVICE</v>
      </c>
      <c r="I1198" s="248" t="str">
        <f t="shared" si="2880"/>
        <v>SERVICE 09</v>
      </c>
      <c r="J1198" s="248" t="str">
        <f>VLOOKUP(I1198,TableInputsData[],$J$6,FALSE)</f>
        <v>-</v>
      </c>
      <c r="K1198" s="248" t="str">
        <f t="shared" si="2894"/>
        <v>REVENUE</v>
      </c>
      <c r="L1198" s="255"/>
      <c r="M1198" s="255"/>
      <c r="N1198" s="255"/>
      <c r="O1198" s="265"/>
      <c r="P1198" s="260"/>
      <c r="Q1198" s="260"/>
      <c r="R1198" s="260"/>
      <c r="S1198" s="630"/>
      <c r="T1198" s="630"/>
      <c r="U1198" s="630"/>
      <c r="V1198" s="630"/>
      <c r="W1198" s="260"/>
      <c r="X1198" s="260"/>
      <c r="Y1198" s="260"/>
      <c r="Z1198" s="260"/>
      <c r="AA1198" s="260"/>
      <c r="AB1198" s="260"/>
      <c r="AC1198" s="265"/>
      <c r="AD1198" s="634"/>
      <c r="AE1198" s="264">
        <f t="shared" ref="AE1198:AH1198" si="2898">AE1190*($L1190*$P1190+$M1190*$Q1190+$N1190*$R1190)</f>
        <v>0</v>
      </c>
      <c r="AF1198" s="264">
        <f t="shared" si="2898"/>
        <v>0</v>
      </c>
      <c r="AG1198" s="264">
        <f t="shared" si="2898"/>
        <v>0</v>
      </c>
      <c r="AH1198" s="264">
        <f t="shared" si="2898"/>
        <v>0</v>
      </c>
      <c r="AI1198" s="264">
        <f t="shared" si="2893"/>
        <v>0</v>
      </c>
      <c r="AJ1198" s="264">
        <f t="shared" si="2886"/>
        <v>0</v>
      </c>
      <c r="AK1198" s="264">
        <f t="shared" si="2887"/>
        <v>0</v>
      </c>
      <c r="AL1198" s="264">
        <f t="shared" si="2888"/>
        <v>0</v>
      </c>
      <c r="AM1198" s="264">
        <f t="shared" si="2889"/>
        <v>0</v>
      </c>
      <c r="AN1198" s="640">
        <f t="shared" si="2878"/>
        <v>0</v>
      </c>
      <c r="AO1198" s="264">
        <f t="shared" si="2890"/>
        <v>0</v>
      </c>
      <c r="AP1198" s="640">
        <f t="shared" si="2872"/>
        <v>0</v>
      </c>
      <c r="AQ1198" s="264"/>
      <c r="AR1198" s="264" t="str">
        <f>VLOOKUP($I1198,TableInputsData[],ReadMe!$M$3,FALSE)&amp;"  |  "&amp;VLOOKUP($K1198,TableInputsData[],ReadMe!$M$3,FALSE)</f>
        <v>SERVICE 09  |  CHIFFRE D'AFFAIRES</v>
      </c>
      <c r="AS1198" s="264" t="b">
        <f t="shared" si="2891"/>
        <v>1</v>
      </c>
      <c r="AT1198" s="294"/>
    </row>
    <row r="1199" spans="1:46" ht="13" hidden="1" x14ac:dyDescent="0.2">
      <c r="A1199" s="294"/>
      <c r="B1199" s="924"/>
      <c r="C1199" s="271">
        <v>1192</v>
      </c>
      <c r="D1199" s="250">
        <f t="shared" si="2879"/>
        <v>0</v>
      </c>
      <c r="E1199" s="250"/>
      <c r="F1199" s="248" t="str">
        <f t="shared" si="2884"/>
        <v>YEAR5</v>
      </c>
      <c r="G1199" s="250">
        <f>VLOOKUP(F1199,TableInputsData[],$G$6,FALSE)</f>
        <v>2029</v>
      </c>
      <c r="H1199" s="250" t="str">
        <f t="shared" si="2880"/>
        <v>SERVICE</v>
      </c>
      <c r="I1199" s="248" t="str">
        <f t="shared" si="2880"/>
        <v>SERVICE 09</v>
      </c>
      <c r="J1199" s="248" t="str">
        <f>VLOOKUP(I1199,TableInputsData[],$J$6,FALSE)</f>
        <v>-</v>
      </c>
      <c r="K1199" s="248" t="str">
        <f t="shared" si="2894"/>
        <v>REVENUE</v>
      </c>
      <c r="L1199" s="255"/>
      <c r="M1199" s="255"/>
      <c r="N1199" s="255"/>
      <c r="O1199" s="265"/>
      <c r="P1199" s="260"/>
      <c r="Q1199" s="260"/>
      <c r="R1199" s="260"/>
      <c r="S1199" s="630"/>
      <c r="T1199" s="630"/>
      <c r="U1199" s="630"/>
      <c r="V1199" s="630"/>
      <c r="W1199" s="260"/>
      <c r="X1199" s="260"/>
      <c r="Y1199" s="260"/>
      <c r="Z1199" s="260"/>
      <c r="AA1199" s="260"/>
      <c r="AB1199" s="260"/>
      <c r="AC1199" s="265"/>
      <c r="AD1199" s="634"/>
      <c r="AE1199" s="264">
        <f t="shared" ref="AE1199:AH1199" si="2899">AE1191*($L1191*$P1191+$M1191*$Q1191+$N1191*$R1191)</f>
        <v>0</v>
      </c>
      <c r="AF1199" s="264">
        <f t="shared" si="2899"/>
        <v>0</v>
      </c>
      <c r="AG1199" s="264">
        <f t="shared" si="2899"/>
        <v>0</v>
      </c>
      <c r="AH1199" s="264">
        <f t="shared" si="2899"/>
        <v>0</v>
      </c>
      <c r="AI1199" s="264">
        <f t="shared" si="2893"/>
        <v>0</v>
      </c>
      <c r="AJ1199" s="264">
        <f t="shared" si="2886"/>
        <v>0</v>
      </c>
      <c r="AK1199" s="264">
        <f t="shared" si="2887"/>
        <v>0</v>
      </c>
      <c r="AL1199" s="264">
        <f t="shared" si="2888"/>
        <v>0</v>
      </c>
      <c r="AM1199" s="264">
        <f t="shared" si="2889"/>
        <v>0</v>
      </c>
      <c r="AN1199" s="640">
        <f t="shared" si="2878"/>
        <v>0</v>
      </c>
      <c r="AO1199" s="264">
        <f t="shared" si="2890"/>
        <v>0</v>
      </c>
      <c r="AP1199" s="640">
        <f t="shared" si="2872"/>
        <v>0</v>
      </c>
      <c r="AQ1199" s="264"/>
      <c r="AR1199" s="264" t="str">
        <f>VLOOKUP($I1199,TableInputsData[],ReadMe!$M$3,FALSE)&amp;"  |  "&amp;VLOOKUP($K1199,TableInputsData[],ReadMe!$M$3,FALSE)</f>
        <v>SERVICE 09  |  CHIFFRE D'AFFAIRES</v>
      </c>
      <c r="AS1199" s="264" t="b">
        <f t="shared" si="2891"/>
        <v>1</v>
      </c>
      <c r="AT1199" s="294"/>
    </row>
    <row r="1200" spans="1:46" ht="13" hidden="1" x14ac:dyDescent="0.2">
      <c r="A1200" s="294"/>
      <c r="B1200" s="924"/>
      <c r="C1200" s="271">
        <v>1193</v>
      </c>
      <c r="D1200" s="250">
        <f t="shared" si="2879"/>
        <v>0</v>
      </c>
      <c r="E1200" s="250"/>
      <c r="F1200" s="248" t="str">
        <f t="shared" si="2884"/>
        <v>YEAR6</v>
      </c>
      <c r="G1200" s="250">
        <f>VLOOKUP(F1200,TableInputsData[],$G$6,FALSE)</f>
        <v>2030</v>
      </c>
      <c r="H1200" s="250" t="str">
        <f t="shared" si="2880"/>
        <v>SERVICE</v>
      </c>
      <c r="I1200" s="248" t="str">
        <f t="shared" si="2880"/>
        <v>SERVICE 09</v>
      </c>
      <c r="J1200" s="248" t="str">
        <f>VLOOKUP(I1200,TableInputsData[],$J$6,FALSE)</f>
        <v>-</v>
      </c>
      <c r="K1200" s="248" t="str">
        <f t="shared" si="2894"/>
        <v>REVENUE</v>
      </c>
      <c r="L1200" s="255"/>
      <c r="M1200" s="255"/>
      <c r="N1200" s="255"/>
      <c r="O1200" s="265"/>
      <c r="P1200" s="260"/>
      <c r="Q1200" s="260"/>
      <c r="R1200" s="260"/>
      <c r="S1200" s="630"/>
      <c r="T1200" s="630"/>
      <c r="U1200" s="630"/>
      <c r="V1200" s="630"/>
      <c r="W1200" s="260"/>
      <c r="X1200" s="260"/>
      <c r="Y1200" s="260"/>
      <c r="Z1200" s="260"/>
      <c r="AA1200" s="260"/>
      <c r="AB1200" s="260"/>
      <c r="AC1200" s="265"/>
      <c r="AD1200" s="634"/>
      <c r="AE1200" s="264">
        <f t="shared" ref="AE1200:AH1200" si="2900">AE1192*($L1192*$P1192+$M1192*$Q1192+$N1192*$R1192)</f>
        <v>0</v>
      </c>
      <c r="AF1200" s="264">
        <f t="shared" si="2900"/>
        <v>0</v>
      </c>
      <c r="AG1200" s="264">
        <f t="shared" si="2900"/>
        <v>0</v>
      </c>
      <c r="AH1200" s="264">
        <f t="shared" si="2900"/>
        <v>0</v>
      </c>
      <c r="AI1200" s="264">
        <f>$AE1200+$AF1200+$AG1200+$AH1200</f>
        <v>0</v>
      </c>
      <c r="AJ1200" s="264">
        <f t="shared" si="2886"/>
        <v>0</v>
      </c>
      <c r="AK1200" s="264">
        <f t="shared" si="2887"/>
        <v>0</v>
      </c>
      <c r="AL1200" s="264">
        <f t="shared" si="2888"/>
        <v>0</v>
      </c>
      <c r="AM1200" s="264">
        <f t="shared" si="2889"/>
        <v>0</v>
      </c>
      <c r="AN1200" s="640">
        <f t="shared" si="2878"/>
        <v>0</v>
      </c>
      <c r="AO1200" s="264">
        <f t="shared" si="2890"/>
        <v>0</v>
      </c>
      <c r="AP1200" s="640">
        <f t="shared" si="2872"/>
        <v>0</v>
      </c>
      <c r="AQ1200" s="264"/>
      <c r="AR1200" s="264" t="str">
        <f>VLOOKUP($I1200,TableInputsData[],ReadMe!$M$3,FALSE)&amp;"  |  "&amp;VLOOKUP($K1200,TableInputsData[],ReadMe!$M$3,FALSE)</f>
        <v>SERVICE 09  |  CHIFFRE D'AFFAIRES</v>
      </c>
      <c r="AS1200" s="264" t="b">
        <f t="shared" si="2891"/>
        <v>1</v>
      </c>
      <c r="AT1200" s="294"/>
    </row>
    <row r="1201" spans="1:46" ht="13" hidden="1" x14ac:dyDescent="0.2">
      <c r="A1201" s="294"/>
      <c r="B1201" s="924"/>
      <c r="C1201" s="271">
        <v>1194</v>
      </c>
      <c r="D1201" s="250">
        <f t="shared" si="2879"/>
        <v>0</v>
      </c>
      <c r="E1201" s="250"/>
      <c r="F1201" s="248" t="str">
        <f t="shared" ref="F1201:F1208" si="2901">F1185</f>
        <v>YEAR-2</v>
      </c>
      <c r="G1201" s="250">
        <f>VLOOKUP(F1201,TableInputsData[],$G$6,FALSE)</f>
        <v>2023</v>
      </c>
      <c r="H1201" s="250" t="str">
        <f t="shared" si="2880"/>
        <v>SERVICE</v>
      </c>
      <c r="I1201" s="248" t="str">
        <f t="shared" si="2880"/>
        <v>SERVICE 09</v>
      </c>
      <c r="J1201" s="248" t="str">
        <f>VLOOKUP(I1201,TableInputsData[],$J$6,FALSE)</f>
        <v>-</v>
      </c>
      <c r="K1201" s="248" t="s">
        <v>456</v>
      </c>
      <c r="L1201" s="255"/>
      <c r="M1201" s="255"/>
      <c r="N1201" s="255"/>
      <c r="O1201" s="265"/>
      <c r="P1201" s="260"/>
      <c r="Q1201" s="260"/>
      <c r="R1201" s="260"/>
      <c r="S1201" s="630"/>
      <c r="T1201" s="630"/>
      <c r="U1201" s="630"/>
      <c r="V1201" s="630"/>
      <c r="W1201" s="260"/>
      <c r="X1201" s="260"/>
      <c r="Y1201" s="260"/>
      <c r="Z1201" s="260"/>
      <c r="AA1201" s="260"/>
      <c r="AB1201" s="260"/>
      <c r="AC1201" s="265"/>
      <c r="AD1201" s="634"/>
      <c r="AE1201" s="264">
        <f>IF(AE1185=0,0,AE1193/AE1185)</f>
        <v>0</v>
      </c>
      <c r="AF1201" s="264">
        <f t="shared" ref="AF1201:AI1201" si="2902">IF(AF1185=0,0,AF1193/AF1185)</f>
        <v>0</v>
      </c>
      <c r="AG1201" s="264">
        <f t="shared" si="2902"/>
        <v>0</v>
      </c>
      <c r="AH1201" s="264">
        <f t="shared" si="2902"/>
        <v>0</v>
      </c>
      <c r="AI1201" s="264">
        <f t="shared" si="2902"/>
        <v>0</v>
      </c>
      <c r="AJ1201" s="264">
        <f>IF(AJ1185=0,0,AJ1193/AJ1185)</f>
        <v>0</v>
      </c>
      <c r="AK1201" s="264">
        <f t="shared" ref="AK1201:AL1201" si="2903">IF(AK1185=0,0,AK1193/AK1185)</f>
        <v>0</v>
      </c>
      <c r="AL1201" s="264">
        <f t="shared" si="2903"/>
        <v>0</v>
      </c>
      <c r="AM1201" s="264">
        <f>IF(AM1185=0,0,AM1193/AM1185)</f>
        <v>0</v>
      </c>
      <c r="AN1201" s="260"/>
      <c r="AO1201" s="264">
        <f t="shared" ref="AO1201" si="2904">IF(AO1185=0,0,AO1193/AO1185)</f>
        <v>0</v>
      </c>
      <c r="AP1201" s="260"/>
      <c r="AQ1201" s="264"/>
      <c r="AR1201" s="264" t="str">
        <f>VLOOKUP($I1201,TableInputsData[],ReadMe!$M$3,FALSE)&amp;"  |  "&amp;VLOOKUP($K1201,TableInputsData[],ReadMe!$M$3,FALSE)</f>
        <v>SERVICE 09  |  PRIX MOYEN DE VENTE PAR PRODUIT/SERVICE</v>
      </c>
      <c r="AS1201" s="264"/>
      <c r="AT1201" s="294"/>
    </row>
    <row r="1202" spans="1:46" ht="13" hidden="1" x14ac:dyDescent="0.2">
      <c r="A1202" s="294"/>
      <c r="B1202" s="924"/>
      <c r="C1202" s="271">
        <v>1195</v>
      </c>
      <c r="D1202" s="250">
        <f t="shared" si="2879"/>
        <v>0</v>
      </c>
      <c r="E1202" s="250"/>
      <c r="F1202" s="248" t="str">
        <f t="shared" si="2901"/>
        <v>YEAR-1</v>
      </c>
      <c r="G1202" s="250">
        <f>VLOOKUP(F1202,TableInputsData[],$G$6,FALSE)</f>
        <v>2024</v>
      </c>
      <c r="H1202" s="250" t="str">
        <f t="shared" si="2880"/>
        <v>SERVICE</v>
      </c>
      <c r="I1202" s="248" t="str">
        <f t="shared" si="2880"/>
        <v>SERVICE 09</v>
      </c>
      <c r="J1202" s="248" t="str">
        <f>VLOOKUP(I1202,TableInputsData[],$J$6,FALSE)</f>
        <v>-</v>
      </c>
      <c r="K1202" s="248" t="str">
        <f>K1201</f>
        <v>AVERAGE SELLING PRICE PER UNIT</v>
      </c>
      <c r="L1202" s="255"/>
      <c r="M1202" s="255"/>
      <c r="N1202" s="255"/>
      <c r="O1202" s="265"/>
      <c r="P1202" s="260"/>
      <c r="Q1202" s="260"/>
      <c r="R1202" s="260"/>
      <c r="S1202" s="630"/>
      <c r="T1202" s="630"/>
      <c r="U1202" s="630"/>
      <c r="V1202" s="630"/>
      <c r="W1202" s="260"/>
      <c r="X1202" s="260"/>
      <c r="Y1202" s="260"/>
      <c r="Z1202" s="260"/>
      <c r="AA1202" s="260"/>
      <c r="AB1202" s="260"/>
      <c r="AC1202" s="265"/>
      <c r="AD1202" s="634"/>
      <c r="AE1202" s="264">
        <f>IF(AE1186=0,0,AE1194/AE1186)</f>
        <v>0</v>
      </c>
      <c r="AF1202" s="264">
        <f t="shared" ref="AF1202:AM1202" si="2905">IF(AF1186=0,0,AF1194/AF1186)</f>
        <v>0</v>
      </c>
      <c r="AG1202" s="264">
        <f t="shared" si="2905"/>
        <v>0</v>
      </c>
      <c r="AH1202" s="264">
        <f t="shared" si="2905"/>
        <v>0</v>
      </c>
      <c r="AI1202" s="264">
        <f t="shared" si="2905"/>
        <v>0</v>
      </c>
      <c r="AJ1202" s="264">
        <f t="shared" si="2905"/>
        <v>0</v>
      </c>
      <c r="AK1202" s="264">
        <f t="shared" si="2905"/>
        <v>0</v>
      </c>
      <c r="AL1202" s="264">
        <f t="shared" si="2905"/>
        <v>0</v>
      </c>
      <c r="AM1202" s="264">
        <f t="shared" si="2905"/>
        <v>0</v>
      </c>
      <c r="AN1202" s="260"/>
      <c r="AO1202" s="264">
        <f t="shared" ref="AO1202" si="2906">IF(AO1186=0,0,AO1194/AO1186)</f>
        <v>0</v>
      </c>
      <c r="AP1202" s="260"/>
      <c r="AQ1202" s="264"/>
      <c r="AR1202" s="264" t="str">
        <f>VLOOKUP($I1202,TableInputsData[],ReadMe!$M$3,FALSE)&amp;"  |  "&amp;VLOOKUP($K1202,TableInputsData[],ReadMe!$M$3,FALSE)</f>
        <v>SERVICE 09  |  PRIX MOYEN DE VENTE PAR PRODUIT/SERVICE</v>
      </c>
      <c r="AS1202" s="264"/>
      <c r="AT1202" s="294"/>
    </row>
    <row r="1203" spans="1:46" ht="13" hidden="1" x14ac:dyDescent="0.2">
      <c r="A1203" s="294"/>
      <c r="B1203" s="924"/>
      <c r="C1203" s="271">
        <v>1196</v>
      </c>
      <c r="D1203" s="250">
        <f t="shared" si="2879"/>
        <v>0</v>
      </c>
      <c r="E1203" s="250"/>
      <c r="F1203" s="248" t="str">
        <f t="shared" si="2901"/>
        <v>CURRENT YEAR</v>
      </c>
      <c r="G1203" s="250">
        <f>VLOOKUP(F1203,TableInputsData[],$G$6,FALSE)</f>
        <v>2025</v>
      </c>
      <c r="H1203" s="250" t="str">
        <f t="shared" si="2880"/>
        <v>SERVICE</v>
      </c>
      <c r="I1203" s="248" t="str">
        <f t="shared" si="2880"/>
        <v>SERVICE 09</v>
      </c>
      <c r="J1203" s="248" t="str">
        <f>VLOOKUP(I1203,TableInputsData[],$J$6,FALSE)</f>
        <v>-</v>
      </c>
      <c r="K1203" s="248" t="str">
        <f t="shared" ref="K1203:K1208" si="2907">K1202</f>
        <v>AVERAGE SELLING PRICE PER UNIT</v>
      </c>
      <c r="L1203" s="255"/>
      <c r="M1203" s="255"/>
      <c r="N1203" s="255"/>
      <c r="O1203" s="265"/>
      <c r="P1203" s="260"/>
      <c r="Q1203" s="260"/>
      <c r="R1203" s="260"/>
      <c r="S1203" s="630"/>
      <c r="T1203" s="630"/>
      <c r="U1203" s="630"/>
      <c r="V1203" s="630"/>
      <c r="W1203" s="260"/>
      <c r="X1203" s="260"/>
      <c r="Y1203" s="260"/>
      <c r="Z1203" s="260"/>
      <c r="AA1203" s="260"/>
      <c r="AB1203" s="260"/>
      <c r="AC1203" s="265"/>
      <c r="AD1203" s="634"/>
      <c r="AE1203" s="264">
        <f>IF(AE1187=0,0,AE1195/AE1187)</f>
        <v>0</v>
      </c>
      <c r="AF1203" s="264">
        <f t="shared" ref="AF1203:AM1203" si="2908">IF(AF1187=0,0,AF1195/AF1187)</f>
        <v>0</v>
      </c>
      <c r="AG1203" s="264">
        <f t="shared" si="2908"/>
        <v>0</v>
      </c>
      <c r="AH1203" s="264">
        <f t="shared" si="2908"/>
        <v>0</v>
      </c>
      <c r="AI1203" s="264">
        <f t="shared" si="2908"/>
        <v>0</v>
      </c>
      <c r="AJ1203" s="264">
        <f t="shared" si="2908"/>
        <v>0</v>
      </c>
      <c r="AK1203" s="264">
        <f t="shared" si="2908"/>
        <v>0</v>
      </c>
      <c r="AL1203" s="264">
        <f t="shared" si="2908"/>
        <v>0</v>
      </c>
      <c r="AM1203" s="264">
        <f t="shared" si="2908"/>
        <v>0</v>
      </c>
      <c r="AN1203" s="260"/>
      <c r="AO1203" s="264">
        <f t="shared" ref="AO1203" si="2909">IF(AO1187=0,0,AO1195/AO1187)</f>
        <v>0</v>
      </c>
      <c r="AP1203" s="260"/>
      <c r="AQ1203" s="264"/>
      <c r="AR1203" s="264" t="str">
        <f>VLOOKUP($I1203,TableInputsData[],ReadMe!$M$3,FALSE)&amp;"  |  "&amp;VLOOKUP($K1203,TableInputsData[],ReadMe!$M$3,FALSE)</f>
        <v>SERVICE 09  |  PRIX MOYEN DE VENTE PAR PRODUIT/SERVICE</v>
      </c>
      <c r="AS1203" s="264"/>
      <c r="AT1203" s="294"/>
    </row>
    <row r="1204" spans="1:46" ht="13" hidden="1" x14ac:dyDescent="0.2">
      <c r="A1204" s="294"/>
      <c r="B1204" s="924"/>
      <c r="C1204" s="271">
        <v>1197</v>
      </c>
      <c r="D1204" s="250">
        <f t="shared" si="2879"/>
        <v>0</v>
      </c>
      <c r="E1204" s="250"/>
      <c r="F1204" s="248" t="str">
        <f t="shared" si="2901"/>
        <v>YEAR2</v>
      </c>
      <c r="G1204" s="250">
        <f>VLOOKUP(F1204,TableInputsData[],$G$6,FALSE)</f>
        <v>2026</v>
      </c>
      <c r="H1204" s="250" t="str">
        <f t="shared" si="2880"/>
        <v>SERVICE</v>
      </c>
      <c r="I1204" s="248" t="str">
        <f t="shared" si="2880"/>
        <v>SERVICE 09</v>
      </c>
      <c r="J1204" s="248" t="str">
        <f>VLOOKUP(I1204,TableInputsData[],$J$6,FALSE)</f>
        <v>-</v>
      </c>
      <c r="K1204" s="248" t="str">
        <f t="shared" si="2907"/>
        <v>AVERAGE SELLING PRICE PER UNIT</v>
      </c>
      <c r="L1204" s="255"/>
      <c r="M1204" s="255"/>
      <c r="N1204" s="255"/>
      <c r="O1204" s="265"/>
      <c r="P1204" s="260"/>
      <c r="Q1204" s="260"/>
      <c r="R1204" s="260"/>
      <c r="S1204" s="630"/>
      <c r="T1204" s="630"/>
      <c r="U1204" s="630"/>
      <c r="V1204" s="630"/>
      <c r="W1204" s="260"/>
      <c r="X1204" s="260"/>
      <c r="Y1204" s="260"/>
      <c r="Z1204" s="260"/>
      <c r="AA1204" s="260"/>
      <c r="AB1204" s="260"/>
      <c r="AC1204" s="265"/>
      <c r="AD1204" s="634"/>
      <c r="AE1204" s="264">
        <f>IF(AE1188=0,0,AE1196/AE1188)</f>
        <v>0</v>
      </c>
      <c r="AF1204" s="264">
        <f t="shared" ref="AF1204:AM1204" si="2910">IF(AF1188=0,0,AF1196/AF1188)</f>
        <v>0</v>
      </c>
      <c r="AG1204" s="264">
        <f t="shared" si="2910"/>
        <v>0</v>
      </c>
      <c r="AH1204" s="264">
        <f t="shared" si="2910"/>
        <v>0</v>
      </c>
      <c r="AI1204" s="264">
        <f t="shared" si="2910"/>
        <v>0</v>
      </c>
      <c r="AJ1204" s="264">
        <f t="shared" si="2910"/>
        <v>0</v>
      </c>
      <c r="AK1204" s="264">
        <f t="shared" si="2910"/>
        <v>0</v>
      </c>
      <c r="AL1204" s="264">
        <f t="shared" si="2910"/>
        <v>0</v>
      </c>
      <c r="AM1204" s="264">
        <f t="shared" si="2910"/>
        <v>0</v>
      </c>
      <c r="AN1204" s="260"/>
      <c r="AO1204" s="264">
        <f t="shared" ref="AO1204" si="2911">IF(AO1188=0,0,AO1196/AO1188)</f>
        <v>0</v>
      </c>
      <c r="AP1204" s="260"/>
      <c r="AQ1204" s="264"/>
      <c r="AR1204" s="264" t="str">
        <f>VLOOKUP($I1204,TableInputsData[],ReadMe!$M$3,FALSE)&amp;"  |  "&amp;VLOOKUP($K1204,TableInputsData[],ReadMe!$M$3,FALSE)</f>
        <v>SERVICE 09  |  PRIX MOYEN DE VENTE PAR PRODUIT/SERVICE</v>
      </c>
      <c r="AS1204" s="264"/>
      <c r="AT1204" s="294"/>
    </row>
    <row r="1205" spans="1:46" ht="13" hidden="1" x14ac:dyDescent="0.2">
      <c r="A1205" s="294"/>
      <c r="B1205" s="924"/>
      <c r="C1205" s="271">
        <v>1198</v>
      </c>
      <c r="D1205" s="250">
        <f t="shared" si="2879"/>
        <v>0</v>
      </c>
      <c r="E1205" s="250"/>
      <c r="F1205" s="248" t="str">
        <f t="shared" si="2901"/>
        <v>YEAR3</v>
      </c>
      <c r="G1205" s="250">
        <f>VLOOKUP(F1205,TableInputsData[],$G$6,FALSE)</f>
        <v>2027</v>
      </c>
      <c r="H1205" s="250" t="str">
        <f t="shared" si="2880"/>
        <v>SERVICE</v>
      </c>
      <c r="I1205" s="248" t="str">
        <f t="shared" si="2880"/>
        <v>SERVICE 09</v>
      </c>
      <c r="J1205" s="248" t="str">
        <f>VLOOKUP(I1205,TableInputsData[],$J$6,FALSE)</f>
        <v>-</v>
      </c>
      <c r="K1205" s="248" t="str">
        <f t="shared" si="2907"/>
        <v>AVERAGE SELLING PRICE PER UNIT</v>
      </c>
      <c r="L1205" s="255"/>
      <c r="M1205" s="255"/>
      <c r="N1205" s="255"/>
      <c r="O1205" s="265"/>
      <c r="P1205" s="260"/>
      <c r="Q1205" s="260"/>
      <c r="R1205" s="260"/>
      <c r="S1205" s="630"/>
      <c r="T1205" s="630"/>
      <c r="U1205" s="630"/>
      <c r="V1205" s="630"/>
      <c r="W1205" s="260"/>
      <c r="X1205" s="260"/>
      <c r="Y1205" s="260"/>
      <c r="Z1205" s="260"/>
      <c r="AA1205" s="260"/>
      <c r="AB1205" s="260"/>
      <c r="AC1205" s="265"/>
      <c r="AD1205" s="634"/>
      <c r="AE1205" s="264">
        <f t="shared" ref="AE1205:AM1205" si="2912">IF(AE1189=0,0,AE1197/AE1189)</f>
        <v>0</v>
      </c>
      <c r="AF1205" s="264">
        <f t="shared" si="2912"/>
        <v>0</v>
      </c>
      <c r="AG1205" s="264">
        <f t="shared" si="2912"/>
        <v>0</v>
      </c>
      <c r="AH1205" s="264">
        <f t="shared" si="2912"/>
        <v>0</v>
      </c>
      <c r="AI1205" s="264">
        <f t="shared" si="2912"/>
        <v>0</v>
      </c>
      <c r="AJ1205" s="264">
        <f t="shared" si="2912"/>
        <v>0</v>
      </c>
      <c r="AK1205" s="264">
        <f t="shared" si="2912"/>
        <v>0</v>
      </c>
      <c r="AL1205" s="264">
        <f t="shared" si="2912"/>
        <v>0</v>
      </c>
      <c r="AM1205" s="264">
        <f t="shared" si="2912"/>
        <v>0</v>
      </c>
      <c r="AN1205" s="260"/>
      <c r="AO1205" s="264">
        <f t="shared" ref="AO1205" si="2913">IF(AO1189=0,0,AO1197/AO1189)</f>
        <v>0</v>
      </c>
      <c r="AP1205" s="260"/>
      <c r="AQ1205" s="264"/>
      <c r="AR1205" s="264" t="str">
        <f>VLOOKUP($I1205,TableInputsData[],ReadMe!$M$3,FALSE)&amp;"  |  "&amp;VLOOKUP($K1205,TableInputsData[],ReadMe!$M$3,FALSE)</f>
        <v>SERVICE 09  |  PRIX MOYEN DE VENTE PAR PRODUIT/SERVICE</v>
      </c>
      <c r="AS1205" s="264"/>
      <c r="AT1205" s="294"/>
    </row>
    <row r="1206" spans="1:46" ht="13" hidden="1" x14ac:dyDescent="0.2">
      <c r="A1206" s="294"/>
      <c r="B1206" s="924"/>
      <c r="C1206" s="272">
        <v>1199</v>
      </c>
      <c r="D1206" s="250">
        <f t="shared" si="2879"/>
        <v>0</v>
      </c>
      <c r="E1206" s="251"/>
      <c r="F1206" s="248" t="str">
        <f t="shared" si="2901"/>
        <v>YEAR4</v>
      </c>
      <c r="G1206" s="250">
        <f>VLOOKUP(F1206,TableInputsData[],$G$6,FALSE)</f>
        <v>2028</v>
      </c>
      <c r="H1206" s="250" t="str">
        <f t="shared" si="2880"/>
        <v>SERVICE</v>
      </c>
      <c r="I1206" s="248" t="str">
        <f t="shared" si="2880"/>
        <v>SERVICE 09</v>
      </c>
      <c r="J1206" s="248" t="str">
        <f>VLOOKUP(I1206,TableInputsData[],$J$6,FALSE)</f>
        <v>-</v>
      </c>
      <c r="K1206" s="248" t="str">
        <f t="shared" si="2907"/>
        <v>AVERAGE SELLING PRICE PER UNIT</v>
      </c>
      <c r="L1206" s="256"/>
      <c r="M1206" s="256"/>
      <c r="N1206" s="256"/>
      <c r="O1206" s="266"/>
      <c r="P1206" s="261"/>
      <c r="Q1206" s="261"/>
      <c r="R1206" s="261"/>
      <c r="S1206" s="629"/>
      <c r="T1206" s="629"/>
      <c r="U1206" s="629"/>
      <c r="V1206" s="629"/>
      <c r="W1206" s="261"/>
      <c r="X1206" s="261"/>
      <c r="Y1206" s="261"/>
      <c r="Z1206" s="261"/>
      <c r="AA1206" s="261"/>
      <c r="AB1206" s="261"/>
      <c r="AC1206" s="266"/>
      <c r="AD1206" s="633"/>
      <c r="AE1206" s="264">
        <f t="shared" ref="AE1206:AM1206" si="2914">IF(AE1190=0,0,AE1198/AE1190)</f>
        <v>0</v>
      </c>
      <c r="AF1206" s="264">
        <f t="shared" si="2914"/>
        <v>0</v>
      </c>
      <c r="AG1206" s="264">
        <f t="shared" si="2914"/>
        <v>0</v>
      </c>
      <c r="AH1206" s="264">
        <f t="shared" si="2914"/>
        <v>0</v>
      </c>
      <c r="AI1206" s="264">
        <f t="shared" si="2914"/>
        <v>0</v>
      </c>
      <c r="AJ1206" s="264">
        <f t="shared" si="2914"/>
        <v>0</v>
      </c>
      <c r="AK1206" s="264">
        <f t="shared" si="2914"/>
        <v>0</v>
      </c>
      <c r="AL1206" s="264">
        <f t="shared" si="2914"/>
        <v>0</v>
      </c>
      <c r="AM1206" s="264">
        <f t="shared" si="2914"/>
        <v>0</v>
      </c>
      <c r="AN1206" s="260"/>
      <c r="AO1206" s="264">
        <f t="shared" ref="AO1206" si="2915">IF(AO1190=0,0,AO1198/AO1190)</f>
        <v>0</v>
      </c>
      <c r="AP1206" s="260"/>
      <c r="AQ1206" s="264"/>
      <c r="AR1206" s="264" t="str">
        <f>VLOOKUP($I1206,TableInputsData[],ReadMe!$M$3,FALSE)&amp;"  |  "&amp;VLOOKUP($K1206,TableInputsData[],ReadMe!$M$3,FALSE)</f>
        <v>SERVICE 09  |  PRIX MOYEN DE VENTE PAR PRODUIT/SERVICE</v>
      </c>
      <c r="AS1206" s="264"/>
      <c r="AT1206" s="294"/>
    </row>
    <row r="1207" spans="1:46" ht="13" hidden="1" x14ac:dyDescent="0.2">
      <c r="A1207" s="294"/>
      <c r="B1207" s="924"/>
      <c r="C1207" s="271">
        <v>1200</v>
      </c>
      <c r="D1207" s="250">
        <f t="shared" si="2879"/>
        <v>0</v>
      </c>
      <c r="E1207" s="250"/>
      <c r="F1207" s="248" t="str">
        <f t="shared" si="2901"/>
        <v>YEAR5</v>
      </c>
      <c r="G1207" s="250">
        <f>VLOOKUP(F1207,TableInputsData[],$G$6,FALSE)</f>
        <v>2029</v>
      </c>
      <c r="H1207" s="250" t="str">
        <f t="shared" si="2880"/>
        <v>SERVICE</v>
      </c>
      <c r="I1207" s="248" t="str">
        <f t="shared" si="2880"/>
        <v>SERVICE 09</v>
      </c>
      <c r="J1207" s="248" t="str">
        <f>VLOOKUP(I1207,TableInputsData[],$J$6,FALSE)</f>
        <v>-</v>
      </c>
      <c r="K1207" s="248" t="str">
        <f t="shared" si="2907"/>
        <v>AVERAGE SELLING PRICE PER UNIT</v>
      </c>
      <c r="L1207" s="255"/>
      <c r="M1207" s="255"/>
      <c r="N1207" s="255"/>
      <c r="O1207" s="265"/>
      <c r="P1207" s="260"/>
      <c r="Q1207" s="260"/>
      <c r="R1207" s="260"/>
      <c r="S1207" s="630"/>
      <c r="T1207" s="630"/>
      <c r="U1207" s="630"/>
      <c r="V1207" s="630"/>
      <c r="W1207" s="260"/>
      <c r="X1207" s="260"/>
      <c r="Y1207" s="260"/>
      <c r="Z1207" s="260"/>
      <c r="AA1207" s="260"/>
      <c r="AB1207" s="260"/>
      <c r="AC1207" s="265"/>
      <c r="AD1207" s="634"/>
      <c r="AE1207" s="264">
        <f t="shared" ref="AE1207:AM1207" si="2916">IF(AE1191=0,0,AE1199/AE1191)</f>
        <v>0</v>
      </c>
      <c r="AF1207" s="264">
        <f t="shared" si="2916"/>
        <v>0</v>
      </c>
      <c r="AG1207" s="264">
        <f t="shared" si="2916"/>
        <v>0</v>
      </c>
      <c r="AH1207" s="264">
        <f t="shared" si="2916"/>
        <v>0</v>
      </c>
      <c r="AI1207" s="264">
        <f t="shared" si="2916"/>
        <v>0</v>
      </c>
      <c r="AJ1207" s="264">
        <f t="shared" si="2916"/>
        <v>0</v>
      </c>
      <c r="AK1207" s="264">
        <f t="shared" si="2916"/>
        <v>0</v>
      </c>
      <c r="AL1207" s="264">
        <f t="shared" si="2916"/>
        <v>0</v>
      </c>
      <c r="AM1207" s="264">
        <f t="shared" si="2916"/>
        <v>0</v>
      </c>
      <c r="AN1207" s="260"/>
      <c r="AO1207" s="264">
        <f t="shared" ref="AO1207" si="2917">IF(AO1191=0,0,AO1199/AO1191)</f>
        <v>0</v>
      </c>
      <c r="AP1207" s="260"/>
      <c r="AQ1207" s="264"/>
      <c r="AR1207" s="264" t="str">
        <f>VLOOKUP($I1207,TableInputsData[],ReadMe!$M$3,FALSE)&amp;"  |  "&amp;VLOOKUP($K1207,TableInputsData[],ReadMe!$M$3,FALSE)</f>
        <v>SERVICE 09  |  PRIX MOYEN DE VENTE PAR PRODUIT/SERVICE</v>
      </c>
      <c r="AS1207" s="264"/>
      <c r="AT1207" s="294"/>
    </row>
    <row r="1208" spans="1:46" ht="13" hidden="1" x14ac:dyDescent="0.2">
      <c r="A1208" s="294"/>
      <c r="B1208" s="924"/>
      <c r="C1208" s="271">
        <v>1201</v>
      </c>
      <c r="D1208" s="250">
        <f t="shared" si="2879"/>
        <v>0</v>
      </c>
      <c r="E1208" s="250"/>
      <c r="F1208" s="248" t="str">
        <f t="shared" si="2901"/>
        <v>YEAR6</v>
      </c>
      <c r="G1208" s="250">
        <f>VLOOKUP(F1208,TableInputsData[],$G$6,FALSE)</f>
        <v>2030</v>
      </c>
      <c r="H1208" s="250" t="str">
        <f t="shared" si="2880"/>
        <v>SERVICE</v>
      </c>
      <c r="I1208" s="248" t="str">
        <f t="shared" si="2880"/>
        <v>SERVICE 09</v>
      </c>
      <c r="J1208" s="248" t="str">
        <f>VLOOKUP(I1208,TableInputsData[],$J$6,FALSE)</f>
        <v>-</v>
      </c>
      <c r="K1208" s="248" t="str">
        <f t="shared" si="2907"/>
        <v>AVERAGE SELLING PRICE PER UNIT</v>
      </c>
      <c r="L1208" s="255"/>
      <c r="M1208" s="255"/>
      <c r="N1208" s="255"/>
      <c r="O1208" s="265"/>
      <c r="P1208" s="260"/>
      <c r="Q1208" s="260"/>
      <c r="R1208" s="260"/>
      <c r="S1208" s="630"/>
      <c r="T1208" s="630"/>
      <c r="U1208" s="630"/>
      <c r="V1208" s="630"/>
      <c r="W1208" s="260"/>
      <c r="X1208" s="260"/>
      <c r="Y1208" s="260"/>
      <c r="Z1208" s="260"/>
      <c r="AA1208" s="260"/>
      <c r="AB1208" s="260"/>
      <c r="AC1208" s="265"/>
      <c r="AD1208" s="634"/>
      <c r="AE1208" s="264">
        <f t="shared" ref="AE1208:AM1208" si="2918">IF(AE1192=0,0,AE1200/AE1192)</f>
        <v>0</v>
      </c>
      <c r="AF1208" s="264">
        <f t="shared" si="2918"/>
        <v>0</v>
      </c>
      <c r="AG1208" s="264">
        <f t="shared" si="2918"/>
        <v>0</v>
      </c>
      <c r="AH1208" s="264">
        <f t="shared" si="2918"/>
        <v>0</v>
      </c>
      <c r="AI1208" s="264">
        <f t="shared" si="2918"/>
        <v>0</v>
      </c>
      <c r="AJ1208" s="264">
        <f t="shared" si="2918"/>
        <v>0</v>
      </c>
      <c r="AK1208" s="264">
        <f t="shared" si="2918"/>
        <v>0</v>
      </c>
      <c r="AL1208" s="264">
        <f t="shared" si="2918"/>
        <v>0</v>
      </c>
      <c r="AM1208" s="264">
        <f t="shared" si="2918"/>
        <v>0</v>
      </c>
      <c r="AN1208" s="260"/>
      <c r="AO1208" s="264">
        <f t="shared" ref="AO1208" si="2919">IF(AO1192=0,0,AO1200/AO1192)</f>
        <v>0</v>
      </c>
      <c r="AP1208" s="260"/>
      <c r="AQ1208" s="264"/>
      <c r="AR1208" s="264" t="str">
        <f>VLOOKUP($I1208,TableInputsData[],ReadMe!$M$3,FALSE)&amp;"  |  "&amp;VLOOKUP($K1208,TableInputsData[],ReadMe!$M$3,FALSE)</f>
        <v>SERVICE 09  |  PRIX MOYEN DE VENTE PAR PRODUIT/SERVICE</v>
      </c>
      <c r="AS1208" s="264"/>
      <c r="AT1208" s="294"/>
    </row>
    <row r="1209" spans="1:46" ht="13" hidden="1" x14ac:dyDescent="0.2">
      <c r="A1209" s="294"/>
      <c r="B1209" s="924"/>
      <c r="C1209" s="272">
        <v>1202</v>
      </c>
      <c r="D1209" s="250">
        <f t="shared" si="2879"/>
        <v>0</v>
      </c>
      <c r="E1209" s="251"/>
      <c r="F1209" s="248" t="str">
        <f t="shared" ref="F1209:F1216" si="2920">F1217</f>
        <v>YEAR-2</v>
      </c>
      <c r="G1209" s="250">
        <f>VLOOKUP(F1209,TableInputsData[],$G$6,FALSE)</f>
        <v>2023</v>
      </c>
      <c r="H1209" s="250" t="str">
        <f t="shared" si="2880"/>
        <v>SERVICE</v>
      </c>
      <c r="I1209" s="248" t="str">
        <f t="shared" si="2880"/>
        <v>SERVICE 09</v>
      </c>
      <c r="J1209" s="248" t="str">
        <f>VLOOKUP(I1209,TableInputsData[],$J$6,FALSE)</f>
        <v>-</v>
      </c>
      <c r="K1209" s="248" t="s">
        <v>531</v>
      </c>
      <c r="L1209" s="256"/>
      <c r="M1209" s="256"/>
      <c r="N1209" s="256"/>
      <c r="O1209" s="266"/>
      <c r="P1209" s="261"/>
      <c r="Q1209" s="261"/>
      <c r="R1209" s="261"/>
      <c r="S1209" s="629"/>
      <c r="T1209" s="629"/>
      <c r="U1209" s="629"/>
      <c r="V1209" s="629"/>
      <c r="W1209" s="261"/>
      <c r="X1209" s="261"/>
      <c r="Y1209" s="261"/>
      <c r="Z1209" s="261"/>
      <c r="AA1209" s="261"/>
      <c r="AB1209" s="261"/>
      <c r="AC1209" s="266"/>
      <c r="AD1209" s="633"/>
      <c r="AE1209" s="264">
        <f>AE1185*($S1185*$P1185+$T1185*$Q1185+$U1185*$R1185)</f>
        <v>0</v>
      </c>
      <c r="AF1209" s="264">
        <f t="shared" ref="AF1209:AH1209" si="2921">AF1185*($S1185*$P1185+$T1185*$Q1185+$U1185*$R1185)</f>
        <v>0</v>
      </c>
      <c r="AG1209" s="264">
        <f t="shared" si="2921"/>
        <v>0</v>
      </c>
      <c r="AH1209" s="264">
        <f t="shared" si="2921"/>
        <v>0</v>
      </c>
      <c r="AI1209" s="264">
        <f t="shared" ref="AI1209:AI1216" si="2922">$AE1209+$AF1209+$AG1209+$AH1209</f>
        <v>0</v>
      </c>
      <c r="AJ1209" s="264">
        <f t="shared" ref="AJ1209:AJ1216" si="2923">$AJ1185*$S1185</f>
        <v>0</v>
      </c>
      <c r="AK1209" s="264">
        <f t="shared" ref="AK1209:AK1216" si="2924">$AK1185*$T1185</f>
        <v>0</v>
      </c>
      <c r="AL1209" s="264">
        <f t="shared" ref="AL1209:AL1216" si="2925">$AL1185*$U1185</f>
        <v>0</v>
      </c>
      <c r="AM1209" s="264">
        <f t="shared" ref="AM1209:AM1216" si="2926">$AJ1209*$W1185+$AK1209*$X1185+$AL1209*$Y1185</f>
        <v>0</v>
      </c>
      <c r="AN1209" s="640">
        <f t="shared" ref="AN1209:AN1216" si="2927">IF(AI1209=0,0,AM1209/AI1209)</f>
        <v>0</v>
      </c>
      <c r="AO1209" s="264">
        <f t="shared" ref="AO1209:AO1216" si="2928">$AJ1209*$Z1185+$AK1209*$AA1185+$AL1209*$AB1185</f>
        <v>0</v>
      </c>
      <c r="AP1209" s="640">
        <f t="shared" ref="AP1209:AP1216" si="2929">IF(AI1209=0,0,AO1209/AI1209)</f>
        <v>0</v>
      </c>
      <c r="AQ1209" s="264"/>
      <c r="AR1209" s="264" t="str">
        <f>VLOOKUP($I1209,TableInputsData[],ReadMe!$M$3,FALSE)&amp;"  |  "&amp;VLOOKUP($K1209,TableInputsData[],ReadMe!$M$3,FALSE)</f>
        <v>SERVICE 09  |  DEPENSES SUR ACHATS</v>
      </c>
      <c r="AS1209" s="264" t="b">
        <f t="shared" ref="AS1209:AS1216" si="2930">AND(EXACT(ROUND(AI1209,2),ROUND(AJ1209+AK1209+AL1209,2)),EXACT(ROUND(AI1209,2),ROUND(AM1209+AO1209,2)))</f>
        <v>1</v>
      </c>
      <c r="AT1209" s="294"/>
    </row>
    <row r="1210" spans="1:46" ht="13" hidden="1" x14ac:dyDescent="0.2">
      <c r="A1210" s="294"/>
      <c r="B1210" s="924"/>
      <c r="C1210" s="271">
        <v>1203</v>
      </c>
      <c r="D1210" s="250">
        <f t="shared" si="2879"/>
        <v>0</v>
      </c>
      <c r="E1210" s="250"/>
      <c r="F1210" s="248" t="str">
        <f t="shared" si="2920"/>
        <v>YEAR-1</v>
      </c>
      <c r="G1210" s="250">
        <f>VLOOKUP(F1210,TableInputsData[],$G$6,FALSE)</f>
        <v>2024</v>
      </c>
      <c r="H1210" s="250" t="str">
        <f t="shared" si="2880"/>
        <v>SERVICE</v>
      </c>
      <c r="I1210" s="248" t="str">
        <f t="shared" si="2880"/>
        <v>SERVICE 09</v>
      </c>
      <c r="J1210" s="248" t="str">
        <f>VLOOKUP(I1210,TableInputsData[],$J$6,FALSE)</f>
        <v>-</v>
      </c>
      <c r="K1210" s="248" t="str">
        <f>K1209</f>
        <v>COST OF GOODS SOLD</v>
      </c>
      <c r="L1210" s="255"/>
      <c r="M1210" s="255"/>
      <c r="N1210" s="255"/>
      <c r="O1210" s="265"/>
      <c r="P1210" s="260"/>
      <c r="Q1210" s="260"/>
      <c r="R1210" s="260"/>
      <c r="S1210" s="630"/>
      <c r="T1210" s="630"/>
      <c r="U1210" s="630"/>
      <c r="V1210" s="630"/>
      <c r="W1210" s="260"/>
      <c r="X1210" s="260"/>
      <c r="Y1210" s="260"/>
      <c r="Z1210" s="260"/>
      <c r="AA1210" s="260"/>
      <c r="AB1210" s="260"/>
      <c r="AC1210" s="265"/>
      <c r="AD1210" s="634"/>
      <c r="AE1210" s="264">
        <f t="shared" ref="AE1210:AH1210" si="2931">AE1186*($S1186*$P1186+$T1186*$Q1186+$U1186*$R1186)</f>
        <v>0</v>
      </c>
      <c r="AF1210" s="264">
        <f t="shared" si="2931"/>
        <v>0</v>
      </c>
      <c r="AG1210" s="264">
        <f t="shared" si="2931"/>
        <v>0</v>
      </c>
      <c r="AH1210" s="264">
        <f t="shared" si="2931"/>
        <v>0</v>
      </c>
      <c r="AI1210" s="264">
        <f t="shared" si="2922"/>
        <v>0</v>
      </c>
      <c r="AJ1210" s="264">
        <f t="shared" si="2923"/>
        <v>0</v>
      </c>
      <c r="AK1210" s="264">
        <f t="shared" si="2924"/>
        <v>0</v>
      </c>
      <c r="AL1210" s="264">
        <f t="shared" si="2925"/>
        <v>0</v>
      </c>
      <c r="AM1210" s="264">
        <f t="shared" si="2926"/>
        <v>0</v>
      </c>
      <c r="AN1210" s="640">
        <f t="shared" si="2927"/>
        <v>0</v>
      </c>
      <c r="AO1210" s="264">
        <f t="shared" si="2928"/>
        <v>0</v>
      </c>
      <c r="AP1210" s="640">
        <f t="shared" si="2929"/>
        <v>0</v>
      </c>
      <c r="AQ1210" s="264"/>
      <c r="AR1210" s="264" t="str">
        <f>VLOOKUP($I1210,TableInputsData[],ReadMe!$M$3,FALSE)&amp;"  |  "&amp;VLOOKUP($K1210,TableInputsData[],ReadMe!$M$3,FALSE)</f>
        <v>SERVICE 09  |  DEPENSES SUR ACHATS</v>
      </c>
      <c r="AS1210" s="264" t="b">
        <f t="shared" si="2930"/>
        <v>1</v>
      </c>
      <c r="AT1210" s="294"/>
    </row>
    <row r="1211" spans="1:46" ht="13" hidden="1" x14ac:dyDescent="0.2">
      <c r="A1211" s="294"/>
      <c r="B1211" s="924"/>
      <c r="C1211" s="271">
        <v>1204</v>
      </c>
      <c r="D1211" s="250">
        <f t="shared" si="2879"/>
        <v>0</v>
      </c>
      <c r="E1211" s="250"/>
      <c r="F1211" s="248" t="str">
        <f t="shared" si="2920"/>
        <v>CURRENT YEAR</v>
      </c>
      <c r="G1211" s="250">
        <f>VLOOKUP(F1211,TableInputsData[],$G$6,FALSE)</f>
        <v>2025</v>
      </c>
      <c r="H1211" s="250" t="str">
        <f t="shared" si="2880"/>
        <v>SERVICE</v>
      </c>
      <c r="I1211" s="248" t="str">
        <f t="shared" si="2880"/>
        <v>SERVICE 09</v>
      </c>
      <c r="J1211" s="248" t="str">
        <f>VLOOKUP(I1211,TableInputsData[],$J$6,FALSE)</f>
        <v>-</v>
      </c>
      <c r="K1211" s="248" t="str">
        <f t="shared" ref="K1211:K1216" si="2932">K1210</f>
        <v>COST OF GOODS SOLD</v>
      </c>
      <c r="L1211" s="255"/>
      <c r="M1211" s="255"/>
      <c r="N1211" s="255"/>
      <c r="O1211" s="265"/>
      <c r="P1211" s="260"/>
      <c r="Q1211" s="260"/>
      <c r="R1211" s="260"/>
      <c r="S1211" s="630"/>
      <c r="T1211" s="630"/>
      <c r="U1211" s="630"/>
      <c r="V1211" s="630"/>
      <c r="W1211" s="260"/>
      <c r="X1211" s="260"/>
      <c r="Y1211" s="260"/>
      <c r="Z1211" s="260"/>
      <c r="AA1211" s="260"/>
      <c r="AB1211" s="260"/>
      <c r="AC1211" s="265"/>
      <c r="AD1211" s="634"/>
      <c r="AE1211" s="264">
        <f t="shared" ref="AE1211:AH1211" si="2933">AE1187*($S1187*$P1187+$T1187*$Q1187+$U1187*$R1187)</f>
        <v>0</v>
      </c>
      <c r="AF1211" s="264">
        <f t="shared" si="2933"/>
        <v>0</v>
      </c>
      <c r="AG1211" s="264">
        <f t="shared" si="2933"/>
        <v>0</v>
      </c>
      <c r="AH1211" s="264">
        <f t="shared" si="2933"/>
        <v>0</v>
      </c>
      <c r="AI1211" s="264">
        <f t="shared" si="2922"/>
        <v>0</v>
      </c>
      <c r="AJ1211" s="264">
        <f t="shared" si="2923"/>
        <v>0</v>
      </c>
      <c r="AK1211" s="264">
        <f t="shared" si="2924"/>
        <v>0</v>
      </c>
      <c r="AL1211" s="264">
        <f t="shared" si="2925"/>
        <v>0</v>
      </c>
      <c r="AM1211" s="264">
        <f t="shared" si="2926"/>
        <v>0</v>
      </c>
      <c r="AN1211" s="640">
        <f t="shared" si="2927"/>
        <v>0</v>
      </c>
      <c r="AO1211" s="264">
        <f t="shared" si="2928"/>
        <v>0</v>
      </c>
      <c r="AP1211" s="640">
        <f t="shared" si="2929"/>
        <v>0</v>
      </c>
      <c r="AQ1211" s="264"/>
      <c r="AR1211" s="264" t="str">
        <f>VLOOKUP($I1211,TableInputsData[],ReadMe!$M$3,FALSE)&amp;"  |  "&amp;VLOOKUP($K1211,TableInputsData[],ReadMe!$M$3,FALSE)</f>
        <v>SERVICE 09  |  DEPENSES SUR ACHATS</v>
      </c>
      <c r="AS1211" s="264" t="b">
        <f t="shared" si="2930"/>
        <v>1</v>
      </c>
      <c r="AT1211" s="294"/>
    </row>
    <row r="1212" spans="1:46" ht="13" hidden="1" x14ac:dyDescent="0.2">
      <c r="A1212" s="294"/>
      <c r="B1212" s="924"/>
      <c r="C1212" s="271">
        <v>1205</v>
      </c>
      <c r="D1212" s="250">
        <f t="shared" si="2879"/>
        <v>0</v>
      </c>
      <c r="E1212" s="250"/>
      <c r="F1212" s="248" t="str">
        <f t="shared" si="2920"/>
        <v>YEAR2</v>
      </c>
      <c r="G1212" s="250">
        <f>VLOOKUP(F1212,TableInputsData[],$G$6,FALSE)</f>
        <v>2026</v>
      </c>
      <c r="H1212" s="250" t="str">
        <f t="shared" si="2880"/>
        <v>SERVICE</v>
      </c>
      <c r="I1212" s="248" t="str">
        <f t="shared" si="2880"/>
        <v>SERVICE 09</v>
      </c>
      <c r="J1212" s="248" t="str">
        <f>VLOOKUP(I1212,TableInputsData[],$J$6,FALSE)</f>
        <v>-</v>
      </c>
      <c r="K1212" s="248" t="str">
        <f t="shared" si="2932"/>
        <v>COST OF GOODS SOLD</v>
      </c>
      <c r="L1212" s="255"/>
      <c r="M1212" s="255"/>
      <c r="N1212" s="255"/>
      <c r="O1212" s="265"/>
      <c r="P1212" s="260"/>
      <c r="Q1212" s="260"/>
      <c r="R1212" s="260"/>
      <c r="S1212" s="630"/>
      <c r="T1212" s="630"/>
      <c r="U1212" s="630"/>
      <c r="V1212" s="630"/>
      <c r="W1212" s="260"/>
      <c r="X1212" s="260"/>
      <c r="Y1212" s="260"/>
      <c r="Z1212" s="260"/>
      <c r="AA1212" s="260"/>
      <c r="AB1212" s="260"/>
      <c r="AC1212" s="265"/>
      <c r="AD1212" s="634"/>
      <c r="AE1212" s="264">
        <f t="shared" ref="AE1212:AH1212" si="2934">AE1188*($S1188*$P1188+$T1188*$Q1188+$U1188*$R1188)</f>
        <v>0</v>
      </c>
      <c r="AF1212" s="264">
        <f t="shared" si="2934"/>
        <v>0</v>
      </c>
      <c r="AG1212" s="264">
        <f t="shared" si="2934"/>
        <v>0</v>
      </c>
      <c r="AH1212" s="264">
        <f t="shared" si="2934"/>
        <v>0</v>
      </c>
      <c r="AI1212" s="264">
        <f t="shared" si="2922"/>
        <v>0</v>
      </c>
      <c r="AJ1212" s="264">
        <f t="shared" si="2923"/>
        <v>0</v>
      </c>
      <c r="AK1212" s="264">
        <f t="shared" si="2924"/>
        <v>0</v>
      </c>
      <c r="AL1212" s="264">
        <f t="shared" si="2925"/>
        <v>0</v>
      </c>
      <c r="AM1212" s="264">
        <f t="shared" si="2926"/>
        <v>0</v>
      </c>
      <c r="AN1212" s="640">
        <f t="shared" si="2927"/>
        <v>0</v>
      </c>
      <c r="AO1212" s="264">
        <f t="shared" si="2928"/>
        <v>0</v>
      </c>
      <c r="AP1212" s="640">
        <f t="shared" si="2929"/>
        <v>0</v>
      </c>
      <c r="AQ1212" s="264"/>
      <c r="AR1212" s="264" t="str">
        <f>VLOOKUP($I1212,TableInputsData[],ReadMe!$M$3,FALSE)&amp;"  |  "&amp;VLOOKUP($K1212,TableInputsData[],ReadMe!$M$3,FALSE)</f>
        <v>SERVICE 09  |  DEPENSES SUR ACHATS</v>
      </c>
      <c r="AS1212" s="264" t="b">
        <f t="shared" si="2930"/>
        <v>1</v>
      </c>
      <c r="AT1212" s="294"/>
    </row>
    <row r="1213" spans="1:46" ht="13" hidden="1" x14ac:dyDescent="0.2">
      <c r="A1213" s="294"/>
      <c r="B1213" s="924"/>
      <c r="C1213" s="271">
        <v>1206</v>
      </c>
      <c r="D1213" s="250">
        <f t="shared" si="2879"/>
        <v>0</v>
      </c>
      <c r="E1213" s="250"/>
      <c r="F1213" s="248" t="str">
        <f t="shared" si="2920"/>
        <v>YEAR3</v>
      </c>
      <c r="G1213" s="250">
        <f>VLOOKUP(F1213,TableInputsData[],$G$6,FALSE)</f>
        <v>2027</v>
      </c>
      <c r="H1213" s="250" t="str">
        <f t="shared" si="2880"/>
        <v>SERVICE</v>
      </c>
      <c r="I1213" s="248" t="str">
        <f t="shared" si="2880"/>
        <v>SERVICE 09</v>
      </c>
      <c r="J1213" s="248" t="str">
        <f>VLOOKUP(I1213,TableInputsData[],$J$6,FALSE)</f>
        <v>-</v>
      </c>
      <c r="K1213" s="248" t="str">
        <f t="shared" si="2932"/>
        <v>COST OF GOODS SOLD</v>
      </c>
      <c r="L1213" s="255"/>
      <c r="M1213" s="255"/>
      <c r="N1213" s="255"/>
      <c r="O1213" s="265"/>
      <c r="P1213" s="260"/>
      <c r="Q1213" s="260"/>
      <c r="R1213" s="260"/>
      <c r="S1213" s="630"/>
      <c r="T1213" s="630"/>
      <c r="U1213" s="630"/>
      <c r="V1213" s="630"/>
      <c r="W1213" s="260"/>
      <c r="X1213" s="260"/>
      <c r="Y1213" s="260"/>
      <c r="Z1213" s="260"/>
      <c r="AA1213" s="260"/>
      <c r="AB1213" s="260"/>
      <c r="AC1213" s="265"/>
      <c r="AD1213" s="634"/>
      <c r="AE1213" s="264">
        <f t="shared" ref="AE1213:AH1213" si="2935">AE1189*($S1189*$P1189+$T1189*$Q1189+$U1189*$R1189)</f>
        <v>0</v>
      </c>
      <c r="AF1213" s="264">
        <f t="shared" si="2935"/>
        <v>0</v>
      </c>
      <c r="AG1213" s="264">
        <f t="shared" si="2935"/>
        <v>0</v>
      </c>
      <c r="AH1213" s="264">
        <f t="shared" si="2935"/>
        <v>0</v>
      </c>
      <c r="AI1213" s="264">
        <f t="shared" si="2922"/>
        <v>0</v>
      </c>
      <c r="AJ1213" s="264">
        <f t="shared" si="2923"/>
        <v>0</v>
      </c>
      <c r="AK1213" s="264">
        <f t="shared" si="2924"/>
        <v>0</v>
      </c>
      <c r="AL1213" s="264">
        <f t="shared" si="2925"/>
        <v>0</v>
      </c>
      <c r="AM1213" s="264">
        <f t="shared" si="2926"/>
        <v>0</v>
      </c>
      <c r="AN1213" s="640">
        <f t="shared" si="2927"/>
        <v>0</v>
      </c>
      <c r="AO1213" s="264">
        <f t="shared" si="2928"/>
        <v>0</v>
      </c>
      <c r="AP1213" s="640">
        <f t="shared" si="2929"/>
        <v>0</v>
      </c>
      <c r="AQ1213" s="264"/>
      <c r="AR1213" s="264" t="str">
        <f>VLOOKUP($I1213,TableInputsData[],ReadMe!$M$3,FALSE)&amp;"  |  "&amp;VLOOKUP($K1213,TableInputsData[],ReadMe!$M$3,FALSE)</f>
        <v>SERVICE 09  |  DEPENSES SUR ACHATS</v>
      </c>
      <c r="AS1213" s="264" t="b">
        <f t="shared" si="2930"/>
        <v>1</v>
      </c>
      <c r="AT1213" s="294"/>
    </row>
    <row r="1214" spans="1:46" ht="13" hidden="1" x14ac:dyDescent="0.2">
      <c r="A1214" s="294"/>
      <c r="B1214" s="924"/>
      <c r="C1214" s="271">
        <v>1207</v>
      </c>
      <c r="D1214" s="250">
        <f t="shared" si="2879"/>
        <v>0</v>
      </c>
      <c r="E1214" s="250"/>
      <c r="F1214" s="248" t="str">
        <f t="shared" si="2920"/>
        <v>YEAR4</v>
      </c>
      <c r="G1214" s="250">
        <f>VLOOKUP(F1214,TableInputsData[],$G$6,FALSE)</f>
        <v>2028</v>
      </c>
      <c r="H1214" s="250" t="str">
        <f t="shared" si="2880"/>
        <v>SERVICE</v>
      </c>
      <c r="I1214" s="248" t="str">
        <f t="shared" si="2880"/>
        <v>SERVICE 09</v>
      </c>
      <c r="J1214" s="248" t="str">
        <f>VLOOKUP(I1214,TableInputsData[],$J$6,FALSE)</f>
        <v>-</v>
      </c>
      <c r="K1214" s="248" t="str">
        <f t="shared" si="2932"/>
        <v>COST OF GOODS SOLD</v>
      </c>
      <c r="L1214" s="255"/>
      <c r="M1214" s="255"/>
      <c r="N1214" s="255"/>
      <c r="O1214" s="265"/>
      <c r="P1214" s="260"/>
      <c r="Q1214" s="260"/>
      <c r="R1214" s="260"/>
      <c r="S1214" s="630"/>
      <c r="T1214" s="630"/>
      <c r="U1214" s="630"/>
      <c r="V1214" s="630"/>
      <c r="W1214" s="260"/>
      <c r="X1214" s="260"/>
      <c r="Y1214" s="260"/>
      <c r="Z1214" s="260"/>
      <c r="AA1214" s="260"/>
      <c r="AB1214" s="260"/>
      <c r="AC1214" s="265"/>
      <c r="AD1214" s="634"/>
      <c r="AE1214" s="264">
        <f t="shared" ref="AE1214:AH1214" si="2936">AE1190*($S1190*$P1190+$T1190*$Q1190+$U1190*$R1190)</f>
        <v>0</v>
      </c>
      <c r="AF1214" s="264">
        <f t="shared" si="2936"/>
        <v>0</v>
      </c>
      <c r="AG1214" s="264">
        <f t="shared" si="2936"/>
        <v>0</v>
      </c>
      <c r="AH1214" s="264">
        <f t="shared" si="2936"/>
        <v>0</v>
      </c>
      <c r="AI1214" s="264">
        <f t="shared" si="2922"/>
        <v>0</v>
      </c>
      <c r="AJ1214" s="264">
        <f t="shared" si="2923"/>
        <v>0</v>
      </c>
      <c r="AK1214" s="264">
        <f t="shared" si="2924"/>
        <v>0</v>
      </c>
      <c r="AL1214" s="264">
        <f t="shared" si="2925"/>
        <v>0</v>
      </c>
      <c r="AM1214" s="264">
        <f t="shared" si="2926"/>
        <v>0</v>
      </c>
      <c r="AN1214" s="640">
        <f t="shared" si="2927"/>
        <v>0</v>
      </c>
      <c r="AO1214" s="264">
        <f t="shared" si="2928"/>
        <v>0</v>
      </c>
      <c r="AP1214" s="640">
        <f t="shared" si="2929"/>
        <v>0</v>
      </c>
      <c r="AQ1214" s="264"/>
      <c r="AR1214" s="264" t="str">
        <f>VLOOKUP($I1214,TableInputsData[],ReadMe!$M$3,FALSE)&amp;"  |  "&amp;VLOOKUP($K1214,TableInputsData[],ReadMe!$M$3,FALSE)</f>
        <v>SERVICE 09  |  DEPENSES SUR ACHATS</v>
      </c>
      <c r="AS1214" s="264" t="b">
        <f t="shared" si="2930"/>
        <v>1</v>
      </c>
      <c r="AT1214" s="294"/>
    </row>
    <row r="1215" spans="1:46" ht="13" hidden="1" x14ac:dyDescent="0.2">
      <c r="A1215" s="294"/>
      <c r="B1215" s="924"/>
      <c r="C1215" s="271">
        <v>1208</v>
      </c>
      <c r="D1215" s="250">
        <f t="shared" si="2879"/>
        <v>0</v>
      </c>
      <c r="E1215" s="250"/>
      <c r="F1215" s="248" t="str">
        <f t="shared" si="2920"/>
        <v>YEAR5</v>
      </c>
      <c r="G1215" s="250">
        <f>VLOOKUP(F1215,TableInputsData[],$G$6,FALSE)</f>
        <v>2029</v>
      </c>
      <c r="H1215" s="250" t="str">
        <f t="shared" si="2880"/>
        <v>SERVICE</v>
      </c>
      <c r="I1215" s="248" t="str">
        <f t="shared" si="2880"/>
        <v>SERVICE 09</v>
      </c>
      <c r="J1215" s="248" t="str">
        <f>VLOOKUP(I1215,TableInputsData[],$J$6,FALSE)</f>
        <v>-</v>
      </c>
      <c r="K1215" s="248" t="str">
        <f t="shared" si="2932"/>
        <v>COST OF GOODS SOLD</v>
      </c>
      <c r="L1215" s="255"/>
      <c r="M1215" s="255"/>
      <c r="N1215" s="255"/>
      <c r="O1215" s="265"/>
      <c r="P1215" s="260"/>
      <c r="Q1215" s="260"/>
      <c r="R1215" s="260"/>
      <c r="S1215" s="630"/>
      <c r="T1215" s="630"/>
      <c r="U1215" s="630"/>
      <c r="V1215" s="630"/>
      <c r="W1215" s="260"/>
      <c r="X1215" s="260"/>
      <c r="Y1215" s="260"/>
      <c r="Z1215" s="260"/>
      <c r="AA1215" s="260"/>
      <c r="AB1215" s="260"/>
      <c r="AC1215" s="265"/>
      <c r="AD1215" s="634"/>
      <c r="AE1215" s="264">
        <f t="shared" ref="AE1215:AH1215" si="2937">AE1191*($S1191*$P1191+$T1191*$Q1191+$U1191*$R1191)</f>
        <v>0</v>
      </c>
      <c r="AF1215" s="264">
        <f t="shared" si="2937"/>
        <v>0</v>
      </c>
      <c r="AG1215" s="264">
        <f t="shared" si="2937"/>
        <v>0</v>
      </c>
      <c r="AH1215" s="264">
        <f t="shared" si="2937"/>
        <v>0</v>
      </c>
      <c r="AI1215" s="264">
        <f t="shared" si="2922"/>
        <v>0</v>
      </c>
      <c r="AJ1215" s="264">
        <f t="shared" si="2923"/>
        <v>0</v>
      </c>
      <c r="AK1215" s="264">
        <f t="shared" si="2924"/>
        <v>0</v>
      </c>
      <c r="AL1215" s="264">
        <f t="shared" si="2925"/>
        <v>0</v>
      </c>
      <c r="AM1215" s="264">
        <f t="shared" si="2926"/>
        <v>0</v>
      </c>
      <c r="AN1215" s="640">
        <f t="shared" si="2927"/>
        <v>0</v>
      </c>
      <c r="AO1215" s="264">
        <f t="shared" si="2928"/>
        <v>0</v>
      </c>
      <c r="AP1215" s="640">
        <f t="shared" si="2929"/>
        <v>0</v>
      </c>
      <c r="AQ1215" s="264"/>
      <c r="AR1215" s="264" t="str">
        <f>VLOOKUP($I1215,TableInputsData[],ReadMe!$M$3,FALSE)&amp;"  |  "&amp;VLOOKUP($K1215,TableInputsData[],ReadMe!$M$3,FALSE)</f>
        <v>SERVICE 09  |  DEPENSES SUR ACHATS</v>
      </c>
      <c r="AS1215" s="264" t="b">
        <f t="shared" si="2930"/>
        <v>1</v>
      </c>
      <c r="AT1215" s="294"/>
    </row>
    <row r="1216" spans="1:46" ht="13" hidden="1" x14ac:dyDescent="0.2">
      <c r="A1216" s="294"/>
      <c r="B1216" s="924"/>
      <c r="C1216" s="271">
        <v>1209</v>
      </c>
      <c r="D1216" s="250">
        <f t="shared" si="2879"/>
        <v>0</v>
      </c>
      <c r="E1216" s="250"/>
      <c r="F1216" s="248" t="str">
        <f t="shared" si="2920"/>
        <v>YEAR6</v>
      </c>
      <c r="G1216" s="250">
        <f>VLOOKUP(F1216,TableInputsData[],$G$6,FALSE)</f>
        <v>2030</v>
      </c>
      <c r="H1216" s="250" t="str">
        <f t="shared" si="2880"/>
        <v>SERVICE</v>
      </c>
      <c r="I1216" s="248" t="str">
        <f t="shared" si="2880"/>
        <v>SERVICE 09</v>
      </c>
      <c r="J1216" s="248" t="str">
        <f>VLOOKUP(I1216,TableInputsData[],$J$6,FALSE)</f>
        <v>-</v>
      </c>
      <c r="K1216" s="248" t="str">
        <f t="shared" si="2932"/>
        <v>COST OF GOODS SOLD</v>
      </c>
      <c r="L1216" s="255"/>
      <c r="M1216" s="255"/>
      <c r="N1216" s="255"/>
      <c r="O1216" s="265"/>
      <c r="P1216" s="260"/>
      <c r="Q1216" s="260"/>
      <c r="R1216" s="260"/>
      <c r="S1216" s="630"/>
      <c r="T1216" s="630"/>
      <c r="U1216" s="630"/>
      <c r="V1216" s="630"/>
      <c r="W1216" s="260"/>
      <c r="X1216" s="260"/>
      <c r="Y1216" s="260"/>
      <c r="Z1216" s="260"/>
      <c r="AA1216" s="260"/>
      <c r="AB1216" s="260"/>
      <c r="AC1216" s="265"/>
      <c r="AD1216" s="634"/>
      <c r="AE1216" s="264">
        <f t="shared" ref="AE1216:AH1216" si="2938">AE1192*($S1192*$P1192+$T1192*$Q1192+$U1192*$R1192)</f>
        <v>0</v>
      </c>
      <c r="AF1216" s="264">
        <f t="shared" si="2938"/>
        <v>0</v>
      </c>
      <c r="AG1216" s="264">
        <f t="shared" si="2938"/>
        <v>0</v>
      </c>
      <c r="AH1216" s="264">
        <f t="shared" si="2938"/>
        <v>0</v>
      </c>
      <c r="AI1216" s="264">
        <f t="shared" si="2922"/>
        <v>0</v>
      </c>
      <c r="AJ1216" s="264">
        <f t="shared" si="2923"/>
        <v>0</v>
      </c>
      <c r="AK1216" s="264">
        <f t="shared" si="2924"/>
        <v>0</v>
      </c>
      <c r="AL1216" s="264">
        <f t="shared" si="2925"/>
        <v>0</v>
      </c>
      <c r="AM1216" s="264">
        <f t="shared" si="2926"/>
        <v>0</v>
      </c>
      <c r="AN1216" s="640">
        <f t="shared" si="2927"/>
        <v>0</v>
      </c>
      <c r="AO1216" s="264">
        <f t="shared" si="2928"/>
        <v>0</v>
      </c>
      <c r="AP1216" s="640">
        <f t="shared" si="2929"/>
        <v>0</v>
      </c>
      <c r="AQ1216" s="264"/>
      <c r="AR1216" s="264" t="str">
        <f>VLOOKUP($I1216,TableInputsData[],ReadMe!$M$3,FALSE)&amp;"  |  "&amp;VLOOKUP($K1216,TableInputsData[],ReadMe!$M$3,FALSE)</f>
        <v>SERVICE 09  |  DEPENSES SUR ACHATS</v>
      </c>
      <c r="AS1216" s="264" t="b">
        <f t="shared" si="2930"/>
        <v>1</v>
      </c>
      <c r="AT1216" s="294"/>
    </row>
    <row r="1217" spans="1:46" ht="13" hidden="1" x14ac:dyDescent="0.2">
      <c r="A1217" s="294"/>
      <c r="B1217" s="924"/>
      <c r="C1217" s="272">
        <v>1210</v>
      </c>
      <c r="D1217" s="250">
        <f t="shared" si="2879"/>
        <v>0</v>
      </c>
      <c r="E1217" s="251"/>
      <c r="F1217" s="248" t="str">
        <f t="shared" ref="F1217:F1224" si="2939">F1193</f>
        <v>YEAR-2</v>
      </c>
      <c r="G1217" s="250">
        <f>VLOOKUP(F1217,TableInputsData[],$G$6,FALSE)</f>
        <v>2023</v>
      </c>
      <c r="H1217" s="250" t="str">
        <f t="shared" si="2880"/>
        <v>SERVICE</v>
      </c>
      <c r="I1217" s="248" t="str">
        <f t="shared" si="2880"/>
        <v>SERVICE 09</v>
      </c>
      <c r="J1217" s="248" t="str">
        <f>VLOOKUP(I1217,TableInputsData[],$J$6,FALSE)</f>
        <v>-</v>
      </c>
      <c r="K1217" s="248" t="s">
        <v>532</v>
      </c>
      <c r="L1217" s="256"/>
      <c r="M1217" s="256"/>
      <c r="N1217" s="256"/>
      <c r="O1217" s="266"/>
      <c r="P1217" s="261"/>
      <c r="Q1217" s="261"/>
      <c r="R1217" s="261"/>
      <c r="S1217" s="629"/>
      <c r="T1217" s="629"/>
      <c r="U1217" s="629"/>
      <c r="V1217" s="629"/>
      <c r="W1217" s="261"/>
      <c r="X1217" s="261"/>
      <c r="Y1217" s="261"/>
      <c r="Z1217" s="261"/>
      <c r="AA1217" s="261"/>
      <c r="AB1217" s="261"/>
      <c r="AC1217" s="266"/>
      <c r="AD1217" s="633"/>
      <c r="AE1217" s="264">
        <f>IF(AE1185=0,0,AE1209/AE1185)</f>
        <v>0</v>
      </c>
      <c r="AF1217" s="264">
        <f t="shared" ref="AF1217:AI1217" si="2940">IF(AF1185=0,0,AF1209/AF1185)</f>
        <v>0</v>
      </c>
      <c r="AG1217" s="264">
        <f t="shared" si="2940"/>
        <v>0</v>
      </c>
      <c r="AH1217" s="264">
        <f t="shared" si="2940"/>
        <v>0</v>
      </c>
      <c r="AI1217" s="264">
        <f t="shared" si="2940"/>
        <v>0</v>
      </c>
      <c r="AJ1217" s="264">
        <f>IF(AJ1185=0,0,AJ1209/AJ1185)</f>
        <v>0</v>
      </c>
      <c r="AK1217" s="264">
        <f t="shared" ref="AK1217:AL1217" si="2941">IF(AK1185=0,0,AK1209/AK1185)</f>
        <v>0</v>
      </c>
      <c r="AL1217" s="264">
        <f t="shared" si="2941"/>
        <v>0</v>
      </c>
      <c r="AM1217" s="264">
        <f>IF(AM1185=0,0,AM1209/AM1185)</f>
        <v>0</v>
      </c>
      <c r="AN1217" s="260"/>
      <c r="AO1217" s="264">
        <f t="shared" ref="AO1217" si="2942">IF(AO1185=0,0,AO1209/AO1185)</f>
        <v>0</v>
      </c>
      <c r="AP1217" s="260"/>
      <c r="AQ1217" s="264"/>
      <c r="AR1217" s="264" t="str">
        <f>VLOOKUP($I1217,TableInputsData[],ReadMe!$M$3,FALSE)&amp;"  |  "&amp;VLOOKUP($K1217,TableInputsData[],ReadMe!$M$3,FALSE)</f>
        <v>SERVICE 09  |  PRIX MOYEN D'ACHAT PAR PRODUIT/SERVICE</v>
      </c>
      <c r="AS1217" s="264"/>
      <c r="AT1217" s="294"/>
    </row>
    <row r="1218" spans="1:46" ht="13" hidden="1" x14ac:dyDescent="0.2">
      <c r="A1218" s="294"/>
      <c r="B1218" s="924"/>
      <c r="C1218" s="272">
        <v>1211</v>
      </c>
      <c r="D1218" s="250">
        <f t="shared" si="2879"/>
        <v>0</v>
      </c>
      <c r="E1218" s="251"/>
      <c r="F1218" s="248" t="str">
        <f t="shared" si="2939"/>
        <v>YEAR-1</v>
      </c>
      <c r="G1218" s="250">
        <f>VLOOKUP(F1218,TableInputsData[],$G$6,FALSE)</f>
        <v>2024</v>
      </c>
      <c r="H1218" s="250" t="str">
        <f t="shared" si="2880"/>
        <v>SERVICE</v>
      </c>
      <c r="I1218" s="248" t="str">
        <f t="shared" si="2880"/>
        <v>SERVICE 09</v>
      </c>
      <c r="J1218" s="248" t="str">
        <f>VLOOKUP(I1218,TableInputsData[],$J$6,FALSE)</f>
        <v>-</v>
      </c>
      <c r="K1218" s="248" t="str">
        <f>K1217</f>
        <v>AVERAGE COST OF GOODS SOLD PER UNIT</v>
      </c>
      <c r="L1218" s="256"/>
      <c r="M1218" s="256"/>
      <c r="N1218" s="256"/>
      <c r="O1218" s="266"/>
      <c r="P1218" s="261"/>
      <c r="Q1218" s="261"/>
      <c r="R1218" s="261"/>
      <c r="S1218" s="629"/>
      <c r="T1218" s="629"/>
      <c r="U1218" s="629"/>
      <c r="V1218" s="629"/>
      <c r="W1218" s="261"/>
      <c r="X1218" s="261"/>
      <c r="Y1218" s="261"/>
      <c r="Z1218" s="261"/>
      <c r="AA1218" s="261"/>
      <c r="AB1218" s="261"/>
      <c r="AC1218" s="266"/>
      <c r="AD1218" s="633"/>
      <c r="AE1218" s="264">
        <f t="shared" ref="AE1218:AL1218" si="2943">IF(AE1186=0,0,AE1210/AE1186)</f>
        <v>0</v>
      </c>
      <c r="AF1218" s="264">
        <f t="shared" si="2943"/>
        <v>0</v>
      </c>
      <c r="AG1218" s="264">
        <f t="shared" si="2943"/>
        <v>0</v>
      </c>
      <c r="AH1218" s="264">
        <f t="shared" si="2943"/>
        <v>0</v>
      </c>
      <c r="AI1218" s="264">
        <f t="shared" si="2943"/>
        <v>0</v>
      </c>
      <c r="AJ1218" s="264">
        <f t="shared" si="2943"/>
        <v>0</v>
      </c>
      <c r="AK1218" s="264">
        <f t="shared" si="2943"/>
        <v>0</v>
      </c>
      <c r="AL1218" s="264">
        <f t="shared" si="2943"/>
        <v>0</v>
      </c>
      <c r="AM1218" s="264">
        <f>IF(AM1186=0,0,AM1210/AM1186)</f>
        <v>0</v>
      </c>
      <c r="AN1218" s="260"/>
      <c r="AO1218" s="264">
        <f>IF(AO1186=0,0,AO1210/AO1186)</f>
        <v>0</v>
      </c>
      <c r="AP1218" s="260"/>
      <c r="AQ1218" s="264"/>
      <c r="AR1218" s="264" t="str">
        <f>VLOOKUP($I1218,TableInputsData[],ReadMe!$M$3,FALSE)&amp;"  |  "&amp;VLOOKUP($K1218,TableInputsData[],ReadMe!$M$3,FALSE)</f>
        <v>SERVICE 09  |  PRIX MOYEN D'ACHAT PAR PRODUIT/SERVICE</v>
      </c>
      <c r="AS1218" s="264"/>
      <c r="AT1218" s="294"/>
    </row>
    <row r="1219" spans="1:46" ht="13" hidden="1" x14ac:dyDescent="0.2">
      <c r="A1219" s="294"/>
      <c r="B1219" s="924"/>
      <c r="C1219" s="272">
        <v>1212</v>
      </c>
      <c r="D1219" s="250">
        <f t="shared" si="2879"/>
        <v>0</v>
      </c>
      <c r="E1219" s="251"/>
      <c r="F1219" s="248" t="str">
        <f t="shared" si="2939"/>
        <v>CURRENT YEAR</v>
      </c>
      <c r="G1219" s="250">
        <f>VLOOKUP(F1219,TableInputsData[],$G$6,FALSE)</f>
        <v>2025</v>
      </c>
      <c r="H1219" s="250" t="str">
        <f t="shared" si="2880"/>
        <v>SERVICE</v>
      </c>
      <c r="I1219" s="248" t="str">
        <f t="shared" si="2880"/>
        <v>SERVICE 09</v>
      </c>
      <c r="J1219" s="248" t="str">
        <f>VLOOKUP(I1219,TableInputsData[],$J$6,FALSE)</f>
        <v>-</v>
      </c>
      <c r="K1219" s="248" t="str">
        <f t="shared" ref="K1219:K1224" si="2944">K1218</f>
        <v>AVERAGE COST OF GOODS SOLD PER UNIT</v>
      </c>
      <c r="L1219" s="256"/>
      <c r="M1219" s="256"/>
      <c r="N1219" s="256"/>
      <c r="O1219" s="266"/>
      <c r="P1219" s="261"/>
      <c r="Q1219" s="261"/>
      <c r="R1219" s="261"/>
      <c r="S1219" s="629"/>
      <c r="T1219" s="629"/>
      <c r="U1219" s="629"/>
      <c r="V1219" s="629"/>
      <c r="W1219" s="261"/>
      <c r="X1219" s="261"/>
      <c r="Y1219" s="261"/>
      <c r="Z1219" s="261"/>
      <c r="AA1219" s="261"/>
      <c r="AB1219" s="261"/>
      <c r="AC1219" s="266"/>
      <c r="AD1219" s="633"/>
      <c r="AE1219" s="264">
        <f t="shared" ref="AE1219:AL1219" si="2945">IF(AE1187=0,0,AE1211/AE1187)</f>
        <v>0</v>
      </c>
      <c r="AF1219" s="264">
        <f t="shared" si="2945"/>
        <v>0</v>
      </c>
      <c r="AG1219" s="264">
        <f t="shared" si="2945"/>
        <v>0</v>
      </c>
      <c r="AH1219" s="264">
        <f t="shared" si="2945"/>
        <v>0</v>
      </c>
      <c r="AI1219" s="264">
        <f t="shared" si="2945"/>
        <v>0</v>
      </c>
      <c r="AJ1219" s="264">
        <f t="shared" si="2945"/>
        <v>0</v>
      </c>
      <c r="AK1219" s="264">
        <f t="shared" si="2945"/>
        <v>0</v>
      </c>
      <c r="AL1219" s="264">
        <f t="shared" si="2945"/>
        <v>0</v>
      </c>
      <c r="AM1219" s="264">
        <f>IF(AM1187=0,0,AM1211/AM1187)</f>
        <v>0</v>
      </c>
      <c r="AN1219" s="260"/>
      <c r="AO1219" s="264">
        <f>IF(AO1187=0,0,AO1211/AO1187)</f>
        <v>0</v>
      </c>
      <c r="AP1219" s="260"/>
      <c r="AQ1219" s="264"/>
      <c r="AR1219" s="264" t="str">
        <f>VLOOKUP($I1219,TableInputsData[],ReadMe!$M$3,FALSE)&amp;"  |  "&amp;VLOOKUP($K1219,TableInputsData[],ReadMe!$M$3,FALSE)</f>
        <v>SERVICE 09  |  PRIX MOYEN D'ACHAT PAR PRODUIT/SERVICE</v>
      </c>
      <c r="AS1219" s="264"/>
      <c r="AT1219" s="294"/>
    </row>
    <row r="1220" spans="1:46" ht="13" hidden="1" x14ac:dyDescent="0.2">
      <c r="A1220" s="294"/>
      <c r="B1220" s="924"/>
      <c r="C1220" s="272">
        <v>1213</v>
      </c>
      <c r="D1220" s="250">
        <f t="shared" si="2879"/>
        <v>0</v>
      </c>
      <c r="E1220" s="251"/>
      <c r="F1220" s="248" t="str">
        <f t="shared" si="2939"/>
        <v>YEAR2</v>
      </c>
      <c r="G1220" s="250">
        <f>VLOOKUP(F1220,TableInputsData[],$G$6,FALSE)</f>
        <v>2026</v>
      </c>
      <c r="H1220" s="250" t="str">
        <f t="shared" si="2880"/>
        <v>SERVICE</v>
      </c>
      <c r="I1220" s="248" t="str">
        <f t="shared" si="2880"/>
        <v>SERVICE 09</v>
      </c>
      <c r="J1220" s="248" t="str">
        <f>VLOOKUP(I1220,TableInputsData[],$J$6,FALSE)</f>
        <v>-</v>
      </c>
      <c r="K1220" s="248" t="str">
        <f t="shared" si="2944"/>
        <v>AVERAGE COST OF GOODS SOLD PER UNIT</v>
      </c>
      <c r="L1220" s="256"/>
      <c r="M1220" s="256"/>
      <c r="N1220" s="256"/>
      <c r="O1220" s="266"/>
      <c r="P1220" s="261"/>
      <c r="Q1220" s="261"/>
      <c r="R1220" s="261"/>
      <c r="S1220" s="629"/>
      <c r="T1220" s="629"/>
      <c r="U1220" s="629"/>
      <c r="V1220" s="629"/>
      <c r="W1220" s="261"/>
      <c r="X1220" s="261"/>
      <c r="Y1220" s="261"/>
      <c r="Z1220" s="261"/>
      <c r="AA1220" s="261"/>
      <c r="AB1220" s="261"/>
      <c r="AC1220" s="266"/>
      <c r="AD1220" s="633"/>
      <c r="AE1220" s="264">
        <f t="shared" ref="AE1220:AM1220" si="2946">IF(AE1188=0,0,AE1212/AE1188)</f>
        <v>0</v>
      </c>
      <c r="AF1220" s="264">
        <f t="shared" si="2946"/>
        <v>0</v>
      </c>
      <c r="AG1220" s="264">
        <f t="shared" si="2946"/>
        <v>0</v>
      </c>
      <c r="AH1220" s="264">
        <f t="shared" si="2946"/>
        <v>0</v>
      </c>
      <c r="AI1220" s="264">
        <f t="shared" si="2946"/>
        <v>0</v>
      </c>
      <c r="AJ1220" s="264">
        <f t="shared" si="2946"/>
        <v>0</v>
      </c>
      <c r="AK1220" s="264">
        <f t="shared" si="2946"/>
        <v>0</v>
      </c>
      <c r="AL1220" s="264">
        <f t="shared" si="2946"/>
        <v>0</v>
      </c>
      <c r="AM1220" s="264">
        <f t="shared" si="2946"/>
        <v>0</v>
      </c>
      <c r="AN1220" s="260"/>
      <c r="AO1220" s="264">
        <f t="shared" ref="AO1220" si="2947">IF(AO1188=0,0,AO1212/AO1188)</f>
        <v>0</v>
      </c>
      <c r="AP1220" s="260"/>
      <c r="AQ1220" s="264"/>
      <c r="AR1220" s="264" t="str">
        <f>VLOOKUP($I1220,TableInputsData[],ReadMe!$M$3,FALSE)&amp;"  |  "&amp;VLOOKUP($K1220,TableInputsData[],ReadMe!$M$3,FALSE)</f>
        <v>SERVICE 09  |  PRIX MOYEN D'ACHAT PAR PRODUIT/SERVICE</v>
      </c>
      <c r="AS1220" s="264"/>
      <c r="AT1220" s="294"/>
    </row>
    <row r="1221" spans="1:46" ht="13" hidden="1" x14ac:dyDescent="0.2">
      <c r="A1221" s="294"/>
      <c r="B1221" s="924"/>
      <c r="C1221" s="272">
        <v>1214</v>
      </c>
      <c r="D1221" s="250">
        <f t="shared" si="2879"/>
        <v>0</v>
      </c>
      <c r="E1221" s="251"/>
      <c r="F1221" s="248" t="str">
        <f t="shared" si="2939"/>
        <v>YEAR3</v>
      </c>
      <c r="G1221" s="250">
        <f>VLOOKUP(F1221,TableInputsData[],$G$6,FALSE)</f>
        <v>2027</v>
      </c>
      <c r="H1221" s="250" t="str">
        <f t="shared" si="2880"/>
        <v>SERVICE</v>
      </c>
      <c r="I1221" s="248" t="str">
        <f t="shared" si="2880"/>
        <v>SERVICE 09</v>
      </c>
      <c r="J1221" s="248" t="str">
        <f>VLOOKUP(I1221,TableInputsData[],$J$6,FALSE)</f>
        <v>-</v>
      </c>
      <c r="K1221" s="248" t="str">
        <f t="shared" si="2944"/>
        <v>AVERAGE COST OF GOODS SOLD PER UNIT</v>
      </c>
      <c r="L1221" s="256"/>
      <c r="M1221" s="256"/>
      <c r="N1221" s="256"/>
      <c r="O1221" s="266"/>
      <c r="P1221" s="261"/>
      <c r="Q1221" s="261"/>
      <c r="R1221" s="261"/>
      <c r="S1221" s="629"/>
      <c r="T1221" s="629"/>
      <c r="U1221" s="629"/>
      <c r="V1221" s="629"/>
      <c r="W1221" s="261"/>
      <c r="X1221" s="261"/>
      <c r="Y1221" s="261"/>
      <c r="Z1221" s="261"/>
      <c r="AA1221" s="261"/>
      <c r="AB1221" s="261"/>
      <c r="AC1221" s="266"/>
      <c r="AD1221" s="633"/>
      <c r="AE1221" s="264">
        <f t="shared" ref="AE1221:AM1221" si="2948">IF(AE1189=0,0,AE1213/AE1189)</f>
        <v>0</v>
      </c>
      <c r="AF1221" s="264">
        <f t="shared" si="2948"/>
        <v>0</v>
      </c>
      <c r="AG1221" s="264">
        <f t="shared" si="2948"/>
        <v>0</v>
      </c>
      <c r="AH1221" s="264">
        <f t="shared" si="2948"/>
        <v>0</v>
      </c>
      <c r="AI1221" s="264">
        <f t="shared" si="2948"/>
        <v>0</v>
      </c>
      <c r="AJ1221" s="264">
        <f t="shared" si="2948"/>
        <v>0</v>
      </c>
      <c r="AK1221" s="264">
        <f t="shared" si="2948"/>
        <v>0</v>
      </c>
      <c r="AL1221" s="264">
        <f t="shared" si="2948"/>
        <v>0</v>
      </c>
      <c r="AM1221" s="264">
        <f t="shared" si="2948"/>
        <v>0</v>
      </c>
      <c r="AN1221" s="260"/>
      <c r="AO1221" s="264">
        <f t="shared" ref="AO1221" si="2949">IF(AO1189=0,0,AO1213/AO1189)</f>
        <v>0</v>
      </c>
      <c r="AP1221" s="260"/>
      <c r="AQ1221" s="264"/>
      <c r="AR1221" s="264" t="str">
        <f>VLOOKUP($I1221,TableInputsData[],ReadMe!$M$3,FALSE)&amp;"  |  "&amp;VLOOKUP($K1221,TableInputsData[],ReadMe!$M$3,FALSE)</f>
        <v>SERVICE 09  |  PRIX MOYEN D'ACHAT PAR PRODUIT/SERVICE</v>
      </c>
      <c r="AS1221" s="264"/>
      <c r="AT1221" s="294"/>
    </row>
    <row r="1222" spans="1:46" ht="13" hidden="1" x14ac:dyDescent="0.2">
      <c r="A1222" s="294"/>
      <c r="B1222" s="924"/>
      <c r="C1222" s="272">
        <v>1215</v>
      </c>
      <c r="D1222" s="250">
        <f t="shared" si="2879"/>
        <v>0</v>
      </c>
      <c r="E1222" s="251"/>
      <c r="F1222" s="248" t="str">
        <f t="shared" si="2939"/>
        <v>YEAR4</v>
      </c>
      <c r="G1222" s="250">
        <f>VLOOKUP(F1222,TableInputsData[],$G$6,FALSE)</f>
        <v>2028</v>
      </c>
      <c r="H1222" s="250" t="str">
        <f t="shared" si="2880"/>
        <v>SERVICE</v>
      </c>
      <c r="I1222" s="248" t="str">
        <f t="shared" si="2880"/>
        <v>SERVICE 09</v>
      </c>
      <c r="J1222" s="248" t="str">
        <f>VLOOKUP(I1222,TableInputsData[],$J$6,FALSE)</f>
        <v>-</v>
      </c>
      <c r="K1222" s="248" t="str">
        <f t="shared" si="2944"/>
        <v>AVERAGE COST OF GOODS SOLD PER UNIT</v>
      </c>
      <c r="L1222" s="256"/>
      <c r="M1222" s="256"/>
      <c r="N1222" s="256"/>
      <c r="O1222" s="266"/>
      <c r="P1222" s="261"/>
      <c r="Q1222" s="261"/>
      <c r="R1222" s="261"/>
      <c r="S1222" s="629"/>
      <c r="T1222" s="629"/>
      <c r="U1222" s="629"/>
      <c r="V1222" s="629"/>
      <c r="W1222" s="261"/>
      <c r="X1222" s="261"/>
      <c r="Y1222" s="261"/>
      <c r="Z1222" s="261"/>
      <c r="AA1222" s="261"/>
      <c r="AB1222" s="261"/>
      <c r="AC1222" s="266"/>
      <c r="AD1222" s="633"/>
      <c r="AE1222" s="264">
        <f t="shared" ref="AE1222:AM1222" si="2950">IF(AE1190=0,0,AE1214/AE1190)</f>
        <v>0</v>
      </c>
      <c r="AF1222" s="264">
        <f t="shared" si="2950"/>
        <v>0</v>
      </c>
      <c r="AG1222" s="264">
        <f t="shared" si="2950"/>
        <v>0</v>
      </c>
      <c r="AH1222" s="264">
        <f t="shared" si="2950"/>
        <v>0</v>
      </c>
      <c r="AI1222" s="264">
        <f t="shared" si="2950"/>
        <v>0</v>
      </c>
      <c r="AJ1222" s="264">
        <f t="shared" si="2950"/>
        <v>0</v>
      </c>
      <c r="AK1222" s="264">
        <f t="shared" si="2950"/>
        <v>0</v>
      </c>
      <c r="AL1222" s="264">
        <f t="shared" si="2950"/>
        <v>0</v>
      </c>
      <c r="AM1222" s="264">
        <f t="shared" si="2950"/>
        <v>0</v>
      </c>
      <c r="AN1222" s="260"/>
      <c r="AO1222" s="264">
        <f t="shared" ref="AO1222" si="2951">IF(AO1190=0,0,AO1214/AO1190)</f>
        <v>0</v>
      </c>
      <c r="AP1222" s="260"/>
      <c r="AQ1222" s="264"/>
      <c r="AR1222" s="264" t="str">
        <f>VLOOKUP($I1222,TableInputsData[],ReadMe!$M$3,FALSE)&amp;"  |  "&amp;VLOOKUP($K1222,TableInputsData[],ReadMe!$M$3,FALSE)</f>
        <v>SERVICE 09  |  PRIX MOYEN D'ACHAT PAR PRODUIT/SERVICE</v>
      </c>
      <c r="AS1222" s="264"/>
      <c r="AT1222" s="294"/>
    </row>
    <row r="1223" spans="1:46" ht="13" hidden="1" x14ac:dyDescent="0.2">
      <c r="A1223" s="294"/>
      <c r="B1223" s="924"/>
      <c r="C1223" s="272">
        <v>1216</v>
      </c>
      <c r="D1223" s="250">
        <f t="shared" si="2879"/>
        <v>0</v>
      </c>
      <c r="E1223" s="251"/>
      <c r="F1223" s="248" t="str">
        <f t="shared" si="2939"/>
        <v>YEAR5</v>
      </c>
      <c r="G1223" s="250">
        <f>VLOOKUP(F1223,TableInputsData[],$G$6,FALSE)</f>
        <v>2029</v>
      </c>
      <c r="H1223" s="250" t="str">
        <f t="shared" si="2880"/>
        <v>SERVICE</v>
      </c>
      <c r="I1223" s="248" t="str">
        <f t="shared" si="2880"/>
        <v>SERVICE 09</v>
      </c>
      <c r="J1223" s="248" t="str">
        <f>VLOOKUP(I1223,TableInputsData[],$J$6,FALSE)</f>
        <v>-</v>
      </c>
      <c r="K1223" s="248" t="str">
        <f t="shared" si="2944"/>
        <v>AVERAGE COST OF GOODS SOLD PER UNIT</v>
      </c>
      <c r="L1223" s="256"/>
      <c r="M1223" s="256"/>
      <c r="N1223" s="256"/>
      <c r="O1223" s="266"/>
      <c r="P1223" s="261"/>
      <c r="Q1223" s="261"/>
      <c r="R1223" s="261"/>
      <c r="S1223" s="629"/>
      <c r="T1223" s="629"/>
      <c r="U1223" s="629"/>
      <c r="V1223" s="629"/>
      <c r="W1223" s="261"/>
      <c r="X1223" s="261"/>
      <c r="Y1223" s="261"/>
      <c r="Z1223" s="261"/>
      <c r="AA1223" s="261"/>
      <c r="AB1223" s="261"/>
      <c r="AC1223" s="266"/>
      <c r="AD1223" s="633"/>
      <c r="AE1223" s="264">
        <f t="shared" ref="AE1223:AM1223" si="2952">IF(AE1191=0,0,AE1215/AE1191)</f>
        <v>0</v>
      </c>
      <c r="AF1223" s="264">
        <f t="shared" si="2952"/>
        <v>0</v>
      </c>
      <c r="AG1223" s="264">
        <f t="shared" si="2952"/>
        <v>0</v>
      </c>
      <c r="AH1223" s="264">
        <f t="shared" si="2952"/>
        <v>0</v>
      </c>
      <c r="AI1223" s="264">
        <f t="shared" si="2952"/>
        <v>0</v>
      </c>
      <c r="AJ1223" s="264">
        <f t="shared" si="2952"/>
        <v>0</v>
      </c>
      <c r="AK1223" s="264">
        <f t="shared" si="2952"/>
        <v>0</v>
      </c>
      <c r="AL1223" s="264">
        <f t="shared" si="2952"/>
        <v>0</v>
      </c>
      <c r="AM1223" s="264">
        <f t="shared" si="2952"/>
        <v>0</v>
      </c>
      <c r="AN1223" s="260"/>
      <c r="AO1223" s="264">
        <f t="shared" ref="AO1223" si="2953">IF(AO1191=0,0,AO1215/AO1191)</f>
        <v>0</v>
      </c>
      <c r="AP1223" s="260"/>
      <c r="AQ1223" s="264"/>
      <c r="AR1223" s="264" t="str">
        <f>VLOOKUP($I1223,TableInputsData[],ReadMe!$M$3,FALSE)&amp;"  |  "&amp;VLOOKUP($K1223,TableInputsData[],ReadMe!$M$3,FALSE)</f>
        <v>SERVICE 09  |  PRIX MOYEN D'ACHAT PAR PRODUIT/SERVICE</v>
      </c>
      <c r="AS1223" s="264"/>
      <c r="AT1223" s="294"/>
    </row>
    <row r="1224" spans="1:46" ht="13" hidden="1" x14ac:dyDescent="0.2">
      <c r="A1224" s="294"/>
      <c r="B1224" s="924"/>
      <c r="C1224" s="272">
        <v>1217</v>
      </c>
      <c r="D1224" s="250">
        <f t="shared" si="2879"/>
        <v>0</v>
      </c>
      <c r="E1224" s="251"/>
      <c r="F1224" s="248" t="str">
        <f t="shared" si="2939"/>
        <v>YEAR6</v>
      </c>
      <c r="G1224" s="250">
        <f>VLOOKUP(F1224,TableInputsData[],$G$6,FALSE)</f>
        <v>2030</v>
      </c>
      <c r="H1224" s="250" t="str">
        <f t="shared" si="2880"/>
        <v>SERVICE</v>
      </c>
      <c r="I1224" s="248" t="str">
        <f t="shared" si="2880"/>
        <v>SERVICE 09</v>
      </c>
      <c r="J1224" s="248" t="str">
        <f>VLOOKUP(I1224,TableInputsData[],$J$6,FALSE)</f>
        <v>-</v>
      </c>
      <c r="K1224" s="248" t="str">
        <f t="shared" si="2944"/>
        <v>AVERAGE COST OF GOODS SOLD PER UNIT</v>
      </c>
      <c r="L1224" s="256"/>
      <c r="M1224" s="256"/>
      <c r="N1224" s="256"/>
      <c r="O1224" s="266"/>
      <c r="P1224" s="261"/>
      <c r="Q1224" s="261"/>
      <c r="R1224" s="261"/>
      <c r="S1224" s="629"/>
      <c r="T1224" s="629"/>
      <c r="U1224" s="629"/>
      <c r="V1224" s="629"/>
      <c r="W1224" s="261"/>
      <c r="X1224" s="261"/>
      <c r="Y1224" s="261"/>
      <c r="Z1224" s="261"/>
      <c r="AA1224" s="261"/>
      <c r="AB1224" s="261"/>
      <c r="AC1224" s="266"/>
      <c r="AD1224" s="633"/>
      <c r="AE1224" s="264">
        <f t="shared" ref="AE1224:AM1224" si="2954">IF(AE1192=0,0,AE1216/AE1192)</f>
        <v>0</v>
      </c>
      <c r="AF1224" s="264">
        <f t="shared" si="2954"/>
        <v>0</v>
      </c>
      <c r="AG1224" s="264">
        <f t="shared" si="2954"/>
        <v>0</v>
      </c>
      <c r="AH1224" s="264">
        <f t="shared" si="2954"/>
        <v>0</v>
      </c>
      <c r="AI1224" s="264">
        <f t="shared" si="2954"/>
        <v>0</v>
      </c>
      <c r="AJ1224" s="264">
        <f t="shared" si="2954"/>
        <v>0</v>
      </c>
      <c r="AK1224" s="264">
        <f t="shared" si="2954"/>
        <v>0</v>
      </c>
      <c r="AL1224" s="264">
        <f t="shared" si="2954"/>
        <v>0</v>
      </c>
      <c r="AM1224" s="264">
        <f t="shared" si="2954"/>
        <v>0</v>
      </c>
      <c r="AN1224" s="260"/>
      <c r="AO1224" s="264">
        <f t="shared" ref="AO1224" si="2955">IF(AO1192=0,0,AO1216/AO1192)</f>
        <v>0</v>
      </c>
      <c r="AP1224" s="260"/>
      <c r="AQ1224" s="264"/>
      <c r="AR1224" s="264" t="str">
        <f>VLOOKUP($I1224,TableInputsData[],ReadMe!$M$3,FALSE)&amp;"  |  "&amp;VLOOKUP($K1224,TableInputsData[],ReadMe!$M$3,FALSE)</f>
        <v>SERVICE 09  |  PRIX MOYEN D'ACHAT PAR PRODUIT/SERVICE</v>
      </c>
      <c r="AS1224" s="264"/>
      <c r="AT1224" s="294"/>
    </row>
    <row r="1225" spans="1:46" ht="13" x14ac:dyDescent="0.2">
      <c r="A1225" s="294"/>
      <c r="B1225" s="924"/>
      <c r="C1225" s="273">
        <v>1218</v>
      </c>
      <c r="D1225" s="253">
        <v>0</v>
      </c>
      <c r="E1225" s="253">
        <v>1</v>
      </c>
      <c r="F1225" s="252"/>
      <c r="G1225" s="253"/>
      <c r="H1225" s="253"/>
      <c r="I1225" s="252"/>
      <c r="J1225" s="252"/>
      <c r="K1225" s="252"/>
      <c r="L1225" s="257"/>
      <c r="M1225" s="257"/>
      <c r="N1225" s="257"/>
      <c r="O1225" s="267"/>
      <c r="P1225" s="262"/>
      <c r="Q1225" s="262"/>
      <c r="R1225" s="262"/>
      <c r="S1225" s="631"/>
      <c r="T1225" s="631"/>
      <c r="U1225" s="631"/>
      <c r="V1225" s="631"/>
      <c r="W1225" s="262"/>
      <c r="X1225" s="262"/>
      <c r="Y1225" s="262"/>
      <c r="Z1225" s="262"/>
      <c r="AA1225" s="262"/>
      <c r="AB1225" s="262"/>
      <c r="AC1225" s="267"/>
      <c r="AD1225" s="635"/>
      <c r="AE1225" s="270"/>
      <c r="AF1225" s="270"/>
      <c r="AG1225" s="270"/>
      <c r="AH1225" s="270"/>
      <c r="AI1225" s="270"/>
      <c r="AJ1225" s="270"/>
      <c r="AK1225" s="270"/>
      <c r="AL1225" s="270"/>
      <c r="AM1225" s="270"/>
      <c r="AN1225" s="643"/>
      <c r="AO1225" s="270"/>
      <c r="AP1225" s="270"/>
      <c r="AQ1225" s="270"/>
      <c r="AR1225" s="270"/>
      <c r="AS1225" s="270"/>
      <c r="AT1225" s="294"/>
    </row>
    <row r="1226" spans="1:46" ht="13" hidden="1" x14ac:dyDescent="0.2">
      <c r="A1226" s="294"/>
      <c r="B1226" s="925" t="str">
        <f>I1227&amp;"___"</f>
        <v>SERVICE 10___</v>
      </c>
      <c r="C1226" s="271">
        <v>1219</v>
      </c>
      <c r="D1226" s="250">
        <v>0</v>
      </c>
      <c r="E1226" s="250"/>
      <c r="F1226" s="248"/>
      <c r="G1226" s="250"/>
      <c r="H1226" s="250"/>
      <c r="I1226" s="248"/>
      <c r="J1226" s="248"/>
      <c r="K1226" s="248"/>
      <c r="L1226" s="254"/>
      <c r="M1226" s="254"/>
      <c r="N1226" s="254"/>
      <c r="O1226" s="264"/>
      <c r="P1226" s="259"/>
      <c r="Q1226" s="259"/>
      <c r="R1226" s="259"/>
      <c r="S1226" s="628"/>
      <c r="T1226" s="628"/>
      <c r="U1226" s="628"/>
      <c r="V1226" s="628"/>
      <c r="W1226" s="259"/>
      <c r="X1226" s="259"/>
      <c r="Y1226" s="259"/>
      <c r="Z1226" s="259"/>
      <c r="AA1226" s="259"/>
      <c r="AB1226" s="259"/>
      <c r="AC1226" s="264"/>
      <c r="AD1226" s="609"/>
      <c r="AE1226" s="269"/>
      <c r="AF1226" s="269"/>
      <c r="AG1226" s="269"/>
      <c r="AH1226" s="269"/>
      <c r="AI1226" s="269"/>
      <c r="AJ1226" s="269"/>
      <c r="AK1226" s="269"/>
      <c r="AL1226" s="269"/>
      <c r="AM1226" s="269"/>
      <c r="AN1226" s="642"/>
      <c r="AO1226" s="269"/>
      <c r="AP1226" s="269"/>
      <c r="AQ1226" s="269"/>
      <c r="AR1226" s="269"/>
      <c r="AS1226" s="269"/>
      <c r="AT1226" s="294"/>
    </row>
    <row r="1227" spans="1:46" ht="13" x14ac:dyDescent="0.2">
      <c r="A1227" s="294"/>
      <c r="B1227" s="925"/>
      <c r="C1227" s="271">
        <v>1220</v>
      </c>
      <c r="D1227" s="250">
        <f>VLOOKUP($I1227,TableInputsData[],$D$6,FALSE)</f>
        <v>0</v>
      </c>
      <c r="E1227" s="250">
        <v>1</v>
      </c>
      <c r="F1227" s="248" t="s">
        <v>392</v>
      </c>
      <c r="G1227" s="250">
        <f>VLOOKUP(F1227,TableInputsData[],$G$6,FALSE)</f>
        <v>2023</v>
      </c>
      <c r="H1227" s="250" t="s">
        <v>121</v>
      </c>
      <c r="I1227" s="248" t="s">
        <v>115</v>
      </c>
      <c r="J1227" s="248" t="str">
        <f>VLOOKUP(I1227,TableInputsData[],$J$6,FALSE)</f>
        <v>-</v>
      </c>
      <c r="K1227" s="248" t="s">
        <v>261</v>
      </c>
      <c r="L1227" s="499">
        <v>1000</v>
      </c>
      <c r="M1227" s="499">
        <v>0</v>
      </c>
      <c r="N1227" s="499">
        <v>0</v>
      </c>
      <c r="O1227" s="264">
        <f t="shared" ref="O1227:O1234" si="2956">$L1227*$P1227+$M1227*$Q1227+$N1227*$R1227</f>
        <v>1000</v>
      </c>
      <c r="P1227" s="500">
        <v>1</v>
      </c>
      <c r="Q1227" s="500">
        <v>0</v>
      </c>
      <c r="R1227" s="259">
        <f>1-$P1227-$Q1227</f>
        <v>0</v>
      </c>
      <c r="S1227" s="626">
        <v>500</v>
      </c>
      <c r="T1227" s="626">
        <v>0</v>
      </c>
      <c r="U1227" s="626">
        <v>0</v>
      </c>
      <c r="V1227" s="628">
        <f>($L1227*$P1227*$S1227+$M1227*$Q1227*$T1227+$N1227*$R1227*$U1227)/$O1227</f>
        <v>500</v>
      </c>
      <c r="W1227" s="500">
        <v>1</v>
      </c>
      <c r="X1227" s="500">
        <v>1</v>
      </c>
      <c r="Y1227" s="500">
        <v>1</v>
      </c>
      <c r="Z1227" s="259">
        <f t="shared" ref="Z1227:Z1234" si="2957">1-$W1227</f>
        <v>0</v>
      </c>
      <c r="AA1227" s="259">
        <f t="shared" ref="AA1227:AA1234" si="2958">1-$X1227</f>
        <v>0</v>
      </c>
      <c r="AB1227" s="259">
        <f t="shared" ref="AB1227:AB1234" si="2959">1-$Y1227</f>
        <v>0</v>
      </c>
      <c r="AC1227" s="628">
        <f>AM1259</f>
        <v>0</v>
      </c>
      <c r="AD1227" s="628">
        <f>AO1259</f>
        <v>0</v>
      </c>
      <c r="AE1227" s="501">
        <v>0</v>
      </c>
      <c r="AF1227" s="501">
        <v>0</v>
      </c>
      <c r="AG1227" s="501">
        <v>0</v>
      </c>
      <c r="AH1227" s="501">
        <v>0</v>
      </c>
      <c r="AI1227" s="264">
        <f>$AE1227+$AF1227+$AG1227+$AH1227</f>
        <v>0</v>
      </c>
      <c r="AJ1227" s="264">
        <f t="shared" ref="AJ1227:AJ1234" si="2960">$AI1227*$P1227</f>
        <v>0</v>
      </c>
      <c r="AK1227" s="264">
        <f t="shared" ref="AK1227:AK1234" si="2961">$AI1227*$Q1227</f>
        <v>0</v>
      </c>
      <c r="AL1227" s="264">
        <f t="shared" ref="AL1227:AL1234" si="2962">$AI1227*$R1227</f>
        <v>0</v>
      </c>
      <c r="AM1227" s="264">
        <f t="shared" ref="AM1227:AM1234" si="2963">$AJ1227*$W1227+$AK1227*$X1227+$AL1227*$Y1227</f>
        <v>0</v>
      </c>
      <c r="AN1227" s="640">
        <f>IF(AI1227=0,0,AM1227/AI1227)</f>
        <v>0</v>
      </c>
      <c r="AO1227" s="264">
        <f t="shared" ref="AO1227:AO1234" si="2964">$AJ1227*$Z1227+$AK1227*$AA1227+$AL1227*$AB1227</f>
        <v>0</v>
      </c>
      <c r="AP1227" s="640">
        <f t="shared" ref="AP1227:AP1242" si="2965">IF(AI1227=0,0,AO1227/AI1227)</f>
        <v>0</v>
      </c>
      <c r="AQ1227" s="264" t="str">
        <f>VLOOKUP(I1227,TableInputsData[],$AQ$6,FALSE)</f>
        <v>GAMME # : 1 + CANAL DE DISTRIBUTION # : 1</v>
      </c>
      <c r="AR1227" s="264" t="str">
        <f>VLOOKUP($I1227,TableInputsData[],ReadMe!$M$3,FALSE)&amp;"  |  "&amp;VLOOKUP($K1227,TableInputsData[],ReadMe!$M$3,FALSE)</f>
        <v>SERVICE 10  |  VOLUME</v>
      </c>
      <c r="AS1227" s="264" t="b">
        <f t="shared" ref="AS1227:AS1234" si="2966">AND(EXACT(ROUND(AI1227,2),ROUND(AJ1227+AK1227+AL1227,2)),EXACT(ROUND(AI1227,2),ROUND(AM1227+AO1227,2)),EXACT(SUM(P1227:R1227),1),IF(R1227&lt;0,FALSE,TRUE),EXACT(SUM(W1227:AB1227),3),MIN(W1227:Y1227)&gt;=0, MAX(W1227:Y1227)&lt;=1)</f>
        <v>1</v>
      </c>
      <c r="AT1227" s="294"/>
    </row>
    <row r="1228" spans="1:46" ht="13" x14ac:dyDescent="0.2">
      <c r="A1228" s="294"/>
      <c r="B1228" s="925"/>
      <c r="C1228" s="271">
        <v>1221</v>
      </c>
      <c r="D1228" s="250">
        <f>D1227</f>
        <v>0</v>
      </c>
      <c r="E1228" s="250">
        <v>1</v>
      </c>
      <c r="F1228" s="248" t="s">
        <v>391</v>
      </c>
      <c r="G1228" s="250">
        <f>VLOOKUP(F1228,TableInputsData[],$G$6,FALSE)</f>
        <v>2024</v>
      </c>
      <c r="H1228" s="250" t="str">
        <f>H1227</f>
        <v>SERVICE</v>
      </c>
      <c r="I1228" s="248" t="str">
        <f>I1227</f>
        <v>SERVICE 10</v>
      </c>
      <c r="J1228" s="248" t="str">
        <f>VLOOKUP(I1228,TableInputsData[],$J$6,FALSE)</f>
        <v>-</v>
      </c>
      <c r="K1228" s="248" t="str">
        <f>K1227</f>
        <v>VOLUME</v>
      </c>
      <c r="L1228" s="499">
        <v>1000</v>
      </c>
      <c r="M1228" s="499">
        <v>0</v>
      </c>
      <c r="N1228" s="499">
        <v>0</v>
      </c>
      <c r="O1228" s="264">
        <f t="shared" si="2956"/>
        <v>1000</v>
      </c>
      <c r="P1228" s="500">
        <v>1</v>
      </c>
      <c r="Q1228" s="500">
        <v>0</v>
      </c>
      <c r="R1228" s="259">
        <f t="shared" ref="R1228:R1234" si="2967">1-$P1228-$Q1228</f>
        <v>0</v>
      </c>
      <c r="S1228" s="626">
        <v>500</v>
      </c>
      <c r="T1228" s="626">
        <v>0</v>
      </c>
      <c r="U1228" s="626">
        <v>0</v>
      </c>
      <c r="V1228" s="628">
        <f t="shared" ref="V1228:V1234" si="2968">($L1228*$P1228*$S1228+$M1228*$Q1228*$T1228+$N1228*$R1228*$U1228)/$O1228</f>
        <v>500</v>
      </c>
      <c r="W1228" s="500">
        <v>1</v>
      </c>
      <c r="X1228" s="500">
        <v>1</v>
      </c>
      <c r="Y1228" s="500">
        <v>1</v>
      </c>
      <c r="Z1228" s="259">
        <f t="shared" si="2957"/>
        <v>0</v>
      </c>
      <c r="AA1228" s="259">
        <f t="shared" si="2958"/>
        <v>0</v>
      </c>
      <c r="AB1228" s="259">
        <f t="shared" si="2959"/>
        <v>0</v>
      </c>
      <c r="AC1228" s="628">
        <f t="shared" ref="AC1228:AC1234" si="2969">AM1260</f>
        <v>0</v>
      </c>
      <c r="AD1228" s="628">
        <f t="shared" ref="AD1228:AD1234" si="2970">AO1260</f>
        <v>0</v>
      </c>
      <c r="AE1228" s="501">
        <v>0</v>
      </c>
      <c r="AF1228" s="501">
        <v>0</v>
      </c>
      <c r="AG1228" s="501">
        <v>0</v>
      </c>
      <c r="AH1228" s="501">
        <v>0</v>
      </c>
      <c r="AI1228" s="264">
        <f>$AE1228+$AF1228+$AG1228+$AH1228</f>
        <v>0</v>
      </c>
      <c r="AJ1228" s="264">
        <f t="shared" si="2960"/>
        <v>0</v>
      </c>
      <c r="AK1228" s="264">
        <f t="shared" si="2961"/>
        <v>0</v>
      </c>
      <c r="AL1228" s="264">
        <f t="shared" si="2962"/>
        <v>0</v>
      </c>
      <c r="AM1228" s="264">
        <f t="shared" si="2963"/>
        <v>0</v>
      </c>
      <c r="AN1228" s="640">
        <f t="shared" ref="AN1228:AN1242" si="2971">IF(AI1228=0,0,AM1228/AI1228)</f>
        <v>0</v>
      </c>
      <c r="AO1228" s="264">
        <f t="shared" si="2964"/>
        <v>0</v>
      </c>
      <c r="AP1228" s="640">
        <f t="shared" si="2965"/>
        <v>0</v>
      </c>
      <c r="AQ1228" s="501"/>
      <c r="AR1228" s="264" t="str">
        <f>VLOOKUP($I1228,TableInputsData[],ReadMe!$M$3,FALSE)&amp;"  |  "&amp;VLOOKUP($K1228,TableInputsData[],ReadMe!$M$3,FALSE)</f>
        <v>SERVICE 10  |  VOLUME</v>
      </c>
      <c r="AS1228" s="264" t="b">
        <f t="shared" si="2966"/>
        <v>1</v>
      </c>
      <c r="AT1228" s="294"/>
    </row>
    <row r="1229" spans="1:46" ht="13" x14ac:dyDescent="0.2">
      <c r="A1229" s="294"/>
      <c r="B1229" s="925"/>
      <c r="C1229" s="271">
        <v>1222</v>
      </c>
      <c r="D1229" s="250">
        <f t="shared" ref="D1229:D1266" si="2972">D1228</f>
        <v>0</v>
      </c>
      <c r="E1229" s="250">
        <v>1</v>
      </c>
      <c r="F1229" s="248" t="s">
        <v>393</v>
      </c>
      <c r="G1229" s="250">
        <f>VLOOKUP(F1229,TableInputsData[],$G$6,FALSE)</f>
        <v>2025</v>
      </c>
      <c r="H1229" s="250" t="str">
        <f t="shared" ref="H1229:I1266" si="2973">H1228</f>
        <v>SERVICE</v>
      </c>
      <c r="I1229" s="248" t="str">
        <f t="shared" si="2973"/>
        <v>SERVICE 10</v>
      </c>
      <c r="J1229" s="248" t="str">
        <f>VLOOKUP(I1229,TableInputsData[],$J$6,FALSE)</f>
        <v>-</v>
      </c>
      <c r="K1229" s="248" t="str">
        <f t="shared" ref="K1229:K1234" si="2974">K1228</f>
        <v>VOLUME</v>
      </c>
      <c r="L1229" s="499">
        <v>1000</v>
      </c>
      <c r="M1229" s="499">
        <v>0</v>
      </c>
      <c r="N1229" s="499">
        <v>0</v>
      </c>
      <c r="O1229" s="264">
        <f t="shared" si="2956"/>
        <v>1000</v>
      </c>
      <c r="P1229" s="500">
        <v>1</v>
      </c>
      <c r="Q1229" s="500">
        <v>0</v>
      </c>
      <c r="R1229" s="259">
        <f t="shared" si="2967"/>
        <v>0</v>
      </c>
      <c r="S1229" s="626">
        <v>500</v>
      </c>
      <c r="T1229" s="626">
        <v>0</v>
      </c>
      <c r="U1229" s="626">
        <v>0</v>
      </c>
      <c r="V1229" s="628">
        <f t="shared" si="2968"/>
        <v>500</v>
      </c>
      <c r="W1229" s="500">
        <v>1</v>
      </c>
      <c r="X1229" s="500">
        <v>1</v>
      </c>
      <c r="Y1229" s="500">
        <v>1</v>
      </c>
      <c r="Z1229" s="259">
        <f t="shared" si="2957"/>
        <v>0</v>
      </c>
      <c r="AA1229" s="259">
        <f t="shared" si="2958"/>
        <v>0</v>
      </c>
      <c r="AB1229" s="259">
        <f t="shared" si="2959"/>
        <v>0</v>
      </c>
      <c r="AC1229" s="628">
        <f t="shared" si="2969"/>
        <v>0</v>
      </c>
      <c r="AD1229" s="628">
        <f t="shared" si="2970"/>
        <v>0</v>
      </c>
      <c r="AE1229" s="501">
        <v>0</v>
      </c>
      <c r="AF1229" s="501">
        <v>0</v>
      </c>
      <c r="AG1229" s="501">
        <v>0</v>
      </c>
      <c r="AH1229" s="501">
        <v>0</v>
      </c>
      <c r="AI1229" s="264">
        <f>$AE1229+$AF1229+$AG1229+$AH1229</f>
        <v>0</v>
      </c>
      <c r="AJ1229" s="264">
        <f t="shared" si="2960"/>
        <v>0</v>
      </c>
      <c r="AK1229" s="264">
        <f t="shared" si="2961"/>
        <v>0</v>
      </c>
      <c r="AL1229" s="264">
        <f t="shared" si="2962"/>
        <v>0</v>
      </c>
      <c r="AM1229" s="264">
        <f t="shared" si="2963"/>
        <v>0</v>
      </c>
      <c r="AN1229" s="640">
        <f t="shared" si="2971"/>
        <v>0</v>
      </c>
      <c r="AO1229" s="264">
        <f t="shared" si="2964"/>
        <v>0</v>
      </c>
      <c r="AP1229" s="640">
        <f t="shared" si="2965"/>
        <v>0</v>
      </c>
      <c r="AQ1229" s="501"/>
      <c r="AR1229" s="264" t="str">
        <f>VLOOKUP($I1229,TableInputsData[],ReadMe!$M$3,FALSE)&amp;"  |  "&amp;VLOOKUP($K1229,TableInputsData[],ReadMe!$M$3,FALSE)</f>
        <v>SERVICE 10  |  VOLUME</v>
      </c>
      <c r="AS1229" s="264" t="b">
        <f t="shared" si="2966"/>
        <v>1</v>
      </c>
      <c r="AT1229" s="294"/>
    </row>
    <row r="1230" spans="1:46" ht="13" x14ac:dyDescent="0.2">
      <c r="A1230" s="294"/>
      <c r="B1230" s="925"/>
      <c r="C1230" s="271">
        <v>1223</v>
      </c>
      <c r="D1230" s="250">
        <f t="shared" si="2972"/>
        <v>0</v>
      </c>
      <c r="E1230" s="250">
        <v>1</v>
      </c>
      <c r="F1230" s="248" t="s">
        <v>396</v>
      </c>
      <c r="G1230" s="250">
        <f>VLOOKUP(F1230,TableInputsData[],$G$6,FALSE)</f>
        <v>2026</v>
      </c>
      <c r="H1230" s="250" t="str">
        <f t="shared" si="2973"/>
        <v>SERVICE</v>
      </c>
      <c r="I1230" s="248" t="str">
        <f t="shared" si="2973"/>
        <v>SERVICE 10</v>
      </c>
      <c r="J1230" s="248" t="str">
        <f>VLOOKUP(I1230,TableInputsData[],$J$6,FALSE)</f>
        <v>-</v>
      </c>
      <c r="K1230" s="248" t="str">
        <f t="shared" si="2974"/>
        <v>VOLUME</v>
      </c>
      <c r="L1230" s="499">
        <v>1000</v>
      </c>
      <c r="M1230" s="499">
        <v>0</v>
      </c>
      <c r="N1230" s="499">
        <v>0</v>
      </c>
      <c r="O1230" s="264">
        <f t="shared" si="2956"/>
        <v>1000</v>
      </c>
      <c r="P1230" s="500">
        <v>1</v>
      </c>
      <c r="Q1230" s="500">
        <v>0</v>
      </c>
      <c r="R1230" s="259">
        <f t="shared" si="2967"/>
        <v>0</v>
      </c>
      <c r="S1230" s="626">
        <v>500</v>
      </c>
      <c r="T1230" s="626">
        <v>0</v>
      </c>
      <c r="U1230" s="626">
        <v>0</v>
      </c>
      <c r="V1230" s="628">
        <f t="shared" si="2968"/>
        <v>500</v>
      </c>
      <c r="W1230" s="500">
        <v>1</v>
      </c>
      <c r="X1230" s="500">
        <v>1</v>
      </c>
      <c r="Y1230" s="500">
        <v>1</v>
      </c>
      <c r="Z1230" s="259">
        <f t="shared" si="2957"/>
        <v>0</v>
      </c>
      <c r="AA1230" s="259">
        <f t="shared" si="2958"/>
        <v>0</v>
      </c>
      <c r="AB1230" s="259">
        <f t="shared" si="2959"/>
        <v>0</v>
      </c>
      <c r="AC1230" s="628">
        <f t="shared" si="2969"/>
        <v>0</v>
      </c>
      <c r="AD1230" s="628">
        <f t="shared" si="2970"/>
        <v>0</v>
      </c>
      <c r="AE1230" s="501">
        <v>0</v>
      </c>
      <c r="AF1230" s="501">
        <v>0</v>
      </c>
      <c r="AG1230" s="501">
        <v>0</v>
      </c>
      <c r="AH1230" s="501">
        <v>0</v>
      </c>
      <c r="AI1230" s="264">
        <f>$AE1230+$AF1230+$AG1230+$AH1230</f>
        <v>0</v>
      </c>
      <c r="AJ1230" s="264">
        <f t="shared" si="2960"/>
        <v>0</v>
      </c>
      <c r="AK1230" s="264">
        <f t="shared" si="2961"/>
        <v>0</v>
      </c>
      <c r="AL1230" s="264">
        <f t="shared" si="2962"/>
        <v>0</v>
      </c>
      <c r="AM1230" s="264">
        <f t="shared" si="2963"/>
        <v>0</v>
      </c>
      <c r="AN1230" s="640">
        <f t="shared" si="2971"/>
        <v>0</v>
      </c>
      <c r="AO1230" s="264">
        <f t="shared" si="2964"/>
        <v>0</v>
      </c>
      <c r="AP1230" s="640">
        <f t="shared" si="2965"/>
        <v>0</v>
      </c>
      <c r="AQ1230" s="501"/>
      <c r="AR1230" s="264" t="str">
        <f>VLOOKUP($I1230,TableInputsData[],ReadMe!$M$3,FALSE)&amp;"  |  "&amp;VLOOKUP($K1230,TableInputsData[],ReadMe!$M$3,FALSE)</f>
        <v>SERVICE 10  |  VOLUME</v>
      </c>
      <c r="AS1230" s="264" t="b">
        <f t="shared" si="2966"/>
        <v>1</v>
      </c>
      <c r="AT1230" s="294"/>
    </row>
    <row r="1231" spans="1:46" ht="13" x14ac:dyDescent="0.2">
      <c r="A1231" s="294"/>
      <c r="B1231" s="925"/>
      <c r="C1231" s="271">
        <v>1224</v>
      </c>
      <c r="D1231" s="250">
        <f t="shared" si="2972"/>
        <v>0</v>
      </c>
      <c r="E1231" s="250">
        <v>1</v>
      </c>
      <c r="F1231" s="248" t="s">
        <v>397</v>
      </c>
      <c r="G1231" s="250">
        <f>VLOOKUP(F1231,TableInputsData[],$G$6,FALSE)</f>
        <v>2027</v>
      </c>
      <c r="H1231" s="250" t="str">
        <f t="shared" si="2973"/>
        <v>SERVICE</v>
      </c>
      <c r="I1231" s="248" t="str">
        <f t="shared" si="2973"/>
        <v>SERVICE 10</v>
      </c>
      <c r="J1231" s="248" t="str">
        <f>VLOOKUP(I1231,TableInputsData[],$J$6,FALSE)</f>
        <v>-</v>
      </c>
      <c r="K1231" s="248" t="str">
        <f t="shared" si="2974"/>
        <v>VOLUME</v>
      </c>
      <c r="L1231" s="499">
        <v>1000</v>
      </c>
      <c r="M1231" s="499">
        <v>0</v>
      </c>
      <c r="N1231" s="499">
        <v>0</v>
      </c>
      <c r="O1231" s="264">
        <f t="shared" si="2956"/>
        <v>1000</v>
      </c>
      <c r="P1231" s="500">
        <v>1</v>
      </c>
      <c r="Q1231" s="500">
        <v>0</v>
      </c>
      <c r="R1231" s="259">
        <f t="shared" si="2967"/>
        <v>0</v>
      </c>
      <c r="S1231" s="626">
        <v>500</v>
      </c>
      <c r="T1231" s="626">
        <v>0</v>
      </c>
      <c r="U1231" s="626">
        <v>0</v>
      </c>
      <c r="V1231" s="628">
        <f t="shared" si="2968"/>
        <v>500</v>
      </c>
      <c r="W1231" s="500">
        <v>1</v>
      </c>
      <c r="X1231" s="500">
        <v>1</v>
      </c>
      <c r="Y1231" s="500">
        <v>1</v>
      </c>
      <c r="Z1231" s="259">
        <f t="shared" si="2957"/>
        <v>0</v>
      </c>
      <c r="AA1231" s="259">
        <f t="shared" si="2958"/>
        <v>0</v>
      </c>
      <c r="AB1231" s="259">
        <f t="shared" si="2959"/>
        <v>0</v>
      </c>
      <c r="AC1231" s="628">
        <f t="shared" si="2969"/>
        <v>0</v>
      </c>
      <c r="AD1231" s="628">
        <f t="shared" si="2970"/>
        <v>0</v>
      </c>
      <c r="AE1231" s="264">
        <f>$AI1231/4</f>
        <v>0</v>
      </c>
      <c r="AF1231" s="264">
        <f t="shared" ref="AF1231:AH1234" si="2975">$AI1231/4</f>
        <v>0</v>
      </c>
      <c r="AG1231" s="264">
        <f t="shared" si="2975"/>
        <v>0</v>
      </c>
      <c r="AH1231" s="264">
        <f t="shared" si="2975"/>
        <v>0</v>
      </c>
      <c r="AI1231" s="501">
        <v>0</v>
      </c>
      <c r="AJ1231" s="264">
        <f t="shared" si="2960"/>
        <v>0</v>
      </c>
      <c r="AK1231" s="264">
        <f t="shared" si="2961"/>
        <v>0</v>
      </c>
      <c r="AL1231" s="264">
        <f t="shared" si="2962"/>
        <v>0</v>
      </c>
      <c r="AM1231" s="264">
        <f t="shared" si="2963"/>
        <v>0</v>
      </c>
      <c r="AN1231" s="640">
        <f t="shared" si="2971"/>
        <v>0</v>
      </c>
      <c r="AO1231" s="264">
        <f t="shared" si="2964"/>
        <v>0</v>
      </c>
      <c r="AP1231" s="640">
        <f t="shared" si="2965"/>
        <v>0</v>
      </c>
      <c r="AQ1231" s="501"/>
      <c r="AR1231" s="264" t="str">
        <f>VLOOKUP($I1231,TableInputsData[],ReadMe!$M$3,FALSE)&amp;"  |  "&amp;VLOOKUP($K1231,TableInputsData[],ReadMe!$M$3,FALSE)</f>
        <v>SERVICE 10  |  VOLUME</v>
      </c>
      <c r="AS1231" s="264" t="b">
        <f t="shared" si="2966"/>
        <v>1</v>
      </c>
      <c r="AT1231" s="294"/>
    </row>
    <row r="1232" spans="1:46" ht="13" x14ac:dyDescent="0.2">
      <c r="A1232" s="294"/>
      <c r="B1232" s="925"/>
      <c r="C1232" s="283">
        <v>1225</v>
      </c>
      <c r="D1232" s="250">
        <f t="shared" si="2972"/>
        <v>0</v>
      </c>
      <c r="E1232" s="250">
        <v>1</v>
      </c>
      <c r="F1232" s="248" t="s">
        <v>398</v>
      </c>
      <c r="G1232" s="250">
        <f>VLOOKUP(F1232,TableInputsData[],$G$6,FALSE)</f>
        <v>2028</v>
      </c>
      <c r="H1232" s="250" t="str">
        <f t="shared" si="2973"/>
        <v>SERVICE</v>
      </c>
      <c r="I1232" s="248" t="str">
        <f t="shared" si="2973"/>
        <v>SERVICE 10</v>
      </c>
      <c r="J1232" s="248" t="str">
        <f>VLOOKUP(I1232,TableInputsData[],$J$6,FALSE)</f>
        <v>-</v>
      </c>
      <c r="K1232" s="248" t="str">
        <f t="shared" si="2974"/>
        <v>VOLUME</v>
      </c>
      <c r="L1232" s="499">
        <v>1000</v>
      </c>
      <c r="M1232" s="499">
        <v>0</v>
      </c>
      <c r="N1232" s="499">
        <v>0</v>
      </c>
      <c r="O1232" s="264">
        <f t="shared" si="2956"/>
        <v>1000</v>
      </c>
      <c r="P1232" s="500">
        <v>1</v>
      </c>
      <c r="Q1232" s="500">
        <v>0</v>
      </c>
      <c r="R1232" s="259">
        <f t="shared" si="2967"/>
        <v>0</v>
      </c>
      <c r="S1232" s="626">
        <v>500</v>
      </c>
      <c r="T1232" s="626">
        <v>0</v>
      </c>
      <c r="U1232" s="626">
        <v>0</v>
      </c>
      <c r="V1232" s="628">
        <f t="shared" si="2968"/>
        <v>500</v>
      </c>
      <c r="W1232" s="500">
        <v>1</v>
      </c>
      <c r="X1232" s="500">
        <v>1</v>
      </c>
      <c r="Y1232" s="500">
        <v>1</v>
      </c>
      <c r="Z1232" s="259">
        <f t="shared" si="2957"/>
        <v>0</v>
      </c>
      <c r="AA1232" s="259">
        <f t="shared" si="2958"/>
        <v>0</v>
      </c>
      <c r="AB1232" s="259">
        <f t="shared" si="2959"/>
        <v>0</v>
      </c>
      <c r="AC1232" s="628">
        <f t="shared" si="2969"/>
        <v>0</v>
      </c>
      <c r="AD1232" s="628">
        <f t="shared" si="2970"/>
        <v>0</v>
      </c>
      <c r="AE1232" s="264">
        <f t="shared" ref="AE1232:AE1234" si="2976">$AI1232/4</f>
        <v>0</v>
      </c>
      <c r="AF1232" s="264">
        <f t="shared" si="2975"/>
        <v>0</v>
      </c>
      <c r="AG1232" s="264">
        <f t="shared" si="2975"/>
        <v>0</v>
      </c>
      <c r="AH1232" s="264">
        <f t="shared" si="2975"/>
        <v>0</v>
      </c>
      <c r="AI1232" s="501">
        <v>0</v>
      </c>
      <c r="AJ1232" s="264">
        <f t="shared" si="2960"/>
        <v>0</v>
      </c>
      <c r="AK1232" s="264">
        <f t="shared" si="2961"/>
        <v>0</v>
      </c>
      <c r="AL1232" s="264">
        <f t="shared" si="2962"/>
        <v>0</v>
      </c>
      <c r="AM1232" s="264">
        <f t="shared" si="2963"/>
        <v>0</v>
      </c>
      <c r="AN1232" s="640">
        <f t="shared" si="2971"/>
        <v>0</v>
      </c>
      <c r="AO1232" s="264">
        <f t="shared" si="2964"/>
        <v>0</v>
      </c>
      <c r="AP1232" s="640">
        <f t="shared" si="2965"/>
        <v>0</v>
      </c>
      <c r="AQ1232" s="501"/>
      <c r="AR1232" s="264" t="str">
        <f>VLOOKUP($I1232,TableInputsData[],ReadMe!$M$3,FALSE)&amp;"  |  "&amp;VLOOKUP($K1232,TableInputsData[],ReadMe!$M$3,FALSE)</f>
        <v>SERVICE 10  |  VOLUME</v>
      </c>
      <c r="AS1232" s="264" t="b">
        <f t="shared" si="2966"/>
        <v>1</v>
      </c>
      <c r="AT1232" s="294"/>
    </row>
    <row r="1233" spans="1:46" ht="13" x14ac:dyDescent="0.2">
      <c r="A1233" s="294"/>
      <c r="B1233" s="925"/>
      <c r="C1233" s="283">
        <v>1226</v>
      </c>
      <c r="D1233" s="250">
        <f t="shared" si="2972"/>
        <v>0</v>
      </c>
      <c r="E1233" s="250">
        <v>1</v>
      </c>
      <c r="F1233" s="248" t="s">
        <v>399</v>
      </c>
      <c r="G1233" s="250">
        <f>VLOOKUP(F1233,TableInputsData[],$G$6,FALSE)</f>
        <v>2029</v>
      </c>
      <c r="H1233" s="250" t="str">
        <f t="shared" si="2973"/>
        <v>SERVICE</v>
      </c>
      <c r="I1233" s="248" t="str">
        <f t="shared" si="2973"/>
        <v>SERVICE 10</v>
      </c>
      <c r="J1233" s="248" t="str">
        <f>VLOOKUP(I1233,TableInputsData[],$J$6,FALSE)</f>
        <v>-</v>
      </c>
      <c r="K1233" s="248" t="str">
        <f t="shared" si="2974"/>
        <v>VOLUME</v>
      </c>
      <c r="L1233" s="499">
        <v>1000</v>
      </c>
      <c r="M1233" s="499">
        <v>0</v>
      </c>
      <c r="N1233" s="499">
        <v>0</v>
      </c>
      <c r="O1233" s="264">
        <f t="shared" si="2956"/>
        <v>1000</v>
      </c>
      <c r="P1233" s="500">
        <v>1</v>
      </c>
      <c r="Q1233" s="500">
        <v>0</v>
      </c>
      <c r="R1233" s="259">
        <f t="shared" si="2967"/>
        <v>0</v>
      </c>
      <c r="S1233" s="626">
        <v>500</v>
      </c>
      <c r="T1233" s="626">
        <v>0</v>
      </c>
      <c r="U1233" s="626">
        <v>0</v>
      </c>
      <c r="V1233" s="628">
        <f t="shared" si="2968"/>
        <v>500</v>
      </c>
      <c r="W1233" s="500">
        <v>1</v>
      </c>
      <c r="X1233" s="500">
        <v>1</v>
      </c>
      <c r="Y1233" s="500">
        <v>1</v>
      </c>
      <c r="Z1233" s="259">
        <f t="shared" si="2957"/>
        <v>0</v>
      </c>
      <c r="AA1233" s="259">
        <f t="shared" si="2958"/>
        <v>0</v>
      </c>
      <c r="AB1233" s="259">
        <f t="shared" si="2959"/>
        <v>0</v>
      </c>
      <c r="AC1233" s="628">
        <f t="shared" si="2969"/>
        <v>0</v>
      </c>
      <c r="AD1233" s="628">
        <f t="shared" si="2970"/>
        <v>0</v>
      </c>
      <c r="AE1233" s="264">
        <f t="shared" si="2976"/>
        <v>0</v>
      </c>
      <c r="AF1233" s="264">
        <f t="shared" si="2975"/>
        <v>0</v>
      </c>
      <c r="AG1233" s="264">
        <f t="shared" si="2975"/>
        <v>0</v>
      </c>
      <c r="AH1233" s="264">
        <f t="shared" si="2975"/>
        <v>0</v>
      </c>
      <c r="AI1233" s="501">
        <v>0</v>
      </c>
      <c r="AJ1233" s="264">
        <f t="shared" si="2960"/>
        <v>0</v>
      </c>
      <c r="AK1233" s="264">
        <f t="shared" si="2961"/>
        <v>0</v>
      </c>
      <c r="AL1233" s="264">
        <f t="shared" si="2962"/>
        <v>0</v>
      </c>
      <c r="AM1233" s="264">
        <f t="shared" si="2963"/>
        <v>0</v>
      </c>
      <c r="AN1233" s="640">
        <f t="shared" si="2971"/>
        <v>0</v>
      </c>
      <c r="AO1233" s="264">
        <f t="shared" si="2964"/>
        <v>0</v>
      </c>
      <c r="AP1233" s="640">
        <f t="shared" si="2965"/>
        <v>0</v>
      </c>
      <c r="AQ1233" s="501"/>
      <c r="AR1233" s="264" t="str">
        <f>VLOOKUP($I1233,TableInputsData[],ReadMe!$M$3,FALSE)&amp;"  |  "&amp;VLOOKUP($K1233,TableInputsData[],ReadMe!$M$3,FALSE)</f>
        <v>SERVICE 10  |  VOLUME</v>
      </c>
      <c r="AS1233" s="264" t="b">
        <f t="shared" si="2966"/>
        <v>1</v>
      </c>
      <c r="AT1233" s="294"/>
    </row>
    <row r="1234" spans="1:46" ht="13" x14ac:dyDescent="0.2">
      <c r="A1234" s="294"/>
      <c r="B1234" s="925"/>
      <c r="C1234" s="283">
        <v>1227</v>
      </c>
      <c r="D1234" s="250">
        <f t="shared" si="2972"/>
        <v>0</v>
      </c>
      <c r="E1234" s="250">
        <v>1</v>
      </c>
      <c r="F1234" s="248" t="s">
        <v>400</v>
      </c>
      <c r="G1234" s="250">
        <f>VLOOKUP(F1234,TableInputsData[],$G$6,FALSE)</f>
        <v>2030</v>
      </c>
      <c r="H1234" s="250" t="str">
        <f t="shared" si="2973"/>
        <v>SERVICE</v>
      </c>
      <c r="I1234" s="248" t="str">
        <f t="shared" si="2973"/>
        <v>SERVICE 10</v>
      </c>
      <c r="J1234" s="248" t="str">
        <f>VLOOKUP(I1234,TableInputsData[],$J$6,FALSE)</f>
        <v>-</v>
      </c>
      <c r="K1234" s="248" t="str">
        <f t="shared" si="2974"/>
        <v>VOLUME</v>
      </c>
      <c r="L1234" s="499">
        <v>1000</v>
      </c>
      <c r="M1234" s="499">
        <v>0</v>
      </c>
      <c r="N1234" s="499">
        <v>0</v>
      </c>
      <c r="O1234" s="264">
        <f t="shared" si="2956"/>
        <v>1000</v>
      </c>
      <c r="P1234" s="500">
        <v>1</v>
      </c>
      <c r="Q1234" s="500">
        <v>0</v>
      </c>
      <c r="R1234" s="259">
        <f t="shared" si="2967"/>
        <v>0</v>
      </c>
      <c r="S1234" s="626">
        <v>500</v>
      </c>
      <c r="T1234" s="626">
        <v>0</v>
      </c>
      <c r="U1234" s="626">
        <v>0</v>
      </c>
      <c r="V1234" s="628">
        <f t="shared" si="2968"/>
        <v>500</v>
      </c>
      <c r="W1234" s="500">
        <v>1</v>
      </c>
      <c r="X1234" s="500">
        <v>1</v>
      </c>
      <c r="Y1234" s="500">
        <v>1</v>
      </c>
      <c r="Z1234" s="259">
        <f t="shared" si="2957"/>
        <v>0</v>
      </c>
      <c r="AA1234" s="259">
        <f t="shared" si="2958"/>
        <v>0</v>
      </c>
      <c r="AB1234" s="259">
        <f t="shared" si="2959"/>
        <v>0</v>
      </c>
      <c r="AC1234" s="628">
        <f t="shared" si="2969"/>
        <v>0</v>
      </c>
      <c r="AD1234" s="628">
        <f t="shared" si="2970"/>
        <v>0</v>
      </c>
      <c r="AE1234" s="264">
        <f t="shared" si="2976"/>
        <v>0</v>
      </c>
      <c r="AF1234" s="264">
        <f t="shared" si="2975"/>
        <v>0</v>
      </c>
      <c r="AG1234" s="264">
        <f t="shared" si="2975"/>
        <v>0</v>
      </c>
      <c r="AH1234" s="264">
        <f t="shared" si="2975"/>
        <v>0</v>
      </c>
      <c r="AI1234" s="501">
        <v>0</v>
      </c>
      <c r="AJ1234" s="264">
        <f t="shared" si="2960"/>
        <v>0</v>
      </c>
      <c r="AK1234" s="264">
        <f t="shared" si="2961"/>
        <v>0</v>
      </c>
      <c r="AL1234" s="264">
        <f t="shared" si="2962"/>
        <v>0</v>
      </c>
      <c r="AM1234" s="264">
        <f t="shared" si="2963"/>
        <v>0</v>
      </c>
      <c r="AN1234" s="640">
        <f t="shared" si="2971"/>
        <v>0</v>
      </c>
      <c r="AO1234" s="264">
        <f t="shared" si="2964"/>
        <v>0</v>
      </c>
      <c r="AP1234" s="640">
        <f t="shared" si="2965"/>
        <v>0</v>
      </c>
      <c r="AQ1234" s="501"/>
      <c r="AR1234" s="264" t="str">
        <f>VLOOKUP($I1234,TableInputsData[],ReadMe!$M$3,FALSE)&amp;"  |  "&amp;VLOOKUP($K1234,TableInputsData[],ReadMe!$M$3,FALSE)</f>
        <v>SERVICE 10  |  VOLUME</v>
      </c>
      <c r="AS1234" s="264" t="b">
        <f t="shared" si="2966"/>
        <v>1</v>
      </c>
      <c r="AT1234" s="294"/>
    </row>
    <row r="1235" spans="1:46" ht="13" hidden="1" x14ac:dyDescent="0.2">
      <c r="A1235" s="294"/>
      <c r="B1235" s="925"/>
      <c r="C1235" s="283">
        <v>1228</v>
      </c>
      <c r="D1235" s="250">
        <f t="shared" si="2972"/>
        <v>0</v>
      </c>
      <c r="E1235" s="250"/>
      <c r="F1235" s="248" t="str">
        <f t="shared" ref="F1235:F1242" si="2977">F1243</f>
        <v>YEAR-2</v>
      </c>
      <c r="G1235" s="250">
        <f>VLOOKUP(F1235,TableInputsData[],$G$6,FALSE)</f>
        <v>2023</v>
      </c>
      <c r="H1235" s="250" t="str">
        <f t="shared" si="2973"/>
        <v>SERVICE</v>
      </c>
      <c r="I1235" s="248" t="str">
        <f t="shared" si="2973"/>
        <v>SERVICE 10</v>
      </c>
      <c r="J1235" s="248" t="str">
        <f>VLOOKUP(I1235,TableInputsData[],$J$6,FALSE)</f>
        <v>-</v>
      </c>
      <c r="K1235" s="248" t="s">
        <v>457</v>
      </c>
      <c r="L1235" s="255"/>
      <c r="M1235" s="255"/>
      <c r="N1235" s="255"/>
      <c r="O1235" s="265"/>
      <c r="P1235" s="260"/>
      <c r="Q1235" s="260"/>
      <c r="R1235" s="260"/>
      <c r="S1235" s="630"/>
      <c r="T1235" s="630"/>
      <c r="U1235" s="630"/>
      <c r="V1235" s="630"/>
      <c r="W1235" s="260"/>
      <c r="X1235" s="260"/>
      <c r="Y1235" s="260"/>
      <c r="Z1235" s="260"/>
      <c r="AA1235" s="260"/>
      <c r="AB1235" s="260"/>
      <c r="AC1235" s="265"/>
      <c r="AD1235" s="265"/>
      <c r="AE1235" s="264">
        <f>AE1227*($L1227*$P1227+$M1227*$Q1227+$N1227*$R1227)</f>
        <v>0</v>
      </c>
      <c r="AF1235" s="264">
        <f t="shared" ref="AF1235:AH1235" si="2978">AF1227*($L1227*$P1227+$M1227*$Q1227+$N1227*$R1227)</f>
        <v>0</v>
      </c>
      <c r="AG1235" s="264">
        <f t="shared" si="2978"/>
        <v>0</v>
      </c>
      <c r="AH1235" s="264">
        <f t="shared" si="2978"/>
        <v>0</v>
      </c>
      <c r="AI1235" s="264">
        <f>$AE1235+$AF1235+$AG1235+$AH1235</f>
        <v>0</v>
      </c>
      <c r="AJ1235" s="264">
        <f t="shared" ref="AJ1235:AJ1242" si="2979">$AJ1227*$L1227</f>
        <v>0</v>
      </c>
      <c r="AK1235" s="264">
        <f t="shared" ref="AK1235:AK1242" si="2980">$AK1227*$M1227</f>
        <v>0</v>
      </c>
      <c r="AL1235" s="264">
        <f t="shared" ref="AL1235:AL1242" si="2981">$AL1227*$N1227</f>
        <v>0</v>
      </c>
      <c r="AM1235" s="264">
        <f t="shared" ref="AM1235:AM1242" si="2982">$AJ1235*$W1227+$AK1235*$X1227+$AL1235*$Y1227</f>
        <v>0</v>
      </c>
      <c r="AN1235" s="640">
        <f t="shared" si="2971"/>
        <v>0</v>
      </c>
      <c r="AO1235" s="264">
        <f t="shared" ref="AO1235:AO1242" si="2983">$AJ1235*$Z1227+$AK1235*$AA1227+$AL1235*$AB1227</f>
        <v>0</v>
      </c>
      <c r="AP1235" s="640">
        <f t="shared" si="2965"/>
        <v>0</v>
      </c>
      <c r="AQ1235" s="264"/>
      <c r="AR1235" s="264" t="str">
        <f>VLOOKUP($I1235,TableInputsData[],ReadMe!$M$3,FALSE)&amp;"  |  "&amp;VLOOKUP($K1235,TableInputsData[],ReadMe!$M$3,FALSE)</f>
        <v>SERVICE 10  |  CHIFFRE D'AFFAIRES</v>
      </c>
      <c r="AS1235" s="264" t="b">
        <f t="shared" ref="AS1235:AS1242" si="2984">AND(EXACT(ROUND(AI1235,2),ROUND(AJ1235+AK1235+AL1235,2)),EXACT(ROUND(AI1235,2),ROUND(AM1235+AO1235,2)))</f>
        <v>1</v>
      </c>
      <c r="AT1235" s="294"/>
    </row>
    <row r="1236" spans="1:46" ht="13" hidden="1" x14ac:dyDescent="0.2">
      <c r="A1236" s="294"/>
      <c r="B1236" s="925"/>
      <c r="C1236" s="283">
        <v>1229</v>
      </c>
      <c r="D1236" s="250">
        <f t="shared" si="2972"/>
        <v>0</v>
      </c>
      <c r="E1236" s="250"/>
      <c r="F1236" s="248" t="str">
        <f t="shared" si="2977"/>
        <v>YEAR-1</v>
      </c>
      <c r="G1236" s="250">
        <f>VLOOKUP(F1236,TableInputsData[],$G$6,FALSE)</f>
        <v>2024</v>
      </c>
      <c r="H1236" s="250" t="str">
        <f t="shared" si="2973"/>
        <v>SERVICE</v>
      </c>
      <c r="I1236" s="248" t="str">
        <f t="shared" si="2973"/>
        <v>SERVICE 10</v>
      </c>
      <c r="J1236" s="248" t="str">
        <f>VLOOKUP(I1236,TableInputsData[],$J$6,FALSE)</f>
        <v>-</v>
      </c>
      <c r="K1236" s="248" t="str">
        <f>K1235</f>
        <v>REVENUE</v>
      </c>
      <c r="L1236" s="255"/>
      <c r="M1236" s="255"/>
      <c r="N1236" s="255"/>
      <c r="O1236" s="265"/>
      <c r="P1236" s="260"/>
      <c r="Q1236" s="260"/>
      <c r="R1236" s="260"/>
      <c r="S1236" s="630"/>
      <c r="T1236" s="630"/>
      <c r="U1236" s="630"/>
      <c r="V1236" s="630"/>
      <c r="W1236" s="260"/>
      <c r="X1236" s="260"/>
      <c r="Y1236" s="260"/>
      <c r="Z1236" s="260"/>
      <c r="AA1236" s="260"/>
      <c r="AB1236" s="260"/>
      <c r="AC1236" s="265"/>
      <c r="AD1236" s="265"/>
      <c r="AE1236" s="264">
        <f t="shared" ref="AE1236:AH1236" si="2985">AE1228*($L1228*$P1228+$M1228*$Q1228+$N1228*$R1228)</f>
        <v>0</v>
      </c>
      <c r="AF1236" s="264">
        <f t="shared" si="2985"/>
        <v>0</v>
      </c>
      <c r="AG1236" s="264">
        <f t="shared" si="2985"/>
        <v>0</v>
      </c>
      <c r="AH1236" s="264">
        <f t="shared" si="2985"/>
        <v>0</v>
      </c>
      <c r="AI1236" s="264">
        <f t="shared" ref="AI1236:AI1241" si="2986">$AE1236+$AF1236+$AG1236+$AH1236</f>
        <v>0</v>
      </c>
      <c r="AJ1236" s="264">
        <f t="shared" si="2979"/>
        <v>0</v>
      </c>
      <c r="AK1236" s="264">
        <f t="shared" si="2980"/>
        <v>0</v>
      </c>
      <c r="AL1236" s="264">
        <f t="shared" si="2981"/>
        <v>0</v>
      </c>
      <c r="AM1236" s="264">
        <f t="shared" si="2982"/>
        <v>0</v>
      </c>
      <c r="AN1236" s="640">
        <f t="shared" si="2971"/>
        <v>0</v>
      </c>
      <c r="AO1236" s="264">
        <f t="shared" si="2983"/>
        <v>0</v>
      </c>
      <c r="AP1236" s="640">
        <f t="shared" si="2965"/>
        <v>0</v>
      </c>
      <c r="AQ1236" s="264"/>
      <c r="AR1236" s="264" t="str">
        <f>VLOOKUP($I1236,TableInputsData[],ReadMe!$M$3,FALSE)&amp;"  |  "&amp;VLOOKUP($K1236,TableInputsData[],ReadMe!$M$3,FALSE)</f>
        <v>SERVICE 10  |  CHIFFRE D'AFFAIRES</v>
      </c>
      <c r="AS1236" s="264" t="b">
        <f t="shared" si="2984"/>
        <v>1</v>
      </c>
      <c r="AT1236" s="294"/>
    </row>
    <row r="1237" spans="1:46" ht="13" hidden="1" x14ac:dyDescent="0.2">
      <c r="A1237" s="294"/>
      <c r="B1237" s="925"/>
      <c r="C1237" s="283">
        <v>1230</v>
      </c>
      <c r="D1237" s="250">
        <f t="shared" si="2972"/>
        <v>0</v>
      </c>
      <c r="E1237" s="250"/>
      <c r="F1237" s="248" t="str">
        <f t="shared" si="2977"/>
        <v>CURRENT YEAR</v>
      </c>
      <c r="G1237" s="250">
        <f>VLOOKUP(F1237,TableInputsData[],$G$6,FALSE)</f>
        <v>2025</v>
      </c>
      <c r="H1237" s="250" t="str">
        <f t="shared" si="2973"/>
        <v>SERVICE</v>
      </c>
      <c r="I1237" s="248" t="str">
        <f t="shared" si="2973"/>
        <v>SERVICE 10</v>
      </c>
      <c r="J1237" s="248" t="str">
        <f>VLOOKUP(I1237,TableInputsData[],$J$6,FALSE)</f>
        <v>-</v>
      </c>
      <c r="K1237" s="248" t="str">
        <f t="shared" ref="K1237:K1242" si="2987">K1236</f>
        <v>REVENUE</v>
      </c>
      <c r="L1237" s="255"/>
      <c r="M1237" s="255"/>
      <c r="N1237" s="255"/>
      <c r="O1237" s="265"/>
      <c r="P1237" s="260"/>
      <c r="Q1237" s="260"/>
      <c r="R1237" s="260"/>
      <c r="S1237" s="630"/>
      <c r="T1237" s="630"/>
      <c r="U1237" s="630"/>
      <c r="V1237" s="630"/>
      <c r="W1237" s="260"/>
      <c r="X1237" s="260"/>
      <c r="Y1237" s="260"/>
      <c r="Z1237" s="260"/>
      <c r="AA1237" s="260"/>
      <c r="AB1237" s="260"/>
      <c r="AC1237" s="265"/>
      <c r="AD1237" s="265"/>
      <c r="AE1237" s="264">
        <f t="shared" ref="AE1237:AH1237" si="2988">AE1229*($L1229*$P1229+$M1229*$Q1229+$N1229*$R1229)</f>
        <v>0</v>
      </c>
      <c r="AF1237" s="264">
        <f t="shared" si="2988"/>
        <v>0</v>
      </c>
      <c r="AG1237" s="264">
        <f t="shared" si="2988"/>
        <v>0</v>
      </c>
      <c r="AH1237" s="264">
        <f t="shared" si="2988"/>
        <v>0</v>
      </c>
      <c r="AI1237" s="264">
        <f t="shared" si="2986"/>
        <v>0</v>
      </c>
      <c r="AJ1237" s="264">
        <f t="shared" si="2979"/>
        <v>0</v>
      </c>
      <c r="AK1237" s="264">
        <f t="shared" si="2980"/>
        <v>0</v>
      </c>
      <c r="AL1237" s="264">
        <f t="shared" si="2981"/>
        <v>0</v>
      </c>
      <c r="AM1237" s="264">
        <f t="shared" si="2982"/>
        <v>0</v>
      </c>
      <c r="AN1237" s="640">
        <f t="shared" si="2971"/>
        <v>0</v>
      </c>
      <c r="AO1237" s="264">
        <f t="shared" si="2983"/>
        <v>0</v>
      </c>
      <c r="AP1237" s="640">
        <f t="shared" si="2965"/>
        <v>0</v>
      </c>
      <c r="AQ1237" s="264"/>
      <c r="AR1237" s="264" t="str">
        <f>VLOOKUP($I1237,TableInputsData[],ReadMe!$M$3,FALSE)&amp;"  |  "&amp;VLOOKUP($K1237,TableInputsData[],ReadMe!$M$3,FALSE)</f>
        <v>SERVICE 10  |  CHIFFRE D'AFFAIRES</v>
      </c>
      <c r="AS1237" s="264" t="b">
        <f t="shared" si="2984"/>
        <v>1</v>
      </c>
      <c r="AT1237" s="294"/>
    </row>
    <row r="1238" spans="1:46" ht="13" hidden="1" x14ac:dyDescent="0.2">
      <c r="A1238" s="294"/>
      <c r="B1238" s="925"/>
      <c r="C1238" s="283">
        <v>1231</v>
      </c>
      <c r="D1238" s="250">
        <f t="shared" si="2972"/>
        <v>0</v>
      </c>
      <c r="E1238" s="250"/>
      <c r="F1238" s="248" t="str">
        <f t="shared" si="2977"/>
        <v>YEAR2</v>
      </c>
      <c r="G1238" s="250">
        <f>VLOOKUP(F1238,TableInputsData[],$G$6,FALSE)</f>
        <v>2026</v>
      </c>
      <c r="H1238" s="250" t="str">
        <f t="shared" si="2973"/>
        <v>SERVICE</v>
      </c>
      <c r="I1238" s="248" t="str">
        <f t="shared" si="2973"/>
        <v>SERVICE 10</v>
      </c>
      <c r="J1238" s="248" t="str">
        <f>VLOOKUP(I1238,TableInputsData[],$J$6,FALSE)</f>
        <v>-</v>
      </c>
      <c r="K1238" s="248" t="str">
        <f t="shared" si="2987"/>
        <v>REVENUE</v>
      </c>
      <c r="L1238" s="255"/>
      <c r="M1238" s="255"/>
      <c r="N1238" s="255"/>
      <c r="O1238" s="265"/>
      <c r="P1238" s="260"/>
      <c r="Q1238" s="260"/>
      <c r="R1238" s="260"/>
      <c r="S1238" s="630"/>
      <c r="T1238" s="630"/>
      <c r="U1238" s="630"/>
      <c r="V1238" s="630"/>
      <c r="W1238" s="260"/>
      <c r="X1238" s="260"/>
      <c r="Y1238" s="260"/>
      <c r="Z1238" s="260"/>
      <c r="AA1238" s="260"/>
      <c r="AB1238" s="260"/>
      <c r="AC1238" s="265"/>
      <c r="AD1238" s="265"/>
      <c r="AE1238" s="264">
        <f t="shared" ref="AE1238:AH1238" si="2989">AE1230*($L1230*$P1230+$M1230*$Q1230+$N1230*$R1230)</f>
        <v>0</v>
      </c>
      <c r="AF1238" s="264">
        <f t="shared" si="2989"/>
        <v>0</v>
      </c>
      <c r="AG1238" s="264">
        <f t="shared" si="2989"/>
        <v>0</v>
      </c>
      <c r="AH1238" s="264">
        <f t="shared" si="2989"/>
        <v>0</v>
      </c>
      <c r="AI1238" s="264">
        <f t="shared" si="2986"/>
        <v>0</v>
      </c>
      <c r="AJ1238" s="264">
        <f t="shared" si="2979"/>
        <v>0</v>
      </c>
      <c r="AK1238" s="264">
        <f t="shared" si="2980"/>
        <v>0</v>
      </c>
      <c r="AL1238" s="264">
        <f t="shared" si="2981"/>
        <v>0</v>
      </c>
      <c r="AM1238" s="264">
        <f t="shared" si="2982"/>
        <v>0</v>
      </c>
      <c r="AN1238" s="640">
        <f t="shared" si="2971"/>
        <v>0</v>
      </c>
      <c r="AO1238" s="264">
        <f t="shared" si="2983"/>
        <v>0</v>
      </c>
      <c r="AP1238" s="640">
        <f t="shared" si="2965"/>
        <v>0</v>
      </c>
      <c r="AQ1238" s="264"/>
      <c r="AR1238" s="264" t="str">
        <f>VLOOKUP($I1238,TableInputsData[],ReadMe!$M$3,FALSE)&amp;"  |  "&amp;VLOOKUP($K1238,TableInputsData[],ReadMe!$M$3,FALSE)</f>
        <v>SERVICE 10  |  CHIFFRE D'AFFAIRES</v>
      </c>
      <c r="AS1238" s="264" t="b">
        <f t="shared" si="2984"/>
        <v>1</v>
      </c>
      <c r="AT1238" s="294"/>
    </row>
    <row r="1239" spans="1:46" ht="13" hidden="1" x14ac:dyDescent="0.2">
      <c r="A1239" s="294"/>
      <c r="B1239" s="925"/>
      <c r="C1239" s="283">
        <v>1232</v>
      </c>
      <c r="D1239" s="250">
        <f t="shared" si="2972"/>
        <v>0</v>
      </c>
      <c r="E1239" s="250"/>
      <c r="F1239" s="248" t="str">
        <f t="shared" si="2977"/>
        <v>YEAR3</v>
      </c>
      <c r="G1239" s="250">
        <f>VLOOKUP(F1239,TableInputsData[],$G$6,FALSE)</f>
        <v>2027</v>
      </c>
      <c r="H1239" s="250" t="str">
        <f t="shared" si="2973"/>
        <v>SERVICE</v>
      </c>
      <c r="I1239" s="248" t="str">
        <f t="shared" si="2973"/>
        <v>SERVICE 10</v>
      </c>
      <c r="J1239" s="248" t="str">
        <f>VLOOKUP(I1239,TableInputsData[],$J$6,FALSE)</f>
        <v>-</v>
      </c>
      <c r="K1239" s="248" t="str">
        <f t="shared" si="2987"/>
        <v>REVENUE</v>
      </c>
      <c r="L1239" s="255"/>
      <c r="M1239" s="255"/>
      <c r="N1239" s="255"/>
      <c r="O1239" s="265"/>
      <c r="P1239" s="260"/>
      <c r="Q1239" s="260"/>
      <c r="R1239" s="260"/>
      <c r="S1239" s="630"/>
      <c r="T1239" s="630"/>
      <c r="U1239" s="630"/>
      <c r="V1239" s="630"/>
      <c r="W1239" s="260"/>
      <c r="X1239" s="260"/>
      <c r="Y1239" s="260"/>
      <c r="Z1239" s="260"/>
      <c r="AA1239" s="260"/>
      <c r="AB1239" s="260"/>
      <c r="AC1239" s="265"/>
      <c r="AD1239" s="265"/>
      <c r="AE1239" s="264">
        <f t="shared" ref="AE1239:AH1239" si="2990">AE1231*($L1231*$P1231+$M1231*$Q1231+$N1231*$R1231)</f>
        <v>0</v>
      </c>
      <c r="AF1239" s="264">
        <f t="shared" si="2990"/>
        <v>0</v>
      </c>
      <c r="AG1239" s="264">
        <f t="shared" si="2990"/>
        <v>0</v>
      </c>
      <c r="AH1239" s="264">
        <f t="shared" si="2990"/>
        <v>0</v>
      </c>
      <c r="AI1239" s="264">
        <f t="shared" si="2986"/>
        <v>0</v>
      </c>
      <c r="AJ1239" s="264">
        <f t="shared" si="2979"/>
        <v>0</v>
      </c>
      <c r="AK1239" s="264">
        <f t="shared" si="2980"/>
        <v>0</v>
      </c>
      <c r="AL1239" s="264">
        <f t="shared" si="2981"/>
        <v>0</v>
      </c>
      <c r="AM1239" s="264">
        <f t="shared" si="2982"/>
        <v>0</v>
      </c>
      <c r="AN1239" s="640">
        <f t="shared" si="2971"/>
        <v>0</v>
      </c>
      <c r="AO1239" s="264">
        <f t="shared" si="2983"/>
        <v>0</v>
      </c>
      <c r="AP1239" s="640">
        <f t="shared" si="2965"/>
        <v>0</v>
      </c>
      <c r="AQ1239" s="264"/>
      <c r="AR1239" s="264" t="str">
        <f>VLOOKUP($I1239,TableInputsData[],ReadMe!$M$3,FALSE)&amp;"  |  "&amp;VLOOKUP($K1239,TableInputsData[],ReadMe!$M$3,FALSE)</f>
        <v>SERVICE 10  |  CHIFFRE D'AFFAIRES</v>
      </c>
      <c r="AS1239" s="264" t="b">
        <f t="shared" si="2984"/>
        <v>1</v>
      </c>
      <c r="AT1239" s="294"/>
    </row>
    <row r="1240" spans="1:46" ht="13" hidden="1" x14ac:dyDescent="0.2">
      <c r="A1240" s="294"/>
      <c r="B1240" s="925"/>
      <c r="C1240" s="283">
        <v>1233</v>
      </c>
      <c r="D1240" s="250">
        <f t="shared" si="2972"/>
        <v>0</v>
      </c>
      <c r="E1240" s="250"/>
      <c r="F1240" s="248" t="str">
        <f t="shared" si="2977"/>
        <v>YEAR4</v>
      </c>
      <c r="G1240" s="250">
        <f>VLOOKUP(F1240,TableInputsData[],$G$6,FALSE)</f>
        <v>2028</v>
      </c>
      <c r="H1240" s="250" t="str">
        <f t="shared" si="2973"/>
        <v>SERVICE</v>
      </c>
      <c r="I1240" s="248" t="str">
        <f t="shared" si="2973"/>
        <v>SERVICE 10</v>
      </c>
      <c r="J1240" s="248" t="str">
        <f>VLOOKUP(I1240,TableInputsData[],$J$6,FALSE)</f>
        <v>-</v>
      </c>
      <c r="K1240" s="248" t="str">
        <f t="shared" si="2987"/>
        <v>REVENUE</v>
      </c>
      <c r="L1240" s="255"/>
      <c r="M1240" s="255"/>
      <c r="N1240" s="255"/>
      <c r="O1240" s="265"/>
      <c r="P1240" s="260"/>
      <c r="Q1240" s="260"/>
      <c r="R1240" s="260"/>
      <c r="S1240" s="630"/>
      <c r="T1240" s="630"/>
      <c r="U1240" s="630"/>
      <c r="V1240" s="630"/>
      <c r="W1240" s="260"/>
      <c r="X1240" s="260"/>
      <c r="Y1240" s="260"/>
      <c r="Z1240" s="260"/>
      <c r="AA1240" s="260"/>
      <c r="AB1240" s="260"/>
      <c r="AC1240" s="265"/>
      <c r="AD1240" s="265"/>
      <c r="AE1240" s="264">
        <f t="shared" ref="AE1240:AH1240" si="2991">AE1232*($L1232*$P1232+$M1232*$Q1232+$N1232*$R1232)</f>
        <v>0</v>
      </c>
      <c r="AF1240" s="264">
        <f t="shared" si="2991"/>
        <v>0</v>
      </c>
      <c r="AG1240" s="264">
        <f t="shared" si="2991"/>
        <v>0</v>
      </c>
      <c r="AH1240" s="264">
        <f t="shared" si="2991"/>
        <v>0</v>
      </c>
      <c r="AI1240" s="264">
        <f t="shared" si="2986"/>
        <v>0</v>
      </c>
      <c r="AJ1240" s="264">
        <f t="shared" si="2979"/>
        <v>0</v>
      </c>
      <c r="AK1240" s="264">
        <f t="shared" si="2980"/>
        <v>0</v>
      </c>
      <c r="AL1240" s="264">
        <f t="shared" si="2981"/>
        <v>0</v>
      </c>
      <c r="AM1240" s="264">
        <f t="shared" si="2982"/>
        <v>0</v>
      </c>
      <c r="AN1240" s="640">
        <f t="shared" si="2971"/>
        <v>0</v>
      </c>
      <c r="AO1240" s="264">
        <f t="shared" si="2983"/>
        <v>0</v>
      </c>
      <c r="AP1240" s="640">
        <f t="shared" si="2965"/>
        <v>0</v>
      </c>
      <c r="AQ1240" s="264"/>
      <c r="AR1240" s="264" t="str">
        <f>VLOOKUP($I1240,TableInputsData[],ReadMe!$M$3,FALSE)&amp;"  |  "&amp;VLOOKUP($K1240,TableInputsData[],ReadMe!$M$3,FALSE)</f>
        <v>SERVICE 10  |  CHIFFRE D'AFFAIRES</v>
      </c>
      <c r="AS1240" s="264" t="b">
        <f t="shared" si="2984"/>
        <v>1</v>
      </c>
      <c r="AT1240" s="294"/>
    </row>
    <row r="1241" spans="1:46" ht="13" hidden="1" x14ac:dyDescent="0.2">
      <c r="A1241" s="294"/>
      <c r="B1241" s="925"/>
      <c r="C1241" s="283">
        <v>1234</v>
      </c>
      <c r="D1241" s="250">
        <f t="shared" si="2972"/>
        <v>0</v>
      </c>
      <c r="E1241" s="250"/>
      <c r="F1241" s="248" t="str">
        <f t="shared" si="2977"/>
        <v>YEAR5</v>
      </c>
      <c r="G1241" s="250">
        <f>VLOOKUP(F1241,TableInputsData[],$G$6,FALSE)</f>
        <v>2029</v>
      </c>
      <c r="H1241" s="250" t="str">
        <f t="shared" si="2973"/>
        <v>SERVICE</v>
      </c>
      <c r="I1241" s="248" t="str">
        <f t="shared" si="2973"/>
        <v>SERVICE 10</v>
      </c>
      <c r="J1241" s="248" t="str">
        <f>VLOOKUP(I1241,TableInputsData[],$J$6,FALSE)</f>
        <v>-</v>
      </c>
      <c r="K1241" s="248" t="str">
        <f t="shared" si="2987"/>
        <v>REVENUE</v>
      </c>
      <c r="L1241" s="255"/>
      <c r="M1241" s="255"/>
      <c r="N1241" s="255"/>
      <c r="O1241" s="265"/>
      <c r="P1241" s="260"/>
      <c r="Q1241" s="260"/>
      <c r="R1241" s="260"/>
      <c r="S1241" s="630"/>
      <c r="T1241" s="630"/>
      <c r="U1241" s="630"/>
      <c r="V1241" s="630"/>
      <c r="W1241" s="260"/>
      <c r="X1241" s="260"/>
      <c r="Y1241" s="260"/>
      <c r="Z1241" s="260"/>
      <c r="AA1241" s="260"/>
      <c r="AB1241" s="260"/>
      <c r="AC1241" s="265"/>
      <c r="AD1241" s="265"/>
      <c r="AE1241" s="264">
        <f t="shared" ref="AE1241:AH1241" si="2992">AE1233*($L1233*$P1233+$M1233*$Q1233+$N1233*$R1233)</f>
        <v>0</v>
      </c>
      <c r="AF1241" s="264">
        <f t="shared" si="2992"/>
        <v>0</v>
      </c>
      <c r="AG1241" s="264">
        <f t="shared" si="2992"/>
        <v>0</v>
      </c>
      <c r="AH1241" s="264">
        <f t="shared" si="2992"/>
        <v>0</v>
      </c>
      <c r="AI1241" s="264">
        <f t="shared" si="2986"/>
        <v>0</v>
      </c>
      <c r="AJ1241" s="264">
        <f t="shared" si="2979"/>
        <v>0</v>
      </c>
      <c r="AK1241" s="264">
        <f t="shared" si="2980"/>
        <v>0</v>
      </c>
      <c r="AL1241" s="264">
        <f t="shared" si="2981"/>
        <v>0</v>
      </c>
      <c r="AM1241" s="264">
        <f t="shared" si="2982"/>
        <v>0</v>
      </c>
      <c r="AN1241" s="640">
        <f t="shared" si="2971"/>
        <v>0</v>
      </c>
      <c r="AO1241" s="264">
        <f t="shared" si="2983"/>
        <v>0</v>
      </c>
      <c r="AP1241" s="640">
        <f t="shared" si="2965"/>
        <v>0</v>
      </c>
      <c r="AQ1241" s="264"/>
      <c r="AR1241" s="264" t="str">
        <f>VLOOKUP($I1241,TableInputsData[],ReadMe!$M$3,FALSE)&amp;"  |  "&amp;VLOOKUP($K1241,TableInputsData[],ReadMe!$M$3,FALSE)</f>
        <v>SERVICE 10  |  CHIFFRE D'AFFAIRES</v>
      </c>
      <c r="AS1241" s="264" t="b">
        <f t="shared" si="2984"/>
        <v>1</v>
      </c>
      <c r="AT1241" s="294"/>
    </row>
    <row r="1242" spans="1:46" ht="13" hidden="1" x14ac:dyDescent="0.2">
      <c r="A1242" s="294"/>
      <c r="B1242" s="925"/>
      <c r="C1242" s="271">
        <v>1235</v>
      </c>
      <c r="D1242" s="250">
        <f t="shared" si="2972"/>
        <v>0</v>
      </c>
      <c r="E1242" s="250"/>
      <c r="F1242" s="248" t="str">
        <f t="shared" si="2977"/>
        <v>YEAR6</v>
      </c>
      <c r="G1242" s="250">
        <f>VLOOKUP(F1242,TableInputsData[],$G$6,FALSE)</f>
        <v>2030</v>
      </c>
      <c r="H1242" s="250" t="str">
        <f t="shared" si="2973"/>
        <v>SERVICE</v>
      </c>
      <c r="I1242" s="248" t="str">
        <f t="shared" si="2973"/>
        <v>SERVICE 10</v>
      </c>
      <c r="J1242" s="248" t="str">
        <f>VLOOKUP(I1242,TableInputsData[],$J$6,FALSE)</f>
        <v>-</v>
      </c>
      <c r="K1242" s="248" t="str">
        <f t="shared" si="2987"/>
        <v>REVENUE</v>
      </c>
      <c r="L1242" s="255"/>
      <c r="M1242" s="255"/>
      <c r="N1242" s="255"/>
      <c r="O1242" s="265"/>
      <c r="P1242" s="260"/>
      <c r="Q1242" s="260"/>
      <c r="R1242" s="260"/>
      <c r="S1242" s="630"/>
      <c r="T1242" s="630"/>
      <c r="U1242" s="630"/>
      <c r="V1242" s="630"/>
      <c r="W1242" s="260"/>
      <c r="X1242" s="260"/>
      <c r="Y1242" s="260"/>
      <c r="Z1242" s="260"/>
      <c r="AA1242" s="260"/>
      <c r="AB1242" s="260"/>
      <c r="AC1242" s="265"/>
      <c r="AD1242" s="634"/>
      <c r="AE1242" s="264">
        <f t="shared" ref="AE1242:AH1242" si="2993">AE1234*($L1234*$P1234+$M1234*$Q1234+$N1234*$R1234)</f>
        <v>0</v>
      </c>
      <c r="AF1242" s="264">
        <f t="shared" si="2993"/>
        <v>0</v>
      </c>
      <c r="AG1242" s="264">
        <f t="shared" si="2993"/>
        <v>0</v>
      </c>
      <c r="AH1242" s="264">
        <f t="shared" si="2993"/>
        <v>0</v>
      </c>
      <c r="AI1242" s="264">
        <f>$AE1242+$AF1242+$AG1242+$AH1242</f>
        <v>0</v>
      </c>
      <c r="AJ1242" s="264">
        <f t="shared" si="2979"/>
        <v>0</v>
      </c>
      <c r="AK1242" s="264">
        <f t="shared" si="2980"/>
        <v>0</v>
      </c>
      <c r="AL1242" s="264">
        <f t="shared" si="2981"/>
        <v>0</v>
      </c>
      <c r="AM1242" s="264">
        <f t="shared" si="2982"/>
        <v>0</v>
      </c>
      <c r="AN1242" s="640">
        <f t="shared" si="2971"/>
        <v>0</v>
      </c>
      <c r="AO1242" s="264">
        <f t="shared" si="2983"/>
        <v>0</v>
      </c>
      <c r="AP1242" s="640">
        <f t="shared" si="2965"/>
        <v>0</v>
      </c>
      <c r="AQ1242" s="264"/>
      <c r="AR1242" s="264" t="str">
        <f>VLOOKUP($I1242,TableInputsData[],ReadMe!$M$3,FALSE)&amp;"  |  "&amp;VLOOKUP($K1242,TableInputsData[],ReadMe!$M$3,FALSE)</f>
        <v>SERVICE 10  |  CHIFFRE D'AFFAIRES</v>
      </c>
      <c r="AS1242" s="264" t="b">
        <f t="shared" si="2984"/>
        <v>1</v>
      </c>
      <c r="AT1242" s="294"/>
    </row>
    <row r="1243" spans="1:46" ht="13" hidden="1" x14ac:dyDescent="0.2">
      <c r="A1243" s="294"/>
      <c r="B1243" s="925"/>
      <c r="C1243" s="271">
        <v>1236</v>
      </c>
      <c r="D1243" s="250">
        <f t="shared" si="2972"/>
        <v>0</v>
      </c>
      <c r="E1243" s="250"/>
      <c r="F1243" s="248" t="str">
        <f t="shared" ref="F1243:F1250" si="2994">F1227</f>
        <v>YEAR-2</v>
      </c>
      <c r="G1243" s="250">
        <f>VLOOKUP(F1243,TableInputsData[],$G$6,FALSE)</f>
        <v>2023</v>
      </c>
      <c r="H1243" s="250" t="str">
        <f t="shared" si="2973"/>
        <v>SERVICE</v>
      </c>
      <c r="I1243" s="248" t="str">
        <f t="shared" si="2973"/>
        <v>SERVICE 10</v>
      </c>
      <c r="J1243" s="248" t="str">
        <f>VLOOKUP(I1243,TableInputsData[],$J$6,FALSE)</f>
        <v>-</v>
      </c>
      <c r="K1243" s="248" t="s">
        <v>456</v>
      </c>
      <c r="L1243" s="255"/>
      <c r="M1243" s="255"/>
      <c r="N1243" s="255"/>
      <c r="O1243" s="265"/>
      <c r="P1243" s="260"/>
      <c r="Q1243" s="260"/>
      <c r="R1243" s="260"/>
      <c r="S1243" s="630"/>
      <c r="T1243" s="630"/>
      <c r="U1243" s="630"/>
      <c r="V1243" s="630"/>
      <c r="W1243" s="260"/>
      <c r="X1243" s="260"/>
      <c r="Y1243" s="260"/>
      <c r="Z1243" s="260"/>
      <c r="AA1243" s="260"/>
      <c r="AB1243" s="260"/>
      <c r="AC1243" s="265"/>
      <c r="AD1243" s="634"/>
      <c r="AE1243" s="264">
        <f>IF(AE1227=0,0,AE1235/AE1227)</f>
        <v>0</v>
      </c>
      <c r="AF1243" s="264">
        <f t="shared" ref="AF1243:AI1243" si="2995">IF(AF1227=0,0,AF1235/AF1227)</f>
        <v>0</v>
      </c>
      <c r="AG1243" s="264">
        <f t="shared" si="2995"/>
        <v>0</v>
      </c>
      <c r="AH1243" s="264">
        <f t="shared" si="2995"/>
        <v>0</v>
      </c>
      <c r="AI1243" s="264">
        <f t="shared" si="2995"/>
        <v>0</v>
      </c>
      <c r="AJ1243" s="264">
        <f>IF(AJ1227=0,0,AJ1235/AJ1227)</f>
        <v>0</v>
      </c>
      <c r="AK1243" s="264">
        <f t="shared" ref="AK1243:AL1243" si="2996">IF(AK1227=0,0,AK1235/AK1227)</f>
        <v>0</v>
      </c>
      <c r="AL1243" s="264">
        <f t="shared" si="2996"/>
        <v>0</v>
      </c>
      <c r="AM1243" s="264">
        <f>IF(AM1227=0,0,AM1235/AM1227)</f>
        <v>0</v>
      </c>
      <c r="AN1243" s="260"/>
      <c r="AO1243" s="264">
        <f t="shared" ref="AO1243" si="2997">IF(AO1227=0,0,AO1235/AO1227)</f>
        <v>0</v>
      </c>
      <c r="AP1243" s="260"/>
      <c r="AQ1243" s="264"/>
      <c r="AR1243" s="264" t="str">
        <f>VLOOKUP($I1243,TableInputsData[],ReadMe!$M$3,FALSE)&amp;"  |  "&amp;VLOOKUP($K1243,TableInputsData[],ReadMe!$M$3,FALSE)</f>
        <v>SERVICE 10  |  PRIX MOYEN DE VENTE PAR PRODUIT/SERVICE</v>
      </c>
      <c r="AS1243" s="264"/>
      <c r="AT1243" s="294"/>
    </row>
    <row r="1244" spans="1:46" ht="13" hidden="1" x14ac:dyDescent="0.2">
      <c r="A1244" s="294"/>
      <c r="B1244" s="925"/>
      <c r="C1244" s="271">
        <v>1237</v>
      </c>
      <c r="D1244" s="250">
        <f t="shared" si="2972"/>
        <v>0</v>
      </c>
      <c r="E1244" s="250"/>
      <c r="F1244" s="248" t="str">
        <f t="shared" si="2994"/>
        <v>YEAR-1</v>
      </c>
      <c r="G1244" s="250">
        <f>VLOOKUP(F1244,TableInputsData[],$G$6,FALSE)</f>
        <v>2024</v>
      </c>
      <c r="H1244" s="250" t="str">
        <f t="shared" si="2973"/>
        <v>SERVICE</v>
      </c>
      <c r="I1244" s="248" t="str">
        <f t="shared" si="2973"/>
        <v>SERVICE 10</v>
      </c>
      <c r="J1244" s="248" t="str">
        <f>VLOOKUP(I1244,TableInputsData[],$J$6,FALSE)</f>
        <v>-</v>
      </c>
      <c r="K1244" s="248" t="str">
        <f>K1243</f>
        <v>AVERAGE SELLING PRICE PER UNIT</v>
      </c>
      <c r="L1244" s="255"/>
      <c r="M1244" s="255"/>
      <c r="N1244" s="255"/>
      <c r="O1244" s="265"/>
      <c r="P1244" s="260"/>
      <c r="Q1244" s="260"/>
      <c r="R1244" s="260"/>
      <c r="S1244" s="630"/>
      <c r="T1244" s="630"/>
      <c r="U1244" s="630"/>
      <c r="V1244" s="630"/>
      <c r="W1244" s="260"/>
      <c r="X1244" s="260"/>
      <c r="Y1244" s="260"/>
      <c r="Z1244" s="260"/>
      <c r="AA1244" s="260"/>
      <c r="AB1244" s="260"/>
      <c r="AC1244" s="265"/>
      <c r="AD1244" s="634"/>
      <c r="AE1244" s="264">
        <f>IF(AE1228=0,0,AE1236/AE1228)</f>
        <v>0</v>
      </c>
      <c r="AF1244" s="264">
        <f t="shared" ref="AF1244:AM1244" si="2998">IF(AF1228=0,0,AF1236/AF1228)</f>
        <v>0</v>
      </c>
      <c r="AG1244" s="264">
        <f t="shared" si="2998"/>
        <v>0</v>
      </c>
      <c r="AH1244" s="264">
        <f t="shared" si="2998"/>
        <v>0</v>
      </c>
      <c r="AI1244" s="264">
        <f t="shared" si="2998"/>
        <v>0</v>
      </c>
      <c r="AJ1244" s="264">
        <f t="shared" si="2998"/>
        <v>0</v>
      </c>
      <c r="AK1244" s="264">
        <f t="shared" si="2998"/>
        <v>0</v>
      </c>
      <c r="AL1244" s="264">
        <f t="shared" si="2998"/>
        <v>0</v>
      </c>
      <c r="AM1244" s="264">
        <f t="shared" si="2998"/>
        <v>0</v>
      </c>
      <c r="AN1244" s="260"/>
      <c r="AO1244" s="264">
        <f t="shared" ref="AO1244" si="2999">IF(AO1228=0,0,AO1236/AO1228)</f>
        <v>0</v>
      </c>
      <c r="AP1244" s="260"/>
      <c r="AQ1244" s="264"/>
      <c r="AR1244" s="264" t="str">
        <f>VLOOKUP($I1244,TableInputsData[],ReadMe!$M$3,FALSE)&amp;"  |  "&amp;VLOOKUP($K1244,TableInputsData[],ReadMe!$M$3,FALSE)</f>
        <v>SERVICE 10  |  PRIX MOYEN DE VENTE PAR PRODUIT/SERVICE</v>
      </c>
      <c r="AS1244" s="264"/>
      <c r="AT1244" s="294"/>
    </row>
    <row r="1245" spans="1:46" ht="13" hidden="1" x14ac:dyDescent="0.2">
      <c r="A1245" s="294"/>
      <c r="B1245" s="925"/>
      <c r="C1245" s="271">
        <v>1238</v>
      </c>
      <c r="D1245" s="250">
        <f t="shared" si="2972"/>
        <v>0</v>
      </c>
      <c r="E1245" s="250"/>
      <c r="F1245" s="248" t="str">
        <f t="shared" si="2994"/>
        <v>CURRENT YEAR</v>
      </c>
      <c r="G1245" s="250">
        <f>VLOOKUP(F1245,TableInputsData[],$G$6,FALSE)</f>
        <v>2025</v>
      </c>
      <c r="H1245" s="250" t="str">
        <f t="shared" si="2973"/>
        <v>SERVICE</v>
      </c>
      <c r="I1245" s="248" t="str">
        <f t="shared" si="2973"/>
        <v>SERVICE 10</v>
      </c>
      <c r="J1245" s="248" t="str">
        <f>VLOOKUP(I1245,TableInputsData[],$J$6,FALSE)</f>
        <v>-</v>
      </c>
      <c r="K1245" s="248" t="str">
        <f t="shared" ref="K1245:K1250" si="3000">K1244</f>
        <v>AVERAGE SELLING PRICE PER UNIT</v>
      </c>
      <c r="L1245" s="255"/>
      <c r="M1245" s="255"/>
      <c r="N1245" s="255"/>
      <c r="O1245" s="265"/>
      <c r="P1245" s="260"/>
      <c r="Q1245" s="260"/>
      <c r="R1245" s="260"/>
      <c r="S1245" s="630"/>
      <c r="T1245" s="630"/>
      <c r="U1245" s="630"/>
      <c r="V1245" s="630"/>
      <c r="W1245" s="260"/>
      <c r="X1245" s="260"/>
      <c r="Y1245" s="260"/>
      <c r="Z1245" s="260"/>
      <c r="AA1245" s="260"/>
      <c r="AB1245" s="260"/>
      <c r="AC1245" s="265"/>
      <c r="AD1245" s="634"/>
      <c r="AE1245" s="264">
        <f>IF(AE1229=0,0,AE1237/AE1229)</f>
        <v>0</v>
      </c>
      <c r="AF1245" s="264">
        <f t="shared" ref="AF1245:AM1245" si="3001">IF(AF1229=0,0,AF1237/AF1229)</f>
        <v>0</v>
      </c>
      <c r="AG1245" s="264">
        <f t="shared" si="3001"/>
        <v>0</v>
      </c>
      <c r="AH1245" s="264">
        <f t="shared" si="3001"/>
        <v>0</v>
      </c>
      <c r="AI1245" s="264">
        <f t="shared" si="3001"/>
        <v>0</v>
      </c>
      <c r="AJ1245" s="264">
        <f t="shared" si="3001"/>
        <v>0</v>
      </c>
      <c r="AK1245" s="264">
        <f t="shared" si="3001"/>
        <v>0</v>
      </c>
      <c r="AL1245" s="264">
        <f t="shared" si="3001"/>
        <v>0</v>
      </c>
      <c r="AM1245" s="264">
        <f t="shared" si="3001"/>
        <v>0</v>
      </c>
      <c r="AN1245" s="260"/>
      <c r="AO1245" s="264">
        <f t="shared" ref="AO1245" si="3002">IF(AO1229=0,0,AO1237/AO1229)</f>
        <v>0</v>
      </c>
      <c r="AP1245" s="260"/>
      <c r="AQ1245" s="264"/>
      <c r="AR1245" s="264" t="str">
        <f>VLOOKUP($I1245,TableInputsData[],ReadMe!$M$3,FALSE)&amp;"  |  "&amp;VLOOKUP($K1245,TableInputsData[],ReadMe!$M$3,FALSE)</f>
        <v>SERVICE 10  |  PRIX MOYEN DE VENTE PAR PRODUIT/SERVICE</v>
      </c>
      <c r="AS1245" s="264"/>
      <c r="AT1245" s="294"/>
    </row>
    <row r="1246" spans="1:46" ht="13" hidden="1" x14ac:dyDescent="0.2">
      <c r="A1246" s="294"/>
      <c r="B1246" s="925"/>
      <c r="C1246" s="271">
        <v>1239</v>
      </c>
      <c r="D1246" s="250">
        <f t="shared" si="2972"/>
        <v>0</v>
      </c>
      <c r="E1246" s="250"/>
      <c r="F1246" s="248" t="str">
        <f t="shared" si="2994"/>
        <v>YEAR2</v>
      </c>
      <c r="G1246" s="250">
        <f>VLOOKUP(F1246,TableInputsData[],$G$6,FALSE)</f>
        <v>2026</v>
      </c>
      <c r="H1246" s="250" t="str">
        <f t="shared" si="2973"/>
        <v>SERVICE</v>
      </c>
      <c r="I1246" s="248" t="str">
        <f t="shared" si="2973"/>
        <v>SERVICE 10</v>
      </c>
      <c r="J1246" s="248" t="str">
        <f>VLOOKUP(I1246,TableInputsData[],$J$6,FALSE)</f>
        <v>-</v>
      </c>
      <c r="K1246" s="248" t="str">
        <f t="shared" si="3000"/>
        <v>AVERAGE SELLING PRICE PER UNIT</v>
      </c>
      <c r="L1246" s="255"/>
      <c r="M1246" s="255"/>
      <c r="N1246" s="255"/>
      <c r="O1246" s="265"/>
      <c r="P1246" s="260"/>
      <c r="Q1246" s="260"/>
      <c r="R1246" s="260"/>
      <c r="S1246" s="630"/>
      <c r="T1246" s="630"/>
      <c r="U1246" s="630"/>
      <c r="V1246" s="630"/>
      <c r="W1246" s="260"/>
      <c r="X1246" s="260"/>
      <c r="Y1246" s="260"/>
      <c r="Z1246" s="260"/>
      <c r="AA1246" s="260"/>
      <c r="AB1246" s="260"/>
      <c r="AC1246" s="265"/>
      <c r="AD1246" s="634"/>
      <c r="AE1246" s="264">
        <f>IF(AE1230=0,0,AE1238/AE1230)</f>
        <v>0</v>
      </c>
      <c r="AF1246" s="264">
        <f t="shared" ref="AF1246:AM1246" si="3003">IF(AF1230=0,0,AF1238/AF1230)</f>
        <v>0</v>
      </c>
      <c r="AG1246" s="264">
        <f t="shared" si="3003"/>
        <v>0</v>
      </c>
      <c r="AH1246" s="264">
        <f t="shared" si="3003"/>
        <v>0</v>
      </c>
      <c r="AI1246" s="264">
        <f t="shared" si="3003"/>
        <v>0</v>
      </c>
      <c r="AJ1246" s="264">
        <f t="shared" si="3003"/>
        <v>0</v>
      </c>
      <c r="AK1246" s="264">
        <f t="shared" si="3003"/>
        <v>0</v>
      </c>
      <c r="AL1246" s="264">
        <f t="shared" si="3003"/>
        <v>0</v>
      </c>
      <c r="AM1246" s="264">
        <f t="shared" si="3003"/>
        <v>0</v>
      </c>
      <c r="AN1246" s="260"/>
      <c r="AO1246" s="264">
        <f t="shared" ref="AO1246" si="3004">IF(AO1230=0,0,AO1238/AO1230)</f>
        <v>0</v>
      </c>
      <c r="AP1246" s="260"/>
      <c r="AQ1246" s="264"/>
      <c r="AR1246" s="264" t="str">
        <f>VLOOKUP($I1246,TableInputsData[],ReadMe!$M$3,FALSE)&amp;"  |  "&amp;VLOOKUP($K1246,TableInputsData[],ReadMe!$M$3,FALSE)</f>
        <v>SERVICE 10  |  PRIX MOYEN DE VENTE PAR PRODUIT/SERVICE</v>
      </c>
      <c r="AS1246" s="264"/>
      <c r="AT1246" s="294"/>
    </row>
    <row r="1247" spans="1:46" ht="13" hidden="1" x14ac:dyDescent="0.2">
      <c r="A1247" s="294"/>
      <c r="B1247" s="925"/>
      <c r="C1247" s="271">
        <v>1240</v>
      </c>
      <c r="D1247" s="250">
        <f t="shared" si="2972"/>
        <v>0</v>
      </c>
      <c r="E1247" s="250"/>
      <c r="F1247" s="248" t="str">
        <f t="shared" si="2994"/>
        <v>YEAR3</v>
      </c>
      <c r="G1247" s="250">
        <f>VLOOKUP(F1247,TableInputsData[],$G$6,FALSE)</f>
        <v>2027</v>
      </c>
      <c r="H1247" s="250" t="str">
        <f t="shared" si="2973"/>
        <v>SERVICE</v>
      </c>
      <c r="I1247" s="248" t="str">
        <f t="shared" si="2973"/>
        <v>SERVICE 10</v>
      </c>
      <c r="J1247" s="248" t="str">
        <f>VLOOKUP(I1247,TableInputsData[],$J$6,FALSE)</f>
        <v>-</v>
      </c>
      <c r="K1247" s="248" t="str">
        <f t="shared" si="3000"/>
        <v>AVERAGE SELLING PRICE PER UNIT</v>
      </c>
      <c r="L1247" s="255"/>
      <c r="M1247" s="255"/>
      <c r="N1247" s="255"/>
      <c r="O1247" s="265"/>
      <c r="P1247" s="260"/>
      <c r="Q1247" s="260"/>
      <c r="R1247" s="260"/>
      <c r="S1247" s="630"/>
      <c r="T1247" s="630"/>
      <c r="U1247" s="630"/>
      <c r="V1247" s="630"/>
      <c r="W1247" s="260"/>
      <c r="X1247" s="260"/>
      <c r="Y1247" s="260"/>
      <c r="Z1247" s="260"/>
      <c r="AA1247" s="260"/>
      <c r="AB1247" s="260"/>
      <c r="AC1247" s="265"/>
      <c r="AD1247" s="634"/>
      <c r="AE1247" s="264">
        <f t="shared" ref="AE1247:AM1247" si="3005">IF(AE1231=0,0,AE1239/AE1231)</f>
        <v>0</v>
      </c>
      <c r="AF1247" s="264">
        <f t="shared" si="3005"/>
        <v>0</v>
      </c>
      <c r="AG1247" s="264">
        <f t="shared" si="3005"/>
        <v>0</v>
      </c>
      <c r="AH1247" s="264">
        <f t="shared" si="3005"/>
        <v>0</v>
      </c>
      <c r="AI1247" s="264">
        <f t="shared" si="3005"/>
        <v>0</v>
      </c>
      <c r="AJ1247" s="264">
        <f t="shared" si="3005"/>
        <v>0</v>
      </c>
      <c r="AK1247" s="264">
        <f t="shared" si="3005"/>
        <v>0</v>
      </c>
      <c r="AL1247" s="264">
        <f t="shared" si="3005"/>
        <v>0</v>
      </c>
      <c r="AM1247" s="264">
        <f t="shared" si="3005"/>
        <v>0</v>
      </c>
      <c r="AN1247" s="260"/>
      <c r="AO1247" s="264">
        <f t="shared" ref="AO1247" si="3006">IF(AO1231=0,0,AO1239/AO1231)</f>
        <v>0</v>
      </c>
      <c r="AP1247" s="260"/>
      <c r="AQ1247" s="264"/>
      <c r="AR1247" s="264" t="str">
        <f>VLOOKUP($I1247,TableInputsData[],ReadMe!$M$3,FALSE)&amp;"  |  "&amp;VLOOKUP($K1247,TableInputsData[],ReadMe!$M$3,FALSE)</f>
        <v>SERVICE 10  |  PRIX MOYEN DE VENTE PAR PRODUIT/SERVICE</v>
      </c>
      <c r="AS1247" s="264"/>
      <c r="AT1247" s="294"/>
    </row>
    <row r="1248" spans="1:46" ht="13" hidden="1" x14ac:dyDescent="0.2">
      <c r="A1248" s="294"/>
      <c r="B1248" s="925"/>
      <c r="C1248" s="272">
        <v>1241</v>
      </c>
      <c r="D1248" s="250">
        <f t="shared" si="2972"/>
        <v>0</v>
      </c>
      <c r="E1248" s="251"/>
      <c r="F1248" s="248" t="str">
        <f t="shared" si="2994"/>
        <v>YEAR4</v>
      </c>
      <c r="G1248" s="250">
        <f>VLOOKUP(F1248,TableInputsData[],$G$6,FALSE)</f>
        <v>2028</v>
      </c>
      <c r="H1248" s="250" t="str">
        <f t="shared" si="2973"/>
        <v>SERVICE</v>
      </c>
      <c r="I1248" s="248" t="str">
        <f t="shared" si="2973"/>
        <v>SERVICE 10</v>
      </c>
      <c r="J1248" s="248" t="str">
        <f>VLOOKUP(I1248,TableInputsData[],$J$6,FALSE)</f>
        <v>-</v>
      </c>
      <c r="K1248" s="248" t="str">
        <f t="shared" si="3000"/>
        <v>AVERAGE SELLING PRICE PER UNIT</v>
      </c>
      <c r="L1248" s="256"/>
      <c r="M1248" s="256"/>
      <c r="N1248" s="256"/>
      <c r="O1248" s="266"/>
      <c r="P1248" s="261"/>
      <c r="Q1248" s="261"/>
      <c r="R1248" s="261"/>
      <c r="S1248" s="629"/>
      <c r="T1248" s="629"/>
      <c r="U1248" s="629"/>
      <c r="V1248" s="629"/>
      <c r="W1248" s="261"/>
      <c r="X1248" s="261"/>
      <c r="Y1248" s="261"/>
      <c r="Z1248" s="261"/>
      <c r="AA1248" s="261"/>
      <c r="AB1248" s="261"/>
      <c r="AC1248" s="266"/>
      <c r="AD1248" s="633"/>
      <c r="AE1248" s="264">
        <f t="shared" ref="AE1248:AM1248" si="3007">IF(AE1232=0,0,AE1240/AE1232)</f>
        <v>0</v>
      </c>
      <c r="AF1248" s="264">
        <f t="shared" si="3007"/>
        <v>0</v>
      </c>
      <c r="AG1248" s="264">
        <f t="shared" si="3007"/>
        <v>0</v>
      </c>
      <c r="AH1248" s="264">
        <f t="shared" si="3007"/>
        <v>0</v>
      </c>
      <c r="AI1248" s="264">
        <f t="shared" si="3007"/>
        <v>0</v>
      </c>
      <c r="AJ1248" s="264">
        <f t="shared" si="3007"/>
        <v>0</v>
      </c>
      <c r="AK1248" s="264">
        <f t="shared" si="3007"/>
        <v>0</v>
      </c>
      <c r="AL1248" s="264">
        <f t="shared" si="3007"/>
        <v>0</v>
      </c>
      <c r="AM1248" s="264">
        <f t="shared" si="3007"/>
        <v>0</v>
      </c>
      <c r="AN1248" s="260"/>
      <c r="AO1248" s="264">
        <f t="shared" ref="AO1248" si="3008">IF(AO1232=0,0,AO1240/AO1232)</f>
        <v>0</v>
      </c>
      <c r="AP1248" s="260"/>
      <c r="AQ1248" s="264"/>
      <c r="AR1248" s="264" t="str">
        <f>VLOOKUP($I1248,TableInputsData[],ReadMe!$M$3,FALSE)&amp;"  |  "&amp;VLOOKUP($K1248,TableInputsData[],ReadMe!$M$3,FALSE)</f>
        <v>SERVICE 10  |  PRIX MOYEN DE VENTE PAR PRODUIT/SERVICE</v>
      </c>
      <c r="AS1248" s="264"/>
      <c r="AT1248" s="294"/>
    </row>
    <row r="1249" spans="1:46" ht="13" hidden="1" x14ac:dyDescent="0.2">
      <c r="A1249" s="294"/>
      <c r="B1249" s="925"/>
      <c r="C1249" s="271">
        <v>1242</v>
      </c>
      <c r="D1249" s="250">
        <f t="shared" si="2972"/>
        <v>0</v>
      </c>
      <c r="E1249" s="250"/>
      <c r="F1249" s="248" t="str">
        <f t="shared" si="2994"/>
        <v>YEAR5</v>
      </c>
      <c r="G1249" s="250">
        <f>VLOOKUP(F1249,TableInputsData[],$G$6,FALSE)</f>
        <v>2029</v>
      </c>
      <c r="H1249" s="250" t="str">
        <f t="shared" si="2973"/>
        <v>SERVICE</v>
      </c>
      <c r="I1249" s="248" t="str">
        <f t="shared" si="2973"/>
        <v>SERVICE 10</v>
      </c>
      <c r="J1249" s="248" t="str">
        <f>VLOOKUP(I1249,TableInputsData[],$J$6,FALSE)</f>
        <v>-</v>
      </c>
      <c r="K1249" s="248" t="str">
        <f t="shared" si="3000"/>
        <v>AVERAGE SELLING PRICE PER UNIT</v>
      </c>
      <c r="L1249" s="255"/>
      <c r="M1249" s="255"/>
      <c r="N1249" s="255"/>
      <c r="O1249" s="265"/>
      <c r="P1249" s="260"/>
      <c r="Q1249" s="260"/>
      <c r="R1249" s="260"/>
      <c r="S1249" s="630"/>
      <c r="T1249" s="630"/>
      <c r="U1249" s="630"/>
      <c r="V1249" s="630"/>
      <c r="W1249" s="260"/>
      <c r="X1249" s="260"/>
      <c r="Y1249" s="260"/>
      <c r="Z1249" s="260"/>
      <c r="AA1249" s="260"/>
      <c r="AB1249" s="260"/>
      <c r="AC1249" s="265"/>
      <c r="AD1249" s="634"/>
      <c r="AE1249" s="264">
        <f t="shared" ref="AE1249:AM1249" si="3009">IF(AE1233=0,0,AE1241/AE1233)</f>
        <v>0</v>
      </c>
      <c r="AF1249" s="264">
        <f t="shared" si="3009"/>
        <v>0</v>
      </c>
      <c r="AG1249" s="264">
        <f t="shared" si="3009"/>
        <v>0</v>
      </c>
      <c r="AH1249" s="264">
        <f t="shared" si="3009"/>
        <v>0</v>
      </c>
      <c r="AI1249" s="264">
        <f t="shared" si="3009"/>
        <v>0</v>
      </c>
      <c r="AJ1249" s="264">
        <f t="shared" si="3009"/>
        <v>0</v>
      </c>
      <c r="AK1249" s="264">
        <f t="shared" si="3009"/>
        <v>0</v>
      </c>
      <c r="AL1249" s="264">
        <f t="shared" si="3009"/>
        <v>0</v>
      </c>
      <c r="AM1249" s="264">
        <f t="shared" si="3009"/>
        <v>0</v>
      </c>
      <c r="AN1249" s="260"/>
      <c r="AO1249" s="264">
        <f t="shared" ref="AO1249" si="3010">IF(AO1233=0,0,AO1241/AO1233)</f>
        <v>0</v>
      </c>
      <c r="AP1249" s="260"/>
      <c r="AQ1249" s="264"/>
      <c r="AR1249" s="264" t="str">
        <f>VLOOKUP($I1249,TableInputsData[],ReadMe!$M$3,FALSE)&amp;"  |  "&amp;VLOOKUP($K1249,TableInputsData[],ReadMe!$M$3,FALSE)</f>
        <v>SERVICE 10  |  PRIX MOYEN DE VENTE PAR PRODUIT/SERVICE</v>
      </c>
      <c r="AS1249" s="264"/>
      <c r="AT1249" s="294"/>
    </row>
    <row r="1250" spans="1:46" ht="13" hidden="1" x14ac:dyDescent="0.2">
      <c r="A1250" s="294"/>
      <c r="B1250" s="925"/>
      <c r="C1250" s="271">
        <v>1243</v>
      </c>
      <c r="D1250" s="250">
        <f t="shared" si="2972"/>
        <v>0</v>
      </c>
      <c r="E1250" s="250"/>
      <c r="F1250" s="248" t="str">
        <f t="shared" si="2994"/>
        <v>YEAR6</v>
      </c>
      <c r="G1250" s="250">
        <f>VLOOKUP(F1250,TableInputsData[],$G$6,FALSE)</f>
        <v>2030</v>
      </c>
      <c r="H1250" s="250" t="str">
        <f t="shared" si="2973"/>
        <v>SERVICE</v>
      </c>
      <c r="I1250" s="248" t="str">
        <f t="shared" si="2973"/>
        <v>SERVICE 10</v>
      </c>
      <c r="J1250" s="248" t="str">
        <f>VLOOKUP(I1250,TableInputsData[],$J$6,FALSE)</f>
        <v>-</v>
      </c>
      <c r="K1250" s="248" t="str">
        <f t="shared" si="3000"/>
        <v>AVERAGE SELLING PRICE PER UNIT</v>
      </c>
      <c r="L1250" s="255"/>
      <c r="M1250" s="255"/>
      <c r="N1250" s="255"/>
      <c r="O1250" s="265"/>
      <c r="P1250" s="260"/>
      <c r="Q1250" s="260"/>
      <c r="R1250" s="260"/>
      <c r="S1250" s="630"/>
      <c r="T1250" s="630"/>
      <c r="U1250" s="630"/>
      <c r="V1250" s="630"/>
      <c r="W1250" s="260"/>
      <c r="X1250" s="260"/>
      <c r="Y1250" s="260"/>
      <c r="Z1250" s="260"/>
      <c r="AA1250" s="260"/>
      <c r="AB1250" s="260"/>
      <c r="AC1250" s="265"/>
      <c r="AD1250" s="634"/>
      <c r="AE1250" s="264">
        <f t="shared" ref="AE1250:AM1250" si="3011">IF(AE1234=0,0,AE1242/AE1234)</f>
        <v>0</v>
      </c>
      <c r="AF1250" s="264">
        <f t="shared" si="3011"/>
        <v>0</v>
      </c>
      <c r="AG1250" s="264">
        <f t="shared" si="3011"/>
        <v>0</v>
      </c>
      <c r="AH1250" s="264">
        <f t="shared" si="3011"/>
        <v>0</v>
      </c>
      <c r="AI1250" s="264">
        <f t="shared" si="3011"/>
        <v>0</v>
      </c>
      <c r="AJ1250" s="264">
        <f t="shared" si="3011"/>
        <v>0</v>
      </c>
      <c r="AK1250" s="264">
        <f t="shared" si="3011"/>
        <v>0</v>
      </c>
      <c r="AL1250" s="264">
        <f t="shared" si="3011"/>
        <v>0</v>
      </c>
      <c r="AM1250" s="264">
        <f t="shared" si="3011"/>
        <v>0</v>
      </c>
      <c r="AN1250" s="260"/>
      <c r="AO1250" s="264">
        <f t="shared" ref="AO1250" si="3012">IF(AO1234=0,0,AO1242/AO1234)</f>
        <v>0</v>
      </c>
      <c r="AP1250" s="260"/>
      <c r="AQ1250" s="264"/>
      <c r="AR1250" s="264" t="str">
        <f>VLOOKUP($I1250,TableInputsData[],ReadMe!$M$3,FALSE)&amp;"  |  "&amp;VLOOKUP($K1250,TableInputsData[],ReadMe!$M$3,FALSE)</f>
        <v>SERVICE 10  |  PRIX MOYEN DE VENTE PAR PRODUIT/SERVICE</v>
      </c>
      <c r="AS1250" s="264"/>
      <c r="AT1250" s="294"/>
    </row>
    <row r="1251" spans="1:46" ht="13" hidden="1" x14ac:dyDescent="0.2">
      <c r="A1251" s="294"/>
      <c r="B1251" s="925"/>
      <c r="C1251" s="272">
        <v>1244</v>
      </c>
      <c r="D1251" s="250">
        <f t="shared" si="2972"/>
        <v>0</v>
      </c>
      <c r="E1251" s="251"/>
      <c r="F1251" s="248" t="str">
        <f t="shared" ref="F1251:F1258" si="3013">F1259</f>
        <v>YEAR-2</v>
      </c>
      <c r="G1251" s="250">
        <f>VLOOKUP(F1251,TableInputsData[],$G$6,FALSE)</f>
        <v>2023</v>
      </c>
      <c r="H1251" s="250" t="str">
        <f t="shared" si="2973"/>
        <v>SERVICE</v>
      </c>
      <c r="I1251" s="248" t="str">
        <f t="shared" si="2973"/>
        <v>SERVICE 10</v>
      </c>
      <c r="J1251" s="248" t="str">
        <f>VLOOKUP(I1251,TableInputsData[],$J$6,FALSE)</f>
        <v>-</v>
      </c>
      <c r="K1251" s="248" t="s">
        <v>531</v>
      </c>
      <c r="L1251" s="256"/>
      <c r="M1251" s="256"/>
      <c r="N1251" s="256"/>
      <c r="O1251" s="266"/>
      <c r="P1251" s="261"/>
      <c r="Q1251" s="261"/>
      <c r="R1251" s="261"/>
      <c r="S1251" s="629"/>
      <c r="T1251" s="629"/>
      <c r="U1251" s="629"/>
      <c r="V1251" s="629"/>
      <c r="W1251" s="261"/>
      <c r="X1251" s="261"/>
      <c r="Y1251" s="261"/>
      <c r="Z1251" s="261"/>
      <c r="AA1251" s="261"/>
      <c r="AB1251" s="261"/>
      <c r="AC1251" s="266"/>
      <c r="AD1251" s="633"/>
      <c r="AE1251" s="264">
        <f>AE1227*($S1227*$P1227+$T1227*$Q1227+$U1227*$R1227)</f>
        <v>0</v>
      </c>
      <c r="AF1251" s="264">
        <f t="shared" ref="AF1251:AH1251" si="3014">AF1227*($S1227*$P1227+$T1227*$Q1227+$U1227*$R1227)</f>
        <v>0</v>
      </c>
      <c r="AG1251" s="264">
        <f t="shared" si="3014"/>
        <v>0</v>
      </c>
      <c r="AH1251" s="264">
        <f t="shared" si="3014"/>
        <v>0</v>
      </c>
      <c r="AI1251" s="264">
        <f t="shared" ref="AI1251:AI1258" si="3015">$AE1251+$AF1251+$AG1251+$AH1251</f>
        <v>0</v>
      </c>
      <c r="AJ1251" s="264">
        <f t="shared" ref="AJ1251:AJ1258" si="3016">$AJ1227*$S1227</f>
        <v>0</v>
      </c>
      <c r="AK1251" s="264">
        <f t="shared" ref="AK1251:AK1258" si="3017">$AK1227*$T1227</f>
        <v>0</v>
      </c>
      <c r="AL1251" s="264">
        <f t="shared" ref="AL1251:AL1258" si="3018">$AL1227*$U1227</f>
        <v>0</v>
      </c>
      <c r="AM1251" s="264">
        <f t="shared" ref="AM1251:AM1258" si="3019">$AJ1251*$W1227+$AK1251*$X1227+$AL1251*$Y1227</f>
        <v>0</v>
      </c>
      <c r="AN1251" s="640">
        <f t="shared" ref="AN1251:AN1258" si="3020">IF(AI1251=0,0,AM1251/AI1251)</f>
        <v>0</v>
      </c>
      <c r="AO1251" s="264">
        <f t="shared" ref="AO1251:AO1258" si="3021">$AJ1251*$Z1227+$AK1251*$AA1227+$AL1251*$AB1227</f>
        <v>0</v>
      </c>
      <c r="AP1251" s="640">
        <f t="shared" ref="AP1251:AP1258" si="3022">IF(AI1251=0,0,AO1251/AI1251)</f>
        <v>0</v>
      </c>
      <c r="AQ1251" s="264"/>
      <c r="AR1251" s="264" t="str">
        <f>VLOOKUP($I1251,TableInputsData[],ReadMe!$M$3,FALSE)&amp;"  |  "&amp;VLOOKUP($K1251,TableInputsData[],ReadMe!$M$3,FALSE)</f>
        <v>SERVICE 10  |  DEPENSES SUR ACHATS</v>
      </c>
      <c r="AS1251" s="264" t="b">
        <f t="shared" ref="AS1251:AS1258" si="3023">AND(EXACT(ROUND(AI1251,2),ROUND(AJ1251+AK1251+AL1251,2)),EXACT(ROUND(AI1251,2),ROUND(AM1251+AO1251,2)))</f>
        <v>1</v>
      </c>
      <c r="AT1251" s="294"/>
    </row>
    <row r="1252" spans="1:46" ht="13" hidden="1" x14ac:dyDescent="0.2">
      <c r="A1252" s="294"/>
      <c r="B1252" s="925"/>
      <c r="C1252" s="271">
        <v>1245</v>
      </c>
      <c r="D1252" s="250">
        <f t="shared" si="2972"/>
        <v>0</v>
      </c>
      <c r="E1252" s="250"/>
      <c r="F1252" s="248" t="str">
        <f t="shared" si="3013"/>
        <v>YEAR-1</v>
      </c>
      <c r="G1252" s="250">
        <f>VLOOKUP(F1252,TableInputsData[],$G$6,FALSE)</f>
        <v>2024</v>
      </c>
      <c r="H1252" s="250" t="str">
        <f t="shared" si="2973"/>
        <v>SERVICE</v>
      </c>
      <c r="I1252" s="248" t="str">
        <f t="shared" si="2973"/>
        <v>SERVICE 10</v>
      </c>
      <c r="J1252" s="248" t="str">
        <f>VLOOKUP(I1252,TableInputsData[],$J$6,FALSE)</f>
        <v>-</v>
      </c>
      <c r="K1252" s="248" t="str">
        <f>K1251</f>
        <v>COST OF GOODS SOLD</v>
      </c>
      <c r="L1252" s="255"/>
      <c r="M1252" s="255"/>
      <c r="N1252" s="255"/>
      <c r="O1252" s="265"/>
      <c r="P1252" s="260"/>
      <c r="Q1252" s="260"/>
      <c r="R1252" s="260"/>
      <c r="S1252" s="630"/>
      <c r="T1252" s="630"/>
      <c r="U1252" s="630"/>
      <c r="V1252" s="630"/>
      <c r="W1252" s="260"/>
      <c r="X1252" s="260"/>
      <c r="Y1252" s="260"/>
      <c r="Z1252" s="260"/>
      <c r="AA1252" s="260"/>
      <c r="AB1252" s="260"/>
      <c r="AC1252" s="265"/>
      <c r="AD1252" s="634"/>
      <c r="AE1252" s="264">
        <f t="shared" ref="AE1252:AH1252" si="3024">AE1228*($S1228*$P1228+$T1228*$Q1228+$U1228*$R1228)</f>
        <v>0</v>
      </c>
      <c r="AF1252" s="264">
        <f t="shared" si="3024"/>
        <v>0</v>
      </c>
      <c r="AG1252" s="264">
        <f t="shared" si="3024"/>
        <v>0</v>
      </c>
      <c r="AH1252" s="264">
        <f t="shared" si="3024"/>
        <v>0</v>
      </c>
      <c r="AI1252" s="264">
        <f t="shared" si="3015"/>
        <v>0</v>
      </c>
      <c r="AJ1252" s="264">
        <f t="shared" si="3016"/>
        <v>0</v>
      </c>
      <c r="AK1252" s="264">
        <f t="shared" si="3017"/>
        <v>0</v>
      </c>
      <c r="AL1252" s="264">
        <f t="shared" si="3018"/>
        <v>0</v>
      </c>
      <c r="AM1252" s="264">
        <f t="shared" si="3019"/>
        <v>0</v>
      </c>
      <c r="AN1252" s="640">
        <f t="shared" si="3020"/>
        <v>0</v>
      </c>
      <c r="AO1252" s="264">
        <f t="shared" si="3021"/>
        <v>0</v>
      </c>
      <c r="AP1252" s="640">
        <f t="shared" si="3022"/>
        <v>0</v>
      </c>
      <c r="AQ1252" s="264"/>
      <c r="AR1252" s="264" t="str">
        <f>VLOOKUP($I1252,TableInputsData[],ReadMe!$M$3,FALSE)&amp;"  |  "&amp;VLOOKUP($K1252,TableInputsData[],ReadMe!$M$3,FALSE)</f>
        <v>SERVICE 10  |  DEPENSES SUR ACHATS</v>
      </c>
      <c r="AS1252" s="264" t="b">
        <f t="shared" si="3023"/>
        <v>1</v>
      </c>
      <c r="AT1252" s="294"/>
    </row>
    <row r="1253" spans="1:46" ht="13" hidden="1" x14ac:dyDescent="0.2">
      <c r="A1253" s="294"/>
      <c r="B1253" s="925"/>
      <c r="C1253" s="271">
        <v>1246</v>
      </c>
      <c r="D1253" s="250">
        <f t="shared" si="2972"/>
        <v>0</v>
      </c>
      <c r="E1253" s="250"/>
      <c r="F1253" s="248" t="str">
        <f t="shared" si="3013"/>
        <v>CURRENT YEAR</v>
      </c>
      <c r="G1253" s="250">
        <f>VLOOKUP(F1253,TableInputsData[],$G$6,FALSE)</f>
        <v>2025</v>
      </c>
      <c r="H1253" s="250" t="str">
        <f t="shared" si="2973"/>
        <v>SERVICE</v>
      </c>
      <c r="I1253" s="248" t="str">
        <f t="shared" si="2973"/>
        <v>SERVICE 10</v>
      </c>
      <c r="J1253" s="248" t="str">
        <f>VLOOKUP(I1253,TableInputsData[],$J$6,FALSE)</f>
        <v>-</v>
      </c>
      <c r="K1253" s="248" t="str">
        <f t="shared" ref="K1253:K1258" si="3025">K1252</f>
        <v>COST OF GOODS SOLD</v>
      </c>
      <c r="L1253" s="255"/>
      <c r="M1253" s="255"/>
      <c r="N1253" s="255"/>
      <c r="O1253" s="265"/>
      <c r="P1253" s="260"/>
      <c r="Q1253" s="260"/>
      <c r="R1253" s="260"/>
      <c r="S1253" s="630"/>
      <c r="T1253" s="630"/>
      <c r="U1253" s="630"/>
      <c r="V1253" s="630"/>
      <c r="W1253" s="260"/>
      <c r="X1253" s="260"/>
      <c r="Y1253" s="260"/>
      <c r="Z1253" s="260"/>
      <c r="AA1253" s="260"/>
      <c r="AB1253" s="260"/>
      <c r="AC1253" s="265"/>
      <c r="AD1253" s="634"/>
      <c r="AE1253" s="264">
        <f t="shared" ref="AE1253:AH1253" si="3026">AE1229*($S1229*$P1229+$T1229*$Q1229+$U1229*$R1229)</f>
        <v>0</v>
      </c>
      <c r="AF1253" s="264">
        <f t="shared" si="3026"/>
        <v>0</v>
      </c>
      <c r="AG1253" s="264">
        <f t="shared" si="3026"/>
        <v>0</v>
      </c>
      <c r="AH1253" s="264">
        <f t="shared" si="3026"/>
        <v>0</v>
      </c>
      <c r="AI1253" s="264">
        <f t="shared" si="3015"/>
        <v>0</v>
      </c>
      <c r="AJ1253" s="264">
        <f t="shared" si="3016"/>
        <v>0</v>
      </c>
      <c r="AK1253" s="264">
        <f t="shared" si="3017"/>
        <v>0</v>
      </c>
      <c r="AL1253" s="264">
        <f t="shared" si="3018"/>
        <v>0</v>
      </c>
      <c r="AM1253" s="264">
        <f t="shared" si="3019"/>
        <v>0</v>
      </c>
      <c r="AN1253" s="640">
        <f t="shared" si="3020"/>
        <v>0</v>
      </c>
      <c r="AO1253" s="264">
        <f t="shared" si="3021"/>
        <v>0</v>
      </c>
      <c r="AP1253" s="640">
        <f t="shared" si="3022"/>
        <v>0</v>
      </c>
      <c r="AQ1253" s="264"/>
      <c r="AR1253" s="264" t="str">
        <f>VLOOKUP($I1253,TableInputsData[],ReadMe!$M$3,FALSE)&amp;"  |  "&amp;VLOOKUP($K1253,TableInputsData[],ReadMe!$M$3,FALSE)</f>
        <v>SERVICE 10  |  DEPENSES SUR ACHATS</v>
      </c>
      <c r="AS1253" s="264" t="b">
        <f t="shared" si="3023"/>
        <v>1</v>
      </c>
      <c r="AT1253" s="294"/>
    </row>
    <row r="1254" spans="1:46" ht="13" hidden="1" x14ac:dyDescent="0.2">
      <c r="A1254" s="294"/>
      <c r="B1254" s="925"/>
      <c r="C1254" s="271">
        <v>1247</v>
      </c>
      <c r="D1254" s="250">
        <f t="shared" si="2972"/>
        <v>0</v>
      </c>
      <c r="E1254" s="250"/>
      <c r="F1254" s="248" t="str">
        <f t="shared" si="3013"/>
        <v>YEAR2</v>
      </c>
      <c r="G1254" s="250">
        <f>VLOOKUP(F1254,TableInputsData[],$G$6,FALSE)</f>
        <v>2026</v>
      </c>
      <c r="H1254" s="250" t="str">
        <f t="shared" si="2973"/>
        <v>SERVICE</v>
      </c>
      <c r="I1254" s="248" t="str">
        <f t="shared" si="2973"/>
        <v>SERVICE 10</v>
      </c>
      <c r="J1254" s="248" t="str">
        <f>VLOOKUP(I1254,TableInputsData[],$J$6,FALSE)</f>
        <v>-</v>
      </c>
      <c r="K1254" s="248" t="str">
        <f t="shared" si="3025"/>
        <v>COST OF GOODS SOLD</v>
      </c>
      <c r="L1254" s="255"/>
      <c r="M1254" s="255"/>
      <c r="N1254" s="255"/>
      <c r="O1254" s="265"/>
      <c r="P1254" s="260"/>
      <c r="Q1254" s="260"/>
      <c r="R1254" s="260"/>
      <c r="S1254" s="630"/>
      <c r="T1254" s="630"/>
      <c r="U1254" s="630"/>
      <c r="V1254" s="630"/>
      <c r="W1254" s="260"/>
      <c r="X1254" s="260"/>
      <c r="Y1254" s="260"/>
      <c r="Z1254" s="260"/>
      <c r="AA1254" s="260"/>
      <c r="AB1254" s="260"/>
      <c r="AC1254" s="265"/>
      <c r="AD1254" s="634"/>
      <c r="AE1254" s="264">
        <f t="shared" ref="AE1254:AH1254" si="3027">AE1230*($S1230*$P1230+$T1230*$Q1230+$U1230*$R1230)</f>
        <v>0</v>
      </c>
      <c r="AF1254" s="264">
        <f t="shared" si="3027"/>
        <v>0</v>
      </c>
      <c r="AG1254" s="264">
        <f t="shared" si="3027"/>
        <v>0</v>
      </c>
      <c r="AH1254" s="264">
        <f t="shared" si="3027"/>
        <v>0</v>
      </c>
      <c r="AI1254" s="264">
        <f t="shared" si="3015"/>
        <v>0</v>
      </c>
      <c r="AJ1254" s="264">
        <f t="shared" si="3016"/>
        <v>0</v>
      </c>
      <c r="AK1254" s="264">
        <f t="shared" si="3017"/>
        <v>0</v>
      </c>
      <c r="AL1254" s="264">
        <f t="shared" si="3018"/>
        <v>0</v>
      </c>
      <c r="AM1254" s="264">
        <f t="shared" si="3019"/>
        <v>0</v>
      </c>
      <c r="AN1254" s="640">
        <f t="shared" si="3020"/>
        <v>0</v>
      </c>
      <c r="AO1254" s="264">
        <f t="shared" si="3021"/>
        <v>0</v>
      </c>
      <c r="AP1254" s="640">
        <f t="shared" si="3022"/>
        <v>0</v>
      </c>
      <c r="AQ1254" s="264"/>
      <c r="AR1254" s="264" t="str">
        <f>VLOOKUP($I1254,TableInputsData[],ReadMe!$M$3,FALSE)&amp;"  |  "&amp;VLOOKUP($K1254,TableInputsData[],ReadMe!$M$3,FALSE)</f>
        <v>SERVICE 10  |  DEPENSES SUR ACHATS</v>
      </c>
      <c r="AS1254" s="264" t="b">
        <f t="shared" si="3023"/>
        <v>1</v>
      </c>
      <c r="AT1254" s="294"/>
    </row>
    <row r="1255" spans="1:46" ht="13" hidden="1" x14ac:dyDescent="0.2">
      <c r="A1255" s="294"/>
      <c r="B1255" s="925"/>
      <c r="C1255" s="271">
        <v>1248</v>
      </c>
      <c r="D1255" s="250">
        <f t="shared" si="2972"/>
        <v>0</v>
      </c>
      <c r="E1255" s="250"/>
      <c r="F1255" s="248" t="str">
        <f t="shared" si="3013"/>
        <v>YEAR3</v>
      </c>
      <c r="G1255" s="250">
        <f>VLOOKUP(F1255,TableInputsData[],$G$6,FALSE)</f>
        <v>2027</v>
      </c>
      <c r="H1255" s="250" t="str">
        <f t="shared" si="2973"/>
        <v>SERVICE</v>
      </c>
      <c r="I1255" s="248" t="str">
        <f t="shared" si="2973"/>
        <v>SERVICE 10</v>
      </c>
      <c r="J1255" s="248" t="str">
        <f>VLOOKUP(I1255,TableInputsData[],$J$6,FALSE)</f>
        <v>-</v>
      </c>
      <c r="K1255" s="248" t="str">
        <f t="shared" si="3025"/>
        <v>COST OF GOODS SOLD</v>
      </c>
      <c r="L1255" s="255"/>
      <c r="M1255" s="255"/>
      <c r="N1255" s="255"/>
      <c r="O1255" s="265"/>
      <c r="P1255" s="260"/>
      <c r="Q1255" s="260"/>
      <c r="R1255" s="260"/>
      <c r="S1255" s="630"/>
      <c r="T1255" s="630"/>
      <c r="U1255" s="630"/>
      <c r="V1255" s="630"/>
      <c r="W1255" s="260"/>
      <c r="X1255" s="260"/>
      <c r="Y1255" s="260"/>
      <c r="Z1255" s="260"/>
      <c r="AA1255" s="260"/>
      <c r="AB1255" s="260"/>
      <c r="AC1255" s="265"/>
      <c r="AD1255" s="634"/>
      <c r="AE1255" s="264">
        <f t="shared" ref="AE1255:AH1255" si="3028">AE1231*($S1231*$P1231+$T1231*$Q1231+$U1231*$R1231)</f>
        <v>0</v>
      </c>
      <c r="AF1255" s="264">
        <f t="shared" si="3028"/>
        <v>0</v>
      </c>
      <c r="AG1255" s="264">
        <f t="shared" si="3028"/>
        <v>0</v>
      </c>
      <c r="AH1255" s="264">
        <f t="shared" si="3028"/>
        <v>0</v>
      </c>
      <c r="AI1255" s="264">
        <f t="shared" si="3015"/>
        <v>0</v>
      </c>
      <c r="AJ1255" s="264">
        <f t="shared" si="3016"/>
        <v>0</v>
      </c>
      <c r="AK1255" s="264">
        <f t="shared" si="3017"/>
        <v>0</v>
      </c>
      <c r="AL1255" s="264">
        <f t="shared" si="3018"/>
        <v>0</v>
      </c>
      <c r="AM1255" s="264">
        <f t="shared" si="3019"/>
        <v>0</v>
      </c>
      <c r="AN1255" s="640">
        <f t="shared" si="3020"/>
        <v>0</v>
      </c>
      <c r="AO1255" s="264">
        <f t="shared" si="3021"/>
        <v>0</v>
      </c>
      <c r="AP1255" s="640">
        <f t="shared" si="3022"/>
        <v>0</v>
      </c>
      <c r="AQ1255" s="264"/>
      <c r="AR1255" s="264" t="str">
        <f>VLOOKUP($I1255,TableInputsData[],ReadMe!$M$3,FALSE)&amp;"  |  "&amp;VLOOKUP($K1255,TableInputsData[],ReadMe!$M$3,FALSE)</f>
        <v>SERVICE 10  |  DEPENSES SUR ACHATS</v>
      </c>
      <c r="AS1255" s="264" t="b">
        <f t="shared" si="3023"/>
        <v>1</v>
      </c>
      <c r="AT1255" s="294"/>
    </row>
    <row r="1256" spans="1:46" ht="13" hidden="1" x14ac:dyDescent="0.2">
      <c r="A1256" s="294"/>
      <c r="B1256" s="925"/>
      <c r="C1256" s="271">
        <v>1249</v>
      </c>
      <c r="D1256" s="250">
        <f t="shared" si="2972"/>
        <v>0</v>
      </c>
      <c r="E1256" s="250"/>
      <c r="F1256" s="248" t="str">
        <f t="shared" si="3013"/>
        <v>YEAR4</v>
      </c>
      <c r="G1256" s="250">
        <f>VLOOKUP(F1256,TableInputsData[],$G$6,FALSE)</f>
        <v>2028</v>
      </c>
      <c r="H1256" s="250" t="str">
        <f t="shared" si="2973"/>
        <v>SERVICE</v>
      </c>
      <c r="I1256" s="248" t="str">
        <f t="shared" si="2973"/>
        <v>SERVICE 10</v>
      </c>
      <c r="J1256" s="248" t="str">
        <f>VLOOKUP(I1256,TableInputsData[],$J$6,FALSE)</f>
        <v>-</v>
      </c>
      <c r="K1256" s="248" t="str">
        <f t="shared" si="3025"/>
        <v>COST OF GOODS SOLD</v>
      </c>
      <c r="L1256" s="255"/>
      <c r="M1256" s="255"/>
      <c r="N1256" s="255"/>
      <c r="O1256" s="265"/>
      <c r="P1256" s="260"/>
      <c r="Q1256" s="260"/>
      <c r="R1256" s="260"/>
      <c r="S1256" s="630"/>
      <c r="T1256" s="630"/>
      <c r="U1256" s="630"/>
      <c r="V1256" s="630"/>
      <c r="W1256" s="260"/>
      <c r="X1256" s="260"/>
      <c r="Y1256" s="260"/>
      <c r="Z1256" s="260"/>
      <c r="AA1256" s="260"/>
      <c r="AB1256" s="260"/>
      <c r="AC1256" s="265"/>
      <c r="AD1256" s="634"/>
      <c r="AE1256" s="264">
        <f t="shared" ref="AE1256:AH1256" si="3029">AE1232*($S1232*$P1232+$T1232*$Q1232+$U1232*$R1232)</f>
        <v>0</v>
      </c>
      <c r="AF1256" s="264">
        <f t="shared" si="3029"/>
        <v>0</v>
      </c>
      <c r="AG1256" s="264">
        <f t="shared" si="3029"/>
        <v>0</v>
      </c>
      <c r="AH1256" s="264">
        <f t="shared" si="3029"/>
        <v>0</v>
      </c>
      <c r="AI1256" s="264">
        <f t="shared" si="3015"/>
        <v>0</v>
      </c>
      <c r="AJ1256" s="264">
        <f t="shared" si="3016"/>
        <v>0</v>
      </c>
      <c r="AK1256" s="264">
        <f t="shared" si="3017"/>
        <v>0</v>
      </c>
      <c r="AL1256" s="264">
        <f t="shared" si="3018"/>
        <v>0</v>
      </c>
      <c r="AM1256" s="264">
        <f t="shared" si="3019"/>
        <v>0</v>
      </c>
      <c r="AN1256" s="640">
        <f t="shared" si="3020"/>
        <v>0</v>
      </c>
      <c r="AO1256" s="264">
        <f t="shared" si="3021"/>
        <v>0</v>
      </c>
      <c r="AP1256" s="640">
        <f t="shared" si="3022"/>
        <v>0</v>
      </c>
      <c r="AQ1256" s="264"/>
      <c r="AR1256" s="264" t="str">
        <f>VLOOKUP($I1256,TableInputsData[],ReadMe!$M$3,FALSE)&amp;"  |  "&amp;VLOOKUP($K1256,TableInputsData[],ReadMe!$M$3,FALSE)</f>
        <v>SERVICE 10  |  DEPENSES SUR ACHATS</v>
      </c>
      <c r="AS1256" s="264" t="b">
        <f t="shared" si="3023"/>
        <v>1</v>
      </c>
      <c r="AT1256" s="294"/>
    </row>
    <row r="1257" spans="1:46" ht="13" hidden="1" x14ac:dyDescent="0.2">
      <c r="A1257" s="294"/>
      <c r="B1257" s="925"/>
      <c r="C1257" s="271">
        <v>1250</v>
      </c>
      <c r="D1257" s="250">
        <f t="shared" si="2972"/>
        <v>0</v>
      </c>
      <c r="E1257" s="250"/>
      <c r="F1257" s="248" t="str">
        <f t="shared" si="3013"/>
        <v>YEAR5</v>
      </c>
      <c r="G1257" s="250">
        <f>VLOOKUP(F1257,TableInputsData[],$G$6,FALSE)</f>
        <v>2029</v>
      </c>
      <c r="H1257" s="250" t="str">
        <f t="shared" si="2973"/>
        <v>SERVICE</v>
      </c>
      <c r="I1257" s="248" t="str">
        <f t="shared" si="2973"/>
        <v>SERVICE 10</v>
      </c>
      <c r="J1257" s="248" t="str">
        <f>VLOOKUP(I1257,TableInputsData[],$J$6,FALSE)</f>
        <v>-</v>
      </c>
      <c r="K1257" s="248" t="str">
        <f t="shared" si="3025"/>
        <v>COST OF GOODS SOLD</v>
      </c>
      <c r="L1257" s="255"/>
      <c r="M1257" s="255"/>
      <c r="N1257" s="255"/>
      <c r="O1257" s="265"/>
      <c r="P1257" s="260"/>
      <c r="Q1257" s="260"/>
      <c r="R1257" s="260"/>
      <c r="S1257" s="630"/>
      <c r="T1257" s="630"/>
      <c r="U1257" s="630"/>
      <c r="V1257" s="630"/>
      <c r="W1257" s="260"/>
      <c r="X1257" s="260"/>
      <c r="Y1257" s="260"/>
      <c r="Z1257" s="260"/>
      <c r="AA1257" s="260"/>
      <c r="AB1257" s="260"/>
      <c r="AC1257" s="265"/>
      <c r="AD1257" s="634"/>
      <c r="AE1257" s="264">
        <f t="shared" ref="AE1257:AH1257" si="3030">AE1233*($S1233*$P1233+$T1233*$Q1233+$U1233*$R1233)</f>
        <v>0</v>
      </c>
      <c r="AF1257" s="264">
        <f t="shared" si="3030"/>
        <v>0</v>
      </c>
      <c r="AG1257" s="264">
        <f t="shared" si="3030"/>
        <v>0</v>
      </c>
      <c r="AH1257" s="264">
        <f t="shared" si="3030"/>
        <v>0</v>
      </c>
      <c r="AI1257" s="264">
        <f t="shared" si="3015"/>
        <v>0</v>
      </c>
      <c r="AJ1257" s="264">
        <f t="shared" si="3016"/>
        <v>0</v>
      </c>
      <c r="AK1257" s="264">
        <f t="shared" si="3017"/>
        <v>0</v>
      </c>
      <c r="AL1257" s="264">
        <f t="shared" si="3018"/>
        <v>0</v>
      </c>
      <c r="AM1257" s="264">
        <f t="shared" si="3019"/>
        <v>0</v>
      </c>
      <c r="AN1257" s="640">
        <f t="shared" si="3020"/>
        <v>0</v>
      </c>
      <c r="AO1257" s="264">
        <f t="shared" si="3021"/>
        <v>0</v>
      </c>
      <c r="AP1257" s="640">
        <f t="shared" si="3022"/>
        <v>0</v>
      </c>
      <c r="AQ1257" s="264"/>
      <c r="AR1257" s="264" t="str">
        <f>VLOOKUP($I1257,TableInputsData[],ReadMe!$M$3,FALSE)&amp;"  |  "&amp;VLOOKUP($K1257,TableInputsData[],ReadMe!$M$3,FALSE)</f>
        <v>SERVICE 10  |  DEPENSES SUR ACHATS</v>
      </c>
      <c r="AS1257" s="264" t="b">
        <f t="shared" si="3023"/>
        <v>1</v>
      </c>
      <c r="AT1257" s="294"/>
    </row>
    <row r="1258" spans="1:46" ht="13" hidden="1" x14ac:dyDescent="0.2">
      <c r="A1258" s="294"/>
      <c r="B1258" s="925"/>
      <c r="C1258" s="271">
        <v>1251</v>
      </c>
      <c r="D1258" s="250">
        <f t="shared" si="2972"/>
        <v>0</v>
      </c>
      <c r="E1258" s="250"/>
      <c r="F1258" s="248" t="str">
        <f t="shared" si="3013"/>
        <v>YEAR6</v>
      </c>
      <c r="G1258" s="250">
        <f>VLOOKUP(F1258,TableInputsData[],$G$6,FALSE)</f>
        <v>2030</v>
      </c>
      <c r="H1258" s="250" t="str">
        <f t="shared" si="2973"/>
        <v>SERVICE</v>
      </c>
      <c r="I1258" s="248" t="str">
        <f t="shared" si="2973"/>
        <v>SERVICE 10</v>
      </c>
      <c r="J1258" s="248" t="str">
        <f>VLOOKUP(I1258,TableInputsData[],$J$6,FALSE)</f>
        <v>-</v>
      </c>
      <c r="K1258" s="248" t="str">
        <f t="shared" si="3025"/>
        <v>COST OF GOODS SOLD</v>
      </c>
      <c r="L1258" s="255"/>
      <c r="M1258" s="255"/>
      <c r="N1258" s="255"/>
      <c r="O1258" s="265"/>
      <c r="P1258" s="260"/>
      <c r="Q1258" s="260"/>
      <c r="R1258" s="260"/>
      <c r="S1258" s="630"/>
      <c r="T1258" s="630"/>
      <c r="U1258" s="630"/>
      <c r="V1258" s="630"/>
      <c r="W1258" s="260"/>
      <c r="X1258" s="260"/>
      <c r="Y1258" s="260"/>
      <c r="Z1258" s="260"/>
      <c r="AA1258" s="260"/>
      <c r="AB1258" s="260"/>
      <c r="AC1258" s="265"/>
      <c r="AD1258" s="634"/>
      <c r="AE1258" s="264">
        <f t="shared" ref="AE1258:AH1258" si="3031">AE1234*($S1234*$P1234+$T1234*$Q1234+$U1234*$R1234)</f>
        <v>0</v>
      </c>
      <c r="AF1258" s="264">
        <f t="shared" si="3031"/>
        <v>0</v>
      </c>
      <c r="AG1258" s="264">
        <f t="shared" si="3031"/>
        <v>0</v>
      </c>
      <c r="AH1258" s="264">
        <f t="shared" si="3031"/>
        <v>0</v>
      </c>
      <c r="AI1258" s="264">
        <f t="shared" si="3015"/>
        <v>0</v>
      </c>
      <c r="AJ1258" s="264">
        <f t="shared" si="3016"/>
        <v>0</v>
      </c>
      <c r="AK1258" s="264">
        <f t="shared" si="3017"/>
        <v>0</v>
      </c>
      <c r="AL1258" s="264">
        <f t="shared" si="3018"/>
        <v>0</v>
      </c>
      <c r="AM1258" s="264">
        <f t="shared" si="3019"/>
        <v>0</v>
      </c>
      <c r="AN1258" s="640">
        <f t="shared" si="3020"/>
        <v>0</v>
      </c>
      <c r="AO1258" s="264">
        <f t="shared" si="3021"/>
        <v>0</v>
      </c>
      <c r="AP1258" s="640">
        <f t="shared" si="3022"/>
        <v>0</v>
      </c>
      <c r="AQ1258" s="264"/>
      <c r="AR1258" s="264" t="str">
        <f>VLOOKUP($I1258,TableInputsData[],ReadMe!$M$3,FALSE)&amp;"  |  "&amp;VLOOKUP($K1258,TableInputsData[],ReadMe!$M$3,FALSE)</f>
        <v>SERVICE 10  |  DEPENSES SUR ACHATS</v>
      </c>
      <c r="AS1258" s="264" t="b">
        <f t="shared" si="3023"/>
        <v>1</v>
      </c>
      <c r="AT1258" s="294"/>
    </row>
    <row r="1259" spans="1:46" ht="13" hidden="1" x14ac:dyDescent="0.2">
      <c r="A1259" s="294"/>
      <c r="B1259" s="925"/>
      <c r="C1259" s="272">
        <v>1252</v>
      </c>
      <c r="D1259" s="250">
        <f t="shared" si="2972"/>
        <v>0</v>
      </c>
      <c r="E1259" s="251"/>
      <c r="F1259" s="248" t="str">
        <f t="shared" ref="F1259:F1266" si="3032">F1235</f>
        <v>YEAR-2</v>
      </c>
      <c r="G1259" s="250">
        <f>VLOOKUP(F1259,TableInputsData[],$G$6,FALSE)</f>
        <v>2023</v>
      </c>
      <c r="H1259" s="250" t="str">
        <f t="shared" si="2973"/>
        <v>SERVICE</v>
      </c>
      <c r="I1259" s="248" t="str">
        <f t="shared" si="2973"/>
        <v>SERVICE 10</v>
      </c>
      <c r="J1259" s="248" t="str">
        <f>VLOOKUP(I1259,TableInputsData[],$J$6,FALSE)</f>
        <v>-</v>
      </c>
      <c r="K1259" s="248" t="s">
        <v>532</v>
      </c>
      <c r="L1259" s="256"/>
      <c r="M1259" s="256"/>
      <c r="N1259" s="256"/>
      <c r="O1259" s="266"/>
      <c r="P1259" s="261"/>
      <c r="Q1259" s="261"/>
      <c r="R1259" s="261"/>
      <c r="S1259" s="629"/>
      <c r="T1259" s="629"/>
      <c r="U1259" s="629"/>
      <c r="V1259" s="629"/>
      <c r="W1259" s="261"/>
      <c r="X1259" s="261"/>
      <c r="Y1259" s="261"/>
      <c r="Z1259" s="261"/>
      <c r="AA1259" s="261"/>
      <c r="AB1259" s="261"/>
      <c r="AC1259" s="266"/>
      <c r="AD1259" s="633"/>
      <c r="AE1259" s="264">
        <f>IF(AE1227=0,0,AE1251/AE1227)</f>
        <v>0</v>
      </c>
      <c r="AF1259" s="264">
        <f t="shared" ref="AF1259:AI1259" si="3033">IF(AF1227=0,0,AF1251/AF1227)</f>
        <v>0</v>
      </c>
      <c r="AG1259" s="264">
        <f t="shared" si="3033"/>
        <v>0</v>
      </c>
      <c r="AH1259" s="264">
        <f t="shared" si="3033"/>
        <v>0</v>
      </c>
      <c r="AI1259" s="264">
        <f t="shared" si="3033"/>
        <v>0</v>
      </c>
      <c r="AJ1259" s="264">
        <f>IF(AJ1227=0,0,AJ1251/AJ1227)</f>
        <v>0</v>
      </c>
      <c r="AK1259" s="264">
        <f t="shared" ref="AK1259:AL1259" si="3034">IF(AK1227=0,0,AK1251/AK1227)</f>
        <v>0</v>
      </c>
      <c r="AL1259" s="264">
        <f t="shared" si="3034"/>
        <v>0</v>
      </c>
      <c r="AM1259" s="264">
        <f>IF(AM1227=0,0,AM1251/AM1227)</f>
        <v>0</v>
      </c>
      <c r="AN1259" s="260"/>
      <c r="AO1259" s="264">
        <f t="shared" ref="AO1259" si="3035">IF(AO1227=0,0,AO1251/AO1227)</f>
        <v>0</v>
      </c>
      <c r="AP1259" s="260"/>
      <c r="AQ1259" s="264"/>
      <c r="AR1259" s="264" t="str">
        <f>VLOOKUP($I1259,TableInputsData[],ReadMe!$M$3,FALSE)&amp;"  |  "&amp;VLOOKUP($K1259,TableInputsData[],ReadMe!$M$3,FALSE)</f>
        <v>SERVICE 10  |  PRIX MOYEN D'ACHAT PAR PRODUIT/SERVICE</v>
      </c>
      <c r="AS1259" s="264"/>
      <c r="AT1259" s="294"/>
    </row>
    <row r="1260" spans="1:46" ht="13" hidden="1" x14ac:dyDescent="0.2">
      <c r="A1260" s="294"/>
      <c r="B1260" s="925"/>
      <c r="C1260" s="272">
        <v>1253</v>
      </c>
      <c r="D1260" s="250">
        <f t="shared" si="2972"/>
        <v>0</v>
      </c>
      <c r="E1260" s="251"/>
      <c r="F1260" s="248" t="str">
        <f t="shared" si="3032"/>
        <v>YEAR-1</v>
      </c>
      <c r="G1260" s="250">
        <f>VLOOKUP(F1260,TableInputsData[],$G$6,FALSE)</f>
        <v>2024</v>
      </c>
      <c r="H1260" s="250" t="str">
        <f t="shared" si="2973"/>
        <v>SERVICE</v>
      </c>
      <c r="I1260" s="248" t="str">
        <f t="shared" si="2973"/>
        <v>SERVICE 10</v>
      </c>
      <c r="J1260" s="248" t="str">
        <f>VLOOKUP(I1260,TableInputsData[],$J$6,FALSE)</f>
        <v>-</v>
      </c>
      <c r="K1260" s="248" t="str">
        <f>K1259</f>
        <v>AVERAGE COST OF GOODS SOLD PER UNIT</v>
      </c>
      <c r="L1260" s="256"/>
      <c r="M1260" s="256"/>
      <c r="N1260" s="256"/>
      <c r="O1260" s="266"/>
      <c r="P1260" s="261"/>
      <c r="Q1260" s="261"/>
      <c r="R1260" s="261"/>
      <c r="S1260" s="629"/>
      <c r="T1260" s="629"/>
      <c r="U1260" s="629"/>
      <c r="V1260" s="629"/>
      <c r="W1260" s="261"/>
      <c r="X1260" s="261"/>
      <c r="Y1260" s="261"/>
      <c r="Z1260" s="261"/>
      <c r="AA1260" s="261"/>
      <c r="AB1260" s="261"/>
      <c r="AC1260" s="266"/>
      <c r="AD1260" s="633"/>
      <c r="AE1260" s="264">
        <f t="shared" ref="AE1260:AL1260" si="3036">IF(AE1228=0,0,AE1252/AE1228)</f>
        <v>0</v>
      </c>
      <c r="AF1260" s="264">
        <f t="shared" si="3036"/>
        <v>0</v>
      </c>
      <c r="AG1260" s="264">
        <f t="shared" si="3036"/>
        <v>0</v>
      </c>
      <c r="AH1260" s="264">
        <f t="shared" si="3036"/>
        <v>0</v>
      </c>
      <c r="AI1260" s="264">
        <f t="shared" si="3036"/>
        <v>0</v>
      </c>
      <c r="AJ1260" s="264">
        <f t="shared" si="3036"/>
        <v>0</v>
      </c>
      <c r="AK1260" s="264">
        <f t="shared" si="3036"/>
        <v>0</v>
      </c>
      <c r="AL1260" s="264">
        <f t="shared" si="3036"/>
        <v>0</v>
      </c>
      <c r="AM1260" s="264">
        <f>IF(AM1228=0,0,AM1252/AM1228)</f>
        <v>0</v>
      </c>
      <c r="AN1260" s="260"/>
      <c r="AO1260" s="264">
        <f>IF(AO1228=0,0,AO1252/AO1228)</f>
        <v>0</v>
      </c>
      <c r="AP1260" s="260"/>
      <c r="AQ1260" s="264"/>
      <c r="AR1260" s="264" t="str">
        <f>VLOOKUP($I1260,TableInputsData[],ReadMe!$M$3,FALSE)&amp;"  |  "&amp;VLOOKUP($K1260,TableInputsData[],ReadMe!$M$3,FALSE)</f>
        <v>SERVICE 10  |  PRIX MOYEN D'ACHAT PAR PRODUIT/SERVICE</v>
      </c>
      <c r="AS1260" s="264"/>
      <c r="AT1260" s="294"/>
    </row>
    <row r="1261" spans="1:46" ht="13" hidden="1" x14ac:dyDescent="0.2">
      <c r="A1261" s="294"/>
      <c r="B1261" s="925"/>
      <c r="C1261" s="272">
        <v>1254</v>
      </c>
      <c r="D1261" s="250">
        <f t="shared" si="2972"/>
        <v>0</v>
      </c>
      <c r="E1261" s="251"/>
      <c r="F1261" s="248" t="str">
        <f t="shared" si="3032"/>
        <v>CURRENT YEAR</v>
      </c>
      <c r="G1261" s="250">
        <f>VLOOKUP(F1261,TableInputsData[],$G$6,FALSE)</f>
        <v>2025</v>
      </c>
      <c r="H1261" s="250" t="str">
        <f t="shared" si="2973"/>
        <v>SERVICE</v>
      </c>
      <c r="I1261" s="248" t="str">
        <f t="shared" si="2973"/>
        <v>SERVICE 10</v>
      </c>
      <c r="J1261" s="248" t="str">
        <f>VLOOKUP(I1261,TableInputsData[],$J$6,FALSE)</f>
        <v>-</v>
      </c>
      <c r="K1261" s="248" t="str">
        <f t="shared" ref="K1261:K1266" si="3037">K1260</f>
        <v>AVERAGE COST OF GOODS SOLD PER UNIT</v>
      </c>
      <c r="L1261" s="256"/>
      <c r="M1261" s="256"/>
      <c r="N1261" s="256"/>
      <c r="O1261" s="266"/>
      <c r="P1261" s="261"/>
      <c r="Q1261" s="261"/>
      <c r="R1261" s="261"/>
      <c r="S1261" s="629"/>
      <c r="T1261" s="629"/>
      <c r="U1261" s="629"/>
      <c r="V1261" s="629"/>
      <c r="W1261" s="261"/>
      <c r="X1261" s="261"/>
      <c r="Y1261" s="261"/>
      <c r="Z1261" s="261"/>
      <c r="AA1261" s="261"/>
      <c r="AB1261" s="261"/>
      <c r="AC1261" s="266"/>
      <c r="AD1261" s="633"/>
      <c r="AE1261" s="264">
        <f t="shared" ref="AE1261:AL1261" si="3038">IF(AE1229=0,0,AE1253/AE1229)</f>
        <v>0</v>
      </c>
      <c r="AF1261" s="264">
        <f t="shared" si="3038"/>
        <v>0</v>
      </c>
      <c r="AG1261" s="264">
        <f t="shared" si="3038"/>
        <v>0</v>
      </c>
      <c r="AH1261" s="264">
        <f t="shared" si="3038"/>
        <v>0</v>
      </c>
      <c r="AI1261" s="264">
        <f t="shared" si="3038"/>
        <v>0</v>
      </c>
      <c r="AJ1261" s="264">
        <f t="shared" si="3038"/>
        <v>0</v>
      </c>
      <c r="AK1261" s="264">
        <f t="shared" si="3038"/>
        <v>0</v>
      </c>
      <c r="AL1261" s="264">
        <f t="shared" si="3038"/>
        <v>0</v>
      </c>
      <c r="AM1261" s="264">
        <f>IF(AM1229=0,0,AM1253/AM1229)</f>
        <v>0</v>
      </c>
      <c r="AN1261" s="260"/>
      <c r="AO1261" s="264">
        <f>IF(AO1229=0,0,AO1253/AO1229)</f>
        <v>0</v>
      </c>
      <c r="AP1261" s="260"/>
      <c r="AQ1261" s="264"/>
      <c r="AR1261" s="264" t="str">
        <f>VLOOKUP($I1261,TableInputsData[],ReadMe!$M$3,FALSE)&amp;"  |  "&amp;VLOOKUP($K1261,TableInputsData[],ReadMe!$M$3,FALSE)</f>
        <v>SERVICE 10  |  PRIX MOYEN D'ACHAT PAR PRODUIT/SERVICE</v>
      </c>
      <c r="AS1261" s="264"/>
      <c r="AT1261" s="294"/>
    </row>
    <row r="1262" spans="1:46" ht="13" hidden="1" x14ac:dyDescent="0.2">
      <c r="A1262" s="294"/>
      <c r="B1262" s="925"/>
      <c r="C1262" s="272">
        <v>1255</v>
      </c>
      <c r="D1262" s="250">
        <f t="shared" si="2972"/>
        <v>0</v>
      </c>
      <c r="E1262" s="251"/>
      <c r="F1262" s="248" t="str">
        <f t="shared" si="3032"/>
        <v>YEAR2</v>
      </c>
      <c r="G1262" s="250">
        <f>VLOOKUP(F1262,TableInputsData[],$G$6,FALSE)</f>
        <v>2026</v>
      </c>
      <c r="H1262" s="250" t="str">
        <f t="shared" si="2973"/>
        <v>SERVICE</v>
      </c>
      <c r="I1262" s="248" t="str">
        <f t="shared" si="2973"/>
        <v>SERVICE 10</v>
      </c>
      <c r="J1262" s="248" t="str">
        <f>VLOOKUP(I1262,TableInputsData[],$J$6,FALSE)</f>
        <v>-</v>
      </c>
      <c r="K1262" s="248" t="str">
        <f t="shared" si="3037"/>
        <v>AVERAGE COST OF GOODS SOLD PER UNIT</v>
      </c>
      <c r="L1262" s="256"/>
      <c r="M1262" s="256"/>
      <c r="N1262" s="256"/>
      <c r="O1262" s="266"/>
      <c r="P1262" s="261"/>
      <c r="Q1262" s="261"/>
      <c r="R1262" s="261"/>
      <c r="S1262" s="629"/>
      <c r="T1262" s="629"/>
      <c r="U1262" s="629"/>
      <c r="V1262" s="629"/>
      <c r="W1262" s="261"/>
      <c r="X1262" s="261"/>
      <c r="Y1262" s="261"/>
      <c r="Z1262" s="261"/>
      <c r="AA1262" s="261"/>
      <c r="AB1262" s="261"/>
      <c r="AC1262" s="266"/>
      <c r="AD1262" s="633"/>
      <c r="AE1262" s="264">
        <f t="shared" ref="AE1262:AM1262" si="3039">IF(AE1230=0,0,AE1254/AE1230)</f>
        <v>0</v>
      </c>
      <c r="AF1262" s="264">
        <f t="shared" si="3039"/>
        <v>0</v>
      </c>
      <c r="AG1262" s="264">
        <f t="shared" si="3039"/>
        <v>0</v>
      </c>
      <c r="AH1262" s="264">
        <f t="shared" si="3039"/>
        <v>0</v>
      </c>
      <c r="AI1262" s="264">
        <f t="shared" si="3039"/>
        <v>0</v>
      </c>
      <c r="AJ1262" s="264">
        <f t="shared" si="3039"/>
        <v>0</v>
      </c>
      <c r="AK1262" s="264">
        <f t="shared" si="3039"/>
        <v>0</v>
      </c>
      <c r="AL1262" s="264">
        <f t="shared" si="3039"/>
        <v>0</v>
      </c>
      <c r="AM1262" s="264">
        <f t="shared" si="3039"/>
        <v>0</v>
      </c>
      <c r="AN1262" s="260"/>
      <c r="AO1262" s="264">
        <f t="shared" ref="AO1262" si="3040">IF(AO1230=0,0,AO1254/AO1230)</f>
        <v>0</v>
      </c>
      <c r="AP1262" s="260"/>
      <c r="AQ1262" s="264"/>
      <c r="AR1262" s="264" t="str">
        <f>VLOOKUP($I1262,TableInputsData[],ReadMe!$M$3,FALSE)&amp;"  |  "&amp;VLOOKUP($K1262,TableInputsData[],ReadMe!$M$3,FALSE)</f>
        <v>SERVICE 10  |  PRIX MOYEN D'ACHAT PAR PRODUIT/SERVICE</v>
      </c>
      <c r="AS1262" s="264"/>
      <c r="AT1262" s="294"/>
    </row>
    <row r="1263" spans="1:46" ht="13" hidden="1" x14ac:dyDescent="0.2">
      <c r="A1263" s="294"/>
      <c r="B1263" s="925"/>
      <c r="C1263" s="272">
        <v>1256</v>
      </c>
      <c r="D1263" s="250">
        <f t="shared" si="2972"/>
        <v>0</v>
      </c>
      <c r="E1263" s="251"/>
      <c r="F1263" s="248" t="str">
        <f t="shared" si="3032"/>
        <v>YEAR3</v>
      </c>
      <c r="G1263" s="250">
        <f>VLOOKUP(F1263,TableInputsData[],$G$6,FALSE)</f>
        <v>2027</v>
      </c>
      <c r="H1263" s="250" t="str">
        <f t="shared" si="2973"/>
        <v>SERVICE</v>
      </c>
      <c r="I1263" s="248" t="str">
        <f t="shared" si="2973"/>
        <v>SERVICE 10</v>
      </c>
      <c r="J1263" s="248" t="str">
        <f>VLOOKUP(I1263,TableInputsData[],$J$6,FALSE)</f>
        <v>-</v>
      </c>
      <c r="K1263" s="248" t="str">
        <f t="shared" si="3037"/>
        <v>AVERAGE COST OF GOODS SOLD PER UNIT</v>
      </c>
      <c r="L1263" s="256"/>
      <c r="M1263" s="256"/>
      <c r="N1263" s="256"/>
      <c r="O1263" s="266"/>
      <c r="P1263" s="261"/>
      <c r="Q1263" s="261"/>
      <c r="R1263" s="261"/>
      <c r="S1263" s="629"/>
      <c r="T1263" s="629"/>
      <c r="U1263" s="629"/>
      <c r="V1263" s="629"/>
      <c r="W1263" s="261"/>
      <c r="X1263" s="261"/>
      <c r="Y1263" s="261"/>
      <c r="Z1263" s="261"/>
      <c r="AA1263" s="261"/>
      <c r="AB1263" s="261"/>
      <c r="AC1263" s="266"/>
      <c r="AD1263" s="633"/>
      <c r="AE1263" s="264">
        <f t="shared" ref="AE1263:AM1263" si="3041">IF(AE1231=0,0,AE1255/AE1231)</f>
        <v>0</v>
      </c>
      <c r="AF1263" s="264">
        <f t="shared" si="3041"/>
        <v>0</v>
      </c>
      <c r="AG1263" s="264">
        <f t="shared" si="3041"/>
        <v>0</v>
      </c>
      <c r="AH1263" s="264">
        <f t="shared" si="3041"/>
        <v>0</v>
      </c>
      <c r="AI1263" s="264">
        <f t="shared" si="3041"/>
        <v>0</v>
      </c>
      <c r="AJ1263" s="264">
        <f t="shared" si="3041"/>
        <v>0</v>
      </c>
      <c r="AK1263" s="264">
        <f t="shared" si="3041"/>
        <v>0</v>
      </c>
      <c r="AL1263" s="264">
        <f t="shared" si="3041"/>
        <v>0</v>
      </c>
      <c r="AM1263" s="264">
        <f t="shared" si="3041"/>
        <v>0</v>
      </c>
      <c r="AN1263" s="260"/>
      <c r="AO1263" s="264">
        <f t="shared" ref="AO1263" si="3042">IF(AO1231=0,0,AO1255/AO1231)</f>
        <v>0</v>
      </c>
      <c r="AP1263" s="260"/>
      <c r="AQ1263" s="264"/>
      <c r="AR1263" s="264" t="str">
        <f>VLOOKUP($I1263,TableInputsData[],ReadMe!$M$3,FALSE)&amp;"  |  "&amp;VLOOKUP($K1263,TableInputsData[],ReadMe!$M$3,FALSE)</f>
        <v>SERVICE 10  |  PRIX MOYEN D'ACHAT PAR PRODUIT/SERVICE</v>
      </c>
      <c r="AS1263" s="264"/>
      <c r="AT1263" s="294"/>
    </row>
    <row r="1264" spans="1:46" ht="13" hidden="1" x14ac:dyDescent="0.2">
      <c r="A1264" s="294"/>
      <c r="B1264" s="925"/>
      <c r="C1264" s="272">
        <v>1257</v>
      </c>
      <c r="D1264" s="250">
        <f t="shared" si="2972"/>
        <v>0</v>
      </c>
      <c r="E1264" s="251"/>
      <c r="F1264" s="248" t="str">
        <f t="shared" si="3032"/>
        <v>YEAR4</v>
      </c>
      <c r="G1264" s="250">
        <f>VLOOKUP(F1264,TableInputsData[],$G$6,FALSE)</f>
        <v>2028</v>
      </c>
      <c r="H1264" s="250" t="str">
        <f t="shared" si="2973"/>
        <v>SERVICE</v>
      </c>
      <c r="I1264" s="248" t="str">
        <f t="shared" si="2973"/>
        <v>SERVICE 10</v>
      </c>
      <c r="J1264" s="248" t="str">
        <f>VLOOKUP(I1264,TableInputsData[],$J$6,FALSE)</f>
        <v>-</v>
      </c>
      <c r="K1264" s="248" t="str">
        <f t="shared" si="3037"/>
        <v>AVERAGE COST OF GOODS SOLD PER UNIT</v>
      </c>
      <c r="L1264" s="256"/>
      <c r="M1264" s="256"/>
      <c r="N1264" s="256"/>
      <c r="O1264" s="266"/>
      <c r="P1264" s="261"/>
      <c r="Q1264" s="261"/>
      <c r="R1264" s="261"/>
      <c r="S1264" s="629"/>
      <c r="T1264" s="629"/>
      <c r="U1264" s="629"/>
      <c r="V1264" s="629"/>
      <c r="W1264" s="261"/>
      <c r="X1264" s="261"/>
      <c r="Y1264" s="261"/>
      <c r="Z1264" s="261"/>
      <c r="AA1264" s="261"/>
      <c r="AB1264" s="261"/>
      <c r="AC1264" s="266"/>
      <c r="AD1264" s="633"/>
      <c r="AE1264" s="264">
        <f t="shared" ref="AE1264:AM1264" si="3043">IF(AE1232=0,0,AE1256/AE1232)</f>
        <v>0</v>
      </c>
      <c r="AF1264" s="264">
        <f t="shared" si="3043"/>
        <v>0</v>
      </c>
      <c r="AG1264" s="264">
        <f t="shared" si="3043"/>
        <v>0</v>
      </c>
      <c r="AH1264" s="264">
        <f t="shared" si="3043"/>
        <v>0</v>
      </c>
      <c r="AI1264" s="264">
        <f t="shared" si="3043"/>
        <v>0</v>
      </c>
      <c r="AJ1264" s="264">
        <f t="shared" si="3043"/>
        <v>0</v>
      </c>
      <c r="AK1264" s="264">
        <f t="shared" si="3043"/>
        <v>0</v>
      </c>
      <c r="AL1264" s="264">
        <f t="shared" si="3043"/>
        <v>0</v>
      </c>
      <c r="AM1264" s="264">
        <f t="shared" si="3043"/>
        <v>0</v>
      </c>
      <c r="AN1264" s="260"/>
      <c r="AO1264" s="264">
        <f t="shared" ref="AO1264" si="3044">IF(AO1232=0,0,AO1256/AO1232)</f>
        <v>0</v>
      </c>
      <c r="AP1264" s="260"/>
      <c r="AQ1264" s="264"/>
      <c r="AR1264" s="264" t="str">
        <f>VLOOKUP($I1264,TableInputsData[],ReadMe!$M$3,FALSE)&amp;"  |  "&amp;VLOOKUP($K1264,TableInputsData[],ReadMe!$M$3,FALSE)</f>
        <v>SERVICE 10  |  PRIX MOYEN D'ACHAT PAR PRODUIT/SERVICE</v>
      </c>
      <c r="AS1264" s="264"/>
      <c r="AT1264" s="294"/>
    </row>
    <row r="1265" spans="1:46" ht="13" hidden="1" x14ac:dyDescent="0.2">
      <c r="A1265" s="294"/>
      <c r="B1265" s="925"/>
      <c r="C1265" s="272">
        <v>1258</v>
      </c>
      <c r="D1265" s="250">
        <f t="shared" si="2972"/>
        <v>0</v>
      </c>
      <c r="E1265" s="251"/>
      <c r="F1265" s="248" t="str">
        <f t="shared" si="3032"/>
        <v>YEAR5</v>
      </c>
      <c r="G1265" s="250">
        <f>VLOOKUP(F1265,TableInputsData[],$G$6,FALSE)</f>
        <v>2029</v>
      </c>
      <c r="H1265" s="250" t="str">
        <f t="shared" si="2973"/>
        <v>SERVICE</v>
      </c>
      <c r="I1265" s="248" t="str">
        <f t="shared" si="2973"/>
        <v>SERVICE 10</v>
      </c>
      <c r="J1265" s="248" t="str">
        <f>VLOOKUP(I1265,TableInputsData[],$J$6,FALSE)</f>
        <v>-</v>
      </c>
      <c r="K1265" s="248" t="str">
        <f t="shared" si="3037"/>
        <v>AVERAGE COST OF GOODS SOLD PER UNIT</v>
      </c>
      <c r="L1265" s="256"/>
      <c r="M1265" s="256"/>
      <c r="N1265" s="256"/>
      <c r="O1265" s="266"/>
      <c r="P1265" s="261"/>
      <c r="Q1265" s="261"/>
      <c r="R1265" s="261"/>
      <c r="S1265" s="629"/>
      <c r="T1265" s="629"/>
      <c r="U1265" s="629"/>
      <c r="V1265" s="629"/>
      <c r="W1265" s="261"/>
      <c r="X1265" s="261"/>
      <c r="Y1265" s="261"/>
      <c r="Z1265" s="261"/>
      <c r="AA1265" s="261"/>
      <c r="AB1265" s="261"/>
      <c r="AC1265" s="266"/>
      <c r="AD1265" s="633"/>
      <c r="AE1265" s="264">
        <f t="shared" ref="AE1265:AM1265" si="3045">IF(AE1233=0,0,AE1257/AE1233)</f>
        <v>0</v>
      </c>
      <c r="AF1265" s="264">
        <f t="shared" si="3045"/>
        <v>0</v>
      </c>
      <c r="AG1265" s="264">
        <f t="shared" si="3045"/>
        <v>0</v>
      </c>
      <c r="AH1265" s="264">
        <f t="shared" si="3045"/>
        <v>0</v>
      </c>
      <c r="AI1265" s="264">
        <f t="shared" si="3045"/>
        <v>0</v>
      </c>
      <c r="AJ1265" s="264">
        <f t="shared" si="3045"/>
        <v>0</v>
      </c>
      <c r="AK1265" s="264">
        <f t="shared" si="3045"/>
        <v>0</v>
      </c>
      <c r="AL1265" s="264">
        <f t="shared" si="3045"/>
        <v>0</v>
      </c>
      <c r="AM1265" s="264">
        <f t="shared" si="3045"/>
        <v>0</v>
      </c>
      <c r="AN1265" s="260"/>
      <c r="AO1265" s="264">
        <f t="shared" ref="AO1265" si="3046">IF(AO1233=0,0,AO1257/AO1233)</f>
        <v>0</v>
      </c>
      <c r="AP1265" s="260"/>
      <c r="AQ1265" s="264"/>
      <c r="AR1265" s="264" t="str">
        <f>VLOOKUP($I1265,TableInputsData[],ReadMe!$M$3,FALSE)&amp;"  |  "&amp;VLOOKUP($K1265,TableInputsData[],ReadMe!$M$3,FALSE)</f>
        <v>SERVICE 10  |  PRIX MOYEN D'ACHAT PAR PRODUIT/SERVICE</v>
      </c>
      <c r="AS1265" s="264"/>
      <c r="AT1265" s="294"/>
    </row>
    <row r="1266" spans="1:46" ht="13" hidden="1" x14ac:dyDescent="0.2">
      <c r="A1266" s="294"/>
      <c r="B1266" s="925"/>
      <c r="C1266" s="272">
        <v>1259</v>
      </c>
      <c r="D1266" s="250">
        <f t="shared" si="2972"/>
        <v>0</v>
      </c>
      <c r="E1266" s="251"/>
      <c r="F1266" s="248" t="str">
        <f t="shared" si="3032"/>
        <v>YEAR6</v>
      </c>
      <c r="G1266" s="250">
        <f>VLOOKUP(F1266,TableInputsData[],$G$6,FALSE)</f>
        <v>2030</v>
      </c>
      <c r="H1266" s="250" t="str">
        <f t="shared" si="2973"/>
        <v>SERVICE</v>
      </c>
      <c r="I1266" s="248" t="str">
        <f t="shared" si="2973"/>
        <v>SERVICE 10</v>
      </c>
      <c r="J1266" s="248" t="str">
        <f>VLOOKUP(I1266,TableInputsData[],$J$6,FALSE)</f>
        <v>-</v>
      </c>
      <c r="K1266" s="248" t="str">
        <f t="shared" si="3037"/>
        <v>AVERAGE COST OF GOODS SOLD PER UNIT</v>
      </c>
      <c r="L1266" s="256"/>
      <c r="M1266" s="256"/>
      <c r="N1266" s="256"/>
      <c r="O1266" s="266"/>
      <c r="P1266" s="261"/>
      <c r="Q1266" s="261"/>
      <c r="R1266" s="261"/>
      <c r="S1266" s="629"/>
      <c r="T1266" s="629"/>
      <c r="U1266" s="629"/>
      <c r="V1266" s="629"/>
      <c r="W1266" s="261"/>
      <c r="X1266" s="261"/>
      <c r="Y1266" s="261"/>
      <c r="Z1266" s="261"/>
      <c r="AA1266" s="261"/>
      <c r="AB1266" s="261"/>
      <c r="AC1266" s="266"/>
      <c r="AD1266" s="633"/>
      <c r="AE1266" s="264">
        <f t="shared" ref="AE1266:AM1266" si="3047">IF(AE1234=0,0,AE1258/AE1234)</f>
        <v>0</v>
      </c>
      <c r="AF1266" s="264">
        <f t="shared" si="3047"/>
        <v>0</v>
      </c>
      <c r="AG1266" s="264">
        <f t="shared" si="3047"/>
        <v>0</v>
      </c>
      <c r="AH1266" s="264">
        <f t="shared" si="3047"/>
        <v>0</v>
      </c>
      <c r="AI1266" s="264">
        <f t="shared" si="3047"/>
        <v>0</v>
      </c>
      <c r="AJ1266" s="264">
        <f t="shared" si="3047"/>
        <v>0</v>
      </c>
      <c r="AK1266" s="264">
        <f t="shared" si="3047"/>
        <v>0</v>
      </c>
      <c r="AL1266" s="264">
        <f t="shared" si="3047"/>
        <v>0</v>
      </c>
      <c r="AM1266" s="264">
        <f t="shared" si="3047"/>
        <v>0</v>
      </c>
      <c r="AN1266" s="260"/>
      <c r="AO1266" s="264">
        <f t="shared" ref="AO1266" si="3048">IF(AO1234=0,0,AO1258/AO1234)</f>
        <v>0</v>
      </c>
      <c r="AP1266" s="260"/>
      <c r="AQ1266" s="264"/>
      <c r="AR1266" s="264" t="str">
        <f>VLOOKUP($I1266,TableInputsData[],ReadMe!$M$3,FALSE)&amp;"  |  "&amp;VLOOKUP($K1266,TableInputsData[],ReadMe!$M$3,FALSE)</f>
        <v>SERVICE 10  |  PRIX MOYEN D'ACHAT PAR PRODUIT/SERVICE</v>
      </c>
      <c r="AS1266" s="264"/>
      <c r="AT1266" s="294"/>
    </row>
    <row r="1267" spans="1:46" ht="13" x14ac:dyDescent="0.2">
      <c r="A1267" s="294"/>
      <c r="B1267" s="925"/>
      <c r="C1267" s="273">
        <v>1260</v>
      </c>
      <c r="D1267" s="253">
        <v>0</v>
      </c>
      <c r="E1267" s="253">
        <v>1</v>
      </c>
      <c r="F1267" s="252"/>
      <c r="G1267" s="253"/>
      <c r="H1267" s="253"/>
      <c r="I1267" s="252"/>
      <c r="J1267" s="252"/>
      <c r="K1267" s="252"/>
      <c r="L1267" s="257"/>
      <c r="M1267" s="257"/>
      <c r="N1267" s="257"/>
      <c r="O1267" s="267"/>
      <c r="P1267" s="262"/>
      <c r="Q1267" s="262"/>
      <c r="R1267" s="262"/>
      <c r="S1267" s="631"/>
      <c r="T1267" s="631"/>
      <c r="U1267" s="631"/>
      <c r="V1267" s="631"/>
      <c r="W1267" s="262"/>
      <c r="X1267" s="262"/>
      <c r="Y1267" s="262"/>
      <c r="Z1267" s="262"/>
      <c r="AA1267" s="262"/>
      <c r="AB1267" s="262"/>
      <c r="AC1267" s="267"/>
      <c r="AD1267" s="635"/>
      <c r="AE1267" s="270"/>
      <c r="AF1267" s="270"/>
      <c r="AG1267" s="270"/>
      <c r="AH1267" s="270"/>
      <c r="AI1267" s="270"/>
      <c r="AJ1267" s="270"/>
      <c r="AK1267" s="270"/>
      <c r="AL1267" s="270"/>
      <c r="AM1267" s="270"/>
      <c r="AN1267" s="643"/>
      <c r="AO1267" s="270"/>
      <c r="AP1267" s="270"/>
      <c r="AQ1267" s="270"/>
      <c r="AR1267" s="270"/>
      <c r="AS1267" s="270"/>
      <c r="AT1267" s="294"/>
    </row>
    <row r="1268" spans="1:46" hidden="1" x14ac:dyDescent="0.2">
      <c r="A1268" s="294"/>
      <c r="B1268" s="771"/>
      <c r="C1268" s="272">
        <v>1261</v>
      </c>
      <c r="D1268" s="251">
        <v>0</v>
      </c>
      <c r="E1268" s="251"/>
      <c r="F1268" s="249"/>
      <c r="G1268" s="251"/>
      <c r="H1268" s="251"/>
      <c r="I1268" s="249"/>
      <c r="J1268" s="249"/>
      <c r="K1268" s="249"/>
      <c r="L1268" s="258"/>
      <c r="M1268" s="258"/>
      <c r="N1268" s="258"/>
      <c r="O1268" s="268"/>
      <c r="P1268" s="263"/>
      <c r="Q1268" s="263"/>
      <c r="R1268" s="263"/>
      <c r="S1268" s="632"/>
      <c r="T1268" s="632"/>
      <c r="U1268" s="632"/>
      <c r="V1268" s="632"/>
      <c r="W1268" s="263"/>
      <c r="X1268" s="263"/>
      <c r="Y1268" s="263"/>
      <c r="Z1268" s="263"/>
      <c r="AA1268" s="263"/>
      <c r="AB1268" s="263"/>
      <c r="AC1268" s="268"/>
      <c r="AD1268" s="636"/>
      <c r="AE1268" s="268"/>
      <c r="AF1268" s="268"/>
      <c r="AG1268" s="268"/>
      <c r="AH1268" s="268"/>
      <c r="AI1268" s="268"/>
      <c r="AJ1268" s="268"/>
      <c r="AK1268" s="268"/>
      <c r="AL1268" s="268"/>
      <c r="AM1268" s="268"/>
      <c r="AN1268" s="263"/>
      <c r="AO1268" s="268"/>
      <c r="AP1268" s="268"/>
      <c r="AQ1268" s="268"/>
      <c r="AR1268" s="268"/>
      <c r="AS1268" s="268"/>
      <c r="AT1268" s="294"/>
    </row>
    <row r="1269" spans="1:46" x14ac:dyDescent="0.2">
      <c r="A1269" s="294"/>
      <c r="B1269" s="771"/>
      <c r="C1269" s="294"/>
      <c r="D1269" s="294"/>
      <c r="E1269" s="309"/>
      <c r="F1269" s="294"/>
      <c r="G1269" s="294"/>
      <c r="H1269" s="294"/>
      <c r="I1269" s="294"/>
      <c r="J1269" s="294"/>
      <c r="K1269" s="294"/>
      <c r="L1269" s="294"/>
      <c r="M1269" s="294"/>
      <c r="N1269" s="294"/>
      <c r="O1269" s="294"/>
      <c r="P1269" s="294"/>
      <c r="Q1269" s="294"/>
      <c r="R1269" s="294"/>
      <c r="S1269" s="304"/>
      <c r="T1269" s="304"/>
      <c r="U1269" s="304"/>
      <c r="V1269" s="304"/>
      <c r="W1269" s="637"/>
      <c r="X1269" s="637"/>
      <c r="Y1269" s="637"/>
      <c r="Z1269" s="637"/>
      <c r="AA1269" s="637"/>
      <c r="AB1269" s="637"/>
      <c r="AC1269" s="304"/>
      <c r="AD1269" s="304"/>
      <c r="AE1269" s="294"/>
      <c r="AF1269" s="294"/>
      <c r="AG1269" s="294"/>
      <c r="AH1269" s="294"/>
      <c r="AI1269" s="294"/>
      <c r="AJ1269" s="294"/>
      <c r="AK1269" s="294"/>
      <c r="AL1269" s="294"/>
      <c r="AM1269" s="294"/>
      <c r="AN1269" s="637"/>
      <c r="AO1269" s="294"/>
      <c r="AP1269" s="294"/>
      <c r="AQ1269" s="294"/>
      <c r="AR1269" s="294"/>
      <c r="AS1269" s="294"/>
      <c r="AT1269" s="294"/>
    </row>
  </sheetData>
  <sheetProtection algorithmName="SHA-512" hashValue="65XmulMSbgFbNq3bUyHuU9s4P/p6z5EVvByjncLeFpGl2uGUpGuccTAvev9x7c1dAp0x8IhPhmUykzOWKQ3T2g==" saltValue="gGocrgCL70XiHyrBwibRLQ==" spinCount="100000" sheet="1" objects="1" scenarios="1" formatColumns="0" autoFilter="0"/>
  <mergeCells count="66">
    <mergeCell ref="AN1:AN4"/>
    <mergeCell ref="AO1:AO4"/>
    <mergeCell ref="AP1:AP4"/>
    <mergeCell ref="AQ1:AQ4"/>
    <mergeCell ref="AR1:AR4"/>
    <mergeCell ref="AI1:AI4"/>
    <mergeCell ref="AJ1:AJ4"/>
    <mergeCell ref="AK1:AK4"/>
    <mergeCell ref="AL1:AL4"/>
    <mergeCell ref="AM1:AM4"/>
    <mergeCell ref="AS1:AS2"/>
    <mergeCell ref="L1:L4"/>
    <mergeCell ref="M1:M4"/>
    <mergeCell ref="N1:N4"/>
    <mergeCell ref="O1:O4"/>
    <mergeCell ref="P1:P4"/>
    <mergeCell ref="Q1:Q4"/>
    <mergeCell ref="R1:R4"/>
    <mergeCell ref="S1:S4"/>
    <mergeCell ref="T1:T4"/>
    <mergeCell ref="U1:U4"/>
    <mergeCell ref="V1:V4"/>
    <mergeCell ref="W1:W4"/>
    <mergeCell ref="X1:X4"/>
    <mergeCell ref="Y1:Y4"/>
    <mergeCell ref="Z1:Z4"/>
    <mergeCell ref="B1184:B1225"/>
    <mergeCell ref="B1226:B1267"/>
    <mergeCell ref="B1:B7"/>
    <mergeCell ref="B932:B973"/>
    <mergeCell ref="B974:B1015"/>
    <mergeCell ref="B1016:B1057"/>
    <mergeCell ref="B1058:B1099"/>
    <mergeCell ref="B1100:B1141"/>
    <mergeCell ref="B1142:B1183"/>
    <mergeCell ref="B260:B301"/>
    <mergeCell ref="B302:B343"/>
    <mergeCell ref="B344:B385"/>
    <mergeCell ref="B386:B427"/>
    <mergeCell ref="B848:B889"/>
    <mergeCell ref="B890:B931"/>
    <mergeCell ref="B8:B49"/>
    <mergeCell ref="AE1:AE4"/>
    <mergeCell ref="AF1:AF4"/>
    <mergeCell ref="AG1:AG4"/>
    <mergeCell ref="AH1:AH4"/>
    <mergeCell ref="B428:B469"/>
    <mergeCell ref="B176:B217"/>
    <mergeCell ref="B218:B259"/>
    <mergeCell ref="B134:B175"/>
    <mergeCell ref="AC1:AC4"/>
    <mergeCell ref="AD1:AD4"/>
    <mergeCell ref="B50:B91"/>
    <mergeCell ref="B92:B133"/>
    <mergeCell ref="J1:J2"/>
    <mergeCell ref="AA1:AA4"/>
    <mergeCell ref="AB1:AB4"/>
    <mergeCell ref="B680:B721"/>
    <mergeCell ref="B722:B763"/>
    <mergeCell ref="B764:B805"/>
    <mergeCell ref="B806:B847"/>
    <mergeCell ref="B470:B511"/>
    <mergeCell ref="B512:B553"/>
    <mergeCell ref="B554:B595"/>
    <mergeCell ref="B596:B637"/>
    <mergeCell ref="B638:B679"/>
  </mergeCells>
  <phoneticPr fontId="16" type="noConversion"/>
  <conditionalFormatting sqref="J1">
    <cfRule type="cellIs" dxfId="1556" priority="6" operator="equal">
      <formula>FALSE</formula>
    </cfRule>
    <cfRule type="cellIs" dxfId="1555" priority="7" operator="equal">
      <formula>TRUE</formula>
    </cfRule>
  </conditionalFormatting>
  <conditionalFormatting sqref="AS7:AS1268">
    <cfRule type="containsBlanks" priority="3" stopIfTrue="1">
      <formula>LEN(TRIM(AS7))=0</formula>
    </cfRule>
    <cfRule type="cellIs" dxfId="1554" priority="4" operator="equal">
      <formula>TRUE</formula>
    </cfRule>
    <cfRule type="cellIs" dxfId="1553" priority="5" operator="equal">
      <formula>FALSE</formula>
    </cfRule>
  </conditionalFormatting>
  <conditionalFormatting sqref="AS1">
    <cfRule type="cellIs" dxfId="1552" priority="1" operator="equal">
      <formula>FALSE</formula>
    </cfRule>
    <cfRule type="cellIs" dxfId="1551" priority="2" operator="equal">
      <formula>TRUE</formula>
    </cfRule>
  </conditionalFormatting>
  <hyperlinks>
    <hyperlink ref="B1" location="Instructions!B3" display="Instructions" xr:uid="{8ABEF092-5581-4B79-8226-E8C37CD3F0A0}"/>
    <hyperlink ref="B1:B7" location="Instructions!J9" display="Instructions!J9" xr:uid="{6EAB6BE4-7959-4BAB-994F-679E591A0615}"/>
  </hyperlinks>
  <printOptions horizontalCentered="1"/>
  <pageMargins left="0.19685039370078741" right="0.19685039370078741" top="0.39370078740157483" bottom="0.19685039370078741" header="0.19685039370078741" footer="0.19685039370078741"/>
  <pageSetup paperSize="9" scale="32" fitToHeight="7" orientation="landscape" r:id="rId1"/>
  <headerFooter>
    <oddFooter>&amp;L&amp;F - &amp;A&amp;R| &amp;D | &amp;P/&amp;N</oddFooter>
  </headerFooter>
  <rowBreaks count="6" manualBreakCount="6">
    <brk id="133" min="2" max="35" man="1"/>
    <brk id="259" min="2" max="35" man="1"/>
    <brk id="385" min="2" max="35" man="1"/>
    <brk id="931" min="2" max="35" man="1"/>
    <brk id="1057" min="2" max="35" man="1"/>
    <brk id="1183" min="2" max="35" man="1"/>
  </rowBreaks>
  <ignoredErrors>
    <ignoredError sqref="R9:R16 O51:O58 R51:R58 O93:O100 R93:R100 O135:O142 R135:R142 O177:O184 R177:R184 K92:N92 K134:N134 K176:N176 K218:N218 K260:N260 K302:N302 K344:N344 K386:N386 I388:I427 I346:I386 I304:I344 I262:I302 I220:I260 I178:I218 I136:I176 I94:I134 I52:I92 I10:J50 J51:J354 J356:J427 J9 L219:L226 L261:L268 L303:L310 L345:L352 L387:L394 O219:O226 O261:O268 O303:O310 O345:O352 O387:O394 L60:R68 L102:R110 L144:R153 L395:Q426 L353:Q384 K385:Q385 L311:Q342 K343:Q343 L269:Q300 K301:Q301 L227:Q258 K259:Q259 K217:U217 L154:U174 K175:U175 L111:U132 L59:U59 K133:U133 L69:U90 K91:U91 L185:U216 L143:U143 L101:U101 P386:Q386 P344:Q344 P302:Q302 P260:Q260 P218:U218 P176:U176 P134:U134 P92:U92 AJ26:AM57 AF26:AH28 AE18:AH24 AE29:AH32 AF25:AH25 AI10:AJ10 AE13:AH16 AE33:AH50 AI9:AJ9 AI11:AM12 AE25:AE28 AD18:AD58 AD9:AD16 AD59:AH92 AD17:AH17 AK9:AM10 AO9:AO50 AO91:AO92 AO133:AO134 AO175:AO176 AO217:AO218 AO259:AO260 AO301:AO302 AO343:AO344 AO385:AO386 AC10:AC394 S227:AB260 S269:AB302 S311:AB344 S353:AB386 V17:AB50 V9 V143:V218 V387:V394 V345:V352 V303:V310 V261:V268 V219:V226 W143:AB176 W185:AB218 S395:AH426 R219:R426 AQ10:AR50 D8:D427 AQ395:AR427 AO427 K427:AH427 G9:G427 D848:D1268 AQ848:AR848 R848:R1267 V848:AH848 V891:V898 V933:V940 V975:V982 V1017:V1024 V1059:V1066 V1101:V1108 V1143:V1150 V1185:V1192 V1227:V1234 S1235:AH1267 S1193:AB1226 S1151:AB1184 S1109:AB1142 S1067:AB1100 S1025:AB1058 S983:AB1016 S941:AB974 S899:AB932 S857:AB890 AO1267:AO1268 AO1225:AO1226 AO1183:AO1184 AO1141:AO1142 AO1099:AO1100 AO1057:AO1058 AO1015:AO1016 AO973:AO974 AO931:AO932 AO889:AO890 AO848 AC857:AH1234 AC1268:AM1268 I1268:V1268 P890:Q890 P932:Q932 P974:Q974 P1016:Q1016 P1058:Q1058 P1100:Q1100 P1142:Q1142 P1184:Q1184 P1226:Q1226 L857:Q888 L899:Q930 L941:Q972 L983:Q1014 K889:Q889 K931:Q931 K973:Q973 K1015:Q1015 K1057:Q1057 L1025:Q1056 K1099:Q1099 L1067:Q1098 K1141:Q1141 L1109:Q1140 K1183:Q1183 L1151:Q1182 K1225:Q1225 L1193:Q1224 K1267:Q1267 L1235:Q1266 O1227:O1234 O1185:O1192 O1143:O1150 O1101:O1108 O1059:O1066 O1017:O1024 L1185:L1192 L1143:L1150 L1101:L1108 L1059:L1066 L1017:L1024 L1232:L1234 G848:G1268 J933:J1226 J849:J931 I848:J848 I932:N932 I850:I890 I892:I931 I934:I974 I976:I1016 I1018:I1058 I1060:I1100 I1102:I1142 I1144:I1184 I1186:I1226 I1227:J1267 K1226:N1226 K1184:N1184 K1142:N1142 K1100:N1100 K1058:N1058 K1016:N1016 K974:N974 K890:N890 L1227:L1228 AS1268 O849:O856 O891:O898 O933:O940 O975:O982 D428:AH428 E983:F1015 E975:F975 P975:Q982 E941:F973 E933:F933 P933:Q940 E932:F932 E891:F891 P891:Q898 E857:F889 E849:F849 P849:Q856 E1268:F1268 E1229:F1267 E1227:F1228 M1227:N1228 E890:F890 O890 E974:F974 O974 E1017:F1017 E1016:F1016 O1016 E1059:F1059 E1058:F1058 O1058 E1101:F1101 E1100:F1100 O1100 E1143:F1143 E1142:F1142 O1142 E1185:F1185 E1184:F1184 O1184 E1226:F1226 O1226 K1229:N1231 K1227:K1228 E1186:F1225 E1144:F1183 E1102:F1141 E1060:F1099 E1018:F1057 K983:K1014 E976:F982 K976:N982 K941:K972 E934:F940 K934:N940 E899:F931 K899:K930 E892:F898 K892:N898 K857:K888 E850:F856 K850:N856 O932 E848:F848 K848:Q848 K891:N891 K849:N849 K975:N975 K933:N933 K1017 K1059 K1101 K1143 K1185 H983:H1015 H975:I975 H941:H973 H933:I933 H932 H891:I891 H857:H889 H849:I849 H1268 H1229:H1267 H1227:H1228 H890 H974 H1017:I1017 H1016 H1059:I1059 H1058 H1101:I1101 H1100 H1143:I1143 H1142 H1185:I1185 H1184 H1226 H1186:H1225 H1144:H1183 H1102:H1141 H1060:H1099 H1018:H1057 H976:H982 H934:H940 H899:H931 H892:H898 H850:H856 H848 K1232:K1234 M1232:N1234 K1018:K1024 M1018:N1024 M1017:N1017 K1060:K1066 M1060:N1066 M1059:N1059 K1102:K1108 M1102:N1108 M1101:N1101 K1144:K1150 M1144:N1150 M1143:N1143 K1186:K1192 M1186:N1192 M1185:N1185 P1018:Q1024 P1017:Q1017 P1060:Q1066 P1059:Q1059 P1102:Q1108 P1101:Q1101 P1144:Q1150 P1143:Q1143 P1186:Q1192 P1185:Q1185 P1227:Q1228 P1229:Q1231 P1232:Q1234 K1235:K1266 K1193:K1224 K1151:K1182 K1109:K1140 K1067:K1098 K1025:K1056 W1268:AB1268 AN1268 AN975:AP982 AN933:AP940 AN891:AP898 AN1225 AN1183 AN1141 AN1099 AN1057 AN1018:AP1024 AN1017:AP1017 AN1060:AP1066 AN1059:AP1059 AN1102:AP1108 AN1101:AP1101 AN1144:AP1150 AN1143:AP1143 AN1186:AP1192 AN1185:AP1185 AN1227:AP1228 AN1229:AP1231 AN1232:AP1234 AN1193:AP1224 AN1151:AP1182 AN1109:AP1140 AN1067:AP1098 AN1025:AP1056 AN1015 AN973 AN931 AN889 AN983:AP1014 AN941:AP972 AN899:AP930 AN857:AP888 AN1226 AN1184 AN1142 AN1100 AN1058 AN1016 AN974 AN932 AN890 AP848 AP889 AP890 AP931 AP932 AP973 AP974 AP1015 AP1016 AP1057 AP1058 AP1099 AP1100 AP1141 AP1142 AP1183 AP1184 AP1225 AP1226 AP1267 AP1268:AR1268 AN1267 AN1235:AP1266 AN849:AP856 AN848 S975:U982 S933:U940 S891:U898 S849:U856 S848:U848 S1018:U1024 S1017:U1017 S1060:U1066 S1059:U1059 S1102:U1108 S1101:U1101 S1144:U1150 S1143:U1143 S1186:U1192 S1185:U1185 S1227:U1228 S1229:U1231 S1232:U1234 V854:V856 V849 AJ849:AM849 V850:V852 AJ850:AM852 V853 AJ853:AM853 AJ854:AM856 AJ58:AL58 Z9 V10:V16 V59:AB92 V51:V58 V101:AB134 V93:V100 V135:V142 AC9 D437:AH470 D429:V436 AC430:AH436 D479:AH512 D471:V478 AC472:AH478 D521:AH554 D513:V520 AC514:AH520 D563:AH596 D555:V562 AC556:AH562 D605:AH638 D597:V604 AC598:AH604 D647:AH680 D639:V646 AC640:AH646 D689:AH722 D681:V688 AC682:AH688 D731:AH764 D723:V730 AC724:AH730 D773:AH806 D765:V772 AC766:AH772 D815:AH847 D807:V814 AC808:AH814 AC854:AH856 AC849:AD849 AC850:AD852 AC853:AH853 AQ857:AR890 AQ850:AR856 AQ899:AR932 AQ892:AR898 AQ941:AR974 AQ934:AR940 AQ983:AR1016 AQ976:AR982 AQ1025:AR1058 AQ1018:AR1024 AQ1067:AR1100 AQ1060:AR1066 AQ1109:AR1142 AQ1102:AR1108 AQ1151:AR1184 AQ1144:AR1150 AQ1193:AR1226 AQ1186:AR1192 AQ1235:AS1267 AQ1228:AR1234 AS17:AS50 AS59:AS92 AS101:AS134 AS395:AS427 AS848 AS428 AS437:AS470 AS479:AS512 AS521:AS554 AS563:AS596 AS605:AS638 AS647:AS680 AS689:AS722 AS731:AS764 AS773:AS806 AS815:AS847 AS185:AS218 AS143:AS176 AS227:AS260 AS269:AS302 AS311:AS344 AS353:AS386 AS857:AS890 AS899:AS932 AS941:AS974 AS983:AS1016 AS1025:AS1058 AS1067:AS1100 AS1109:AS1142 AS1151:AS1184 AS1193:AS1226 AS9:AS16 AS1227:AS1234 AS1185:AS1192 AS1143:AS1150 AS1101:AS1108 AS1059:AS1066 AS1017:AS1024 AS975:AS982 AS933:AS940 AS891:AS898 AS387:AS394 AS345:AS352 AS303:AS310 AS261:AS268 AS177:AS184 AS219:AS226 AS849:AS856 AS807:AS814 AS765:AS772 AS723:AS730 AS681:AS688 AS639:AS646 AS597:AS604 AS555:AS562 AS513:AS520 AS471:AS478 AS429:AS436 AS135:AS142 AS93:AS100 AS51:AS58 AR9 AQ52:AR92 AR51 AQ94:AR134 AR93 AQ136:AR176 AR135 AQ178:AR218 AR177 AQ220:AR260 AR219 AQ262:AR302 AR261 AQ304:AR344 AR303 AQ346:AR386 AR345 AQ388:AR394 AR387 AC429:AH429 AR429 AC471:AH471 AR471 AC513:AH513 AR513 AC555:AH555 AR555 AC597:AH597 AR597 AC639:AH639 AR639 AC681:AH681 AR681 AC723:AH723 AR723 AC765:AH765 AR765 AC807:AH807 AR807 AR849 AR891 AR933 AR975 AR1017 AR1059 AR1101 AR1143 AR1185 AR1227 AJ14:AM16 AJ13:AM13 AE56:AH58 AE55:AH55 AD101:AH134 AD97:AH100 AJ97:AM100 AD143:AH394 AD139:AH142 AJ139:AM142 AD94:AD96 AD93 AJ93:AM93 AJ94:AM96 AD136:AD138 AD135 AJ135:AM135 AJ136:AM138 AJ18:AM24 AJ25:AM25 AJ59:AM92 AJ17:AM17 AJ101:AM134 AJ395:AM426 AJ427:AM427 AJ848:AM848 AJ1235:AM1267 AJ857:AM1234 AJ428:AR428 AJ437:AR470 AJ430:AR436 AJ479:AR512 AJ472:AR478 AJ521:AR554 AJ514:AR520 AJ563:AR596 AJ556:AR562 AJ605:AR638 AJ598:AR604 AJ647:AR680 AJ640:AR646 AJ689:AR722 AJ682:AR688 AJ731:AR764 AJ724:AR730 AJ773:AR806 AJ766:AR772 AJ815:AR847 AJ808:AR814 AJ429:AP429 AJ471:AP471 AJ513:AP513 AJ555:AP555 AJ597:AP597 AJ639:AP639 AJ681:AP681 AJ723:AP723 AJ765:AP765 AJ807:AP807 AJ143:AM394 AI26:AI32 AI18:AI24 AI25 AI33:AI50 AI59:AI92 AI17 AI101:AI134 AI52:AI54 AI51 AI93 AI94:AI96 AI135 AI136:AI138 AI143:AI394 AI807 AI765 AI723 AI681 AI639 AI597 AI555 AI513 AI471 AI429 AI808:AI814 AI815:AI847 AI766:AI772 AI773:AI806 AI724:AI730 AI731:AI764 AI682:AI688 AI689:AI722 AI640:AI646 AI647:AI680 AI598:AI604 AI605:AI638 AI556:AI562 AI563:AI596 AI514:AI520 AI521:AI554 AI472:AI478 AI479:AI512 AI430:AI436 AI437:AI470 AI850:AI852 AI849 AI428 AI857:AI1234 AI1235:AI1267 AI848 AI427 AI395:AI426 AI853:AI856 AI139:AI142 AI97:AI100 AI55:AI58" calculatedColumn="1"/>
    <ignoredError sqref="AI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locked="0" defaultSize="0" print="0" autoFill="0" autoPict="0" macro="[0]!RefreshAllPivotTables">
                <anchor moveWithCells="1" sizeWithCells="1">
                  <from>
                    <xdr:col>6</xdr:col>
                    <xdr:colOff>63500</xdr:colOff>
                    <xdr:row>0</xdr:row>
                    <xdr:rowOff>50800</xdr:rowOff>
                  </from>
                  <to>
                    <xdr:col>8</xdr:col>
                    <xdr:colOff>863600</xdr:colOff>
                    <xdr:row>1</xdr:row>
                    <xdr:rowOff>203200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F2B8D-51D2-4DB2-BC0E-227ABFF657B8}">
  <sheetPr codeName="Sheet4">
    <tabColor rgb="FF92D050"/>
  </sheetPr>
  <dimension ref="A1:CT999"/>
  <sheetViews>
    <sheetView zoomScale="80" zoomScaleNormal="80" workbookViewId="0">
      <pane xSplit="2" ySplit="14" topLeftCell="C15" activePane="bottomRight" state="frozen"/>
      <selection pane="topRight" activeCell="C1" sqref="C1"/>
      <selection pane="bottomLeft" activeCell="A12" sqref="A12"/>
      <selection pane="bottomRight" activeCell="D14" sqref="D14"/>
    </sheetView>
  </sheetViews>
  <sheetFormatPr baseColWidth="10" defaultColWidth="0" defaultRowHeight="13" zeroHeight="1" outlineLevelRow="1" outlineLevelCol="1" x14ac:dyDescent="0.2"/>
  <cols>
    <col min="1" max="1" width="2.7109375" style="1" customWidth="1"/>
    <col min="2" max="2" width="38.42578125" style="1" bestFit="1" customWidth="1"/>
    <col min="3" max="3" width="2.7109375" style="1" customWidth="1"/>
    <col min="4" max="4" width="25.7109375" style="1" customWidth="1"/>
    <col min="5" max="5" width="8.7109375" style="1" customWidth="1"/>
    <col min="6" max="10" width="12.7109375" style="1" customWidth="1"/>
    <col min="11" max="12" width="2.7109375" style="1" customWidth="1"/>
    <col min="13" max="13" width="25.7109375" style="1" customWidth="1"/>
    <col min="14" max="14" width="8.7109375" style="1" customWidth="1"/>
    <col min="15" max="18" width="12.7109375" style="1" customWidth="1"/>
    <col min="19" max="44" width="12.7109375" style="1" hidden="1" customWidth="1" outlineLevel="1"/>
    <col min="45" max="45" width="12.7109375" style="2" customWidth="1" collapsed="1"/>
    <col min="46" max="47" width="2.7109375" style="1" customWidth="1"/>
    <col min="48" max="48" width="25.7109375" style="1" customWidth="1"/>
    <col min="49" max="49" width="8.7109375" style="1" customWidth="1"/>
    <col min="50" max="53" width="12.7109375" style="1" customWidth="1"/>
    <col min="54" max="55" width="2.7109375" style="1" customWidth="1" collapsed="1"/>
    <col min="56" max="56" width="25.7109375" style="1" customWidth="1"/>
    <col min="57" max="57" width="8.7109375" style="1" customWidth="1"/>
    <col min="58" max="60" width="12.7109375" style="1" customWidth="1"/>
    <col min="61" max="62" width="2.7109375" style="1" customWidth="1" collapsed="1"/>
    <col min="63" max="63" width="25.7109375" style="1" customWidth="1"/>
    <col min="64" max="64" width="8.7109375" style="1" customWidth="1"/>
    <col min="65" max="67" width="12.7109375" style="1" customWidth="1"/>
    <col min="68" max="69" width="2.7109375" style="1" customWidth="1" collapsed="1"/>
    <col min="70" max="70" width="12.28515625" style="1" hidden="1" customWidth="1" outlineLevel="1"/>
    <col min="71" max="71" width="12.28515625" style="25" hidden="1" customWidth="1" outlineLevel="1"/>
    <col min="72" max="72" width="25.7109375" style="1" hidden="1" customWidth="1" outlineLevel="1"/>
    <col min="73" max="73" width="11.7109375" style="1" hidden="1" customWidth="1" outlineLevel="1"/>
    <col min="74" max="76" width="12.7109375" style="1" hidden="1" customWidth="1" outlineLevel="1"/>
    <col min="77" max="77" width="12.7109375" style="1" hidden="1" customWidth="1" outlineLevel="1" collapsed="1"/>
    <col min="78" max="97" width="12.7109375" style="1" hidden="1" customWidth="1" outlineLevel="1"/>
    <col min="98" max="98" width="2.7109375" style="1" customWidth="1" collapsed="1"/>
    <col min="99" max="16384" width="8.85546875" style="1" hidden="1"/>
  </cols>
  <sheetData>
    <row r="1" spans="1:98" x14ac:dyDescent="0.2">
      <c r="A1" s="294"/>
      <c r="B1" s="294"/>
      <c r="C1" s="294"/>
      <c r="D1" s="154" t="b">
        <f>AND(J1,AS1,BA1,BH1)</f>
        <v>1</v>
      </c>
      <c r="E1" s="294" t="str">
        <f>VLOOKUP("REVENUE",TableInputsData[],ReadMe!$M$3,FALSE)</f>
        <v>CHIFFRE D'AFFAIRES</v>
      </c>
      <c r="F1" s="294"/>
      <c r="G1" s="294"/>
      <c r="H1" s="294"/>
      <c r="I1" s="294"/>
      <c r="J1" s="154" t="b">
        <f>EXACT(GETPIVOTDATA("Sum of TOTAL YEAR",$D$14,"ITEM","REVENUE"),AS32)</f>
        <v>1</v>
      </c>
      <c r="K1" s="294"/>
      <c r="L1" s="294"/>
      <c r="M1" s="294"/>
      <c r="N1" s="294"/>
      <c r="O1" s="294"/>
      <c r="P1" s="294"/>
      <c r="Q1" s="294"/>
      <c r="R1" s="294"/>
      <c r="S1" s="294"/>
      <c r="T1" s="294"/>
      <c r="U1" s="294"/>
      <c r="V1" s="294"/>
      <c r="W1" s="294"/>
      <c r="X1" s="294"/>
      <c r="Y1" s="294"/>
      <c r="Z1" s="294"/>
      <c r="AA1" s="294"/>
      <c r="AB1" s="294"/>
      <c r="AC1" s="294"/>
      <c r="AD1" s="294"/>
      <c r="AE1" s="294"/>
      <c r="AF1" s="294"/>
      <c r="AG1" s="294"/>
      <c r="AH1" s="294"/>
      <c r="AI1" s="294"/>
      <c r="AJ1" s="294"/>
      <c r="AK1" s="294"/>
      <c r="AL1" s="294"/>
      <c r="AM1" s="294"/>
      <c r="AN1" s="294"/>
      <c r="AO1" s="294"/>
      <c r="AP1" s="294"/>
      <c r="AQ1" s="294"/>
      <c r="AR1" s="294"/>
      <c r="AS1" s="154" t="b">
        <f>EXACT(AS32,GETPIVOTDATA("Sum of TOTAL YEAR",$AV$14,"ITEM","REVENUE"))</f>
        <v>1</v>
      </c>
      <c r="AT1" s="294"/>
      <c r="AU1" s="294"/>
      <c r="AV1" s="294"/>
      <c r="AW1" s="294"/>
      <c r="AX1" s="294"/>
      <c r="AY1" s="294"/>
      <c r="AZ1" s="294"/>
      <c r="BA1" s="154" t="b">
        <f>EXACT(GETPIVOTDATA("Sum of TOTAL YEAR",$AV$14,"ITEM","REVENUE"),GETPIVOTDATA("Sum of TOTAL YEAR",$BD$14,"ITEM","REVENUE"))</f>
        <v>1</v>
      </c>
      <c r="BB1" s="294"/>
      <c r="BC1" s="294"/>
      <c r="BD1" s="294"/>
      <c r="BE1" s="294"/>
      <c r="BF1" s="294"/>
      <c r="BG1" s="294"/>
      <c r="BH1" s="154" t="b">
        <f>EXACT(GETPIVOTDATA("Sum of TOTAL YEAR",$BD$14,"ITEM","REVENUE"),GETPIVOTDATA("TOTAL YEAR",$BK$13,"ITEM","REVENUE"))</f>
        <v>1</v>
      </c>
      <c r="BI1" s="294"/>
      <c r="BJ1" s="294"/>
      <c r="BK1" s="294"/>
      <c r="BL1" s="294"/>
      <c r="BM1" s="294"/>
      <c r="BN1" s="294"/>
      <c r="BO1" s="294"/>
      <c r="BP1" s="294"/>
      <c r="BQ1" s="294"/>
      <c r="BR1" s="294"/>
      <c r="BS1" s="309"/>
      <c r="BT1" s="294"/>
      <c r="BU1" s="294"/>
      <c r="BV1" s="294"/>
      <c r="BW1" s="294"/>
      <c r="BX1" s="294"/>
      <c r="BY1" s="294"/>
      <c r="BZ1" s="294"/>
      <c r="CA1" s="294"/>
      <c r="CB1" s="294"/>
      <c r="CC1" s="294"/>
      <c r="CD1" s="294"/>
      <c r="CE1" s="294"/>
      <c r="CF1" s="294"/>
      <c r="CG1" s="294"/>
      <c r="CH1" s="294"/>
      <c r="CI1" s="294"/>
      <c r="CJ1" s="294"/>
      <c r="CK1" s="294"/>
      <c r="CL1" s="294"/>
      <c r="CM1" s="294"/>
      <c r="CN1" s="294"/>
      <c r="CO1" s="294"/>
      <c r="CP1" s="294"/>
      <c r="CQ1" s="294"/>
      <c r="CR1" s="294"/>
      <c r="CS1" s="294"/>
      <c r="CT1" s="294"/>
    </row>
    <row r="2" spans="1:98" x14ac:dyDescent="0.2">
      <c r="A2" s="294"/>
      <c r="B2" s="294"/>
      <c r="C2" s="294"/>
      <c r="D2" s="154" t="b">
        <f>AND(J2,AS2,BA2,BH2)</f>
        <v>1</v>
      </c>
      <c r="E2" s="294" t="str">
        <f>VLOOKUP("GROSS PROFIT",TableInputsData[],ReadMe!$M$3,FALSE)</f>
        <v>MARGE BRUTE</v>
      </c>
      <c r="F2" s="294"/>
      <c r="G2" s="294"/>
      <c r="H2" s="294"/>
      <c r="I2" s="294"/>
      <c r="J2" s="154" t="b">
        <f>EXACT(GETPIVOTDATA("Sum of TOTAL YEAR",$D$14,"ITEM","GROSS PROFIT"),AS50)</f>
        <v>1</v>
      </c>
      <c r="K2" s="294"/>
      <c r="L2" s="294"/>
      <c r="M2" s="294"/>
      <c r="N2" s="294"/>
      <c r="O2" s="294"/>
      <c r="P2" s="294"/>
      <c r="Q2" s="294"/>
      <c r="R2" s="294"/>
      <c r="S2" s="294"/>
      <c r="T2" s="294"/>
      <c r="U2" s="294"/>
      <c r="V2" s="294"/>
      <c r="W2" s="294"/>
      <c r="X2" s="294"/>
      <c r="Y2" s="294"/>
      <c r="Z2" s="294"/>
      <c r="AA2" s="294"/>
      <c r="AB2" s="294"/>
      <c r="AC2" s="294"/>
      <c r="AD2" s="294"/>
      <c r="AE2" s="294"/>
      <c r="AF2" s="294"/>
      <c r="AG2" s="294"/>
      <c r="AH2" s="294"/>
      <c r="AI2" s="294"/>
      <c r="AJ2" s="294"/>
      <c r="AK2" s="294"/>
      <c r="AL2" s="294"/>
      <c r="AM2" s="294"/>
      <c r="AN2" s="294"/>
      <c r="AO2" s="294"/>
      <c r="AP2" s="294"/>
      <c r="AQ2" s="294"/>
      <c r="AR2" s="294"/>
      <c r="AS2" s="154" t="b">
        <f>EXACT(AS50,GETPIVOTDATA("Sum of TOTAL YEAR",$AV$14,"ITEM","GROSS PROFIT"))</f>
        <v>1</v>
      </c>
      <c r="AT2" s="294"/>
      <c r="AU2" s="294"/>
      <c r="AV2" s="294"/>
      <c r="AW2" s="294"/>
      <c r="AX2" s="294"/>
      <c r="AY2" s="294"/>
      <c r="AZ2" s="294"/>
      <c r="BA2" s="154" t="b">
        <f>EXACT(GETPIVOTDATA("Sum of TOTAL YEAR",$AV$14,"ITEM","GROSS PROFIT"),GETPIVOTDATA("Sum of TOTAL YEAR",$BD$14,"ITEM","GROSS PROFIT"))</f>
        <v>1</v>
      </c>
      <c r="BB2" s="294"/>
      <c r="BC2" s="294"/>
      <c r="BD2" s="294"/>
      <c r="BE2" s="294"/>
      <c r="BF2" s="294"/>
      <c r="BG2" s="294"/>
      <c r="BH2" s="154" t="b">
        <f>EXACT(GETPIVOTDATA("Sum of TOTAL YEAR",$BD$14,"ITEM","GROSS PROFIT"),GETPIVOTDATA("TOTAL YEAR",$BK$13,"ITEM","GROSS PROFIT"))</f>
        <v>1</v>
      </c>
      <c r="BI2" s="294"/>
      <c r="BJ2" s="294"/>
      <c r="BK2" s="294"/>
      <c r="BL2" s="294"/>
      <c r="BM2" s="294"/>
      <c r="BN2" s="294"/>
      <c r="BO2" s="294"/>
      <c r="BP2" s="294"/>
      <c r="BQ2" s="294"/>
      <c r="BR2" s="294"/>
      <c r="BS2" s="309"/>
      <c r="BT2" s="294"/>
      <c r="BU2" s="294"/>
      <c r="BV2" s="294"/>
      <c r="BW2" s="294"/>
      <c r="BX2" s="294"/>
      <c r="BY2" s="294"/>
      <c r="BZ2" s="294"/>
      <c r="CA2" s="294"/>
      <c r="CB2" s="294"/>
      <c r="CC2" s="294"/>
      <c r="CD2" s="294"/>
      <c r="CE2" s="294"/>
      <c r="CF2" s="294"/>
      <c r="CG2" s="294"/>
      <c r="CH2" s="294"/>
      <c r="CI2" s="294"/>
      <c r="CJ2" s="294"/>
      <c r="CK2" s="294"/>
      <c r="CL2" s="294"/>
      <c r="CM2" s="294"/>
      <c r="CN2" s="294"/>
      <c r="CO2" s="294"/>
      <c r="CP2" s="294"/>
      <c r="CQ2" s="294"/>
      <c r="CR2" s="294"/>
      <c r="CS2" s="294"/>
      <c r="CT2" s="294"/>
    </row>
    <row r="3" spans="1:98" x14ac:dyDescent="0.2">
      <c r="A3" s="294"/>
      <c r="B3" s="294"/>
      <c r="C3" s="294"/>
      <c r="D3" s="294"/>
      <c r="E3" s="294"/>
      <c r="F3" s="294"/>
      <c r="G3" s="294"/>
      <c r="H3" s="294"/>
      <c r="I3" s="294"/>
      <c r="J3" s="294"/>
      <c r="K3" s="294"/>
      <c r="L3" s="294"/>
      <c r="M3" s="294"/>
      <c r="N3" s="294"/>
      <c r="O3" s="294"/>
      <c r="P3" s="294"/>
      <c r="Q3" s="294"/>
      <c r="R3" s="294"/>
      <c r="S3" s="294"/>
      <c r="T3" s="294"/>
      <c r="U3" s="294"/>
      <c r="V3" s="294"/>
      <c r="W3" s="294"/>
      <c r="X3" s="294"/>
      <c r="Y3" s="294"/>
      <c r="Z3" s="294"/>
      <c r="AA3" s="294"/>
      <c r="AB3" s="294"/>
      <c r="AC3" s="294"/>
      <c r="AD3" s="294"/>
      <c r="AE3" s="294"/>
      <c r="AF3" s="294"/>
      <c r="AG3" s="294"/>
      <c r="AH3" s="294"/>
      <c r="AI3" s="294"/>
      <c r="AJ3" s="294"/>
      <c r="AK3" s="294"/>
      <c r="AL3" s="294"/>
      <c r="AM3" s="294"/>
      <c r="AN3" s="294"/>
      <c r="AO3" s="294"/>
      <c r="AP3" s="294"/>
      <c r="AQ3" s="294"/>
      <c r="AR3" s="294"/>
      <c r="AS3" s="304"/>
      <c r="AT3" s="294"/>
      <c r="AU3" s="294"/>
      <c r="AV3" s="294"/>
      <c r="AW3" s="294"/>
      <c r="AX3" s="294"/>
      <c r="AY3" s="294"/>
      <c r="AZ3" s="294"/>
      <c r="BA3" s="294"/>
      <c r="BB3" s="294"/>
      <c r="BC3" s="294"/>
      <c r="BD3" s="294"/>
      <c r="BE3" s="294"/>
      <c r="BF3" s="294"/>
      <c r="BG3" s="294"/>
      <c r="BH3" s="294"/>
      <c r="BI3" s="294"/>
      <c r="BJ3" s="294"/>
      <c r="BK3" s="294"/>
      <c r="BL3" s="294"/>
      <c r="BM3" s="294"/>
      <c r="BN3" s="294"/>
      <c r="BO3" s="294"/>
      <c r="BP3" s="294"/>
      <c r="BQ3" s="294"/>
      <c r="BR3" s="294"/>
      <c r="BS3" s="309"/>
      <c r="BT3" s="294"/>
      <c r="BU3" s="294"/>
      <c r="BV3" s="294"/>
      <c r="BW3" s="294"/>
      <c r="BX3" s="294"/>
      <c r="BY3" s="294"/>
      <c r="BZ3" s="294"/>
      <c r="CA3" s="294"/>
      <c r="CB3" s="294"/>
      <c r="CC3" s="294"/>
      <c r="CD3" s="294"/>
      <c r="CE3" s="294"/>
      <c r="CF3" s="294"/>
      <c r="CG3" s="294"/>
      <c r="CH3" s="294"/>
      <c r="CI3" s="294"/>
      <c r="CJ3" s="294"/>
      <c r="CK3" s="294"/>
      <c r="CL3" s="294"/>
      <c r="CM3" s="294"/>
      <c r="CN3" s="294"/>
      <c r="CO3" s="294"/>
      <c r="CP3" s="294"/>
      <c r="CQ3" s="294"/>
      <c r="CR3" s="294"/>
      <c r="CS3" s="294"/>
      <c r="CT3" s="294"/>
    </row>
    <row r="4" spans="1:98" x14ac:dyDescent="0.2">
      <c r="A4" s="294"/>
      <c r="B4" s="290" t="s">
        <v>153</v>
      </c>
      <c r="C4" s="294"/>
      <c r="D4" s="294"/>
      <c r="E4" s="294"/>
      <c r="F4" s="294"/>
      <c r="G4" s="294"/>
      <c r="H4" s="294"/>
      <c r="I4" s="294"/>
      <c r="J4" s="294"/>
      <c r="K4" s="294"/>
      <c r="L4" s="294"/>
      <c r="M4" s="294"/>
      <c r="N4" s="294"/>
      <c r="O4" s="294"/>
      <c r="P4" s="294"/>
      <c r="Q4" s="294"/>
      <c r="R4" s="294"/>
      <c r="S4" s="294"/>
      <c r="T4" s="294"/>
      <c r="U4" s="294"/>
      <c r="V4" s="294"/>
      <c r="W4" s="294"/>
      <c r="X4" s="294"/>
      <c r="Y4" s="294"/>
      <c r="Z4" s="294"/>
      <c r="AA4" s="294"/>
      <c r="AB4" s="294"/>
      <c r="AC4" s="294"/>
      <c r="AD4" s="294"/>
      <c r="AE4" s="294"/>
      <c r="AF4" s="294"/>
      <c r="AG4" s="294"/>
      <c r="AH4" s="294"/>
      <c r="AI4" s="294"/>
      <c r="AJ4" s="294"/>
      <c r="AK4" s="294"/>
      <c r="AL4" s="294"/>
      <c r="AM4" s="294"/>
      <c r="AN4" s="294"/>
      <c r="AO4" s="294"/>
      <c r="AP4" s="294"/>
      <c r="AQ4" s="294"/>
      <c r="AR4" s="294"/>
      <c r="AS4" s="304"/>
      <c r="AT4" s="294"/>
      <c r="AU4" s="294"/>
      <c r="AV4" s="294"/>
      <c r="AW4" s="294"/>
      <c r="AX4" s="294"/>
      <c r="AY4" s="294"/>
      <c r="AZ4" s="294"/>
      <c r="BA4" s="294"/>
      <c r="BB4" s="294"/>
      <c r="BC4" s="294"/>
      <c r="BD4" s="294"/>
      <c r="BE4" s="294"/>
      <c r="BF4" s="294"/>
      <c r="BG4" s="294"/>
      <c r="BH4" s="294"/>
      <c r="BI4" s="294"/>
      <c r="BJ4" s="294"/>
      <c r="BK4" s="294"/>
      <c r="BL4" s="294"/>
      <c r="BM4" s="294"/>
      <c r="BN4" s="294"/>
      <c r="BO4" s="294"/>
      <c r="BP4" s="294"/>
      <c r="BQ4" s="294"/>
      <c r="BR4" s="294"/>
      <c r="BS4" s="309"/>
      <c r="BT4" s="294"/>
      <c r="BU4" s="294"/>
      <c r="BV4" s="294"/>
      <c r="BW4" s="294"/>
      <c r="BX4" s="294"/>
      <c r="BY4" s="294"/>
      <c r="BZ4" s="294"/>
      <c r="CA4" s="294"/>
      <c r="CB4" s="294"/>
      <c r="CC4" s="294"/>
      <c r="CD4" s="294"/>
      <c r="CE4" s="294"/>
      <c r="CF4" s="294"/>
      <c r="CG4" s="294"/>
      <c r="CH4" s="294"/>
      <c r="CI4" s="294"/>
      <c r="CJ4" s="294"/>
      <c r="CK4" s="294"/>
      <c r="CL4" s="294"/>
      <c r="CM4" s="294"/>
      <c r="CN4" s="294"/>
      <c r="CO4" s="294"/>
      <c r="CP4" s="294"/>
      <c r="CQ4" s="294"/>
      <c r="CR4" s="294"/>
      <c r="CS4" s="294"/>
      <c r="CT4" s="294"/>
    </row>
    <row r="5" spans="1:98" ht="15" customHeight="1" x14ac:dyDescent="0.2">
      <c r="A5" s="294"/>
      <c r="B5" s="294"/>
      <c r="C5" s="294"/>
      <c r="D5" s="296" t="str">
        <f>InputsData!$J$1</f>
        <v>MONNAIE LOCALE : CFA</v>
      </c>
      <c r="E5" s="294"/>
      <c r="F5" s="294"/>
      <c r="G5" s="294"/>
      <c r="H5" s="294"/>
      <c r="I5" s="294"/>
      <c r="J5" s="295" t="str">
        <f>InputsData!$J$2</f>
        <v>STRICTEMENT CONFIDENTIEL | ABC CORPORATION</v>
      </c>
      <c r="K5" s="294"/>
      <c r="L5" s="294"/>
      <c r="M5" s="296" t="str">
        <f>InputsData!$J$1</f>
        <v>MONNAIE LOCALE : CFA</v>
      </c>
      <c r="N5" s="294"/>
      <c r="O5" s="294"/>
      <c r="P5" s="294"/>
      <c r="Q5" s="294"/>
      <c r="R5" s="295" t="str">
        <f>InputsData!$J$2</f>
        <v>STRICTEMENT CONFIDENTIEL | ABC CORPORATION</v>
      </c>
      <c r="S5" s="294"/>
      <c r="T5" s="294"/>
      <c r="U5" s="294"/>
      <c r="V5" s="294"/>
      <c r="W5" s="294"/>
      <c r="X5" s="294"/>
      <c r="Y5" s="294"/>
      <c r="Z5" s="294"/>
      <c r="AA5" s="294"/>
      <c r="AB5" s="294"/>
      <c r="AC5" s="294"/>
      <c r="AD5" s="294"/>
      <c r="AE5" s="294"/>
      <c r="AF5" s="294"/>
      <c r="AG5" s="294"/>
      <c r="AH5" s="294"/>
      <c r="AI5" s="294"/>
      <c r="AJ5" s="294"/>
      <c r="AK5" s="294"/>
      <c r="AL5" s="294"/>
      <c r="AM5" s="294"/>
      <c r="AN5" s="294"/>
      <c r="AO5" s="294"/>
      <c r="AP5" s="294"/>
      <c r="AQ5" s="294"/>
      <c r="AR5" s="294"/>
      <c r="AS5" s="304"/>
      <c r="AT5" s="294"/>
      <c r="AU5" s="294"/>
      <c r="AV5" s="296" t="str">
        <f>InputsData!$J$1</f>
        <v>MONNAIE LOCALE : CFA</v>
      </c>
      <c r="AW5" s="294"/>
      <c r="AX5" s="294"/>
      <c r="AY5" s="294"/>
      <c r="AZ5" s="294"/>
      <c r="BA5" s="295" t="str">
        <f>InputsData!$J$2</f>
        <v>STRICTEMENT CONFIDENTIEL | ABC CORPORATION</v>
      </c>
      <c r="BB5" s="294"/>
      <c r="BC5" s="294"/>
      <c r="BD5" s="296" t="str">
        <f>InputsData!$J$1</f>
        <v>MONNAIE LOCALE : CFA</v>
      </c>
      <c r="BE5" s="294"/>
      <c r="BF5" s="294"/>
      <c r="BG5" s="294"/>
      <c r="BH5" s="295" t="str">
        <f>InputsData!$J$2</f>
        <v>STRICTEMENT CONFIDENTIEL | ABC CORPORATION</v>
      </c>
      <c r="BI5" s="294"/>
      <c r="BJ5" s="294"/>
      <c r="BK5" s="296" t="str">
        <f>InputsData!$J$1</f>
        <v>MONNAIE LOCALE : CFA</v>
      </c>
      <c r="BL5" s="294"/>
      <c r="BM5" s="294"/>
      <c r="BN5" s="294"/>
      <c r="BO5" s="295" t="str">
        <f>InputsData!$J$2</f>
        <v>STRICTEMENT CONFIDENTIEL | ABC CORPORATION</v>
      </c>
      <c r="BP5" s="294"/>
      <c r="BQ5" s="294"/>
      <c r="BR5" s="294"/>
      <c r="BS5" s="309"/>
      <c r="BT5" s="296" t="str">
        <f>InputsData!$J$1</f>
        <v>MONNAIE LOCALE : CFA</v>
      </c>
      <c r="BU5" s="294"/>
      <c r="BV5" s="294"/>
      <c r="BW5" s="294"/>
      <c r="BX5" s="295" t="str">
        <f>InputsData!$J$2</f>
        <v>STRICTEMENT CONFIDENTIEL | ABC CORPORATION</v>
      </c>
      <c r="BY5" s="294"/>
      <c r="BZ5" s="294"/>
      <c r="CA5" s="294"/>
      <c r="CB5" s="294"/>
      <c r="CC5" s="294"/>
      <c r="CD5" s="294"/>
      <c r="CE5" s="294"/>
      <c r="CF5" s="294"/>
      <c r="CG5" s="294"/>
      <c r="CH5" s="294"/>
      <c r="CI5" s="294"/>
      <c r="CJ5" s="294"/>
      <c r="CK5" s="294"/>
      <c r="CL5" s="294"/>
      <c r="CM5" s="294"/>
      <c r="CN5" s="294"/>
      <c r="CO5" s="294"/>
      <c r="CP5" s="294"/>
      <c r="CQ5" s="294"/>
      <c r="CR5" s="294"/>
      <c r="CS5" s="294"/>
      <c r="CT5" s="294"/>
    </row>
    <row r="6" spans="1:98" s="563" customFormat="1" ht="25" customHeight="1" x14ac:dyDescent="0.2">
      <c r="A6" s="457"/>
      <c r="B6" s="540" t="str">
        <f>UPPER(ReadMe!$L$3)&amp;" TRANSLATION"</f>
        <v>FRENCH TRANSLATION</v>
      </c>
      <c r="C6" s="457"/>
      <c r="D6" s="564" t="s">
        <v>1472</v>
      </c>
      <c r="E6" s="559"/>
      <c r="F6" s="559"/>
      <c r="G6" s="559"/>
      <c r="H6" s="559"/>
      <c r="I6" s="559"/>
      <c r="J6" s="560"/>
      <c r="K6" s="457"/>
      <c r="L6" s="457"/>
      <c r="M6" s="564" t="s">
        <v>1491</v>
      </c>
      <c r="N6" s="559"/>
      <c r="O6" s="559"/>
      <c r="P6" s="559"/>
      <c r="Q6" s="559"/>
      <c r="R6" s="560"/>
      <c r="S6" s="559"/>
      <c r="T6" s="559"/>
      <c r="U6" s="559"/>
      <c r="V6" s="559"/>
      <c r="W6" s="559"/>
      <c r="X6" s="559"/>
      <c r="Y6" s="559"/>
      <c r="Z6" s="559"/>
      <c r="AA6" s="559"/>
      <c r="AB6" s="559"/>
      <c r="AC6" s="559"/>
      <c r="AD6" s="559"/>
      <c r="AE6" s="559"/>
      <c r="AF6" s="559"/>
      <c r="AG6" s="559"/>
      <c r="AH6" s="559"/>
      <c r="AI6" s="559"/>
      <c r="AJ6" s="559"/>
      <c r="AK6" s="559"/>
      <c r="AL6" s="559"/>
      <c r="AM6" s="559"/>
      <c r="AN6" s="559"/>
      <c r="AO6" s="559"/>
      <c r="AP6" s="559"/>
      <c r="AQ6" s="559"/>
      <c r="AR6" s="559"/>
      <c r="AS6" s="562"/>
      <c r="AT6" s="457"/>
      <c r="AU6" s="457"/>
      <c r="AV6" s="564" t="s">
        <v>1599</v>
      </c>
      <c r="AW6" s="559"/>
      <c r="AX6" s="559"/>
      <c r="AY6" s="559"/>
      <c r="AZ6" s="559"/>
      <c r="BA6" s="560"/>
      <c r="BB6" s="457"/>
      <c r="BC6" s="457"/>
      <c r="BD6" s="564" t="s">
        <v>1600</v>
      </c>
      <c r="BE6" s="559"/>
      <c r="BF6" s="559"/>
      <c r="BG6" s="559"/>
      <c r="BH6" s="560"/>
      <c r="BI6" s="457"/>
      <c r="BJ6" s="457"/>
      <c r="BK6" s="564" t="s">
        <v>1473</v>
      </c>
      <c r="BL6" s="559"/>
      <c r="BM6" s="559"/>
      <c r="BN6" s="559"/>
      <c r="BO6" s="560"/>
      <c r="BP6" s="457"/>
      <c r="BQ6" s="457"/>
      <c r="BR6" s="564" t="s">
        <v>1474</v>
      </c>
      <c r="BS6" s="540"/>
      <c r="BT6" s="561"/>
      <c r="BU6" s="559"/>
      <c r="BV6" s="559"/>
      <c r="BW6" s="559"/>
      <c r="BX6" s="560"/>
      <c r="BY6" s="559"/>
      <c r="BZ6" s="559"/>
      <c r="CA6" s="559"/>
      <c r="CB6" s="559"/>
      <c r="CC6" s="559"/>
      <c r="CD6" s="559"/>
      <c r="CE6" s="559"/>
      <c r="CF6" s="559"/>
      <c r="CG6" s="559"/>
      <c r="CH6" s="559"/>
      <c r="CI6" s="559"/>
      <c r="CJ6" s="559"/>
      <c r="CK6" s="559"/>
      <c r="CL6" s="559"/>
      <c r="CM6" s="559"/>
      <c r="CN6" s="559"/>
      <c r="CO6" s="559"/>
      <c r="CP6" s="559"/>
      <c r="CQ6" s="559"/>
      <c r="CR6" s="559"/>
      <c r="CS6" s="559"/>
      <c r="CT6" s="457"/>
    </row>
    <row r="7" spans="1:98" ht="15" customHeight="1" x14ac:dyDescent="0.2">
      <c r="A7" s="294"/>
      <c r="B7" s="294"/>
      <c r="C7" s="294"/>
      <c r="D7" s="340" t="s">
        <v>379</v>
      </c>
      <c r="E7" s="294"/>
      <c r="F7" s="933" t="str">
        <f>VLOOKUP(RIGHT(F14,LEN(F14)-7),TableInputsData[],ReadMe!$M$3,FALSE)</f>
        <v>TRIMESTRE 1</v>
      </c>
      <c r="G7" s="933" t="str">
        <f>VLOOKUP(RIGHT(G14,LEN(G14)-7),TableInputsData[],ReadMe!$M$3,FALSE)</f>
        <v>TRIMESTRE 2</v>
      </c>
      <c r="H7" s="933" t="str">
        <f>VLOOKUP(RIGHT(H14,LEN(H14)-7),TableInputsData[],ReadMe!$M$3,FALSE)</f>
        <v>TRIMESTRE 3</v>
      </c>
      <c r="I7" s="933" t="str">
        <f>VLOOKUP(RIGHT(I14,LEN(I14)-7),TableInputsData[],ReadMe!$M$3,FALSE)</f>
        <v>TRIMESTRE 4</v>
      </c>
      <c r="J7" s="933" t="str">
        <f>VLOOKUP(RIGHT(J14,LEN(J14)-13),TableInputsData[],ReadMe!$M$3,FALSE)</f>
        <v>ANNEE</v>
      </c>
      <c r="K7" s="294"/>
      <c r="L7" s="294"/>
      <c r="M7" s="340" t="s">
        <v>382</v>
      </c>
      <c r="N7" s="294"/>
      <c r="O7" s="341" t="str">
        <f>IF(ISNA(VLOOKUP(O$14,TableInputsData[],ReadMe!$M$3,FALSE)),"",VLOOKUP(O$14,TableInputsData[],ReadMe!$M$3,FALSE))</f>
        <v>PRODUIT 01</v>
      </c>
      <c r="P7" s="341" t="str">
        <f>IF(ISNA(VLOOKUP(P$14,TableInputsData[],ReadMe!$M$3,FALSE)),"",VLOOKUP(P$14,TableInputsData[],ReadMe!$M$3,FALSE))</f>
        <v>PRODUIT 02</v>
      </c>
      <c r="Q7" s="341" t="str">
        <f>IF(ISNA(VLOOKUP(Q$14,TableInputsData[],ReadMe!$M$3,FALSE)),"",VLOOKUP(Q$14,TableInputsData[],ReadMe!$M$3,FALSE))</f>
        <v>PRODUIT 03</v>
      </c>
      <c r="R7" s="341" t="str">
        <f>IF(ISNA(VLOOKUP(R$14,TableInputsData[],ReadMe!$M$3,FALSE)),"",VLOOKUP(R$14,TableInputsData[],ReadMe!$M$3,FALSE))</f>
        <v>PRODUIT 04</v>
      </c>
      <c r="S7" s="341" t="str">
        <f>IF(ISNA(VLOOKUP(S$14,TableInputsData[],ReadMe!$M$3,FALSE)),"",VLOOKUP(S$14,TableInputsData[],ReadMe!$M$3,FALSE))</f>
        <v>PRODUIT 05</v>
      </c>
      <c r="T7" s="341" t="str">
        <f>IF(ISNA(VLOOKUP(T$14,TableInputsData[],ReadMe!$M$3,FALSE)),"",VLOOKUP(T$14,TableInputsData[],ReadMe!$M$3,FALSE))</f>
        <v>PRODUIT 06</v>
      </c>
      <c r="U7" s="341" t="str">
        <f>IF(ISNA(VLOOKUP(U$14,TableInputsData[],ReadMe!$M$3,FALSE)),"",VLOOKUP(U$14,TableInputsData[],ReadMe!$M$3,FALSE))</f>
        <v>PRODUIT 07</v>
      </c>
      <c r="V7" s="341" t="str">
        <f>IF(ISNA(VLOOKUP(V$14,TableInputsData[],ReadMe!$M$3,FALSE)),"",VLOOKUP(V$14,TableInputsData[],ReadMe!$M$3,FALSE))</f>
        <v>PRODUIT 08</v>
      </c>
      <c r="W7" s="341" t="str">
        <f>IF(ISNA(VLOOKUP(W$14,TableInputsData[],ReadMe!$M$3,FALSE)),"",VLOOKUP(W$14,TableInputsData[],ReadMe!$M$3,FALSE))</f>
        <v>PRODUIT 09</v>
      </c>
      <c r="X7" s="341" t="str">
        <f>IF(ISNA(VLOOKUP(X$14,TableInputsData[],ReadMe!$M$3,FALSE)),"",VLOOKUP(X$14,TableInputsData[],ReadMe!$M$3,FALSE))</f>
        <v>PRODUIT 10</v>
      </c>
      <c r="Y7" s="341" t="str">
        <f>IF(ISNA(VLOOKUP(Y$14,TableInputsData[],ReadMe!$M$3,FALSE)),"",VLOOKUP(Y$14,TableInputsData[],ReadMe!$M$3,FALSE))</f>
        <v>PRODUIT 11</v>
      </c>
      <c r="Z7" s="341" t="str">
        <f>IF(ISNA(VLOOKUP(Z$14,TableInputsData[],ReadMe!$M$3,FALSE)),"",VLOOKUP(Z$14,TableInputsData[],ReadMe!$M$3,FALSE))</f>
        <v>PRODUIT 12</v>
      </c>
      <c r="AA7" s="341" t="str">
        <f>IF(ISNA(VLOOKUP(AA$14,TableInputsData[],ReadMe!$M$3,FALSE)),"",VLOOKUP(AA$14,TableInputsData[],ReadMe!$M$3,FALSE))</f>
        <v>PRODUIT 13</v>
      </c>
      <c r="AB7" s="341" t="str">
        <f>IF(ISNA(VLOOKUP(AB$14,TableInputsData[],ReadMe!$M$3,FALSE)),"",VLOOKUP(AB$14,TableInputsData[],ReadMe!$M$3,FALSE))</f>
        <v>PRODUIT 14</v>
      </c>
      <c r="AC7" s="341" t="str">
        <f>IF(ISNA(VLOOKUP(AC$14,TableInputsData[],ReadMe!$M$3,FALSE)),"",VLOOKUP(AC$14,TableInputsData[],ReadMe!$M$3,FALSE))</f>
        <v>PRODUIT 15</v>
      </c>
      <c r="AD7" s="341" t="str">
        <f>IF(ISNA(VLOOKUP(AD$14,TableInputsData[],ReadMe!$M$3,FALSE)),"",VLOOKUP(AD$14,TableInputsData[],ReadMe!$M$3,FALSE))</f>
        <v>PRODUIT 16</v>
      </c>
      <c r="AE7" s="341" t="str">
        <f>IF(ISNA(VLOOKUP(AE$14,TableInputsData[],ReadMe!$M$3,FALSE)),"",VLOOKUP(AE$14,TableInputsData[],ReadMe!$M$3,FALSE))</f>
        <v>PRODUIT 17</v>
      </c>
      <c r="AF7" s="341" t="str">
        <f>IF(ISNA(VLOOKUP(AF$14,TableInputsData[],ReadMe!$M$3,FALSE)),"",VLOOKUP(AF$14,TableInputsData[],ReadMe!$M$3,FALSE))</f>
        <v>PRODUIT 18</v>
      </c>
      <c r="AG7" s="341" t="str">
        <f>IF(ISNA(VLOOKUP(AG$14,TableInputsData[],ReadMe!$M$3,FALSE)),"",VLOOKUP(AG$14,TableInputsData[],ReadMe!$M$3,FALSE))</f>
        <v>PRODUIT 19</v>
      </c>
      <c r="AH7" s="341" t="str">
        <f>IF(ISNA(VLOOKUP(AH$14,TableInputsData[],ReadMe!$M$3,FALSE)),"",VLOOKUP(AH$14,TableInputsData[],ReadMe!$M$3,FALSE))</f>
        <v>PRODUIT 20</v>
      </c>
      <c r="AI7" s="341" t="str">
        <f>IF(ISNA(VLOOKUP(AI$14,TableInputsData[],ReadMe!$M$3,FALSE)),"",VLOOKUP(AI$14,TableInputsData[],ReadMe!$M$3,FALSE))</f>
        <v>SERVICE 01</v>
      </c>
      <c r="AJ7" s="341" t="str">
        <f>IF(ISNA(VLOOKUP(AJ$14,TableInputsData[],ReadMe!$M$3,FALSE)),"",VLOOKUP(AJ$14,TableInputsData[],ReadMe!$M$3,FALSE))</f>
        <v>SERVICE 02</v>
      </c>
      <c r="AK7" s="341" t="str">
        <f>IF(ISNA(VLOOKUP(AK$14,TableInputsData[],ReadMe!$M$3,FALSE)),"",VLOOKUP(AK$14,TableInputsData[],ReadMe!$M$3,FALSE))</f>
        <v>SERVICE 03</v>
      </c>
      <c r="AL7" s="341" t="str">
        <f>IF(ISNA(VLOOKUP(AL$14,TableInputsData[],ReadMe!$M$3,FALSE)),"",VLOOKUP(AL$14,TableInputsData[],ReadMe!$M$3,FALSE))</f>
        <v>SERVICE 04</v>
      </c>
      <c r="AM7" s="341" t="str">
        <f>IF(ISNA(VLOOKUP(AM$14,TableInputsData[],ReadMe!$M$3,FALSE)),"",VLOOKUP(AM$14,TableInputsData[],ReadMe!$M$3,FALSE))</f>
        <v>SERVICE 05</v>
      </c>
      <c r="AN7" s="341" t="str">
        <f>IF(ISNA(VLOOKUP(AN$14,TableInputsData[],ReadMe!$M$3,FALSE)),"",VLOOKUP(AN$14,TableInputsData[],ReadMe!$M$3,FALSE))</f>
        <v>SERVICE 06</v>
      </c>
      <c r="AO7" s="341" t="str">
        <f>IF(ISNA(VLOOKUP(AO$14,TableInputsData[],ReadMe!$M$3,FALSE)),"",VLOOKUP(AO$14,TableInputsData[],ReadMe!$M$3,FALSE))</f>
        <v>SERVICE 07</v>
      </c>
      <c r="AP7" s="341" t="str">
        <f>IF(ISNA(VLOOKUP(AP$14,TableInputsData[],ReadMe!$M$3,FALSE)),"",VLOOKUP(AP$14,TableInputsData[],ReadMe!$M$3,FALSE))</f>
        <v>SERVICE 08</v>
      </c>
      <c r="AQ7" s="341" t="str">
        <f>IF(ISNA(VLOOKUP(AQ$14,TableInputsData[],ReadMe!$M$3,FALSE)),"",VLOOKUP(AQ$14,TableInputsData[],ReadMe!$M$3,FALSE))</f>
        <v>SERVICE 09</v>
      </c>
      <c r="AR7" s="341" t="str">
        <f>IF(ISNA(VLOOKUP(AR$14,TableInputsData[],ReadMe!$M$3,FALSE)),"",VLOOKUP(AR$14,TableInputsData[],ReadMe!$M$3,FALSE))</f>
        <v>SERVICE 10</v>
      </c>
      <c r="AS7" s="933" t="str">
        <f>IF(ISNA(VLOOKUP(RIGHT(AS14,LEN(AS14)-13),TableInputsData[],ReadMe!$M$3,FALSE)),"",VLOOKUP(RIGHT(AS14,LEN(AS14)-13),TableInputsData[],ReadMe!$M$3,FALSE))</f>
        <v>ANNEE</v>
      </c>
      <c r="AT7" s="294"/>
      <c r="AU7" s="294"/>
      <c r="AV7" s="340" t="s">
        <v>381</v>
      </c>
      <c r="AW7" s="294"/>
      <c r="AX7" s="933" t="str">
        <f>IF(ISNA(VLOOKUP(RIGHT(AX14,LEN(AX14)-13),TableInputsData[],ReadMe!$M$3,FALSE)),"",VLOOKUP(RIGHT(AX14,LEN(AX14)-13),TableInputsData[],ReadMe!$M$3,FALSE))</f>
        <v>GAMME 1</v>
      </c>
      <c r="AY7" s="933" t="str">
        <f>IF(ISNA(VLOOKUP(RIGHT(AY14,LEN(AY14)-13),TableInputsData[],ReadMe!$M$3,FALSE)),"",VLOOKUP(RIGHT(AY14,LEN(AY14)-13),TableInputsData[],ReadMe!$M$3,FALSE))</f>
        <v>GAMME 2</v>
      </c>
      <c r="AZ7" s="933" t="str">
        <f>IF(ISNA(VLOOKUP(RIGHT(AZ14,LEN(AZ14)-13),TableInputsData[],ReadMe!$M$3,FALSE)),"",VLOOKUP(RIGHT(AZ14,LEN(AZ14)-13),TableInputsData[],ReadMe!$M$3,FALSE))</f>
        <v>GAMME 3</v>
      </c>
      <c r="BA7" s="933" t="str">
        <f>IF(ISNA(VLOOKUP(RIGHT(BA14,LEN(BA14)-13),TableInputsData[],ReadMe!$M$3,FALSE)),"",VLOOKUP(RIGHT(BA14,LEN(BA14)-13),TableInputsData[],ReadMe!$M$3,FALSE))</f>
        <v>ANNEE</v>
      </c>
      <c r="BB7" s="294"/>
      <c r="BC7" s="294"/>
      <c r="BD7" s="340" t="s">
        <v>622</v>
      </c>
      <c r="BE7" s="294"/>
      <c r="BF7" s="933" t="str">
        <f>IF(ISNA(VLOOKUP(RIGHT(BF14,LEN(BF14)-13),TableInputsData[],ReadMe!$M$3,FALSE)),"",VLOOKUP(RIGHT(BF14,LEN(BF14)-13),TableInputsData[],ReadMe!$M$3,FALSE))</f>
        <v>CANAL DE DISTRIBUTION 1</v>
      </c>
      <c r="BG7" s="933" t="str">
        <f>IF(ISNA(VLOOKUP(RIGHT(BG14,LEN(BG14)-13),TableInputsData[],ReadMe!$M$3,FALSE)),"",VLOOKUP(RIGHT(BG14,LEN(BG14)-13),TableInputsData[],ReadMe!$M$3,FALSE))</f>
        <v>CANAL DE DISTRIBUTION 2</v>
      </c>
      <c r="BH7" s="933" t="str">
        <f>IF(ISNA(VLOOKUP(RIGHT(BH14,LEN(BH14)-13),TableInputsData[],ReadMe!$M$3,FALSE)),"",VLOOKUP(RIGHT(BH14,LEN(BH14)-13),TableInputsData[],ReadMe!$M$3,FALSE))</f>
        <v>ANNEE</v>
      </c>
      <c r="BI7" s="294"/>
      <c r="BJ7" s="294"/>
      <c r="BK7" s="340" t="s">
        <v>623</v>
      </c>
      <c r="BL7" s="294"/>
      <c r="BM7" s="933" t="str">
        <f>IF(ISNA(VLOOKUP(BM14,TableInputsData[],ReadMe!$M$3,FALSE)),"",VLOOKUP(BM14,TableInputsData[],ReadMe!$M$3,FALSE))</f>
        <v>PRODUIT</v>
      </c>
      <c r="BN7" s="933" t="str">
        <f>IF(ISNA(VLOOKUP(BN14,TableInputsData[],ReadMe!$M$3,FALSE)),"",VLOOKUP(BN14,TableInputsData[],ReadMe!$M$3,FALSE))</f>
        <v>SERVICE</v>
      </c>
      <c r="BO7" s="933" t="str">
        <f>VLOOKUP("YEAR",TableInputsData[],ReadMe!$M$3,FALSE)</f>
        <v>ANNEE</v>
      </c>
      <c r="BP7" s="294"/>
      <c r="BQ7" s="294"/>
      <c r="BR7" s="294"/>
      <c r="BS7" s="309"/>
      <c r="BT7" s="340" t="s">
        <v>380</v>
      </c>
      <c r="BU7" s="294"/>
      <c r="BV7" s="303">
        <f>BV13</f>
        <v>2023</v>
      </c>
      <c r="BW7" s="303">
        <f t="shared" ref="BW7:CS7" si="0">BW13</f>
        <v>2023</v>
      </c>
      <c r="BX7" s="303">
        <f t="shared" si="0"/>
        <v>2023</v>
      </c>
      <c r="BY7" s="303">
        <f t="shared" si="0"/>
        <v>2024</v>
      </c>
      <c r="BZ7" s="303">
        <f t="shared" si="0"/>
        <v>2024</v>
      </c>
      <c r="CA7" s="303">
        <f t="shared" si="0"/>
        <v>2024</v>
      </c>
      <c r="CB7" s="303">
        <f t="shared" si="0"/>
        <v>2025</v>
      </c>
      <c r="CC7" s="303">
        <f t="shared" si="0"/>
        <v>2025</v>
      </c>
      <c r="CD7" s="303">
        <f t="shared" si="0"/>
        <v>2025</v>
      </c>
      <c r="CE7" s="303">
        <f t="shared" si="0"/>
        <v>2026</v>
      </c>
      <c r="CF7" s="303">
        <f t="shared" si="0"/>
        <v>2026</v>
      </c>
      <c r="CG7" s="303">
        <f t="shared" si="0"/>
        <v>2026</v>
      </c>
      <c r="CH7" s="303">
        <f t="shared" si="0"/>
        <v>2027</v>
      </c>
      <c r="CI7" s="303">
        <f t="shared" si="0"/>
        <v>2027</v>
      </c>
      <c r="CJ7" s="303">
        <f t="shared" si="0"/>
        <v>2027</v>
      </c>
      <c r="CK7" s="303">
        <f t="shared" si="0"/>
        <v>2028</v>
      </c>
      <c r="CL7" s="303">
        <f t="shared" si="0"/>
        <v>2028</v>
      </c>
      <c r="CM7" s="303">
        <f t="shared" si="0"/>
        <v>2028</v>
      </c>
      <c r="CN7" s="303">
        <f t="shared" si="0"/>
        <v>2029</v>
      </c>
      <c r="CO7" s="303">
        <f t="shared" si="0"/>
        <v>2029</v>
      </c>
      <c r="CP7" s="303">
        <f t="shared" si="0"/>
        <v>2029</v>
      </c>
      <c r="CQ7" s="303">
        <f t="shared" si="0"/>
        <v>2030</v>
      </c>
      <c r="CR7" s="303">
        <f t="shared" si="0"/>
        <v>2030</v>
      </c>
      <c r="CS7" s="303">
        <f t="shared" si="0"/>
        <v>2030</v>
      </c>
      <c r="CT7" s="294"/>
    </row>
    <row r="8" spans="1:98" ht="15" customHeight="1" x14ac:dyDescent="0.2">
      <c r="A8" s="294"/>
      <c r="B8" s="294"/>
      <c r="C8" s="294"/>
      <c r="D8" s="294"/>
      <c r="E8" s="294"/>
      <c r="F8" s="933"/>
      <c r="G8" s="933"/>
      <c r="H8" s="933"/>
      <c r="I8" s="933"/>
      <c r="J8" s="933"/>
      <c r="K8" s="294"/>
      <c r="L8" s="294"/>
      <c r="M8" s="296"/>
      <c r="N8" s="294"/>
      <c r="O8" s="341" t="str">
        <f>IF(ISNA(VLOOKUP(O$14,TableInputsData[],6,FALSE)),"",VLOOKUP(O$14,TableInputsData[],6,FALSE))</f>
        <v>XYZ</v>
      </c>
      <c r="P8" s="341" t="str">
        <f>IF(ISNA(VLOOKUP(P$14,TableInputsData[],6,FALSE)),"",VLOOKUP(P$14,TableInputsData[],6,FALSE))</f>
        <v>ABC</v>
      </c>
      <c r="Q8" s="341" t="str">
        <f>IF(ISNA(VLOOKUP(Q$14,TableInputsData[],6,FALSE)),"",VLOOKUP(Q$14,TableInputsData[],6,FALSE))</f>
        <v>-</v>
      </c>
      <c r="R8" s="341" t="str">
        <f>IF(ISNA(VLOOKUP(R$14,TableInputsData[],6,FALSE)),"",VLOOKUP(R$14,TableInputsData[],6,FALSE))</f>
        <v>-</v>
      </c>
      <c r="S8" s="341" t="str">
        <f>IF(ISNA(VLOOKUP(S$14,TableInputsData[],6,FALSE)),"",VLOOKUP(S$14,TableInputsData[],6,FALSE))</f>
        <v>-</v>
      </c>
      <c r="T8" s="341" t="str">
        <f>IF(ISNA(VLOOKUP(T$14,TableInputsData[],6,FALSE)),"",VLOOKUP(T$14,TableInputsData[],6,FALSE))</f>
        <v>-</v>
      </c>
      <c r="U8" s="341" t="str">
        <f>IF(ISNA(VLOOKUP(U$14,TableInputsData[],6,FALSE)),"",VLOOKUP(U$14,TableInputsData[],6,FALSE))</f>
        <v>-</v>
      </c>
      <c r="V8" s="341" t="str">
        <f>IF(ISNA(VLOOKUP(V$14,TableInputsData[],6,FALSE)),"",VLOOKUP(V$14,TableInputsData[],6,FALSE))</f>
        <v>-</v>
      </c>
      <c r="W8" s="341" t="str">
        <f>IF(ISNA(VLOOKUP(W$14,TableInputsData[],6,FALSE)),"",VLOOKUP(W$14,TableInputsData[],6,FALSE))</f>
        <v>-</v>
      </c>
      <c r="X8" s="341" t="str">
        <f>IF(ISNA(VLOOKUP(X$14,TableInputsData[],6,FALSE)),"",VLOOKUP(X$14,TableInputsData[],6,FALSE))</f>
        <v>-</v>
      </c>
      <c r="Y8" s="341" t="str">
        <f>IF(ISNA(VLOOKUP(Y$14,TableInputsData[],6,FALSE)),"",VLOOKUP(Y$14,TableInputsData[],6,FALSE))</f>
        <v>-</v>
      </c>
      <c r="Z8" s="341" t="str">
        <f>IF(ISNA(VLOOKUP(Z$14,TableInputsData[],6,FALSE)),"",VLOOKUP(Z$14,TableInputsData[],6,FALSE))</f>
        <v>-</v>
      </c>
      <c r="AA8" s="341" t="str">
        <f>IF(ISNA(VLOOKUP(AA$14,TableInputsData[],6,FALSE)),"",VLOOKUP(AA$14,TableInputsData[],6,FALSE))</f>
        <v>-</v>
      </c>
      <c r="AB8" s="341" t="str">
        <f>IF(ISNA(VLOOKUP(AB$14,TableInputsData[],6,FALSE)),"",VLOOKUP(AB$14,TableInputsData[],6,FALSE))</f>
        <v>-</v>
      </c>
      <c r="AC8" s="341" t="str">
        <f>IF(ISNA(VLOOKUP(AC$14,TableInputsData[],6,FALSE)),"",VLOOKUP(AC$14,TableInputsData[],6,FALSE))</f>
        <v>-</v>
      </c>
      <c r="AD8" s="341" t="str">
        <f>IF(ISNA(VLOOKUP(AD$14,TableInputsData[],6,FALSE)),"",VLOOKUP(AD$14,TableInputsData[],6,FALSE))</f>
        <v>-</v>
      </c>
      <c r="AE8" s="341" t="str">
        <f>IF(ISNA(VLOOKUP(AE$14,TableInputsData[],6,FALSE)),"",VLOOKUP(AE$14,TableInputsData[],6,FALSE))</f>
        <v>-</v>
      </c>
      <c r="AF8" s="341" t="str">
        <f>IF(ISNA(VLOOKUP(AF$14,TableInputsData[],6,FALSE)),"",VLOOKUP(AF$14,TableInputsData[],6,FALSE))</f>
        <v>-</v>
      </c>
      <c r="AG8" s="341" t="str">
        <f>IF(ISNA(VLOOKUP(AG$14,TableInputsData[],6,FALSE)),"",VLOOKUP(AG$14,TableInputsData[],6,FALSE))</f>
        <v>-</v>
      </c>
      <c r="AH8" s="341" t="str">
        <f>IF(ISNA(VLOOKUP(AH$14,TableInputsData[],6,FALSE)),"",VLOOKUP(AH$14,TableInputsData[],6,FALSE))</f>
        <v>-</v>
      </c>
      <c r="AI8" s="341" t="str">
        <f>IF(ISNA(VLOOKUP(AI$14,TableInputsData[],6,FALSE)),"",VLOOKUP(AI$14,TableInputsData[],6,FALSE))</f>
        <v>-</v>
      </c>
      <c r="AJ8" s="341" t="str">
        <f>IF(ISNA(VLOOKUP(AJ$14,TableInputsData[],6,FALSE)),"",VLOOKUP(AJ$14,TableInputsData[],6,FALSE))</f>
        <v>-</v>
      </c>
      <c r="AK8" s="341" t="str">
        <f>IF(ISNA(VLOOKUP(AK$14,TableInputsData[],6,FALSE)),"",VLOOKUP(AK$14,TableInputsData[],6,FALSE))</f>
        <v>-</v>
      </c>
      <c r="AL8" s="341" t="str">
        <f>IF(ISNA(VLOOKUP(AL$14,TableInputsData[],6,FALSE)),"",VLOOKUP(AL$14,TableInputsData[],6,FALSE))</f>
        <v>-</v>
      </c>
      <c r="AM8" s="341" t="str">
        <f>IF(ISNA(VLOOKUP(AM$14,TableInputsData[],6,FALSE)),"",VLOOKUP(AM$14,TableInputsData[],6,FALSE))</f>
        <v>-</v>
      </c>
      <c r="AN8" s="341" t="str">
        <f>IF(ISNA(VLOOKUP(AN$14,TableInputsData[],6,FALSE)),"",VLOOKUP(AN$14,TableInputsData[],6,FALSE))</f>
        <v>-</v>
      </c>
      <c r="AO8" s="341" t="str">
        <f>IF(ISNA(VLOOKUP(AO$14,TableInputsData[],6,FALSE)),"",VLOOKUP(AO$14,TableInputsData[],6,FALSE))</f>
        <v>-</v>
      </c>
      <c r="AP8" s="341" t="str">
        <f>IF(ISNA(VLOOKUP(AP$14,TableInputsData[],6,FALSE)),"",VLOOKUP(AP$14,TableInputsData[],6,FALSE))</f>
        <v>-</v>
      </c>
      <c r="AQ8" s="341" t="str">
        <f>IF(ISNA(VLOOKUP(AQ$14,TableInputsData[],6,FALSE)),"",VLOOKUP(AQ$14,TableInputsData[],6,FALSE))</f>
        <v>-</v>
      </c>
      <c r="AR8" s="341" t="str">
        <f>IF(ISNA(VLOOKUP(AR$14,TableInputsData[],6,FALSE)),"",VLOOKUP(AR$14,TableInputsData[],6,FALSE))</f>
        <v>-</v>
      </c>
      <c r="AS8" s="933"/>
      <c r="AT8" s="294"/>
      <c r="AU8" s="294"/>
      <c r="AV8" s="296"/>
      <c r="AW8" s="294"/>
      <c r="AX8" s="933"/>
      <c r="AY8" s="933"/>
      <c r="AZ8" s="933"/>
      <c r="BA8" s="933"/>
      <c r="BB8" s="294"/>
      <c r="BC8" s="294"/>
      <c r="BD8" s="296"/>
      <c r="BE8" s="294"/>
      <c r="BF8" s="933"/>
      <c r="BG8" s="933"/>
      <c r="BH8" s="933"/>
      <c r="BI8" s="294"/>
      <c r="BJ8" s="294"/>
      <c r="BK8" s="296"/>
      <c r="BL8" s="294"/>
      <c r="BM8" s="933"/>
      <c r="BN8" s="933"/>
      <c r="BO8" s="933"/>
      <c r="BP8" s="294"/>
      <c r="BQ8" s="294"/>
      <c r="BR8" s="294"/>
      <c r="BS8" s="309"/>
      <c r="BT8" s="340"/>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row>
    <row r="9" spans="1:98" ht="15" customHeight="1" x14ac:dyDescent="0.2">
      <c r="A9" s="294"/>
      <c r="B9" s="294"/>
      <c r="C9" s="294"/>
      <c r="D9" s="299" t="str">
        <f>VLOOKUP("EXCHANGE RATE LOCAL CURRENCY / EURO",TableInputsData[],ReadMe!$M$3,FALSE)</f>
        <v>TAUX DE CHANGE MONNAIE LOCALE / EURO</v>
      </c>
      <c r="E9" s="338"/>
      <c r="F9" s="339">
        <f>InputsData!$J$9</f>
        <v>655.95699999999999</v>
      </c>
      <c r="G9" s="294"/>
      <c r="H9" s="294"/>
      <c r="I9" s="294"/>
      <c r="J9" s="294"/>
      <c r="K9" s="294"/>
      <c r="L9" s="294"/>
      <c r="M9" s="296"/>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294"/>
      <c r="AS9" s="304"/>
      <c r="AT9" s="294"/>
      <c r="AU9" s="294"/>
      <c r="AV9" s="296"/>
      <c r="AW9" s="294"/>
      <c r="AX9" s="294"/>
      <c r="AY9" s="294"/>
      <c r="AZ9" s="294"/>
      <c r="BA9" s="294"/>
      <c r="BB9" s="294"/>
      <c r="BC9" s="294"/>
      <c r="BD9" s="296"/>
      <c r="BE9" s="294"/>
      <c r="BF9" s="933"/>
      <c r="BG9" s="933"/>
      <c r="BH9" s="294"/>
      <c r="BI9" s="294"/>
      <c r="BJ9" s="294"/>
      <c r="BK9" s="296"/>
      <c r="BL9" s="294"/>
      <c r="BM9" s="294"/>
      <c r="BN9" s="294"/>
      <c r="BO9" s="294"/>
      <c r="BP9" s="294"/>
      <c r="BQ9" s="294"/>
      <c r="BR9" s="294"/>
      <c r="BS9" s="309"/>
      <c r="BT9" s="340"/>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row>
    <row r="10" spans="1:98" ht="15" hidden="1" customHeight="1" outlineLevel="1" x14ac:dyDescent="0.2">
      <c r="A10" s="294"/>
      <c r="B10" s="294"/>
      <c r="C10" s="294"/>
      <c r="D10" s="296"/>
      <c r="E10" s="294"/>
      <c r="F10" s="294"/>
      <c r="G10" s="294"/>
      <c r="H10" s="294"/>
      <c r="I10" s="294"/>
      <c r="J10" s="294"/>
      <c r="K10" s="294"/>
      <c r="L10" s="294"/>
      <c r="M10" s="296"/>
      <c r="N10" s="294"/>
      <c r="O10" s="294"/>
      <c r="P10" s="294"/>
      <c r="Q10" s="294"/>
      <c r="R10" s="294"/>
      <c r="S10" s="341" t="str">
        <f>IF(ISNA(VLOOKUP(S$14,TableInputsData[],ReadMe!$M$3,FALSE)),"",VLOOKUP(S$14,TableInputsData[],ReadMe!$M$3,FALSE))</f>
        <v>PRODUIT 05</v>
      </c>
      <c r="T10" s="341" t="str">
        <f>IF(ISNA(VLOOKUP(T$14,TableInputsData[],ReadMe!$M$3,FALSE)),"",VLOOKUP(T$14,TableInputsData[],ReadMe!$M$3,FALSE))</f>
        <v>PRODUIT 06</v>
      </c>
      <c r="U10" s="341" t="str">
        <f>IF(ISNA(VLOOKUP(U$14,TableInputsData[],ReadMe!$M$3,FALSE)),"",VLOOKUP(U$14,TableInputsData[],ReadMe!$M$3,FALSE))</f>
        <v>PRODUIT 07</v>
      </c>
      <c r="V10" s="341" t="str">
        <f>IF(ISNA(VLOOKUP(V$14,TableInputsData[],ReadMe!$M$3,FALSE)),"",VLOOKUP(V$14,TableInputsData[],ReadMe!$M$3,FALSE))</f>
        <v>PRODUIT 08</v>
      </c>
      <c r="W10" s="341" t="str">
        <f>IF(ISNA(VLOOKUP(W$14,TableInputsData[],ReadMe!$M$3,FALSE)),"",VLOOKUP(W$14,TableInputsData[],ReadMe!$M$3,FALSE))</f>
        <v>PRODUIT 09</v>
      </c>
      <c r="X10" s="341" t="str">
        <f>IF(ISNA(VLOOKUP(X$14,TableInputsData[],ReadMe!$M$3,FALSE)),"",VLOOKUP(X$14,TableInputsData[],ReadMe!$M$3,FALSE))</f>
        <v>PRODUIT 10</v>
      </c>
      <c r="Y10" s="341" t="str">
        <f>IF(ISNA(VLOOKUP(Y$14,TableInputsData[],ReadMe!$M$3,FALSE)),"",VLOOKUP(Y$14,TableInputsData[],ReadMe!$M$3,FALSE))</f>
        <v>PRODUIT 11</v>
      </c>
      <c r="Z10" s="341" t="str">
        <f>IF(ISNA(VLOOKUP(Z$14,TableInputsData[],ReadMe!$M$3,FALSE)),"",VLOOKUP(Z$14,TableInputsData[],ReadMe!$M$3,FALSE))</f>
        <v>PRODUIT 12</v>
      </c>
      <c r="AA10" s="341" t="str">
        <f>IF(ISNA(VLOOKUP(AA$14,TableInputsData[],ReadMe!$M$3,FALSE)),"",VLOOKUP(AA$14,TableInputsData[],ReadMe!$M$3,FALSE))</f>
        <v>PRODUIT 13</v>
      </c>
      <c r="AB10" s="341" t="str">
        <f>IF(ISNA(VLOOKUP(AB$14,TableInputsData[],ReadMe!$M$3,FALSE)),"",VLOOKUP(AB$14,TableInputsData[],ReadMe!$M$3,FALSE))</f>
        <v>PRODUIT 14</v>
      </c>
      <c r="AC10" s="341" t="str">
        <f>IF(ISNA(VLOOKUP(AC$14,TableInputsData[],ReadMe!$M$3,FALSE)),"",VLOOKUP(AC$14,TableInputsData[],ReadMe!$M$3,FALSE))</f>
        <v>PRODUIT 15</v>
      </c>
      <c r="AD10" s="341" t="str">
        <f>IF(ISNA(VLOOKUP(AD$14,TableInputsData[],ReadMe!$M$3,FALSE)),"",VLOOKUP(AD$14,TableInputsData[],ReadMe!$M$3,FALSE))</f>
        <v>PRODUIT 16</v>
      </c>
      <c r="AE10" s="341" t="str">
        <f>IF(ISNA(VLOOKUP(AE$14,TableInputsData[],ReadMe!$M$3,FALSE)),"",VLOOKUP(AE$14,TableInputsData[],ReadMe!$M$3,FALSE))</f>
        <v>PRODUIT 17</v>
      </c>
      <c r="AF10" s="341" t="str">
        <f>IF(ISNA(VLOOKUP(AF$14,TableInputsData[],ReadMe!$M$3,FALSE)),"",VLOOKUP(AF$14,TableInputsData[],ReadMe!$M$3,FALSE))</f>
        <v>PRODUIT 18</v>
      </c>
      <c r="AG10" s="341" t="str">
        <f>IF(ISNA(VLOOKUP(AG$14,TableInputsData[],ReadMe!$M$3,FALSE)),"",VLOOKUP(AG$14,TableInputsData[],ReadMe!$M$3,FALSE))</f>
        <v>PRODUIT 19</v>
      </c>
      <c r="AH10" s="341" t="str">
        <f>IF(ISNA(VLOOKUP(AH$14,TableInputsData[],ReadMe!$M$3,FALSE)),"",VLOOKUP(AH$14,TableInputsData[],ReadMe!$M$3,FALSE))</f>
        <v>PRODUIT 20</v>
      </c>
      <c r="AI10" s="341" t="str">
        <f>IF(ISNA(VLOOKUP(AI$14,TableInputsData[],ReadMe!$M$3,FALSE)),"",VLOOKUP(AI$14,TableInputsData[],ReadMe!$M$3,FALSE))</f>
        <v>SERVICE 01</v>
      </c>
      <c r="AJ10" s="341" t="str">
        <f>IF(ISNA(VLOOKUP(AJ$14,TableInputsData[],ReadMe!$M$3,FALSE)),"",VLOOKUP(AJ$14,TableInputsData[],ReadMe!$M$3,FALSE))</f>
        <v>SERVICE 02</v>
      </c>
      <c r="AK10" s="341" t="str">
        <f>IF(ISNA(VLOOKUP(AK$14,TableInputsData[],ReadMe!$M$3,FALSE)),"",VLOOKUP(AK$14,TableInputsData[],ReadMe!$M$3,FALSE))</f>
        <v>SERVICE 03</v>
      </c>
      <c r="AL10" s="341" t="str">
        <f>IF(ISNA(VLOOKUP(AL$14,TableInputsData[],ReadMe!$M$3,FALSE)),"",VLOOKUP(AL$14,TableInputsData[],ReadMe!$M$3,FALSE))</f>
        <v>SERVICE 04</v>
      </c>
      <c r="AM10" s="341" t="str">
        <f>IF(ISNA(VLOOKUP(AM$14,TableInputsData[],ReadMe!$M$3,FALSE)),"",VLOOKUP(AM$14,TableInputsData[],ReadMe!$M$3,FALSE))</f>
        <v>SERVICE 05</v>
      </c>
      <c r="AN10" s="341" t="str">
        <f>IF(ISNA(VLOOKUP(AN$14,TableInputsData[],ReadMe!$M$3,FALSE)),"",VLOOKUP(AN$14,TableInputsData[],ReadMe!$M$3,FALSE))</f>
        <v>SERVICE 06</v>
      </c>
      <c r="AO10" s="341" t="str">
        <f>IF(ISNA(VLOOKUP(AO$14,TableInputsData[],ReadMe!$M$3,FALSE)),"",VLOOKUP(AO$14,TableInputsData[],ReadMe!$M$3,FALSE))</f>
        <v>SERVICE 07</v>
      </c>
      <c r="AP10" s="341" t="str">
        <f>IF(ISNA(VLOOKUP(AP$14,TableInputsData[],ReadMe!$M$3,FALSE)),"",VLOOKUP(AP$14,TableInputsData[],ReadMe!$M$3,FALSE))</f>
        <v>SERVICE 08</v>
      </c>
      <c r="AQ10" s="341" t="str">
        <f>IF(ISNA(VLOOKUP(AQ$14,TableInputsData[],ReadMe!$M$3,FALSE)),"",VLOOKUP(AQ$14,TableInputsData[],ReadMe!$M$3,FALSE))</f>
        <v>SERVICE 09</v>
      </c>
      <c r="AR10" s="341" t="str">
        <f>IF(ISNA(VLOOKUP(AR$14,TableInputsData[],ReadMe!$M$3,FALSE)),"",VLOOKUP(AR$14,TableInputsData[],ReadMe!$M$3,FALSE))</f>
        <v>SERVICE 10</v>
      </c>
      <c r="AS10" s="342"/>
      <c r="AT10" s="294"/>
      <c r="AU10" s="294"/>
      <c r="AV10" s="296"/>
      <c r="AW10" s="294"/>
      <c r="AX10" s="294"/>
      <c r="AY10" s="294"/>
      <c r="AZ10" s="294"/>
      <c r="BA10" s="294"/>
      <c r="BB10" s="294"/>
      <c r="BC10" s="294"/>
      <c r="BD10" s="296"/>
      <c r="BE10" s="294"/>
      <c r="BF10" s="294"/>
      <c r="BG10" s="294"/>
      <c r="BH10" s="294"/>
      <c r="BI10" s="294"/>
      <c r="BJ10" s="294"/>
      <c r="BK10" s="296"/>
      <c r="BL10" s="294"/>
      <c r="BM10" s="294"/>
      <c r="BN10" s="294"/>
      <c r="BO10" s="294"/>
      <c r="BP10" s="294"/>
      <c r="BQ10" s="294"/>
      <c r="BR10" s="294"/>
      <c r="BS10" s="309"/>
      <c r="BT10" s="152" t="s">
        <v>465</v>
      </c>
      <c r="BU10" s="337" t="s">
        <v>114</v>
      </c>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row>
    <row r="11" spans="1:98" ht="15" hidden="1" customHeight="1" outlineLevel="1" x14ac:dyDescent="0.2">
      <c r="A11" s="294"/>
      <c r="B11" s="294"/>
      <c r="C11" s="294"/>
      <c r="D11" s="340" t="s">
        <v>379</v>
      </c>
      <c r="E11" s="294"/>
      <c r="F11" s="294"/>
      <c r="G11" s="294"/>
      <c r="H11" s="294"/>
      <c r="I11" s="294"/>
      <c r="J11" s="294"/>
      <c r="K11" s="294"/>
      <c r="L11" s="294"/>
      <c r="M11" s="152" t="s">
        <v>465</v>
      </c>
      <c r="N11" s="337" t="s">
        <v>114</v>
      </c>
      <c r="O11" s="294"/>
      <c r="P11" s="294"/>
      <c r="Q11" s="294"/>
      <c r="R11" s="294"/>
      <c r="S11" s="341" t="str">
        <f>IF(ISNA(VLOOKUP(S$14,TableInputsData[],6,FALSE)),"",VLOOKUP(S$14,TableInputsData[],6,FALSE))</f>
        <v>-</v>
      </c>
      <c r="T11" s="341" t="str">
        <f>IF(ISNA(VLOOKUP(T$14,TableInputsData[],6,FALSE)),"",VLOOKUP(T$14,TableInputsData[],6,FALSE))</f>
        <v>-</v>
      </c>
      <c r="U11" s="341" t="str">
        <f>IF(ISNA(VLOOKUP(U$14,TableInputsData[],6,FALSE)),"",VLOOKUP(U$14,TableInputsData[],6,FALSE))</f>
        <v>-</v>
      </c>
      <c r="V11" s="341" t="str">
        <f>IF(ISNA(VLOOKUP(V$14,TableInputsData[],6,FALSE)),"",VLOOKUP(V$14,TableInputsData[],6,FALSE))</f>
        <v>-</v>
      </c>
      <c r="W11" s="341" t="str">
        <f>IF(ISNA(VLOOKUP(W$14,TableInputsData[],6,FALSE)),"",VLOOKUP(W$14,TableInputsData[],6,FALSE))</f>
        <v>-</v>
      </c>
      <c r="X11" s="341" t="str">
        <f>IF(ISNA(VLOOKUP(X$14,TableInputsData[],6,FALSE)),"",VLOOKUP(X$14,TableInputsData[],6,FALSE))</f>
        <v>-</v>
      </c>
      <c r="Y11" s="341" t="str">
        <f>IF(ISNA(VLOOKUP(Y$14,TableInputsData[],6,FALSE)),"",VLOOKUP(Y$14,TableInputsData[],6,FALSE))</f>
        <v>-</v>
      </c>
      <c r="Z11" s="341" t="str">
        <f>IF(ISNA(VLOOKUP(Z$14,TableInputsData[],6,FALSE)),"",VLOOKUP(Z$14,TableInputsData[],6,FALSE))</f>
        <v>-</v>
      </c>
      <c r="AA11" s="341" t="str">
        <f>IF(ISNA(VLOOKUP(AA$14,TableInputsData[],6,FALSE)),"",VLOOKUP(AA$14,TableInputsData[],6,FALSE))</f>
        <v>-</v>
      </c>
      <c r="AB11" s="341" t="str">
        <f>IF(ISNA(VLOOKUP(AB$14,TableInputsData[],6,FALSE)),"",VLOOKUP(AB$14,TableInputsData[],6,FALSE))</f>
        <v>-</v>
      </c>
      <c r="AC11" s="341" t="str">
        <f>IF(ISNA(VLOOKUP(AC$14,TableInputsData[],6,FALSE)),"",VLOOKUP(AC$14,TableInputsData[],6,FALSE))</f>
        <v>-</v>
      </c>
      <c r="AD11" s="341" t="str">
        <f>IF(ISNA(VLOOKUP(AD$14,TableInputsData[],6,FALSE)),"",VLOOKUP(AD$14,TableInputsData[],6,FALSE))</f>
        <v>-</v>
      </c>
      <c r="AE11" s="341" t="str">
        <f>IF(ISNA(VLOOKUP(AE$14,TableInputsData[],6,FALSE)),"",VLOOKUP(AE$14,TableInputsData[],6,FALSE))</f>
        <v>-</v>
      </c>
      <c r="AF11" s="341" t="str">
        <f>IF(ISNA(VLOOKUP(AF$14,TableInputsData[],6,FALSE)),"",VLOOKUP(AF$14,TableInputsData[],6,FALSE))</f>
        <v>-</v>
      </c>
      <c r="AG11" s="341" t="str">
        <f>IF(ISNA(VLOOKUP(AG$14,TableInputsData[],6,FALSE)),"",VLOOKUP(AG$14,TableInputsData[],6,FALSE))</f>
        <v>-</v>
      </c>
      <c r="AH11" s="341" t="str">
        <f>IF(ISNA(VLOOKUP(AH$14,TableInputsData[],6,FALSE)),"",VLOOKUP(AH$14,TableInputsData[],6,FALSE))</f>
        <v>-</v>
      </c>
      <c r="AI11" s="341" t="str">
        <f>IF(ISNA(VLOOKUP(AI$14,TableInputsData[],6,FALSE)),"",VLOOKUP(AI$14,TableInputsData[],6,FALSE))</f>
        <v>-</v>
      </c>
      <c r="AJ11" s="341" t="str">
        <f>IF(ISNA(VLOOKUP(AJ$14,TableInputsData[],6,FALSE)),"",VLOOKUP(AJ$14,TableInputsData[],6,FALSE))</f>
        <v>-</v>
      </c>
      <c r="AK11" s="341" t="str">
        <f>IF(ISNA(VLOOKUP(AK$14,TableInputsData[],6,FALSE)),"",VLOOKUP(AK$14,TableInputsData[],6,FALSE))</f>
        <v>-</v>
      </c>
      <c r="AL11" s="341" t="str">
        <f>IF(ISNA(VLOOKUP(AL$14,TableInputsData[],6,FALSE)),"",VLOOKUP(AL$14,TableInputsData[],6,FALSE))</f>
        <v>-</v>
      </c>
      <c r="AM11" s="341" t="str">
        <f>IF(ISNA(VLOOKUP(AM$14,TableInputsData[],6,FALSE)),"",VLOOKUP(AM$14,TableInputsData[],6,FALSE))</f>
        <v>-</v>
      </c>
      <c r="AN11" s="341" t="str">
        <f>IF(ISNA(VLOOKUP(AN$14,TableInputsData[],6,FALSE)),"",VLOOKUP(AN$14,TableInputsData[],6,FALSE))</f>
        <v>-</v>
      </c>
      <c r="AO11" s="341" t="str">
        <f>IF(ISNA(VLOOKUP(AO$14,TableInputsData[],6,FALSE)),"",VLOOKUP(AO$14,TableInputsData[],6,FALSE))</f>
        <v>-</v>
      </c>
      <c r="AP11" s="341" t="str">
        <f>IF(ISNA(VLOOKUP(AP$14,TableInputsData[],6,FALSE)),"",VLOOKUP(AP$14,TableInputsData[],6,FALSE))</f>
        <v>-</v>
      </c>
      <c r="AQ11" s="341" t="str">
        <f>IF(ISNA(VLOOKUP(AQ$14,TableInputsData[],6,FALSE)),"",VLOOKUP(AQ$14,TableInputsData[],6,FALSE))</f>
        <v>-</v>
      </c>
      <c r="AR11" s="341" t="str">
        <f>IF(ISNA(VLOOKUP(AR$14,TableInputsData[],6,FALSE)),"",VLOOKUP(AR$14,TableInputsData[],6,FALSE))</f>
        <v>-</v>
      </c>
      <c r="AS11" s="342"/>
      <c r="AT11" s="294"/>
      <c r="AU11" s="294"/>
      <c r="AV11" s="296"/>
      <c r="AW11" s="294"/>
      <c r="AX11" s="294"/>
      <c r="AY11" s="294"/>
      <c r="AZ11" s="294"/>
      <c r="BA11" s="294"/>
      <c r="BB11" s="294"/>
      <c r="BC11" s="294"/>
      <c r="BD11" s="296"/>
      <c r="BE11" s="294"/>
      <c r="BF11" s="294"/>
      <c r="BG11" s="294"/>
      <c r="BH11" s="294"/>
      <c r="BI11" s="294"/>
      <c r="BJ11" s="294"/>
      <c r="BK11" s="152" t="s">
        <v>465</v>
      </c>
      <c r="BL11" s="25" t="s">
        <v>114</v>
      </c>
      <c r="BM11" s="294"/>
      <c r="BN11" s="294"/>
      <c r="BO11" s="294"/>
      <c r="BP11" s="294"/>
      <c r="BQ11" s="294"/>
      <c r="BR11" s="294"/>
      <c r="BS11" s="309"/>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row>
    <row r="12" spans="1:98" ht="15" hidden="1" customHeight="1" outlineLevel="1" x14ac:dyDescent="0.2">
      <c r="A12" s="294"/>
      <c r="B12" s="294"/>
      <c r="C12" s="294"/>
      <c r="D12" s="152" t="s">
        <v>465</v>
      </c>
      <c r="E12" s="25" t="s">
        <v>114</v>
      </c>
      <c r="F12" s="294"/>
      <c r="G12" s="294"/>
      <c r="H12" s="294"/>
      <c r="I12" s="294"/>
      <c r="J12" s="294"/>
      <c r="K12" s="294"/>
      <c r="L12" s="294"/>
      <c r="M12" s="294"/>
      <c r="N12" s="294"/>
      <c r="O12" s="294"/>
      <c r="P12" s="294"/>
      <c r="Q12" s="294"/>
      <c r="R12" s="294"/>
      <c r="S12" s="294"/>
      <c r="T12" s="294"/>
      <c r="U12" s="294"/>
      <c r="V12" s="294"/>
      <c r="W12" s="294"/>
      <c r="X12" s="294"/>
      <c r="Y12" s="294"/>
      <c r="Z12" s="294"/>
      <c r="AA12" s="294"/>
      <c r="AB12" s="294"/>
      <c r="AC12" s="294"/>
      <c r="AD12" s="294"/>
      <c r="AE12" s="294"/>
      <c r="AF12" s="294"/>
      <c r="AG12" s="294"/>
      <c r="AH12" s="294"/>
      <c r="AI12" s="294"/>
      <c r="AJ12" s="294"/>
      <c r="AK12" s="294"/>
      <c r="AL12" s="294"/>
      <c r="AM12" s="294"/>
      <c r="AN12" s="294"/>
      <c r="AO12" s="294"/>
      <c r="AP12" s="294"/>
      <c r="AQ12" s="294"/>
      <c r="AR12" s="294"/>
      <c r="AS12" s="304"/>
      <c r="AT12" s="294"/>
      <c r="AU12" s="294"/>
      <c r="AV12" s="152" t="s">
        <v>465</v>
      </c>
      <c r="AW12" s="25" t="s">
        <v>114</v>
      </c>
      <c r="AX12" s="294"/>
      <c r="AY12" s="294"/>
      <c r="AZ12" s="294"/>
      <c r="BA12" s="294"/>
      <c r="BB12" s="294"/>
      <c r="BC12" s="294"/>
      <c r="BD12" s="152" t="s">
        <v>465</v>
      </c>
      <c r="BE12" s="25" t="s">
        <v>114</v>
      </c>
      <c r="BF12" s="294"/>
      <c r="BG12" s="294"/>
      <c r="BH12" s="294"/>
      <c r="BI12" s="294"/>
      <c r="BJ12" s="294"/>
      <c r="BK12" s="294"/>
      <c r="BL12" s="294"/>
      <c r="BM12" s="370"/>
      <c r="BN12" s="370"/>
      <c r="BO12" s="370"/>
      <c r="BP12" s="294"/>
      <c r="BQ12" s="294"/>
      <c r="BR12" s="344"/>
      <c r="BS12" s="597"/>
      <c r="BT12" s="358"/>
      <c r="BU12" s="358"/>
      <c r="BV12" s="359" t="s">
        <v>462</v>
      </c>
      <c r="BW12" s="152" t="s">
        <v>216</v>
      </c>
      <c r="BX12" s="344"/>
      <c r="BY12" s="344"/>
      <c r="BZ12" s="344"/>
      <c r="CA12" s="344"/>
      <c r="CB12" s="344"/>
      <c r="CC12" s="344"/>
      <c r="CD12" s="344"/>
      <c r="CE12" s="344"/>
      <c r="CF12" s="344"/>
      <c r="CG12" s="344"/>
      <c r="CH12" s="344"/>
      <c r="CI12" s="344"/>
      <c r="CJ12" s="344"/>
      <c r="CK12" s="344"/>
      <c r="CL12" s="344"/>
      <c r="CM12" s="344"/>
      <c r="CN12" s="344"/>
      <c r="CO12" s="344"/>
      <c r="CP12" s="344"/>
      <c r="CQ12" s="344"/>
      <c r="CR12" s="344"/>
      <c r="CS12" s="344"/>
      <c r="CT12" s="294"/>
    </row>
    <row r="13" spans="1:98" hidden="1" outlineLevel="1" x14ac:dyDescent="0.2">
      <c r="A13" s="294"/>
      <c r="B13" s="294"/>
      <c r="C13" s="294"/>
      <c r="D13" s="294"/>
      <c r="E13" s="294"/>
      <c r="F13" s="294"/>
      <c r="G13" s="294"/>
      <c r="H13" s="294"/>
      <c r="I13" s="294"/>
      <c r="J13" s="294"/>
      <c r="K13" s="294"/>
      <c r="L13" s="294"/>
      <c r="M13" s="358" t="s">
        <v>521</v>
      </c>
      <c r="N13" s="358"/>
      <c r="O13" s="151" t="s">
        <v>463</v>
      </c>
      <c r="P13" s="344"/>
      <c r="Q13" s="344"/>
      <c r="R13" s="344"/>
      <c r="S13" s="344"/>
      <c r="T13" s="344"/>
      <c r="U13" s="344"/>
      <c r="V13" s="344"/>
      <c r="W13" s="344"/>
      <c r="X13" s="344"/>
      <c r="Y13" s="344"/>
      <c r="Z13" s="344"/>
      <c r="AA13" s="344"/>
      <c r="AB13" s="344"/>
      <c r="AC13" s="344"/>
      <c r="AD13" s="344"/>
      <c r="AE13" s="344"/>
      <c r="AF13" s="344"/>
      <c r="AG13" s="344"/>
      <c r="AH13" s="344"/>
      <c r="AI13" s="344"/>
      <c r="AJ13" s="344"/>
      <c r="AK13" s="344"/>
      <c r="AL13" s="344"/>
      <c r="AM13" s="344"/>
      <c r="AN13" s="344"/>
      <c r="AO13" s="344"/>
      <c r="AP13" s="344"/>
      <c r="AQ13" s="344"/>
      <c r="AR13" s="344"/>
      <c r="AS13" s="345"/>
      <c r="AT13" s="294"/>
      <c r="AU13" s="294"/>
      <c r="AV13" s="294"/>
      <c r="AW13" s="294"/>
      <c r="AX13" s="294"/>
      <c r="AY13" s="294"/>
      <c r="AZ13" s="294"/>
      <c r="BA13" s="294"/>
      <c r="BB13" s="294"/>
      <c r="BC13" s="294"/>
      <c r="BD13" s="294"/>
      <c r="BE13" s="294"/>
      <c r="BF13" s="294"/>
      <c r="BG13" s="294"/>
      <c r="BH13" s="294"/>
      <c r="BI13" s="294"/>
      <c r="BJ13" s="294"/>
      <c r="BK13" s="358" t="s">
        <v>521</v>
      </c>
      <c r="BL13" s="358"/>
      <c r="BM13" s="369" t="s">
        <v>624</v>
      </c>
      <c r="BN13" s="344"/>
      <c r="BO13" s="344"/>
      <c r="BP13" s="294"/>
      <c r="BQ13" s="294"/>
      <c r="BR13" s="344"/>
      <c r="BS13" s="597"/>
      <c r="BT13" s="358"/>
      <c r="BU13" s="358"/>
      <c r="BV13" s="920">
        <v>2023</v>
      </c>
      <c r="BW13" s="920">
        <v>2023</v>
      </c>
      <c r="BX13" s="920">
        <v>2023</v>
      </c>
      <c r="BY13" s="920">
        <v>2024</v>
      </c>
      <c r="BZ13" s="382">
        <v>2024</v>
      </c>
      <c r="CA13" s="920">
        <v>2024</v>
      </c>
      <c r="CB13" s="920">
        <v>2025</v>
      </c>
      <c r="CC13" s="382">
        <v>2025</v>
      </c>
      <c r="CD13" s="920">
        <v>2025</v>
      </c>
      <c r="CE13" s="920">
        <v>2026</v>
      </c>
      <c r="CF13" s="382">
        <v>2026</v>
      </c>
      <c r="CG13" s="920">
        <v>2026</v>
      </c>
      <c r="CH13" s="920">
        <v>2027</v>
      </c>
      <c r="CI13" s="382">
        <v>2027</v>
      </c>
      <c r="CJ13" s="920">
        <v>2027</v>
      </c>
      <c r="CK13" s="920">
        <v>2028</v>
      </c>
      <c r="CL13" s="382">
        <v>2028</v>
      </c>
      <c r="CM13" s="920">
        <v>2028</v>
      </c>
      <c r="CN13" s="920">
        <v>2029</v>
      </c>
      <c r="CO13" s="382">
        <v>2029</v>
      </c>
      <c r="CP13" s="920">
        <v>2029</v>
      </c>
      <c r="CQ13" s="920">
        <v>2030</v>
      </c>
      <c r="CR13" s="382">
        <v>2030</v>
      </c>
      <c r="CS13" s="920">
        <v>2030</v>
      </c>
      <c r="CT13" s="294"/>
    </row>
    <row r="14" spans="1:98" ht="49.5" customHeight="1" collapsed="1" x14ac:dyDescent="0.2">
      <c r="A14" s="294"/>
      <c r="B14" s="361" t="s">
        <v>0</v>
      </c>
      <c r="C14" s="294"/>
      <c r="D14" s="152" t="s">
        <v>0</v>
      </c>
      <c r="E14" s="152" t="s">
        <v>462</v>
      </c>
      <c r="F14" s="152" t="s">
        <v>517</v>
      </c>
      <c r="G14" s="152" t="s">
        <v>518</v>
      </c>
      <c r="H14" s="152" t="s">
        <v>519</v>
      </c>
      <c r="I14" s="152" t="s">
        <v>520</v>
      </c>
      <c r="J14" s="152" t="s">
        <v>521</v>
      </c>
      <c r="K14" s="294"/>
      <c r="L14" s="294"/>
      <c r="M14" s="152" t="s">
        <v>0</v>
      </c>
      <c r="N14" s="360" t="s">
        <v>462</v>
      </c>
      <c r="O14" s="360" t="s">
        <v>537</v>
      </c>
      <c r="P14" s="360" t="s">
        <v>538</v>
      </c>
      <c r="Q14" s="360" t="s">
        <v>539</v>
      </c>
      <c r="R14" s="360" t="s">
        <v>540</v>
      </c>
      <c r="S14" s="360" t="s">
        <v>541</v>
      </c>
      <c r="T14" s="360" t="s">
        <v>542</v>
      </c>
      <c r="U14" s="360" t="s">
        <v>543</v>
      </c>
      <c r="V14" s="360" t="s">
        <v>544</v>
      </c>
      <c r="W14" s="360" t="s">
        <v>545</v>
      </c>
      <c r="X14" s="360" t="s">
        <v>401</v>
      </c>
      <c r="Y14" s="360" t="s">
        <v>1710</v>
      </c>
      <c r="Z14" s="360" t="s">
        <v>1712</v>
      </c>
      <c r="AA14" s="360" t="s">
        <v>1714</v>
      </c>
      <c r="AB14" s="360" t="s">
        <v>1716</v>
      </c>
      <c r="AC14" s="360" t="s">
        <v>1718</v>
      </c>
      <c r="AD14" s="360" t="s">
        <v>1720</v>
      </c>
      <c r="AE14" s="360" t="s">
        <v>1722</v>
      </c>
      <c r="AF14" s="360" t="s">
        <v>1724</v>
      </c>
      <c r="AG14" s="360" t="s">
        <v>1726</v>
      </c>
      <c r="AH14" s="360" t="s">
        <v>1728</v>
      </c>
      <c r="AI14" s="360" t="s">
        <v>546</v>
      </c>
      <c r="AJ14" s="360" t="s">
        <v>547</v>
      </c>
      <c r="AK14" s="360" t="s">
        <v>548</v>
      </c>
      <c r="AL14" s="360" t="s">
        <v>549</v>
      </c>
      <c r="AM14" s="360" t="s">
        <v>550</v>
      </c>
      <c r="AN14" s="360" t="s">
        <v>551</v>
      </c>
      <c r="AO14" s="360" t="s">
        <v>552</v>
      </c>
      <c r="AP14" s="360" t="s">
        <v>553</v>
      </c>
      <c r="AQ14" s="360" t="s">
        <v>554</v>
      </c>
      <c r="AR14" s="360" t="s">
        <v>115</v>
      </c>
      <c r="AS14" s="361" t="s">
        <v>521</v>
      </c>
      <c r="AT14" s="294"/>
      <c r="AU14" s="294"/>
      <c r="AV14" s="152" t="s">
        <v>0</v>
      </c>
      <c r="AW14" s="152" t="s">
        <v>462</v>
      </c>
      <c r="AX14" s="152" t="s">
        <v>1700</v>
      </c>
      <c r="AY14" s="152" t="s">
        <v>1701</v>
      </c>
      <c r="AZ14" s="152" t="s">
        <v>1702</v>
      </c>
      <c r="BA14" s="152" t="s">
        <v>521</v>
      </c>
      <c r="BB14" s="294"/>
      <c r="BC14" s="294"/>
      <c r="BD14" s="152" t="s">
        <v>0</v>
      </c>
      <c r="BE14" s="152" t="s">
        <v>462</v>
      </c>
      <c r="BF14" s="152" t="s">
        <v>1703</v>
      </c>
      <c r="BG14" s="152" t="s">
        <v>1704</v>
      </c>
      <c r="BH14" s="152" t="s">
        <v>521</v>
      </c>
      <c r="BI14" s="294"/>
      <c r="BJ14" s="294"/>
      <c r="BK14" s="152" t="s">
        <v>0</v>
      </c>
      <c r="BL14" s="152" t="s">
        <v>462</v>
      </c>
      <c r="BM14" s="152" t="s">
        <v>588</v>
      </c>
      <c r="BN14" s="152" t="s">
        <v>121</v>
      </c>
      <c r="BO14" s="152" t="s">
        <v>625</v>
      </c>
      <c r="BP14" s="294"/>
      <c r="BQ14" s="294"/>
      <c r="BR14" s="152" t="s">
        <v>464</v>
      </c>
      <c r="BS14" s="152" t="s">
        <v>1496</v>
      </c>
      <c r="BT14" s="152" t="s">
        <v>0</v>
      </c>
      <c r="BU14" s="360" t="s">
        <v>463</v>
      </c>
      <c r="BV14" s="360" t="s">
        <v>2077</v>
      </c>
      <c r="BW14" s="360" t="s">
        <v>2078</v>
      </c>
      <c r="BX14" s="360" t="s">
        <v>521</v>
      </c>
      <c r="BY14" s="360" t="s">
        <v>2077</v>
      </c>
      <c r="BZ14" s="360" t="s">
        <v>2078</v>
      </c>
      <c r="CA14" s="360" t="s">
        <v>521</v>
      </c>
      <c r="CB14" s="360" t="s">
        <v>2077</v>
      </c>
      <c r="CC14" s="360" t="s">
        <v>2078</v>
      </c>
      <c r="CD14" s="360" t="s">
        <v>521</v>
      </c>
      <c r="CE14" s="360" t="s">
        <v>2077</v>
      </c>
      <c r="CF14" s="360" t="s">
        <v>2078</v>
      </c>
      <c r="CG14" s="360" t="s">
        <v>521</v>
      </c>
      <c r="CH14" s="360" t="s">
        <v>2077</v>
      </c>
      <c r="CI14" s="360" t="s">
        <v>2078</v>
      </c>
      <c r="CJ14" s="360" t="s">
        <v>521</v>
      </c>
      <c r="CK14" s="360" t="s">
        <v>2077</v>
      </c>
      <c r="CL14" s="360" t="s">
        <v>2078</v>
      </c>
      <c r="CM14" s="360" t="s">
        <v>521</v>
      </c>
      <c r="CN14" s="360" t="s">
        <v>2077</v>
      </c>
      <c r="CO14" s="360" t="s">
        <v>2078</v>
      </c>
      <c r="CP14" s="360" t="s">
        <v>521</v>
      </c>
      <c r="CQ14" s="360" t="s">
        <v>2077</v>
      </c>
      <c r="CR14" s="360" t="s">
        <v>2078</v>
      </c>
      <c r="CS14" s="360" t="s">
        <v>521</v>
      </c>
      <c r="CT14" s="294"/>
    </row>
    <row r="15" spans="1:98" x14ac:dyDescent="0.2">
      <c r="A15" s="294"/>
      <c r="B15" s="204" t="str">
        <f>IF(RIGHT($D15,5)="Total",$B14&amp;" Total",VLOOKUP($D15,TableInputsData[],ReadMe!$M$3,FALSE))</f>
        <v>VOLUME</v>
      </c>
      <c r="C15" s="294"/>
      <c r="D15" s="1" t="s">
        <v>261</v>
      </c>
      <c r="E15" s="25">
        <v>2023</v>
      </c>
      <c r="F15" s="2">
        <v>0</v>
      </c>
      <c r="G15" s="2">
        <v>0</v>
      </c>
      <c r="H15" s="2">
        <v>0</v>
      </c>
      <c r="I15" s="2">
        <v>0</v>
      </c>
      <c r="J15" s="2">
        <v>0</v>
      </c>
      <c r="K15" s="294"/>
      <c r="L15" s="294"/>
      <c r="M15" s="1" t="s">
        <v>261</v>
      </c>
      <c r="N15" s="25">
        <v>2023</v>
      </c>
      <c r="O15" s="2">
        <v>0</v>
      </c>
      <c r="P15" s="2">
        <v>0</v>
      </c>
      <c r="Q15" s="2">
        <v>0</v>
      </c>
      <c r="R15" s="2">
        <v>0</v>
      </c>
      <c r="S15" s="2">
        <v>0</v>
      </c>
      <c r="T15" s="2">
        <v>0</v>
      </c>
      <c r="U15" s="2">
        <v>0</v>
      </c>
      <c r="V15" s="2">
        <v>0</v>
      </c>
      <c r="W15" s="2">
        <v>0</v>
      </c>
      <c r="X15" s="2">
        <v>0</v>
      </c>
      <c r="Y15" s="2">
        <v>0</v>
      </c>
      <c r="Z15" s="2">
        <v>0</v>
      </c>
      <c r="AA15" s="2">
        <v>0</v>
      </c>
      <c r="AB15" s="2">
        <v>0</v>
      </c>
      <c r="AC15" s="2">
        <v>0</v>
      </c>
      <c r="AD15" s="2">
        <v>0</v>
      </c>
      <c r="AE15" s="2">
        <v>0</v>
      </c>
      <c r="AF15" s="2">
        <v>0</v>
      </c>
      <c r="AG15" s="2">
        <v>0</v>
      </c>
      <c r="AH15" s="2">
        <v>0</v>
      </c>
      <c r="AI15" s="2">
        <v>0</v>
      </c>
      <c r="AJ15" s="2">
        <v>0</v>
      </c>
      <c r="AK15" s="2">
        <v>0</v>
      </c>
      <c r="AL15" s="2">
        <v>0</v>
      </c>
      <c r="AM15" s="2">
        <v>0</v>
      </c>
      <c r="AN15" s="2">
        <v>0</v>
      </c>
      <c r="AO15" s="2">
        <v>0</v>
      </c>
      <c r="AP15" s="2">
        <v>0</v>
      </c>
      <c r="AQ15" s="2">
        <v>0</v>
      </c>
      <c r="AR15" s="2">
        <v>0</v>
      </c>
      <c r="AS15" s="2">
        <f>SUM(O15:AR15)</f>
        <v>0</v>
      </c>
      <c r="AT15" s="294"/>
      <c r="AU15" s="294"/>
      <c r="AV15" s="1" t="s">
        <v>261</v>
      </c>
      <c r="AW15" s="25">
        <v>2023</v>
      </c>
      <c r="AX15" s="2">
        <v>0</v>
      </c>
      <c r="AY15" s="2">
        <v>0</v>
      </c>
      <c r="AZ15" s="2">
        <v>0</v>
      </c>
      <c r="BA15" s="2">
        <v>0</v>
      </c>
      <c r="BB15" s="294"/>
      <c r="BC15" s="294"/>
      <c r="BD15" s="1" t="s">
        <v>261</v>
      </c>
      <c r="BE15" s="25">
        <v>2023</v>
      </c>
      <c r="BF15" s="2">
        <v>0</v>
      </c>
      <c r="BG15" s="2">
        <v>0</v>
      </c>
      <c r="BH15" s="2">
        <v>0</v>
      </c>
      <c r="BI15" s="294"/>
      <c r="BJ15" s="294"/>
      <c r="BK15" s="1" t="s">
        <v>261</v>
      </c>
      <c r="BL15" s="25">
        <v>2023</v>
      </c>
      <c r="BM15" s="2">
        <v>0</v>
      </c>
      <c r="BN15" s="2">
        <v>0</v>
      </c>
      <c r="BO15" s="2">
        <v>0</v>
      </c>
      <c r="BP15" s="294"/>
      <c r="BQ15" s="294"/>
      <c r="BR15" s="362" t="str">
        <f>VLOOKUP(BU15,TableInputsData[],6,FALSE)</f>
        <v>XYZ</v>
      </c>
      <c r="BS15" s="598" t="str">
        <f>VLOOKUP(BU15,InputsData!$C$36:$I$67,5,FALSE)</f>
        <v>PRODUCT 01</v>
      </c>
      <c r="BT15" s="1" t="s">
        <v>261</v>
      </c>
      <c r="BU15" s="1" t="s">
        <v>537</v>
      </c>
      <c r="BV15" s="2">
        <v>0</v>
      </c>
      <c r="BW15" s="2">
        <v>0</v>
      </c>
      <c r="BX15" s="2">
        <v>0</v>
      </c>
      <c r="BY15" s="2">
        <v>0</v>
      </c>
      <c r="BZ15" s="2">
        <v>0</v>
      </c>
      <c r="CA15" s="2">
        <v>0</v>
      </c>
      <c r="CB15" s="2">
        <v>0</v>
      </c>
      <c r="CC15" s="2">
        <v>0</v>
      </c>
      <c r="CD15" s="2">
        <v>0</v>
      </c>
      <c r="CE15" s="2">
        <v>0</v>
      </c>
      <c r="CF15" s="2">
        <v>0</v>
      </c>
      <c r="CG15" s="2">
        <v>0</v>
      </c>
      <c r="CH15" s="2">
        <v>0</v>
      </c>
      <c r="CI15" s="2">
        <v>0</v>
      </c>
      <c r="CJ15" s="2">
        <v>0</v>
      </c>
      <c r="CK15" s="2">
        <v>0</v>
      </c>
      <c r="CL15" s="2">
        <v>0</v>
      </c>
      <c r="CM15" s="2">
        <v>0</v>
      </c>
      <c r="CN15" s="2">
        <v>0</v>
      </c>
      <c r="CO15" s="2">
        <v>0</v>
      </c>
      <c r="CP15" s="2">
        <v>0</v>
      </c>
      <c r="CQ15" s="2">
        <v>0</v>
      </c>
      <c r="CR15" s="2">
        <v>0</v>
      </c>
      <c r="CS15" s="2">
        <v>0</v>
      </c>
      <c r="CT15" s="294"/>
    </row>
    <row r="16" spans="1:98" x14ac:dyDescent="0.2">
      <c r="A16" s="294"/>
      <c r="B16" s="204" t="str">
        <f>IF(RIGHT($D16,5)="Total",$B15&amp;" Total",VLOOKUP($D16,TableInputsData[],ReadMe!$M$3,FALSE))</f>
        <v>VOLUME</v>
      </c>
      <c r="C16" s="294"/>
      <c r="D16" s="1" t="s">
        <v>261</v>
      </c>
      <c r="E16" s="25">
        <v>2024</v>
      </c>
      <c r="F16" s="2">
        <v>0</v>
      </c>
      <c r="G16" s="2">
        <v>0</v>
      </c>
      <c r="H16" s="2">
        <v>0</v>
      </c>
      <c r="I16" s="2">
        <v>0</v>
      </c>
      <c r="J16" s="2">
        <v>0</v>
      </c>
      <c r="K16" s="294"/>
      <c r="L16" s="294"/>
      <c r="M16" s="1" t="s">
        <v>261</v>
      </c>
      <c r="N16" s="25">
        <v>2024</v>
      </c>
      <c r="O16" s="2">
        <v>0</v>
      </c>
      <c r="P16" s="2">
        <v>0</v>
      </c>
      <c r="Q16" s="2">
        <v>0</v>
      </c>
      <c r="R16" s="2">
        <v>0</v>
      </c>
      <c r="S16" s="2">
        <v>0</v>
      </c>
      <c r="T16" s="2">
        <v>0</v>
      </c>
      <c r="U16" s="2">
        <v>0</v>
      </c>
      <c r="V16" s="2">
        <v>0</v>
      </c>
      <c r="W16" s="2">
        <v>0</v>
      </c>
      <c r="X16" s="2">
        <v>0</v>
      </c>
      <c r="Y16" s="2">
        <v>0</v>
      </c>
      <c r="Z16" s="2">
        <v>0</v>
      </c>
      <c r="AA16" s="2">
        <v>0</v>
      </c>
      <c r="AB16" s="2">
        <v>0</v>
      </c>
      <c r="AC16" s="2">
        <v>0</v>
      </c>
      <c r="AD16" s="2">
        <v>0</v>
      </c>
      <c r="AE16" s="2">
        <v>0</v>
      </c>
      <c r="AF16" s="2">
        <v>0</v>
      </c>
      <c r="AG16" s="2">
        <v>0</v>
      </c>
      <c r="AH16" s="2">
        <v>0</v>
      </c>
      <c r="AI16" s="2">
        <v>0</v>
      </c>
      <c r="AJ16" s="2">
        <v>0</v>
      </c>
      <c r="AK16" s="2">
        <v>0</v>
      </c>
      <c r="AL16" s="2">
        <v>0</v>
      </c>
      <c r="AM16" s="2">
        <v>0</v>
      </c>
      <c r="AN16" s="2">
        <v>0</v>
      </c>
      <c r="AO16" s="2">
        <v>0</v>
      </c>
      <c r="AP16" s="2">
        <v>0</v>
      </c>
      <c r="AQ16" s="2">
        <v>0</v>
      </c>
      <c r="AR16" s="2">
        <v>0</v>
      </c>
      <c r="AS16" s="2">
        <f t="shared" ref="AS16:AS50" si="1">SUM(O16:AR16)</f>
        <v>0</v>
      </c>
      <c r="AT16" s="294"/>
      <c r="AU16" s="294"/>
      <c r="AV16" s="1" t="s">
        <v>261</v>
      </c>
      <c r="AW16" s="25">
        <v>2024</v>
      </c>
      <c r="AX16" s="2">
        <v>0</v>
      </c>
      <c r="AY16" s="2">
        <v>0</v>
      </c>
      <c r="AZ16" s="2">
        <v>0</v>
      </c>
      <c r="BA16" s="2">
        <v>0</v>
      </c>
      <c r="BB16" s="294"/>
      <c r="BC16" s="294"/>
      <c r="BD16" s="1" t="s">
        <v>261</v>
      </c>
      <c r="BE16" s="25">
        <v>2024</v>
      </c>
      <c r="BF16" s="2">
        <v>0</v>
      </c>
      <c r="BG16" s="2">
        <v>0</v>
      </c>
      <c r="BH16" s="2">
        <v>0</v>
      </c>
      <c r="BI16" s="294"/>
      <c r="BJ16" s="294"/>
      <c r="BK16" s="1" t="s">
        <v>261</v>
      </c>
      <c r="BL16" s="25">
        <v>2024</v>
      </c>
      <c r="BM16" s="2">
        <v>0</v>
      </c>
      <c r="BN16" s="2">
        <v>0</v>
      </c>
      <c r="BO16" s="2">
        <v>0</v>
      </c>
      <c r="BP16" s="294"/>
      <c r="BQ16" s="294"/>
      <c r="BR16" s="362" t="str">
        <f>VLOOKUP(BU16,TableInputsData[],6,FALSE)</f>
        <v>ABC</v>
      </c>
      <c r="BS16" s="598" t="str">
        <f>VLOOKUP(BU16,InputsData!$C$36:$I$67,5,FALSE)</f>
        <v>PRODUCT 02</v>
      </c>
      <c r="BT16" s="1" t="s">
        <v>261</v>
      </c>
      <c r="BU16" s="1" t="s">
        <v>538</v>
      </c>
      <c r="BV16" s="2">
        <v>0</v>
      </c>
      <c r="BW16" s="2">
        <v>0</v>
      </c>
      <c r="BX16" s="2">
        <v>0</v>
      </c>
      <c r="BY16" s="2">
        <v>0</v>
      </c>
      <c r="BZ16" s="2">
        <v>0</v>
      </c>
      <c r="CA16" s="2">
        <v>0</v>
      </c>
      <c r="CB16" s="2">
        <v>0</v>
      </c>
      <c r="CC16" s="2">
        <v>0</v>
      </c>
      <c r="CD16" s="2">
        <v>0</v>
      </c>
      <c r="CE16" s="2">
        <v>0</v>
      </c>
      <c r="CF16" s="2">
        <v>0</v>
      </c>
      <c r="CG16" s="2">
        <v>0</v>
      </c>
      <c r="CH16" s="2">
        <v>0</v>
      </c>
      <c r="CI16" s="2">
        <v>0</v>
      </c>
      <c r="CJ16" s="2">
        <v>0</v>
      </c>
      <c r="CK16" s="2">
        <v>0</v>
      </c>
      <c r="CL16" s="2">
        <v>0</v>
      </c>
      <c r="CM16" s="2">
        <v>0</v>
      </c>
      <c r="CN16" s="2">
        <v>0</v>
      </c>
      <c r="CO16" s="2">
        <v>0</v>
      </c>
      <c r="CP16" s="2">
        <v>0</v>
      </c>
      <c r="CQ16" s="2">
        <v>0</v>
      </c>
      <c r="CR16" s="2">
        <v>0</v>
      </c>
      <c r="CS16" s="2">
        <v>0</v>
      </c>
      <c r="CT16" s="294"/>
    </row>
    <row r="17" spans="1:98" x14ac:dyDescent="0.2">
      <c r="A17" s="294"/>
      <c r="B17" s="204" t="str">
        <f>IF(RIGHT($D17,5)="Total",$B16&amp;" Total",VLOOKUP($D17,TableInputsData[],ReadMe!$M$3,FALSE))</f>
        <v>VOLUME</v>
      </c>
      <c r="C17" s="294"/>
      <c r="D17" s="1" t="s">
        <v>261</v>
      </c>
      <c r="E17" s="25">
        <v>2025</v>
      </c>
      <c r="F17" s="2">
        <v>0</v>
      </c>
      <c r="G17" s="2">
        <v>0</v>
      </c>
      <c r="H17" s="2">
        <v>0</v>
      </c>
      <c r="I17" s="2">
        <v>0</v>
      </c>
      <c r="J17" s="2">
        <v>0</v>
      </c>
      <c r="K17" s="294"/>
      <c r="L17" s="294"/>
      <c r="M17" s="1" t="s">
        <v>261</v>
      </c>
      <c r="N17" s="25">
        <v>2025</v>
      </c>
      <c r="O17" s="2">
        <v>0</v>
      </c>
      <c r="P17" s="2">
        <v>0</v>
      </c>
      <c r="Q17" s="2">
        <v>0</v>
      </c>
      <c r="R17" s="2">
        <v>0</v>
      </c>
      <c r="S17" s="2">
        <v>0</v>
      </c>
      <c r="T17" s="2">
        <v>0</v>
      </c>
      <c r="U17" s="2">
        <v>0</v>
      </c>
      <c r="V17" s="2">
        <v>0</v>
      </c>
      <c r="W17" s="2">
        <v>0</v>
      </c>
      <c r="X17" s="2">
        <v>0</v>
      </c>
      <c r="Y17" s="2">
        <v>0</v>
      </c>
      <c r="Z17" s="2">
        <v>0</v>
      </c>
      <c r="AA17" s="2">
        <v>0</v>
      </c>
      <c r="AB17" s="2">
        <v>0</v>
      </c>
      <c r="AC17" s="2">
        <v>0</v>
      </c>
      <c r="AD17" s="2">
        <v>0</v>
      </c>
      <c r="AE17" s="2">
        <v>0</v>
      </c>
      <c r="AF17" s="2">
        <v>0</v>
      </c>
      <c r="AG17" s="2">
        <v>0</v>
      </c>
      <c r="AH17" s="2">
        <v>0</v>
      </c>
      <c r="AI17" s="2">
        <v>0</v>
      </c>
      <c r="AJ17" s="2">
        <v>0</v>
      </c>
      <c r="AK17" s="2">
        <v>0</v>
      </c>
      <c r="AL17" s="2">
        <v>0</v>
      </c>
      <c r="AM17" s="2">
        <v>0</v>
      </c>
      <c r="AN17" s="2">
        <v>0</v>
      </c>
      <c r="AO17" s="2">
        <v>0</v>
      </c>
      <c r="AP17" s="2">
        <v>0</v>
      </c>
      <c r="AQ17" s="2">
        <v>0</v>
      </c>
      <c r="AR17" s="2">
        <v>0</v>
      </c>
      <c r="AS17" s="2">
        <f t="shared" si="1"/>
        <v>0</v>
      </c>
      <c r="AT17" s="294"/>
      <c r="AU17" s="294"/>
      <c r="AV17" s="1" t="s">
        <v>261</v>
      </c>
      <c r="AW17" s="25">
        <v>2025</v>
      </c>
      <c r="AX17" s="2">
        <v>0</v>
      </c>
      <c r="AY17" s="2">
        <v>0</v>
      </c>
      <c r="AZ17" s="2">
        <v>0</v>
      </c>
      <c r="BA17" s="2">
        <v>0</v>
      </c>
      <c r="BB17" s="294"/>
      <c r="BC17" s="294"/>
      <c r="BD17" s="1" t="s">
        <v>261</v>
      </c>
      <c r="BE17" s="25">
        <v>2025</v>
      </c>
      <c r="BF17" s="2">
        <v>0</v>
      </c>
      <c r="BG17" s="2">
        <v>0</v>
      </c>
      <c r="BH17" s="2">
        <v>0</v>
      </c>
      <c r="BI17" s="294"/>
      <c r="BJ17" s="294"/>
      <c r="BK17" s="1" t="s">
        <v>261</v>
      </c>
      <c r="BL17" s="25">
        <v>2025</v>
      </c>
      <c r="BM17" s="2">
        <v>0</v>
      </c>
      <c r="BN17" s="2">
        <v>0</v>
      </c>
      <c r="BO17" s="2">
        <v>0</v>
      </c>
      <c r="BP17" s="294"/>
      <c r="BQ17" s="294"/>
      <c r="BR17" s="362" t="str">
        <f>VLOOKUP(BU17,TableInputsData[],6,FALSE)</f>
        <v>-</v>
      </c>
      <c r="BS17" s="598" t="str">
        <f>VLOOKUP(BU17,InputsData!$C$36:$I$67,5,FALSE)</f>
        <v>PRODUCT 03</v>
      </c>
      <c r="BT17" s="1" t="s">
        <v>261</v>
      </c>
      <c r="BU17" s="1" t="s">
        <v>539</v>
      </c>
      <c r="BV17" s="2">
        <v>0</v>
      </c>
      <c r="BW17" s="2">
        <v>0</v>
      </c>
      <c r="BX17" s="2">
        <v>0</v>
      </c>
      <c r="BY17" s="2">
        <v>0</v>
      </c>
      <c r="BZ17" s="2">
        <v>0</v>
      </c>
      <c r="CA17" s="2">
        <v>0</v>
      </c>
      <c r="CB17" s="2">
        <v>0</v>
      </c>
      <c r="CC17" s="2">
        <v>0</v>
      </c>
      <c r="CD17" s="2">
        <v>0</v>
      </c>
      <c r="CE17" s="2">
        <v>0</v>
      </c>
      <c r="CF17" s="2">
        <v>0</v>
      </c>
      <c r="CG17" s="2">
        <v>0</v>
      </c>
      <c r="CH17" s="2">
        <v>0</v>
      </c>
      <c r="CI17" s="2">
        <v>0</v>
      </c>
      <c r="CJ17" s="2">
        <v>0</v>
      </c>
      <c r="CK17" s="2">
        <v>0</v>
      </c>
      <c r="CL17" s="2">
        <v>0</v>
      </c>
      <c r="CM17" s="2">
        <v>0</v>
      </c>
      <c r="CN17" s="2">
        <v>0</v>
      </c>
      <c r="CO17" s="2">
        <v>0</v>
      </c>
      <c r="CP17" s="2">
        <v>0</v>
      </c>
      <c r="CQ17" s="2">
        <v>0</v>
      </c>
      <c r="CR17" s="2">
        <v>0</v>
      </c>
      <c r="CS17" s="2">
        <v>0</v>
      </c>
      <c r="CT17" s="294"/>
    </row>
    <row r="18" spans="1:98" x14ac:dyDescent="0.2">
      <c r="A18" s="294"/>
      <c r="B18" s="204" t="str">
        <f>IF(RIGHT($D18,5)="Total",$B17&amp;" Total",VLOOKUP($D18,TableInputsData[],ReadMe!$M$3,FALSE))</f>
        <v>VOLUME</v>
      </c>
      <c r="C18" s="294"/>
      <c r="D18" s="1" t="s">
        <v>261</v>
      </c>
      <c r="E18" s="25">
        <v>2026</v>
      </c>
      <c r="F18" s="2">
        <v>0</v>
      </c>
      <c r="G18" s="2">
        <v>0</v>
      </c>
      <c r="H18" s="2">
        <v>0</v>
      </c>
      <c r="I18" s="2">
        <v>0</v>
      </c>
      <c r="J18" s="2">
        <v>0</v>
      </c>
      <c r="K18" s="294"/>
      <c r="L18" s="294"/>
      <c r="M18" s="1" t="s">
        <v>261</v>
      </c>
      <c r="N18" s="25">
        <v>2026</v>
      </c>
      <c r="O18" s="2">
        <v>0</v>
      </c>
      <c r="P18" s="2">
        <v>0</v>
      </c>
      <c r="Q18" s="2">
        <v>0</v>
      </c>
      <c r="R18" s="2">
        <v>0</v>
      </c>
      <c r="S18" s="2">
        <v>0</v>
      </c>
      <c r="T18" s="2">
        <v>0</v>
      </c>
      <c r="U18" s="2">
        <v>0</v>
      </c>
      <c r="V18" s="2">
        <v>0</v>
      </c>
      <c r="W18" s="2">
        <v>0</v>
      </c>
      <c r="X18" s="2">
        <v>0</v>
      </c>
      <c r="Y18" s="2">
        <v>0</v>
      </c>
      <c r="Z18" s="2">
        <v>0</v>
      </c>
      <c r="AA18" s="2">
        <v>0</v>
      </c>
      <c r="AB18" s="2">
        <v>0</v>
      </c>
      <c r="AC18" s="2">
        <v>0</v>
      </c>
      <c r="AD18" s="2">
        <v>0</v>
      </c>
      <c r="AE18" s="2">
        <v>0</v>
      </c>
      <c r="AF18" s="2">
        <v>0</v>
      </c>
      <c r="AG18" s="2">
        <v>0</v>
      </c>
      <c r="AH18" s="2">
        <v>0</v>
      </c>
      <c r="AI18" s="2">
        <v>0</v>
      </c>
      <c r="AJ18" s="2">
        <v>0</v>
      </c>
      <c r="AK18" s="2">
        <v>0</v>
      </c>
      <c r="AL18" s="2">
        <v>0</v>
      </c>
      <c r="AM18" s="2">
        <v>0</v>
      </c>
      <c r="AN18" s="2">
        <v>0</v>
      </c>
      <c r="AO18" s="2">
        <v>0</v>
      </c>
      <c r="AP18" s="2">
        <v>0</v>
      </c>
      <c r="AQ18" s="2">
        <v>0</v>
      </c>
      <c r="AR18" s="2">
        <v>0</v>
      </c>
      <c r="AS18" s="2">
        <f t="shared" si="1"/>
        <v>0</v>
      </c>
      <c r="AT18" s="294"/>
      <c r="AU18" s="294"/>
      <c r="AV18" s="1" t="s">
        <v>261</v>
      </c>
      <c r="AW18" s="25">
        <v>2026</v>
      </c>
      <c r="AX18" s="2">
        <v>0</v>
      </c>
      <c r="AY18" s="2">
        <v>0</v>
      </c>
      <c r="AZ18" s="2">
        <v>0</v>
      </c>
      <c r="BA18" s="2">
        <v>0</v>
      </c>
      <c r="BB18" s="294"/>
      <c r="BC18" s="294"/>
      <c r="BD18" s="1" t="s">
        <v>261</v>
      </c>
      <c r="BE18" s="25">
        <v>2026</v>
      </c>
      <c r="BF18" s="2">
        <v>0</v>
      </c>
      <c r="BG18" s="2">
        <v>0</v>
      </c>
      <c r="BH18" s="2">
        <v>0</v>
      </c>
      <c r="BI18" s="294"/>
      <c r="BJ18" s="294"/>
      <c r="BK18" s="1" t="s">
        <v>261</v>
      </c>
      <c r="BL18" s="25">
        <v>2026</v>
      </c>
      <c r="BM18" s="2">
        <v>0</v>
      </c>
      <c r="BN18" s="2">
        <v>0</v>
      </c>
      <c r="BO18" s="2">
        <v>0</v>
      </c>
      <c r="BP18" s="294"/>
      <c r="BQ18" s="294"/>
      <c r="BR18" s="362" t="str">
        <f>VLOOKUP(BU18,TableInputsData[],6,FALSE)</f>
        <v>-</v>
      </c>
      <c r="BS18" s="598" t="str">
        <f>VLOOKUP(BU18,InputsData!$C$36:$I$67,5,FALSE)</f>
        <v>PRODUCT 04</v>
      </c>
      <c r="BT18" s="1" t="s">
        <v>261</v>
      </c>
      <c r="BU18" s="1" t="s">
        <v>540</v>
      </c>
      <c r="BV18" s="2">
        <v>0</v>
      </c>
      <c r="BW18" s="2">
        <v>0</v>
      </c>
      <c r="BX18" s="2">
        <v>0</v>
      </c>
      <c r="BY18" s="2">
        <v>0</v>
      </c>
      <c r="BZ18" s="2">
        <v>0</v>
      </c>
      <c r="CA18" s="2">
        <v>0</v>
      </c>
      <c r="CB18" s="2">
        <v>0</v>
      </c>
      <c r="CC18" s="2">
        <v>0</v>
      </c>
      <c r="CD18" s="2">
        <v>0</v>
      </c>
      <c r="CE18" s="2">
        <v>0</v>
      </c>
      <c r="CF18" s="2">
        <v>0</v>
      </c>
      <c r="CG18" s="2">
        <v>0</v>
      </c>
      <c r="CH18" s="2">
        <v>0</v>
      </c>
      <c r="CI18" s="2">
        <v>0</v>
      </c>
      <c r="CJ18" s="2">
        <v>0</v>
      </c>
      <c r="CK18" s="2">
        <v>0</v>
      </c>
      <c r="CL18" s="2">
        <v>0</v>
      </c>
      <c r="CM18" s="2">
        <v>0</v>
      </c>
      <c r="CN18" s="2">
        <v>0</v>
      </c>
      <c r="CO18" s="2">
        <v>0</v>
      </c>
      <c r="CP18" s="2">
        <v>0</v>
      </c>
      <c r="CQ18" s="2">
        <v>0</v>
      </c>
      <c r="CR18" s="2">
        <v>0</v>
      </c>
      <c r="CS18" s="2">
        <v>0</v>
      </c>
      <c r="CT18" s="294"/>
    </row>
    <row r="19" spans="1:98" x14ac:dyDescent="0.2">
      <c r="A19" s="294"/>
      <c r="B19" s="204" t="str">
        <f>IF(RIGHT($D19,5)="Total",$B18&amp;" Total",VLOOKUP($D19,TableInputsData[],ReadMe!$M$3,FALSE))</f>
        <v>VOLUME</v>
      </c>
      <c r="C19" s="294"/>
      <c r="D19" s="1" t="s">
        <v>261</v>
      </c>
      <c r="E19" s="25">
        <v>2027</v>
      </c>
      <c r="F19" s="2">
        <v>0</v>
      </c>
      <c r="G19" s="2">
        <v>0</v>
      </c>
      <c r="H19" s="2">
        <v>0</v>
      </c>
      <c r="I19" s="2">
        <v>0</v>
      </c>
      <c r="J19" s="2">
        <v>0</v>
      </c>
      <c r="K19" s="294"/>
      <c r="L19" s="294"/>
      <c r="M19" s="1" t="s">
        <v>261</v>
      </c>
      <c r="N19" s="25">
        <v>2027</v>
      </c>
      <c r="O19" s="2">
        <v>0</v>
      </c>
      <c r="P19" s="2">
        <v>0</v>
      </c>
      <c r="Q19" s="2">
        <v>0</v>
      </c>
      <c r="R19" s="2">
        <v>0</v>
      </c>
      <c r="S19" s="2">
        <v>0</v>
      </c>
      <c r="T19" s="2">
        <v>0</v>
      </c>
      <c r="U19" s="2">
        <v>0</v>
      </c>
      <c r="V19" s="2">
        <v>0</v>
      </c>
      <c r="W19" s="2">
        <v>0</v>
      </c>
      <c r="X19" s="2">
        <v>0</v>
      </c>
      <c r="Y19" s="2">
        <v>0</v>
      </c>
      <c r="Z19" s="2">
        <v>0</v>
      </c>
      <c r="AA19" s="2">
        <v>0</v>
      </c>
      <c r="AB19" s="2">
        <v>0</v>
      </c>
      <c r="AC19" s="2">
        <v>0</v>
      </c>
      <c r="AD19" s="2">
        <v>0</v>
      </c>
      <c r="AE19" s="2">
        <v>0</v>
      </c>
      <c r="AF19" s="2">
        <v>0</v>
      </c>
      <c r="AG19" s="2">
        <v>0</v>
      </c>
      <c r="AH19" s="2">
        <v>0</v>
      </c>
      <c r="AI19" s="2">
        <v>0</v>
      </c>
      <c r="AJ19" s="2">
        <v>0</v>
      </c>
      <c r="AK19" s="2">
        <v>0</v>
      </c>
      <c r="AL19" s="2">
        <v>0</v>
      </c>
      <c r="AM19" s="2">
        <v>0</v>
      </c>
      <c r="AN19" s="2">
        <v>0</v>
      </c>
      <c r="AO19" s="2">
        <v>0</v>
      </c>
      <c r="AP19" s="2">
        <v>0</v>
      </c>
      <c r="AQ19" s="2">
        <v>0</v>
      </c>
      <c r="AR19" s="2">
        <v>0</v>
      </c>
      <c r="AS19" s="2">
        <f t="shared" si="1"/>
        <v>0</v>
      </c>
      <c r="AT19" s="294"/>
      <c r="AU19" s="294"/>
      <c r="AV19" s="1" t="s">
        <v>261</v>
      </c>
      <c r="AW19" s="25">
        <v>2027</v>
      </c>
      <c r="AX19" s="2">
        <v>0</v>
      </c>
      <c r="AY19" s="2">
        <v>0</v>
      </c>
      <c r="AZ19" s="2">
        <v>0</v>
      </c>
      <c r="BA19" s="2">
        <v>0</v>
      </c>
      <c r="BB19" s="294"/>
      <c r="BC19" s="294"/>
      <c r="BD19" s="1" t="s">
        <v>261</v>
      </c>
      <c r="BE19" s="25">
        <v>2027</v>
      </c>
      <c r="BF19" s="2">
        <v>0</v>
      </c>
      <c r="BG19" s="2">
        <v>0</v>
      </c>
      <c r="BH19" s="2">
        <v>0</v>
      </c>
      <c r="BI19" s="294"/>
      <c r="BJ19" s="294"/>
      <c r="BK19" s="1" t="s">
        <v>261</v>
      </c>
      <c r="BL19" s="25">
        <v>2027</v>
      </c>
      <c r="BM19" s="2">
        <v>0</v>
      </c>
      <c r="BN19" s="2">
        <v>0</v>
      </c>
      <c r="BO19" s="2">
        <v>0</v>
      </c>
      <c r="BP19" s="294"/>
      <c r="BQ19" s="294"/>
      <c r="BR19" s="362" t="str">
        <f>VLOOKUP(BU19,TableInputsData[],6,FALSE)</f>
        <v>-</v>
      </c>
      <c r="BS19" s="598" t="str">
        <f>VLOOKUP(BU19,InputsData!$C$36:$I$67,5,FALSE)</f>
        <v>PRODUCT 05</v>
      </c>
      <c r="BT19" s="1" t="s">
        <v>261</v>
      </c>
      <c r="BU19" s="1" t="s">
        <v>541</v>
      </c>
      <c r="BV19" s="2">
        <v>0</v>
      </c>
      <c r="BW19" s="2">
        <v>0</v>
      </c>
      <c r="BX19" s="2">
        <v>0</v>
      </c>
      <c r="BY19" s="2">
        <v>0</v>
      </c>
      <c r="BZ19" s="2">
        <v>0</v>
      </c>
      <c r="CA19" s="2">
        <v>0</v>
      </c>
      <c r="CB19" s="2">
        <v>0</v>
      </c>
      <c r="CC19" s="2">
        <v>0</v>
      </c>
      <c r="CD19" s="2">
        <v>0</v>
      </c>
      <c r="CE19" s="2">
        <v>0</v>
      </c>
      <c r="CF19" s="2">
        <v>0</v>
      </c>
      <c r="CG19" s="2">
        <v>0</v>
      </c>
      <c r="CH19" s="2">
        <v>0</v>
      </c>
      <c r="CI19" s="2">
        <v>0</v>
      </c>
      <c r="CJ19" s="2">
        <v>0</v>
      </c>
      <c r="CK19" s="2">
        <v>0</v>
      </c>
      <c r="CL19" s="2">
        <v>0</v>
      </c>
      <c r="CM19" s="2">
        <v>0</v>
      </c>
      <c r="CN19" s="2">
        <v>0</v>
      </c>
      <c r="CO19" s="2">
        <v>0</v>
      </c>
      <c r="CP19" s="2">
        <v>0</v>
      </c>
      <c r="CQ19" s="2">
        <v>0</v>
      </c>
      <c r="CR19" s="2">
        <v>0</v>
      </c>
      <c r="CS19" s="2">
        <v>0</v>
      </c>
      <c r="CT19" s="294"/>
    </row>
    <row r="20" spans="1:98" x14ac:dyDescent="0.2">
      <c r="A20" s="294"/>
      <c r="B20" s="204" t="str">
        <f>IF(RIGHT($D20,5)="Total",$B19&amp;" Total",VLOOKUP($D20,TableInputsData[],ReadMe!$M$3,FALSE))</f>
        <v>VOLUME</v>
      </c>
      <c r="C20" s="294"/>
      <c r="D20" s="1" t="s">
        <v>261</v>
      </c>
      <c r="E20" s="25">
        <v>2028</v>
      </c>
      <c r="F20" s="2">
        <v>0</v>
      </c>
      <c r="G20" s="2">
        <v>0</v>
      </c>
      <c r="H20" s="2">
        <v>0</v>
      </c>
      <c r="I20" s="2">
        <v>0</v>
      </c>
      <c r="J20" s="2">
        <v>0</v>
      </c>
      <c r="K20" s="294"/>
      <c r="L20" s="294"/>
      <c r="M20" s="1" t="s">
        <v>261</v>
      </c>
      <c r="N20" s="25">
        <v>2028</v>
      </c>
      <c r="O20" s="2">
        <v>0</v>
      </c>
      <c r="P20" s="2">
        <v>0</v>
      </c>
      <c r="Q20" s="2">
        <v>0</v>
      </c>
      <c r="R20" s="2">
        <v>0</v>
      </c>
      <c r="S20" s="2">
        <v>0</v>
      </c>
      <c r="T20" s="2">
        <v>0</v>
      </c>
      <c r="U20" s="2">
        <v>0</v>
      </c>
      <c r="V20" s="2">
        <v>0</v>
      </c>
      <c r="W20" s="2">
        <v>0</v>
      </c>
      <c r="X20" s="2">
        <v>0</v>
      </c>
      <c r="Y20" s="2">
        <v>0</v>
      </c>
      <c r="Z20" s="2">
        <v>0</v>
      </c>
      <c r="AA20" s="2">
        <v>0</v>
      </c>
      <c r="AB20" s="2">
        <v>0</v>
      </c>
      <c r="AC20" s="2">
        <v>0</v>
      </c>
      <c r="AD20" s="2">
        <v>0</v>
      </c>
      <c r="AE20" s="2">
        <v>0</v>
      </c>
      <c r="AF20" s="2">
        <v>0</v>
      </c>
      <c r="AG20" s="2">
        <v>0</v>
      </c>
      <c r="AH20" s="2">
        <v>0</v>
      </c>
      <c r="AI20" s="2">
        <v>0</v>
      </c>
      <c r="AJ20" s="2">
        <v>0</v>
      </c>
      <c r="AK20" s="2">
        <v>0</v>
      </c>
      <c r="AL20" s="2">
        <v>0</v>
      </c>
      <c r="AM20" s="2">
        <v>0</v>
      </c>
      <c r="AN20" s="2">
        <v>0</v>
      </c>
      <c r="AO20" s="2">
        <v>0</v>
      </c>
      <c r="AP20" s="2">
        <v>0</v>
      </c>
      <c r="AQ20" s="2">
        <v>0</v>
      </c>
      <c r="AR20" s="2">
        <v>0</v>
      </c>
      <c r="AS20" s="2">
        <f t="shared" si="1"/>
        <v>0</v>
      </c>
      <c r="AT20" s="294"/>
      <c r="AU20" s="294"/>
      <c r="AV20" s="1" t="s">
        <v>261</v>
      </c>
      <c r="AW20" s="25">
        <v>2028</v>
      </c>
      <c r="AX20" s="2">
        <v>0</v>
      </c>
      <c r="AY20" s="2">
        <v>0</v>
      </c>
      <c r="AZ20" s="2">
        <v>0</v>
      </c>
      <c r="BA20" s="2">
        <v>0</v>
      </c>
      <c r="BB20" s="294"/>
      <c r="BC20" s="294"/>
      <c r="BD20" s="1" t="s">
        <v>261</v>
      </c>
      <c r="BE20" s="25">
        <v>2028</v>
      </c>
      <c r="BF20" s="2">
        <v>0</v>
      </c>
      <c r="BG20" s="2">
        <v>0</v>
      </c>
      <c r="BH20" s="2">
        <v>0</v>
      </c>
      <c r="BI20" s="294"/>
      <c r="BJ20" s="294"/>
      <c r="BK20" s="1" t="s">
        <v>261</v>
      </c>
      <c r="BL20" s="25">
        <v>2028</v>
      </c>
      <c r="BM20" s="2">
        <v>0</v>
      </c>
      <c r="BN20" s="2">
        <v>0</v>
      </c>
      <c r="BO20" s="2">
        <v>0</v>
      </c>
      <c r="BP20" s="294"/>
      <c r="BQ20" s="294"/>
      <c r="BR20" s="362" t="str">
        <f>VLOOKUP(BU20,TableInputsData[],6,FALSE)</f>
        <v>-</v>
      </c>
      <c r="BS20" s="598" t="str">
        <f>VLOOKUP(BU20,InputsData!$C$36:$I$67,5,FALSE)</f>
        <v>PRODUCT 06</v>
      </c>
      <c r="BT20" s="1" t="s">
        <v>261</v>
      </c>
      <c r="BU20" s="1" t="s">
        <v>542</v>
      </c>
      <c r="BV20" s="2">
        <v>0</v>
      </c>
      <c r="BW20" s="2">
        <v>0</v>
      </c>
      <c r="BX20" s="2">
        <v>0</v>
      </c>
      <c r="BY20" s="2">
        <v>0</v>
      </c>
      <c r="BZ20" s="2">
        <v>0</v>
      </c>
      <c r="CA20" s="2">
        <v>0</v>
      </c>
      <c r="CB20" s="2">
        <v>0</v>
      </c>
      <c r="CC20" s="2">
        <v>0</v>
      </c>
      <c r="CD20" s="2">
        <v>0</v>
      </c>
      <c r="CE20" s="2">
        <v>0</v>
      </c>
      <c r="CF20" s="2">
        <v>0</v>
      </c>
      <c r="CG20" s="2">
        <v>0</v>
      </c>
      <c r="CH20" s="2">
        <v>0</v>
      </c>
      <c r="CI20" s="2">
        <v>0</v>
      </c>
      <c r="CJ20" s="2">
        <v>0</v>
      </c>
      <c r="CK20" s="2">
        <v>0</v>
      </c>
      <c r="CL20" s="2">
        <v>0</v>
      </c>
      <c r="CM20" s="2">
        <v>0</v>
      </c>
      <c r="CN20" s="2">
        <v>0</v>
      </c>
      <c r="CO20" s="2">
        <v>0</v>
      </c>
      <c r="CP20" s="2">
        <v>0</v>
      </c>
      <c r="CQ20" s="2">
        <v>0</v>
      </c>
      <c r="CR20" s="2">
        <v>0</v>
      </c>
      <c r="CS20" s="2">
        <v>0</v>
      </c>
      <c r="CT20" s="294"/>
    </row>
    <row r="21" spans="1:98" x14ac:dyDescent="0.2">
      <c r="A21" s="294"/>
      <c r="B21" s="204" t="str">
        <f>IF(RIGHT($D21,5)="Total",$B20&amp;" Total",VLOOKUP($D21,TableInputsData[],ReadMe!$M$3,FALSE))</f>
        <v>VOLUME</v>
      </c>
      <c r="C21" s="294"/>
      <c r="D21" s="1" t="s">
        <v>261</v>
      </c>
      <c r="E21" s="25">
        <v>2029</v>
      </c>
      <c r="F21" s="2">
        <v>0</v>
      </c>
      <c r="G21" s="2">
        <v>0</v>
      </c>
      <c r="H21" s="2">
        <v>0</v>
      </c>
      <c r="I21" s="2">
        <v>0</v>
      </c>
      <c r="J21" s="2">
        <v>0</v>
      </c>
      <c r="K21" s="294"/>
      <c r="L21" s="294"/>
      <c r="M21" s="1" t="s">
        <v>261</v>
      </c>
      <c r="N21" s="25">
        <v>2029</v>
      </c>
      <c r="O21" s="2">
        <v>0</v>
      </c>
      <c r="P21" s="2">
        <v>0</v>
      </c>
      <c r="Q21" s="2">
        <v>0</v>
      </c>
      <c r="R21" s="2">
        <v>0</v>
      </c>
      <c r="S21" s="2">
        <v>0</v>
      </c>
      <c r="T21" s="2">
        <v>0</v>
      </c>
      <c r="U21" s="2">
        <v>0</v>
      </c>
      <c r="V21" s="2">
        <v>0</v>
      </c>
      <c r="W21" s="2">
        <v>0</v>
      </c>
      <c r="X21" s="2">
        <v>0</v>
      </c>
      <c r="Y21" s="2">
        <v>0</v>
      </c>
      <c r="Z21" s="2">
        <v>0</v>
      </c>
      <c r="AA21" s="2">
        <v>0</v>
      </c>
      <c r="AB21" s="2">
        <v>0</v>
      </c>
      <c r="AC21" s="2">
        <v>0</v>
      </c>
      <c r="AD21" s="2">
        <v>0</v>
      </c>
      <c r="AE21" s="2">
        <v>0</v>
      </c>
      <c r="AF21" s="2">
        <v>0</v>
      </c>
      <c r="AG21" s="2">
        <v>0</v>
      </c>
      <c r="AH21" s="2">
        <v>0</v>
      </c>
      <c r="AI21" s="2">
        <v>0</v>
      </c>
      <c r="AJ21" s="2">
        <v>0</v>
      </c>
      <c r="AK21" s="2">
        <v>0</v>
      </c>
      <c r="AL21" s="2">
        <v>0</v>
      </c>
      <c r="AM21" s="2">
        <v>0</v>
      </c>
      <c r="AN21" s="2">
        <v>0</v>
      </c>
      <c r="AO21" s="2">
        <v>0</v>
      </c>
      <c r="AP21" s="2">
        <v>0</v>
      </c>
      <c r="AQ21" s="2">
        <v>0</v>
      </c>
      <c r="AR21" s="2">
        <v>0</v>
      </c>
      <c r="AS21" s="2">
        <f t="shared" si="1"/>
        <v>0</v>
      </c>
      <c r="AT21" s="294"/>
      <c r="AU21" s="294"/>
      <c r="AV21" s="1" t="s">
        <v>261</v>
      </c>
      <c r="AW21" s="25">
        <v>2029</v>
      </c>
      <c r="AX21" s="2">
        <v>0</v>
      </c>
      <c r="AY21" s="2">
        <v>0</v>
      </c>
      <c r="AZ21" s="2">
        <v>0</v>
      </c>
      <c r="BA21" s="2">
        <v>0</v>
      </c>
      <c r="BB21" s="294"/>
      <c r="BC21" s="294"/>
      <c r="BD21" s="1" t="s">
        <v>261</v>
      </c>
      <c r="BE21" s="25">
        <v>2029</v>
      </c>
      <c r="BF21" s="2">
        <v>0</v>
      </c>
      <c r="BG21" s="2">
        <v>0</v>
      </c>
      <c r="BH21" s="2">
        <v>0</v>
      </c>
      <c r="BI21" s="294"/>
      <c r="BJ21" s="294"/>
      <c r="BK21" s="1" t="s">
        <v>261</v>
      </c>
      <c r="BL21" s="25">
        <v>2029</v>
      </c>
      <c r="BM21" s="2">
        <v>0</v>
      </c>
      <c r="BN21" s="2">
        <v>0</v>
      </c>
      <c r="BO21" s="2">
        <v>0</v>
      </c>
      <c r="BP21" s="294"/>
      <c r="BQ21" s="294"/>
      <c r="BR21" s="362" t="str">
        <f>VLOOKUP(BU21,TableInputsData[],6,FALSE)</f>
        <v>-</v>
      </c>
      <c r="BS21" s="598" t="str">
        <f>VLOOKUP(BU21,InputsData!$C$36:$I$67,5,FALSE)</f>
        <v>PRODUCT 07</v>
      </c>
      <c r="BT21" s="1" t="s">
        <v>261</v>
      </c>
      <c r="BU21" s="1" t="s">
        <v>543</v>
      </c>
      <c r="BV21" s="2">
        <v>0</v>
      </c>
      <c r="BW21" s="2">
        <v>0</v>
      </c>
      <c r="BX21" s="2">
        <v>0</v>
      </c>
      <c r="BY21" s="2">
        <v>0</v>
      </c>
      <c r="BZ21" s="2">
        <v>0</v>
      </c>
      <c r="CA21" s="2">
        <v>0</v>
      </c>
      <c r="CB21" s="2">
        <v>0</v>
      </c>
      <c r="CC21" s="2">
        <v>0</v>
      </c>
      <c r="CD21" s="2">
        <v>0</v>
      </c>
      <c r="CE21" s="2">
        <v>0</v>
      </c>
      <c r="CF21" s="2">
        <v>0</v>
      </c>
      <c r="CG21" s="2">
        <v>0</v>
      </c>
      <c r="CH21" s="2">
        <v>0</v>
      </c>
      <c r="CI21" s="2">
        <v>0</v>
      </c>
      <c r="CJ21" s="2">
        <v>0</v>
      </c>
      <c r="CK21" s="2">
        <v>0</v>
      </c>
      <c r="CL21" s="2">
        <v>0</v>
      </c>
      <c r="CM21" s="2">
        <v>0</v>
      </c>
      <c r="CN21" s="2">
        <v>0</v>
      </c>
      <c r="CO21" s="2">
        <v>0</v>
      </c>
      <c r="CP21" s="2">
        <v>0</v>
      </c>
      <c r="CQ21" s="2">
        <v>0</v>
      </c>
      <c r="CR21" s="2">
        <v>0</v>
      </c>
      <c r="CS21" s="2">
        <v>0</v>
      </c>
      <c r="CT21" s="294"/>
    </row>
    <row r="22" spans="1:98" x14ac:dyDescent="0.2">
      <c r="A22" s="294"/>
      <c r="B22" s="204" t="str">
        <f>IF(RIGHT($D22,5)="Total",$B21&amp;" Total",VLOOKUP($D22,TableInputsData[],ReadMe!$M$3,FALSE))</f>
        <v>VOLUME</v>
      </c>
      <c r="C22" s="294"/>
      <c r="D22" s="1" t="s">
        <v>261</v>
      </c>
      <c r="E22" s="25">
        <v>2030</v>
      </c>
      <c r="F22" s="2">
        <v>0</v>
      </c>
      <c r="G22" s="2">
        <v>0</v>
      </c>
      <c r="H22" s="2">
        <v>0</v>
      </c>
      <c r="I22" s="2">
        <v>0</v>
      </c>
      <c r="J22" s="2">
        <v>0</v>
      </c>
      <c r="K22" s="294"/>
      <c r="L22" s="294"/>
      <c r="M22" s="1" t="s">
        <v>261</v>
      </c>
      <c r="N22" s="25">
        <v>2030</v>
      </c>
      <c r="O22" s="2">
        <v>0</v>
      </c>
      <c r="P22" s="2">
        <v>0</v>
      </c>
      <c r="Q22" s="2">
        <v>0</v>
      </c>
      <c r="R22" s="2">
        <v>0</v>
      </c>
      <c r="S22" s="2">
        <v>0</v>
      </c>
      <c r="T22" s="2">
        <v>0</v>
      </c>
      <c r="U22" s="2">
        <v>0</v>
      </c>
      <c r="V22" s="2">
        <v>0</v>
      </c>
      <c r="W22" s="2">
        <v>0</v>
      </c>
      <c r="X22" s="2">
        <v>0</v>
      </c>
      <c r="Y22" s="2">
        <v>0</v>
      </c>
      <c r="Z22" s="2">
        <v>0</v>
      </c>
      <c r="AA22" s="2">
        <v>0</v>
      </c>
      <c r="AB22" s="2">
        <v>0</v>
      </c>
      <c r="AC22" s="2">
        <v>0</v>
      </c>
      <c r="AD22" s="2">
        <v>0</v>
      </c>
      <c r="AE22" s="2">
        <v>0</v>
      </c>
      <c r="AF22" s="2">
        <v>0</v>
      </c>
      <c r="AG22" s="2">
        <v>0</v>
      </c>
      <c r="AH22" s="2">
        <v>0</v>
      </c>
      <c r="AI22" s="2">
        <v>0</v>
      </c>
      <c r="AJ22" s="2">
        <v>0</v>
      </c>
      <c r="AK22" s="2">
        <v>0</v>
      </c>
      <c r="AL22" s="2">
        <v>0</v>
      </c>
      <c r="AM22" s="2">
        <v>0</v>
      </c>
      <c r="AN22" s="2">
        <v>0</v>
      </c>
      <c r="AO22" s="2">
        <v>0</v>
      </c>
      <c r="AP22" s="2">
        <v>0</v>
      </c>
      <c r="AQ22" s="2">
        <v>0</v>
      </c>
      <c r="AR22" s="2">
        <v>0</v>
      </c>
      <c r="AS22" s="2">
        <f t="shared" si="1"/>
        <v>0</v>
      </c>
      <c r="AT22" s="294"/>
      <c r="AU22" s="294"/>
      <c r="AV22" s="1" t="s">
        <v>261</v>
      </c>
      <c r="AW22" s="25">
        <v>2030</v>
      </c>
      <c r="AX22" s="2">
        <v>0</v>
      </c>
      <c r="AY22" s="2">
        <v>0</v>
      </c>
      <c r="AZ22" s="2">
        <v>0</v>
      </c>
      <c r="BA22" s="2">
        <v>0</v>
      </c>
      <c r="BB22" s="294"/>
      <c r="BC22" s="294"/>
      <c r="BD22" s="1" t="s">
        <v>261</v>
      </c>
      <c r="BE22" s="25">
        <v>2030</v>
      </c>
      <c r="BF22" s="2">
        <v>0</v>
      </c>
      <c r="BG22" s="2">
        <v>0</v>
      </c>
      <c r="BH22" s="2">
        <v>0</v>
      </c>
      <c r="BI22" s="294"/>
      <c r="BJ22" s="294"/>
      <c r="BK22" s="1" t="s">
        <v>261</v>
      </c>
      <c r="BL22" s="25">
        <v>2030</v>
      </c>
      <c r="BM22" s="2">
        <v>0</v>
      </c>
      <c r="BN22" s="2">
        <v>0</v>
      </c>
      <c r="BO22" s="2">
        <v>0</v>
      </c>
      <c r="BP22" s="294"/>
      <c r="BQ22" s="294"/>
      <c r="BR22" s="362" t="str">
        <f>VLOOKUP(BU22,TableInputsData[],6,FALSE)</f>
        <v>-</v>
      </c>
      <c r="BS22" s="598" t="str">
        <f>VLOOKUP(BU22,InputsData!$C$36:$I$67,5,FALSE)</f>
        <v>PRODUCT 08</v>
      </c>
      <c r="BT22" s="1" t="s">
        <v>261</v>
      </c>
      <c r="BU22" s="1" t="s">
        <v>544</v>
      </c>
      <c r="BV22" s="2">
        <v>0</v>
      </c>
      <c r="BW22" s="2">
        <v>0</v>
      </c>
      <c r="BX22" s="2">
        <v>0</v>
      </c>
      <c r="BY22" s="2">
        <v>0</v>
      </c>
      <c r="BZ22" s="2">
        <v>0</v>
      </c>
      <c r="CA22" s="2">
        <v>0</v>
      </c>
      <c r="CB22" s="2">
        <v>0</v>
      </c>
      <c r="CC22" s="2">
        <v>0</v>
      </c>
      <c r="CD22" s="2">
        <v>0</v>
      </c>
      <c r="CE22" s="2">
        <v>0</v>
      </c>
      <c r="CF22" s="2">
        <v>0</v>
      </c>
      <c r="CG22" s="2">
        <v>0</v>
      </c>
      <c r="CH22" s="2">
        <v>0</v>
      </c>
      <c r="CI22" s="2">
        <v>0</v>
      </c>
      <c r="CJ22" s="2">
        <v>0</v>
      </c>
      <c r="CK22" s="2">
        <v>0</v>
      </c>
      <c r="CL22" s="2">
        <v>0</v>
      </c>
      <c r="CM22" s="2">
        <v>0</v>
      </c>
      <c r="CN22" s="2">
        <v>0</v>
      </c>
      <c r="CO22" s="2">
        <v>0</v>
      </c>
      <c r="CP22" s="2">
        <v>0</v>
      </c>
      <c r="CQ22" s="2">
        <v>0</v>
      </c>
      <c r="CR22" s="2">
        <v>0</v>
      </c>
      <c r="CS22" s="2">
        <v>0</v>
      </c>
      <c r="CT22" s="294"/>
    </row>
    <row r="23" spans="1:98" x14ac:dyDescent="0.2">
      <c r="A23" s="294"/>
      <c r="B23" s="358" t="str">
        <f>IF(RIGHT($D23,5)="Total",$B22&amp;" Total",VLOOKUP($D23,TableInputsData[],ReadMe!$M$3,FALSE))</f>
        <v>VOLUME Total</v>
      </c>
      <c r="C23" s="294"/>
      <c r="D23" s="151" t="s">
        <v>2074</v>
      </c>
      <c r="E23" s="151"/>
      <c r="F23" s="346">
        <v>0</v>
      </c>
      <c r="G23" s="346">
        <v>0</v>
      </c>
      <c r="H23" s="346">
        <v>0</v>
      </c>
      <c r="I23" s="346">
        <v>0</v>
      </c>
      <c r="J23" s="346">
        <v>0</v>
      </c>
      <c r="K23" s="294"/>
      <c r="L23" s="294"/>
      <c r="M23" s="151" t="s">
        <v>2074</v>
      </c>
      <c r="N23" s="151"/>
      <c r="O23" s="346">
        <v>0</v>
      </c>
      <c r="P23" s="346">
        <v>0</v>
      </c>
      <c r="Q23" s="346">
        <v>0</v>
      </c>
      <c r="R23" s="346">
        <v>0</v>
      </c>
      <c r="S23" s="346">
        <v>0</v>
      </c>
      <c r="T23" s="346">
        <v>0</v>
      </c>
      <c r="U23" s="346">
        <v>0</v>
      </c>
      <c r="V23" s="346">
        <v>0</v>
      </c>
      <c r="W23" s="346">
        <v>0</v>
      </c>
      <c r="X23" s="346">
        <v>0</v>
      </c>
      <c r="Y23" s="346">
        <v>0</v>
      </c>
      <c r="Z23" s="346">
        <v>0</v>
      </c>
      <c r="AA23" s="346">
        <v>0</v>
      </c>
      <c r="AB23" s="346">
        <v>0</v>
      </c>
      <c r="AC23" s="346">
        <v>0</v>
      </c>
      <c r="AD23" s="346">
        <v>0</v>
      </c>
      <c r="AE23" s="346">
        <v>0</v>
      </c>
      <c r="AF23" s="346">
        <v>0</v>
      </c>
      <c r="AG23" s="346">
        <v>0</v>
      </c>
      <c r="AH23" s="346">
        <v>0</v>
      </c>
      <c r="AI23" s="346">
        <v>0</v>
      </c>
      <c r="AJ23" s="346">
        <v>0</v>
      </c>
      <c r="AK23" s="346">
        <v>0</v>
      </c>
      <c r="AL23" s="346">
        <v>0</v>
      </c>
      <c r="AM23" s="346">
        <v>0</v>
      </c>
      <c r="AN23" s="346">
        <v>0</v>
      </c>
      <c r="AO23" s="346">
        <v>0</v>
      </c>
      <c r="AP23" s="346">
        <v>0</v>
      </c>
      <c r="AQ23" s="346">
        <v>0</v>
      </c>
      <c r="AR23" s="346">
        <v>0</v>
      </c>
      <c r="AS23" s="347">
        <f t="shared" si="1"/>
        <v>0</v>
      </c>
      <c r="AT23" s="294"/>
      <c r="AU23" s="294"/>
      <c r="AV23" s="151" t="s">
        <v>2074</v>
      </c>
      <c r="AW23" s="151"/>
      <c r="AX23" s="346">
        <v>0</v>
      </c>
      <c r="AY23" s="346">
        <v>0</v>
      </c>
      <c r="AZ23" s="346">
        <v>0</v>
      </c>
      <c r="BA23" s="346">
        <v>0</v>
      </c>
      <c r="BB23" s="294"/>
      <c r="BC23" s="294"/>
      <c r="BD23" s="151" t="s">
        <v>2074</v>
      </c>
      <c r="BE23" s="151"/>
      <c r="BF23" s="346">
        <v>0</v>
      </c>
      <c r="BG23" s="346">
        <v>0</v>
      </c>
      <c r="BH23" s="346">
        <v>0</v>
      </c>
      <c r="BI23" s="294"/>
      <c r="BJ23" s="294"/>
      <c r="BK23" s="151" t="s">
        <v>2074</v>
      </c>
      <c r="BL23" s="151"/>
      <c r="BM23" s="346">
        <v>0</v>
      </c>
      <c r="BN23" s="346">
        <v>0</v>
      </c>
      <c r="BO23" s="346">
        <v>0</v>
      </c>
      <c r="BP23" s="294"/>
      <c r="BQ23" s="294"/>
      <c r="BR23" s="362" t="str">
        <f>VLOOKUP(BU23,TableInputsData[],6,FALSE)</f>
        <v>-</v>
      </c>
      <c r="BS23" s="598" t="str">
        <f>VLOOKUP(BU23,InputsData!$C$36:$I$67,5,FALSE)</f>
        <v>PRODUCT 09</v>
      </c>
      <c r="BT23" s="1" t="s">
        <v>261</v>
      </c>
      <c r="BU23" s="1" t="s">
        <v>545</v>
      </c>
      <c r="BV23" s="2">
        <v>0</v>
      </c>
      <c r="BW23" s="2">
        <v>0</v>
      </c>
      <c r="BX23" s="2">
        <v>0</v>
      </c>
      <c r="BY23" s="2">
        <v>0</v>
      </c>
      <c r="BZ23" s="2">
        <v>0</v>
      </c>
      <c r="CA23" s="2">
        <v>0</v>
      </c>
      <c r="CB23" s="2">
        <v>0</v>
      </c>
      <c r="CC23" s="2">
        <v>0</v>
      </c>
      <c r="CD23" s="2">
        <v>0</v>
      </c>
      <c r="CE23" s="2">
        <v>0</v>
      </c>
      <c r="CF23" s="2">
        <v>0</v>
      </c>
      <c r="CG23" s="2">
        <v>0</v>
      </c>
      <c r="CH23" s="2">
        <v>0</v>
      </c>
      <c r="CI23" s="2">
        <v>0</v>
      </c>
      <c r="CJ23" s="2">
        <v>0</v>
      </c>
      <c r="CK23" s="2">
        <v>0</v>
      </c>
      <c r="CL23" s="2">
        <v>0</v>
      </c>
      <c r="CM23" s="2">
        <v>0</v>
      </c>
      <c r="CN23" s="2">
        <v>0</v>
      </c>
      <c r="CO23" s="2">
        <v>0</v>
      </c>
      <c r="CP23" s="2">
        <v>0</v>
      </c>
      <c r="CQ23" s="2">
        <v>0</v>
      </c>
      <c r="CR23" s="2">
        <v>0</v>
      </c>
      <c r="CS23" s="2">
        <v>0</v>
      </c>
      <c r="CT23" s="294"/>
    </row>
    <row r="24" spans="1:98" x14ac:dyDescent="0.2">
      <c r="A24" s="294"/>
      <c r="B24" s="204" t="str">
        <f>IF(RIGHT($D24,5)="Total",$B23&amp;" Total",VLOOKUP($D24,TableInputsData[],ReadMe!$M$3,FALSE))</f>
        <v>CHIFFRE D'AFFAIRES</v>
      </c>
      <c r="C24" s="294"/>
      <c r="D24" s="1" t="s">
        <v>457</v>
      </c>
      <c r="E24" s="25">
        <v>2023</v>
      </c>
      <c r="F24" s="2">
        <v>0</v>
      </c>
      <c r="G24" s="2">
        <v>0</v>
      </c>
      <c r="H24" s="2">
        <v>0</v>
      </c>
      <c r="I24" s="2">
        <v>0</v>
      </c>
      <c r="J24" s="2">
        <v>0</v>
      </c>
      <c r="K24" s="294"/>
      <c r="L24" s="294"/>
      <c r="M24" s="1" t="s">
        <v>457</v>
      </c>
      <c r="N24" s="25">
        <v>2023</v>
      </c>
      <c r="O24" s="2">
        <v>0</v>
      </c>
      <c r="P24" s="2">
        <v>0</v>
      </c>
      <c r="Q24" s="2">
        <v>0</v>
      </c>
      <c r="R24" s="2">
        <v>0</v>
      </c>
      <c r="S24" s="2">
        <v>0</v>
      </c>
      <c r="T24" s="2">
        <v>0</v>
      </c>
      <c r="U24" s="2">
        <v>0</v>
      </c>
      <c r="V24" s="2">
        <v>0</v>
      </c>
      <c r="W24" s="2">
        <v>0</v>
      </c>
      <c r="X24" s="2">
        <v>0</v>
      </c>
      <c r="Y24" s="2">
        <v>0</v>
      </c>
      <c r="Z24" s="2">
        <v>0</v>
      </c>
      <c r="AA24" s="2">
        <v>0</v>
      </c>
      <c r="AB24" s="2">
        <v>0</v>
      </c>
      <c r="AC24" s="2">
        <v>0</v>
      </c>
      <c r="AD24" s="2">
        <v>0</v>
      </c>
      <c r="AE24" s="2">
        <v>0</v>
      </c>
      <c r="AF24" s="2">
        <v>0</v>
      </c>
      <c r="AG24" s="2">
        <v>0</v>
      </c>
      <c r="AH24" s="2">
        <v>0</v>
      </c>
      <c r="AI24" s="2">
        <v>0</v>
      </c>
      <c r="AJ24" s="2">
        <v>0</v>
      </c>
      <c r="AK24" s="2">
        <v>0</v>
      </c>
      <c r="AL24" s="2">
        <v>0</v>
      </c>
      <c r="AM24" s="2">
        <v>0</v>
      </c>
      <c r="AN24" s="2">
        <v>0</v>
      </c>
      <c r="AO24" s="2">
        <v>0</v>
      </c>
      <c r="AP24" s="2">
        <v>0</v>
      </c>
      <c r="AQ24" s="2">
        <v>0</v>
      </c>
      <c r="AR24" s="2">
        <v>0</v>
      </c>
      <c r="AS24" s="2">
        <f t="shared" si="1"/>
        <v>0</v>
      </c>
      <c r="AT24" s="294"/>
      <c r="AU24" s="294"/>
      <c r="AV24" s="1" t="s">
        <v>457</v>
      </c>
      <c r="AW24" s="25">
        <v>2023</v>
      </c>
      <c r="AX24" s="2">
        <v>0</v>
      </c>
      <c r="AY24" s="2">
        <v>0</v>
      </c>
      <c r="AZ24" s="2">
        <v>0</v>
      </c>
      <c r="BA24" s="2">
        <v>0</v>
      </c>
      <c r="BB24" s="294"/>
      <c r="BC24" s="294"/>
      <c r="BD24" s="1" t="s">
        <v>457</v>
      </c>
      <c r="BE24" s="25">
        <v>2023</v>
      </c>
      <c r="BF24" s="2">
        <v>0</v>
      </c>
      <c r="BG24" s="2">
        <v>0</v>
      </c>
      <c r="BH24" s="2">
        <v>0</v>
      </c>
      <c r="BI24" s="294"/>
      <c r="BJ24" s="294"/>
      <c r="BK24" s="1" t="s">
        <v>457</v>
      </c>
      <c r="BL24" s="25">
        <v>2023</v>
      </c>
      <c r="BM24" s="2">
        <v>0</v>
      </c>
      <c r="BN24" s="2">
        <v>0</v>
      </c>
      <c r="BO24" s="2">
        <v>0</v>
      </c>
      <c r="BP24" s="294"/>
      <c r="BQ24" s="294"/>
      <c r="BR24" s="362" t="str">
        <f>VLOOKUP(BU24,TableInputsData[],6,FALSE)</f>
        <v>-</v>
      </c>
      <c r="BS24" s="598" t="str">
        <f>VLOOKUP(BU24,InputsData!$C$36:$I$67,5,FALSE)</f>
        <v>PRODUCT 10</v>
      </c>
      <c r="BT24" s="1" t="s">
        <v>261</v>
      </c>
      <c r="BU24" s="1" t="s">
        <v>401</v>
      </c>
      <c r="BV24" s="2">
        <v>0</v>
      </c>
      <c r="BW24" s="2">
        <v>0</v>
      </c>
      <c r="BX24" s="2">
        <v>0</v>
      </c>
      <c r="BY24" s="2">
        <v>0</v>
      </c>
      <c r="BZ24" s="2">
        <v>0</v>
      </c>
      <c r="CA24" s="2">
        <v>0</v>
      </c>
      <c r="CB24" s="2">
        <v>0</v>
      </c>
      <c r="CC24" s="2">
        <v>0</v>
      </c>
      <c r="CD24" s="2">
        <v>0</v>
      </c>
      <c r="CE24" s="2">
        <v>0</v>
      </c>
      <c r="CF24" s="2">
        <v>0</v>
      </c>
      <c r="CG24" s="2">
        <v>0</v>
      </c>
      <c r="CH24" s="2">
        <v>0</v>
      </c>
      <c r="CI24" s="2">
        <v>0</v>
      </c>
      <c r="CJ24" s="2">
        <v>0</v>
      </c>
      <c r="CK24" s="2">
        <v>0</v>
      </c>
      <c r="CL24" s="2">
        <v>0</v>
      </c>
      <c r="CM24" s="2">
        <v>0</v>
      </c>
      <c r="CN24" s="2">
        <v>0</v>
      </c>
      <c r="CO24" s="2">
        <v>0</v>
      </c>
      <c r="CP24" s="2">
        <v>0</v>
      </c>
      <c r="CQ24" s="2">
        <v>0</v>
      </c>
      <c r="CR24" s="2">
        <v>0</v>
      </c>
      <c r="CS24" s="2">
        <v>0</v>
      </c>
      <c r="CT24" s="294"/>
    </row>
    <row r="25" spans="1:98" x14ac:dyDescent="0.2">
      <c r="A25" s="294"/>
      <c r="B25" s="204" t="str">
        <f>IF(RIGHT($D25,5)="Total",$B24&amp;" Total",VLOOKUP($D25,TableInputsData[],ReadMe!$M$3,FALSE))</f>
        <v>CHIFFRE D'AFFAIRES</v>
      </c>
      <c r="C25" s="294"/>
      <c r="D25" s="1" t="s">
        <v>457</v>
      </c>
      <c r="E25" s="25">
        <v>2024</v>
      </c>
      <c r="F25" s="2">
        <v>0</v>
      </c>
      <c r="G25" s="2">
        <v>0</v>
      </c>
      <c r="H25" s="2">
        <v>0</v>
      </c>
      <c r="I25" s="2">
        <v>0</v>
      </c>
      <c r="J25" s="2">
        <v>0</v>
      </c>
      <c r="K25" s="294"/>
      <c r="L25" s="294"/>
      <c r="M25" s="1" t="s">
        <v>457</v>
      </c>
      <c r="N25" s="25">
        <v>2024</v>
      </c>
      <c r="O25" s="2">
        <v>0</v>
      </c>
      <c r="P25" s="2">
        <v>0</v>
      </c>
      <c r="Q25" s="2">
        <v>0</v>
      </c>
      <c r="R25" s="2">
        <v>0</v>
      </c>
      <c r="S25" s="2">
        <v>0</v>
      </c>
      <c r="T25" s="2">
        <v>0</v>
      </c>
      <c r="U25" s="2">
        <v>0</v>
      </c>
      <c r="V25" s="2">
        <v>0</v>
      </c>
      <c r="W25" s="2">
        <v>0</v>
      </c>
      <c r="X25" s="2">
        <v>0</v>
      </c>
      <c r="Y25" s="2">
        <v>0</v>
      </c>
      <c r="Z25" s="2">
        <v>0</v>
      </c>
      <c r="AA25" s="2">
        <v>0</v>
      </c>
      <c r="AB25" s="2">
        <v>0</v>
      </c>
      <c r="AC25" s="2">
        <v>0</v>
      </c>
      <c r="AD25" s="2">
        <v>0</v>
      </c>
      <c r="AE25" s="2">
        <v>0</v>
      </c>
      <c r="AF25" s="2">
        <v>0</v>
      </c>
      <c r="AG25" s="2">
        <v>0</v>
      </c>
      <c r="AH25" s="2">
        <v>0</v>
      </c>
      <c r="AI25" s="2">
        <v>0</v>
      </c>
      <c r="AJ25" s="2">
        <v>0</v>
      </c>
      <c r="AK25" s="2">
        <v>0</v>
      </c>
      <c r="AL25" s="2">
        <v>0</v>
      </c>
      <c r="AM25" s="2">
        <v>0</v>
      </c>
      <c r="AN25" s="2">
        <v>0</v>
      </c>
      <c r="AO25" s="2">
        <v>0</v>
      </c>
      <c r="AP25" s="2">
        <v>0</v>
      </c>
      <c r="AQ25" s="2">
        <v>0</v>
      </c>
      <c r="AR25" s="2">
        <v>0</v>
      </c>
      <c r="AS25" s="2">
        <f t="shared" si="1"/>
        <v>0</v>
      </c>
      <c r="AT25" s="294"/>
      <c r="AU25" s="294"/>
      <c r="AV25" s="1" t="s">
        <v>457</v>
      </c>
      <c r="AW25" s="25">
        <v>2024</v>
      </c>
      <c r="AX25" s="2">
        <v>0</v>
      </c>
      <c r="AY25" s="2">
        <v>0</v>
      </c>
      <c r="AZ25" s="2">
        <v>0</v>
      </c>
      <c r="BA25" s="2">
        <v>0</v>
      </c>
      <c r="BB25" s="294"/>
      <c r="BC25" s="294"/>
      <c r="BD25" s="1" t="s">
        <v>457</v>
      </c>
      <c r="BE25" s="25">
        <v>2024</v>
      </c>
      <c r="BF25" s="2">
        <v>0</v>
      </c>
      <c r="BG25" s="2">
        <v>0</v>
      </c>
      <c r="BH25" s="2">
        <v>0</v>
      </c>
      <c r="BI25" s="294"/>
      <c r="BJ25" s="294"/>
      <c r="BK25" s="1" t="s">
        <v>457</v>
      </c>
      <c r="BL25" s="25">
        <v>2024</v>
      </c>
      <c r="BM25" s="2">
        <v>0</v>
      </c>
      <c r="BN25" s="2">
        <v>0</v>
      </c>
      <c r="BO25" s="2">
        <v>0</v>
      </c>
      <c r="BP25" s="294"/>
      <c r="BQ25" s="294"/>
      <c r="BR25" s="362" t="str">
        <f>VLOOKUP(BU25,TableInputsData[],6,FALSE)</f>
        <v>-</v>
      </c>
      <c r="BS25" s="598" t="str">
        <f>VLOOKUP(BU25,InputsData!$C$36:$I$67,5,FALSE)</f>
        <v>PRODUCT 11</v>
      </c>
      <c r="BT25" s="1" t="s">
        <v>261</v>
      </c>
      <c r="BU25" s="1" t="s">
        <v>1710</v>
      </c>
      <c r="BV25" s="2">
        <v>0</v>
      </c>
      <c r="BW25" s="2">
        <v>0</v>
      </c>
      <c r="BX25" s="2">
        <v>0</v>
      </c>
      <c r="BY25" s="2">
        <v>0</v>
      </c>
      <c r="BZ25" s="2">
        <v>0</v>
      </c>
      <c r="CA25" s="2">
        <v>0</v>
      </c>
      <c r="CB25" s="2">
        <v>0</v>
      </c>
      <c r="CC25" s="2">
        <v>0</v>
      </c>
      <c r="CD25" s="2">
        <v>0</v>
      </c>
      <c r="CE25" s="2">
        <v>0</v>
      </c>
      <c r="CF25" s="2">
        <v>0</v>
      </c>
      <c r="CG25" s="2">
        <v>0</v>
      </c>
      <c r="CH25" s="2">
        <v>0</v>
      </c>
      <c r="CI25" s="2">
        <v>0</v>
      </c>
      <c r="CJ25" s="2">
        <v>0</v>
      </c>
      <c r="CK25" s="2">
        <v>0</v>
      </c>
      <c r="CL25" s="2">
        <v>0</v>
      </c>
      <c r="CM25" s="2">
        <v>0</v>
      </c>
      <c r="CN25" s="2">
        <v>0</v>
      </c>
      <c r="CO25" s="2">
        <v>0</v>
      </c>
      <c r="CP25" s="2">
        <v>0</v>
      </c>
      <c r="CQ25" s="2">
        <v>0</v>
      </c>
      <c r="CR25" s="2">
        <v>0</v>
      </c>
      <c r="CS25" s="2">
        <v>0</v>
      </c>
      <c r="CT25" s="294"/>
    </row>
    <row r="26" spans="1:98" x14ac:dyDescent="0.2">
      <c r="A26" s="294"/>
      <c r="B26" s="204" t="str">
        <f>IF(RIGHT($D26,5)="Total",$B25&amp;" Total",VLOOKUP($D26,TableInputsData[],ReadMe!$M$3,FALSE))</f>
        <v>CHIFFRE D'AFFAIRES</v>
      </c>
      <c r="C26" s="294"/>
      <c r="D26" s="1" t="s">
        <v>457</v>
      </c>
      <c r="E26" s="25">
        <v>2025</v>
      </c>
      <c r="F26" s="2">
        <v>0</v>
      </c>
      <c r="G26" s="2">
        <v>0</v>
      </c>
      <c r="H26" s="2">
        <v>0</v>
      </c>
      <c r="I26" s="2">
        <v>0</v>
      </c>
      <c r="J26" s="2">
        <v>0</v>
      </c>
      <c r="K26" s="294"/>
      <c r="L26" s="294"/>
      <c r="M26" s="1" t="s">
        <v>457</v>
      </c>
      <c r="N26" s="25">
        <v>2025</v>
      </c>
      <c r="O26" s="2">
        <v>0</v>
      </c>
      <c r="P26" s="2">
        <v>0</v>
      </c>
      <c r="Q26" s="2">
        <v>0</v>
      </c>
      <c r="R26" s="2">
        <v>0</v>
      </c>
      <c r="S26" s="2">
        <v>0</v>
      </c>
      <c r="T26" s="2">
        <v>0</v>
      </c>
      <c r="U26" s="2">
        <v>0</v>
      </c>
      <c r="V26" s="2">
        <v>0</v>
      </c>
      <c r="W26" s="2">
        <v>0</v>
      </c>
      <c r="X26" s="2">
        <v>0</v>
      </c>
      <c r="Y26" s="2">
        <v>0</v>
      </c>
      <c r="Z26" s="2">
        <v>0</v>
      </c>
      <c r="AA26" s="2">
        <v>0</v>
      </c>
      <c r="AB26" s="2">
        <v>0</v>
      </c>
      <c r="AC26" s="2">
        <v>0</v>
      </c>
      <c r="AD26" s="2">
        <v>0</v>
      </c>
      <c r="AE26" s="2">
        <v>0</v>
      </c>
      <c r="AF26" s="2">
        <v>0</v>
      </c>
      <c r="AG26" s="2">
        <v>0</v>
      </c>
      <c r="AH26" s="2">
        <v>0</v>
      </c>
      <c r="AI26" s="2">
        <v>0</v>
      </c>
      <c r="AJ26" s="2">
        <v>0</v>
      </c>
      <c r="AK26" s="2">
        <v>0</v>
      </c>
      <c r="AL26" s="2">
        <v>0</v>
      </c>
      <c r="AM26" s="2">
        <v>0</v>
      </c>
      <c r="AN26" s="2">
        <v>0</v>
      </c>
      <c r="AO26" s="2">
        <v>0</v>
      </c>
      <c r="AP26" s="2">
        <v>0</v>
      </c>
      <c r="AQ26" s="2">
        <v>0</v>
      </c>
      <c r="AR26" s="2">
        <v>0</v>
      </c>
      <c r="AS26" s="2">
        <f t="shared" si="1"/>
        <v>0</v>
      </c>
      <c r="AT26" s="294"/>
      <c r="AU26" s="294"/>
      <c r="AV26" s="1" t="s">
        <v>457</v>
      </c>
      <c r="AW26" s="25">
        <v>2025</v>
      </c>
      <c r="AX26" s="2">
        <v>0</v>
      </c>
      <c r="AY26" s="2">
        <v>0</v>
      </c>
      <c r="AZ26" s="2">
        <v>0</v>
      </c>
      <c r="BA26" s="2">
        <v>0</v>
      </c>
      <c r="BB26" s="294"/>
      <c r="BC26" s="294"/>
      <c r="BD26" s="1" t="s">
        <v>457</v>
      </c>
      <c r="BE26" s="25">
        <v>2025</v>
      </c>
      <c r="BF26" s="2">
        <v>0</v>
      </c>
      <c r="BG26" s="2">
        <v>0</v>
      </c>
      <c r="BH26" s="2">
        <v>0</v>
      </c>
      <c r="BI26" s="294"/>
      <c r="BJ26" s="294"/>
      <c r="BK26" s="1" t="s">
        <v>457</v>
      </c>
      <c r="BL26" s="25">
        <v>2025</v>
      </c>
      <c r="BM26" s="2">
        <v>0</v>
      </c>
      <c r="BN26" s="2">
        <v>0</v>
      </c>
      <c r="BO26" s="2">
        <v>0</v>
      </c>
      <c r="BP26" s="294"/>
      <c r="BQ26" s="294"/>
      <c r="BR26" s="362" t="str">
        <f>VLOOKUP(BU26,TableInputsData[],6,FALSE)</f>
        <v>-</v>
      </c>
      <c r="BS26" s="598" t="str">
        <f>VLOOKUP(BU26,InputsData!$C$36:$I$67,5,FALSE)</f>
        <v>PRODUCT 12</v>
      </c>
      <c r="BT26" s="1" t="s">
        <v>261</v>
      </c>
      <c r="BU26" s="1" t="s">
        <v>1712</v>
      </c>
      <c r="BV26" s="2">
        <v>0</v>
      </c>
      <c r="BW26" s="2">
        <v>0</v>
      </c>
      <c r="BX26" s="2">
        <v>0</v>
      </c>
      <c r="BY26" s="2">
        <v>0</v>
      </c>
      <c r="BZ26" s="2">
        <v>0</v>
      </c>
      <c r="CA26" s="2">
        <v>0</v>
      </c>
      <c r="CB26" s="2">
        <v>0</v>
      </c>
      <c r="CC26" s="2">
        <v>0</v>
      </c>
      <c r="CD26" s="2">
        <v>0</v>
      </c>
      <c r="CE26" s="2">
        <v>0</v>
      </c>
      <c r="CF26" s="2">
        <v>0</v>
      </c>
      <c r="CG26" s="2">
        <v>0</v>
      </c>
      <c r="CH26" s="2">
        <v>0</v>
      </c>
      <c r="CI26" s="2">
        <v>0</v>
      </c>
      <c r="CJ26" s="2">
        <v>0</v>
      </c>
      <c r="CK26" s="2">
        <v>0</v>
      </c>
      <c r="CL26" s="2">
        <v>0</v>
      </c>
      <c r="CM26" s="2">
        <v>0</v>
      </c>
      <c r="CN26" s="2">
        <v>0</v>
      </c>
      <c r="CO26" s="2">
        <v>0</v>
      </c>
      <c r="CP26" s="2">
        <v>0</v>
      </c>
      <c r="CQ26" s="2">
        <v>0</v>
      </c>
      <c r="CR26" s="2">
        <v>0</v>
      </c>
      <c r="CS26" s="2">
        <v>0</v>
      </c>
      <c r="CT26" s="294"/>
    </row>
    <row r="27" spans="1:98" x14ac:dyDescent="0.2">
      <c r="A27" s="294"/>
      <c r="B27" s="204" t="str">
        <f>IF(RIGHT($D27,5)="Total",$B26&amp;" Total",VLOOKUP($D27,TableInputsData[],ReadMe!$M$3,FALSE))</f>
        <v>CHIFFRE D'AFFAIRES</v>
      </c>
      <c r="C27" s="294"/>
      <c r="D27" s="1" t="s">
        <v>457</v>
      </c>
      <c r="E27" s="25">
        <v>2026</v>
      </c>
      <c r="F27" s="2">
        <v>0</v>
      </c>
      <c r="G27" s="2">
        <v>0</v>
      </c>
      <c r="H27" s="2">
        <v>0</v>
      </c>
      <c r="I27" s="2">
        <v>0</v>
      </c>
      <c r="J27" s="2">
        <v>0</v>
      </c>
      <c r="K27" s="294"/>
      <c r="L27" s="294"/>
      <c r="M27" s="1" t="s">
        <v>457</v>
      </c>
      <c r="N27" s="25">
        <v>2026</v>
      </c>
      <c r="O27" s="2">
        <v>0</v>
      </c>
      <c r="P27" s="2">
        <v>0</v>
      </c>
      <c r="Q27" s="2">
        <v>0</v>
      </c>
      <c r="R27" s="2">
        <v>0</v>
      </c>
      <c r="S27" s="2">
        <v>0</v>
      </c>
      <c r="T27" s="2">
        <v>0</v>
      </c>
      <c r="U27" s="2">
        <v>0</v>
      </c>
      <c r="V27" s="2">
        <v>0</v>
      </c>
      <c r="W27" s="2">
        <v>0</v>
      </c>
      <c r="X27" s="2">
        <v>0</v>
      </c>
      <c r="Y27" s="2">
        <v>0</v>
      </c>
      <c r="Z27" s="2">
        <v>0</v>
      </c>
      <c r="AA27" s="2">
        <v>0</v>
      </c>
      <c r="AB27" s="2">
        <v>0</v>
      </c>
      <c r="AC27" s="2">
        <v>0</v>
      </c>
      <c r="AD27" s="2">
        <v>0</v>
      </c>
      <c r="AE27" s="2">
        <v>0</v>
      </c>
      <c r="AF27" s="2">
        <v>0</v>
      </c>
      <c r="AG27" s="2">
        <v>0</v>
      </c>
      <c r="AH27" s="2">
        <v>0</v>
      </c>
      <c r="AI27" s="2">
        <v>0</v>
      </c>
      <c r="AJ27" s="2">
        <v>0</v>
      </c>
      <c r="AK27" s="2">
        <v>0</v>
      </c>
      <c r="AL27" s="2">
        <v>0</v>
      </c>
      <c r="AM27" s="2">
        <v>0</v>
      </c>
      <c r="AN27" s="2">
        <v>0</v>
      </c>
      <c r="AO27" s="2">
        <v>0</v>
      </c>
      <c r="AP27" s="2">
        <v>0</v>
      </c>
      <c r="AQ27" s="2">
        <v>0</v>
      </c>
      <c r="AR27" s="2">
        <v>0</v>
      </c>
      <c r="AS27" s="2">
        <f t="shared" si="1"/>
        <v>0</v>
      </c>
      <c r="AT27" s="294"/>
      <c r="AU27" s="294"/>
      <c r="AV27" s="1" t="s">
        <v>457</v>
      </c>
      <c r="AW27" s="25">
        <v>2026</v>
      </c>
      <c r="AX27" s="2">
        <v>0</v>
      </c>
      <c r="AY27" s="2">
        <v>0</v>
      </c>
      <c r="AZ27" s="2">
        <v>0</v>
      </c>
      <c r="BA27" s="2">
        <v>0</v>
      </c>
      <c r="BB27" s="294"/>
      <c r="BC27" s="294"/>
      <c r="BD27" s="1" t="s">
        <v>457</v>
      </c>
      <c r="BE27" s="25">
        <v>2026</v>
      </c>
      <c r="BF27" s="2">
        <v>0</v>
      </c>
      <c r="BG27" s="2">
        <v>0</v>
      </c>
      <c r="BH27" s="2">
        <v>0</v>
      </c>
      <c r="BI27" s="294"/>
      <c r="BJ27" s="294"/>
      <c r="BK27" s="1" t="s">
        <v>457</v>
      </c>
      <c r="BL27" s="25">
        <v>2026</v>
      </c>
      <c r="BM27" s="2">
        <v>0</v>
      </c>
      <c r="BN27" s="2">
        <v>0</v>
      </c>
      <c r="BO27" s="2">
        <v>0</v>
      </c>
      <c r="BP27" s="294"/>
      <c r="BQ27" s="294"/>
      <c r="BR27" s="362" t="str">
        <f>VLOOKUP(BU27,TableInputsData[],6,FALSE)</f>
        <v>-</v>
      </c>
      <c r="BS27" s="598" t="str">
        <f>VLOOKUP(BU27,InputsData!$C$36:$I$67,5,FALSE)</f>
        <v>PRODUCT 13</v>
      </c>
      <c r="BT27" s="1" t="s">
        <v>261</v>
      </c>
      <c r="BU27" s="1" t="s">
        <v>1714</v>
      </c>
      <c r="BV27" s="2">
        <v>0</v>
      </c>
      <c r="BW27" s="2">
        <v>0</v>
      </c>
      <c r="BX27" s="2">
        <v>0</v>
      </c>
      <c r="BY27" s="2">
        <v>0</v>
      </c>
      <c r="BZ27" s="2">
        <v>0</v>
      </c>
      <c r="CA27" s="2">
        <v>0</v>
      </c>
      <c r="CB27" s="2">
        <v>0</v>
      </c>
      <c r="CC27" s="2">
        <v>0</v>
      </c>
      <c r="CD27" s="2">
        <v>0</v>
      </c>
      <c r="CE27" s="2">
        <v>0</v>
      </c>
      <c r="CF27" s="2">
        <v>0</v>
      </c>
      <c r="CG27" s="2">
        <v>0</v>
      </c>
      <c r="CH27" s="2">
        <v>0</v>
      </c>
      <c r="CI27" s="2">
        <v>0</v>
      </c>
      <c r="CJ27" s="2">
        <v>0</v>
      </c>
      <c r="CK27" s="2">
        <v>0</v>
      </c>
      <c r="CL27" s="2">
        <v>0</v>
      </c>
      <c r="CM27" s="2">
        <v>0</v>
      </c>
      <c r="CN27" s="2">
        <v>0</v>
      </c>
      <c r="CO27" s="2">
        <v>0</v>
      </c>
      <c r="CP27" s="2">
        <v>0</v>
      </c>
      <c r="CQ27" s="2">
        <v>0</v>
      </c>
      <c r="CR27" s="2">
        <v>0</v>
      </c>
      <c r="CS27" s="2">
        <v>0</v>
      </c>
      <c r="CT27" s="294"/>
    </row>
    <row r="28" spans="1:98" x14ac:dyDescent="0.2">
      <c r="A28" s="294"/>
      <c r="B28" s="204" t="str">
        <f>IF(RIGHT($D28,5)="Total",$B27&amp;" Total",VLOOKUP($D28,TableInputsData[],ReadMe!$M$3,FALSE))</f>
        <v>CHIFFRE D'AFFAIRES</v>
      </c>
      <c r="C28" s="294"/>
      <c r="D28" s="1" t="s">
        <v>457</v>
      </c>
      <c r="E28" s="25">
        <v>2027</v>
      </c>
      <c r="F28" s="2">
        <v>0</v>
      </c>
      <c r="G28" s="2">
        <v>0</v>
      </c>
      <c r="H28" s="2">
        <v>0</v>
      </c>
      <c r="I28" s="2">
        <v>0</v>
      </c>
      <c r="J28" s="2">
        <v>0</v>
      </c>
      <c r="K28" s="294"/>
      <c r="L28" s="294"/>
      <c r="M28" s="1" t="s">
        <v>457</v>
      </c>
      <c r="N28" s="25">
        <v>2027</v>
      </c>
      <c r="O28" s="2">
        <v>0</v>
      </c>
      <c r="P28" s="2">
        <v>0</v>
      </c>
      <c r="Q28" s="2">
        <v>0</v>
      </c>
      <c r="R28" s="2">
        <v>0</v>
      </c>
      <c r="S28" s="2">
        <v>0</v>
      </c>
      <c r="T28" s="2">
        <v>0</v>
      </c>
      <c r="U28" s="2">
        <v>0</v>
      </c>
      <c r="V28" s="2">
        <v>0</v>
      </c>
      <c r="W28" s="2">
        <v>0</v>
      </c>
      <c r="X28" s="2">
        <v>0</v>
      </c>
      <c r="Y28" s="2">
        <v>0</v>
      </c>
      <c r="Z28" s="2">
        <v>0</v>
      </c>
      <c r="AA28" s="2">
        <v>0</v>
      </c>
      <c r="AB28" s="2">
        <v>0</v>
      </c>
      <c r="AC28" s="2">
        <v>0</v>
      </c>
      <c r="AD28" s="2">
        <v>0</v>
      </c>
      <c r="AE28" s="2">
        <v>0</v>
      </c>
      <c r="AF28" s="2">
        <v>0</v>
      </c>
      <c r="AG28" s="2">
        <v>0</v>
      </c>
      <c r="AH28" s="2">
        <v>0</v>
      </c>
      <c r="AI28" s="2">
        <v>0</v>
      </c>
      <c r="AJ28" s="2">
        <v>0</v>
      </c>
      <c r="AK28" s="2">
        <v>0</v>
      </c>
      <c r="AL28" s="2">
        <v>0</v>
      </c>
      <c r="AM28" s="2">
        <v>0</v>
      </c>
      <c r="AN28" s="2">
        <v>0</v>
      </c>
      <c r="AO28" s="2">
        <v>0</v>
      </c>
      <c r="AP28" s="2">
        <v>0</v>
      </c>
      <c r="AQ28" s="2">
        <v>0</v>
      </c>
      <c r="AR28" s="2">
        <v>0</v>
      </c>
      <c r="AS28" s="2">
        <f t="shared" si="1"/>
        <v>0</v>
      </c>
      <c r="AT28" s="294"/>
      <c r="AU28" s="294"/>
      <c r="AV28" s="1" t="s">
        <v>457</v>
      </c>
      <c r="AW28" s="25">
        <v>2027</v>
      </c>
      <c r="AX28" s="2">
        <v>0</v>
      </c>
      <c r="AY28" s="2">
        <v>0</v>
      </c>
      <c r="AZ28" s="2">
        <v>0</v>
      </c>
      <c r="BA28" s="2">
        <v>0</v>
      </c>
      <c r="BB28" s="294"/>
      <c r="BC28" s="294"/>
      <c r="BD28" s="1" t="s">
        <v>457</v>
      </c>
      <c r="BE28" s="25">
        <v>2027</v>
      </c>
      <c r="BF28" s="2">
        <v>0</v>
      </c>
      <c r="BG28" s="2">
        <v>0</v>
      </c>
      <c r="BH28" s="2">
        <v>0</v>
      </c>
      <c r="BI28" s="294"/>
      <c r="BJ28" s="294"/>
      <c r="BK28" s="1" t="s">
        <v>457</v>
      </c>
      <c r="BL28" s="25">
        <v>2027</v>
      </c>
      <c r="BM28" s="2">
        <v>0</v>
      </c>
      <c r="BN28" s="2">
        <v>0</v>
      </c>
      <c r="BO28" s="2">
        <v>0</v>
      </c>
      <c r="BP28" s="294"/>
      <c r="BQ28" s="294"/>
      <c r="BR28" s="362" t="str">
        <f>VLOOKUP(BU28,TableInputsData[],6,FALSE)</f>
        <v>-</v>
      </c>
      <c r="BS28" s="598" t="str">
        <f>VLOOKUP(BU28,InputsData!$C$36:$I$67,5,FALSE)</f>
        <v>PRODUCT 14</v>
      </c>
      <c r="BT28" s="1" t="s">
        <v>261</v>
      </c>
      <c r="BU28" s="1" t="s">
        <v>1716</v>
      </c>
      <c r="BV28" s="2">
        <v>0</v>
      </c>
      <c r="BW28" s="2">
        <v>0</v>
      </c>
      <c r="BX28" s="2">
        <v>0</v>
      </c>
      <c r="BY28" s="2">
        <v>0</v>
      </c>
      <c r="BZ28" s="2">
        <v>0</v>
      </c>
      <c r="CA28" s="2">
        <v>0</v>
      </c>
      <c r="CB28" s="2">
        <v>0</v>
      </c>
      <c r="CC28" s="2">
        <v>0</v>
      </c>
      <c r="CD28" s="2">
        <v>0</v>
      </c>
      <c r="CE28" s="2">
        <v>0</v>
      </c>
      <c r="CF28" s="2">
        <v>0</v>
      </c>
      <c r="CG28" s="2">
        <v>0</v>
      </c>
      <c r="CH28" s="2">
        <v>0</v>
      </c>
      <c r="CI28" s="2">
        <v>0</v>
      </c>
      <c r="CJ28" s="2">
        <v>0</v>
      </c>
      <c r="CK28" s="2">
        <v>0</v>
      </c>
      <c r="CL28" s="2">
        <v>0</v>
      </c>
      <c r="CM28" s="2">
        <v>0</v>
      </c>
      <c r="CN28" s="2">
        <v>0</v>
      </c>
      <c r="CO28" s="2">
        <v>0</v>
      </c>
      <c r="CP28" s="2">
        <v>0</v>
      </c>
      <c r="CQ28" s="2">
        <v>0</v>
      </c>
      <c r="CR28" s="2">
        <v>0</v>
      </c>
      <c r="CS28" s="2">
        <v>0</v>
      </c>
      <c r="CT28" s="294"/>
    </row>
    <row r="29" spans="1:98" x14ac:dyDescent="0.2">
      <c r="A29" s="294"/>
      <c r="B29" s="204" t="str">
        <f>IF(RIGHT($D29,5)="Total",$B28&amp;" Total",VLOOKUP($D29,TableInputsData[],ReadMe!$M$3,FALSE))</f>
        <v>CHIFFRE D'AFFAIRES</v>
      </c>
      <c r="C29" s="294"/>
      <c r="D29" s="1" t="s">
        <v>457</v>
      </c>
      <c r="E29" s="25">
        <v>2028</v>
      </c>
      <c r="F29" s="2">
        <v>0</v>
      </c>
      <c r="G29" s="2">
        <v>0</v>
      </c>
      <c r="H29" s="2">
        <v>0</v>
      </c>
      <c r="I29" s="2">
        <v>0</v>
      </c>
      <c r="J29" s="2">
        <v>0</v>
      </c>
      <c r="K29" s="294"/>
      <c r="L29" s="294"/>
      <c r="M29" s="1" t="s">
        <v>457</v>
      </c>
      <c r="N29" s="25">
        <v>2028</v>
      </c>
      <c r="O29" s="2">
        <v>0</v>
      </c>
      <c r="P29" s="2">
        <v>0</v>
      </c>
      <c r="Q29" s="2">
        <v>0</v>
      </c>
      <c r="R29" s="2">
        <v>0</v>
      </c>
      <c r="S29" s="2">
        <v>0</v>
      </c>
      <c r="T29" s="2">
        <v>0</v>
      </c>
      <c r="U29" s="2">
        <v>0</v>
      </c>
      <c r="V29" s="2">
        <v>0</v>
      </c>
      <c r="W29" s="2">
        <v>0</v>
      </c>
      <c r="X29" s="2">
        <v>0</v>
      </c>
      <c r="Y29" s="2">
        <v>0</v>
      </c>
      <c r="Z29" s="2">
        <v>0</v>
      </c>
      <c r="AA29" s="2">
        <v>0</v>
      </c>
      <c r="AB29" s="2">
        <v>0</v>
      </c>
      <c r="AC29" s="2">
        <v>0</v>
      </c>
      <c r="AD29" s="2">
        <v>0</v>
      </c>
      <c r="AE29" s="2">
        <v>0</v>
      </c>
      <c r="AF29" s="2">
        <v>0</v>
      </c>
      <c r="AG29" s="2">
        <v>0</v>
      </c>
      <c r="AH29" s="2">
        <v>0</v>
      </c>
      <c r="AI29" s="2">
        <v>0</v>
      </c>
      <c r="AJ29" s="2">
        <v>0</v>
      </c>
      <c r="AK29" s="2">
        <v>0</v>
      </c>
      <c r="AL29" s="2">
        <v>0</v>
      </c>
      <c r="AM29" s="2">
        <v>0</v>
      </c>
      <c r="AN29" s="2">
        <v>0</v>
      </c>
      <c r="AO29" s="2">
        <v>0</v>
      </c>
      <c r="AP29" s="2">
        <v>0</v>
      </c>
      <c r="AQ29" s="2">
        <v>0</v>
      </c>
      <c r="AR29" s="2">
        <v>0</v>
      </c>
      <c r="AS29" s="2">
        <f t="shared" si="1"/>
        <v>0</v>
      </c>
      <c r="AT29" s="294"/>
      <c r="AU29" s="294"/>
      <c r="AV29" s="1" t="s">
        <v>457</v>
      </c>
      <c r="AW29" s="25">
        <v>2028</v>
      </c>
      <c r="AX29" s="2">
        <v>0</v>
      </c>
      <c r="AY29" s="2">
        <v>0</v>
      </c>
      <c r="AZ29" s="2">
        <v>0</v>
      </c>
      <c r="BA29" s="2">
        <v>0</v>
      </c>
      <c r="BB29" s="294"/>
      <c r="BC29" s="294"/>
      <c r="BD29" s="1" t="s">
        <v>457</v>
      </c>
      <c r="BE29" s="25">
        <v>2028</v>
      </c>
      <c r="BF29" s="2">
        <v>0</v>
      </c>
      <c r="BG29" s="2">
        <v>0</v>
      </c>
      <c r="BH29" s="2">
        <v>0</v>
      </c>
      <c r="BI29" s="294"/>
      <c r="BJ29" s="294"/>
      <c r="BK29" s="1" t="s">
        <v>457</v>
      </c>
      <c r="BL29" s="25">
        <v>2028</v>
      </c>
      <c r="BM29" s="2">
        <v>0</v>
      </c>
      <c r="BN29" s="2">
        <v>0</v>
      </c>
      <c r="BO29" s="2">
        <v>0</v>
      </c>
      <c r="BP29" s="294"/>
      <c r="BQ29" s="294"/>
      <c r="BR29" s="362" t="str">
        <f>VLOOKUP(BU29,TableInputsData[],6,FALSE)</f>
        <v>-</v>
      </c>
      <c r="BS29" s="598" t="str">
        <f>VLOOKUP(BU29,InputsData!$C$36:$I$67,5,FALSE)</f>
        <v>PRODUCT 15</v>
      </c>
      <c r="BT29" s="1" t="s">
        <v>261</v>
      </c>
      <c r="BU29" s="1" t="s">
        <v>1718</v>
      </c>
      <c r="BV29" s="2">
        <v>0</v>
      </c>
      <c r="BW29" s="2">
        <v>0</v>
      </c>
      <c r="BX29" s="2">
        <v>0</v>
      </c>
      <c r="BY29" s="2">
        <v>0</v>
      </c>
      <c r="BZ29" s="2">
        <v>0</v>
      </c>
      <c r="CA29" s="2">
        <v>0</v>
      </c>
      <c r="CB29" s="2">
        <v>0</v>
      </c>
      <c r="CC29" s="2">
        <v>0</v>
      </c>
      <c r="CD29" s="2">
        <v>0</v>
      </c>
      <c r="CE29" s="2">
        <v>0</v>
      </c>
      <c r="CF29" s="2">
        <v>0</v>
      </c>
      <c r="CG29" s="2">
        <v>0</v>
      </c>
      <c r="CH29" s="2">
        <v>0</v>
      </c>
      <c r="CI29" s="2">
        <v>0</v>
      </c>
      <c r="CJ29" s="2">
        <v>0</v>
      </c>
      <c r="CK29" s="2">
        <v>0</v>
      </c>
      <c r="CL29" s="2">
        <v>0</v>
      </c>
      <c r="CM29" s="2">
        <v>0</v>
      </c>
      <c r="CN29" s="2">
        <v>0</v>
      </c>
      <c r="CO29" s="2">
        <v>0</v>
      </c>
      <c r="CP29" s="2">
        <v>0</v>
      </c>
      <c r="CQ29" s="2">
        <v>0</v>
      </c>
      <c r="CR29" s="2">
        <v>0</v>
      </c>
      <c r="CS29" s="2">
        <v>0</v>
      </c>
      <c r="CT29" s="294"/>
    </row>
    <row r="30" spans="1:98" x14ac:dyDescent="0.2">
      <c r="A30" s="294"/>
      <c r="B30" s="204" t="str">
        <f>IF(RIGHT($D30,5)="Total",$B29&amp;" Total",VLOOKUP($D30,TableInputsData[],ReadMe!$M$3,FALSE))</f>
        <v>CHIFFRE D'AFFAIRES</v>
      </c>
      <c r="C30" s="294"/>
      <c r="D30" s="1" t="s">
        <v>457</v>
      </c>
      <c r="E30" s="25">
        <v>2029</v>
      </c>
      <c r="F30" s="2">
        <v>0</v>
      </c>
      <c r="G30" s="2">
        <v>0</v>
      </c>
      <c r="H30" s="2">
        <v>0</v>
      </c>
      <c r="I30" s="2">
        <v>0</v>
      </c>
      <c r="J30" s="2">
        <v>0</v>
      </c>
      <c r="K30" s="294"/>
      <c r="L30" s="294"/>
      <c r="M30" s="1" t="s">
        <v>457</v>
      </c>
      <c r="N30" s="25">
        <v>2029</v>
      </c>
      <c r="O30" s="2">
        <v>0</v>
      </c>
      <c r="P30" s="2">
        <v>0</v>
      </c>
      <c r="Q30" s="2">
        <v>0</v>
      </c>
      <c r="R30" s="2">
        <v>0</v>
      </c>
      <c r="S30" s="2">
        <v>0</v>
      </c>
      <c r="T30" s="2">
        <v>0</v>
      </c>
      <c r="U30" s="2">
        <v>0</v>
      </c>
      <c r="V30" s="2">
        <v>0</v>
      </c>
      <c r="W30" s="2">
        <v>0</v>
      </c>
      <c r="X30" s="2">
        <v>0</v>
      </c>
      <c r="Y30" s="2">
        <v>0</v>
      </c>
      <c r="Z30" s="2">
        <v>0</v>
      </c>
      <c r="AA30" s="2">
        <v>0</v>
      </c>
      <c r="AB30" s="2">
        <v>0</v>
      </c>
      <c r="AC30" s="2">
        <v>0</v>
      </c>
      <c r="AD30" s="2">
        <v>0</v>
      </c>
      <c r="AE30" s="2">
        <v>0</v>
      </c>
      <c r="AF30" s="2">
        <v>0</v>
      </c>
      <c r="AG30" s="2">
        <v>0</v>
      </c>
      <c r="AH30" s="2">
        <v>0</v>
      </c>
      <c r="AI30" s="2">
        <v>0</v>
      </c>
      <c r="AJ30" s="2">
        <v>0</v>
      </c>
      <c r="AK30" s="2">
        <v>0</v>
      </c>
      <c r="AL30" s="2">
        <v>0</v>
      </c>
      <c r="AM30" s="2">
        <v>0</v>
      </c>
      <c r="AN30" s="2">
        <v>0</v>
      </c>
      <c r="AO30" s="2">
        <v>0</v>
      </c>
      <c r="AP30" s="2">
        <v>0</v>
      </c>
      <c r="AQ30" s="2">
        <v>0</v>
      </c>
      <c r="AR30" s="2">
        <v>0</v>
      </c>
      <c r="AS30" s="2">
        <f t="shared" si="1"/>
        <v>0</v>
      </c>
      <c r="AT30" s="294"/>
      <c r="AU30" s="294"/>
      <c r="AV30" s="1" t="s">
        <v>457</v>
      </c>
      <c r="AW30" s="25">
        <v>2029</v>
      </c>
      <c r="AX30" s="2">
        <v>0</v>
      </c>
      <c r="AY30" s="2">
        <v>0</v>
      </c>
      <c r="AZ30" s="2">
        <v>0</v>
      </c>
      <c r="BA30" s="2">
        <v>0</v>
      </c>
      <c r="BB30" s="294"/>
      <c r="BC30" s="294"/>
      <c r="BD30" s="1" t="s">
        <v>457</v>
      </c>
      <c r="BE30" s="25">
        <v>2029</v>
      </c>
      <c r="BF30" s="2">
        <v>0</v>
      </c>
      <c r="BG30" s="2">
        <v>0</v>
      </c>
      <c r="BH30" s="2">
        <v>0</v>
      </c>
      <c r="BI30" s="294"/>
      <c r="BJ30" s="294"/>
      <c r="BK30" s="1" t="s">
        <v>457</v>
      </c>
      <c r="BL30" s="25">
        <v>2029</v>
      </c>
      <c r="BM30" s="2">
        <v>0</v>
      </c>
      <c r="BN30" s="2">
        <v>0</v>
      </c>
      <c r="BO30" s="2">
        <v>0</v>
      </c>
      <c r="BP30" s="294"/>
      <c r="BQ30" s="294"/>
      <c r="BR30" s="362" t="str">
        <f>VLOOKUP(BU30,TableInputsData[],6,FALSE)</f>
        <v>-</v>
      </c>
      <c r="BS30" s="598" t="str">
        <f>VLOOKUP(BU30,InputsData!$C$36:$I$67,5,FALSE)</f>
        <v>PRODUCT 16</v>
      </c>
      <c r="BT30" s="1" t="s">
        <v>261</v>
      </c>
      <c r="BU30" s="1" t="s">
        <v>1720</v>
      </c>
      <c r="BV30" s="2">
        <v>0</v>
      </c>
      <c r="BW30" s="2">
        <v>0</v>
      </c>
      <c r="BX30" s="2">
        <v>0</v>
      </c>
      <c r="BY30" s="2">
        <v>0</v>
      </c>
      <c r="BZ30" s="2">
        <v>0</v>
      </c>
      <c r="CA30" s="2">
        <v>0</v>
      </c>
      <c r="CB30" s="2">
        <v>0</v>
      </c>
      <c r="CC30" s="2">
        <v>0</v>
      </c>
      <c r="CD30" s="2">
        <v>0</v>
      </c>
      <c r="CE30" s="2">
        <v>0</v>
      </c>
      <c r="CF30" s="2">
        <v>0</v>
      </c>
      <c r="CG30" s="2">
        <v>0</v>
      </c>
      <c r="CH30" s="2">
        <v>0</v>
      </c>
      <c r="CI30" s="2">
        <v>0</v>
      </c>
      <c r="CJ30" s="2">
        <v>0</v>
      </c>
      <c r="CK30" s="2">
        <v>0</v>
      </c>
      <c r="CL30" s="2">
        <v>0</v>
      </c>
      <c r="CM30" s="2">
        <v>0</v>
      </c>
      <c r="CN30" s="2">
        <v>0</v>
      </c>
      <c r="CO30" s="2">
        <v>0</v>
      </c>
      <c r="CP30" s="2">
        <v>0</v>
      </c>
      <c r="CQ30" s="2">
        <v>0</v>
      </c>
      <c r="CR30" s="2">
        <v>0</v>
      </c>
      <c r="CS30" s="2">
        <v>0</v>
      </c>
      <c r="CT30" s="294"/>
    </row>
    <row r="31" spans="1:98" x14ac:dyDescent="0.2">
      <c r="A31" s="294"/>
      <c r="B31" s="204" t="str">
        <f>IF(RIGHT($D31,5)="Total",$B30&amp;" Total",VLOOKUP($D31,TableInputsData[],ReadMe!$M$3,FALSE))</f>
        <v>CHIFFRE D'AFFAIRES</v>
      </c>
      <c r="C31" s="294"/>
      <c r="D31" s="1" t="s">
        <v>457</v>
      </c>
      <c r="E31" s="25">
        <v>2030</v>
      </c>
      <c r="F31" s="2">
        <v>0</v>
      </c>
      <c r="G31" s="2">
        <v>0</v>
      </c>
      <c r="H31" s="2">
        <v>0</v>
      </c>
      <c r="I31" s="2">
        <v>0</v>
      </c>
      <c r="J31" s="2">
        <v>0</v>
      </c>
      <c r="K31" s="294"/>
      <c r="L31" s="294"/>
      <c r="M31" s="1" t="s">
        <v>457</v>
      </c>
      <c r="N31" s="25">
        <v>2030</v>
      </c>
      <c r="O31" s="2">
        <v>0</v>
      </c>
      <c r="P31" s="2">
        <v>0</v>
      </c>
      <c r="Q31" s="2">
        <v>0</v>
      </c>
      <c r="R31" s="2">
        <v>0</v>
      </c>
      <c r="S31" s="2">
        <v>0</v>
      </c>
      <c r="T31" s="2">
        <v>0</v>
      </c>
      <c r="U31" s="2">
        <v>0</v>
      </c>
      <c r="V31" s="2">
        <v>0</v>
      </c>
      <c r="W31" s="2">
        <v>0</v>
      </c>
      <c r="X31" s="2">
        <v>0</v>
      </c>
      <c r="Y31" s="2">
        <v>0</v>
      </c>
      <c r="Z31" s="2">
        <v>0</v>
      </c>
      <c r="AA31" s="2">
        <v>0</v>
      </c>
      <c r="AB31" s="2">
        <v>0</v>
      </c>
      <c r="AC31" s="2">
        <v>0</v>
      </c>
      <c r="AD31" s="2">
        <v>0</v>
      </c>
      <c r="AE31" s="2">
        <v>0</v>
      </c>
      <c r="AF31" s="2">
        <v>0</v>
      </c>
      <c r="AG31" s="2">
        <v>0</v>
      </c>
      <c r="AH31" s="2">
        <v>0</v>
      </c>
      <c r="AI31" s="2">
        <v>0</v>
      </c>
      <c r="AJ31" s="2">
        <v>0</v>
      </c>
      <c r="AK31" s="2">
        <v>0</v>
      </c>
      <c r="AL31" s="2">
        <v>0</v>
      </c>
      <c r="AM31" s="2">
        <v>0</v>
      </c>
      <c r="AN31" s="2">
        <v>0</v>
      </c>
      <c r="AO31" s="2">
        <v>0</v>
      </c>
      <c r="AP31" s="2">
        <v>0</v>
      </c>
      <c r="AQ31" s="2">
        <v>0</v>
      </c>
      <c r="AR31" s="2">
        <v>0</v>
      </c>
      <c r="AS31" s="2">
        <f t="shared" si="1"/>
        <v>0</v>
      </c>
      <c r="AT31" s="294"/>
      <c r="AU31" s="294"/>
      <c r="AV31" s="1" t="s">
        <v>457</v>
      </c>
      <c r="AW31" s="25">
        <v>2030</v>
      </c>
      <c r="AX31" s="2">
        <v>0</v>
      </c>
      <c r="AY31" s="2">
        <v>0</v>
      </c>
      <c r="AZ31" s="2">
        <v>0</v>
      </c>
      <c r="BA31" s="2">
        <v>0</v>
      </c>
      <c r="BB31" s="294"/>
      <c r="BC31" s="294"/>
      <c r="BD31" s="1" t="s">
        <v>457</v>
      </c>
      <c r="BE31" s="25">
        <v>2030</v>
      </c>
      <c r="BF31" s="2">
        <v>0</v>
      </c>
      <c r="BG31" s="2">
        <v>0</v>
      </c>
      <c r="BH31" s="2">
        <v>0</v>
      </c>
      <c r="BI31" s="294"/>
      <c r="BJ31" s="294"/>
      <c r="BK31" s="1" t="s">
        <v>457</v>
      </c>
      <c r="BL31" s="25">
        <v>2030</v>
      </c>
      <c r="BM31" s="2">
        <v>0</v>
      </c>
      <c r="BN31" s="2">
        <v>0</v>
      </c>
      <c r="BO31" s="2">
        <v>0</v>
      </c>
      <c r="BP31" s="294"/>
      <c r="BQ31" s="294"/>
      <c r="BR31" s="362" t="str">
        <f>VLOOKUP(BU31,TableInputsData[],6,FALSE)</f>
        <v>-</v>
      </c>
      <c r="BS31" s="598" t="str">
        <f>VLOOKUP(BU31,InputsData!$C$36:$I$67,5,FALSE)</f>
        <v>PRODUCT 17</v>
      </c>
      <c r="BT31" s="1" t="s">
        <v>261</v>
      </c>
      <c r="BU31" s="1" t="s">
        <v>1722</v>
      </c>
      <c r="BV31" s="2">
        <v>0</v>
      </c>
      <c r="BW31" s="2">
        <v>0</v>
      </c>
      <c r="BX31" s="2">
        <v>0</v>
      </c>
      <c r="BY31" s="2">
        <v>0</v>
      </c>
      <c r="BZ31" s="2">
        <v>0</v>
      </c>
      <c r="CA31" s="2">
        <v>0</v>
      </c>
      <c r="CB31" s="2">
        <v>0</v>
      </c>
      <c r="CC31" s="2">
        <v>0</v>
      </c>
      <c r="CD31" s="2">
        <v>0</v>
      </c>
      <c r="CE31" s="2">
        <v>0</v>
      </c>
      <c r="CF31" s="2">
        <v>0</v>
      </c>
      <c r="CG31" s="2">
        <v>0</v>
      </c>
      <c r="CH31" s="2">
        <v>0</v>
      </c>
      <c r="CI31" s="2">
        <v>0</v>
      </c>
      <c r="CJ31" s="2">
        <v>0</v>
      </c>
      <c r="CK31" s="2">
        <v>0</v>
      </c>
      <c r="CL31" s="2">
        <v>0</v>
      </c>
      <c r="CM31" s="2">
        <v>0</v>
      </c>
      <c r="CN31" s="2">
        <v>0</v>
      </c>
      <c r="CO31" s="2">
        <v>0</v>
      </c>
      <c r="CP31" s="2">
        <v>0</v>
      </c>
      <c r="CQ31" s="2">
        <v>0</v>
      </c>
      <c r="CR31" s="2">
        <v>0</v>
      </c>
      <c r="CS31" s="2">
        <v>0</v>
      </c>
      <c r="CT31" s="294"/>
    </row>
    <row r="32" spans="1:98" x14ac:dyDescent="0.2">
      <c r="A32" s="294"/>
      <c r="B32" s="358" t="str">
        <f>IF(RIGHT($D32,5)="Total",$B31&amp;" Total",VLOOKUP($D32,TableInputsData[],ReadMe!$M$3,FALSE))</f>
        <v>CHIFFRE D'AFFAIRES Total</v>
      </c>
      <c r="C32" s="294"/>
      <c r="D32" s="151" t="s">
        <v>2075</v>
      </c>
      <c r="E32" s="151"/>
      <c r="F32" s="346">
        <v>0</v>
      </c>
      <c r="G32" s="346">
        <v>0</v>
      </c>
      <c r="H32" s="346">
        <v>0</v>
      </c>
      <c r="I32" s="346">
        <v>0</v>
      </c>
      <c r="J32" s="346">
        <v>0</v>
      </c>
      <c r="K32" s="294"/>
      <c r="L32" s="294"/>
      <c r="M32" s="151" t="s">
        <v>2075</v>
      </c>
      <c r="N32" s="151"/>
      <c r="O32" s="346">
        <v>0</v>
      </c>
      <c r="P32" s="346">
        <v>0</v>
      </c>
      <c r="Q32" s="346">
        <v>0</v>
      </c>
      <c r="R32" s="346">
        <v>0</v>
      </c>
      <c r="S32" s="346">
        <v>0</v>
      </c>
      <c r="T32" s="346">
        <v>0</v>
      </c>
      <c r="U32" s="346">
        <v>0</v>
      </c>
      <c r="V32" s="346">
        <v>0</v>
      </c>
      <c r="W32" s="346">
        <v>0</v>
      </c>
      <c r="X32" s="346">
        <v>0</v>
      </c>
      <c r="Y32" s="346">
        <v>0</v>
      </c>
      <c r="Z32" s="346">
        <v>0</v>
      </c>
      <c r="AA32" s="346">
        <v>0</v>
      </c>
      <c r="AB32" s="346">
        <v>0</v>
      </c>
      <c r="AC32" s="346">
        <v>0</v>
      </c>
      <c r="AD32" s="346">
        <v>0</v>
      </c>
      <c r="AE32" s="346">
        <v>0</v>
      </c>
      <c r="AF32" s="346">
        <v>0</v>
      </c>
      <c r="AG32" s="346">
        <v>0</v>
      </c>
      <c r="AH32" s="346">
        <v>0</v>
      </c>
      <c r="AI32" s="346">
        <v>0</v>
      </c>
      <c r="AJ32" s="346">
        <v>0</v>
      </c>
      <c r="AK32" s="346">
        <v>0</v>
      </c>
      <c r="AL32" s="346">
        <v>0</v>
      </c>
      <c r="AM32" s="346">
        <v>0</v>
      </c>
      <c r="AN32" s="346">
        <v>0</v>
      </c>
      <c r="AO32" s="346">
        <v>0</v>
      </c>
      <c r="AP32" s="346">
        <v>0</v>
      </c>
      <c r="AQ32" s="346">
        <v>0</v>
      </c>
      <c r="AR32" s="346">
        <v>0</v>
      </c>
      <c r="AS32" s="347">
        <f t="shared" si="1"/>
        <v>0</v>
      </c>
      <c r="AT32" s="294"/>
      <c r="AU32" s="294"/>
      <c r="AV32" s="151" t="s">
        <v>2075</v>
      </c>
      <c r="AW32" s="151"/>
      <c r="AX32" s="346">
        <v>0</v>
      </c>
      <c r="AY32" s="346">
        <v>0</v>
      </c>
      <c r="AZ32" s="346">
        <v>0</v>
      </c>
      <c r="BA32" s="346">
        <v>0</v>
      </c>
      <c r="BB32" s="294"/>
      <c r="BC32" s="294"/>
      <c r="BD32" s="151" t="s">
        <v>2075</v>
      </c>
      <c r="BE32" s="151"/>
      <c r="BF32" s="346">
        <v>0</v>
      </c>
      <c r="BG32" s="346">
        <v>0</v>
      </c>
      <c r="BH32" s="346">
        <v>0</v>
      </c>
      <c r="BI32" s="294"/>
      <c r="BJ32" s="294"/>
      <c r="BK32" s="151" t="s">
        <v>2075</v>
      </c>
      <c r="BL32" s="151"/>
      <c r="BM32" s="346">
        <v>0</v>
      </c>
      <c r="BN32" s="346">
        <v>0</v>
      </c>
      <c r="BO32" s="346">
        <v>0</v>
      </c>
      <c r="BP32" s="294"/>
      <c r="BQ32" s="294"/>
      <c r="BR32" s="362" t="str">
        <f>VLOOKUP(BU32,TableInputsData[],6,FALSE)</f>
        <v>-</v>
      </c>
      <c r="BS32" s="598" t="str">
        <f>VLOOKUP(BU32,InputsData!$C$36:$I$67,5,FALSE)</f>
        <v>PRODUCT 18</v>
      </c>
      <c r="BT32" s="1" t="s">
        <v>261</v>
      </c>
      <c r="BU32" s="1" t="s">
        <v>1724</v>
      </c>
      <c r="BV32" s="2">
        <v>0</v>
      </c>
      <c r="BW32" s="2">
        <v>0</v>
      </c>
      <c r="BX32" s="2">
        <v>0</v>
      </c>
      <c r="BY32" s="2">
        <v>0</v>
      </c>
      <c r="BZ32" s="2">
        <v>0</v>
      </c>
      <c r="CA32" s="2">
        <v>0</v>
      </c>
      <c r="CB32" s="2">
        <v>0</v>
      </c>
      <c r="CC32" s="2">
        <v>0</v>
      </c>
      <c r="CD32" s="2">
        <v>0</v>
      </c>
      <c r="CE32" s="2">
        <v>0</v>
      </c>
      <c r="CF32" s="2">
        <v>0</v>
      </c>
      <c r="CG32" s="2">
        <v>0</v>
      </c>
      <c r="CH32" s="2">
        <v>0</v>
      </c>
      <c r="CI32" s="2">
        <v>0</v>
      </c>
      <c r="CJ32" s="2">
        <v>0</v>
      </c>
      <c r="CK32" s="2">
        <v>0</v>
      </c>
      <c r="CL32" s="2">
        <v>0</v>
      </c>
      <c r="CM32" s="2">
        <v>0</v>
      </c>
      <c r="CN32" s="2">
        <v>0</v>
      </c>
      <c r="CO32" s="2">
        <v>0</v>
      </c>
      <c r="CP32" s="2">
        <v>0</v>
      </c>
      <c r="CQ32" s="2">
        <v>0</v>
      </c>
      <c r="CR32" s="2">
        <v>0</v>
      </c>
      <c r="CS32" s="2">
        <v>0</v>
      </c>
      <c r="CT32" s="294"/>
    </row>
    <row r="33" spans="1:98" x14ac:dyDescent="0.2">
      <c r="A33" s="294"/>
      <c r="B33" s="204" t="str">
        <f>IF(RIGHT($D33,5)="Total",$B32&amp;" Total",VLOOKUP($D33,TableInputsData[],ReadMe!$M$3,FALSE))</f>
        <v>DEPENSES SUR ACHATS</v>
      </c>
      <c r="C33" s="294"/>
      <c r="D33" s="1" t="s">
        <v>531</v>
      </c>
      <c r="E33" s="25">
        <v>2023</v>
      </c>
      <c r="F33" s="2">
        <v>0</v>
      </c>
      <c r="G33" s="2">
        <v>0</v>
      </c>
      <c r="H33" s="2">
        <v>0</v>
      </c>
      <c r="I33" s="2">
        <v>0</v>
      </c>
      <c r="J33" s="2">
        <v>0</v>
      </c>
      <c r="K33" s="294"/>
      <c r="L33" s="294"/>
      <c r="M33" s="1" t="s">
        <v>531</v>
      </c>
      <c r="N33" s="25">
        <v>2023</v>
      </c>
      <c r="O33" s="2">
        <v>0</v>
      </c>
      <c r="P33" s="2">
        <v>0</v>
      </c>
      <c r="Q33" s="2">
        <v>0</v>
      </c>
      <c r="R33" s="2">
        <v>0</v>
      </c>
      <c r="S33" s="2">
        <v>0</v>
      </c>
      <c r="T33" s="2">
        <v>0</v>
      </c>
      <c r="U33" s="2">
        <v>0</v>
      </c>
      <c r="V33" s="2">
        <v>0</v>
      </c>
      <c r="W33" s="2">
        <v>0</v>
      </c>
      <c r="X33" s="2">
        <v>0</v>
      </c>
      <c r="Y33" s="2">
        <v>0</v>
      </c>
      <c r="Z33" s="2">
        <v>0</v>
      </c>
      <c r="AA33" s="2">
        <v>0</v>
      </c>
      <c r="AB33" s="2">
        <v>0</v>
      </c>
      <c r="AC33" s="2">
        <v>0</v>
      </c>
      <c r="AD33" s="2">
        <v>0</v>
      </c>
      <c r="AE33" s="2">
        <v>0</v>
      </c>
      <c r="AF33" s="2">
        <v>0</v>
      </c>
      <c r="AG33" s="2">
        <v>0</v>
      </c>
      <c r="AH33" s="2">
        <v>0</v>
      </c>
      <c r="AI33" s="2">
        <v>0</v>
      </c>
      <c r="AJ33" s="2">
        <v>0</v>
      </c>
      <c r="AK33" s="2">
        <v>0</v>
      </c>
      <c r="AL33" s="2">
        <v>0</v>
      </c>
      <c r="AM33" s="2">
        <v>0</v>
      </c>
      <c r="AN33" s="2">
        <v>0</v>
      </c>
      <c r="AO33" s="2">
        <v>0</v>
      </c>
      <c r="AP33" s="2">
        <v>0</v>
      </c>
      <c r="AQ33" s="2">
        <v>0</v>
      </c>
      <c r="AR33" s="2">
        <v>0</v>
      </c>
      <c r="AS33" s="2">
        <f t="shared" si="1"/>
        <v>0</v>
      </c>
      <c r="AT33" s="294"/>
      <c r="AU33" s="294"/>
      <c r="AV33" s="1" t="s">
        <v>531</v>
      </c>
      <c r="AW33" s="25">
        <v>2023</v>
      </c>
      <c r="AX33" s="2">
        <v>0</v>
      </c>
      <c r="AY33" s="2">
        <v>0</v>
      </c>
      <c r="AZ33" s="2">
        <v>0</v>
      </c>
      <c r="BA33" s="2">
        <v>0</v>
      </c>
      <c r="BB33" s="294"/>
      <c r="BC33" s="294"/>
      <c r="BD33" s="1" t="s">
        <v>531</v>
      </c>
      <c r="BE33" s="25">
        <v>2023</v>
      </c>
      <c r="BF33" s="2">
        <v>0</v>
      </c>
      <c r="BG33" s="2">
        <v>0</v>
      </c>
      <c r="BH33" s="2">
        <v>0</v>
      </c>
      <c r="BI33" s="294"/>
      <c r="BJ33" s="294"/>
      <c r="BK33" s="1" t="s">
        <v>531</v>
      </c>
      <c r="BL33" s="25">
        <v>2023</v>
      </c>
      <c r="BM33" s="2">
        <v>0</v>
      </c>
      <c r="BN33" s="2">
        <v>0</v>
      </c>
      <c r="BO33" s="2">
        <v>0</v>
      </c>
      <c r="BP33" s="294"/>
      <c r="BQ33" s="294"/>
      <c r="BR33" s="362" t="str">
        <f>VLOOKUP(BU33,TableInputsData[],6,FALSE)</f>
        <v>-</v>
      </c>
      <c r="BS33" s="598" t="str">
        <f>VLOOKUP(BU33,InputsData!$C$36:$I$67,5,FALSE)</f>
        <v>PRODUCT 19</v>
      </c>
      <c r="BT33" s="1" t="s">
        <v>261</v>
      </c>
      <c r="BU33" s="1" t="s">
        <v>1726</v>
      </c>
      <c r="BV33" s="2">
        <v>0</v>
      </c>
      <c r="BW33" s="2">
        <v>0</v>
      </c>
      <c r="BX33" s="2">
        <v>0</v>
      </c>
      <c r="BY33" s="2">
        <v>0</v>
      </c>
      <c r="BZ33" s="2">
        <v>0</v>
      </c>
      <c r="CA33" s="2">
        <v>0</v>
      </c>
      <c r="CB33" s="2">
        <v>0</v>
      </c>
      <c r="CC33" s="2">
        <v>0</v>
      </c>
      <c r="CD33" s="2">
        <v>0</v>
      </c>
      <c r="CE33" s="2">
        <v>0</v>
      </c>
      <c r="CF33" s="2">
        <v>0</v>
      </c>
      <c r="CG33" s="2">
        <v>0</v>
      </c>
      <c r="CH33" s="2">
        <v>0</v>
      </c>
      <c r="CI33" s="2">
        <v>0</v>
      </c>
      <c r="CJ33" s="2">
        <v>0</v>
      </c>
      <c r="CK33" s="2">
        <v>0</v>
      </c>
      <c r="CL33" s="2">
        <v>0</v>
      </c>
      <c r="CM33" s="2">
        <v>0</v>
      </c>
      <c r="CN33" s="2">
        <v>0</v>
      </c>
      <c r="CO33" s="2">
        <v>0</v>
      </c>
      <c r="CP33" s="2">
        <v>0</v>
      </c>
      <c r="CQ33" s="2">
        <v>0</v>
      </c>
      <c r="CR33" s="2">
        <v>0</v>
      </c>
      <c r="CS33" s="2">
        <v>0</v>
      </c>
      <c r="CT33" s="294"/>
    </row>
    <row r="34" spans="1:98" x14ac:dyDescent="0.2">
      <c r="A34" s="294"/>
      <c r="B34" s="204" t="str">
        <f>IF(RIGHT($D34,5)="Total",$B33&amp;" Total",VLOOKUP($D34,TableInputsData[],ReadMe!$M$3,FALSE))</f>
        <v>DEPENSES SUR ACHATS</v>
      </c>
      <c r="C34" s="294"/>
      <c r="D34" s="1" t="s">
        <v>531</v>
      </c>
      <c r="E34" s="25">
        <v>2024</v>
      </c>
      <c r="F34" s="2">
        <v>0</v>
      </c>
      <c r="G34" s="2">
        <v>0</v>
      </c>
      <c r="H34" s="2">
        <v>0</v>
      </c>
      <c r="I34" s="2">
        <v>0</v>
      </c>
      <c r="J34" s="2">
        <v>0</v>
      </c>
      <c r="K34" s="294"/>
      <c r="L34" s="294"/>
      <c r="M34" s="1" t="s">
        <v>531</v>
      </c>
      <c r="N34" s="25">
        <v>2024</v>
      </c>
      <c r="O34" s="2">
        <v>0</v>
      </c>
      <c r="P34" s="2">
        <v>0</v>
      </c>
      <c r="Q34" s="2">
        <v>0</v>
      </c>
      <c r="R34" s="2">
        <v>0</v>
      </c>
      <c r="S34" s="2">
        <v>0</v>
      </c>
      <c r="T34" s="2">
        <v>0</v>
      </c>
      <c r="U34" s="2">
        <v>0</v>
      </c>
      <c r="V34" s="2">
        <v>0</v>
      </c>
      <c r="W34" s="2">
        <v>0</v>
      </c>
      <c r="X34" s="2">
        <v>0</v>
      </c>
      <c r="Y34" s="2">
        <v>0</v>
      </c>
      <c r="Z34" s="2">
        <v>0</v>
      </c>
      <c r="AA34" s="2">
        <v>0</v>
      </c>
      <c r="AB34" s="2">
        <v>0</v>
      </c>
      <c r="AC34" s="2">
        <v>0</v>
      </c>
      <c r="AD34" s="2">
        <v>0</v>
      </c>
      <c r="AE34" s="2">
        <v>0</v>
      </c>
      <c r="AF34" s="2">
        <v>0</v>
      </c>
      <c r="AG34" s="2">
        <v>0</v>
      </c>
      <c r="AH34" s="2">
        <v>0</v>
      </c>
      <c r="AI34" s="2">
        <v>0</v>
      </c>
      <c r="AJ34" s="2">
        <v>0</v>
      </c>
      <c r="AK34" s="2">
        <v>0</v>
      </c>
      <c r="AL34" s="2">
        <v>0</v>
      </c>
      <c r="AM34" s="2">
        <v>0</v>
      </c>
      <c r="AN34" s="2">
        <v>0</v>
      </c>
      <c r="AO34" s="2">
        <v>0</v>
      </c>
      <c r="AP34" s="2">
        <v>0</v>
      </c>
      <c r="AQ34" s="2">
        <v>0</v>
      </c>
      <c r="AR34" s="2">
        <v>0</v>
      </c>
      <c r="AS34" s="2">
        <f t="shared" si="1"/>
        <v>0</v>
      </c>
      <c r="AT34" s="294"/>
      <c r="AU34" s="294"/>
      <c r="AV34" s="1" t="s">
        <v>531</v>
      </c>
      <c r="AW34" s="25">
        <v>2024</v>
      </c>
      <c r="AX34" s="2">
        <v>0</v>
      </c>
      <c r="AY34" s="2">
        <v>0</v>
      </c>
      <c r="AZ34" s="2">
        <v>0</v>
      </c>
      <c r="BA34" s="2">
        <v>0</v>
      </c>
      <c r="BB34" s="294"/>
      <c r="BC34" s="294"/>
      <c r="BD34" s="1" t="s">
        <v>531</v>
      </c>
      <c r="BE34" s="25">
        <v>2024</v>
      </c>
      <c r="BF34" s="2">
        <v>0</v>
      </c>
      <c r="BG34" s="2">
        <v>0</v>
      </c>
      <c r="BH34" s="2">
        <v>0</v>
      </c>
      <c r="BI34" s="294"/>
      <c r="BJ34" s="294"/>
      <c r="BK34" s="1" t="s">
        <v>531</v>
      </c>
      <c r="BL34" s="25">
        <v>2024</v>
      </c>
      <c r="BM34" s="2">
        <v>0</v>
      </c>
      <c r="BN34" s="2">
        <v>0</v>
      </c>
      <c r="BO34" s="2">
        <v>0</v>
      </c>
      <c r="BP34" s="294"/>
      <c r="BQ34" s="294"/>
      <c r="BR34" s="362" t="str">
        <f>VLOOKUP(BU34,TableInputsData[],6,FALSE)</f>
        <v>-</v>
      </c>
      <c r="BS34" s="598" t="str">
        <f>VLOOKUP(BU34,InputsData!$C$36:$I$67,5,FALSE)</f>
        <v>PRODUCT 20</v>
      </c>
      <c r="BT34" s="1" t="s">
        <v>261</v>
      </c>
      <c r="BU34" s="1" t="s">
        <v>1728</v>
      </c>
      <c r="BV34" s="2">
        <v>0</v>
      </c>
      <c r="BW34" s="2">
        <v>0</v>
      </c>
      <c r="BX34" s="2">
        <v>0</v>
      </c>
      <c r="BY34" s="2">
        <v>0</v>
      </c>
      <c r="BZ34" s="2">
        <v>0</v>
      </c>
      <c r="CA34" s="2">
        <v>0</v>
      </c>
      <c r="CB34" s="2">
        <v>0</v>
      </c>
      <c r="CC34" s="2">
        <v>0</v>
      </c>
      <c r="CD34" s="2">
        <v>0</v>
      </c>
      <c r="CE34" s="2">
        <v>0</v>
      </c>
      <c r="CF34" s="2">
        <v>0</v>
      </c>
      <c r="CG34" s="2">
        <v>0</v>
      </c>
      <c r="CH34" s="2">
        <v>0</v>
      </c>
      <c r="CI34" s="2">
        <v>0</v>
      </c>
      <c r="CJ34" s="2">
        <v>0</v>
      </c>
      <c r="CK34" s="2">
        <v>0</v>
      </c>
      <c r="CL34" s="2">
        <v>0</v>
      </c>
      <c r="CM34" s="2">
        <v>0</v>
      </c>
      <c r="CN34" s="2">
        <v>0</v>
      </c>
      <c r="CO34" s="2">
        <v>0</v>
      </c>
      <c r="CP34" s="2">
        <v>0</v>
      </c>
      <c r="CQ34" s="2">
        <v>0</v>
      </c>
      <c r="CR34" s="2">
        <v>0</v>
      </c>
      <c r="CS34" s="2">
        <v>0</v>
      </c>
      <c r="CT34" s="294"/>
    </row>
    <row r="35" spans="1:98" x14ac:dyDescent="0.2">
      <c r="A35" s="294"/>
      <c r="B35" s="204" t="str">
        <f>IF(RIGHT($D35,5)="Total",$B34&amp;" Total",VLOOKUP($D35,TableInputsData[],ReadMe!$M$3,FALSE))</f>
        <v>DEPENSES SUR ACHATS</v>
      </c>
      <c r="C35" s="294"/>
      <c r="D35" s="1" t="s">
        <v>531</v>
      </c>
      <c r="E35" s="25">
        <v>2025</v>
      </c>
      <c r="F35" s="2">
        <v>0</v>
      </c>
      <c r="G35" s="2">
        <v>0</v>
      </c>
      <c r="H35" s="2">
        <v>0</v>
      </c>
      <c r="I35" s="2">
        <v>0</v>
      </c>
      <c r="J35" s="2">
        <v>0</v>
      </c>
      <c r="K35" s="294"/>
      <c r="L35" s="294"/>
      <c r="M35" s="1" t="s">
        <v>531</v>
      </c>
      <c r="N35" s="25">
        <v>2025</v>
      </c>
      <c r="O35" s="2">
        <v>0</v>
      </c>
      <c r="P35" s="2">
        <v>0</v>
      </c>
      <c r="Q35" s="2">
        <v>0</v>
      </c>
      <c r="R35" s="2">
        <v>0</v>
      </c>
      <c r="S35" s="2">
        <v>0</v>
      </c>
      <c r="T35" s="2">
        <v>0</v>
      </c>
      <c r="U35" s="2">
        <v>0</v>
      </c>
      <c r="V35" s="2">
        <v>0</v>
      </c>
      <c r="W35" s="2">
        <v>0</v>
      </c>
      <c r="X35" s="2">
        <v>0</v>
      </c>
      <c r="Y35" s="2">
        <v>0</v>
      </c>
      <c r="Z35" s="2">
        <v>0</v>
      </c>
      <c r="AA35" s="2">
        <v>0</v>
      </c>
      <c r="AB35" s="2">
        <v>0</v>
      </c>
      <c r="AC35" s="2">
        <v>0</v>
      </c>
      <c r="AD35" s="2">
        <v>0</v>
      </c>
      <c r="AE35" s="2">
        <v>0</v>
      </c>
      <c r="AF35" s="2">
        <v>0</v>
      </c>
      <c r="AG35" s="2">
        <v>0</v>
      </c>
      <c r="AH35" s="2">
        <v>0</v>
      </c>
      <c r="AI35" s="2">
        <v>0</v>
      </c>
      <c r="AJ35" s="2">
        <v>0</v>
      </c>
      <c r="AK35" s="2">
        <v>0</v>
      </c>
      <c r="AL35" s="2">
        <v>0</v>
      </c>
      <c r="AM35" s="2">
        <v>0</v>
      </c>
      <c r="AN35" s="2">
        <v>0</v>
      </c>
      <c r="AO35" s="2">
        <v>0</v>
      </c>
      <c r="AP35" s="2">
        <v>0</v>
      </c>
      <c r="AQ35" s="2">
        <v>0</v>
      </c>
      <c r="AR35" s="2">
        <v>0</v>
      </c>
      <c r="AS35" s="2">
        <f t="shared" si="1"/>
        <v>0</v>
      </c>
      <c r="AT35" s="294"/>
      <c r="AU35" s="294"/>
      <c r="AV35" s="1" t="s">
        <v>531</v>
      </c>
      <c r="AW35" s="25">
        <v>2025</v>
      </c>
      <c r="AX35" s="2">
        <v>0</v>
      </c>
      <c r="AY35" s="2">
        <v>0</v>
      </c>
      <c r="AZ35" s="2">
        <v>0</v>
      </c>
      <c r="BA35" s="2">
        <v>0</v>
      </c>
      <c r="BB35" s="294"/>
      <c r="BC35" s="294"/>
      <c r="BD35" s="1" t="s">
        <v>531</v>
      </c>
      <c r="BE35" s="25">
        <v>2025</v>
      </c>
      <c r="BF35" s="2">
        <v>0</v>
      </c>
      <c r="BG35" s="2">
        <v>0</v>
      </c>
      <c r="BH35" s="2">
        <v>0</v>
      </c>
      <c r="BI35" s="294"/>
      <c r="BJ35" s="294"/>
      <c r="BK35" s="1" t="s">
        <v>531</v>
      </c>
      <c r="BL35" s="25">
        <v>2025</v>
      </c>
      <c r="BM35" s="2">
        <v>0</v>
      </c>
      <c r="BN35" s="2">
        <v>0</v>
      </c>
      <c r="BO35" s="2">
        <v>0</v>
      </c>
      <c r="BP35" s="294"/>
      <c r="BQ35" s="294"/>
      <c r="BR35" s="362" t="str">
        <f>VLOOKUP(BU35,TableInputsData[],6,FALSE)</f>
        <v>-</v>
      </c>
      <c r="BS35" s="598" t="str">
        <f>VLOOKUP(BU35,InputsData!$C$36:$I$67,5,FALSE)</f>
        <v>DIENST 01</v>
      </c>
      <c r="BT35" s="1" t="s">
        <v>261</v>
      </c>
      <c r="BU35" s="1" t="s">
        <v>546</v>
      </c>
      <c r="BV35" s="2">
        <v>0</v>
      </c>
      <c r="BW35" s="2">
        <v>0</v>
      </c>
      <c r="BX35" s="2">
        <v>0</v>
      </c>
      <c r="BY35" s="2">
        <v>0</v>
      </c>
      <c r="BZ35" s="2">
        <v>0</v>
      </c>
      <c r="CA35" s="2">
        <v>0</v>
      </c>
      <c r="CB35" s="2">
        <v>0</v>
      </c>
      <c r="CC35" s="2">
        <v>0</v>
      </c>
      <c r="CD35" s="2">
        <v>0</v>
      </c>
      <c r="CE35" s="2">
        <v>0</v>
      </c>
      <c r="CF35" s="2">
        <v>0</v>
      </c>
      <c r="CG35" s="2">
        <v>0</v>
      </c>
      <c r="CH35" s="2">
        <v>0</v>
      </c>
      <c r="CI35" s="2">
        <v>0</v>
      </c>
      <c r="CJ35" s="2">
        <v>0</v>
      </c>
      <c r="CK35" s="2">
        <v>0</v>
      </c>
      <c r="CL35" s="2">
        <v>0</v>
      </c>
      <c r="CM35" s="2">
        <v>0</v>
      </c>
      <c r="CN35" s="2">
        <v>0</v>
      </c>
      <c r="CO35" s="2">
        <v>0</v>
      </c>
      <c r="CP35" s="2">
        <v>0</v>
      </c>
      <c r="CQ35" s="2">
        <v>0</v>
      </c>
      <c r="CR35" s="2">
        <v>0</v>
      </c>
      <c r="CS35" s="2">
        <v>0</v>
      </c>
      <c r="CT35" s="294"/>
    </row>
    <row r="36" spans="1:98" x14ac:dyDescent="0.2">
      <c r="A36" s="294"/>
      <c r="B36" s="204" t="str">
        <f>IF(RIGHT($D36,5)="Total",$B35&amp;" Total",VLOOKUP($D36,TableInputsData[],ReadMe!$M$3,FALSE))</f>
        <v>DEPENSES SUR ACHATS</v>
      </c>
      <c r="C36" s="294"/>
      <c r="D36" s="1" t="s">
        <v>531</v>
      </c>
      <c r="E36" s="25">
        <v>2026</v>
      </c>
      <c r="F36" s="2">
        <v>0</v>
      </c>
      <c r="G36" s="2">
        <v>0</v>
      </c>
      <c r="H36" s="2">
        <v>0</v>
      </c>
      <c r="I36" s="2">
        <v>0</v>
      </c>
      <c r="J36" s="2">
        <v>0</v>
      </c>
      <c r="K36" s="294"/>
      <c r="L36" s="294"/>
      <c r="M36" s="1" t="s">
        <v>531</v>
      </c>
      <c r="N36" s="25">
        <v>2026</v>
      </c>
      <c r="O36" s="2">
        <v>0</v>
      </c>
      <c r="P36" s="2">
        <v>0</v>
      </c>
      <c r="Q36" s="2">
        <v>0</v>
      </c>
      <c r="R36" s="2">
        <v>0</v>
      </c>
      <c r="S36" s="2">
        <v>0</v>
      </c>
      <c r="T36" s="2">
        <v>0</v>
      </c>
      <c r="U36" s="2">
        <v>0</v>
      </c>
      <c r="V36" s="2">
        <v>0</v>
      </c>
      <c r="W36" s="2">
        <v>0</v>
      </c>
      <c r="X36" s="2">
        <v>0</v>
      </c>
      <c r="Y36" s="2">
        <v>0</v>
      </c>
      <c r="Z36" s="2">
        <v>0</v>
      </c>
      <c r="AA36" s="2">
        <v>0</v>
      </c>
      <c r="AB36" s="2">
        <v>0</v>
      </c>
      <c r="AC36" s="2">
        <v>0</v>
      </c>
      <c r="AD36" s="2">
        <v>0</v>
      </c>
      <c r="AE36" s="2">
        <v>0</v>
      </c>
      <c r="AF36" s="2">
        <v>0</v>
      </c>
      <c r="AG36" s="2">
        <v>0</v>
      </c>
      <c r="AH36" s="2">
        <v>0</v>
      </c>
      <c r="AI36" s="2">
        <v>0</v>
      </c>
      <c r="AJ36" s="2">
        <v>0</v>
      </c>
      <c r="AK36" s="2">
        <v>0</v>
      </c>
      <c r="AL36" s="2">
        <v>0</v>
      </c>
      <c r="AM36" s="2">
        <v>0</v>
      </c>
      <c r="AN36" s="2">
        <v>0</v>
      </c>
      <c r="AO36" s="2">
        <v>0</v>
      </c>
      <c r="AP36" s="2">
        <v>0</v>
      </c>
      <c r="AQ36" s="2">
        <v>0</v>
      </c>
      <c r="AR36" s="2">
        <v>0</v>
      </c>
      <c r="AS36" s="2">
        <f t="shared" si="1"/>
        <v>0</v>
      </c>
      <c r="AT36" s="294"/>
      <c r="AU36" s="294"/>
      <c r="AV36" s="1" t="s">
        <v>531</v>
      </c>
      <c r="AW36" s="25">
        <v>2026</v>
      </c>
      <c r="AX36" s="2">
        <v>0</v>
      </c>
      <c r="AY36" s="2">
        <v>0</v>
      </c>
      <c r="AZ36" s="2">
        <v>0</v>
      </c>
      <c r="BA36" s="2">
        <v>0</v>
      </c>
      <c r="BB36" s="294"/>
      <c r="BC36" s="294"/>
      <c r="BD36" s="1" t="s">
        <v>531</v>
      </c>
      <c r="BE36" s="25">
        <v>2026</v>
      </c>
      <c r="BF36" s="2">
        <v>0</v>
      </c>
      <c r="BG36" s="2">
        <v>0</v>
      </c>
      <c r="BH36" s="2">
        <v>0</v>
      </c>
      <c r="BI36" s="294"/>
      <c r="BJ36" s="294"/>
      <c r="BK36" s="1" t="s">
        <v>531</v>
      </c>
      <c r="BL36" s="25">
        <v>2026</v>
      </c>
      <c r="BM36" s="2">
        <v>0</v>
      </c>
      <c r="BN36" s="2">
        <v>0</v>
      </c>
      <c r="BO36" s="2">
        <v>0</v>
      </c>
      <c r="BP36" s="294"/>
      <c r="BQ36" s="294"/>
      <c r="BR36" s="362" t="str">
        <f>VLOOKUP(BU36,TableInputsData[],6,FALSE)</f>
        <v>-</v>
      </c>
      <c r="BS36" s="598" t="str">
        <f>VLOOKUP(BU36,InputsData!$C$36:$I$67,5,FALSE)</f>
        <v>DIENST 02</v>
      </c>
      <c r="BT36" s="1" t="s">
        <v>261</v>
      </c>
      <c r="BU36" s="1" t="s">
        <v>547</v>
      </c>
      <c r="BV36" s="2">
        <v>0</v>
      </c>
      <c r="BW36" s="2">
        <v>0</v>
      </c>
      <c r="BX36" s="2">
        <v>0</v>
      </c>
      <c r="BY36" s="2">
        <v>0</v>
      </c>
      <c r="BZ36" s="2">
        <v>0</v>
      </c>
      <c r="CA36" s="2">
        <v>0</v>
      </c>
      <c r="CB36" s="2">
        <v>0</v>
      </c>
      <c r="CC36" s="2">
        <v>0</v>
      </c>
      <c r="CD36" s="2">
        <v>0</v>
      </c>
      <c r="CE36" s="2">
        <v>0</v>
      </c>
      <c r="CF36" s="2">
        <v>0</v>
      </c>
      <c r="CG36" s="2">
        <v>0</v>
      </c>
      <c r="CH36" s="2">
        <v>0</v>
      </c>
      <c r="CI36" s="2">
        <v>0</v>
      </c>
      <c r="CJ36" s="2">
        <v>0</v>
      </c>
      <c r="CK36" s="2">
        <v>0</v>
      </c>
      <c r="CL36" s="2">
        <v>0</v>
      </c>
      <c r="CM36" s="2">
        <v>0</v>
      </c>
      <c r="CN36" s="2">
        <v>0</v>
      </c>
      <c r="CO36" s="2">
        <v>0</v>
      </c>
      <c r="CP36" s="2">
        <v>0</v>
      </c>
      <c r="CQ36" s="2">
        <v>0</v>
      </c>
      <c r="CR36" s="2">
        <v>0</v>
      </c>
      <c r="CS36" s="2">
        <v>0</v>
      </c>
      <c r="CT36" s="294"/>
    </row>
    <row r="37" spans="1:98" x14ac:dyDescent="0.2">
      <c r="A37" s="294"/>
      <c r="B37" s="204" t="str">
        <f>IF(RIGHT($D37,5)="Total",$B36&amp;" Total",VLOOKUP($D37,TableInputsData[],ReadMe!$M$3,FALSE))</f>
        <v>DEPENSES SUR ACHATS</v>
      </c>
      <c r="C37" s="294"/>
      <c r="D37" s="1" t="s">
        <v>531</v>
      </c>
      <c r="E37" s="25">
        <v>2027</v>
      </c>
      <c r="F37" s="2">
        <v>0</v>
      </c>
      <c r="G37" s="2">
        <v>0</v>
      </c>
      <c r="H37" s="2">
        <v>0</v>
      </c>
      <c r="I37" s="2">
        <v>0</v>
      </c>
      <c r="J37" s="2">
        <v>0</v>
      </c>
      <c r="K37" s="294"/>
      <c r="L37" s="294"/>
      <c r="M37" s="1" t="s">
        <v>531</v>
      </c>
      <c r="N37" s="25">
        <v>2027</v>
      </c>
      <c r="O37" s="2">
        <v>0</v>
      </c>
      <c r="P37" s="2">
        <v>0</v>
      </c>
      <c r="Q37" s="2">
        <v>0</v>
      </c>
      <c r="R37" s="2">
        <v>0</v>
      </c>
      <c r="S37" s="2">
        <v>0</v>
      </c>
      <c r="T37" s="2">
        <v>0</v>
      </c>
      <c r="U37" s="2">
        <v>0</v>
      </c>
      <c r="V37" s="2">
        <v>0</v>
      </c>
      <c r="W37" s="2">
        <v>0</v>
      </c>
      <c r="X37" s="2">
        <v>0</v>
      </c>
      <c r="Y37" s="2">
        <v>0</v>
      </c>
      <c r="Z37" s="2">
        <v>0</v>
      </c>
      <c r="AA37" s="2">
        <v>0</v>
      </c>
      <c r="AB37" s="2">
        <v>0</v>
      </c>
      <c r="AC37" s="2">
        <v>0</v>
      </c>
      <c r="AD37" s="2">
        <v>0</v>
      </c>
      <c r="AE37" s="2">
        <v>0</v>
      </c>
      <c r="AF37" s="2">
        <v>0</v>
      </c>
      <c r="AG37" s="2">
        <v>0</v>
      </c>
      <c r="AH37" s="2">
        <v>0</v>
      </c>
      <c r="AI37" s="2">
        <v>0</v>
      </c>
      <c r="AJ37" s="2">
        <v>0</v>
      </c>
      <c r="AK37" s="2">
        <v>0</v>
      </c>
      <c r="AL37" s="2">
        <v>0</v>
      </c>
      <c r="AM37" s="2">
        <v>0</v>
      </c>
      <c r="AN37" s="2">
        <v>0</v>
      </c>
      <c r="AO37" s="2">
        <v>0</v>
      </c>
      <c r="AP37" s="2">
        <v>0</v>
      </c>
      <c r="AQ37" s="2">
        <v>0</v>
      </c>
      <c r="AR37" s="2">
        <v>0</v>
      </c>
      <c r="AS37" s="2">
        <f t="shared" si="1"/>
        <v>0</v>
      </c>
      <c r="AT37" s="294"/>
      <c r="AU37" s="294"/>
      <c r="AV37" s="1" t="s">
        <v>531</v>
      </c>
      <c r="AW37" s="25">
        <v>2027</v>
      </c>
      <c r="AX37" s="2">
        <v>0</v>
      </c>
      <c r="AY37" s="2">
        <v>0</v>
      </c>
      <c r="AZ37" s="2">
        <v>0</v>
      </c>
      <c r="BA37" s="2">
        <v>0</v>
      </c>
      <c r="BB37" s="294"/>
      <c r="BC37" s="294"/>
      <c r="BD37" s="1" t="s">
        <v>531</v>
      </c>
      <c r="BE37" s="25">
        <v>2027</v>
      </c>
      <c r="BF37" s="2">
        <v>0</v>
      </c>
      <c r="BG37" s="2">
        <v>0</v>
      </c>
      <c r="BH37" s="2">
        <v>0</v>
      </c>
      <c r="BI37" s="294"/>
      <c r="BJ37" s="294"/>
      <c r="BK37" s="1" t="s">
        <v>531</v>
      </c>
      <c r="BL37" s="25">
        <v>2027</v>
      </c>
      <c r="BM37" s="2">
        <v>0</v>
      </c>
      <c r="BN37" s="2">
        <v>0</v>
      </c>
      <c r="BO37" s="2">
        <v>0</v>
      </c>
      <c r="BP37" s="294"/>
      <c r="BQ37" s="294"/>
      <c r="BR37" s="362" t="str">
        <f>VLOOKUP(BU37,TableInputsData[],6,FALSE)</f>
        <v>-</v>
      </c>
      <c r="BS37" s="598" t="str">
        <f>VLOOKUP(BU37,InputsData!$C$36:$I$67,5,FALSE)</f>
        <v>DIENST 03</v>
      </c>
      <c r="BT37" s="1" t="s">
        <v>261</v>
      </c>
      <c r="BU37" s="1" t="s">
        <v>548</v>
      </c>
      <c r="BV37" s="2">
        <v>0</v>
      </c>
      <c r="BW37" s="2">
        <v>0</v>
      </c>
      <c r="BX37" s="2">
        <v>0</v>
      </c>
      <c r="BY37" s="2">
        <v>0</v>
      </c>
      <c r="BZ37" s="2">
        <v>0</v>
      </c>
      <c r="CA37" s="2">
        <v>0</v>
      </c>
      <c r="CB37" s="2">
        <v>0</v>
      </c>
      <c r="CC37" s="2">
        <v>0</v>
      </c>
      <c r="CD37" s="2">
        <v>0</v>
      </c>
      <c r="CE37" s="2">
        <v>0</v>
      </c>
      <c r="CF37" s="2">
        <v>0</v>
      </c>
      <c r="CG37" s="2">
        <v>0</v>
      </c>
      <c r="CH37" s="2">
        <v>0</v>
      </c>
      <c r="CI37" s="2">
        <v>0</v>
      </c>
      <c r="CJ37" s="2">
        <v>0</v>
      </c>
      <c r="CK37" s="2">
        <v>0</v>
      </c>
      <c r="CL37" s="2">
        <v>0</v>
      </c>
      <c r="CM37" s="2">
        <v>0</v>
      </c>
      <c r="CN37" s="2">
        <v>0</v>
      </c>
      <c r="CO37" s="2">
        <v>0</v>
      </c>
      <c r="CP37" s="2">
        <v>0</v>
      </c>
      <c r="CQ37" s="2">
        <v>0</v>
      </c>
      <c r="CR37" s="2">
        <v>0</v>
      </c>
      <c r="CS37" s="2">
        <v>0</v>
      </c>
      <c r="CT37" s="294"/>
    </row>
    <row r="38" spans="1:98" x14ac:dyDescent="0.2">
      <c r="A38" s="294"/>
      <c r="B38" s="204" t="str">
        <f>IF(RIGHT($D38,5)="Total",$B37&amp;" Total",VLOOKUP($D38,TableInputsData[],ReadMe!$M$3,FALSE))</f>
        <v>DEPENSES SUR ACHATS</v>
      </c>
      <c r="C38" s="294"/>
      <c r="D38" s="1" t="s">
        <v>531</v>
      </c>
      <c r="E38" s="25">
        <v>2028</v>
      </c>
      <c r="F38" s="2">
        <v>0</v>
      </c>
      <c r="G38" s="2">
        <v>0</v>
      </c>
      <c r="H38" s="2">
        <v>0</v>
      </c>
      <c r="I38" s="2">
        <v>0</v>
      </c>
      <c r="J38" s="2">
        <v>0</v>
      </c>
      <c r="K38" s="294"/>
      <c r="L38" s="294"/>
      <c r="M38" s="1" t="s">
        <v>531</v>
      </c>
      <c r="N38" s="25">
        <v>2028</v>
      </c>
      <c r="O38" s="2">
        <v>0</v>
      </c>
      <c r="P38" s="2">
        <v>0</v>
      </c>
      <c r="Q38" s="2">
        <v>0</v>
      </c>
      <c r="R38" s="2">
        <v>0</v>
      </c>
      <c r="S38" s="2">
        <v>0</v>
      </c>
      <c r="T38" s="2">
        <v>0</v>
      </c>
      <c r="U38" s="2">
        <v>0</v>
      </c>
      <c r="V38" s="2">
        <v>0</v>
      </c>
      <c r="W38" s="2">
        <v>0</v>
      </c>
      <c r="X38" s="2">
        <v>0</v>
      </c>
      <c r="Y38" s="2">
        <v>0</v>
      </c>
      <c r="Z38" s="2">
        <v>0</v>
      </c>
      <c r="AA38" s="2">
        <v>0</v>
      </c>
      <c r="AB38" s="2">
        <v>0</v>
      </c>
      <c r="AC38" s="2">
        <v>0</v>
      </c>
      <c r="AD38" s="2">
        <v>0</v>
      </c>
      <c r="AE38" s="2">
        <v>0</v>
      </c>
      <c r="AF38" s="2">
        <v>0</v>
      </c>
      <c r="AG38" s="2">
        <v>0</v>
      </c>
      <c r="AH38" s="2">
        <v>0</v>
      </c>
      <c r="AI38" s="2">
        <v>0</v>
      </c>
      <c r="AJ38" s="2">
        <v>0</v>
      </c>
      <c r="AK38" s="2">
        <v>0</v>
      </c>
      <c r="AL38" s="2">
        <v>0</v>
      </c>
      <c r="AM38" s="2">
        <v>0</v>
      </c>
      <c r="AN38" s="2">
        <v>0</v>
      </c>
      <c r="AO38" s="2">
        <v>0</v>
      </c>
      <c r="AP38" s="2">
        <v>0</v>
      </c>
      <c r="AQ38" s="2">
        <v>0</v>
      </c>
      <c r="AR38" s="2">
        <v>0</v>
      </c>
      <c r="AS38" s="2">
        <f t="shared" si="1"/>
        <v>0</v>
      </c>
      <c r="AT38" s="294"/>
      <c r="AU38" s="294"/>
      <c r="AV38" s="1" t="s">
        <v>531</v>
      </c>
      <c r="AW38" s="25">
        <v>2028</v>
      </c>
      <c r="AX38" s="2">
        <v>0</v>
      </c>
      <c r="AY38" s="2">
        <v>0</v>
      </c>
      <c r="AZ38" s="2">
        <v>0</v>
      </c>
      <c r="BA38" s="2">
        <v>0</v>
      </c>
      <c r="BB38" s="294"/>
      <c r="BC38" s="294"/>
      <c r="BD38" s="1" t="s">
        <v>531</v>
      </c>
      <c r="BE38" s="25">
        <v>2028</v>
      </c>
      <c r="BF38" s="2">
        <v>0</v>
      </c>
      <c r="BG38" s="2">
        <v>0</v>
      </c>
      <c r="BH38" s="2">
        <v>0</v>
      </c>
      <c r="BI38" s="294"/>
      <c r="BJ38" s="294"/>
      <c r="BK38" s="1" t="s">
        <v>531</v>
      </c>
      <c r="BL38" s="25">
        <v>2028</v>
      </c>
      <c r="BM38" s="2">
        <v>0</v>
      </c>
      <c r="BN38" s="2">
        <v>0</v>
      </c>
      <c r="BO38" s="2">
        <v>0</v>
      </c>
      <c r="BP38" s="294"/>
      <c r="BQ38" s="294"/>
      <c r="BR38" s="362" t="str">
        <f>VLOOKUP(BU38,TableInputsData[],6,FALSE)</f>
        <v>-</v>
      </c>
      <c r="BS38" s="598" t="str">
        <f>VLOOKUP(BU38,InputsData!$C$36:$I$67,5,FALSE)</f>
        <v>DIENST 04</v>
      </c>
      <c r="BT38" s="1" t="s">
        <v>261</v>
      </c>
      <c r="BU38" s="1" t="s">
        <v>549</v>
      </c>
      <c r="BV38" s="2">
        <v>0</v>
      </c>
      <c r="BW38" s="2">
        <v>0</v>
      </c>
      <c r="BX38" s="2">
        <v>0</v>
      </c>
      <c r="BY38" s="2">
        <v>0</v>
      </c>
      <c r="BZ38" s="2">
        <v>0</v>
      </c>
      <c r="CA38" s="2">
        <v>0</v>
      </c>
      <c r="CB38" s="2">
        <v>0</v>
      </c>
      <c r="CC38" s="2">
        <v>0</v>
      </c>
      <c r="CD38" s="2">
        <v>0</v>
      </c>
      <c r="CE38" s="2">
        <v>0</v>
      </c>
      <c r="CF38" s="2">
        <v>0</v>
      </c>
      <c r="CG38" s="2">
        <v>0</v>
      </c>
      <c r="CH38" s="2">
        <v>0</v>
      </c>
      <c r="CI38" s="2">
        <v>0</v>
      </c>
      <c r="CJ38" s="2">
        <v>0</v>
      </c>
      <c r="CK38" s="2">
        <v>0</v>
      </c>
      <c r="CL38" s="2">
        <v>0</v>
      </c>
      <c r="CM38" s="2">
        <v>0</v>
      </c>
      <c r="CN38" s="2">
        <v>0</v>
      </c>
      <c r="CO38" s="2">
        <v>0</v>
      </c>
      <c r="CP38" s="2">
        <v>0</v>
      </c>
      <c r="CQ38" s="2">
        <v>0</v>
      </c>
      <c r="CR38" s="2">
        <v>0</v>
      </c>
      <c r="CS38" s="2">
        <v>0</v>
      </c>
      <c r="CT38" s="294"/>
    </row>
    <row r="39" spans="1:98" x14ac:dyDescent="0.2">
      <c r="A39" s="294"/>
      <c r="B39" s="204" t="str">
        <f>IF(RIGHT($D39,5)="Total",$B38&amp;" Total",VLOOKUP($D39,TableInputsData[],ReadMe!$M$3,FALSE))</f>
        <v>DEPENSES SUR ACHATS</v>
      </c>
      <c r="C39" s="294"/>
      <c r="D39" s="1" t="s">
        <v>531</v>
      </c>
      <c r="E39" s="25">
        <v>2029</v>
      </c>
      <c r="F39" s="2">
        <v>0</v>
      </c>
      <c r="G39" s="2">
        <v>0</v>
      </c>
      <c r="H39" s="2">
        <v>0</v>
      </c>
      <c r="I39" s="2">
        <v>0</v>
      </c>
      <c r="J39" s="2">
        <v>0</v>
      </c>
      <c r="K39" s="294"/>
      <c r="L39" s="294"/>
      <c r="M39" s="1" t="s">
        <v>531</v>
      </c>
      <c r="N39" s="25">
        <v>2029</v>
      </c>
      <c r="O39" s="2">
        <v>0</v>
      </c>
      <c r="P39" s="2">
        <v>0</v>
      </c>
      <c r="Q39" s="2">
        <v>0</v>
      </c>
      <c r="R39" s="2">
        <v>0</v>
      </c>
      <c r="S39" s="2">
        <v>0</v>
      </c>
      <c r="T39" s="2">
        <v>0</v>
      </c>
      <c r="U39" s="2">
        <v>0</v>
      </c>
      <c r="V39" s="2">
        <v>0</v>
      </c>
      <c r="W39" s="2">
        <v>0</v>
      </c>
      <c r="X39" s="2">
        <v>0</v>
      </c>
      <c r="Y39" s="2">
        <v>0</v>
      </c>
      <c r="Z39" s="2">
        <v>0</v>
      </c>
      <c r="AA39" s="2">
        <v>0</v>
      </c>
      <c r="AB39" s="2">
        <v>0</v>
      </c>
      <c r="AC39" s="2">
        <v>0</v>
      </c>
      <c r="AD39" s="2">
        <v>0</v>
      </c>
      <c r="AE39" s="2">
        <v>0</v>
      </c>
      <c r="AF39" s="2">
        <v>0</v>
      </c>
      <c r="AG39" s="2">
        <v>0</v>
      </c>
      <c r="AH39" s="2">
        <v>0</v>
      </c>
      <c r="AI39" s="2">
        <v>0</v>
      </c>
      <c r="AJ39" s="2">
        <v>0</v>
      </c>
      <c r="AK39" s="2">
        <v>0</v>
      </c>
      <c r="AL39" s="2">
        <v>0</v>
      </c>
      <c r="AM39" s="2">
        <v>0</v>
      </c>
      <c r="AN39" s="2">
        <v>0</v>
      </c>
      <c r="AO39" s="2">
        <v>0</v>
      </c>
      <c r="AP39" s="2">
        <v>0</v>
      </c>
      <c r="AQ39" s="2">
        <v>0</v>
      </c>
      <c r="AR39" s="2">
        <v>0</v>
      </c>
      <c r="AS39" s="2">
        <f t="shared" si="1"/>
        <v>0</v>
      </c>
      <c r="AT39" s="294"/>
      <c r="AU39" s="294"/>
      <c r="AV39" s="1" t="s">
        <v>531</v>
      </c>
      <c r="AW39" s="25">
        <v>2029</v>
      </c>
      <c r="AX39" s="2">
        <v>0</v>
      </c>
      <c r="AY39" s="2">
        <v>0</v>
      </c>
      <c r="AZ39" s="2">
        <v>0</v>
      </c>
      <c r="BA39" s="2">
        <v>0</v>
      </c>
      <c r="BB39" s="294"/>
      <c r="BC39" s="294"/>
      <c r="BD39" s="1" t="s">
        <v>531</v>
      </c>
      <c r="BE39" s="25">
        <v>2029</v>
      </c>
      <c r="BF39" s="2">
        <v>0</v>
      </c>
      <c r="BG39" s="2">
        <v>0</v>
      </c>
      <c r="BH39" s="2">
        <v>0</v>
      </c>
      <c r="BI39" s="294"/>
      <c r="BJ39" s="294"/>
      <c r="BK39" s="1" t="s">
        <v>531</v>
      </c>
      <c r="BL39" s="25">
        <v>2029</v>
      </c>
      <c r="BM39" s="2">
        <v>0</v>
      </c>
      <c r="BN39" s="2">
        <v>0</v>
      </c>
      <c r="BO39" s="2">
        <v>0</v>
      </c>
      <c r="BP39" s="294"/>
      <c r="BQ39" s="294"/>
      <c r="BR39" s="362" t="str">
        <f>VLOOKUP(BU39,TableInputsData[],6,FALSE)</f>
        <v>-</v>
      </c>
      <c r="BS39" s="598" t="str">
        <f>VLOOKUP(BU39,InputsData!$C$36:$I$67,5,FALSE)</f>
        <v>DIENST 05</v>
      </c>
      <c r="BT39" s="1" t="s">
        <v>261</v>
      </c>
      <c r="BU39" s="1" t="s">
        <v>550</v>
      </c>
      <c r="BV39" s="2">
        <v>0</v>
      </c>
      <c r="BW39" s="2">
        <v>0</v>
      </c>
      <c r="BX39" s="2">
        <v>0</v>
      </c>
      <c r="BY39" s="2">
        <v>0</v>
      </c>
      <c r="BZ39" s="2">
        <v>0</v>
      </c>
      <c r="CA39" s="2">
        <v>0</v>
      </c>
      <c r="CB39" s="2">
        <v>0</v>
      </c>
      <c r="CC39" s="2">
        <v>0</v>
      </c>
      <c r="CD39" s="2">
        <v>0</v>
      </c>
      <c r="CE39" s="2">
        <v>0</v>
      </c>
      <c r="CF39" s="2">
        <v>0</v>
      </c>
      <c r="CG39" s="2">
        <v>0</v>
      </c>
      <c r="CH39" s="2">
        <v>0</v>
      </c>
      <c r="CI39" s="2">
        <v>0</v>
      </c>
      <c r="CJ39" s="2">
        <v>0</v>
      </c>
      <c r="CK39" s="2">
        <v>0</v>
      </c>
      <c r="CL39" s="2">
        <v>0</v>
      </c>
      <c r="CM39" s="2">
        <v>0</v>
      </c>
      <c r="CN39" s="2">
        <v>0</v>
      </c>
      <c r="CO39" s="2">
        <v>0</v>
      </c>
      <c r="CP39" s="2">
        <v>0</v>
      </c>
      <c r="CQ39" s="2">
        <v>0</v>
      </c>
      <c r="CR39" s="2">
        <v>0</v>
      </c>
      <c r="CS39" s="2">
        <v>0</v>
      </c>
      <c r="CT39" s="294"/>
    </row>
    <row r="40" spans="1:98" x14ac:dyDescent="0.2">
      <c r="A40" s="294"/>
      <c r="B40" s="204" t="str">
        <f>IF(RIGHT($D40,5)="Total",$B39&amp;" Total",VLOOKUP($D40,TableInputsData[],ReadMe!$M$3,FALSE))</f>
        <v>DEPENSES SUR ACHATS</v>
      </c>
      <c r="C40" s="294"/>
      <c r="D40" s="1" t="s">
        <v>531</v>
      </c>
      <c r="E40" s="25">
        <v>2030</v>
      </c>
      <c r="F40" s="2">
        <v>0</v>
      </c>
      <c r="G40" s="2">
        <v>0</v>
      </c>
      <c r="H40" s="2">
        <v>0</v>
      </c>
      <c r="I40" s="2">
        <v>0</v>
      </c>
      <c r="J40" s="2">
        <v>0</v>
      </c>
      <c r="K40" s="294"/>
      <c r="L40" s="294"/>
      <c r="M40" s="1" t="s">
        <v>531</v>
      </c>
      <c r="N40" s="25">
        <v>2030</v>
      </c>
      <c r="O40" s="2">
        <v>0</v>
      </c>
      <c r="P40" s="2">
        <v>0</v>
      </c>
      <c r="Q40" s="2">
        <v>0</v>
      </c>
      <c r="R40" s="2">
        <v>0</v>
      </c>
      <c r="S40" s="2">
        <v>0</v>
      </c>
      <c r="T40" s="2">
        <v>0</v>
      </c>
      <c r="U40" s="2">
        <v>0</v>
      </c>
      <c r="V40" s="2">
        <v>0</v>
      </c>
      <c r="W40" s="2">
        <v>0</v>
      </c>
      <c r="X40" s="2">
        <v>0</v>
      </c>
      <c r="Y40" s="2">
        <v>0</v>
      </c>
      <c r="Z40" s="2">
        <v>0</v>
      </c>
      <c r="AA40" s="2">
        <v>0</v>
      </c>
      <c r="AB40" s="2">
        <v>0</v>
      </c>
      <c r="AC40" s="2">
        <v>0</v>
      </c>
      <c r="AD40" s="2">
        <v>0</v>
      </c>
      <c r="AE40" s="2">
        <v>0</v>
      </c>
      <c r="AF40" s="2">
        <v>0</v>
      </c>
      <c r="AG40" s="2">
        <v>0</v>
      </c>
      <c r="AH40" s="2">
        <v>0</v>
      </c>
      <c r="AI40" s="2">
        <v>0</v>
      </c>
      <c r="AJ40" s="2">
        <v>0</v>
      </c>
      <c r="AK40" s="2">
        <v>0</v>
      </c>
      <c r="AL40" s="2">
        <v>0</v>
      </c>
      <c r="AM40" s="2">
        <v>0</v>
      </c>
      <c r="AN40" s="2">
        <v>0</v>
      </c>
      <c r="AO40" s="2">
        <v>0</v>
      </c>
      <c r="AP40" s="2">
        <v>0</v>
      </c>
      <c r="AQ40" s="2">
        <v>0</v>
      </c>
      <c r="AR40" s="2">
        <v>0</v>
      </c>
      <c r="AS40" s="2">
        <f t="shared" si="1"/>
        <v>0</v>
      </c>
      <c r="AT40" s="294"/>
      <c r="AU40" s="294"/>
      <c r="AV40" s="1" t="s">
        <v>531</v>
      </c>
      <c r="AW40" s="25">
        <v>2030</v>
      </c>
      <c r="AX40" s="2">
        <v>0</v>
      </c>
      <c r="AY40" s="2">
        <v>0</v>
      </c>
      <c r="AZ40" s="2">
        <v>0</v>
      </c>
      <c r="BA40" s="2">
        <v>0</v>
      </c>
      <c r="BB40" s="294"/>
      <c r="BC40" s="294"/>
      <c r="BD40" s="1" t="s">
        <v>531</v>
      </c>
      <c r="BE40" s="25">
        <v>2030</v>
      </c>
      <c r="BF40" s="2">
        <v>0</v>
      </c>
      <c r="BG40" s="2">
        <v>0</v>
      </c>
      <c r="BH40" s="2">
        <v>0</v>
      </c>
      <c r="BI40" s="294"/>
      <c r="BJ40" s="294"/>
      <c r="BK40" s="1" t="s">
        <v>531</v>
      </c>
      <c r="BL40" s="25">
        <v>2030</v>
      </c>
      <c r="BM40" s="2">
        <v>0</v>
      </c>
      <c r="BN40" s="2">
        <v>0</v>
      </c>
      <c r="BO40" s="2">
        <v>0</v>
      </c>
      <c r="BP40" s="294"/>
      <c r="BQ40" s="294"/>
      <c r="BR40" s="362" t="str">
        <f>VLOOKUP(BU40,TableInputsData[],6,FALSE)</f>
        <v>-</v>
      </c>
      <c r="BS40" s="598" t="str">
        <f>VLOOKUP(BU40,InputsData!$C$36:$I$67,5,FALSE)</f>
        <v>DIENST 06</v>
      </c>
      <c r="BT40" s="1" t="s">
        <v>261</v>
      </c>
      <c r="BU40" s="1" t="s">
        <v>551</v>
      </c>
      <c r="BV40" s="2">
        <v>0</v>
      </c>
      <c r="BW40" s="2">
        <v>0</v>
      </c>
      <c r="BX40" s="2">
        <v>0</v>
      </c>
      <c r="BY40" s="2">
        <v>0</v>
      </c>
      <c r="BZ40" s="2">
        <v>0</v>
      </c>
      <c r="CA40" s="2">
        <v>0</v>
      </c>
      <c r="CB40" s="2">
        <v>0</v>
      </c>
      <c r="CC40" s="2">
        <v>0</v>
      </c>
      <c r="CD40" s="2">
        <v>0</v>
      </c>
      <c r="CE40" s="2">
        <v>0</v>
      </c>
      <c r="CF40" s="2">
        <v>0</v>
      </c>
      <c r="CG40" s="2">
        <v>0</v>
      </c>
      <c r="CH40" s="2">
        <v>0</v>
      </c>
      <c r="CI40" s="2">
        <v>0</v>
      </c>
      <c r="CJ40" s="2">
        <v>0</v>
      </c>
      <c r="CK40" s="2">
        <v>0</v>
      </c>
      <c r="CL40" s="2">
        <v>0</v>
      </c>
      <c r="CM40" s="2">
        <v>0</v>
      </c>
      <c r="CN40" s="2">
        <v>0</v>
      </c>
      <c r="CO40" s="2">
        <v>0</v>
      </c>
      <c r="CP40" s="2">
        <v>0</v>
      </c>
      <c r="CQ40" s="2">
        <v>0</v>
      </c>
      <c r="CR40" s="2">
        <v>0</v>
      </c>
      <c r="CS40" s="2">
        <v>0</v>
      </c>
      <c r="CT40" s="294"/>
    </row>
    <row r="41" spans="1:98" x14ac:dyDescent="0.2">
      <c r="A41" s="294"/>
      <c r="B41" s="358" t="str">
        <f>IF(RIGHT($D41,5)="Total",$B40&amp;" Total",VLOOKUP($D41,TableInputsData[],ReadMe!$M$3,FALSE))</f>
        <v>DEPENSES SUR ACHATS Total</v>
      </c>
      <c r="C41" s="294"/>
      <c r="D41" s="151" t="s">
        <v>2076</v>
      </c>
      <c r="E41" s="151"/>
      <c r="F41" s="346">
        <v>0</v>
      </c>
      <c r="G41" s="346">
        <v>0</v>
      </c>
      <c r="H41" s="346">
        <v>0</v>
      </c>
      <c r="I41" s="346">
        <v>0</v>
      </c>
      <c r="J41" s="346">
        <v>0</v>
      </c>
      <c r="K41" s="294"/>
      <c r="L41" s="294"/>
      <c r="M41" s="151" t="s">
        <v>2076</v>
      </c>
      <c r="N41" s="151"/>
      <c r="O41" s="346">
        <v>0</v>
      </c>
      <c r="P41" s="346">
        <v>0</v>
      </c>
      <c r="Q41" s="346">
        <v>0</v>
      </c>
      <c r="R41" s="346">
        <v>0</v>
      </c>
      <c r="S41" s="346">
        <v>0</v>
      </c>
      <c r="T41" s="346">
        <v>0</v>
      </c>
      <c r="U41" s="346">
        <v>0</v>
      </c>
      <c r="V41" s="346">
        <v>0</v>
      </c>
      <c r="W41" s="346">
        <v>0</v>
      </c>
      <c r="X41" s="346">
        <v>0</v>
      </c>
      <c r="Y41" s="346">
        <v>0</v>
      </c>
      <c r="Z41" s="346">
        <v>0</v>
      </c>
      <c r="AA41" s="346">
        <v>0</v>
      </c>
      <c r="AB41" s="346">
        <v>0</v>
      </c>
      <c r="AC41" s="346">
        <v>0</v>
      </c>
      <c r="AD41" s="346">
        <v>0</v>
      </c>
      <c r="AE41" s="346">
        <v>0</v>
      </c>
      <c r="AF41" s="346">
        <v>0</v>
      </c>
      <c r="AG41" s="346">
        <v>0</v>
      </c>
      <c r="AH41" s="346">
        <v>0</v>
      </c>
      <c r="AI41" s="346">
        <v>0</v>
      </c>
      <c r="AJ41" s="346">
        <v>0</v>
      </c>
      <c r="AK41" s="346">
        <v>0</v>
      </c>
      <c r="AL41" s="346">
        <v>0</v>
      </c>
      <c r="AM41" s="346">
        <v>0</v>
      </c>
      <c r="AN41" s="346">
        <v>0</v>
      </c>
      <c r="AO41" s="346">
        <v>0</v>
      </c>
      <c r="AP41" s="346">
        <v>0</v>
      </c>
      <c r="AQ41" s="346">
        <v>0</v>
      </c>
      <c r="AR41" s="346">
        <v>0</v>
      </c>
      <c r="AS41" s="347">
        <f t="shared" si="1"/>
        <v>0</v>
      </c>
      <c r="AT41" s="294"/>
      <c r="AU41" s="294"/>
      <c r="AV41" s="151" t="s">
        <v>2076</v>
      </c>
      <c r="AW41" s="151"/>
      <c r="AX41" s="346">
        <v>0</v>
      </c>
      <c r="AY41" s="346">
        <v>0</v>
      </c>
      <c r="AZ41" s="346">
        <v>0</v>
      </c>
      <c r="BA41" s="346">
        <v>0</v>
      </c>
      <c r="BB41" s="294"/>
      <c r="BC41" s="294"/>
      <c r="BD41" s="151" t="s">
        <v>2076</v>
      </c>
      <c r="BE41" s="151"/>
      <c r="BF41" s="346">
        <v>0</v>
      </c>
      <c r="BG41" s="346">
        <v>0</v>
      </c>
      <c r="BH41" s="346">
        <v>0</v>
      </c>
      <c r="BI41" s="294"/>
      <c r="BJ41" s="294"/>
      <c r="BK41" s="151" t="s">
        <v>2076</v>
      </c>
      <c r="BL41" s="151"/>
      <c r="BM41" s="346">
        <v>0</v>
      </c>
      <c r="BN41" s="346">
        <v>0</v>
      </c>
      <c r="BO41" s="346">
        <v>0</v>
      </c>
      <c r="BP41" s="294"/>
      <c r="BQ41" s="294"/>
      <c r="BR41" s="362" t="str">
        <f>VLOOKUP(BU41,TableInputsData[],6,FALSE)</f>
        <v>-</v>
      </c>
      <c r="BS41" s="598" t="str">
        <f>VLOOKUP(BU41,InputsData!$C$36:$I$67,5,FALSE)</f>
        <v>DIENST 07</v>
      </c>
      <c r="BT41" s="1" t="s">
        <v>261</v>
      </c>
      <c r="BU41" s="1" t="s">
        <v>552</v>
      </c>
      <c r="BV41" s="2">
        <v>0</v>
      </c>
      <c r="BW41" s="2">
        <v>0</v>
      </c>
      <c r="BX41" s="2">
        <v>0</v>
      </c>
      <c r="BY41" s="2">
        <v>0</v>
      </c>
      <c r="BZ41" s="2">
        <v>0</v>
      </c>
      <c r="CA41" s="2">
        <v>0</v>
      </c>
      <c r="CB41" s="2">
        <v>0</v>
      </c>
      <c r="CC41" s="2">
        <v>0</v>
      </c>
      <c r="CD41" s="2">
        <v>0</v>
      </c>
      <c r="CE41" s="2">
        <v>0</v>
      </c>
      <c r="CF41" s="2">
        <v>0</v>
      </c>
      <c r="CG41" s="2">
        <v>0</v>
      </c>
      <c r="CH41" s="2">
        <v>0</v>
      </c>
      <c r="CI41" s="2">
        <v>0</v>
      </c>
      <c r="CJ41" s="2">
        <v>0</v>
      </c>
      <c r="CK41" s="2">
        <v>0</v>
      </c>
      <c r="CL41" s="2">
        <v>0</v>
      </c>
      <c r="CM41" s="2">
        <v>0</v>
      </c>
      <c r="CN41" s="2">
        <v>0</v>
      </c>
      <c r="CO41" s="2">
        <v>0</v>
      </c>
      <c r="CP41" s="2">
        <v>0</v>
      </c>
      <c r="CQ41" s="2">
        <v>0</v>
      </c>
      <c r="CR41" s="2">
        <v>0</v>
      </c>
      <c r="CS41" s="2">
        <v>0</v>
      </c>
      <c r="CT41" s="294"/>
    </row>
    <row r="42" spans="1:98" x14ac:dyDescent="0.2">
      <c r="A42" s="294"/>
      <c r="B42" s="204" t="str">
        <f>IF(RIGHT($D42,5)="Total",$B41&amp;" Total",VLOOKUP($D42,TableInputsData[],ReadMe!$M$3,FALSE))</f>
        <v>MARGE BRUTE</v>
      </c>
      <c r="C42" s="294"/>
      <c r="D42" s="1" t="s">
        <v>522</v>
      </c>
      <c r="E42" s="25">
        <v>2023</v>
      </c>
      <c r="F42" s="2">
        <v>0</v>
      </c>
      <c r="G42" s="2">
        <v>0</v>
      </c>
      <c r="H42" s="2">
        <v>0</v>
      </c>
      <c r="I42" s="2">
        <v>0</v>
      </c>
      <c r="J42" s="2">
        <v>0</v>
      </c>
      <c r="K42" s="294"/>
      <c r="L42" s="294"/>
      <c r="M42" s="204" t="s">
        <v>522</v>
      </c>
      <c r="N42" s="25">
        <f>N15</f>
        <v>2023</v>
      </c>
      <c r="O42" s="2">
        <f t="shared" ref="O42:X46" si="2">IF(ISERR(GETPIVOTDATA("TOTAL YEAR",$M$13,"YEAR",$N42,"REFERENCE PRODUCT / SERVICE",O$14,"ITEM","REVENUE")),0,GETPIVOTDATA("TOTAL YEAR",$M$13,"YEAR",$N42,"REFERENCE PRODUCT / SERVICE",O$14,"ITEM","REVENUE")-GETPIVOTDATA("TOTAL YEAR",$M$13,"YEAR",$N42,"REFERENCE PRODUCT / SERVICE",O$14,"ITEM","COST OF GOODS SOLD"))</f>
        <v>0</v>
      </c>
      <c r="P42" s="2">
        <f t="shared" si="2"/>
        <v>0</v>
      </c>
      <c r="Q42" s="2">
        <f t="shared" si="2"/>
        <v>0</v>
      </c>
      <c r="R42" s="2">
        <f t="shared" si="2"/>
        <v>0</v>
      </c>
      <c r="S42" s="2">
        <f t="shared" si="2"/>
        <v>0</v>
      </c>
      <c r="T42" s="2">
        <f t="shared" si="2"/>
        <v>0</v>
      </c>
      <c r="U42" s="2">
        <f t="shared" si="2"/>
        <v>0</v>
      </c>
      <c r="V42" s="2">
        <f t="shared" si="2"/>
        <v>0</v>
      </c>
      <c r="W42" s="2">
        <f t="shared" si="2"/>
        <v>0</v>
      </c>
      <c r="X42" s="2">
        <f t="shared" si="2"/>
        <v>0</v>
      </c>
      <c r="Y42" s="2">
        <f t="shared" ref="Y42:AH46" si="3">IF(ISERR(GETPIVOTDATA("TOTAL YEAR",$M$13,"YEAR",$N42,"REFERENCE PRODUCT / SERVICE",Y$14,"ITEM","REVENUE")),0,GETPIVOTDATA("TOTAL YEAR",$M$13,"YEAR",$N42,"REFERENCE PRODUCT / SERVICE",Y$14,"ITEM","REVENUE")-GETPIVOTDATA("TOTAL YEAR",$M$13,"YEAR",$N42,"REFERENCE PRODUCT / SERVICE",Y$14,"ITEM","COST OF GOODS SOLD"))</f>
        <v>0</v>
      </c>
      <c r="Z42" s="2">
        <f t="shared" si="3"/>
        <v>0</v>
      </c>
      <c r="AA42" s="2">
        <f t="shared" si="3"/>
        <v>0</v>
      </c>
      <c r="AB42" s="2">
        <f t="shared" si="3"/>
        <v>0</v>
      </c>
      <c r="AC42" s="2">
        <f t="shared" si="3"/>
        <v>0</v>
      </c>
      <c r="AD42" s="2">
        <f t="shared" si="3"/>
        <v>0</v>
      </c>
      <c r="AE42" s="2">
        <f t="shared" si="3"/>
        <v>0</v>
      </c>
      <c r="AF42" s="2">
        <f t="shared" si="3"/>
        <v>0</v>
      </c>
      <c r="AG42" s="2">
        <f t="shared" si="3"/>
        <v>0</v>
      </c>
      <c r="AH42" s="2">
        <f t="shared" si="3"/>
        <v>0</v>
      </c>
      <c r="AI42" s="2">
        <f t="shared" ref="AI42:AR46" si="4">IF(ISERR(GETPIVOTDATA("TOTAL YEAR",$M$13,"YEAR",$N42,"REFERENCE PRODUCT / SERVICE",AI$14,"ITEM","REVENUE")),0,GETPIVOTDATA("TOTAL YEAR",$M$13,"YEAR",$N42,"REFERENCE PRODUCT / SERVICE",AI$14,"ITEM","REVENUE")-GETPIVOTDATA("TOTAL YEAR",$M$13,"YEAR",$N42,"REFERENCE PRODUCT / SERVICE",AI$14,"ITEM","COST OF GOODS SOLD"))</f>
        <v>0</v>
      </c>
      <c r="AJ42" s="2">
        <f t="shared" si="4"/>
        <v>0</v>
      </c>
      <c r="AK42" s="2">
        <f t="shared" si="4"/>
        <v>0</v>
      </c>
      <c r="AL42" s="2">
        <f t="shared" si="4"/>
        <v>0</v>
      </c>
      <c r="AM42" s="2">
        <f t="shared" si="4"/>
        <v>0</v>
      </c>
      <c r="AN42" s="2">
        <f t="shared" si="4"/>
        <v>0</v>
      </c>
      <c r="AO42" s="2">
        <f t="shared" si="4"/>
        <v>0</v>
      </c>
      <c r="AP42" s="2">
        <f t="shared" si="4"/>
        <v>0</v>
      </c>
      <c r="AQ42" s="2">
        <f t="shared" si="4"/>
        <v>0</v>
      </c>
      <c r="AR42" s="2">
        <f t="shared" si="4"/>
        <v>0</v>
      </c>
      <c r="AS42" s="2">
        <f t="shared" si="1"/>
        <v>0</v>
      </c>
      <c r="AT42" s="294"/>
      <c r="AU42" s="294"/>
      <c r="AV42" s="1" t="s">
        <v>522</v>
      </c>
      <c r="AW42" s="25">
        <v>2023</v>
      </c>
      <c r="AX42" s="2">
        <v>0</v>
      </c>
      <c r="AY42" s="2">
        <v>0</v>
      </c>
      <c r="AZ42" s="2">
        <v>0</v>
      </c>
      <c r="BA42" s="2">
        <v>0</v>
      </c>
      <c r="BB42" s="294"/>
      <c r="BC42" s="294"/>
      <c r="BD42" s="1" t="s">
        <v>522</v>
      </c>
      <c r="BE42" s="25">
        <v>2023</v>
      </c>
      <c r="BF42" s="2">
        <v>0</v>
      </c>
      <c r="BG42" s="2">
        <v>0</v>
      </c>
      <c r="BH42" s="2">
        <v>0</v>
      </c>
      <c r="BI42" s="294"/>
      <c r="BJ42" s="294"/>
      <c r="BK42" s="1" t="s">
        <v>522</v>
      </c>
      <c r="BL42" s="25">
        <v>2023</v>
      </c>
      <c r="BM42" s="2">
        <v>0</v>
      </c>
      <c r="BN42" s="2">
        <v>0</v>
      </c>
      <c r="BO42" s="2">
        <v>0</v>
      </c>
      <c r="BP42" s="294"/>
      <c r="BQ42" s="294"/>
      <c r="BR42" s="362" t="str">
        <f>VLOOKUP(BU42,TableInputsData[],6,FALSE)</f>
        <v>-</v>
      </c>
      <c r="BS42" s="598" t="str">
        <f>VLOOKUP(BU42,InputsData!$C$36:$I$67,5,FALSE)</f>
        <v>DIENST 08</v>
      </c>
      <c r="BT42" s="1" t="s">
        <v>261</v>
      </c>
      <c r="BU42" s="1" t="s">
        <v>553</v>
      </c>
      <c r="BV42" s="2">
        <v>0</v>
      </c>
      <c r="BW42" s="2">
        <v>0</v>
      </c>
      <c r="BX42" s="2">
        <v>0</v>
      </c>
      <c r="BY42" s="2">
        <v>0</v>
      </c>
      <c r="BZ42" s="2">
        <v>0</v>
      </c>
      <c r="CA42" s="2">
        <v>0</v>
      </c>
      <c r="CB42" s="2">
        <v>0</v>
      </c>
      <c r="CC42" s="2">
        <v>0</v>
      </c>
      <c r="CD42" s="2">
        <v>0</v>
      </c>
      <c r="CE42" s="2">
        <v>0</v>
      </c>
      <c r="CF42" s="2">
        <v>0</v>
      </c>
      <c r="CG42" s="2">
        <v>0</v>
      </c>
      <c r="CH42" s="2">
        <v>0</v>
      </c>
      <c r="CI42" s="2">
        <v>0</v>
      </c>
      <c r="CJ42" s="2">
        <v>0</v>
      </c>
      <c r="CK42" s="2">
        <v>0</v>
      </c>
      <c r="CL42" s="2">
        <v>0</v>
      </c>
      <c r="CM42" s="2">
        <v>0</v>
      </c>
      <c r="CN42" s="2">
        <v>0</v>
      </c>
      <c r="CO42" s="2">
        <v>0</v>
      </c>
      <c r="CP42" s="2">
        <v>0</v>
      </c>
      <c r="CQ42" s="2">
        <v>0</v>
      </c>
      <c r="CR42" s="2">
        <v>0</v>
      </c>
      <c r="CS42" s="2">
        <v>0</v>
      </c>
      <c r="CT42" s="294"/>
    </row>
    <row r="43" spans="1:98" x14ac:dyDescent="0.2">
      <c r="A43" s="294"/>
      <c r="B43" s="204" t="str">
        <f>IF(RIGHT($D43,5)="Total",$B42&amp;" Total",VLOOKUP($D43,TableInputsData[],ReadMe!$M$3,FALSE))</f>
        <v>MARGE BRUTE</v>
      </c>
      <c r="C43" s="294"/>
      <c r="D43" s="1" t="s">
        <v>522</v>
      </c>
      <c r="E43" s="25">
        <v>2024</v>
      </c>
      <c r="F43" s="2">
        <v>0</v>
      </c>
      <c r="G43" s="2">
        <v>0</v>
      </c>
      <c r="H43" s="2">
        <v>0</v>
      </c>
      <c r="I43" s="2">
        <v>0</v>
      </c>
      <c r="J43" s="2">
        <v>0</v>
      </c>
      <c r="K43" s="294"/>
      <c r="L43" s="294"/>
      <c r="M43" s="204" t="str">
        <f>M42</f>
        <v>GROSS PROFIT</v>
      </c>
      <c r="N43" s="25">
        <f t="shared" ref="N43:N49" si="5">N16</f>
        <v>2024</v>
      </c>
      <c r="O43" s="2">
        <f t="shared" si="2"/>
        <v>0</v>
      </c>
      <c r="P43" s="2">
        <f t="shared" si="2"/>
        <v>0</v>
      </c>
      <c r="Q43" s="2">
        <f t="shared" si="2"/>
        <v>0</v>
      </c>
      <c r="R43" s="2">
        <f t="shared" si="2"/>
        <v>0</v>
      </c>
      <c r="S43" s="2">
        <f t="shared" si="2"/>
        <v>0</v>
      </c>
      <c r="T43" s="2">
        <f t="shared" si="2"/>
        <v>0</v>
      </c>
      <c r="U43" s="2">
        <f t="shared" si="2"/>
        <v>0</v>
      </c>
      <c r="V43" s="2">
        <f t="shared" si="2"/>
        <v>0</v>
      </c>
      <c r="W43" s="2">
        <f t="shared" si="2"/>
        <v>0</v>
      </c>
      <c r="X43" s="2">
        <f t="shared" si="2"/>
        <v>0</v>
      </c>
      <c r="Y43" s="2">
        <f t="shared" si="3"/>
        <v>0</v>
      </c>
      <c r="Z43" s="2">
        <f t="shared" si="3"/>
        <v>0</v>
      </c>
      <c r="AA43" s="2">
        <f t="shared" si="3"/>
        <v>0</v>
      </c>
      <c r="AB43" s="2">
        <f t="shared" si="3"/>
        <v>0</v>
      </c>
      <c r="AC43" s="2">
        <f t="shared" si="3"/>
        <v>0</v>
      </c>
      <c r="AD43" s="2">
        <f t="shared" si="3"/>
        <v>0</v>
      </c>
      <c r="AE43" s="2">
        <f t="shared" si="3"/>
        <v>0</v>
      </c>
      <c r="AF43" s="2">
        <f t="shared" si="3"/>
        <v>0</v>
      </c>
      <c r="AG43" s="2">
        <f t="shared" si="3"/>
        <v>0</v>
      </c>
      <c r="AH43" s="2">
        <f t="shared" si="3"/>
        <v>0</v>
      </c>
      <c r="AI43" s="2">
        <f t="shared" si="4"/>
        <v>0</v>
      </c>
      <c r="AJ43" s="2">
        <f t="shared" si="4"/>
        <v>0</v>
      </c>
      <c r="AK43" s="2">
        <f t="shared" si="4"/>
        <v>0</v>
      </c>
      <c r="AL43" s="2">
        <f t="shared" si="4"/>
        <v>0</v>
      </c>
      <c r="AM43" s="2">
        <f t="shared" si="4"/>
        <v>0</v>
      </c>
      <c r="AN43" s="2">
        <f t="shared" si="4"/>
        <v>0</v>
      </c>
      <c r="AO43" s="2">
        <f t="shared" si="4"/>
        <v>0</v>
      </c>
      <c r="AP43" s="2">
        <f t="shared" si="4"/>
        <v>0</v>
      </c>
      <c r="AQ43" s="2">
        <f t="shared" si="4"/>
        <v>0</v>
      </c>
      <c r="AR43" s="2">
        <f t="shared" si="4"/>
        <v>0</v>
      </c>
      <c r="AS43" s="2">
        <f t="shared" si="1"/>
        <v>0</v>
      </c>
      <c r="AT43" s="294"/>
      <c r="AU43" s="294"/>
      <c r="AV43" s="1" t="s">
        <v>522</v>
      </c>
      <c r="AW43" s="25">
        <v>2024</v>
      </c>
      <c r="AX43" s="2">
        <v>0</v>
      </c>
      <c r="AY43" s="2">
        <v>0</v>
      </c>
      <c r="AZ43" s="2">
        <v>0</v>
      </c>
      <c r="BA43" s="2">
        <v>0</v>
      </c>
      <c r="BB43" s="294"/>
      <c r="BC43" s="294"/>
      <c r="BD43" s="1" t="s">
        <v>522</v>
      </c>
      <c r="BE43" s="25">
        <v>2024</v>
      </c>
      <c r="BF43" s="2">
        <v>0</v>
      </c>
      <c r="BG43" s="2">
        <v>0</v>
      </c>
      <c r="BH43" s="2">
        <v>0</v>
      </c>
      <c r="BI43" s="294"/>
      <c r="BJ43" s="294"/>
      <c r="BK43" s="1" t="s">
        <v>522</v>
      </c>
      <c r="BL43" s="25">
        <v>2024</v>
      </c>
      <c r="BM43" s="2">
        <v>0</v>
      </c>
      <c r="BN43" s="2">
        <v>0</v>
      </c>
      <c r="BO43" s="2">
        <v>0</v>
      </c>
      <c r="BP43" s="294"/>
      <c r="BQ43" s="294"/>
      <c r="BR43" s="362" t="str">
        <f>VLOOKUP(BU43,TableInputsData[],6,FALSE)</f>
        <v>-</v>
      </c>
      <c r="BS43" s="598" t="str">
        <f>VLOOKUP(BU43,InputsData!$C$36:$I$67,5,FALSE)</f>
        <v>DIENST 09</v>
      </c>
      <c r="BT43" s="1" t="s">
        <v>261</v>
      </c>
      <c r="BU43" s="1" t="s">
        <v>554</v>
      </c>
      <c r="BV43" s="2">
        <v>0</v>
      </c>
      <c r="BW43" s="2">
        <v>0</v>
      </c>
      <c r="BX43" s="2">
        <v>0</v>
      </c>
      <c r="BY43" s="2">
        <v>0</v>
      </c>
      <c r="BZ43" s="2">
        <v>0</v>
      </c>
      <c r="CA43" s="2">
        <v>0</v>
      </c>
      <c r="CB43" s="2">
        <v>0</v>
      </c>
      <c r="CC43" s="2">
        <v>0</v>
      </c>
      <c r="CD43" s="2">
        <v>0</v>
      </c>
      <c r="CE43" s="2">
        <v>0</v>
      </c>
      <c r="CF43" s="2">
        <v>0</v>
      </c>
      <c r="CG43" s="2">
        <v>0</v>
      </c>
      <c r="CH43" s="2">
        <v>0</v>
      </c>
      <c r="CI43" s="2">
        <v>0</v>
      </c>
      <c r="CJ43" s="2">
        <v>0</v>
      </c>
      <c r="CK43" s="2">
        <v>0</v>
      </c>
      <c r="CL43" s="2">
        <v>0</v>
      </c>
      <c r="CM43" s="2">
        <v>0</v>
      </c>
      <c r="CN43" s="2">
        <v>0</v>
      </c>
      <c r="CO43" s="2">
        <v>0</v>
      </c>
      <c r="CP43" s="2">
        <v>0</v>
      </c>
      <c r="CQ43" s="2">
        <v>0</v>
      </c>
      <c r="CR43" s="2">
        <v>0</v>
      </c>
      <c r="CS43" s="2">
        <v>0</v>
      </c>
      <c r="CT43" s="294"/>
    </row>
    <row r="44" spans="1:98" x14ac:dyDescent="0.2">
      <c r="A44" s="294"/>
      <c r="B44" s="204" t="str">
        <f>IF(RIGHT($D44,5)="Total",$B43&amp;" Total",VLOOKUP($D44,TableInputsData[],ReadMe!$M$3,FALSE))</f>
        <v>MARGE BRUTE</v>
      </c>
      <c r="C44" s="294"/>
      <c r="D44" s="1" t="s">
        <v>522</v>
      </c>
      <c r="E44" s="25">
        <v>2025</v>
      </c>
      <c r="F44" s="2">
        <v>0</v>
      </c>
      <c r="G44" s="2">
        <v>0</v>
      </c>
      <c r="H44" s="2">
        <v>0</v>
      </c>
      <c r="I44" s="2">
        <v>0</v>
      </c>
      <c r="J44" s="2">
        <v>0</v>
      </c>
      <c r="K44" s="294"/>
      <c r="L44" s="294"/>
      <c r="M44" s="204" t="str">
        <f t="shared" ref="M44:M49" si="6">M43</f>
        <v>GROSS PROFIT</v>
      </c>
      <c r="N44" s="25">
        <f t="shared" si="5"/>
        <v>2025</v>
      </c>
      <c r="O44" s="2">
        <f t="shared" si="2"/>
        <v>0</v>
      </c>
      <c r="P44" s="2">
        <f t="shared" si="2"/>
        <v>0</v>
      </c>
      <c r="Q44" s="2">
        <f t="shared" si="2"/>
        <v>0</v>
      </c>
      <c r="R44" s="2">
        <f t="shared" si="2"/>
        <v>0</v>
      </c>
      <c r="S44" s="2">
        <f t="shared" si="2"/>
        <v>0</v>
      </c>
      <c r="T44" s="2">
        <f t="shared" si="2"/>
        <v>0</v>
      </c>
      <c r="U44" s="2">
        <f t="shared" si="2"/>
        <v>0</v>
      </c>
      <c r="V44" s="2">
        <f t="shared" si="2"/>
        <v>0</v>
      </c>
      <c r="W44" s="2">
        <f t="shared" si="2"/>
        <v>0</v>
      </c>
      <c r="X44" s="2">
        <f t="shared" si="2"/>
        <v>0</v>
      </c>
      <c r="Y44" s="2">
        <f t="shared" si="3"/>
        <v>0</v>
      </c>
      <c r="Z44" s="2">
        <f t="shared" si="3"/>
        <v>0</v>
      </c>
      <c r="AA44" s="2">
        <f t="shared" si="3"/>
        <v>0</v>
      </c>
      <c r="AB44" s="2">
        <f t="shared" si="3"/>
        <v>0</v>
      </c>
      <c r="AC44" s="2">
        <f t="shared" si="3"/>
        <v>0</v>
      </c>
      <c r="AD44" s="2">
        <f t="shared" si="3"/>
        <v>0</v>
      </c>
      <c r="AE44" s="2">
        <f t="shared" si="3"/>
        <v>0</v>
      </c>
      <c r="AF44" s="2">
        <f t="shared" si="3"/>
        <v>0</v>
      </c>
      <c r="AG44" s="2">
        <f t="shared" si="3"/>
        <v>0</v>
      </c>
      <c r="AH44" s="2">
        <f t="shared" si="3"/>
        <v>0</v>
      </c>
      <c r="AI44" s="2">
        <f t="shared" si="4"/>
        <v>0</v>
      </c>
      <c r="AJ44" s="2">
        <f t="shared" si="4"/>
        <v>0</v>
      </c>
      <c r="AK44" s="2">
        <f t="shared" si="4"/>
        <v>0</v>
      </c>
      <c r="AL44" s="2">
        <f t="shared" si="4"/>
        <v>0</v>
      </c>
      <c r="AM44" s="2">
        <f t="shared" si="4"/>
        <v>0</v>
      </c>
      <c r="AN44" s="2">
        <f t="shared" si="4"/>
        <v>0</v>
      </c>
      <c r="AO44" s="2">
        <f t="shared" si="4"/>
        <v>0</v>
      </c>
      <c r="AP44" s="2">
        <f t="shared" si="4"/>
        <v>0</v>
      </c>
      <c r="AQ44" s="2">
        <f t="shared" si="4"/>
        <v>0</v>
      </c>
      <c r="AR44" s="2">
        <f t="shared" si="4"/>
        <v>0</v>
      </c>
      <c r="AS44" s="2">
        <f t="shared" si="1"/>
        <v>0</v>
      </c>
      <c r="AT44" s="294"/>
      <c r="AU44" s="294"/>
      <c r="AV44" s="1" t="s">
        <v>522</v>
      </c>
      <c r="AW44" s="25">
        <v>2025</v>
      </c>
      <c r="AX44" s="2">
        <v>0</v>
      </c>
      <c r="AY44" s="2">
        <v>0</v>
      </c>
      <c r="AZ44" s="2">
        <v>0</v>
      </c>
      <c r="BA44" s="2">
        <v>0</v>
      </c>
      <c r="BB44" s="294"/>
      <c r="BC44" s="294"/>
      <c r="BD44" s="1" t="s">
        <v>522</v>
      </c>
      <c r="BE44" s="25">
        <v>2025</v>
      </c>
      <c r="BF44" s="2">
        <v>0</v>
      </c>
      <c r="BG44" s="2">
        <v>0</v>
      </c>
      <c r="BH44" s="2">
        <v>0</v>
      </c>
      <c r="BI44" s="294"/>
      <c r="BJ44" s="294"/>
      <c r="BK44" s="1" t="s">
        <v>522</v>
      </c>
      <c r="BL44" s="25">
        <v>2025</v>
      </c>
      <c r="BM44" s="2">
        <v>0</v>
      </c>
      <c r="BN44" s="2">
        <v>0</v>
      </c>
      <c r="BO44" s="2">
        <v>0</v>
      </c>
      <c r="BP44" s="294"/>
      <c r="BQ44" s="294"/>
      <c r="BR44" s="362" t="str">
        <f>VLOOKUP(BU44,TableInputsData[],6,FALSE)</f>
        <v>-</v>
      </c>
      <c r="BS44" s="598" t="str">
        <f>VLOOKUP(BU44,InputsData!$C$36:$I$67,5,FALSE)</f>
        <v>DIENST 10</v>
      </c>
      <c r="BT44" s="1" t="s">
        <v>261</v>
      </c>
      <c r="BU44" s="1" t="s">
        <v>115</v>
      </c>
      <c r="BV44" s="2">
        <v>0</v>
      </c>
      <c r="BW44" s="2">
        <v>0</v>
      </c>
      <c r="BX44" s="2">
        <v>0</v>
      </c>
      <c r="BY44" s="2">
        <v>0</v>
      </c>
      <c r="BZ44" s="2">
        <v>0</v>
      </c>
      <c r="CA44" s="2">
        <v>0</v>
      </c>
      <c r="CB44" s="2">
        <v>0</v>
      </c>
      <c r="CC44" s="2">
        <v>0</v>
      </c>
      <c r="CD44" s="2">
        <v>0</v>
      </c>
      <c r="CE44" s="2">
        <v>0</v>
      </c>
      <c r="CF44" s="2">
        <v>0</v>
      </c>
      <c r="CG44" s="2">
        <v>0</v>
      </c>
      <c r="CH44" s="2">
        <v>0</v>
      </c>
      <c r="CI44" s="2">
        <v>0</v>
      </c>
      <c r="CJ44" s="2">
        <v>0</v>
      </c>
      <c r="CK44" s="2">
        <v>0</v>
      </c>
      <c r="CL44" s="2">
        <v>0</v>
      </c>
      <c r="CM44" s="2">
        <v>0</v>
      </c>
      <c r="CN44" s="2">
        <v>0</v>
      </c>
      <c r="CO44" s="2">
        <v>0</v>
      </c>
      <c r="CP44" s="2">
        <v>0</v>
      </c>
      <c r="CQ44" s="2">
        <v>0</v>
      </c>
      <c r="CR44" s="2">
        <v>0</v>
      </c>
      <c r="CS44" s="2">
        <v>0</v>
      </c>
      <c r="CT44" s="294"/>
    </row>
    <row r="45" spans="1:98" x14ac:dyDescent="0.2">
      <c r="A45" s="294"/>
      <c r="B45" s="204" t="str">
        <f>IF(RIGHT($D45,5)="Total",$B44&amp;" Total",VLOOKUP($D45,TableInputsData[],ReadMe!$M$3,FALSE))</f>
        <v>MARGE BRUTE</v>
      </c>
      <c r="C45" s="294"/>
      <c r="D45" s="1" t="s">
        <v>522</v>
      </c>
      <c r="E45" s="25">
        <v>2026</v>
      </c>
      <c r="F45" s="2">
        <v>0</v>
      </c>
      <c r="G45" s="2">
        <v>0</v>
      </c>
      <c r="H45" s="2">
        <v>0</v>
      </c>
      <c r="I45" s="2">
        <v>0</v>
      </c>
      <c r="J45" s="2">
        <v>0</v>
      </c>
      <c r="K45" s="294"/>
      <c r="L45" s="294"/>
      <c r="M45" s="204" t="str">
        <f t="shared" si="6"/>
        <v>GROSS PROFIT</v>
      </c>
      <c r="N45" s="25">
        <f t="shared" si="5"/>
        <v>2026</v>
      </c>
      <c r="O45" s="2">
        <f t="shared" si="2"/>
        <v>0</v>
      </c>
      <c r="P45" s="2">
        <f t="shared" si="2"/>
        <v>0</v>
      </c>
      <c r="Q45" s="2">
        <f t="shared" si="2"/>
        <v>0</v>
      </c>
      <c r="R45" s="2">
        <f t="shared" si="2"/>
        <v>0</v>
      </c>
      <c r="S45" s="2">
        <f t="shared" si="2"/>
        <v>0</v>
      </c>
      <c r="T45" s="2">
        <f t="shared" si="2"/>
        <v>0</v>
      </c>
      <c r="U45" s="2">
        <f t="shared" si="2"/>
        <v>0</v>
      </c>
      <c r="V45" s="2">
        <f t="shared" si="2"/>
        <v>0</v>
      </c>
      <c r="W45" s="2">
        <f t="shared" si="2"/>
        <v>0</v>
      </c>
      <c r="X45" s="2">
        <f t="shared" si="2"/>
        <v>0</v>
      </c>
      <c r="Y45" s="2">
        <f t="shared" si="3"/>
        <v>0</v>
      </c>
      <c r="Z45" s="2">
        <f t="shared" si="3"/>
        <v>0</v>
      </c>
      <c r="AA45" s="2">
        <f t="shared" si="3"/>
        <v>0</v>
      </c>
      <c r="AB45" s="2">
        <f t="shared" si="3"/>
        <v>0</v>
      </c>
      <c r="AC45" s="2">
        <f t="shared" si="3"/>
        <v>0</v>
      </c>
      <c r="AD45" s="2">
        <f t="shared" si="3"/>
        <v>0</v>
      </c>
      <c r="AE45" s="2">
        <f t="shared" si="3"/>
        <v>0</v>
      </c>
      <c r="AF45" s="2">
        <f t="shared" si="3"/>
        <v>0</v>
      </c>
      <c r="AG45" s="2">
        <f t="shared" si="3"/>
        <v>0</v>
      </c>
      <c r="AH45" s="2">
        <f t="shared" si="3"/>
        <v>0</v>
      </c>
      <c r="AI45" s="2">
        <f t="shared" si="4"/>
        <v>0</v>
      </c>
      <c r="AJ45" s="2">
        <f t="shared" si="4"/>
        <v>0</v>
      </c>
      <c r="AK45" s="2">
        <f t="shared" si="4"/>
        <v>0</v>
      </c>
      <c r="AL45" s="2">
        <f t="shared" si="4"/>
        <v>0</v>
      </c>
      <c r="AM45" s="2">
        <f t="shared" si="4"/>
        <v>0</v>
      </c>
      <c r="AN45" s="2">
        <f t="shared" si="4"/>
        <v>0</v>
      </c>
      <c r="AO45" s="2">
        <f t="shared" si="4"/>
        <v>0</v>
      </c>
      <c r="AP45" s="2">
        <f t="shared" si="4"/>
        <v>0</v>
      </c>
      <c r="AQ45" s="2">
        <f t="shared" si="4"/>
        <v>0</v>
      </c>
      <c r="AR45" s="2">
        <f t="shared" si="4"/>
        <v>0</v>
      </c>
      <c r="AS45" s="2">
        <f t="shared" si="1"/>
        <v>0</v>
      </c>
      <c r="AT45" s="294"/>
      <c r="AU45" s="294"/>
      <c r="AV45" s="1" t="s">
        <v>522</v>
      </c>
      <c r="AW45" s="25">
        <v>2026</v>
      </c>
      <c r="AX45" s="2">
        <v>0</v>
      </c>
      <c r="AY45" s="2">
        <v>0</v>
      </c>
      <c r="AZ45" s="2">
        <v>0</v>
      </c>
      <c r="BA45" s="2">
        <v>0</v>
      </c>
      <c r="BB45" s="294"/>
      <c r="BC45" s="294"/>
      <c r="BD45" s="1" t="s">
        <v>522</v>
      </c>
      <c r="BE45" s="25">
        <v>2026</v>
      </c>
      <c r="BF45" s="2">
        <v>0</v>
      </c>
      <c r="BG45" s="2">
        <v>0</v>
      </c>
      <c r="BH45" s="2">
        <v>0</v>
      </c>
      <c r="BI45" s="294"/>
      <c r="BJ45" s="294"/>
      <c r="BK45" s="1" t="s">
        <v>522</v>
      </c>
      <c r="BL45" s="25">
        <v>2026</v>
      </c>
      <c r="BM45" s="2">
        <v>0</v>
      </c>
      <c r="BN45" s="2">
        <v>0</v>
      </c>
      <c r="BO45" s="2">
        <v>0</v>
      </c>
      <c r="BP45" s="294"/>
      <c r="BQ45" s="294"/>
      <c r="BR45" s="348"/>
      <c r="BS45" s="368"/>
      <c r="BT45" s="358" t="s">
        <v>2074</v>
      </c>
      <c r="BU45" s="358"/>
      <c r="BV45" s="347">
        <v>0</v>
      </c>
      <c r="BW45" s="347">
        <v>0</v>
      </c>
      <c r="BX45" s="347">
        <v>0</v>
      </c>
      <c r="BY45" s="347">
        <v>0</v>
      </c>
      <c r="BZ45" s="347">
        <v>0</v>
      </c>
      <c r="CA45" s="347">
        <v>0</v>
      </c>
      <c r="CB45" s="347">
        <v>0</v>
      </c>
      <c r="CC45" s="347">
        <v>0</v>
      </c>
      <c r="CD45" s="347">
        <v>0</v>
      </c>
      <c r="CE45" s="347">
        <v>0</v>
      </c>
      <c r="CF45" s="347">
        <v>0</v>
      </c>
      <c r="CG45" s="347">
        <v>0</v>
      </c>
      <c r="CH45" s="347">
        <v>0</v>
      </c>
      <c r="CI45" s="347">
        <v>0</v>
      </c>
      <c r="CJ45" s="347">
        <v>0</v>
      </c>
      <c r="CK45" s="347">
        <v>0</v>
      </c>
      <c r="CL45" s="347">
        <v>0</v>
      </c>
      <c r="CM45" s="347">
        <v>0</v>
      </c>
      <c r="CN45" s="347">
        <v>0</v>
      </c>
      <c r="CO45" s="347">
        <v>0</v>
      </c>
      <c r="CP45" s="347">
        <v>0</v>
      </c>
      <c r="CQ45" s="347">
        <v>0</v>
      </c>
      <c r="CR45" s="347">
        <v>0</v>
      </c>
      <c r="CS45" s="347">
        <v>0</v>
      </c>
      <c r="CT45" s="294"/>
    </row>
    <row r="46" spans="1:98" x14ac:dyDescent="0.2">
      <c r="A46" s="294"/>
      <c r="B46" s="204" t="str">
        <f>IF(RIGHT($D46,5)="Total",$B45&amp;" Total",VLOOKUP($D46,TableInputsData[],ReadMe!$M$3,FALSE))</f>
        <v>MARGE BRUTE</v>
      </c>
      <c r="C46" s="294"/>
      <c r="D46" s="1" t="s">
        <v>522</v>
      </c>
      <c r="E46" s="25">
        <v>2027</v>
      </c>
      <c r="F46" s="2">
        <v>0</v>
      </c>
      <c r="G46" s="2">
        <v>0</v>
      </c>
      <c r="H46" s="2">
        <v>0</v>
      </c>
      <c r="I46" s="2">
        <v>0</v>
      </c>
      <c r="J46" s="2">
        <v>0</v>
      </c>
      <c r="K46" s="294"/>
      <c r="L46" s="294"/>
      <c r="M46" s="204" t="str">
        <f t="shared" si="6"/>
        <v>GROSS PROFIT</v>
      </c>
      <c r="N46" s="25">
        <f t="shared" si="5"/>
        <v>2027</v>
      </c>
      <c r="O46" s="2">
        <f t="shared" si="2"/>
        <v>0</v>
      </c>
      <c r="P46" s="2">
        <f t="shared" si="2"/>
        <v>0</v>
      </c>
      <c r="Q46" s="2">
        <f t="shared" si="2"/>
        <v>0</v>
      </c>
      <c r="R46" s="2">
        <f t="shared" si="2"/>
        <v>0</v>
      </c>
      <c r="S46" s="2">
        <f t="shared" si="2"/>
        <v>0</v>
      </c>
      <c r="T46" s="2">
        <f t="shared" si="2"/>
        <v>0</v>
      </c>
      <c r="U46" s="2">
        <f t="shared" si="2"/>
        <v>0</v>
      </c>
      <c r="V46" s="2">
        <f t="shared" si="2"/>
        <v>0</v>
      </c>
      <c r="W46" s="2">
        <f t="shared" si="2"/>
        <v>0</v>
      </c>
      <c r="X46" s="2">
        <f t="shared" si="2"/>
        <v>0</v>
      </c>
      <c r="Y46" s="2">
        <f t="shared" si="3"/>
        <v>0</v>
      </c>
      <c r="Z46" s="2">
        <f t="shared" si="3"/>
        <v>0</v>
      </c>
      <c r="AA46" s="2">
        <f t="shared" si="3"/>
        <v>0</v>
      </c>
      <c r="AB46" s="2">
        <f t="shared" si="3"/>
        <v>0</v>
      </c>
      <c r="AC46" s="2">
        <f t="shared" si="3"/>
        <v>0</v>
      </c>
      <c r="AD46" s="2">
        <f t="shared" si="3"/>
        <v>0</v>
      </c>
      <c r="AE46" s="2">
        <f t="shared" si="3"/>
        <v>0</v>
      </c>
      <c r="AF46" s="2">
        <f t="shared" si="3"/>
        <v>0</v>
      </c>
      <c r="AG46" s="2">
        <f t="shared" si="3"/>
        <v>0</v>
      </c>
      <c r="AH46" s="2">
        <f t="shared" si="3"/>
        <v>0</v>
      </c>
      <c r="AI46" s="2">
        <f t="shared" si="4"/>
        <v>0</v>
      </c>
      <c r="AJ46" s="2">
        <f t="shared" si="4"/>
        <v>0</v>
      </c>
      <c r="AK46" s="2">
        <f t="shared" si="4"/>
        <v>0</v>
      </c>
      <c r="AL46" s="2">
        <f t="shared" si="4"/>
        <v>0</v>
      </c>
      <c r="AM46" s="2">
        <f t="shared" si="4"/>
        <v>0</v>
      </c>
      <c r="AN46" s="2">
        <f t="shared" si="4"/>
        <v>0</v>
      </c>
      <c r="AO46" s="2">
        <f t="shared" si="4"/>
        <v>0</v>
      </c>
      <c r="AP46" s="2">
        <f t="shared" si="4"/>
        <v>0</v>
      </c>
      <c r="AQ46" s="2">
        <f t="shared" si="4"/>
        <v>0</v>
      </c>
      <c r="AR46" s="2">
        <f t="shared" si="4"/>
        <v>0</v>
      </c>
      <c r="AS46" s="2">
        <f t="shared" si="1"/>
        <v>0</v>
      </c>
      <c r="AT46" s="294"/>
      <c r="AU46" s="294"/>
      <c r="AV46" s="1" t="s">
        <v>522</v>
      </c>
      <c r="AW46" s="25">
        <v>2027</v>
      </c>
      <c r="AX46" s="2">
        <v>0</v>
      </c>
      <c r="AY46" s="2">
        <v>0</v>
      </c>
      <c r="AZ46" s="2">
        <v>0</v>
      </c>
      <c r="BA46" s="2">
        <v>0</v>
      </c>
      <c r="BB46" s="294"/>
      <c r="BC46" s="294"/>
      <c r="BD46" s="1" t="s">
        <v>522</v>
      </c>
      <c r="BE46" s="25">
        <v>2027</v>
      </c>
      <c r="BF46" s="2">
        <v>0</v>
      </c>
      <c r="BG46" s="2">
        <v>0</v>
      </c>
      <c r="BH46" s="2">
        <v>0</v>
      </c>
      <c r="BI46" s="294"/>
      <c r="BJ46" s="294"/>
      <c r="BK46" s="1" t="s">
        <v>522</v>
      </c>
      <c r="BL46" s="25">
        <v>2027</v>
      </c>
      <c r="BM46" s="2">
        <v>0</v>
      </c>
      <c r="BN46" s="2">
        <v>0</v>
      </c>
      <c r="BO46" s="2">
        <v>0</v>
      </c>
      <c r="BP46" s="294"/>
      <c r="BQ46" s="294"/>
      <c r="BR46" s="362" t="str">
        <f>VLOOKUP(BU46,TableInputsData[],6,FALSE)</f>
        <v>XYZ</v>
      </c>
      <c r="BS46" s="598" t="str">
        <f>VLOOKUP(BU46,InputsData!$C$36:$I$67,5,FALSE)</f>
        <v>PRODUCT 01</v>
      </c>
      <c r="BT46" s="1" t="s">
        <v>457</v>
      </c>
      <c r="BU46" s="1" t="s">
        <v>537</v>
      </c>
      <c r="BV46" s="2">
        <v>0</v>
      </c>
      <c r="BW46" s="2">
        <v>0</v>
      </c>
      <c r="BX46" s="2">
        <v>0</v>
      </c>
      <c r="BY46" s="2">
        <v>0</v>
      </c>
      <c r="BZ46" s="2">
        <v>0</v>
      </c>
      <c r="CA46" s="2">
        <v>0</v>
      </c>
      <c r="CB46" s="2">
        <v>0</v>
      </c>
      <c r="CC46" s="2">
        <v>0</v>
      </c>
      <c r="CD46" s="2">
        <v>0</v>
      </c>
      <c r="CE46" s="2">
        <v>0</v>
      </c>
      <c r="CF46" s="2">
        <v>0</v>
      </c>
      <c r="CG46" s="2">
        <v>0</v>
      </c>
      <c r="CH46" s="2">
        <v>0</v>
      </c>
      <c r="CI46" s="2">
        <v>0</v>
      </c>
      <c r="CJ46" s="2">
        <v>0</v>
      </c>
      <c r="CK46" s="2">
        <v>0</v>
      </c>
      <c r="CL46" s="2">
        <v>0</v>
      </c>
      <c r="CM46" s="2">
        <v>0</v>
      </c>
      <c r="CN46" s="2">
        <v>0</v>
      </c>
      <c r="CO46" s="2">
        <v>0</v>
      </c>
      <c r="CP46" s="2">
        <v>0</v>
      </c>
      <c r="CQ46" s="2">
        <v>0</v>
      </c>
      <c r="CR46" s="2">
        <v>0</v>
      </c>
      <c r="CS46" s="2">
        <v>0</v>
      </c>
      <c r="CT46" s="294"/>
    </row>
    <row r="47" spans="1:98" x14ac:dyDescent="0.2">
      <c r="A47" s="294"/>
      <c r="B47" s="204" t="str">
        <f>IF(RIGHT($D47,5)="Total",$B46&amp;" Total",VLOOKUP($D47,TableInputsData[],ReadMe!$M$3,FALSE))</f>
        <v>MARGE BRUTE</v>
      </c>
      <c r="C47" s="294"/>
      <c r="D47" s="1" t="s">
        <v>522</v>
      </c>
      <c r="E47" s="25">
        <v>2028</v>
      </c>
      <c r="F47" s="2">
        <v>0</v>
      </c>
      <c r="G47" s="2">
        <v>0</v>
      </c>
      <c r="H47" s="2">
        <v>0</v>
      </c>
      <c r="I47" s="2">
        <v>0</v>
      </c>
      <c r="J47" s="2">
        <v>0</v>
      </c>
      <c r="K47" s="294"/>
      <c r="L47" s="294"/>
      <c r="M47" s="204" t="str">
        <f t="shared" si="6"/>
        <v>GROSS PROFIT</v>
      </c>
      <c r="N47" s="25">
        <f t="shared" si="5"/>
        <v>2028</v>
      </c>
      <c r="O47" s="2">
        <f t="shared" ref="O47:AL47" si="7">IF(ISERR(GETPIVOTDATA("TOTAL YEAR",$M$13,"YEAR",$N47,"REFERENCE PRODUCT / SERVICE",O$14,"ITEM","REVENUE")),0,GETPIVOTDATA("TOTAL YEAR",$M$13,"YEAR",$N47,"REFERENCE PRODUCT / SERVICE",O$14,"ITEM","REVENUE")-GETPIVOTDATA("TOTAL YEAR",$M$13,"YEAR",$N47,"REFERENCE PRODUCT / SERVICE",O$14,"ITEM","COST OF GOODS SOLD"))</f>
        <v>0</v>
      </c>
      <c r="P47" s="2">
        <f t="shared" si="7"/>
        <v>0</v>
      </c>
      <c r="Q47" s="2">
        <f t="shared" si="7"/>
        <v>0</v>
      </c>
      <c r="R47" s="2">
        <f t="shared" si="7"/>
        <v>0</v>
      </c>
      <c r="S47" s="2">
        <f t="shared" si="7"/>
        <v>0</v>
      </c>
      <c r="T47" s="2">
        <f t="shared" si="7"/>
        <v>0</v>
      </c>
      <c r="U47" s="2">
        <f t="shared" si="7"/>
        <v>0</v>
      </c>
      <c r="V47" s="2">
        <f t="shared" si="7"/>
        <v>0</v>
      </c>
      <c r="W47" s="2">
        <f t="shared" si="7"/>
        <v>0</v>
      </c>
      <c r="X47" s="2">
        <f t="shared" si="7"/>
        <v>0</v>
      </c>
      <c r="Y47" s="2">
        <f t="shared" si="7"/>
        <v>0</v>
      </c>
      <c r="Z47" s="2">
        <f t="shared" si="7"/>
        <v>0</v>
      </c>
      <c r="AA47" s="2">
        <f t="shared" si="7"/>
        <v>0</v>
      </c>
      <c r="AB47" s="2">
        <f t="shared" si="7"/>
        <v>0</v>
      </c>
      <c r="AC47" s="2">
        <f t="shared" si="7"/>
        <v>0</v>
      </c>
      <c r="AD47" s="2">
        <f t="shared" si="7"/>
        <v>0</v>
      </c>
      <c r="AE47" s="2">
        <f t="shared" si="7"/>
        <v>0</v>
      </c>
      <c r="AF47" s="2">
        <f t="shared" si="7"/>
        <v>0</v>
      </c>
      <c r="AG47" s="2">
        <f t="shared" si="7"/>
        <v>0</v>
      </c>
      <c r="AH47" s="2">
        <f t="shared" si="7"/>
        <v>0</v>
      </c>
      <c r="AI47" s="2">
        <f t="shared" si="7"/>
        <v>0</v>
      </c>
      <c r="AJ47" s="2">
        <f t="shared" si="7"/>
        <v>0</v>
      </c>
      <c r="AK47" s="2">
        <f t="shared" si="7"/>
        <v>0</v>
      </c>
      <c r="AL47" s="2">
        <f t="shared" si="7"/>
        <v>0</v>
      </c>
      <c r="AM47" s="2">
        <f t="shared" ref="U47:AR49" si="8">IF(ISERR(GETPIVOTDATA("TOTAL YEAR",$M$13,"YEAR",$N47,"REFERENCE PRODUCT / SERVICE",AM$14,"ITEM","REVENUE")),0,GETPIVOTDATA("TOTAL YEAR",$M$13,"YEAR",$N47,"REFERENCE PRODUCT / SERVICE",AM$14,"ITEM","REVENUE")-GETPIVOTDATA("TOTAL YEAR",$M$13,"YEAR",$N47,"REFERENCE PRODUCT / SERVICE",AM$14,"ITEM","COST OF GOODS SOLD"))</f>
        <v>0</v>
      </c>
      <c r="AN47" s="2">
        <f t="shared" si="8"/>
        <v>0</v>
      </c>
      <c r="AO47" s="2">
        <f t="shared" si="8"/>
        <v>0</v>
      </c>
      <c r="AP47" s="2">
        <f t="shared" si="8"/>
        <v>0</v>
      </c>
      <c r="AQ47" s="2">
        <f t="shared" si="8"/>
        <v>0</v>
      </c>
      <c r="AR47" s="2">
        <f t="shared" si="8"/>
        <v>0</v>
      </c>
      <c r="AS47" s="2">
        <f t="shared" si="1"/>
        <v>0</v>
      </c>
      <c r="AT47" s="294"/>
      <c r="AU47" s="294"/>
      <c r="AV47" s="1" t="s">
        <v>522</v>
      </c>
      <c r="AW47" s="25">
        <v>2028</v>
      </c>
      <c r="AX47" s="2">
        <v>0</v>
      </c>
      <c r="AY47" s="2">
        <v>0</v>
      </c>
      <c r="AZ47" s="2">
        <v>0</v>
      </c>
      <c r="BA47" s="2">
        <v>0</v>
      </c>
      <c r="BB47" s="294"/>
      <c r="BC47" s="294"/>
      <c r="BD47" s="1" t="s">
        <v>522</v>
      </c>
      <c r="BE47" s="25">
        <v>2028</v>
      </c>
      <c r="BF47" s="2">
        <v>0</v>
      </c>
      <c r="BG47" s="2">
        <v>0</v>
      </c>
      <c r="BH47" s="2">
        <v>0</v>
      </c>
      <c r="BI47" s="294"/>
      <c r="BJ47" s="294"/>
      <c r="BK47" s="1" t="s">
        <v>522</v>
      </c>
      <c r="BL47" s="25">
        <v>2028</v>
      </c>
      <c r="BM47" s="2">
        <v>0</v>
      </c>
      <c r="BN47" s="2">
        <v>0</v>
      </c>
      <c r="BO47" s="2">
        <v>0</v>
      </c>
      <c r="BP47" s="294"/>
      <c r="BQ47" s="294"/>
      <c r="BR47" s="362" t="str">
        <f>VLOOKUP(BU47,TableInputsData[],6,FALSE)</f>
        <v>ABC</v>
      </c>
      <c r="BS47" s="598" t="str">
        <f>VLOOKUP(BU47,InputsData!$C$36:$I$67,5,FALSE)</f>
        <v>PRODUCT 02</v>
      </c>
      <c r="BT47" s="1" t="s">
        <v>457</v>
      </c>
      <c r="BU47" s="1" t="s">
        <v>538</v>
      </c>
      <c r="BV47" s="2">
        <v>0</v>
      </c>
      <c r="BW47" s="2">
        <v>0</v>
      </c>
      <c r="BX47" s="2">
        <v>0</v>
      </c>
      <c r="BY47" s="2">
        <v>0</v>
      </c>
      <c r="BZ47" s="2">
        <v>0</v>
      </c>
      <c r="CA47" s="2">
        <v>0</v>
      </c>
      <c r="CB47" s="2">
        <v>0</v>
      </c>
      <c r="CC47" s="2">
        <v>0</v>
      </c>
      <c r="CD47" s="2">
        <v>0</v>
      </c>
      <c r="CE47" s="2">
        <v>0</v>
      </c>
      <c r="CF47" s="2">
        <v>0</v>
      </c>
      <c r="CG47" s="2">
        <v>0</v>
      </c>
      <c r="CH47" s="2">
        <v>0</v>
      </c>
      <c r="CI47" s="2">
        <v>0</v>
      </c>
      <c r="CJ47" s="2">
        <v>0</v>
      </c>
      <c r="CK47" s="2">
        <v>0</v>
      </c>
      <c r="CL47" s="2">
        <v>0</v>
      </c>
      <c r="CM47" s="2">
        <v>0</v>
      </c>
      <c r="CN47" s="2">
        <v>0</v>
      </c>
      <c r="CO47" s="2">
        <v>0</v>
      </c>
      <c r="CP47" s="2">
        <v>0</v>
      </c>
      <c r="CQ47" s="2">
        <v>0</v>
      </c>
      <c r="CR47" s="2">
        <v>0</v>
      </c>
      <c r="CS47" s="2">
        <v>0</v>
      </c>
      <c r="CT47" s="294"/>
    </row>
    <row r="48" spans="1:98" x14ac:dyDescent="0.2">
      <c r="A48" s="294"/>
      <c r="B48" s="204" t="str">
        <f>IF(RIGHT($D48,5)="Total",$B47&amp;" Total",VLOOKUP($D48,TableInputsData[],ReadMe!$M$3,FALSE))</f>
        <v>MARGE BRUTE</v>
      </c>
      <c r="C48" s="294"/>
      <c r="D48" s="1" t="s">
        <v>522</v>
      </c>
      <c r="E48" s="25">
        <v>2029</v>
      </c>
      <c r="F48" s="2">
        <v>0</v>
      </c>
      <c r="G48" s="2">
        <v>0</v>
      </c>
      <c r="H48" s="2">
        <v>0</v>
      </c>
      <c r="I48" s="2">
        <v>0</v>
      </c>
      <c r="J48" s="2">
        <v>0</v>
      </c>
      <c r="K48" s="294"/>
      <c r="L48" s="294"/>
      <c r="M48" s="204" t="str">
        <f t="shared" si="6"/>
        <v>GROSS PROFIT</v>
      </c>
      <c r="N48" s="25">
        <f t="shared" si="5"/>
        <v>2029</v>
      </c>
      <c r="O48" s="2">
        <f t="shared" ref="O48:T49" si="9">IF(ISERR(GETPIVOTDATA("TOTAL YEAR",$M$13,"YEAR",$N48,"REFERENCE PRODUCT / SERVICE",O$14,"ITEM","REVENUE")),0,GETPIVOTDATA("TOTAL YEAR",$M$13,"YEAR",$N48,"REFERENCE PRODUCT / SERVICE",O$14,"ITEM","REVENUE")-GETPIVOTDATA("TOTAL YEAR",$M$13,"YEAR",$N48,"REFERENCE PRODUCT / SERVICE",O$14,"ITEM","COST OF GOODS SOLD"))</f>
        <v>0</v>
      </c>
      <c r="P48" s="2">
        <f t="shared" si="9"/>
        <v>0</v>
      </c>
      <c r="Q48" s="2">
        <f t="shared" si="9"/>
        <v>0</v>
      </c>
      <c r="R48" s="2">
        <f t="shared" si="9"/>
        <v>0</v>
      </c>
      <c r="S48" s="2">
        <f t="shared" si="9"/>
        <v>0</v>
      </c>
      <c r="T48" s="2">
        <f t="shared" si="9"/>
        <v>0</v>
      </c>
      <c r="U48" s="2">
        <f t="shared" si="8"/>
        <v>0</v>
      </c>
      <c r="V48" s="2">
        <f t="shared" si="8"/>
        <v>0</v>
      </c>
      <c r="W48" s="2">
        <f t="shared" si="8"/>
        <v>0</v>
      </c>
      <c r="X48" s="2">
        <f t="shared" si="8"/>
        <v>0</v>
      </c>
      <c r="Y48" s="2">
        <f t="shared" si="8"/>
        <v>0</v>
      </c>
      <c r="Z48" s="2">
        <f t="shared" si="8"/>
        <v>0</v>
      </c>
      <c r="AA48" s="2">
        <f t="shared" si="8"/>
        <v>0</v>
      </c>
      <c r="AB48" s="2">
        <f t="shared" si="8"/>
        <v>0</v>
      </c>
      <c r="AC48" s="2">
        <f t="shared" si="8"/>
        <v>0</v>
      </c>
      <c r="AD48" s="2">
        <f t="shared" si="8"/>
        <v>0</v>
      </c>
      <c r="AE48" s="2">
        <f t="shared" si="8"/>
        <v>0</v>
      </c>
      <c r="AF48" s="2">
        <f t="shared" si="8"/>
        <v>0</v>
      </c>
      <c r="AG48" s="2">
        <f t="shared" si="8"/>
        <v>0</v>
      </c>
      <c r="AH48" s="2">
        <f t="shared" si="8"/>
        <v>0</v>
      </c>
      <c r="AI48" s="2">
        <f t="shared" si="8"/>
        <v>0</v>
      </c>
      <c r="AJ48" s="2">
        <f t="shared" si="8"/>
        <v>0</v>
      </c>
      <c r="AK48" s="2">
        <f t="shared" si="8"/>
        <v>0</v>
      </c>
      <c r="AL48" s="2">
        <f t="shared" si="8"/>
        <v>0</v>
      </c>
      <c r="AM48" s="2">
        <f t="shared" si="8"/>
        <v>0</v>
      </c>
      <c r="AN48" s="2">
        <f t="shared" si="8"/>
        <v>0</v>
      </c>
      <c r="AO48" s="2">
        <f t="shared" si="8"/>
        <v>0</v>
      </c>
      <c r="AP48" s="2">
        <f t="shared" si="8"/>
        <v>0</v>
      </c>
      <c r="AQ48" s="2">
        <f t="shared" si="8"/>
        <v>0</v>
      </c>
      <c r="AR48" s="2">
        <f t="shared" si="8"/>
        <v>0</v>
      </c>
      <c r="AS48" s="2">
        <f t="shared" si="1"/>
        <v>0</v>
      </c>
      <c r="AT48" s="294"/>
      <c r="AU48" s="294"/>
      <c r="AV48" s="1" t="s">
        <v>522</v>
      </c>
      <c r="AW48" s="25">
        <v>2029</v>
      </c>
      <c r="AX48" s="2">
        <v>0</v>
      </c>
      <c r="AY48" s="2">
        <v>0</v>
      </c>
      <c r="AZ48" s="2">
        <v>0</v>
      </c>
      <c r="BA48" s="2">
        <v>0</v>
      </c>
      <c r="BB48" s="294"/>
      <c r="BC48" s="294"/>
      <c r="BD48" s="1" t="s">
        <v>522</v>
      </c>
      <c r="BE48" s="25">
        <v>2029</v>
      </c>
      <c r="BF48" s="2">
        <v>0</v>
      </c>
      <c r="BG48" s="2">
        <v>0</v>
      </c>
      <c r="BH48" s="2">
        <v>0</v>
      </c>
      <c r="BI48" s="294"/>
      <c r="BJ48" s="294"/>
      <c r="BK48" s="1" t="s">
        <v>522</v>
      </c>
      <c r="BL48" s="25">
        <v>2029</v>
      </c>
      <c r="BM48" s="2">
        <v>0</v>
      </c>
      <c r="BN48" s="2">
        <v>0</v>
      </c>
      <c r="BO48" s="2">
        <v>0</v>
      </c>
      <c r="BP48" s="294"/>
      <c r="BQ48" s="294"/>
      <c r="BR48" s="362" t="str">
        <f>VLOOKUP(BU48,TableInputsData[],6,FALSE)</f>
        <v>-</v>
      </c>
      <c r="BS48" s="598" t="str">
        <f>VLOOKUP(BU48,InputsData!$C$36:$I$67,5,FALSE)</f>
        <v>PRODUCT 03</v>
      </c>
      <c r="BT48" s="1" t="s">
        <v>457</v>
      </c>
      <c r="BU48" s="1" t="s">
        <v>539</v>
      </c>
      <c r="BV48" s="2">
        <v>0</v>
      </c>
      <c r="BW48" s="2">
        <v>0</v>
      </c>
      <c r="BX48" s="2">
        <v>0</v>
      </c>
      <c r="BY48" s="2">
        <v>0</v>
      </c>
      <c r="BZ48" s="2">
        <v>0</v>
      </c>
      <c r="CA48" s="2">
        <v>0</v>
      </c>
      <c r="CB48" s="2">
        <v>0</v>
      </c>
      <c r="CC48" s="2">
        <v>0</v>
      </c>
      <c r="CD48" s="2">
        <v>0</v>
      </c>
      <c r="CE48" s="2">
        <v>0</v>
      </c>
      <c r="CF48" s="2">
        <v>0</v>
      </c>
      <c r="CG48" s="2">
        <v>0</v>
      </c>
      <c r="CH48" s="2">
        <v>0</v>
      </c>
      <c r="CI48" s="2">
        <v>0</v>
      </c>
      <c r="CJ48" s="2">
        <v>0</v>
      </c>
      <c r="CK48" s="2">
        <v>0</v>
      </c>
      <c r="CL48" s="2">
        <v>0</v>
      </c>
      <c r="CM48" s="2">
        <v>0</v>
      </c>
      <c r="CN48" s="2">
        <v>0</v>
      </c>
      <c r="CO48" s="2">
        <v>0</v>
      </c>
      <c r="CP48" s="2">
        <v>0</v>
      </c>
      <c r="CQ48" s="2">
        <v>0</v>
      </c>
      <c r="CR48" s="2">
        <v>0</v>
      </c>
      <c r="CS48" s="2">
        <v>0</v>
      </c>
      <c r="CT48" s="294"/>
    </row>
    <row r="49" spans="1:98" x14ac:dyDescent="0.2">
      <c r="A49" s="294"/>
      <c r="B49" s="204" t="str">
        <f>IF(RIGHT($D49,5)="Total",$B48&amp;" Total",VLOOKUP($D49,TableInputsData[],ReadMe!$M$3,FALSE))</f>
        <v>MARGE BRUTE</v>
      </c>
      <c r="C49" s="294"/>
      <c r="D49" s="1" t="s">
        <v>522</v>
      </c>
      <c r="E49" s="25">
        <v>2030</v>
      </c>
      <c r="F49" s="2">
        <v>0</v>
      </c>
      <c r="G49" s="2">
        <v>0</v>
      </c>
      <c r="H49" s="2">
        <v>0</v>
      </c>
      <c r="I49" s="2">
        <v>0</v>
      </c>
      <c r="J49" s="2">
        <v>0</v>
      </c>
      <c r="K49" s="294"/>
      <c r="L49" s="294"/>
      <c r="M49" s="204" t="str">
        <f t="shared" si="6"/>
        <v>GROSS PROFIT</v>
      </c>
      <c r="N49" s="25">
        <f t="shared" si="5"/>
        <v>2030</v>
      </c>
      <c r="O49" s="2">
        <f t="shared" si="9"/>
        <v>0</v>
      </c>
      <c r="P49" s="2">
        <f t="shared" si="9"/>
        <v>0</v>
      </c>
      <c r="Q49" s="2">
        <f t="shared" si="9"/>
        <v>0</v>
      </c>
      <c r="R49" s="2">
        <f t="shared" si="9"/>
        <v>0</v>
      </c>
      <c r="S49" s="2">
        <f t="shared" si="9"/>
        <v>0</v>
      </c>
      <c r="T49" s="2">
        <f t="shared" si="9"/>
        <v>0</v>
      </c>
      <c r="U49" s="2">
        <f t="shared" si="8"/>
        <v>0</v>
      </c>
      <c r="V49" s="2">
        <f t="shared" si="8"/>
        <v>0</v>
      </c>
      <c r="W49" s="2">
        <f t="shared" si="8"/>
        <v>0</v>
      </c>
      <c r="X49" s="2">
        <f t="shared" si="8"/>
        <v>0</v>
      </c>
      <c r="Y49" s="2">
        <f t="shared" si="8"/>
        <v>0</v>
      </c>
      <c r="Z49" s="2">
        <f t="shared" si="8"/>
        <v>0</v>
      </c>
      <c r="AA49" s="2">
        <f t="shared" si="8"/>
        <v>0</v>
      </c>
      <c r="AB49" s="2">
        <f t="shared" si="8"/>
        <v>0</v>
      </c>
      <c r="AC49" s="2">
        <f t="shared" si="8"/>
        <v>0</v>
      </c>
      <c r="AD49" s="2">
        <f t="shared" si="8"/>
        <v>0</v>
      </c>
      <c r="AE49" s="2">
        <f t="shared" si="8"/>
        <v>0</v>
      </c>
      <c r="AF49" s="2">
        <f t="shared" si="8"/>
        <v>0</v>
      </c>
      <c r="AG49" s="2">
        <f t="shared" si="8"/>
        <v>0</v>
      </c>
      <c r="AH49" s="2">
        <f t="shared" si="8"/>
        <v>0</v>
      </c>
      <c r="AI49" s="2">
        <f t="shared" si="8"/>
        <v>0</v>
      </c>
      <c r="AJ49" s="2">
        <f t="shared" si="8"/>
        <v>0</v>
      </c>
      <c r="AK49" s="2">
        <f t="shared" si="8"/>
        <v>0</v>
      </c>
      <c r="AL49" s="2">
        <f t="shared" si="8"/>
        <v>0</v>
      </c>
      <c r="AM49" s="2">
        <f t="shared" si="8"/>
        <v>0</v>
      </c>
      <c r="AN49" s="2">
        <f t="shared" si="8"/>
        <v>0</v>
      </c>
      <c r="AO49" s="2">
        <f t="shared" si="8"/>
        <v>0</v>
      </c>
      <c r="AP49" s="2">
        <f t="shared" si="8"/>
        <v>0</v>
      </c>
      <c r="AQ49" s="2">
        <f t="shared" si="8"/>
        <v>0</v>
      </c>
      <c r="AR49" s="2">
        <f t="shared" si="8"/>
        <v>0</v>
      </c>
      <c r="AS49" s="2">
        <f t="shared" si="1"/>
        <v>0</v>
      </c>
      <c r="AT49" s="294"/>
      <c r="AU49" s="294"/>
      <c r="AV49" s="1" t="s">
        <v>522</v>
      </c>
      <c r="AW49" s="25">
        <v>2030</v>
      </c>
      <c r="AX49" s="2">
        <v>0</v>
      </c>
      <c r="AY49" s="2">
        <v>0</v>
      </c>
      <c r="AZ49" s="2">
        <v>0</v>
      </c>
      <c r="BA49" s="2">
        <v>0</v>
      </c>
      <c r="BB49" s="294"/>
      <c r="BC49" s="294"/>
      <c r="BD49" s="1" t="s">
        <v>522</v>
      </c>
      <c r="BE49" s="25">
        <v>2030</v>
      </c>
      <c r="BF49" s="2">
        <v>0</v>
      </c>
      <c r="BG49" s="2">
        <v>0</v>
      </c>
      <c r="BH49" s="2">
        <v>0</v>
      </c>
      <c r="BI49" s="294"/>
      <c r="BJ49" s="294"/>
      <c r="BK49" s="1" t="s">
        <v>522</v>
      </c>
      <c r="BL49" s="25">
        <v>2030</v>
      </c>
      <c r="BM49" s="2">
        <v>0</v>
      </c>
      <c r="BN49" s="2">
        <v>0</v>
      </c>
      <c r="BO49" s="2">
        <v>0</v>
      </c>
      <c r="BP49" s="294"/>
      <c r="BQ49" s="294"/>
      <c r="BR49" s="362" t="str">
        <f>VLOOKUP(BU49,TableInputsData[],6,FALSE)</f>
        <v>-</v>
      </c>
      <c r="BS49" s="598" t="str">
        <f>VLOOKUP(BU49,InputsData!$C$36:$I$67,5,FALSE)</f>
        <v>PRODUCT 04</v>
      </c>
      <c r="BT49" s="1" t="s">
        <v>457</v>
      </c>
      <c r="BU49" s="1" t="s">
        <v>540</v>
      </c>
      <c r="BV49" s="2">
        <v>0</v>
      </c>
      <c r="BW49" s="2">
        <v>0</v>
      </c>
      <c r="BX49" s="2">
        <v>0</v>
      </c>
      <c r="BY49" s="2">
        <v>0</v>
      </c>
      <c r="BZ49" s="2">
        <v>0</v>
      </c>
      <c r="CA49" s="2">
        <v>0</v>
      </c>
      <c r="CB49" s="2">
        <v>0</v>
      </c>
      <c r="CC49" s="2">
        <v>0</v>
      </c>
      <c r="CD49" s="2">
        <v>0</v>
      </c>
      <c r="CE49" s="2">
        <v>0</v>
      </c>
      <c r="CF49" s="2">
        <v>0</v>
      </c>
      <c r="CG49" s="2">
        <v>0</v>
      </c>
      <c r="CH49" s="2">
        <v>0</v>
      </c>
      <c r="CI49" s="2">
        <v>0</v>
      </c>
      <c r="CJ49" s="2">
        <v>0</v>
      </c>
      <c r="CK49" s="2">
        <v>0</v>
      </c>
      <c r="CL49" s="2">
        <v>0</v>
      </c>
      <c r="CM49" s="2">
        <v>0</v>
      </c>
      <c r="CN49" s="2">
        <v>0</v>
      </c>
      <c r="CO49" s="2">
        <v>0</v>
      </c>
      <c r="CP49" s="2">
        <v>0</v>
      </c>
      <c r="CQ49" s="2">
        <v>0</v>
      </c>
      <c r="CR49" s="2">
        <v>0</v>
      </c>
      <c r="CS49" s="2">
        <v>0</v>
      </c>
      <c r="CT49" s="294"/>
    </row>
    <row r="50" spans="1:98" x14ac:dyDescent="0.2">
      <c r="A50" s="294"/>
      <c r="B50" s="358" t="str">
        <f>IF(RIGHT($D50,5)="Total",$B49&amp;" Total",VLOOKUP($D50,TableInputsData[],ReadMe!$M$3,FALSE))</f>
        <v>MARGE BRUTE Total</v>
      </c>
      <c r="C50" s="294"/>
      <c r="D50" s="151" t="s">
        <v>523</v>
      </c>
      <c r="E50" s="151"/>
      <c r="F50" s="346">
        <v>0</v>
      </c>
      <c r="G50" s="346">
        <v>0</v>
      </c>
      <c r="H50" s="346">
        <v>0</v>
      </c>
      <c r="I50" s="346">
        <v>0</v>
      </c>
      <c r="J50" s="346">
        <v>0</v>
      </c>
      <c r="K50" s="294"/>
      <c r="L50" s="294"/>
      <c r="M50" s="348" t="str">
        <f>D50</f>
        <v>GROSS PROFIT Total</v>
      </c>
      <c r="N50" s="348"/>
      <c r="O50" s="349">
        <f t="shared" ref="O50:AR50" si="10">IF(ISERR(GETPIVOTDATA("TOTAL YEAR",$M$13,"REFERENCE PRODUCT / SERVICE",O$14,"ITEM","REVENUE")),0,GETPIVOTDATA("TOTAL YEAR",$M$13,"REFERENCE PRODUCT / SERVICE",O$14,"ITEM","REVENUE")-GETPIVOTDATA("TOTAL YEAR",$M$13,"REFERENCE PRODUCT / SERVICE",O$14,"ITEM","COST OF GOODS SOLD"))</f>
        <v>0</v>
      </c>
      <c r="P50" s="349">
        <f t="shared" si="10"/>
        <v>0</v>
      </c>
      <c r="Q50" s="349">
        <f t="shared" si="10"/>
        <v>0</v>
      </c>
      <c r="R50" s="349">
        <f t="shared" si="10"/>
        <v>0</v>
      </c>
      <c r="S50" s="349">
        <f t="shared" si="10"/>
        <v>0</v>
      </c>
      <c r="T50" s="349">
        <f t="shared" si="10"/>
        <v>0</v>
      </c>
      <c r="U50" s="349">
        <f t="shared" si="10"/>
        <v>0</v>
      </c>
      <c r="V50" s="349">
        <f t="shared" si="10"/>
        <v>0</v>
      </c>
      <c r="W50" s="349">
        <f t="shared" si="10"/>
        <v>0</v>
      </c>
      <c r="X50" s="349">
        <f t="shared" si="10"/>
        <v>0</v>
      </c>
      <c r="Y50" s="349">
        <f t="shared" si="10"/>
        <v>0</v>
      </c>
      <c r="Z50" s="349">
        <f t="shared" si="10"/>
        <v>0</v>
      </c>
      <c r="AA50" s="349">
        <f t="shared" si="10"/>
        <v>0</v>
      </c>
      <c r="AB50" s="349">
        <f t="shared" si="10"/>
        <v>0</v>
      </c>
      <c r="AC50" s="349">
        <f t="shared" si="10"/>
        <v>0</v>
      </c>
      <c r="AD50" s="349">
        <f t="shared" si="10"/>
        <v>0</v>
      </c>
      <c r="AE50" s="349">
        <f t="shared" si="10"/>
        <v>0</v>
      </c>
      <c r="AF50" s="349">
        <f t="shared" si="10"/>
        <v>0</v>
      </c>
      <c r="AG50" s="349">
        <f t="shared" si="10"/>
        <v>0</v>
      </c>
      <c r="AH50" s="349">
        <f t="shared" si="10"/>
        <v>0</v>
      </c>
      <c r="AI50" s="349">
        <f t="shared" si="10"/>
        <v>0</v>
      </c>
      <c r="AJ50" s="349">
        <f t="shared" si="10"/>
        <v>0</v>
      </c>
      <c r="AK50" s="349">
        <f t="shared" si="10"/>
        <v>0</v>
      </c>
      <c r="AL50" s="349">
        <f t="shared" si="10"/>
        <v>0</v>
      </c>
      <c r="AM50" s="349">
        <f t="shared" si="10"/>
        <v>0</v>
      </c>
      <c r="AN50" s="349">
        <f t="shared" si="10"/>
        <v>0</v>
      </c>
      <c r="AO50" s="349">
        <f t="shared" si="10"/>
        <v>0</v>
      </c>
      <c r="AP50" s="349">
        <f t="shared" si="10"/>
        <v>0</v>
      </c>
      <c r="AQ50" s="349">
        <f t="shared" si="10"/>
        <v>0</v>
      </c>
      <c r="AR50" s="349">
        <f t="shared" si="10"/>
        <v>0</v>
      </c>
      <c r="AS50" s="347">
        <f t="shared" si="1"/>
        <v>0</v>
      </c>
      <c r="AT50" s="294"/>
      <c r="AU50" s="294"/>
      <c r="AV50" s="151" t="s">
        <v>523</v>
      </c>
      <c r="AW50" s="151"/>
      <c r="AX50" s="346">
        <v>0</v>
      </c>
      <c r="AY50" s="346">
        <v>0</v>
      </c>
      <c r="AZ50" s="346">
        <v>0</v>
      </c>
      <c r="BA50" s="346">
        <v>0</v>
      </c>
      <c r="BB50" s="294"/>
      <c r="BC50" s="294"/>
      <c r="BD50" s="151" t="s">
        <v>523</v>
      </c>
      <c r="BE50" s="151"/>
      <c r="BF50" s="346">
        <v>0</v>
      </c>
      <c r="BG50" s="346">
        <v>0</v>
      </c>
      <c r="BH50" s="346">
        <v>0</v>
      </c>
      <c r="BI50" s="294"/>
      <c r="BJ50" s="294"/>
      <c r="BK50" s="151" t="s">
        <v>523</v>
      </c>
      <c r="BL50" s="151"/>
      <c r="BM50" s="346">
        <v>0</v>
      </c>
      <c r="BN50" s="346">
        <v>0</v>
      </c>
      <c r="BO50" s="346">
        <v>0</v>
      </c>
      <c r="BP50" s="294"/>
      <c r="BQ50" s="294"/>
      <c r="BR50" s="362" t="str">
        <f>VLOOKUP(BU50,TableInputsData[],6,FALSE)</f>
        <v>-</v>
      </c>
      <c r="BS50" s="598" t="str">
        <f>VLOOKUP(BU50,InputsData!$C$36:$I$67,5,FALSE)</f>
        <v>PRODUCT 05</v>
      </c>
      <c r="BT50" s="1" t="s">
        <v>457</v>
      </c>
      <c r="BU50" s="1" t="s">
        <v>541</v>
      </c>
      <c r="BV50" s="2">
        <v>0</v>
      </c>
      <c r="BW50" s="2">
        <v>0</v>
      </c>
      <c r="BX50" s="2">
        <v>0</v>
      </c>
      <c r="BY50" s="2">
        <v>0</v>
      </c>
      <c r="BZ50" s="2">
        <v>0</v>
      </c>
      <c r="CA50" s="2">
        <v>0</v>
      </c>
      <c r="CB50" s="2">
        <v>0</v>
      </c>
      <c r="CC50" s="2">
        <v>0</v>
      </c>
      <c r="CD50" s="2">
        <v>0</v>
      </c>
      <c r="CE50" s="2">
        <v>0</v>
      </c>
      <c r="CF50" s="2">
        <v>0</v>
      </c>
      <c r="CG50" s="2">
        <v>0</v>
      </c>
      <c r="CH50" s="2">
        <v>0</v>
      </c>
      <c r="CI50" s="2">
        <v>0</v>
      </c>
      <c r="CJ50" s="2">
        <v>0</v>
      </c>
      <c r="CK50" s="2">
        <v>0</v>
      </c>
      <c r="CL50" s="2">
        <v>0</v>
      </c>
      <c r="CM50" s="2">
        <v>0</v>
      </c>
      <c r="CN50" s="2">
        <v>0</v>
      </c>
      <c r="CO50" s="2">
        <v>0</v>
      </c>
      <c r="CP50" s="2">
        <v>0</v>
      </c>
      <c r="CQ50" s="2">
        <v>0</v>
      </c>
      <c r="CR50" s="2">
        <v>0</v>
      </c>
      <c r="CS50" s="2">
        <v>0</v>
      </c>
      <c r="CT50" s="294"/>
    </row>
    <row r="51" spans="1:98" x14ac:dyDescent="0.2">
      <c r="A51" s="294"/>
      <c r="B51" s="204" t="str">
        <f>IF(RIGHT($D51,5)="Total",$B50&amp;" Total",VLOOKUP($D51,TableInputsData[],ReadMe!$M$3,FALSE))</f>
        <v>MARGE BRUTE %</v>
      </c>
      <c r="C51" s="294"/>
      <c r="D51" s="1" t="s">
        <v>524</v>
      </c>
      <c r="E51" s="25">
        <v>2023</v>
      </c>
      <c r="F51" s="356">
        <v>0</v>
      </c>
      <c r="G51" s="356">
        <v>0</v>
      </c>
      <c r="H51" s="356">
        <v>0</v>
      </c>
      <c r="I51" s="356">
        <v>0</v>
      </c>
      <c r="J51" s="356">
        <v>0</v>
      </c>
      <c r="K51" s="294"/>
      <c r="L51" s="294"/>
      <c r="M51" s="204" t="s">
        <v>524</v>
      </c>
      <c r="N51" s="25">
        <f>N15</f>
        <v>2023</v>
      </c>
      <c r="O51" s="350">
        <f t="shared" ref="O51:T58" si="11">IF(ISERR(GETPIVOTDATA("TOTAL YEAR",$M$13,"YEAR",$N51,"REFERENCE PRODUCT / SERVICE",O$14,"ITEM","REVENUE")),0,IF(GETPIVOTDATA("TOTAL YEAR",$M$13,"YEAR",$N51,"REFERENCE PRODUCT / SERVICE",O$14,"ITEM","REVENUE")=0,0,O42/GETPIVOTDATA("TOTAL YEAR",$M$13,"YEAR",$N51,"REFERENCE PRODUCT / SERVICE",O$14,"ITEM","REVENUE")))</f>
        <v>0</v>
      </c>
      <c r="P51" s="350">
        <f t="shared" si="11"/>
        <v>0</v>
      </c>
      <c r="Q51" s="350">
        <f t="shared" si="11"/>
        <v>0</v>
      </c>
      <c r="R51" s="350">
        <f t="shared" si="11"/>
        <v>0</v>
      </c>
      <c r="S51" s="350">
        <f t="shared" si="11"/>
        <v>0</v>
      </c>
      <c r="T51" s="350">
        <f t="shared" si="11"/>
        <v>0</v>
      </c>
      <c r="U51" s="350">
        <f t="shared" ref="U51:AR51" si="12">IF(ISERR(GETPIVOTDATA("TOTAL YEAR",$M$13,"YEAR",$N51,"REFERENCE PRODUCT / SERVICE",U$14,"ITEM","REVENUE")),0,IF(GETPIVOTDATA("TOTAL YEAR",$M$13,"YEAR",$N51,"REFERENCE PRODUCT / SERVICE",U$14,"ITEM","REVENUE")=0,0,U42/GETPIVOTDATA("TOTAL YEAR",$M$13,"YEAR",$N51,"REFERENCE PRODUCT / SERVICE",U$14,"ITEM","REVENUE")))</f>
        <v>0</v>
      </c>
      <c r="V51" s="350">
        <f t="shared" si="12"/>
        <v>0</v>
      </c>
      <c r="W51" s="350">
        <f t="shared" si="12"/>
        <v>0</v>
      </c>
      <c r="X51" s="350">
        <f t="shared" si="12"/>
        <v>0</v>
      </c>
      <c r="Y51" s="350">
        <f t="shared" si="12"/>
        <v>0</v>
      </c>
      <c r="Z51" s="350">
        <f t="shared" si="12"/>
        <v>0</v>
      </c>
      <c r="AA51" s="350">
        <f t="shared" si="12"/>
        <v>0</v>
      </c>
      <c r="AB51" s="350">
        <f t="shared" si="12"/>
        <v>0</v>
      </c>
      <c r="AC51" s="350">
        <f t="shared" si="12"/>
        <v>0</v>
      </c>
      <c r="AD51" s="350">
        <f t="shared" si="12"/>
        <v>0</v>
      </c>
      <c r="AE51" s="350">
        <f t="shared" si="12"/>
        <v>0</v>
      </c>
      <c r="AF51" s="350">
        <f t="shared" si="12"/>
        <v>0</v>
      </c>
      <c r="AG51" s="350">
        <f t="shared" si="12"/>
        <v>0</v>
      </c>
      <c r="AH51" s="350">
        <f t="shared" si="12"/>
        <v>0</v>
      </c>
      <c r="AI51" s="350">
        <f t="shared" si="12"/>
        <v>0</v>
      </c>
      <c r="AJ51" s="350">
        <f t="shared" si="12"/>
        <v>0</v>
      </c>
      <c r="AK51" s="350">
        <f t="shared" si="12"/>
        <v>0</v>
      </c>
      <c r="AL51" s="350">
        <f t="shared" si="12"/>
        <v>0</v>
      </c>
      <c r="AM51" s="350">
        <f t="shared" si="12"/>
        <v>0</v>
      </c>
      <c r="AN51" s="350">
        <f t="shared" si="12"/>
        <v>0</v>
      </c>
      <c r="AO51" s="350">
        <f t="shared" si="12"/>
        <v>0</v>
      </c>
      <c r="AP51" s="350">
        <f t="shared" si="12"/>
        <v>0</v>
      </c>
      <c r="AQ51" s="350">
        <f t="shared" si="12"/>
        <v>0</v>
      </c>
      <c r="AR51" s="350">
        <f t="shared" si="12"/>
        <v>0</v>
      </c>
      <c r="AS51" s="350">
        <f>IF(AS24=0,0,AS42/AS24)</f>
        <v>0</v>
      </c>
      <c r="AT51" s="294"/>
      <c r="AU51" s="294"/>
      <c r="AV51" s="1" t="s">
        <v>524</v>
      </c>
      <c r="AW51" s="25">
        <v>2023</v>
      </c>
      <c r="AX51" s="356">
        <v>0</v>
      </c>
      <c r="AY51" s="356">
        <v>0</v>
      </c>
      <c r="AZ51" s="356">
        <v>0</v>
      </c>
      <c r="BA51" s="356">
        <v>0</v>
      </c>
      <c r="BB51" s="294"/>
      <c r="BC51" s="294"/>
      <c r="BD51" s="1" t="s">
        <v>524</v>
      </c>
      <c r="BE51" s="25">
        <v>2023</v>
      </c>
      <c r="BF51" s="356">
        <v>0</v>
      </c>
      <c r="BG51" s="356">
        <v>0</v>
      </c>
      <c r="BH51" s="356">
        <v>0</v>
      </c>
      <c r="BI51" s="294"/>
      <c r="BJ51" s="294"/>
      <c r="BK51" s="1" t="s">
        <v>524</v>
      </c>
      <c r="BL51" s="25">
        <v>2023</v>
      </c>
      <c r="BM51" s="356">
        <v>0</v>
      </c>
      <c r="BN51" s="356">
        <v>0</v>
      </c>
      <c r="BO51" s="356">
        <v>0</v>
      </c>
      <c r="BP51" s="294"/>
      <c r="BQ51" s="294"/>
      <c r="BR51" s="362" t="str">
        <f>VLOOKUP(BU51,TableInputsData[],6,FALSE)</f>
        <v>-</v>
      </c>
      <c r="BS51" s="598" t="str">
        <f>VLOOKUP(BU51,InputsData!$C$36:$I$67,5,FALSE)</f>
        <v>PRODUCT 06</v>
      </c>
      <c r="BT51" s="1" t="s">
        <v>457</v>
      </c>
      <c r="BU51" s="1" t="s">
        <v>542</v>
      </c>
      <c r="BV51" s="2">
        <v>0</v>
      </c>
      <c r="BW51" s="2">
        <v>0</v>
      </c>
      <c r="BX51" s="2">
        <v>0</v>
      </c>
      <c r="BY51" s="2">
        <v>0</v>
      </c>
      <c r="BZ51" s="2">
        <v>0</v>
      </c>
      <c r="CA51" s="2">
        <v>0</v>
      </c>
      <c r="CB51" s="2">
        <v>0</v>
      </c>
      <c r="CC51" s="2">
        <v>0</v>
      </c>
      <c r="CD51" s="2">
        <v>0</v>
      </c>
      <c r="CE51" s="2">
        <v>0</v>
      </c>
      <c r="CF51" s="2">
        <v>0</v>
      </c>
      <c r="CG51" s="2">
        <v>0</v>
      </c>
      <c r="CH51" s="2">
        <v>0</v>
      </c>
      <c r="CI51" s="2">
        <v>0</v>
      </c>
      <c r="CJ51" s="2">
        <v>0</v>
      </c>
      <c r="CK51" s="2">
        <v>0</v>
      </c>
      <c r="CL51" s="2">
        <v>0</v>
      </c>
      <c r="CM51" s="2">
        <v>0</v>
      </c>
      <c r="CN51" s="2">
        <v>0</v>
      </c>
      <c r="CO51" s="2">
        <v>0</v>
      </c>
      <c r="CP51" s="2">
        <v>0</v>
      </c>
      <c r="CQ51" s="2">
        <v>0</v>
      </c>
      <c r="CR51" s="2">
        <v>0</v>
      </c>
      <c r="CS51" s="2">
        <v>0</v>
      </c>
      <c r="CT51" s="294"/>
    </row>
    <row r="52" spans="1:98" x14ac:dyDescent="0.2">
      <c r="A52" s="294"/>
      <c r="B52" s="204" t="str">
        <f>IF(RIGHT($D52,5)="Total",$B51&amp;" Total",VLOOKUP($D52,TableInputsData[],ReadMe!$M$3,FALSE))</f>
        <v>MARGE BRUTE %</v>
      </c>
      <c r="C52" s="294"/>
      <c r="D52" s="1" t="s">
        <v>524</v>
      </c>
      <c r="E52" s="25">
        <v>2024</v>
      </c>
      <c r="F52" s="356">
        <v>0</v>
      </c>
      <c r="G52" s="356">
        <v>0</v>
      </c>
      <c r="H52" s="356">
        <v>0</v>
      </c>
      <c r="I52" s="356">
        <v>0</v>
      </c>
      <c r="J52" s="356">
        <v>0</v>
      </c>
      <c r="K52" s="294"/>
      <c r="L52" s="294"/>
      <c r="M52" s="204" t="str">
        <f>M51</f>
        <v>GROSS PROFIT %</v>
      </c>
      <c r="N52" s="25">
        <f t="shared" ref="N52:N58" si="13">N16</f>
        <v>2024</v>
      </c>
      <c r="O52" s="350">
        <f t="shared" si="11"/>
        <v>0</v>
      </c>
      <c r="P52" s="350">
        <f t="shared" si="11"/>
        <v>0</v>
      </c>
      <c r="Q52" s="350">
        <f t="shared" si="11"/>
        <v>0</v>
      </c>
      <c r="R52" s="350">
        <f t="shared" si="11"/>
        <v>0</v>
      </c>
      <c r="S52" s="350">
        <f t="shared" si="11"/>
        <v>0</v>
      </c>
      <c r="T52" s="350">
        <f t="shared" si="11"/>
        <v>0</v>
      </c>
      <c r="U52" s="350">
        <f t="shared" ref="U52:AR52" si="14">IF(ISERR(GETPIVOTDATA("TOTAL YEAR",$M$13,"YEAR",$N52,"REFERENCE PRODUCT / SERVICE",U$14,"ITEM","REVENUE")),0,IF(GETPIVOTDATA("TOTAL YEAR",$M$13,"YEAR",$N52,"REFERENCE PRODUCT / SERVICE",U$14,"ITEM","REVENUE")=0,0,U43/GETPIVOTDATA("TOTAL YEAR",$M$13,"YEAR",$N52,"REFERENCE PRODUCT / SERVICE",U$14,"ITEM","REVENUE")))</f>
        <v>0</v>
      </c>
      <c r="V52" s="350">
        <f t="shared" si="14"/>
        <v>0</v>
      </c>
      <c r="W52" s="350">
        <f t="shared" si="14"/>
        <v>0</v>
      </c>
      <c r="X52" s="350">
        <f t="shared" si="14"/>
        <v>0</v>
      </c>
      <c r="Y52" s="350">
        <f t="shared" si="14"/>
        <v>0</v>
      </c>
      <c r="Z52" s="350">
        <f t="shared" si="14"/>
        <v>0</v>
      </c>
      <c r="AA52" s="350">
        <f t="shared" si="14"/>
        <v>0</v>
      </c>
      <c r="AB52" s="350">
        <f t="shared" si="14"/>
        <v>0</v>
      </c>
      <c r="AC52" s="350">
        <f t="shared" si="14"/>
        <v>0</v>
      </c>
      <c r="AD52" s="350">
        <f t="shared" si="14"/>
        <v>0</v>
      </c>
      <c r="AE52" s="350">
        <f t="shared" si="14"/>
        <v>0</v>
      </c>
      <c r="AF52" s="350">
        <f t="shared" si="14"/>
        <v>0</v>
      </c>
      <c r="AG52" s="350">
        <f t="shared" si="14"/>
        <v>0</v>
      </c>
      <c r="AH52" s="350">
        <f t="shared" si="14"/>
        <v>0</v>
      </c>
      <c r="AI52" s="350">
        <f t="shared" si="14"/>
        <v>0</v>
      </c>
      <c r="AJ52" s="350">
        <f t="shared" si="14"/>
        <v>0</v>
      </c>
      <c r="AK52" s="350">
        <f t="shared" si="14"/>
        <v>0</v>
      </c>
      <c r="AL52" s="350">
        <f t="shared" si="14"/>
        <v>0</v>
      </c>
      <c r="AM52" s="350">
        <f t="shared" si="14"/>
        <v>0</v>
      </c>
      <c r="AN52" s="350">
        <f t="shared" si="14"/>
        <v>0</v>
      </c>
      <c r="AO52" s="350">
        <f t="shared" si="14"/>
        <v>0</v>
      </c>
      <c r="AP52" s="350">
        <f t="shared" si="14"/>
        <v>0</v>
      </c>
      <c r="AQ52" s="350">
        <f t="shared" si="14"/>
        <v>0</v>
      </c>
      <c r="AR52" s="350">
        <f t="shared" si="14"/>
        <v>0</v>
      </c>
      <c r="AS52" s="350">
        <f t="shared" ref="AS52:AS59" si="15">IF(AS25=0,0,AS43/AS25)</f>
        <v>0</v>
      </c>
      <c r="AT52" s="294"/>
      <c r="AU52" s="294"/>
      <c r="AV52" s="1" t="s">
        <v>524</v>
      </c>
      <c r="AW52" s="25">
        <v>2024</v>
      </c>
      <c r="AX52" s="356">
        <v>0</v>
      </c>
      <c r="AY52" s="356">
        <v>0</v>
      </c>
      <c r="AZ52" s="356">
        <v>0</v>
      </c>
      <c r="BA52" s="356">
        <v>0</v>
      </c>
      <c r="BB52" s="294"/>
      <c r="BC52" s="294"/>
      <c r="BD52" s="1" t="s">
        <v>524</v>
      </c>
      <c r="BE52" s="25">
        <v>2024</v>
      </c>
      <c r="BF52" s="356">
        <v>0</v>
      </c>
      <c r="BG52" s="356">
        <v>0</v>
      </c>
      <c r="BH52" s="356">
        <v>0</v>
      </c>
      <c r="BI52" s="294"/>
      <c r="BJ52" s="294"/>
      <c r="BK52" s="1" t="s">
        <v>524</v>
      </c>
      <c r="BL52" s="25">
        <v>2024</v>
      </c>
      <c r="BM52" s="356">
        <v>0</v>
      </c>
      <c r="BN52" s="356">
        <v>0</v>
      </c>
      <c r="BO52" s="356">
        <v>0</v>
      </c>
      <c r="BP52" s="294"/>
      <c r="BQ52" s="294"/>
      <c r="BR52" s="362" t="str">
        <f>VLOOKUP(BU52,TableInputsData[],6,FALSE)</f>
        <v>-</v>
      </c>
      <c r="BS52" s="598" t="str">
        <f>VLOOKUP(BU52,InputsData!$C$36:$I$67,5,FALSE)</f>
        <v>PRODUCT 07</v>
      </c>
      <c r="BT52" s="1" t="s">
        <v>457</v>
      </c>
      <c r="BU52" s="1" t="s">
        <v>543</v>
      </c>
      <c r="BV52" s="2">
        <v>0</v>
      </c>
      <c r="BW52" s="2">
        <v>0</v>
      </c>
      <c r="BX52" s="2">
        <v>0</v>
      </c>
      <c r="BY52" s="2">
        <v>0</v>
      </c>
      <c r="BZ52" s="2">
        <v>0</v>
      </c>
      <c r="CA52" s="2">
        <v>0</v>
      </c>
      <c r="CB52" s="2">
        <v>0</v>
      </c>
      <c r="CC52" s="2">
        <v>0</v>
      </c>
      <c r="CD52" s="2">
        <v>0</v>
      </c>
      <c r="CE52" s="2">
        <v>0</v>
      </c>
      <c r="CF52" s="2">
        <v>0</v>
      </c>
      <c r="CG52" s="2">
        <v>0</v>
      </c>
      <c r="CH52" s="2">
        <v>0</v>
      </c>
      <c r="CI52" s="2">
        <v>0</v>
      </c>
      <c r="CJ52" s="2">
        <v>0</v>
      </c>
      <c r="CK52" s="2">
        <v>0</v>
      </c>
      <c r="CL52" s="2">
        <v>0</v>
      </c>
      <c r="CM52" s="2">
        <v>0</v>
      </c>
      <c r="CN52" s="2">
        <v>0</v>
      </c>
      <c r="CO52" s="2">
        <v>0</v>
      </c>
      <c r="CP52" s="2">
        <v>0</v>
      </c>
      <c r="CQ52" s="2">
        <v>0</v>
      </c>
      <c r="CR52" s="2">
        <v>0</v>
      </c>
      <c r="CS52" s="2">
        <v>0</v>
      </c>
      <c r="CT52" s="294"/>
    </row>
    <row r="53" spans="1:98" x14ac:dyDescent="0.2">
      <c r="A53" s="294"/>
      <c r="B53" s="204" t="str">
        <f>IF(RIGHT($D53,5)="Total",$B52&amp;" Total",VLOOKUP($D53,TableInputsData[],ReadMe!$M$3,FALSE))</f>
        <v>MARGE BRUTE %</v>
      </c>
      <c r="C53" s="294"/>
      <c r="D53" s="1" t="s">
        <v>524</v>
      </c>
      <c r="E53" s="25">
        <v>2025</v>
      </c>
      <c r="F53" s="356">
        <v>0</v>
      </c>
      <c r="G53" s="356">
        <v>0</v>
      </c>
      <c r="H53" s="356">
        <v>0</v>
      </c>
      <c r="I53" s="356">
        <v>0</v>
      </c>
      <c r="J53" s="356">
        <v>0</v>
      </c>
      <c r="K53" s="294"/>
      <c r="L53" s="294"/>
      <c r="M53" s="204" t="str">
        <f t="shared" ref="M53:M58" si="16">M52</f>
        <v>GROSS PROFIT %</v>
      </c>
      <c r="N53" s="25">
        <f t="shared" si="13"/>
        <v>2025</v>
      </c>
      <c r="O53" s="350">
        <f t="shared" si="11"/>
        <v>0</v>
      </c>
      <c r="P53" s="350">
        <f t="shared" si="11"/>
        <v>0</v>
      </c>
      <c r="Q53" s="350">
        <f t="shared" si="11"/>
        <v>0</v>
      </c>
      <c r="R53" s="350">
        <f t="shared" si="11"/>
        <v>0</v>
      </c>
      <c r="S53" s="350">
        <f t="shared" si="11"/>
        <v>0</v>
      </c>
      <c r="T53" s="350">
        <f t="shared" si="11"/>
        <v>0</v>
      </c>
      <c r="U53" s="350">
        <f t="shared" ref="U53:AR53" si="17">IF(ISERR(GETPIVOTDATA("TOTAL YEAR",$M$13,"YEAR",$N53,"REFERENCE PRODUCT / SERVICE",U$14,"ITEM","REVENUE")),0,IF(GETPIVOTDATA("TOTAL YEAR",$M$13,"YEAR",$N53,"REFERENCE PRODUCT / SERVICE",U$14,"ITEM","REVENUE")=0,0,U44/GETPIVOTDATA("TOTAL YEAR",$M$13,"YEAR",$N53,"REFERENCE PRODUCT / SERVICE",U$14,"ITEM","REVENUE")))</f>
        <v>0</v>
      </c>
      <c r="V53" s="350">
        <f t="shared" si="17"/>
        <v>0</v>
      </c>
      <c r="W53" s="350">
        <f t="shared" si="17"/>
        <v>0</v>
      </c>
      <c r="X53" s="350">
        <f t="shared" si="17"/>
        <v>0</v>
      </c>
      <c r="Y53" s="350">
        <f t="shared" si="17"/>
        <v>0</v>
      </c>
      <c r="Z53" s="350">
        <f t="shared" si="17"/>
        <v>0</v>
      </c>
      <c r="AA53" s="350">
        <f t="shared" si="17"/>
        <v>0</v>
      </c>
      <c r="AB53" s="350">
        <f t="shared" si="17"/>
        <v>0</v>
      </c>
      <c r="AC53" s="350">
        <f t="shared" si="17"/>
        <v>0</v>
      </c>
      <c r="AD53" s="350">
        <f t="shared" si="17"/>
        <v>0</v>
      </c>
      <c r="AE53" s="350">
        <f t="shared" si="17"/>
        <v>0</v>
      </c>
      <c r="AF53" s="350">
        <f t="shared" si="17"/>
        <v>0</v>
      </c>
      <c r="AG53" s="350">
        <f t="shared" si="17"/>
        <v>0</v>
      </c>
      <c r="AH53" s="350">
        <f t="shared" si="17"/>
        <v>0</v>
      </c>
      <c r="AI53" s="350">
        <f t="shared" si="17"/>
        <v>0</v>
      </c>
      <c r="AJ53" s="350">
        <f t="shared" si="17"/>
        <v>0</v>
      </c>
      <c r="AK53" s="350">
        <f t="shared" si="17"/>
        <v>0</v>
      </c>
      <c r="AL53" s="350">
        <f t="shared" si="17"/>
        <v>0</v>
      </c>
      <c r="AM53" s="350">
        <f t="shared" si="17"/>
        <v>0</v>
      </c>
      <c r="AN53" s="350">
        <f t="shared" si="17"/>
        <v>0</v>
      </c>
      <c r="AO53" s="350">
        <f t="shared" si="17"/>
        <v>0</v>
      </c>
      <c r="AP53" s="350">
        <f t="shared" si="17"/>
        <v>0</v>
      </c>
      <c r="AQ53" s="350">
        <f t="shared" si="17"/>
        <v>0</v>
      </c>
      <c r="AR53" s="350">
        <f t="shared" si="17"/>
        <v>0</v>
      </c>
      <c r="AS53" s="350">
        <f t="shared" si="15"/>
        <v>0</v>
      </c>
      <c r="AT53" s="294"/>
      <c r="AU53" s="294"/>
      <c r="AV53" s="1" t="s">
        <v>524</v>
      </c>
      <c r="AW53" s="25">
        <v>2025</v>
      </c>
      <c r="AX53" s="356">
        <v>0</v>
      </c>
      <c r="AY53" s="356">
        <v>0</v>
      </c>
      <c r="AZ53" s="356">
        <v>0</v>
      </c>
      <c r="BA53" s="356">
        <v>0</v>
      </c>
      <c r="BB53" s="294"/>
      <c r="BC53" s="294"/>
      <c r="BD53" s="1" t="s">
        <v>524</v>
      </c>
      <c r="BE53" s="25">
        <v>2025</v>
      </c>
      <c r="BF53" s="356">
        <v>0</v>
      </c>
      <c r="BG53" s="356">
        <v>0</v>
      </c>
      <c r="BH53" s="356">
        <v>0</v>
      </c>
      <c r="BI53" s="294"/>
      <c r="BJ53" s="294"/>
      <c r="BK53" s="1" t="s">
        <v>524</v>
      </c>
      <c r="BL53" s="25">
        <v>2025</v>
      </c>
      <c r="BM53" s="356">
        <v>0</v>
      </c>
      <c r="BN53" s="356">
        <v>0</v>
      </c>
      <c r="BO53" s="356">
        <v>0</v>
      </c>
      <c r="BP53" s="294"/>
      <c r="BQ53" s="294"/>
      <c r="BR53" s="362" t="str">
        <f>VLOOKUP(BU53,TableInputsData[],6,FALSE)</f>
        <v>-</v>
      </c>
      <c r="BS53" s="598" t="str">
        <f>VLOOKUP(BU53,InputsData!$C$36:$I$67,5,FALSE)</f>
        <v>PRODUCT 08</v>
      </c>
      <c r="BT53" s="1" t="s">
        <v>457</v>
      </c>
      <c r="BU53" s="1" t="s">
        <v>544</v>
      </c>
      <c r="BV53" s="2">
        <v>0</v>
      </c>
      <c r="BW53" s="2">
        <v>0</v>
      </c>
      <c r="BX53" s="2">
        <v>0</v>
      </c>
      <c r="BY53" s="2">
        <v>0</v>
      </c>
      <c r="BZ53" s="2">
        <v>0</v>
      </c>
      <c r="CA53" s="2">
        <v>0</v>
      </c>
      <c r="CB53" s="2">
        <v>0</v>
      </c>
      <c r="CC53" s="2">
        <v>0</v>
      </c>
      <c r="CD53" s="2">
        <v>0</v>
      </c>
      <c r="CE53" s="2">
        <v>0</v>
      </c>
      <c r="CF53" s="2">
        <v>0</v>
      </c>
      <c r="CG53" s="2">
        <v>0</v>
      </c>
      <c r="CH53" s="2">
        <v>0</v>
      </c>
      <c r="CI53" s="2">
        <v>0</v>
      </c>
      <c r="CJ53" s="2">
        <v>0</v>
      </c>
      <c r="CK53" s="2">
        <v>0</v>
      </c>
      <c r="CL53" s="2">
        <v>0</v>
      </c>
      <c r="CM53" s="2">
        <v>0</v>
      </c>
      <c r="CN53" s="2">
        <v>0</v>
      </c>
      <c r="CO53" s="2">
        <v>0</v>
      </c>
      <c r="CP53" s="2">
        <v>0</v>
      </c>
      <c r="CQ53" s="2">
        <v>0</v>
      </c>
      <c r="CR53" s="2">
        <v>0</v>
      </c>
      <c r="CS53" s="2">
        <v>0</v>
      </c>
      <c r="CT53" s="294"/>
    </row>
    <row r="54" spans="1:98" x14ac:dyDescent="0.2">
      <c r="A54" s="294"/>
      <c r="B54" s="204" t="str">
        <f>IF(RIGHT($D54,5)="Total",$B53&amp;" Total",VLOOKUP($D54,TableInputsData[],ReadMe!$M$3,FALSE))</f>
        <v>MARGE BRUTE %</v>
      </c>
      <c r="C54" s="294"/>
      <c r="D54" s="1" t="s">
        <v>524</v>
      </c>
      <c r="E54" s="25">
        <v>2026</v>
      </c>
      <c r="F54" s="356">
        <v>0</v>
      </c>
      <c r="G54" s="356">
        <v>0</v>
      </c>
      <c r="H54" s="356">
        <v>0</v>
      </c>
      <c r="I54" s="356">
        <v>0</v>
      </c>
      <c r="J54" s="356">
        <v>0</v>
      </c>
      <c r="K54" s="294"/>
      <c r="L54" s="294"/>
      <c r="M54" s="204" t="str">
        <f t="shared" si="16"/>
        <v>GROSS PROFIT %</v>
      </c>
      <c r="N54" s="25">
        <f t="shared" si="13"/>
        <v>2026</v>
      </c>
      <c r="O54" s="350">
        <f t="shared" si="11"/>
        <v>0</v>
      </c>
      <c r="P54" s="350">
        <f t="shared" si="11"/>
        <v>0</v>
      </c>
      <c r="Q54" s="350">
        <f t="shared" si="11"/>
        <v>0</v>
      </c>
      <c r="R54" s="350">
        <f t="shared" si="11"/>
        <v>0</v>
      </c>
      <c r="S54" s="350">
        <f t="shared" si="11"/>
        <v>0</v>
      </c>
      <c r="T54" s="350">
        <f t="shared" si="11"/>
        <v>0</v>
      </c>
      <c r="U54" s="350">
        <f t="shared" ref="U54:AR54" si="18">IF(ISERR(GETPIVOTDATA("TOTAL YEAR",$M$13,"YEAR",$N54,"REFERENCE PRODUCT / SERVICE",U$14,"ITEM","REVENUE")),0,IF(GETPIVOTDATA("TOTAL YEAR",$M$13,"YEAR",$N54,"REFERENCE PRODUCT / SERVICE",U$14,"ITEM","REVENUE")=0,0,U45/GETPIVOTDATA("TOTAL YEAR",$M$13,"YEAR",$N54,"REFERENCE PRODUCT / SERVICE",U$14,"ITEM","REVENUE")))</f>
        <v>0</v>
      </c>
      <c r="V54" s="350">
        <f t="shared" si="18"/>
        <v>0</v>
      </c>
      <c r="W54" s="350">
        <f t="shared" si="18"/>
        <v>0</v>
      </c>
      <c r="X54" s="350">
        <f t="shared" si="18"/>
        <v>0</v>
      </c>
      <c r="Y54" s="350">
        <f t="shared" si="18"/>
        <v>0</v>
      </c>
      <c r="Z54" s="350">
        <f t="shared" si="18"/>
        <v>0</v>
      </c>
      <c r="AA54" s="350">
        <f t="shared" si="18"/>
        <v>0</v>
      </c>
      <c r="AB54" s="350">
        <f t="shared" si="18"/>
        <v>0</v>
      </c>
      <c r="AC54" s="350">
        <f t="shared" si="18"/>
        <v>0</v>
      </c>
      <c r="AD54" s="350">
        <f t="shared" si="18"/>
        <v>0</v>
      </c>
      <c r="AE54" s="350">
        <f t="shared" si="18"/>
        <v>0</v>
      </c>
      <c r="AF54" s="350">
        <f t="shared" si="18"/>
        <v>0</v>
      </c>
      <c r="AG54" s="350">
        <f t="shared" si="18"/>
        <v>0</v>
      </c>
      <c r="AH54" s="350">
        <f t="shared" si="18"/>
        <v>0</v>
      </c>
      <c r="AI54" s="350">
        <f t="shared" si="18"/>
        <v>0</v>
      </c>
      <c r="AJ54" s="350">
        <f t="shared" si="18"/>
        <v>0</v>
      </c>
      <c r="AK54" s="350">
        <f t="shared" si="18"/>
        <v>0</v>
      </c>
      <c r="AL54" s="350">
        <f t="shared" si="18"/>
        <v>0</v>
      </c>
      <c r="AM54" s="350">
        <f t="shared" si="18"/>
        <v>0</v>
      </c>
      <c r="AN54" s="350">
        <f t="shared" si="18"/>
        <v>0</v>
      </c>
      <c r="AO54" s="350">
        <f t="shared" si="18"/>
        <v>0</v>
      </c>
      <c r="AP54" s="350">
        <f t="shared" si="18"/>
        <v>0</v>
      </c>
      <c r="AQ54" s="350">
        <f t="shared" si="18"/>
        <v>0</v>
      </c>
      <c r="AR54" s="350">
        <f t="shared" si="18"/>
        <v>0</v>
      </c>
      <c r="AS54" s="350">
        <f t="shared" si="15"/>
        <v>0</v>
      </c>
      <c r="AT54" s="294"/>
      <c r="AU54" s="294"/>
      <c r="AV54" s="1" t="s">
        <v>524</v>
      </c>
      <c r="AW54" s="25">
        <v>2026</v>
      </c>
      <c r="AX54" s="356">
        <v>0</v>
      </c>
      <c r="AY54" s="356">
        <v>0</v>
      </c>
      <c r="AZ54" s="356">
        <v>0</v>
      </c>
      <c r="BA54" s="356">
        <v>0</v>
      </c>
      <c r="BB54" s="294"/>
      <c r="BC54" s="294"/>
      <c r="BD54" s="1" t="s">
        <v>524</v>
      </c>
      <c r="BE54" s="25">
        <v>2026</v>
      </c>
      <c r="BF54" s="356">
        <v>0</v>
      </c>
      <c r="BG54" s="356">
        <v>0</v>
      </c>
      <c r="BH54" s="356">
        <v>0</v>
      </c>
      <c r="BI54" s="294"/>
      <c r="BJ54" s="294"/>
      <c r="BK54" s="1" t="s">
        <v>524</v>
      </c>
      <c r="BL54" s="25">
        <v>2026</v>
      </c>
      <c r="BM54" s="356">
        <v>0</v>
      </c>
      <c r="BN54" s="356">
        <v>0</v>
      </c>
      <c r="BO54" s="356">
        <v>0</v>
      </c>
      <c r="BP54" s="294"/>
      <c r="BQ54" s="294"/>
      <c r="BR54" s="362" t="str">
        <f>VLOOKUP(BU54,TableInputsData[],6,FALSE)</f>
        <v>-</v>
      </c>
      <c r="BS54" s="598" t="str">
        <f>VLOOKUP(BU54,InputsData!$C$36:$I$67,5,FALSE)</f>
        <v>PRODUCT 09</v>
      </c>
      <c r="BT54" s="1" t="s">
        <v>457</v>
      </c>
      <c r="BU54" s="1" t="s">
        <v>545</v>
      </c>
      <c r="BV54" s="2">
        <v>0</v>
      </c>
      <c r="BW54" s="2">
        <v>0</v>
      </c>
      <c r="BX54" s="2">
        <v>0</v>
      </c>
      <c r="BY54" s="2">
        <v>0</v>
      </c>
      <c r="BZ54" s="2">
        <v>0</v>
      </c>
      <c r="CA54" s="2">
        <v>0</v>
      </c>
      <c r="CB54" s="2">
        <v>0</v>
      </c>
      <c r="CC54" s="2">
        <v>0</v>
      </c>
      <c r="CD54" s="2">
        <v>0</v>
      </c>
      <c r="CE54" s="2">
        <v>0</v>
      </c>
      <c r="CF54" s="2">
        <v>0</v>
      </c>
      <c r="CG54" s="2">
        <v>0</v>
      </c>
      <c r="CH54" s="2">
        <v>0</v>
      </c>
      <c r="CI54" s="2">
        <v>0</v>
      </c>
      <c r="CJ54" s="2">
        <v>0</v>
      </c>
      <c r="CK54" s="2">
        <v>0</v>
      </c>
      <c r="CL54" s="2">
        <v>0</v>
      </c>
      <c r="CM54" s="2">
        <v>0</v>
      </c>
      <c r="CN54" s="2">
        <v>0</v>
      </c>
      <c r="CO54" s="2">
        <v>0</v>
      </c>
      <c r="CP54" s="2">
        <v>0</v>
      </c>
      <c r="CQ54" s="2">
        <v>0</v>
      </c>
      <c r="CR54" s="2">
        <v>0</v>
      </c>
      <c r="CS54" s="2">
        <v>0</v>
      </c>
      <c r="CT54" s="294"/>
    </row>
    <row r="55" spans="1:98" x14ac:dyDescent="0.2">
      <c r="A55" s="294"/>
      <c r="B55" s="204" t="str">
        <f>IF(RIGHT($D55,5)="Total",$B54&amp;" Total",VLOOKUP($D55,TableInputsData[],ReadMe!$M$3,FALSE))</f>
        <v>MARGE BRUTE %</v>
      </c>
      <c r="C55" s="294"/>
      <c r="D55" s="1" t="s">
        <v>524</v>
      </c>
      <c r="E55" s="25">
        <v>2027</v>
      </c>
      <c r="F55" s="356">
        <v>0</v>
      </c>
      <c r="G55" s="356">
        <v>0</v>
      </c>
      <c r="H55" s="356">
        <v>0</v>
      </c>
      <c r="I55" s="356">
        <v>0</v>
      </c>
      <c r="J55" s="356">
        <v>0</v>
      </c>
      <c r="K55" s="294"/>
      <c r="L55" s="294"/>
      <c r="M55" s="204" t="str">
        <f t="shared" si="16"/>
        <v>GROSS PROFIT %</v>
      </c>
      <c r="N55" s="25">
        <f t="shared" si="13"/>
        <v>2027</v>
      </c>
      <c r="O55" s="350">
        <f t="shared" si="11"/>
        <v>0</v>
      </c>
      <c r="P55" s="350">
        <f t="shared" si="11"/>
        <v>0</v>
      </c>
      <c r="Q55" s="350">
        <f t="shared" si="11"/>
        <v>0</v>
      </c>
      <c r="R55" s="350">
        <f t="shared" si="11"/>
        <v>0</v>
      </c>
      <c r="S55" s="350">
        <f t="shared" si="11"/>
        <v>0</v>
      </c>
      <c r="T55" s="350">
        <f t="shared" si="11"/>
        <v>0</v>
      </c>
      <c r="U55" s="350">
        <f t="shared" ref="U55:AR55" si="19">IF(ISERR(GETPIVOTDATA("TOTAL YEAR",$M$13,"YEAR",$N55,"REFERENCE PRODUCT / SERVICE",U$14,"ITEM","REVENUE")),0,IF(GETPIVOTDATA("TOTAL YEAR",$M$13,"YEAR",$N55,"REFERENCE PRODUCT / SERVICE",U$14,"ITEM","REVENUE")=0,0,U46/GETPIVOTDATA("TOTAL YEAR",$M$13,"YEAR",$N55,"REFERENCE PRODUCT / SERVICE",U$14,"ITEM","REVENUE")))</f>
        <v>0</v>
      </c>
      <c r="V55" s="350">
        <f t="shared" si="19"/>
        <v>0</v>
      </c>
      <c r="W55" s="350">
        <f t="shared" si="19"/>
        <v>0</v>
      </c>
      <c r="X55" s="350">
        <f t="shared" si="19"/>
        <v>0</v>
      </c>
      <c r="Y55" s="350">
        <f t="shared" si="19"/>
        <v>0</v>
      </c>
      <c r="Z55" s="350">
        <f t="shared" si="19"/>
        <v>0</v>
      </c>
      <c r="AA55" s="350">
        <f t="shared" si="19"/>
        <v>0</v>
      </c>
      <c r="AB55" s="350">
        <f t="shared" si="19"/>
        <v>0</v>
      </c>
      <c r="AC55" s="350">
        <f t="shared" si="19"/>
        <v>0</v>
      </c>
      <c r="AD55" s="350">
        <f t="shared" si="19"/>
        <v>0</v>
      </c>
      <c r="AE55" s="350">
        <f t="shared" si="19"/>
        <v>0</v>
      </c>
      <c r="AF55" s="350">
        <f t="shared" si="19"/>
        <v>0</v>
      </c>
      <c r="AG55" s="350">
        <f t="shared" si="19"/>
        <v>0</v>
      </c>
      <c r="AH55" s="350">
        <f t="shared" si="19"/>
        <v>0</v>
      </c>
      <c r="AI55" s="350">
        <f t="shared" si="19"/>
        <v>0</v>
      </c>
      <c r="AJ55" s="350">
        <f t="shared" si="19"/>
        <v>0</v>
      </c>
      <c r="AK55" s="350">
        <f t="shared" si="19"/>
        <v>0</v>
      </c>
      <c r="AL55" s="350">
        <f t="shared" si="19"/>
        <v>0</v>
      </c>
      <c r="AM55" s="350">
        <f t="shared" si="19"/>
        <v>0</v>
      </c>
      <c r="AN55" s="350">
        <f t="shared" si="19"/>
        <v>0</v>
      </c>
      <c r="AO55" s="350">
        <f t="shared" si="19"/>
        <v>0</v>
      </c>
      <c r="AP55" s="350">
        <f t="shared" si="19"/>
        <v>0</v>
      </c>
      <c r="AQ55" s="350">
        <f t="shared" si="19"/>
        <v>0</v>
      </c>
      <c r="AR55" s="350">
        <f t="shared" si="19"/>
        <v>0</v>
      </c>
      <c r="AS55" s="350">
        <f t="shared" si="15"/>
        <v>0</v>
      </c>
      <c r="AT55" s="294"/>
      <c r="AU55" s="294"/>
      <c r="AV55" s="1" t="s">
        <v>524</v>
      </c>
      <c r="AW55" s="25">
        <v>2027</v>
      </c>
      <c r="AX55" s="356">
        <v>0</v>
      </c>
      <c r="AY55" s="356">
        <v>0</v>
      </c>
      <c r="AZ55" s="356">
        <v>0</v>
      </c>
      <c r="BA55" s="356">
        <v>0</v>
      </c>
      <c r="BB55" s="294"/>
      <c r="BC55" s="294"/>
      <c r="BD55" s="1" t="s">
        <v>524</v>
      </c>
      <c r="BE55" s="25">
        <v>2027</v>
      </c>
      <c r="BF55" s="356">
        <v>0</v>
      </c>
      <c r="BG55" s="356">
        <v>0</v>
      </c>
      <c r="BH55" s="356">
        <v>0</v>
      </c>
      <c r="BI55" s="294"/>
      <c r="BJ55" s="294"/>
      <c r="BK55" s="1" t="s">
        <v>524</v>
      </c>
      <c r="BL55" s="25">
        <v>2027</v>
      </c>
      <c r="BM55" s="356">
        <v>0</v>
      </c>
      <c r="BN55" s="356">
        <v>0</v>
      </c>
      <c r="BO55" s="356">
        <v>0</v>
      </c>
      <c r="BP55" s="294"/>
      <c r="BQ55" s="294"/>
      <c r="BR55" s="362" t="str">
        <f>VLOOKUP(BU55,TableInputsData[],6,FALSE)</f>
        <v>-</v>
      </c>
      <c r="BS55" s="598" t="str">
        <f>VLOOKUP(BU55,InputsData!$C$36:$I$67,5,FALSE)</f>
        <v>PRODUCT 10</v>
      </c>
      <c r="BT55" s="1" t="s">
        <v>457</v>
      </c>
      <c r="BU55" s="1" t="s">
        <v>401</v>
      </c>
      <c r="BV55" s="2">
        <v>0</v>
      </c>
      <c r="BW55" s="2">
        <v>0</v>
      </c>
      <c r="BX55" s="2">
        <v>0</v>
      </c>
      <c r="BY55" s="2">
        <v>0</v>
      </c>
      <c r="BZ55" s="2">
        <v>0</v>
      </c>
      <c r="CA55" s="2">
        <v>0</v>
      </c>
      <c r="CB55" s="2">
        <v>0</v>
      </c>
      <c r="CC55" s="2">
        <v>0</v>
      </c>
      <c r="CD55" s="2">
        <v>0</v>
      </c>
      <c r="CE55" s="2">
        <v>0</v>
      </c>
      <c r="CF55" s="2">
        <v>0</v>
      </c>
      <c r="CG55" s="2">
        <v>0</v>
      </c>
      <c r="CH55" s="2">
        <v>0</v>
      </c>
      <c r="CI55" s="2">
        <v>0</v>
      </c>
      <c r="CJ55" s="2">
        <v>0</v>
      </c>
      <c r="CK55" s="2">
        <v>0</v>
      </c>
      <c r="CL55" s="2">
        <v>0</v>
      </c>
      <c r="CM55" s="2">
        <v>0</v>
      </c>
      <c r="CN55" s="2">
        <v>0</v>
      </c>
      <c r="CO55" s="2">
        <v>0</v>
      </c>
      <c r="CP55" s="2">
        <v>0</v>
      </c>
      <c r="CQ55" s="2">
        <v>0</v>
      </c>
      <c r="CR55" s="2">
        <v>0</v>
      </c>
      <c r="CS55" s="2">
        <v>0</v>
      </c>
      <c r="CT55" s="294"/>
    </row>
    <row r="56" spans="1:98" x14ac:dyDescent="0.2">
      <c r="A56" s="294"/>
      <c r="B56" s="204" t="str">
        <f>IF(RIGHT($D56,5)="Total",$B55&amp;" Total",VLOOKUP($D56,TableInputsData[],ReadMe!$M$3,FALSE))</f>
        <v>MARGE BRUTE %</v>
      </c>
      <c r="C56" s="294"/>
      <c r="D56" s="1" t="s">
        <v>524</v>
      </c>
      <c r="E56" s="25">
        <v>2028</v>
      </c>
      <c r="F56" s="356">
        <v>0</v>
      </c>
      <c r="G56" s="356">
        <v>0</v>
      </c>
      <c r="H56" s="356">
        <v>0</v>
      </c>
      <c r="I56" s="356">
        <v>0</v>
      </c>
      <c r="J56" s="356">
        <v>0</v>
      </c>
      <c r="K56" s="294"/>
      <c r="L56" s="294"/>
      <c r="M56" s="204" t="str">
        <f t="shared" si="16"/>
        <v>GROSS PROFIT %</v>
      </c>
      <c r="N56" s="25">
        <f t="shared" si="13"/>
        <v>2028</v>
      </c>
      <c r="O56" s="350">
        <f t="shared" si="11"/>
        <v>0</v>
      </c>
      <c r="P56" s="350">
        <f t="shared" si="11"/>
        <v>0</v>
      </c>
      <c r="Q56" s="350">
        <f t="shared" si="11"/>
        <v>0</v>
      </c>
      <c r="R56" s="350">
        <f t="shared" si="11"/>
        <v>0</v>
      </c>
      <c r="S56" s="350">
        <f t="shared" si="11"/>
        <v>0</v>
      </c>
      <c r="T56" s="350">
        <f t="shared" si="11"/>
        <v>0</v>
      </c>
      <c r="U56" s="350">
        <f t="shared" ref="U56:AR56" si="20">IF(ISERR(GETPIVOTDATA("TOTAL YEAR",$M$13,"YEAR",$N56,"REFERENCE PRODUCT / SERVICE",U$14,"ITEM","REVENUE")),0,IF(GETPIVOTDATA("TOTAL YEAR",$M$13,"YEAR",$N56,"REFERENCE PRODUCT / SERVICE",U$14,"ITEM","REVENUE")=0,0,U47/GETPIVOTDATA("TOTAL YEAR",$M$13,"YEAR",$N56,"REFERENCE PRODUCT / SERVICE",U$14,"ITEM","REVENUE")))</f>
        <v>0</v>
      </c>
      <c r="V56" s="350">
        <f t="shared" si="20"/>
        <v>0</v>
      </c>
      <c r="W56" s="350">
        <f t="shared" si="20"/>
        <v>0</v>
      </c>
      <c r="X56" s="350">
        <f t="shared" si="20"/>
        <v>0</v>
      </c>
      <c r="Y56" s="350">
        <f t="shared" si="20"/>
        <v>0</v>
      </c>
      <c r="Z56" s="350">
        <f t="shared" si="20"/>
        <v>0</v>
      </c>
      <c r="AA56" s="350">
        <f t="shared" si="20"/>
        <v>0</v>
      </c>
      <c r="AB56" s="350">
        <f t="shared" si="20"/>
        <v>0</v>
      </c>
      <c r="AC56" s="350">
        <f t="shared" si="20"/>
        <v>0</v>
      </c>
      <c r="AD56" s="350">
        <f t="shared" si="20"/>
        <v>0</v>
      </c>
      <c r="AE56" s="350">
        <f t="shared" si="20"/>
        <v>0</v>
      </c>
      <c r="AF56" s="350">
        <f t="shared" si="20"/>
        <v>0</v>
      </c>
      <c r="AG56" s="350">
        <f t="shared" si="20"/>
        <v>0</v>
      </c>
      <c r="AH56" s="350">
        <f t="shared" si="20"/>
        <v>0</v>
      </c>
      <c r="AI56" s="350">
        <f t="shared" si="20"/>
        <v>0</v>
      </c>
      <c r="AJ56" s="350">
        <f t="shared" si="20"/>
        <v>0</v>
      </c>
      <c r="AK56" s="350">
        <f t="shared" si="20"/>
        <v>0</v>
      </c>
      <c r="AL56" s="350">
        <f t="shared" si="20"/>
        <v>0</v>
      </c>
      <c r="AM56" s="350">
        <f t="shared" si="20"/>
        <v>0</v>
      </c>
      <c r="AN56" s="350">
        <f t="shared" si="20"/>
        <v>0</v>
      </c>
      <c r="AO56" s="350">
        <f t="shared" si="20"/>
        <v>0</v>
      </c>
      <c r="AP56" s="350">
        <f t="shared" si="20"/>
        <v>0</v>
      </c>
      <c r="AQ56" s="350">
        <f t="shared" si="20"/>
        <v>0</v>
      </c>
      <c r="AR56" s="350">
        <f t="shared" si="20"/>
        <v>0</v>
      </c>
      <c r="AS56" s="350">
        <f t="shared" si="15"/>
        <v>0</v>
      </c>
      <c r="AT56" s="294"/>
      <c r="AU56" s="294"/>
      <c r="AV56" s="1" t="s">
        <v>524</v>
      </c>
      <c r="AW56" s="25">
        <v>2028</v>
      </c>
      <c r="AX56" s="356">
        <v>0</v>
      </c>
      <c r="AY56" s="356">
        <v>0</v>
      </c>
      <c r="AZ56" s="356">
        <v>0</v>
      </c>
      <c r="BA56" s="356">
        <v>0</v>
      </c>
      <c r="BB56" s="294"/>
      <c r="BC56" s="294"/>
      <c r="BD56" s="1" t="s">
        <v>524</v>
      </c>
      <c r="BE56" s="25">
        <v>2028</v>
      </c>
      <c r="BF56" s="356">
        <v>0</v>
      </c>
      <c r="BG56" s="356">
        <v>0</v>
      </c>
      <c r="BH56" s="356">
        <v>0</v>
      </c>
      <c r="BI56" s="294"/>
      <c r="BJ56" s="294"/>
      <c r="BK56" s="1" t="s">
        <v>524</v>
      </c>
      <c r="BL56" s="25">
        <v>2028</v>
      </c>
      <c r="BM56" s="356">
        <v>0</v>
      </c>
      <c r="BN56" s="356">
        <v>0</v>
      </c>
      <c r="BO56" s="356">
        <v>0</v>
      </c>
      <c r="BP56" s="294"/>
      <c r="BQ56" s="294"/>
      <c r="BR56" s="362" t="str">
        <f>VLOOKUP(BU56,TableInputsData[],6,FALSE)</f>
        <v>-</v>
      </c>
      <c r="BS56" s="598" t="str">
        <f>VLOOKUP(BU56,InputsData!$C$36:$I$67,5,FALSE)</f>
        <v>PRODUCT 11</v>
      </c>
      <c r="BT56" s="1" t="s">
        <v>457</v>
      </c>
      <c r="BU56" s="1" t="s">
        <v>1710</v>
      </c>
      <c r="BV56" s="2">
        <v>0</v>
      </c>
      <c r="BW56" s="2">
        <v>0</v>
      </c>
      <c r="BX56" s="2">
        <v>0</v>
      </c>
      <c r="BY56" s="2">
        <v>0</v>
      </c>
      <c r="BZ56" s="2">
        <v>0</v>
      </c>
      <c r="CA56" s="2">
        <v>0</v>
      </c>
      <c r="CB56" s="2">
        <v>0</v>
      </c>
      <c r="CC56" s="2">
        <v>0</v>
      </c>
      <c r="CD56" s="2">
        <v>0</v>
      </c>
      <c r="CE56" s="2">
        <v>0</v>
      </c>
      <c r="CF56" s="2">
        <v>0</v>
      </c>
      <c r="CG56" s="2">
        <v>0</v>
      </c>
      <c r="CH56" s="2">
        <v>0</v>
      </c>
      <c r="CI56" s="2">
        <v>0</v>
      </c>
      <c r="CJ56" s="2">
        <v>0</v>
      </c>
      <c r="CK56" s="2">
        <v>0</v>
      </c>
      <c r="CL56" s="2">
        <v>0</v>
      </c>
      <c r="CM56" s="2">
        <v>0</v>
      </c>
      <c r="CN56" s="2">
        <v>0</v>
      </c>
      <c r="CO56" s="2">
        <v>0</v>
      </c>
      <c r="CP56" s="2">
        <v>0</v>
      </c>
      <c r="CQ56" s="2">
        <v>0</v>
      </c>
      <c r="CR56" s="2">
        <v>0</v>
      </c>
      <c r="CS56" s="2">
        <v>0</v>
      </c>
      <c r="CT56" s="294"/>
    </row>
    <row r="57" spans="1:98" x14ac:dyDescent="0.2">
      <c r="A57" s="294"/>
      <c r="B57" s="204" t="str">
        <f>IF(RIGHT($D57,5)="Total",$B56&amp;" Total",VLOOKUP($D57,TableInputsData[],ReadMe!$M$3,FALSE))</f>
        <v>MARGE BRUTE %</v>
      </c>
      <c r="C57" s="294"/>
      <c r="D57" s="1" t="s">
        <v>524</v>
      </c>
      <c r="E57" s="25">
        <v>2029</v>
      </c>
      <c r="F57" s="356">
        <v>0</v>
      </c>
      <c r="G57" s="356">
        <v>0</v>
      </c>
      <c r="H57" s="356">
        <v>0</v>
      </c>
      <c r="I57" s="356">
        <v>0</v>
      </c>
      <c r="J57" s="356">
        <v>0</v>
      </c>
      <c r="K57" s="294"/>
      <c r="L57" s="294"/>
      <c r="M57" s="204" t="str">
        <f t="shared" si="16"/>
        <v>GROSS PROFIT %</v>
      </c>
      <c r="N57" s="25">
        <f t="shared" si="13"/>
        <v>2029</v>
      </c>
      <c r="O57" s="350">
        <f t="shared" si="11"/>
        <v>0</v>
      </c>
      <c r="P57" s="350">
        <f t="shared" si="11"/>
        <v>0</v>
      </c>
      <c r="Q57" s="350">
        <f t="shared" si="11"/>
        <v>0</v>
      </c>
      <c r="R57" s="350">
        <f t="shared" si="11"/>
        <v>0</v>
      </c>
      <c r="S57" s="350">
        <f t="shared" si="11"/>
        <v>0</v>
      </c>
      <c r="T57" s="350">
        <f t="shared" si="11"/>
        <v>0</v>
      </c>
      <c r="U57" s="350">
        <f t="shared" ref="U57:AR57" si="21">IF(ISERR(GETPIVOTDATA("TOTAL YEAR",$M$13,"YEAR",$N57,"REFERENCE PRODUCT / SERVICE",U$14,"ITEM","REVENUE")),0,IF(GETPIVOTDATA("TOTAL YEAR",$M$13,"YEAR",$N57,"REFERENCE PRODUCT / SERVICE",U$14,"ITEM","REVENUE")=0,0,U48/GETPIVOTDATA("TOTAL YEAR",$M$13,"YEAR",$N57,"REFERENCE PRODUCT / SERVICE",U$14,"ITEM","REVENUE")))</f>
        <v>0</v>
      </c>
      <c r="V57" s="350">
        <f t="shared" si="21"/>
        <v>0</v>
      </c>
      <c r="W57" s="350">
        <f t="shared" si="21"/>
        <v>0</v>
      </c>
      <c r="X57" s="350">
        <f t="shared" si="21"/>
        <v>0</v>
      </c>
      <c r="Y57" s="350">
        <f t="shared" si="21"/>
        <v>0</v>
      </c>
      <c r="Z57" s="350">
        <f t="shared" si="21"/>
        <v>0</v>
      </c>
      <c r="AA57" s="350">
        <f t="shared" si="21"/>
        <v>0</v>
      </c>
      <c r="AB57" s="350">
        <f t="shared" si="21"/>
        <v>0</v>
      </c>
      <c r="AC57" s="350">
        <f t="shared" si="21"/>
        <v>0</v>
      </c>
      <c r="AD57" s="350">
        <f t="shared" si="21"/>
        <v>0</v>
      </c>
      <c r="AE57" s="350">
        <f t="shared" si="21"/>
        <v>0</v>
      </c>
      <c r="AF57" s="350">
        <f t="shared" si="21"/>
        <v>0</v>
      </c>
      <c r="AG57" s="350">
        <f t="shared" si="21"/>
        <v>0</v>
      </c>
      <c r="AH57" s="350">
        <f t="shared" si="21"/>
        <v>0</v>
      </c>
      <c r="AI57" s="350">
        <f t="shared" si="21"/>
        <v>0</v>
      </c>
      <c r="AJ57" s="350">
        <f t="shared" si="21"/>
        <v>0</v>
      </c>
      <c r="AK57" s="350">
        <f t="shared" si="21"/>
        <v>0</v>
      </c>
      <c r="AL57" s="350">
        <f t="shared" si="21"/>
        <v>0</v>
      </c>
      <c r="AM57" s="350">
        <f t="shared" si="21"/>
        <v>0</v>
      </c>
      <c r="AN57" s="350">
        <f t="shared" si="21"/>
        <v>0</v>
      </c>
      <c r="AO57" s="350">
        <f t="shared" si="21"/>
        <v>0</v>
      </c>
      <c r="AP57" s="350">
        <f t="shared" si="21"/>
        <v>0</v>
      </c>
      <c r="AQ57" s="350">
        <f t="shared" si="21"/>
        <v>0</v>
      </c>
      <c r="AR57" s="350">
        <f t="shared" si="21"/>
        <v>0</v>
      </c>
      <c r="AS57" s="350">
        <f t="shared" si="15"/>
        <v>0</v>
      </c>
      <c r="AT57" s="294"/>
      <c r="AU57" s="294"/>
      <c r="AV57" s="1" t="s">
        <v>524</v>
      </c>
      <c r="AW57" s="25">
        <v>2029</v>
      </c>
      <c r="AX57" s="356">
        <v>0</v>
      </c>
      <c r="AY57" s="356">
        <v>0</v>
      </c>
      <c r="AZ57" s="356">
        <v>0</v>
      </c>
      <c r="BA57" s="356">
        <v>0</v>
      </c>
      <c r="BB57" s="294"/>
      <c r="BC57" s="294"/>
      <c r="BD57" s="1" t="s">
        <v>524</v>
      </c>
      <c r="BE57" s="25">
        <v>2029</v>
      </c>
      <c r="BF57" s="356">
        <v>0</v>
      </c>
      <c r="BG57" s="356">
        <v>0</v>
      </c>
      <c r="BH57" s="356">
        <v>0</v>
      </c>
      <c r="BI57" s="294"/>
      <c r="BJ57" s="294"/>
      <c r="BK57" s="1" t="s">
        <v>524</v>
      </c>
      <c r="BL57" s="25">
        <v>2029</v>
      </c>
      <c r="BM57" s="356">
        <v>0</v>
      </c>
      <c r="BN57" s="356">
        <v>0</v>
      </c>
      <c r="BO57" s="356">
        <v>0</v>
      </c>
      <c r="BP57" s="294"/>
      <c r="BQ57" s="294"/>
      <c r="BR57" s="362" t="str">
        <f>VLOOKUP(BU57,TableInputsData[],6,FALSE)</f>
        <v>-</v>
      </c>
      <c r="BS57" s="598" t="str">
        <f>VLOOKUP(BU57,InputsData!$C$36:$I$67,5,FALSE)</f>
        <v>PRODUCT 12</v>
      </c>
      <c r="BT57" s="1" t="s">
        <v>457</v>
      </c>
      <c r="BU57" s="1" t="s">
        <v>1712</v>
      </c>
      <c r="BV57" s="2">
        <v>0</v>
      </c>
      <c r="BW57" s="2">
        <v>0</v>
      </c>
      <c r="BX57" s="2">
        <v>0</v>
      </c>
      <c r="BY57" s="2">
        <v>0</v>
      </c>
      <c r="BZ57" s="2">
        <v>0</v>
      </c>
      <c r="CA57" s="2">
        <v>0</v>
      </c>
      <c r="CB57" s="2">
        <v>0</v>
      </c>
      <c r="CC57" s="2">
        <v>0</v>
      </c>
      <c r="CD57" s="2">
        <v>0</v>
      </c>
      <c r="CE57" s="2">
        <v>0</v>
      </c>
      <c r="CF57" s="2">
        <v>0</v>
      </c>
      <c r="CG57" s="2">
        <v>0</v>
      </c>
      <c r="CH57" s="2">
        <v>0</v>
      </c>
      <c r="CI57" s="2">
        <v>0</v>
      </c>
      <c r="CJ57" s="2">
        <v>0</v>
      </c>
      <c r="CK57" s="2">
        <v>0</v>
      </c>
      <c r="CL57" s="2">
        <v>0</v>
      </c>
      <c r="CM57" s="2">
        <v>0</v>
      </c>
      <c r="CN57" s="2">
        <v>0</v>
      </c>
      <c r="CO57" s="2">
        <v>0</v>
      </c>
      <c r="CP57" s="2">
        <v>0</v>
      </c>
      <c r="CQ57" s="2">
        <v>0</v>
      </c>
      <c r="CR57" s="2">
        <v>0</v>
      </c>
      <c r="CS57" s="2">
        <v>0</v>
      </c>
      <c r="CT57" s="294"/>
    </row>
    <row r="58" spans="1:98" x14ac:dyDescent="0.2">
      <c r="A58" s="294"/>
      <c r="B58" s="204" t="str">
        <f>IF(RIGHT($D58,5)="Total",$B57&amp;" Total",VLOOKUP($D58,TableInputsData[],ReadMe!$M$3,FALSE))</f>
        <v>MARGE BRUTE %</v>
      </c>
      <c r="C58" s="294"/>
      <c r="D58" s="1" t="s">
        <v>524</v>
      </c>
      <c r="E58" s="25">
        <v>2030</v>
      </c>
      <c r="F58" s="356">
        <v>0</v>
      </c>
      <c r="G58" s="356">
        <v>0</v>
      </c>
      <c r="H58" s="356">
        <v>0</v>
      </c>
      <c r="I58" s="356">
        <v>0</v>
      </c>
      <c r="J58" s="356">
        <v>0</v>
      </c>
      <c r="K58" s="294"/>
      <c r="L58" s="294"/>
      <c r="M58" s="204" t="str">
        <f t="shared" si="16"/>
        <v>GROSS PROFIT %</v>
      </c>
      <c r="N58" s="25">
        <f t="shared" si="13"/>
        <v>2030</v>
      </c>
      <c r="O58" s="350">
        <f t="shared" si="11"/>
        <v>0</v>
      </c>
      <c r="P58" s="350">
        <f t="shared" si="11"/>
        <v>0</v>
      </c>
      <c r="Q58" s="350">
        <f t="shared" si="11"/>
        <v>0</v>
      </c>
      <c r="R58" s="350">
        <f t="shared" si="11"/>
        <v>0</v>
      </c>
      <c r="S58" s="350">
        <f t="shared" si="11"/>
        <v>0</v>
      </c>
      <c r="T58" s="350">
        <f t="shared" si="11"/>
        <v>0</v>
      </c>
      <c r="U58" s="350">
        <f t="shared" ref="U58:AR58" si="22">IF(ISERR(GETPIVOTDATA("TOTAL YEAR",$M$13,"YEAR",$N58,"REFERENCE PRODUCT / SERVICE",U$14,"ITEM","REVENUE")),0,IF(GETPIVOTDATA("TOTAL YEAR",$M$13,"YEAR",$N58,"REFERENCE PRODUCT / SERVICE",U$14,"ITEM","REVENUE")=0,0,U49/GETPIVOTDATA("TOTAL YEAR",$M$13,"YEAR",$N58,"REFERENCE PRODUCT / SERVICE",U$14,"ITEM","REVENUE")))</f>
        <v>0</v>
      </c>
      <c r="V58" s="350">
        <f t="shared" si="22"/>
        <v>0</v>
      </c>
      <c r="W58" s="350">
        <f t="shared" si="22"/>
        <v>0</v>
      </c>
      <c r="X58" s="350">
        <f t="shared" si="22"/>
        <v>0</v>
      </c>
      <c r="Y58" s="350">
        <f t="shared" si="22"/>
        <v>0</v>
      </c>
      <c r="Z58" s="350">
        <f t="shared" si="22"/>
        <v>0</v>
      </c>
      <c r="AA58" s="350">
        <f t="shared" si="22"/>
        <v>0</v>
      </c>
      <c r="AB58" s="350">
        <f t="shared" si="22"/>
        <v>0</v>
      </c>
      <c r="AC58" s="350">
        <f t="shared" si="22"/>
        <v>0</v>
      </c>
      <c r="AD58" s="350">
        <f t="shared" si="22"/>
        <v>0</v>
      </c>
      <c r="AE58" s="350">
        <f t="shared" si="22"/>
        <v>0</v>
      </c>
      <c r="AF58" s="350">
        <f t="shared" si="22"/>
        <v>0</v>
      </c>
      <c r="AG58" s="350">
        <f t="shared" si="22"/>
        <v>0</v>
      </c>
      <c r="AH58" s="350">
        <f t="shared" si="22"/>
        <v>0</v>
      </c>
      <c r="AI58" s="350">
        <f t="shared" si="22"/>
        <v>0</v>
      </c>
      <c r="AJ58" s="350">
        <f t="shared" si="22"/>
        <v>0</v>
      </c>
      <c r="AK58" s="350">
        <f t="shared" si="22"/>
        <v>0</v>
      </c>
      <c r="AL58" s="350">
        <f t="shared" si="22"/>
        <v>0</v>
      </c>
      <c r="AM58" s="350">
        <f t="shared" si="22"/>
        <v>0</v>
      </c>
      <c r="AN58" s="350">
        <f t="shared" si="22"/>
        <v>0</v>
      </c>
      <c r="AO58" s="350">
        <f t="shared" si="22"/>
        <v>0</v>
      </c>
      <c r="AP58" s="350">
        <f t="shared" si="22"/>
        <v>0</v>
      </c>
      <c r="AQ58" s="350">
        <f t="shared" si="22"/>
        <v>0</v>
      </c>
      <c r="AR58" s="350">
        <f t="shared" si="22"/>
        <v>0</v>
      </c>
      <c r="AS58" s="350">
        <f t="shared" si="15"/>
        <v>0</v>
      </c>
      <c r="AT58" s="294"/>
      <c r="AU58" s="294"/>
      <c r="AV58" s="1" t="s">
        <v>524</v>
      </c>
      <c r="AW58" s="25">
        <v>2030</v>
      </c>
      <c r="AX58" s="356">
        <v>0</v>
      </c>
      <c r="AY58" s="356">
        <v>0</v>
      </c>
      <c r="AZ58" s="356">
        <v>0</v>
      </c>
      <c r="BA58" s="356">
        <v>0</v>
      </c>
      <c r="BB58" s="294"/>
      <c r="BC58" s="294"/>
      <c r="BD58" s="1" t="s">
        <v>524</v>
      </c>
      <c r="BE58" s="25">
        <v>2030</v>
      </c>
      <c r="BF58" s="356">
        <v>0</v>
      </c>
      <c r="BG58" s="356">
        <v>0</v>
      </c>
      <c r="BH58" s="356">
        <v>0</v>
      </c>
      <c r="BI58" s="294"/>
      <c r="BJ58" s="294"/>
      <c r="BK58" s="1" t="s">
        <v>524</v>
      </c>
      <c r="BL58" s="25">
        <v>2030</v>
      </c>
      <c r="BM58" s="356">
        <v>0</v>
      </c>
      <c r="BN58" s="356">
        <v>0</v>
      </c>
      <c r="BO58" s="356">
        <v>0</v>
      </c>
      <c r="BP58" s="294"/>
      <c r="BQ58" s="294"/>
      <c r="BR58" s="362" t="str">
        <f>VLOOKUP(BU58,TableInputsData[],6,FALSE)</f>
        <v>-</v>
      </c>
      <c r="BS58" s="598" t="str">
        <f>VLOOKUP(BU58,InputsData!$C$36:$I$67,5,FALSE)</f>
        <v>PRODUCT 13</v>
      </c>
      <c r="BT58" s="1" t="s">
        <v>457</v>
      </c>
      <c r="BU58" s="1" t="s">
        <v>1714</v>
      </c>
      <c r="BV58" s="2">
        <v>0</v>
      </c>
      <c r="BW58" s="2">
        <v>0</v>
      </c>
      <c r="BX58" s="2">
        <v>0</v>
      </c>
      <c r="BY58" s="2">
        <v>0</v>
      </c>
      <c r="BZ58" s="2">
        <v>0</v>
      </c>
      <c r="CA58" s="2">
        <v>0</v>
      </c>
      <c r="CB58" s="2">
        <v>0</v>
      </c>
      <c r="CC58" s="2">
        <v>0</v>
      </c>
      <c r="CD58" s="2">
        <v>0</v>
      </c>
      <c r="CE58" s="2">
        <v>0</v>
      </c>
      <c r="CF58" s="2">
        <v>0</v>
      </c>
      <c r="CG58" s="2">
        <v>0</v>
      </c>
      <c r="CH58" s="2">
        <v>0</v>
      </c>
      <c r="CI58" s="2">
        <v>0</v>
      </c>
      <c r="CJ58" s="2">
        <v>0</v>
      </c>
      <c r="CK58" s="2">
        <v>0</v>
      </c>
      <c r="CL58" s="2">
        <v>0</v>
      </c>
      <c r="CM58" s="2">
        <v>0</v>
      </c>
      <c r="CN58" s="2">
        <v>0</v>
      </c>
      <c r="CO58" s="2">
        <v>0</v>
      </c>
      <c r="CP58" s="2">
        <v>0</v>
      </c>
      <c r="CQ58" s="2">
        <v>0</v>
      </c>
      <c r="CR58" s="2">
        <v>0</v>
      </c>
      <c r="CS58" s="2">
        <v>0</v>
      </c>
      <c r="CT58" s="294"/>
    </row>
    <row r="59" spans="1:98" x14ac:dyDescent="0.2">
      <c r="A59" s="294"/>
      <c r="B59" s="358" t="str">
        <f>IF(RIGHT($D59,5)="Total",$B58&amp;" Total",VLOOKUP($D59,TableInputsData[],ReadMe!$M$3,FALSE))</f>
        <v>MARGE BRUTE % Total</v>
      </c>
      <c r="C59" s="294"/>
      <c r="D59" s="151" t="s">
        <v>525</v>
      </c>
      <c r="E59" s="151"/>
      <c r="F59" s="914">
        <v>0</v>
      </c>
      <c r="G59" s="914">
        <v>0</v>
      </c>
      <c r="H59" s="914">
        <v>0</v>
      </c>
      <c r="I59" s="914">
        <v>0</v>
      </c>
      <c r="J59" s="914">
        <v>0</v>
      </c>
      <c r="K59" s="294"/>
      <c r="L59" s="294"/>
      <c r="M59" s="348" t="str">
        <f>+M58&amp;" Total"</f>
        <v>GROSS PROFIT % Total</v>
      </c>
      <c r="N59" s="351"/>
      <c r="O59" s="915">
        <f t="shared" ref="O59:T59" si="23">IF(ISERR(GETPIVOTDATA("TOTAL ANNEE",$M$13,"PRODUIT",O$14,"ITEM","CHIFFRE D'AFFAIRE")),0,IF(GETPIVOTDATA("TOTAL ANNEE",$M$13,"PRODUIT",O$14,"ITEM","CHIFFRE D'AFFAIRE")=0,0,O50/GETPIVOTDATA("TOTAL ANNEE",$M$13,"PRODUIT",O$14,"ITEM","CHIFFRE D'AFFAIRE")))</f>
        <v>0</v>
      </c>
      <c r="P59" s="915">
        <f t="shared" si="23"/>
        <v>0</v>
      </c>
      <c r="Q59" s="915">
        <f t="shared" si="23"/>
        <v>0</v>
      </c>
      <c r="R59" s="915">
        <f t="shared" si="23"/>
        <v>0</v>
      </c>
      <c r="S59" s="915">
        <f t="shared" si="23"/>
        <v>0</v>
      </c>
      <c r="T59" s="915">
        <f t="shared" si="23"/>
        <v>0</v>
      </c>
      <c r="U59" s="915">
        <f t="shared" ref="U59:AR59" si="24">IF(ISERR(GETPIVOTDATA("TOTAL ANNEE",$M$13,"PRODUIT",U$14,"ITEM","CHIFFRE D'AFFAIRE")),0,IF(GETPIVOTDATA("TOTAL ANNEE",$M$13,"PRODUIT",U$14,"ITEM","CHIFFRE D'AFFAIRE")=0,0,U50/GETPIVOTDATA("TOTAL ANNEE",$M$13,"PRODUIT",U$14,"ITEM","CHIFFRE D'AFFAIRE")))</f>
        <v>0</v>
      </c>
      <c r="V59" s="915">
        <f t="shared" si="24"/>
        <v>0</v>
      </c>
      <c r="W59" s="915">
        <f t="shared" si="24"/>
        <v>0</v>
      </c>
      <c r="X59" s="915">
        <f t="shared" si="24"/>
        <v>0</v>
      </c>
      <c r="Y59" s="915">
        <f t="shared" si="24"/>
        <v>0</v>
      </c>
      <c r="Z59" s="915">
        <f t="shared" si="24"/>
        <v>0</v>
      </c>
      <c r="AA59" s="915">
        <f t="shared" si="24"/>
        <v>0</v>
      </c>
      <c r="AB59" s="915">
        <f t="shared" si="24"/>
        <v>0</v>
      </c>
      <c r="AC59" s="915">
        <f t="shared" si="24"/>
        <v>0</v>
      </c>
      <c r="AD59" s="915">
        <f t="shared" si="24"/>
        <v>0</v>
      </c>
      <c r="AE59" s="915">
        <f t="shared" si="24"/>
        <v>0</v>
      </c>
      <c r="AF59" s="915">
        <f t="shared" si="24"/>
        <v>0</v>
      </c>
      <c r="AG59" s="915">
        <f t="shared" si="24"/>
        <v>0</v>
      </c>
      <c r="AH59" s="915">
        <f t="shared" si="24"/>
        <v>0</v>
      </c>
      <c r="AI59" s="915">
        <f t="shared" si="24"/>
        <v>0</v>
      </c>
      <c r="AJ59" s="915">
        <f t="shared" si="24"/>
        <v>0</v>
      </c>
      <c r="AK59" s="915">
        <f t="shared" si="24"/>
        <v>0</v>
      </c>
      <c r="AL59" s="915">
        <f t="shared" si="24"/>
        <v>0</v>
      </c>
      <c r="AM59" s="915">
        <f t="shared" si="24"/>
        <v>0</v>
      </c>
      <c r="AN59" s="915">
        <f t="shared" si="24"/>
        <v>0</v>
      </c>
      <c r="AO59" s="915">
        <f t="shared" si="24"/>
        <v>0</v>
      </c>
      <c r="AP59" s="915">
        <f t="shared" si="24"/>
        <v>0</v>
      </c>
      <c r="AQ59" s="915">
        <f t="shared" si="24"/>
        <v>0</v>
      </c>
      <c r="AR59" s="915">
        <f t="shared" si="24"/>
        <v>0</v>
      </c>
      <c r="AS59" s="915">
        <f t="shared" si="15"/>
        <v>0</v>
      </c>
      <c r="AT59" s="294"/>
      <c r="AU59" s="294"/>
      <c r="AV59" s="151" t="s">
        <v>525</v>
      </c>
      <c r="AW59" s="151"/>
      <c r="AX59" s="916">
        <v>0</v>
      </c>
      <c r="AY59" s="916">
        <v>0</v>
      </c>
      <c r="AZ59" s="916">
        <v>0</v>
      </c>
      <c r="BA59" s="914">
        <v>0</v>
      </c>
      <c r="BB59" s="294"/>
      <c r="BC59" s="294"/>
      <c r="BD59" s="151" t="s">
        <v>525</v>
      </c>
      <c r="BE59" s="151"/>
      <c r="BF59" s="916">
        <v>0</v>
      </c>
      <c r="BG59" s="916">
        <v>0</v>
      </c>
      <c r="BH59" s="916">
        <v>0</v>
      </c>
      <c r="BI59" s="294"/>
      <c r="BJ59" s="294"/>
      <c r="BK59" s="151" t="s">
        <v>525</v>
      </c>
      <c r="BL59" s="151"/>
      <c r="BM59" s="916">
        <v>0</v>
      </c>
      <c r="BN59" s="916">
        <v>0</v>
      </c>
      <c r="BO59" s="916">
        <v>0</v>
      </c>
      <c r="BP59" s="294"/>
      <c r="BQ59" s="294"/>
      <c r="BR59" s="362" t="str">
        <f>VLOOKUP(BU59,TableInputsData[],6,FALSE)</f>
        <v>-</v>
      </c>
      <c r="BS59" s="598" t="str">
        <f>VLOOKUP(BU59,InputsData!$C$36:$I$67,5,FALSE)</f>
        <v>PRODUCT 14</v>
      </c>
      <c r="BT59" s="1" t="s">
        <v>457</v>
      </c>
      <c r="BU59" s="1" t="s">
        <v>1716</v>
      </c>
      <c r="BV59" s="2">
        <v>0</v>
      </c>
      <c r="BW59" s="2">
        <v>0</v>
      </c>
      <c r="BX59" s="2">
        <v>0</v>
      </c>
      <c r="BY59" s="2">
        <v>0</v>
      </c>
      <c r="BZ59" s="2">
        <v>0</v>
      </c>
      <c r="CA59" s="2">
        <v>0</v>
      </c>
      <c r="CB59" s="2">
        <v>0</v>
      </c>
      <c r="CC59" s="2">
        <v>0</v>
      </c>
      <c r="CD59" s="2">
        <v>0</v>
      </c>
      <c r="CE59" s="2">
        <v>0</v>
      </c>
      <c r="CF59" s="2">
        <v>0</v>
      </c>
      <c r="CG59" s="2">
        <v>0</v>
      </c>
      <c r="CH59" s="2">
        <v>0</v>
      </c>
      <c r="CI59" s="2">
        <v>0</v>
      </c>
      <c r="CJ59" s="2">
        <v>0</v>
      </c>
      <c r="CK59" s="2">
        <v>0</v>
      </c>
      <c r="CL59" s="2">
        <v>0</v>
      </c>
      <c r="CM59" s="2">
        <v>0</v>
      </c>
      <c r="CN59" s="2">
        <v>0</v>
      </c>
      <c r="CO59" s="2">
        <v>0</v>
      </c>
      <c r="CP59" s="2">
        <v>0</v>
      </c>
      <c r="CQ59" s="2">
        <v>0</v>
      </c>
      <c r="CR59" s="2">
        <v>0</v>
      </c>
      <c r="CS59" s="2">
        <v>0</v>
      </c>
      <c r="CT59" s="294"/>
    </row>
    <row r="60" spans="1:98" x14ac:dyDescent="0.2">
      <c r="A60" s="294"/>
      <c r="B60" s="204" t="str">
        <f>IF(RIGHT($D60,5)="Total",$B59&amp;" Total",VLOOKUP($D60,TableInputsData[],ReadMe!$M$3,FALSE))</f>
        <v>CHIFFRE D'AFFAIRES %</v>
      </c>
      <c r="C60" s="294"/>
      <c r="D60" s="204" t="s">
        <v>526</v>
      </c>
      <c r="E60" s="25">
        <f t="shared" ref="E60:E67" si="25">+E15</f>
        <v>2023</v>
      </c>
      <c r="F60" s="352">
        <f t="shared" ref="F60:J62" si="26">IF($J24=0,0,F24/$J24)</f>
        <v>0</v>
      </c>
      <c r="G60" s="352">
        <f t="shared" si="26"/>
        <v>0</v>
      </c>
      <c r="H60" s="352">
        <f t="shared" si="26"/>
        <v>0</v>
      </c>
      <c r="I60" s="352">
        <f t="shared" si="26"/>
        <v>0</v>
      </c>
      <c r="J60" s="352">
        <f t="shared" si="26"/>
        <v>0</v>
      </c>
      <c r="K60" s="294"/>
      <c r="L60" s="294"/>
      <c r="M60" s="204" t="s">
        <v>526</v>
      </c>
      <c r="N60" s="25">
        <f>N15</f>
        <v>2023</v>
      </c>
      <c r="O60" s="352">
        <f>IF($J24=0,0,O24/$J24)</f>
        <v>0</v>
      </c>
      <c r="P60" s="352">
        <f t="shared" ref="P60:S60" si="27">IF($J24=0,0,P24/$J24)</f>
        <v>0</v>
      </c>
      <c r="Q60" s="352">
        <f t="shared" si="27"/>
        <v>0</v>
      </c>
      <c r="R60" s="352">
        <f t="shared" si="27"/>
        <v>0</v>
      </c>
      <c r="S60" s="352">
        <f t="shared" si="27"/>
        <v>0</v>
      </c>
      <c r="T60" s="352">
        <f t="shared" ref="T60" si="28">IF($J24=0,0,T24/$J24)</f>
        <v>0</v>
      </c>
      <c r="U60" s="352">
        <f t="shared" ref="U60:AR60" si="29">IF($J24=0,0,U24/$J24)</f>
        <v>0</v>
      </c>
      <c r="V60" s="352">
        <f t="shared" si="29"/>
        <v>0</v>
      </c>
      <c r="W60" s="352">
        <f t="shared" si="29"/>
        <v>0</v>
      </c>
      <c r="X60" s="352">
        <f t="shared" si="29"/>
        <v>0</v>
      </c>
      <c r="Y60" s="352">
        <f t="shared" si="29"/>
        <v>0</v>
      </c>
      <c r="Z60" s="352">
        <f t="shared" si="29"/>
        <v>0</v>
      </c>
      <c r="AA60" s="352">
        <f t="shared" si="29"/>
        <v>0</v>
      </c>
      <c r="AB60" s="352">
        <f t="shared" si="29"/>
        <v>0</v>
      </c>
      <c r="AC60" s="352">
        <f t="shared" si="29"/>
        <v>0</v>
      </c>
      <c r="AD60" s="352">
        <f t="shared" si="29"/>
        <v>0</v>
      </c>
      <c r="AE60" s="352">
        <f t="shared" si="29"/>
        <v>0</v>
      </c>
      <c r="AF60" s="352">
        <f t="shared" si="29"/>
        <v>0</v>
      </c>
      <c r="AG60" s="352">
        <f t="shared" si="29"/>
        <v>0</v>
      </c>
      <c r="AH60" s="352">
        <f t="shared" si="29"/>
        <v>0</v>
      </c>
      <c r="AI60" s="352">
        <f t="shared" si="29"/>
        <v>0</v>
      </c>
      <c r="AJ60" s="352">
        <f t="shared" si="29"/>
        <v>0</v>
      </c>
      <c r="AK60" s="352">
        <f t="shared" si="29"/>
        <v>0</v>
      </c>
      <c r="AL60" s="352">
        <f t="shared" si="29"/>
        <v>0</v>
      </c>
      <c r="AM60" s="352">
        <f t="shared" si="29"/>
        <v>0</v>
      </c>
      <c r="AN60" s="352">
        <f t="shared" si="29"/>
        <v>0</v>
      </c>
      <c r="AO60" s="352">
        <f t="shared" si="29"/>
        <v>0</v>
      </c>
      <c r="AP60" s="352">
        <f t="shared" si="29"/>
        <v>0</v>
      </c>
      <c r="AQ60" s="352">
        <f t="shared" si="29"/>
        <v>0</v>
      </c>
      <c r="AR60" s="352">
        <f t="shared" si="29"/>
        <v>0</v>
      </c>
      <c r="AS60" s="352">
        <f t="shared" ref="AS60:AS68" si="30">SUM(O60:AR60)</f>
        <v>0</v>
      </c>
      <c r="AT60" s="294"/>
      <c r="AU60" s="294"/>
      <c r="AV60" s="204" t="s">
        <v>526</v>
      </c>
      <c r="AW60" s="25">
        <f>AW15</f>
        <v>2023</v>
      </c>
      <c r="AX60" s="352">
        <f>IF($BA24=0,0,AX24/$BA24)</f>
        <v>0</v>
      </c>
      <c r="AY60" s="352">
        <f t="shared" ref="AY60:BA60" si="31">IF($BA24=0,0,AY24/$BA24)</f>
        <v>0</v>
      </c>
      <c r="AZ60" s="352">
        <f t="shared" si="31"/>
        <v>0</v>
      </c>
      <c r="BA60" s="352">
        <f t="shared" si="31"/>
        <v>0</v>
      </c>
      <c r="BB60" s="294"/>
      <c r="BC60" s="294"/>
      <c r="BD60" s="204" t="s">
        <v>526</v>
      </c>
      <c r="BE60" s="25">
        <f>BE15</f>
        <v>2023</v>
      </c>
      <c r="BF60" s="352">
        <f>IF($BH24=0,0,BF24/$BH24)</f>
        <v>0</v>
      </c>
      <c r="BG60" s="352">
        <f t="shared" ref="BG60:BH60" si="32">IF($BH24=0,0,BG24/$BH24)</f>
        <v>0</v>
      </c>
      <c r="BH60" s="352">
        <f t="shared" si="32"/>
        <v>0</v>
      </c>
      <c r="BI60" s="294"/>
      <c r="BJ60" s="294"/>
      <c r="BK60" s="204" t="s">
        <v>526</v>
      </c>
      <c r="BL60" s="25">
        <f>BL15</f>
        <v>2023</v>
      </c>
      <c r="BM60" s="352">
        <f>IF($BO24=0,0,BM24/$BO24)</f>
        <v>0</v>
      </c>
      <c r="BN60" s="352">
        <f t="shared" ref="BN60:BO60" si="33">IF($BO24=0,0,BN24/$BO24)</f>
        <v>0</v>
      </c>
      <c r="BO60" s="352">
        <f t="shared" si="33"/>
        <v>0</v>
      </c>
      <c r="BP60" s="294"/>
      <c r="BQ60" s="294"/>
      <c r="BR60" s="362" t="str">
        <f>VLOOKUP(BU60,TableInputsData[],6,FALSE)</f>
        <v>-</v>
      </c>
      <c r="BS60" s="598" t="str">
        <f>VLOOKUP(BU60,InputsData!$C$36:$I$67,5,FALSE)</f>
        <v>PRODUCT 15</v>
      </c>
      <c r="BT60" s="1" t="s">
        <v>457</v>
      </c>
      <c r="BU60" s="1" t="s">
        <v>1718</v>
      </c>
      <c r="BV60" s="2">
        <v>0</v>
      </c>
      <c r="BW60" s="2">
        <v>0</v>
      </c>
      <c r="BX60" s="2">
        <v>0</v>
      </c>
      <c r="BY60" s="2">
        <v>0</v>
      </c>
      <c r="BZ60" s="2">
        <v>0</v>
      </c>
      <c r="CA60" s="2">
        <v>0</v>
      </c>
      <c r="CB60" s="2">
        <v>0</v>
      </c>
      <c r="CC60" s="2">
        <v>0</v>
      </c>
      <c r="CD60" s="2">
        <v>0</v>
      </c>
      <c r="CE60" s="2">
        <v>0</v>
      </c>
      <c r="CF60" s="2">
        <v>0</v>
      </c>
      <c r="CG60" s="2">
        <v>0</v>
      </c>
      <c r="CH60" s="2">
        <v>0</v>
      </c>
      <c r="CI60" s="2">
        <v>0</v>
      </c>
      <c r="CJ60" s="2">
        <v>0</v>
      </c>
      <c r="CK60" s="2">
        <v>0</v>
      </c>
      <c r="CL60" s="2">
        <v>0</v>
      </c>
      <c r="CM60" s="2">
        <v>0</v>
      </c>
      <c r="CN60" s="2">
        <v>0</v>
      </c>
      <c r="CO60" s="2">
        <v>0</v>
      </c>
      <c r="CP60" s="2">
        <v>0</v>
      </c>
      <c r="CQ60" s="2">
        <v>0</v>
      </c>
      <c r="CR60" s="2">
        <v>0</v>
      </c>
      <c r="CS60" s="2">
        <v>0</v>
      </c>
      <c r="CT60" s="294"/>
    </row>
    <row r="61" spans="1:98" x14ac:dyDescent="0.2">
      <c r="A61" s="294"/>
      <c r="B61" s="204" t="str">
        <f>IF(RIGHT($D61,5)="Total",$B60&amp;" Total",VLOOKUP($D61,TableInputsData[],ReadMe!$M$3,FALSE))</f>
        <v>CHIFFRE D'AFFAIRES %</v>
      </c>
      <c r="C61" s="294"/>
      <c r="D61" s="204" t="str">
        <f t="shared" ref="D61:D67" si="34">D60</f>
        <v>REVENUE %</v>
      </c>
      <c r="E61" s="25">
        <f t="shared" si="25"/>
        <v>2024</v>
      </c>
      <c r="F61" s="352">
        <f t="shared" si="26"/>
        <v>0</v>
      </c>
      <c r="G61" s="352">
        <f t="shared" si="26"/>
        <v>0</v>
      </c>
      <c r="H61" s="352">
        <f t="shared" si="26"/>
        <v>0</v>
      </c>
      <c r="I61" s="352">
        <f t="shared" si="26"/>
        <v>0</v>
      </c>
      <c r="J61" s="352">
        <f t="shared" si="26"/>
        <v>0</v>
      </c>
      <c r="K61" s="294"/>
      <c r="L61" s="294"/>
      <c r="M61" s="204" t="str">
        <f>M60</f>
        <v>REVENUE %</v>
      </c>
      <c r="N61" s="25">
        <f t="shared" ref="N61:N67" si="35">N16</f>
        <v>2024</v>
      </c>
      <c r="O61" s="352">
        <f t="shared" ref="O61:S61" si="36">IF($J25=0,0,O25/$J25)</f>
        <v>0</v>
      </c>
      <c r="P61" s="352">
        <f t="shared" si="36"/>
        <v>0</v>
      </c>
      <c r="Q61" s="352">
        <f t="shared" si="36"/>
        <v>0</v>
      </c>
      <c r="R61" s="352">
        <f t="shared" si="36"/>
        <v>0</v>
      </c>
      <c r="S61" s="352">
        <f t="shared" si="36"/>
        <v>0</v>
      </c>
      <c r="T61" s="352">
        <f t="shared" ref="T61" si="37">IF($J25=0,0,T25/$J25)</f>
        <v>0</v>
      </c>
      <c r="U61" s="352">
        <f t="shared" ref="U61:AR61" si="38">IF($J25=0,0,U25/$J25)</f>
        <v>0</v>
      </c>
      <c r="V61" s="352">
        <f t="shared" si="38"/>
        <v>0</v>
      </c>
      <c r="W61" s="352">
        <f t="shared" si="38"/>
        <v>0</v>
      </c>
      <c r="X61" s="352">
        <f t="shared" si="38"/>
        <v>0</v>
      </c>
      <c r="Y61" s="352">
        <f t="shared" si="38"/>
        <v>0</v>
      </c>
      <c r="Z61" s="352">
        <f t="shared" si="38"/>
        <v>0</v>
      </c>
      <c r="AA61" s="352">
        <f t="shared" si="38"/>
        <v>0</v>
      </c>
      <c r="AB61" s="352">
        <f t="shared" si="38"/>
        <v>0</v>
      </c>
      <c r="AC61" s="352">
        <f t="shared" si="38"/>
        <v>0</v>
      </c>
      <c r="AD61" s="352">
        <f t="shared" si="38"/>
        <v>0</v>
      </c>
      <c r="AE61" s="352">
        <f t="shared" si="38"/>
        <v>0</v>
      </c>
      <c r="AF61" s="352">
        <f t="shared" si="38"/>
        <v>0</v>
      </c>
      <c r="AG61" s="352">
        <f t="shared" si="38"/>
        <v>0</v>
      </c>
      <c r="AH61" s="352">
        <f t="shared" si="38"/>
        <v>0</v>
      </c>
      <c r="AI61" s="352">
        <f t="shared" si="38"/>
        <v>0</v>
      </c>
      <c r="AJ61" s="352">
        <f t="shared" si="38"/>
        <v>0</v>
      </c>
      <c r="AK61" s="352">
        <f t="shared" si="38"/>
        <v>0</v>
      </c>
      <c r="AL61" s="352">
        <f t="shared" si="38"/>
        <v>0</v>
      </c>
      <c r="AM61" s="352">
        <f t="shared" si="38"/>
        <v>0</v>
      </c>
      <c r="AN61" s="352">
        <f t="shared" si="38"/>
        <v>0</v>
      </c>
      <c r="AO61" s="352">
        <f t="shared" si="38"/>
        <v>0</v>
      </c>
      <c r="AP61" s="352">
        <f t="shared" si="38"/>
        <v>0</v>
      </c>
      <c r="AQ61" s="352">
        <f t="shared" si="38"/>
        <v>0</v>
      </c>
      <c r="AR61" s="352">
        <f t="shared" si="38"/>
        <v>0</v>
      </c>
      <c r="AS61" s="352">
        <f t="shared" si="30"/>
        <v>0</v>
      </c>
      <c r="AT61" s="294"/>
      <c r="AU61" s="294"/>
      <c r="AV61" s="204" t="str">
        <f>AV60</f>
        <v>REVENUE %</v>
      </c>
      <c r="AW61" s="25">
        <f t="shared" ref="AW61:AW67" si="39">AW16</f>
        <v>2024</v>
      </c>
      <c r="AX61" s="352">
        <f t="shared" ref="AX61:BA68" si="40">IF($BA25=0,0,AX25/$BA25)</f>
        <v>0</v>
      </c>
      <c r="AY61" s="352">
        <f t="shared" si="40"/>
        <v>0</v>
      </c>
      <c r="AZ61" s="352">
        <f t="shared" si="40"/>
        <v>0</v>
      </c>
      <c r="BA61" s="352">
        <f t="shared" si="40"/>
        <v>0</v>
      </c>
      <c r="BB61" s="294"/>
      <c r="BC61" s="294"/>
      <c r="BD61" s="204" t="str">
        <f>BD60</f>
        <v>REVENUE %</v>
      </c>
      <c r="BE61" s="25">
        <f t="shared" ref="BE61:BE67" si="41">BE16</f>
        <v>2024</v>
      </c>
      <c r="BF61" s="352">
        <f t="shared" ref="BF61:BH68" si="42">IF($BH25=0,0,BF25/$BH25)</f>
        <v>0</v>
      </c>
      <c r="BG61" s="352">
        <f t="shared" si="42"/>
        <v>0</v>
      </c>
      <c r="BH61" s="352">
        <f t="shared" si="42"/>
        <v>0</v>
      </c>
      <c r="BI61" s="294"/>
      <c r="BJ61" s="294"/>
      <c r="BK61" s="204" t="str">
        <f>BK60</f>
        <v>REVENUE %</v>
      </c>
      <c r="BL61" s="25">
        <f t="shared" ref="BL61:BL67" si="43">BL16</f>
        <v>2024</v>
      </c>
      <c r="BM61" s="352">
        <f t="shared" ref="BM61:BO68" si="44">IF($BO25=0,0,BM25/$BO25)</f>
        <v>0</v>
      </c>
      <c r="BN61" s="352">
        <f t="shared" si="44"/>
        <v>0</v>
      </c>
      <c r="BO61" s="352">
        <f t="shared" si="44"/>
        <v>0</v>
      </c>
      <c r="BP61" s="294"/>
      <c r="BQ61" s="294"/>
      <c r="BR61" s="362" t="str">
        <f>VLOOKUP(BU61,TableInputsData[],6,FALSE)</f>
        <v>-</v>
      </c>
      <c r="BS61" s="598" t="str">
        <f>VLOOKUP(BU61,InputsData!$C$36:$I$67,5,FALSE)</f>
        <v>PRODUCT 16</v>
      </c>
      <c r="BT61" s="1" t="s">
        <v>457</v>
      </c>
      <c r="BU61" s="1" t="s">
        <v>1720</v>
      </c>
      <c r="BV61" s="2">
        <v>0</v>
      </c>
      <c r="BW61" s="2">
        <v>0</v>
      </c>
      <c r="BX61" s="2">
        <v>0</v>
      </c>
      <c r="BY61" s="2">
        <v>0</v>
      </c>
      <c r="BZ61" s="2">
        <v>0</v>
      </c>
      <c r="CA61" s="2">
        <v>0</v>
      </c>
      <c r="CB61" s="2">
        <v>0</v>
      </c>
      <c r="CC61" s="2">
        <v>0</v>
      </c>
      <c r="CD61" s="2">
        <v>0</v>
      </c>
      <c r="CE61" s="2">
        <v>0</v>
      </c>
      <c r="CF61" s="2">
        <v>0</v>
      </c>
      <c r="CG61" s="2">
        <v>0</v>
      </c>
      <c r="CH61" s="2">
        <v>0</v>
      </c>
      <c r="CI61" s="2">
        <v>0</v>
      </c>
      <c r="CJ61" s="2">
        <v>0</v>
      </c>
      <c r="CK61" s="2">
        <v>0</v>
      </c>
      <c r="CL61" s="2">
        <v>0</v>
      </c>
      <c r="CM61" s="2">
        <v>0</v>
      </c>
      <c r="CN61" s="2">
        <v>0</v>
      </c>
      <c r="CO61" s="2">
        <v>0</v>
      </c>
      <c r="CP61" s="2">
        <v>0</v>
      </c>
      <c r="CQ61" s="2">
        <v>0</v>
      </c>
      <c r="CR61" s="2">
        <v>0</v>
      </c>
      <c r="CS61" s="2">
        <v>0</v>
      </c>
      <c r="CT61" s="294"/>
    </row>
    <row r="62" spans="1:98" x14ac:dyDescent="0.2">
      <c r="A62" s="294"/>
      <c r="B62" s="204" t="str">
        <f>IF(RIGHT($D62,5)="Total",$B61&amp;" Total",VLOOKUP($D62,TableInputsData[],ReadMe!$M$3,FALSE))</f>
        <v>CHIFFRE D'AFFAIRES %</v>
      </c>
      <c r="C62" s="294"/>
      <c r="D62" s="204" t="str">
        <f t="shared" si="34"/>
        <v>REVENUE %</v>
      </c>
      <c r="E62" s="25">
        <f t="shared" si="25"/>
        <v>2025</v>
      </c>
      <c r="F62" s="352">
        <f t="shared" si="26"/>
        <v>0</v>
      </c>
      <c r="G62" s="352">
        <f t="shared" si="26"/>
        <v>0</v>
      </c>
      <c r="H62" s="352">
        <f t="shared" si="26"/>
        <v>0</v>
      </c>
      <c r="I62" s="352">
        <f t="shared" si="26"/>
        <v>0</v>
      </c>
      <c r="J62" s="352">
        <f t="shared" si="26"/>
        <v>0</v>
      </c>
      <c r="K62" s="294"/>
      <c r="L62" s="294"/>
      <c r="M62" s="204" t="str">
        <f t="shared" ref="M62:M67" si="45">M61</f>
        <v>REVENUE %</v>
      </c>
      <c r="N62" s="25">
        <f t="shared" si="35"/>
        <v>2025</v>
      </c>
      <c r="O62" s="352">
        <f t="shared" ref="O62:S62" si="46">IF($J26=0,0,O26/$J26)</f>
        <v>0</v>
      </c>
      <c r="P62" s="352">
        <f t="shared" si="46"/>
        <v>0</v>
      </c>
      <c r="Q62" s="352">
        <f t="shared" si="46"/>
        <v>0</v>
      </c>
      <c r="R62" s="352">
        <f t="shared" si="46"/>
        <v>0</v>
      </c>
      <c r="S62" s="352">
        <f t="shared" si="46"/>
        <v>0</v>
      </c>
      <c r="T62" s="352">
        <f t="shared" ref="T62" si="47">IF($J26=0,0,T26/$J26)</f>
        <v>0</v>
      </c>
      <c r="U62" s="352">
        <f t="shared" ref="U62:AR62" si="48">IF($J26=0,0,U26/$J26)</f>
        <v>0</v>
      </c>
      <c r="V62" s="352">
        <f t="shared" si="48"/>
        <v>0</v>
      </c>
      <c r="W62" s="352">
        <f t="shared" si="48"/>
        <v>0</v>
      </c>
      <c r="X62" s="352">
        <f t="shared" si="48"/>
        <v>0</v>
      </c>
      <c r="Y62" s="352">
        <f t="shared" si="48"/>
        <v>0</v>
      </c>
      <c r="Z62" s="352">
        <f t="shared" si="48"/>
        <v>0</v>
      </c>
      <c r="AA62" s="352">
        <f t="shared" si="48"/>
        <v>0</v>
      </c>
      <c r="AB62" s="352">
        <f t="shared" si="48"/>
        <v>0</v>
      </c>
      <c r="AC62" s="352">
        <f t="shared" si="48"/>
        <v>0</v>
      </c>
      <c r="AD62" s="352">
        <f t="shared" si="48"/>
        <v>0</v>
      </c>
      <c r="AE62" s="352">
        <f t="shared" si="48"/>
        <v>0</v>
      </c>
      <c r="AF62" s="352">
        <f t="shared" si="48"/>
        <v>0</v>
      </c>
      <c r="AG62" s="352">
        <f t="shared" si="48"/>
        <v>0</v>
      </c>
      <c r="AH62" s="352">
        <f t="shared" si="48"/>
        <v>0</v>
      </c>
      <c r="AI62" s="352">
        <f t="shared" si="48"/>
        <v>0</v>
      </c>
      <c r="AJ62" s="352">
        <f t="shared" si="48"/>
        <v>0</v>
      </c>
      <c r="AK62" s="352">
        <f t="shared" si="48"/>
        <v>0</v>
      </c>
      <c r="AL62" s="352">
        <f t="shared" si="48"/>
        <v>0</v>
      </c>
      <c r="AM62" s="352">
        <f t="shared" si="48"/>
        <v>0</v>
      </c>
      <c r="AN62" s="352">
        <f t="shared" si="48"/>
        <v>0</v>
      </c>
      <c r="AO62" s="352">
        <f t="shared" si="48"/>
        <v>0</v>
      </c>
      <c r="AP62" s="352">
        <f t="shared" si="48"/>
        <v>0</v>
      </c>
      <c r="AQ62" s="352">
        <f t="shared" si="48"/>
        <v>0</v>
      </c>
      <c r="AR62" s="352">
        <f t="shared" si="48"/>
        <v>0</v>
      </c>
      <c r="AS62" s="352">
        <f t="shared" si="30"/>
        <v>0</v>
      </c>
      <c r="AT62" s="294"/>
      <c r="AU62" s="294"/>
      <c r="AV62" s="204" t="str">
        <f t="shared" ref="AV62:AV67" si="49">AV61</f>
        <v>REVENUE %</v>
      </c>
      <c r="AW62" s="25">
        <f t="shared" si="39"/>
        <v>2025</v>
      </c>
      <c r="AX62" s="352">
        <f t="shared" si="40"/>
        <v>0</v>
      </c>
      <c r="AY62" s="352">
        <f t="shared" si="40"/>
        <v>0</v>
      </c>
      <c r="AZ62" s="352">
        <f t="shared" si="40"/>
        <v>0</v>
      </c>
      <c r="BA62" s="352">
        <f t="shared" si="40"/>
        <v>0</v>
      </c>
      <c r="BB62" s="294"/>
      <c r="BC62" s="294"/>
      <c r="BD62" s="204" t="str">
        <f t="shared" ref="BD62:BD67" si="50">BD61</f>
        <v>REVENUE %</v>
      </c>
      <c r="BE62" s="25">
        <f t="shared" si="41"/>
        <v>2025</v>
      </c>
      <c r="BF62" s="352">
        <f t="shared" si="42"/>
        <v>0</v>
      </c>
      <c r="BG62" s="352">
        <f t="shared" si="42"/>
        <v>0</v>
      </c>
      <c r="BH62" s="352">
        <f t="shared" si="42"/>
        <v>0</v>
      </c>
      <c r="BI62" s="294"/>
      <c r="BJ62" s="294"/>
      <c r="BK62" s="204" t="str">
        <f t="shared" ref="BK62:BK67" si="51">BK61</f>
        <v>REVENUE %</v>
      </c>
      <c r="BL62" s="25">
        <f t="shared" si="43"/>
        <v>2025</v>
      </c>
      <c r="BM62" s="352">
        <f t="shared" si="44"/>
        <v>0</v>
      </c>
      <c r="BN62" s="352">
        <f t="shared" si="44"/>
        <v>0</v>
      </c>
      <c r="BO62" s="352">
        <f t="shared" si="44"/>
        <v>0</v>
      </c>
      <c r="BP62" s="294"/>
      <c r="BQ62" s="294"/>
      <c r="BR62" s="362" t="str">
        <f>VLOOKUP(BU62,TableInputsData[],6,FALSE)</f>
        <v>-</v>
      </c>
      <c r="BS62" s="598" t="str">
        <f>VLOOKUP(BU62,InputsData!$C$36:$I$67,5,FALSE)</f>
        <v>PRODUCT 17</v>
      </c>
      <c r="BT62" s="1" t="s">
        <v>457</v>
      </c>
      <c r="BU62" s="1" t="s">
        <v>1722</v>
      </c>
      <c r="BV62" s="2">
        <v>0</v>
      </c>
      <c r="BW62" s="2">
        <v>0</v>
      </c>
      <c r="BX62" s="2">
        <v>0</v>
      </c>
      <c r="BY62" s="2">
        <v>0</v>
      </c>
      <c r="BZ62" s="2">
        <v>0</v>
      </c>
      <c r="CA62" s="2">
        <v>0</v>
      </c>
      <c r="CB62" s="2">
        <v>0</v>
      </c>
      <c r="CC62" s="2">
        <v>0</v>
      </c>
      <c r="CD62" s="2">
        <v>0</v>
      </c>
      <c r="CE62" s="2">
        <v>0</v>
      </c>
      <c r="CF62" s="2">
        <v>0</v>
      </c>
      <c r="CG62" s="2">
        <v>0</v>
      </c>
      <c r="CH62" s="2">
        <v>0</v>
      </c>
      <c r="CI62" s="2">
        <v>0</v>
      </c>
      <c r="CJ62" s="2">
        <v>0</v>
      </c>
      <c r="CK62" s="2">
        <v>0</v>
      </c>
      <c r="CL62" s="2">
        <v>0</v>
      </c>
      <c r="CM62" s="2">
        <v>0</v>
      </c>
      <c r="CN62" s="2">
        <v>0</v>
      </c>
      <c r="CO62" s="2">
        <v>0</v>
      </c>
      <c r="CP62" s="2">
        <v>0</v>
      </c>
      <c r="CQ62" s="2">
        <v>0</v>
      </c>
      <c r="CR62" s="2">
        <v>0</v>
      </c>
      <c r="CS62" s="2">
        <v>0</v>
      </c>
      <c r="CT62" s="294"/>
    </row>
    <row r="63" spans="1:98" x14ac:dyDescent="0.2">
      <c r="A63" s="294"/>
      <c r="B63" s="204" t="str">
        <f>IF(RIGHT($D63,5)="Total",$B62&amp;" Total",VLOOKUP($D63,TableInputsData[],ReadMe!$M$3,FALSE))</f>
        <v>CHIFFRE D'AFFAIRES %</v>
      </c>
      <c r="C63" s="294"/>
      <c r="D63" s="204" t="str">
        <f t="shared" si="34"/>
        <v>REVENUE %</v>
      </c>
      <c r="E63" s="25">
        <f t="shared" si="25"/>
        <v>2026</v>
      </c>
      <c r="F63" s="352">
        <f t="shared" ref="F63:J63" si="52">IF($J27=0,0,F27/$J27)</f>
        <v>0</v>
      </c>
      <c r="G63" s="352">
        <f t="shared" si="52"/>
        <v>0</v>
      </c>
      <c r="H63" s="352">
        <f t="shared" si="52"/>
        <v>0</v>
      </c>
      <c r="I63" s="352">
        <f t="shared" si="52"/>
        <v>0</v>
      </c>
      <c r="J63" s="352">
        <f t="shared" si="52"/>
        <v>0</v>
      </c>
      <c r="K63" s="294"/>
      <c r="L63" s="294"/>
      <c r="M63" s="204" t="str">
        <f t="shared" si="45"/>
        <v>REVENUE %</v>
      </c>
      <c r="N63" s="25">
        <f t="shared" si="35"/>
        <v>2026</v>
      </c>
      <c r="O63" s="352">
        <f t="shared" ref="O63:S63" si="53">IF($J27=0,0,O27/$J27)</f>
        <v>0</v>
      </c>
      <c r="P63" s="352">
        <f t="shared" si="53"/>
        <v>0</v>
      </c>
      <c r="Q63" s="352">
        <f t="shared" si="53"/>
        <v>0</v>
      </c>
      <c r="R63" s="352">
        <f t="shared" si="53"/>
        <v>0</v>
      </c>
      <c r="S63" s="352">
        <f t="shared" si="53"/>
        <v>0</v>
      </c>
      <c r="T63" s="352">
        <f t="shared" ref="T63" si="54">IF($J27=0,0,T27/$J27)</f>
        <v>0</v>
      </c>
      <c r="U63" s="352">
        <f t="shared" ref="U63:AR63" si="55">IF($J27=0,0,U27/$J27)</f>
        <v>0</v>
      </c>
      <c r="V63" s="352">
        <f t="shared" si="55"/>
        <v>0</v>
      </c>
      <c r="W63" s="352">
        <f t="shared" si="55"/>
        <v>0</v>
      </c>
      <c r="X63" s="352">
        <f t="shared" si="55"/>
        <v>0</v>
      </c>
      <c r="Y63" s="352">
        <f t="shared" si="55"/>
        <v>0</v>
      </c>
      <c r="Z63" s="352">
        <f t="shared" si="55"/>
        <v>0</v>
      </c>
      <c r="AA63" s="352">
        <f t="shared" si="55"/>
        <v>0</v>
      </c>
      <c r="AB63" s="352">
        <f t="shared" si="55"/>
        <v>0</v>
      </c>
      <c r="AC63" s="352">
        <f t="shared" si="55"/>
        <v>0</v>
      </c>
      <c r="AD63" s="352">
        <f t="shared" si="55"/>
        <v>0</v>
      </c>
      <c r="AE63" s="352">
        <f t="shared" si="55"/>
        <v>0</v>
      </c>
      <c r="AF63" s="352">
        <f t="shared" si="55"/>
        <v>0</v>
      </c>
      <c r="AG63" s="352">
        <f t="shared" si="55"/>
        <v>0</v>
      </c>
      <c r="AH63" s="352">
        <f t="shared" si="55"/>
        <v>0</v>
      </c>
      <c r="AI63" s="352">
        <f t="shared" si="55"/>
        <v>0</v>
      </c>
      <c r="AJ63" s="352">
        <f t="shared" si="55"/>
        <v>0</v>
      </c>
      <c r="AK63" s="352">
        <f t="shared" si="55"/>
        <v>0</v>
      </c>
      <c r="AL63" s="352">
        <f t="shared" si="55"/>
        <v>0</v>
      </c>
      <c r="AM63" s="352">
        <f t="shared" si="55"/>
        <v>0</v>
      </c>
      <c r="AN63" s="352">
        <f t="shared" si="55"/>
        <v>0</v>
      </c>
      <c r="AO63" s="352">
        <f t="shared" si="55"/>
        <v>0</v>
      </c>
      <c r="AP63" s="352">
        <f t="shared" si="55"/>
        <v>0</v>
      </c>
      <c r="AQ63" s="352">
        <f t="shared" si="55"/>
        <v>0</v>
      </c>
      <c r="AR63" s="352">
        <f t="shared" si="55"/>
        <v>0</v>
      </c>
      <c r="AS63" s="352">
        <f t="shared" si="30"/>
        <v>0</v>
      </c>
      <c r="AT63" s="294"/>
      <c r="AU63" s="294"/>
      <c r="AV63" s="204" t="str">
        <f t="shared" si="49"/>
        <v>REVENUE %</v>
      </c>
      <c r="AW63" s="25">
        <f t="shared" si="39"/>
        <v>2026</v>
      </c>
      <c r="AX63" s="352">
        <f t="shared" si="40"/>
        <v>0</v>
      </c>
      <c r="AY63" s="352">
        <f t="shared" si="40"/>
        <v>0</v>
      </c>
      <c r="AZ63" s="352">
        <f t="shared" si="40"/>
        <v>0</v>
      </c>
      <c r="BA63" s="352">
        <f t="shared" si="40"/>
        <v>0</v>
      </c>
      <c r="BB63" s="294"/>
      <c r="BC63" s="294"/>
      <c r="BD63" s="204" t="str">
        <f t="shared" si="50"/>
        <v>REVENUE %</v>
      </c>
      <c r="BE63" s="25">
        <f t="shared" si="41"/>
        <v>2026</v>
      </c>
      <c r="BF63" s="352">
        <f t="shared" si="42"/>
        <v>0</v>
      </c>
      <c r="BG63" s="352">
        <f t="shared" si="42"/>
        <v>0</v>
      </c>
      <c r="BH63" s="352">
        <f t="shared" si="42"/>
        <v>0</v>
      </c>
      <c r="BI63" s="294"/>
      <c r="BJ63" s="294"/>
      <c r="BK63" s="204" t="str">
        <f t="shared" si="51"/>
        <v>REVENUE %</v>
      </c>
      <c r="BL63" s="25">
        <f t="shared" si="43"/>
        <v>2026</v>
      </c>
      <c r="BM63" s="352">
        <f t="shared" si="44"/>
        <v>0</v>
      </c>
      <c r="BN63" s="352">
        <f t="shared" si="44"/>
        <v>0</v>
      </c>
      <c r="BO63" s="352">
        <f t="shared" si="44"/>
        <v>0</v>
      </c>
      <c r="BP63" s="294"/>
      <c r="BQ63" s="294"/>
      <c r="BR63" s="362" t="str">
        <f>VLOOKUP(BU63,TableInputsData[],6,FALSE)</f>
        <v>-</v>
      </c>
      <c r="BS63" s="598" t="str">
        <f>VLOOKUP(BU63,InputsData!$C$36:$I$67,5,FALSE)</f>
        <v>PRODUCT 18</v>
      </c>
      <c r="BT63" s="1" t="s">
        <v>457</v>
      </c>
      <c r="BU63" s="1" t="s">
        <v>1724</v>
      </c>
      <c r="BV63" s="2">
        <v>0</v>
      </c>
      <c r="BW63" s="2">
        <v>0</v>
      </c>
      <c r="BX63" s="2">
        <v>0</v>
      </c>
      <c r="BY63" s="2">
        <v>0</v>
      </c>
      <c r="BZ63" s="2">
        <v>0</v>
      </c>
      <c r="CA63" s="2">
        <v>0</v>
      </c>
      <c r="CB63" s="2">
        <v>0</v>
      </c>
      <c r="CC63" s="2">
        <v>0</v>
      </c>
      <c r="CD63" s="2">
        <v>0</v>
      </c>
      <c r="CE63" s="2">
        <v>0</v>
      </c>
      <c r="CF63" s="2">
        <v>0</v>
      </c>
      <c r="CG63" s="2">
        <v>0</v>
      </c>
      <c r="CH63" s="2">
        <v>0</v>
      </c>
      <c r="CI63" s="2">
        <v>0</v>
      </c>
      <c r="CJ63" s="2">
        <v>0</v>
      </c>
      <c r="CK63" s="2">
        <v>0</v>
      </c>
      <c r="CL63" s="2">
        <v>0</v>
      </c>
      <c r="CM63" s="2">
        <v>0</v>
      </c>
      <c r="CN63" s="2">
        <v>0</v>
      </c>
      <c r="CO63" s="2">
        <v>0</v>
      </c>
      <c r="CP63" s="2">
        <v>0</v>
      </c>
      <c r="CQ63" s="2">
        <v>0</v>
      </c>
      <c r="CR63" s="2">
        <v>0</v>
      </c>
      <c r="CS63" s="2">
        <v>0</v>
      </c>
      <c r="CT63" s="294"/>
    </row>
    <row r="64" spans="1:98" x14ac:dyDescent="0.2">
      <c r="A64" s="294"/>
      <c r="B64" s="204" t="str">
        <f>IF(RIGHT($D64,5)="Total",$B63&amp;" Total",VLOOKUP($D64,TableInputsData[],ReadMe!$M$3,FALSE))</f>
        <v>CHIFFRE D'AFFAIRES %</v>
      </c>
      <c r="C64" s="294"/>
      <c r="D64" s="204" t="str">
        <f t="shared" si="34"/>
        <v>REVENUE %</v>
      </c>
      <c r="E64" s="25">
        <f t="shared" si="25"/>
        <v>2027</v>
      </c>
      <c r="F64" s="352">
        <f t="shared" ref="F64:J64" si="56">IF($J28=0,0,F28/$J28)</f>
        <v>0</v>
      </c>
      <c r="G64" s="352">
        <f t="shared" si="56"/>
        <v>0</v>
      </c>
      <c r="H64" s="352">
        <f t="shared" si="56"/>
        <v>0</v>
      </c>
      <c r="I64" s="352">
        <f t="shared" si="56"/>
        <v>0</v>
      </c>
      <c r="J64" s="352">
        <f t="shared" si="56"/>
        <v>0</v>
      </c>
      <c r="K64" s="294"/>
      <c r="L64" s="294"/>
      <c r="M64" s="204" t="str">
        <f t="shared" si="45"/>
        <v>REVENUE %</v>
      </c>
      <c r="N64" s="25">
        <f t="shared" si="35"/>
        <v>2027</v>
      </c>
      <c r="O64" s="352">
        <f t="shared" ref="O64:S64" si="57">IF($J28=0,0,O28/$J28)</f>
        <v>0</v>
      </c>
      <c r="P64" s="352">
        <f t="shared" si="57"/>
        <v>0</v>
      </c>
      <c r="Q64" s="352">
        <f t="shared" si="57"/>
        <v>0</v>
      </c>
      <c r="R64" s="352">
        <f t="shared" si="57"/>
        <v>0</v>
      </c>
      <c r="S64" s="352">
        <f t="shared" si="57"/>
        <v>0</v>
      </c>
      <c r="T64" s="352">
        <f t="shared" ref="T64" si="58">IF($J28=0,0,T28/$J28)</f>
        <v>0</v>
      </c>
      <c r="U64" s="352">
        <f t="shared" ref="U64:AR64" si="59">IF($J28=0,0,U28/$J28)</f>
        <v>0</v>
      </c>
      <c r="V64" s="352">
        <f t="shared" si="59"/>
        <v>0</v>
      </c>
      <c r="W64" s="352">
        <f t="shared" si="59"/>
        <v>0</v>
      </c>
      <c r="X64" s="352">
        <f t="shared" si="59"/>
        <v>0</v>
      </c>
      <c r="Y64" s="352">
        <f t="shared" si="59"/>
        <v>0</v>
      </c>
      <c r="Z64" s="352">
        <f t="shared" si="59"/>
        <v>0</v>
      </c>
      <c r="AA64" s="352">
        <f t="shared" si="59"/>
        <v>0</v>
      </c>
      <c r="AB64" s="352">
        <f t="shared" si="59"/>
        <v>0</v>
      </c>
      <c r="AC64" s="352">
        <f t="shared" si="59"/>
        <v>0</v>
      </c>
      <c r="AD64" s="352">
        <f t="shared" si="59"/>
        <v>0</v>
      </c>
      <c r="AE64" s="352">
        <f t="shared" si="59"/>
        <v>0</v>
      </c>
      <c r="AF64" s="352">
        <f t="shared" si="59"/>
        <v>0</v>
      </c>
      <c r="AG64" s="352">
        <f t="shared" si="59"/>
        <v>0</v>
      </c>
      <c r="AH64" s="352">
        <f t="shared" si="59"/>
        <v>0</v>
      </c>
      <c r="AI64" s="352">
        <f t="shared" si="59"/>
        <v>0</v>
      </c>
      <c r="AJ64" s="352">
        <f t="shared" si="59"/>
        <v>0</v>
      </c>
      <c r="AK64" s="352">
        <f t="shared" si="59"/>
        <v>0</v>
      </c>
      <c r="AL64" s="352">
        <f t="shared" si="59"/>
        <v>0</v>
      </c>
      <c r="AM64" s="352">
        <f t="shared" si="59"/>
        <v>0</v>
      </c>
      <c r="AN64" s="352">
        <f t="shared" si="59"/>
        <v>0</v>
      </c>
      <c r="AO64" s="352">
        <f t="shared" si="59"/>
        <v>0</v>
      </c>
      <c r="AP64" s="352">
        <f t="shared" si="59"/>
        <v>0</v>
      </c>
      <c r="AQ64" s="352">
        <f t="shared" si="59"/>
        <v>0</v>
      </c>
      <c r="AR64" s="352">
        <f t="shared" si="59"/>
        <v>0</v>
      </c>
      <c r="AS64" s="352">
        <f t="shared" si="30"/>
        <v>0</v>
      </c>
      <c r="AT64" s="294"/>
      <c r="AU64" s="294"/>
      <c r="AV64" s="204" t="str">
        <f t="shared" si="49"/>
        <v>REVENUE %</v>
      </c>
      <c r="AW64" s="25">
        <f t="shared" si="39"/>
        <v>2027</v>
      </c>
      <c r="AX64" s="352">
        <f t="shared" si="40"/>
        <v>0</v>
      </c>
      <c r="AY64" s="352">
        <f t="shared" si="40"/>
        <v>0</v>
      </c>
      <c r="AZ64" s="352">
        <f t="shared" si="40"/>
        <v>0</v>
      </c>
      <c r="BA64" s="352">
        <f t="shared" si="40"/>
        <v>0</v>
      </c>
      <c r="BB64" s="294"/>
      <c r="BC64" s="294"/>
      <c r="BD64" s="204" t="str">
        <f t="shared" si="50"/>
        <v>REVENUE %</v>
      </c>
      <c r="BE64" s="25">
        <f t="shared" si="41"/>
        <v>2027</v>
      </c>
      <c r="BF64" s="352">
        <f t="shared" si="42"/>
        <v>0</v>
      </c>
      <c r="BG64" s="352">
        <f t="shared" si="42"/>
        <v>0</v>
      </c>
      <c r="BH64" s="352">
        <f t="shared" si="42"/>
        <v>0</v>
      </c>
      <c r="BI64" s="294"/>
      <c r="BJ64" s="294"/>
      <c r="BK64" s="204" t="str">
        <f t="shared" si="51"/>
        <v>REVENUE %</v>
      </c>
      <c r="BL64" s="25">
        <f t="shared" si="43"/>
        <v>2027</v>
      </c>
      <c r="BM64" s="352">
        <f t="shared" si="44"/>
        <v>0</v>
      </c>
      <c r="BN64" s="352">
        <f t="shared" si="44"/>
        <v>0</v>
      </c>
      <c r="BO64" s="352">
        <f t="shared" si="44"/>
        <v>0</v>
      </c>
      <c r="BP64" s="294"/>
      <c r="BQ64" s="294"/>
      <c r="BR64" s="362" t="str">
        <f>VLOOKUP(BU64,TableInputsData[],6,FALSE)</f>
        <v>-</v>
      </c>
      <c r="BS64" s="598" t="str">
        <f>VLOOKUP(BU64,InputsData!$C$36:$I$67,5,FALSE)</f>
        <v>PRODUCT 19</v>
      </c>
      <c r="BT64" s="1" t="s">
        <v>457</v>
      </c>
      <c r="BU64" s="1" t="s">
        <v>1726</v>
      </c>
      <c r="BV64" s="2">
        <v>0</v>
      </c>
      <c r="BW64" s="2">
        <v>0</v>
      </c>
      <c r="BX64" s="2">
        <v>0</v>
      </c>
      <c r="BY64" s="2">
        <v>0</v>
      </c>
      <c r="BZ64" s="2">
        <v>0</v>
      </c>
      <c r="CA64" s="2">
        <v>0</v>
      </c>
      <c r="CB64" s="2">
        <v>0</v>
      </c>
      <c r="CC64" s="2">
        <v>0</v>
      </c>
      <c r="CD64" s="2">
        <v>0</v>
      </c>
      <c r="CE64" s="2">
        <v>0</v>
      </c>
      <c r="CF64" s="2">
        <v>0</v>
      </c>
      <c r="CG64" s="2">
        <v>0</v>
      </c>
      <c r="CH64" s="2">
        <v>0</v>
      </c>
      <c r="CI64" s="2">
        <v>0</v>
      </c>
      <c r="CJ64" s="2">
        <v>0</v>
      </c>
      <c r="CK64" s="2">
        <v>0</v>
      </c>
      <c r="CL64" s="2">
        <v>0</v>
      </c>
      <c r="CM64" s="2">
        <v>0</v>
      </c>
      <c r="CN64" s="2">
        <v>0</v>
      </c>
      <c r="CO64" s="2">
        <v>0</v>
      </c>
      <c r="CP64" s="2">
        <v>0</v>
      </c>
      <c r="CQ64" s="2">
        <v>0</v>
      </c>
      <c r="CR64" s="2">
        <v>0</v>
      </c>
      <c r="CS64" s="2">
        <v>0</v>
      </c>
      <c r="CT64" s="294"/>
    </row>
    <row r="65" spans="1:98" x14ac:dyDescent="0.2">
      <c r="A65" s="294"/>
      <c r="B65" s="204" t="str">
        <f>IF(RIGHT($D65,5)="Total",$B64&amp;" Total",VLOOKUP($D65,TableInputsData[],ReadMe!$M$3,FALSE))</f>
        <v>CHIFFRE D'AFFAIRES %</v>
      </c>
      <c r="C65" s="294"/>
      <c r="D65" s="204" t="str">
        <f t="shared" si="34"/>
        <v>REVENUE %</v>
      </c>
      <c r="E65" s="25">
        <f t="shared" si="25"/>
        <v>2028</v>
      </c>
      <c r="F65" s="352">
        <f t="shared" ref="F65:J65" si="60">IF($J29=0,0,F29/$J29)</f>
        <v>0</v>
      </c>
      <c r="G65" s="352">
        <f t="shared" si="60"/>
        <v>0</v>
      </c>
      <c r="H65" s="352">
        <f t="shared" si="60"/>
        <v>0</v>
      </c>
      <c r="I65" s="352">
        <f t="shared" si="60"/>
        <v>0</v>
      </c>
      <c r="J65" s="352">
        <f t="shared" si="60"/>
        <v>0</v>
      </c>
      <c r="K65" s="294"/>
      <c r="L65" s="294"/>
      <c r="M65" s="204" t="str">
        <f t="shared" si="45"/>
        <v>REVENUE %</v>
      </c>
      <c r="N65" s="25">
        <f t="shared" si="35"/>
        <v>2028</v>
      </c>
      <c r="O65" s="352">
        <f t="shared" ref="O65:S65" si="61">IF($J29=0,0,O29/$J29)</f>
        <v>0</v>
      </c>
      <c r="P65" s="352">
        <f t="shared" si="61"/>
        <v>0</v>
      </c>
      <c r="Q65" s="352">
        <f t="shared" si="61"/>
        <v>0</v>
      </c>
      <c r="R65" s="352">
        <f t="shared" si="61"/>
        <v>0</v>
      </c>
      <c r="S65" s="352">
        <f t="shared" si="61"/>
        <v>0</v>
      </c>
      <c r="T65" s="352">
        <f t="shared" ref="T65" si="62">IF($J29=0,0,T29/$J29)</f>
        <v>0</v>
      </c>
      <c r="U65" s="352">
        <f t="shared" ref="U65:AR65" si="63">IF($J29=0,0,U29/$J29)</f>
        <v>0</v>
      </c>
      <c r="V65" s="352">
        <f t="shared" si="63"/>
        <v>0</v>
      </c>
      <c r="W65" s="352">
        <f t="shared" si="63"/>
        <v>0</v>
      </c>
      <c r="X65" s="352">
        <f t="shared" si="63"/>
        <v>0</v>
      </c>
      <c r="Y65" s="352">
        <f t="shared" si="63"/>
        <v>0</v>
      </c>
      <c r="Z65" s="352">
        <f t="shared" si="63"/>
        <v>0</v>
      </c>
      <c r="AA65" s="352">
        <f t="shared" si="63"/>
        <v>0</v>
      </c>
      <c r="AB65" s="352">
        <f t="shared" si="63"/>
        <v>0</v>
      </c>
      <c r="AC65" s="352">
        <f t="shared" si="63"/>
        <v>0</v>
      </c>
      <c r="AD65" s="352">
        <f t="shared" si="63"/>
        <v>0</v>
      </c>
      <c r="AE65" s="352">
        <f t="shared" si="63"/>
        <v>0</v>
      </c>
      <c r="AF65" s="352">
        <f t="shared" si="63"/>
        <v>0</v>
      </c>
      <c r="AG65" s="352">
        <f t="shared" si="63"/>
        <v>0</v>
      </c>
      <c r="AH65" s="352">
        <f t="shared" si="63"/>
        <v>0</v>
      </c>
      <c r="AI65" s="352">
        <f t="shared" si="63"/>
        <v>0</v>
      </c>
      <c r="AJ65" s="352">
        <f t="shared" si="63"/>
        <v>0</v>
      </c>
      <c r="AK65" s="352">
        <f t="shared" si="63"/>
        <v>0</v>
      </c>
      <c r="AL65" s="352">
        <f t="shared" si="63"/>
        <v>0</v>
      </c>
      <c r="AM65" s="352">
        <f t="shared" si="63"/>
        <v>0</v>
      </c>
      <c r="AN65" s="352">
        <f t="shared" si="63"/>
        <v>0</v>
      </c>
      <c r="AO65" s="352">
        <f t="shared" si="63"/>
        <v>0</v>
      </c>
      <c r="AP65" s="352">
        <f t="shared" si="63"/>
        <v>0</v>
      </c>
      <c r="AQ65" s="352">
        <f t="shared" si="63"/>
        <v>0</v>
      </c>
      <c r="AR65" s="352">
        <f t="shared" si="63"/>
        <v>0</v>
      </c>
      <c r="AS65" s="352">
        <f t="shared" si="30"/>
        <v>0</v>
      </c>
      <c r="AT65" s="294"/>
      <c r="AU65" s="294"/>
      <c r="AV65" s="204" t="str">
        <f t="shared" si="49"/>
        <v>REVENUE %</v>
      </c>
      <c r="AW65" s="25">
        <f t="shared" si="39"/>
        <v>2028</v>
      </c>
      <c r="AX65" s="352">
        <f t="shared" si="40"/>
        <v>0</v>
      </c>
      <c r="AY65" s="352">
        <f t="shared" si="40"/>
        <v>0</v>
      </c>
      <c r="AZ65" s="352">
        <f t="shared" si="40"/>
        <v>0</v>
      </c>
      <c r="BA65" s="352">
        <f t="shared" si="40"/>
        <v>0</v>
      </c>
      <c r="BB65" s="294"/>
      <c r="BC65" s="294"/>
      <c r="BD65" s="204" t="str">
        <f t="shared" si="50"/>
        <v>REVENUE %</v>
      </c>
      <c r="BE65" s="25">
        <f t="shared" si="41"/>
        <v>2028</v>
      </c>
      <c r="BF65" s="352">
        <f t="shared" si="42"/>
        <v>0</v>
      </c>
      <c r="BG65" s="352">
        <f t="shared" si="42"/>
        <v>0</v>
      </c>
      <c r="BH65" s="352">
        <f t="shared" si="42"/>
        <v>0</v>
      </c>
      <c r="BI65" s="294"/>
      <c r="BJ65" s="294"/>
      <c r="BK65" s="204" t="str">
        <f t="shared" si="51"/>
        <v>REVENUE %</v>
      </c>
      <c r="BL65" s="25">
        <f t="shared" si="43"/>
        <v>2028</v>
      </c>
      <c r="BM65" s="352">
        <f t="shared" si="44"/>
        <v>0</v>
      </c>
      <c r="BN65" s="352">
        <f t="shared" si="44"/>
        <v>0</v>
      </c>
      <c r="BO65" s="352">
        <f t="shared" si="44"/>
        <v>0</v>
      </c>
      <c r="BP65" s="294"/>
      <c r="BQ65" s="294"/>
      <c r="BR65" s="362" t="str">
        <f>VLOOKUP(BU65,TableInputsData[],6,FALSE)</f>
        <v>-</v>
      </c>
      <c r="BS65" s="598" t="str">
        <f>VLOOKUP(BU65,InputsData!$C$36:$I$67,5,FALSE)</f>
        <v>PRODUCT 20</v>
      </c>
      <c r="BT65" s="1" t="s">
        <v>457</v>
      </c>
      <c r="BU65" s="1" t="s">
        <v>1728</v>
      </c>
      <c r="BV65" s="2">
        <v>0</v>
      </c>
      <c r="BW65" s="2">
        <v>0</v>
      </c>
      <c r="BX65" s="2">
        <v>0</v>
      </c>
      <c r="BY65" s="2">
        <v>0</v>
      </c>
      <c r="BZ65" s="2">
        <v>0</v>
      </c>
      <c r="CA65" s="2">
        <v>0</v>
      </c>
      <c r="CB65" s="2">
        <v>0</v>
      </c>
      <c r="CC65" s="2">
        <v>0</v>
      </c>
      <c r="CD65" s="2">
        <v>0</v>
      </c>
      <c r="CE65" s="2">
        <v>0</v>
      </c>
      <c r="CF65" s="2">
        <v>0</v>
      </c>
      <c r="CG65" s="2">
        <v>0</v>
      </c>
      <c r="CH65" s="2">
        <v>0</v>
      </c>
      <c r="CI65" s="2">
        <v>0</v>
      </c>
      <c r="CJ65" s="2">
        <v>0</v>
      </c>
      <c r="CK65" s="2">
        <v>0</v>
      </c>
      <c r="CL65" s="2">
        <v>0</v>
      </c>
      <c r="CM65" s="2">
        <v>0</v>
      </c>
      <c r="CN65" s="2">
        <v>0</v>
      </c>
      <c r="CO65" s="2">
        <v>0</v>
      </c>
      <c r="CP65" s="2">
        <v>0</v>
      </c>
      <c r="CQ65" s="2">
        <v>0</v>
      </c>
      <c r="CR65" s="2">
        <v>0</v>
      </c>
      <c r="CS65" s="2">
        <v>0</v>
      </c>
      <c r="CT65" s="294"/>
    </row>
    <row r="66" spans="1:98" x14ac:dyDescent="0.2">
      <c r="A66" s="294"/>
      <c r="B66" s="204" t="str">
        <f>IF(RIGHT($D66,5)="Total",$B65&amp;" Total",VLOOKUP($D66,TableInputsData[],ReadMe!$M$3,FALSE))</f>
        <v>CHIFFRE D'AFFAIRES %</v>
      </c>
      <c r="C66" s="294"/>
      <c r="D66" s="204" t="str">
        <f t="shared" si="34"/>
        <v>REVENUE %</v>
      </c>
      <c r="E66" s="25">
        <f t="shared" si="25"/>
        <v>2029</v>
      </c>
      <c r="F66" s="352">
        <f t="shared" ref="F66:J66" si="64">IF($J30=0,0,F30/$J30)</f>
        <v>0</v>
      </c>
      <c r="G66" s="352">
        <f t="shared" si="64"/>
        <v>0</v>
      </c>
      <c r="H66" s="352">
        <f t="shared" si="64"/>
        <v>0</v>
      </c>
      <c r="I66" s="352">
        <f t="shared" si="64"/>
        <v>0</v>
      </c>
      <c r="J66" s="352">
        <f t="shared" si="64"/>
        <v>0</v>
      </c>
      <c r="K66" s="294"/>
      <c r="L66" s="294"/>
      <c r="M66" s="204" t="str">
        <f t="shared" si="45"/>
        <v>REVENUE %</v>
      </c>
      <c r="N66" s="25">
        <f t="shared" si="35"/>
        <v>2029</v>
      </c>
      <c r="O66" s="352">
        <f t="shared" ref="O66:S66" si="65">IF($J30=0,0,O30/$J30)</f>
        <v>0</v>
      </c>
      <c r="P66" s="352">
        <f t="shared" si="65"/>
        <v>0</v>
      </c>
      <c r="Q66" s="352">
        <f t="shared" si="65"/>
        <v>0</v>
      </c>
      <c r="R66" s="352">
        <f t="shared" si="65"/>
        <v>0</v>
      </c>
      <c r="S66" s="352">
        <f t="shared" si="65"/>
        <v>0</v>
      </c>
      <c r="T66" s="352">
        <f t="shared" ref="T66" si="66">IF($J30=0,0,T30/$J30)</f>
        <v>0</v>
      </c>
      <c r="U66" s="352">
        <f t="shared" ref="U66:AR66" si="67">IF($J30=0,0,U30/$J30)</f>
        <v>0</v>
      </c>
      <c r="V66" s="352">
        <f t="shared" si="67"/>
        <v>0</v>
      </c>
      <c r="W66" s="352">
        <f t="shared" si="67"/>
        <v>0</v>
      </c>
      <c r="X66" s="352">
        <f t="shared" si="67"/>
        <v>0</v>
      </c>
      <c r="Y66" s="352">
        <f t="shared" si="67"/>
        <v>0</v>
      </c>
      <c r="Z66" s="352">
        <f t="shared" si="67"/>
        <v>0</v>
      </c>
      <c r="AA66" s="352">
        <f t="shared" si="67"/>
        <v>0</v>
      </c>
      <c r="AB66" s="352">
        <f t="shared" si="67"/>
        <v>0</v>
      </c>
      <c r="AC66" s="352">
        <f t="shared" si="67"/>
        <v>0</v>
      </c>
      <c r="AD66" s="352">
        <f t="shared" si="67"/>
        <v>0</v>
      </c>
      <c r="AE66" s="352">
        <f t="shared" si="67"/>
        <v>0</v>
      </c>
      <c r="AF66" s="352">
        <f t="shared" si="67"/>
        <v>0</v>
      </c>
      <c r="AG66" s="352">
        <f t="shared" si="67"/>
        <v>0</v>
      </c>
      <c r="AH66" s="352">
        <f t="shared" si="67"/>
        <v>0</v>
      </c>
      <c r="AI66" s="352">
        <f t="shared" si="67"/>
        <v>0</v>
      </c>
      <c r="AJ66" s="352">
        <f t="shared" si="67"/>
        <v>0</v>
      </c>
      <c r="AK66" s="352">
        <f t="shared" si="67"/>
        <v>0</v>
      </c>
      <c r="AL66" s="352">
        <f t="shared" si="67"/>
        <v>0</v>
      </c>
      <c r="AM66" s="352">
        <f t="shared" si="67"/>
        <v>0</v>
      </c>
      <c r="AN66" s="352">
        <f t="shared" si="67"/>
        <v>0</v>
      </c>
      <c r="AO66" s="352">
        <f t="shared" si="67"/>
        <v>0</v>
      </c>
      <c r="AP66" s="352">
        <f t="shared" si="67"/>
        <v>0</v>
      </c>
      <c r="AQ66" s="352">
        <f t="shared" si="67"/>
        <v>0</v>
      </c>
      <c r="AR66" s="352">
        <f t="shared" si="67"/>
        <v>0</v>
      </c>
      <c r="AS66" s="352">
        <f t="shared" si="30"/>
        <v>0</v>
      </c>
      <c r="AT66" s="294"/>
      <c r="AU66" s="294"/>
      <c r="AV66" s="204" t="str">
        <f t="shared" si="49"/>
        <v>REVENUE %</v>
      </c>
      <c r="AW66" s="25">
        <f t="shared" si="39"/>
        <v>2029</v>
      </c>
      <c r="AX66" s="352">
        <f t="shared" si="40"/>
        <v>0</v>
      </c>
      <c r="AY66" s="352">
        <f t="shared" si="40"/>
        <v>0</v>
      </c>
      <c r="AZ66" s="352">
        <f t="shared" si="40"/>
        <v>0</v>
      </c>
      <c r="BA66" s="352">
        <f t="shared" si="40"/>
        <v>0</v>
      </c>
      <c r="BB66" s="294"/>
      <c r="BC66" s="294"/>
      <c r="BD66" s="204" t="str">
        <f t="shared" si="50"/>
        <v>REVENUE %</v>
      </c>
      <c r="BE66" s="25">
        <f t="shared" si="41"/>
        <v>2029</v>
      </c>
      <c r="BF66" s="352">
        <f t="shared" si="42"/>
        <v>0</v>
      </c>
      <c r="BG66" s="352">
        <f t="shared" si="42"/>
        <v>0</v>
      </c>
      <c r="BH66" s="352">
        <f t="shared" si="42"/>
        <v>0</v>
      </c>
      <c r="BI66" s="294"/>
      <c r="BJ66" s="294"/>
      <c r="BK66" s="204" t="str">
        <f t="shared" si="51"/>
        <v>REVENUE %</v>
      </c>
      <c r="BL66" s="25">
        <f t="shared" si="43"/>
        <v>2029</v>
      </c>
      <c r="BM66" s="352">
        <f t="shared" si="44"/>
        <v>0</v>
      </c>
      <c r="BN66" s="352">
        <f t="shared" si="44"/>
        <v>0</v>
      </c>
      <c r="BO66" s="352">
        <f t="shared" si="44"/>
        <v>0</v>
      </c>
      <c r="BP66" s="294"/>
      <c r="BQ66" s="294"/>
      <c r="BR66" s="362" t="str">
        <f>VLOOKUP(BU66,TableInputsData[],6,FALSE)</f>
        <v>-</v>
      </c>
      <c r="BS66" s="598" t="str">
        <f>VLOOKUP(BU66,InputsData!$C$36:$I$67,5,FALSE)</f>
        <v>DIENST 01</v>
      </c>
      <c r="BT66" s="1" t="s">
        <v>457</v>
      </c>
      <c r="BU66" s="1" t="s">
        <v>546</v>
      </c>
      <c r="BV66" s="2">
        <v>0</v>
      </c>
      <c r="BW66" s="2">
        <v>0</v>
      </c>
      <c r="BX66" s="2">
        <v>0</v>
      </c>
      <c r="BY66" s="2">
        <v>0</v>
      </c>
      <c r="BZ66" s="2">
        <v>0</v>
      </c>
      <c r="CA66" s="2">
        <v>0</v>
      </c>
      <c r="CB66" s="2">
        <v>0</v>
      </c>
      <c r="CC66" s="2">
        <v>0</v>
      </c>
      <c r="CD66" s="2">
        <v>0</v>
      </c>
      <c r="CE66" s="2">
        <v>0</v>
      </c>
      <c r="CF66" s="2">
        <v>0</v>
      </c>
      <c r="CG66" s="2">
        <v>0</v>
      </c>
      <c r="CH66" s="2">
        <v>0</v>
      </c>
      <c r="CI66" s="2">
        <v>0</v>
      </c>
      <c r="CJ66" s="2">
        <v>0</v>
      </c>
      <c r="CK66" s="2">
        <v>0</v>
      </c>
      <c r="CL66" s="2">
        <v>0</v>
      </c>
      <c r="CM66" s="2">
        <v>0</v>
      </c>
      <c r="CN66" s="2">
        <v>0</v>
      </c>
      <c r="CO66" s="2">
        <v>0</v>
      </c>
      <c r="CP66" s="2">
        <v>0</v>
      </c>
      <c r="CQ66" s="2">
        <v>0</v>
      </c>
      <c r="CR66" s="2">
        <v>0</v>
      </c>
      <c r="CS66" s="2">
        <v>0</v>
      </c>
      <c r="CT66" s="294"/>
    </row>
    <row r="67" spans="1:98" x14ac:dyDescent="0.2">
      <c r="A67" s="294"/>
      <c r="B67" s="204" t="str">
        <f>IF(RIGHT($D67,5)="Total",$B66&amp;" Total",VLOOKUP($D67,TableInputsData[],ReadMe!$M$3,FALSE))</f>
        <v>CHIFFRE D'AFFAIRES %</v>
      </c>
      <c r="C67" s="294"/>
      <c r="D67" s="204" t="str">
        <f t="shared" si="34"/>
        <v>REVENUE %</v>
      </c>
      <c r="E67" s="25">
        <f t="shared" si="25"/>
        <v>2030</v>
      </c>
      <c r="F67" s="352">
        <f t="shared" ref="F67:J67" si="68">IF($J31=0,0,F31/$J31)</f>
        <v>0</v>
      </c>
      <c r="G67" s="352">
        <f t="shared" si="68"/>
        <v>0</v>
      </c>
      <c r="H67" s="352">
        <f t="shared" si="68"/>
        <v>0</v>
      </c>
      <c r="I67" s="352">
        <f t="shared" si="68"/>
        <v>0</v>
      </c>
      <c r="J67" s="352">
        <f t="shared" si="68"/>
        <v>0</v>
      </c>
      <c r="K67" s="294"/>
      <c r="L67" s="294"/>
      <c r="M67" s="204" t="str">
        <f t="shared" si="45"/>
        <v>REVENUE %</v>
      </c>
      <c r="N67" s="25">
        <f t="shared" si="35"/>
        <v>2030</v>
      </c>
      <c r="O67" s="352">
        <f t="shared" ref="O67:S67" si="69">IF($J31=0,0,O31/$J31)</f>
        <v>0</v>
      </c>
      <c r="P67" s="352">
        <f t="shared" si="69"/>
        <v>0</v>
      </c>
      <c r="Q67" s="352">
        <f t="shared" si="69"/>
        <v>0</v>
      </c>
      <c r="R67" s="352">
        <f t="shared" si="69"/>
        <v>0</v>
      </c>
      <c r="S67" s="352">
        <f t="shared" si="69"/>
        <v>0</v>
      </c>
      <c r="T67" s="352">
        <f t="shared" ref="T67" si="70">IF($J31=0,0,T31/$J31)</f>
        <v>0</v>
      </c>
      <c r="U67" s="352">
        <f t="shared" ref="U67:AR67" si="71">IF($J31=0,0,U31/$J31)</f>
        <v>0</v>
      </c>
      <c r="V67" s="352">
        <f t="shared" si="71"/>
        <v>0</v>
      </c>
      <c r="W67" s="352">
        <f t="shared" si="71"/>
        <v>0</v>
      </c>
      <c r="X67" s="352">
        <f t="shared" si="71"/>
        <v>0</v>
      </c>
      <c r="Y67" s="352">
        <f t="shared" si="71"/>
        <v>0</v>
      </c>
      <c r="Z67" s="352">
        <f t="shared" si="71"/>
        <v>0</v>
      </c>
      <c r="AA67" s="352">
        <f t="shared" si="71"/>
        <v>0</v>
      </c>
      <c r="AB67" s="352">
        <f t="shared" si="71"/>
        <v>0</v>
      </c>
      <c r="AC67" s="352">
        <f t="shared" si="71"/>
        <v>0</v>
      </c>
      <c r="AD67" s="352">
        <f t="shared" si="71"/>
        <v>0</v>
      </c>
      <c r="AE67" s="352">
        <f t="shared" si="71"/>
        <v>0</v>
      </c>
      <c r="AF67" s="352">
        <f t="shared" si="71"/>
        <v>0</v>
      </c>
      <c r="AG67" s="352">
        <f t="shared" si="71"/>
        <v>0</v>
      </c>
      <c r="AH67" s="352">
        <f t="shared" si="71"/>
        <v>0</v>
      </c>
      <c r="AI67" s="352">
        <f t="shared" si="71"/>
        <v>0</v>
      </c>
      <c r="AJ67" s="352">
        <f t="shared" si="71"/>
        <v>0</v>
      </c>
      <c r="AK67" s="352">
        <f t="shared" si="71"/>
        <v>0</v>
      </c>
      <c r="AL67" s="352">
        <f t="shared" si="71"/>
        <v>0</v>
      </c>
      <c r="AM67" s="352">
        <f t="shared" si="71"/>
        <v>0</v>
      </c>
      <c r="AN67" s="352">
        <f t="shared" si="71"/>
        <v>0</v>
      </c>
      <c r="AO67" s="352">
        <f t="shared" si="71"/>
        <v>0</v>
      </c>
      <c r="AP67" s="352">
        <f t="shared" si="71"/>
        <v>0</v>
      </c>
      <c r="AQ67" s="352">
        <f t="shared" si="71"/>
        <v>0</v>
      </c>
      <c r="AR67" s="352">
        <f t="shared" si="71"/>
        <v>0</v>
      </c>
      <c r="AS67" s="352">
        <f t="shared" si="30"/>
        <v>0</v>
      </c>
      <c r="AT67" s="294"/>
      <c r="AU67" s="294"/>
      <c r="AV67" s="204" t="str">
        <f t="shared" si="49"/>
        <v>REVENUE %</v>
      </c>
      <c r="AW67" s="25">
        <f t="shared" si="39"/>
        <v>2030</v>
      </c>
      <c r="AX67" s="352">
        <f t="shared" si="40"/>
        <v>0</v>
      </c>
      <c r="AY67" s="352">
        <f t="shared" si="40"/>
        <v>0</v>
      </c>
      <c r="AZ67" s="352">
        <f t="shared" si="40"/>
        <v>0</v>
      </c>
      <c r="BA67" s="352">
        <f t="shared" si="40"/>
        <v>0</v>
      </c>
      <c r="BB67" s="294"/>
      <c r="BC67" s="294"/>
      <c r="BD67" s="204" t="str">
        <f t="shared" si="50"/>
        <v>REVENUE %</v>
      </c>
      <c r="BE67" s="25">
        <f t="shared" si="41"/>
        <v>2030</v>
      </c>
      <c r="BF67" s="352">
        <f t="shared" si="42"/>
        <v>0</v>
      </c>
      <c r="BG67" s="352">
        <f t="shared" si="42"/>
        <v>0</v>
      </c>
      <c r="BH67" s="352">
        <f t="shared" si="42"/>
        <v>0</v>
      </c>
      <c r="BI67" s="294"/>
      <c r="BJ67" s="294"/>
      <c r="BK67" s="204" t="str">
        <f t="shared" si="51"/>
        <v>REVENUE %</v>
      </c>
      <c r="BL67" s="25">
        <f t="shared" si="43"/>
        <v>2030</v>
      </c>
      <c r="BM67" s="352">
        <f t="shared" si="44"/>
        <v>0</v>
      </c>
      <c r="BN67" s="352">
        <f t="shared" si="44"/>
        <v>0</v>
      </c>
      <c r="BO67" s="352">
        <f t="shared" si="44"/>
        <v>0</v>
      </c>
      <c r="BP67" s="294"/>
      <c r="BQ67" s="294"/>
      <c r="BR67" s="362" t="str">
        <f>VLOOKUP(BU67,TableInputsData[],6,FALSE)</f>
        <v>-</v>
      </c>
      <c r="BS67" s="598" t="str">
        <f>VLOOKUP(BU67,InputsData!$C$36:$I$67,5,FALSE)</f>
        <v>DIENST 02</v>
      </c>
      <c r="BT67" s="1" t="s">
        <v>457</v>
      </c>
      <c r="BU67" s="1" t="s">
        <v>547</v>
      </c>
      <c r="BV67" s="2">
        <v>0</v>
      </c>
      <c r="BW67" s="2">
        <v>0</v>
      </c>
      <c r="BX67" s="2">
        <v>0</v>
      </c>
      <c r="BY67" s="2">
        <v>0</v>
      </c>
      <c r="BZ67" s="2">
        <v>0</v>
      </c>
      <c r="CA67" s="2">
        <v>0</v>
      </c>
      <c r="CB67" s="2">
        <v>0</v>
      </c>
      <c r="CC67" s="2">
        <v>0</v>
      </c>
      <c r="CD67" s="2">
        <v>0</v>
      </c>
      <c r="CE67" s="2">
        <v>0</v>
      </c>
      <c r="CF67" s="2">
        <v>0</v>
      </c>
      <c r="CG67" s="2">
        <v>0</v>
      </c>
      <c r="CH67" s="2">
        <v>0</v>
      </c>
      <c r="CI67" s="2">
        <v>0</v>
      </c>
      <c r="CJ67" s="2">
        <v>0</v>
      </c>
      <c r="CK67" s="2">
        <v>0</v>
      </c>
      <c r="CL67" s="2">
        <v>0</v>
      </c>
      <c r="CM67" s="2">
        <v>0</v>
      </c>
      <c r="CN67" s="2">
        <v>0</v>
      </c>
      <c r="CO67" s="2">
        <v>0</v>
      </c>
      <c r="CP67" s="2">
        <v>0</v>
      </c>
      <c r="CQ67" s="2">
        <v>0</v>
      </c>
      <c r="CR67" s="2">
        <v>0</v>
      </c>
      <c r="CS67" s="2">
        <v>0</v>
      </c>
      <c r="CT67" s="294"/>
    </row>
    <row r="68" spans="1:98" x14ac:dyDescent="0.2">
      <c r="A68" s="294"/>
      <c r="B68" s="348" t="str">
        <f>IF(RIGHT($D68,5)="Total",$B67&amp;" Total",VLOOKUP($D68,TableInputsData[],ReadMe!$M$3,FALSE))</f>
        <v>CHIFFRE D'AFFAIRES % Total</v>
      </c>
      <c r="C68" s="294"/>
      <c r="D68" s="348" t="str">
        <f>+D67&amp;" Total"</f>
        <v>REVENUE % Total</v>
      </c>
      <c r="E68" s="151"/>
      <c r="F68" s="353">
        <f t="shared" ref="F68:J68" si="72">IF($J32=0,0,F32/$J32)</f>
        <v>0</v>
      </c>
      <c r="G68" s="353">
        <f t="shared" si="72"/>
        <v>0</v>
      </c>
      <c r="H68" s="353">
        <f t="shared" si="72"/>
        <v>0</v>
      </c>
      <c r="I68" s="353">
        <f t="shared" si="72"/>
        <v>0</v>
      </c>
      <c r="J68" s="353">
        <f t="shared" si="72"/>
        <v>0</v>
      </c>
      <c r="K68" s="294"/>
      <c r="L68" s="294"/>
      <c r="M68" s="348" t="str">
        <f>+M67&amp;" Total"</f>
        <v>REVENUE % Total</v>
      </c>
      <c r="N68" s="151"/>
      <c r="O68" s="353">
        <f t="shared" ref="O68:S68" si="73">IF($J32=0,0,O32/$J32)</f>
        <v>0</v>
      </c>
      <c r="P68" s="353">
        <f t="shared" si="73"/>
        <v>0</v>
      </c>
      <c r="Q68" s="353">
        <f t="shared" si="73"/>
        <v>0</v>
      </c>
      <c r="R68" s="353">
        <f t="shared" si="73"/>
        <v>0</v>
      </c>
      <c r="S68" s="353">
        <f t="shared" si="73"/>
        <v>0</v>
      </c>
      <c r="T68" s="353">
        <f t="shared" ref="T68" si="74">IF($J32=0,0,T32/$J32)</f>
        <v>0</v>
      </c>
      <c r="U68" s="353">
        <f t="shared" ref="U68:AR68" si="75">IF($J32=0,0,U32/$J32)</f>
        <v>0</v>
      </c>
      <c r="V68" s="353">
        <f t="shared" si="75"/>
        <v>0</v>
      </c>
      <c r="W68" s="353">
        <f t="shared" si="75"/>
        <v>0</v>
      </c>
      <c r="X68" s="353">
        <f t="shared" si="75"/>
        <v>0</v>
      </c>
      <c r="Y68" s="353">
        <f t="shared" si="75"/>
        <v>0</v>
      </c>
      <c r="Z68" s="353">
        <f t="shared" si="75"/>
        <v>0</v>
      </c>
      <c r="AA68" s="353">
        <f t="shared" si="75"/>
        <v>0</v>
      </c>
      <c r="AB68" s="353">
        <f t="shared" si="75"/>
        <v>0</v>
      </c>
      <c r="AC68" s="353">
        <f t="shared" si="75"/>
        <v>0</v>
      </c>
      <c r="AD68" s="353">
        <f t="shared" si="75"/>
        <v>0</v>
      </c>
      <c r="AE68" s="353">
        <f t="shared" si="75"/>
        <v>0</v>
      </c>
      <c r="AF68" s="353">
        <f t="shared" si="75"/>
        <v>0</v>
      </c>
      <c r="AG68" s="353">
        <f t="shared" si="75"/>
        <v>0</v>
      </c>
      <c r="AH68" s="353">
        <f t="shared" si="75"/>
        <v>0</v>
      </c>
      <c r="AI68" s="353">
        <f t="shared" si="75"/>
        <v>0</v>
      </c>
      <c r="AJ68" s="353">
        <f t="shared" si="75"/>
        <v>0</v>
      </c>
      <c r="AK68" s="353">
        <f t="shared" si="75"/>
        <v>0</v>
      </c>
      <c r="AL68" s="353">
        <f t="shared" si="75"/>
        <v>0</v>
      </c>
      <c r="AM68" s="353">
        <f t="shared" si="75"/>
        <v>0</v>
      </c>
      <c r="AN68" s="353">
        <f t="shared" si="75"/>
        <v>0</v>
      </c>
      <c r="AO68" s="353">
        <f t="shared" si="75"/>
        <v>0</v>
      </c>
      <c r="AP68" s="353">
        <f t="shared" si="75"/>
        <v>0</v>
      </c>
      <c r="AQ68" s="353">
        <f t="shared" si="75"/>
        <v>0</v>
      </c>
      <c r="AR68" s="353">
        <f t="shared" si="75"/>
        <v>0</v>
      </c>
      <c r="AS68" s="353">
        <f t="shared" si="30"/>
        <v>0</v>
      </c>
      <c r="AT68" s="294"/>
      <c r="AU68" s="294"/>
      <c r="AV68" s="348" t="str">
        <f>+AV67&amp;" Total"</f>
        <v>REVENUE % Total</v>
      </c>
      <c r="AW68" s="151"/>
      <c r="AX68" s="353">
        <f t="shared" si="40"/>
        <v>0</v>
      </c>
      <c r="AY68" s="353">
        <f t="shared" si="40"/>
        <v>0</v>
      </c>
      <c r="AZ68" s="353">
        <f t="shared" si="40"/>
        <v>0</v>
      </c>
      <c r="BA68" s="353">
        <f t="shared" si="40"/>
        <v>0</v>
      </c>
      <c r="BB68" s="294"/>
      <c r="BC68" s="294"/>
      <c r="BD68" s="348" t="str">
        <f>+BD67&amp;" Total"</f>
        <v>REVENUE % Total</v>
      </c>
      <c r="BE68" s="151"/>
      <c r="BF68" s="354">
        <f t="shared" si="42"/>
        <v>0</v>
      </c>
      <c r="BG68" s="354">
        <f t="shared" si="42"/>
        <v>0</v>
      </c>
      <c r="BH68" s="354">
        <f t="shared" si="42"/>
        <v>0</v>
      </c>
      <c r="BI68" s="294"/>
      <c r="BJ68" s="294"/>
      <c r="BK68" s="348" t="str">
        <f>+BK67&amp;" Total"</f>
        <v>REVENUE % Total</v>
      </c>
      <c r="BL68" s="151"/>
      <c r="BM68" s="354">
        <f t="shared" si="44"/>
        <v>0</v>
      </c>
      <c r="BN68" s="354">
        <f t="shared" si="44"/>
        <v>0</v>
      </c>
      <c r="BO68" s="354">
        <f t="shared" si="44"/>
        <v>0</v>
      </c>
      <c r="BP68" s="294"/>
      <c r="BQ68" s="294"/>
      <c r="BR68" s="362" t="str">
        <f>VLOOKUP(BU68,TableInputsData[],6,FALSE)</f>
        <v>-</v>
      </c>
      <c r="BS68" s="598" t="str">
        <f>VLOOKUP(BU68,InputsData!$C$36:$I$67,5,FALSE)</f>
        <v>DIENST 03</v>
      </c>
      <c r="BT68" s="1" t="s">
        <v>457</v>
      </c>
      <c r="BU68" s="1" t="s">
        <v>548</v>
      </c>
      <c r="BV68" s="2">
        <v>0</v>
      </c>
      <c r="BW68" s="2">
        <v>0</v>
      </c>
      <c r="BX68" s="2">
        <v>0</v>
      </c>
      <c r="BY68" s="2">
        <v>0</v>
      </c>
      <c r="BZ68" s="2">
        <v>0</v>
      </c>
      <c r="CA68" s="2">
        <v>0</v>
      </c>
      <c r="CB68" s="2">
        <v>0</v>
      </c>
      <c r="CC68" s="2">
        <v>0</v>
      </c>
      <c r="CD68" s="2">
        <v>0</v>
      </c>
      <c r="CE68" s="2">
        <v>0</v>
      </c>
      <c r="CF68" s="2">
        <v>0</v>
      </c>
      <c r="CG68" s="2">
        <v>0</v>
      </c>
      <c r="CH68" s="2">
        <v>0</v>
      </c>
      <c r="CI68" s="2">
        <v>0</v>
      </c>
      <c r="CJ68" s="2">
        <v>0</v>
      </c>
      <c r="CK68" s="2">
        <v>0</v>
      </c>
      <c r="CL68" s="2">
        <v>0</v>
      </c>
      <c r="CM68" s="2">
        <v>0</v>
      </c>
      <c r="CN68" s="2">
        <v>0</v>
      </c>
      <c r="CO68" s="2">
        <v>0</v>
      </c>
      <c r="CP68" s="2">
        <v>0</v>
      </c>
      <c r="CQ68" s="2">
        <v>0</v>
      </c>
      <c r="CR68" s="2">
        <v>0</v>
      </c>
      <c r="CS68" s="2">
        <v>0</v>
      </c>
      <c r="CT68" s="294"/>
    </row>
    <row r="69" spans="1:98" x14ac:dyDescent="0.2">
      <c r="A69" s="294"/>
      <c r="B69" s="204" t="str">
        <f>IF(RIGHT($D69,5)="Total",$B68&amp;" Total",VLOOKUP($D69,TableInputsData[],ReadMe!$M$3,FALSE))</f>
        <v>CROISSANCE DU CHIFFRE D'AFFAIRES AN/AN-1</v>
      </c>
      <c r="C69" s="294"/>
      <c r="D69" s="204" t="s">
        <v>528</v>
      </c>
      <c r="E69" s="25">
        <f>E15</f>
        <v>2023</v>
      </c>
      <c r="K69" s="294"/>
      <c r="L69" s="294"/>
      <c r="M69" s="204" t="s">
        <v>528</v>
      </c>
      <c r="N69" s="25">
        <f>N15</f>
        <v>2023</v>
      </c>
      <c r="AS69" s="1"/>
      <c r="AT69" s="294"/>
      <c r="AU69" s="294"/>
      <c r="AV69" s="204" t="s">
        <v>528</v>
      </c>
      <c r="AW69" s="25">
        <f>AW15</f>
        <v>2023</v>
      </c>
      <c r="BB69" s="294"/>
      <c r="BC69" s="294"/>
      <c r="BD69" s="204" t="s">
        <v>528</v>
      </c>
      <c r="BE69" s="25">
        <f>BE15</f>
        <v>2023</v>
      </c>
      <c r="BI69" s="294"/>
      <c r="BJ69" s="294"/>
      <c r="BK69" s="204" t="s">
        <v>528</v>
      </c>
      <c r="BL69" s="25">
        <f>BL15</f>
        <v>2023</v>
      </c>
      <c r="BP69" s="294"/>
      <c r="BQ69" s="294"/>
      <c r="BR69" s="362" t="str">
        <f>VLOOKUP(BU69,TableInputsData[],6,FALSE)</f>
        <v>-</v>
      </c>
      <c r="BS69" s="598" t="str">
        <f>VLOOKUP(BU69,InputsData!$C$36:$I$67,5,FALSE)</f>
        <v>DIENST 04</v>
      </c>
      <c r="BT69" s="1" t="s">
        <v>457</v>
      </c>
      <c r="BU69" s="1" t="s">
        <v>549</v>
      </c>
      <c r="BV69" s="2">
        <v>0</v>
      </c>
      <c r="BW69" s="2">
        <v>0</v>
      </c>
      <c r="BX69" s="2">
        <v>0</v>
      </c>
      <c r="BY69" s="2">
        <v>0</v>
      </c>
      <c r="BZ69" s="2">
        <v>0</v>
      </c>
      <c r="CA69" s="2">
        <v>0</v>
      </c>
      <c r="CB69" s="2">
        <v>0</v>
      </c>
      <c r="CC69" s="2">
        <v>0</v>
      </c>
      <c r="CD69" s="2">
        <v>0</v>
      </c>
      <c r="CE69" s="2">
        <v>0</v>
      </c>
      <c r="CF69" s="2">
        <v>0</v>
      </c>
      <c r="CG69" s="2">
        <v>0</v>
      </c>
      <c r="CH69" s="2">
        <v>0</v>
      </c>
      <c r="CI69" s="2">
        <v>0</v>
      </c>
      <c r="CJ69" s="2">
        <v>0</v>
      </c>
      <c r="CK69" s="2">
        <v>0</v>
      </c>
      <c r="CL69" s="2">
        <v>0</v>
      </c>
      <c r="CM69" s="2">
        <v>0</v>
      </c>
      <c r="CN69" s="2">
        <v>0</v>
      </c>
      <c r="CO69" s="2">
        <v>0</v>
      </c>
      <c r="CP69" s="2">
        <v>0</v>
      </c>
      <c r="CQ69" s="2">
        <v>0</v>
      </c>
      <c r="CR69" s="2">
        <v>0</v>
      </c>
      <c r="CS69" s="2">
        <v>0</v>
      </c>
      <c r="CT69" s="294"/>
    </row>
    <row r="70" spans="1:98" x14ac:dyDescent="0.2">
      <c r="A70" s="294"/>
      <c r="B70" s="204" t="str">
        <f>IF(RIGHT($D70,5)="Total",$B69&amp;" Total",VLOOKUP($D70,TableInputsData[],ReadMe!$M$3,FALSE))</f>
        <v>CROISSANCE DU CHIFFRE D'AFFAIRES AN/AN-1</v>
      </c>
      <c r="C70" s="294"/>
      <c r="D70" s="204" t="str">
        <f>D69</f>
        <v>REVENUE GROWTH YEAR/YEAR-1</v>
      </c>
      <c r="E70" s="25">
        <f t="shared" ref="E70:E76" si="76">E16</f>
        <v>2024</v>
      </c>
      <c r="F70" s="355" t="str">
        <f t="shared" ref="F70:F76" si="77">IF(F24=0,"-%",F25/F24)</f>
        <v>-%</v>
      </c>
      <c r="G70" s="355" t="str">
        <f t="shared" ref="G70:J70" si="78">IF(G24=0,"-%",G25/G24)</f>
        <v>-%</v>
      </c>
      <c r="H70" s="355" t="str">
        <f t="shared" si="78"/>
        <v>-%</v>
      </c>
      <c r="I70" s="355" t="str">
        <f t="shared" si="78"/>
        <v>-%</v>
      </c>
      <c r="J70" s="355" t="str">
        <f t="shared" si="78"/>
        <v>-%</v>
      </c>
      <c r="K70" s="294"/>
      <c r="L70" s="294"/>
      <c r="M70" s="204" t="str">
        <f>M69</f>
        <v>REVENUE GROWTH YEAR/YEAR-1</v>
      </c>
      <c r="N70" s="25">
        <f t="shared" ref="N70:N76" si="79">N16</f>
        <v>2024</v>
      </c>
      <c r="O70" s="355" t="str">
        <f>IF(O24=0,"-%",O25/O24)</f>
        <v>-%</v>
      </c>
      <c r="P70" s="355" t="str">
        <f t="shared" ref="P70:S70" si="80">IF(P24=0,"-%",P25/P24)</f>
        <v>-%</v>
      </c>
      <c r="Q70" s="355" t="str">
        <f t="shared" si="80"/>
        <v>-%</v>
      </c>
      <c r="R70" s="355" t="str">
        <f t="shared" si="80"/>
        <v>-%</v>
      </c>
      <c r="S70" s="355" t="str">
        <f t="shared" si="80"/>
        <v>-%</v>
      </c>
      <c r="T70" s="355" t="str">
        <f t="shared" ref="T70" si="81">IF(T24=0,"-%",T25/T24)</f>
        <v>-%</v>
      </c>
      <c r="U70" s="355" t="str">
        <f t="shared" ref="U70:AR70" si="82">IF(U24=0,"-%",U25/U24)</f>
        <v>-%</v>
      </c>
      <c r="V70" s="355" t="str">
        <f t="shared" si="82"/>
        <v>-%</v>
      </c>
      <c r="W70" s="355" t="str">
        <f t="shared" si="82"/>
        <v>-%</v>
      </c>
      <c r="X70" s="355" t="str">
        <f t="shared" si="82"/>
        <v>-%</v>
      </c>
      <c r="Y70" s="355" t="str">
        <f t="shared" si="82"/>
        <v>-%</v>
      </c>
      <c r="Z70" s="355" t="str">
        <f t="shared" si="82"/>
        <v>-%</v>
      </c>
      <c r="AA70" s="355" t="str">
        <f t="shared" si="82"/>
        <v>-%</v>
      </c>
      <c r="AB70" s="355" t="str">
        <f t="shared" si="82"/>
        <v>-%</v>
      </c>
      <c r="AC70" s="355" t="str">
        <f t="shared" si="82"/>
        <v>-%</v>
      </c>
      <c r="AD70" s="355" t="str">
        <f t="shared" si="82"/>
        <v>-%</v>
      </c>
      <c r="AE70" s="355" t="str">
        <f t="shared" si="82"/>
        <v>-%</v>
      </c>
      <c r="AF70" s="355" t="str">
        <f t="shared" si="82"/>
        <v>-%</v>
      </c>
      <c r="AG70" s="355" t="str">
        <f t="shared" si="82"/>
        <v>-%</v>
      </c>
      <c r="AH70" s="355" t="str">
        <f t="shared" si="82"/>
        <v>-%</v>
      </c>
      <c r="AI70" s="355" t="str">
        <f t="shared" si="82"/>
        <v>-%</v>
      </c>
      <c r="AJ70" s="355" t="str">
        <f t="shared" si="82"/>
        <v>-%</v>
      </c>
      <c r="AK70" s="355" t="str">
        <f t="shared" si="82"/>
        <v>-%</v>
      </c>
      <c r="AL70" s="355" t="str">
        <f t="shared" si="82"/>
        <v>-%</v>
      </c>
      <c r="AM70" s="355" t="str">
        <f t="shared" si="82"/>
        <v>-%</v>
      </c>
      <c r="AN70" s="355" t="str">
        <f t="shared" si="82"/>
        <v>-%</v>
      </c>
      <c r="AO70" s="355" t="str">
        <f t="shared" si="82"/>
        <v>-%</v>
      </c>
      <c r="AP70" s="355" t="str">
        <f t="shared" si="82"/>
        <v>-%</v>
      </c>
      <c r="AQ70" s="355" t="str">
        <f t="shared" si="82"/>
        <v>-%</v>
      </c>
      <c r="AR70" s="355" t="str">
        <f t="shared" si="82"/>
        <v>-%</v>
      </c>
      <c r="AS70" s="355" t="str">
        <f>IF(AS24=0,"-%",AS25/AS24)</f>
        <v>-%</v>
      </c>
      <c r="AT70" s="294"/>
      <c r="AU70" s="294"/>
      <c r="AV70" s="204" t="str">
        <f>AV69</f>
        <v>REVENUE GROWTH YEAR/YEAR-1</v>
      </c>
      <c r="AW70" s="25">
        <f t="shared" ref="AW70:AW76" si="83">AW16</f>
        <v>2024</v>
      </c>
      <c r="AX70" s="355" t="str">
        <f>IF(AX24=0,"-%",AX25/AX24)</f>
        <v>-%</v>
      </c>
      <c r="AY70" s="355" t="str">
        <f t="shared" ref="AY70:BA70" si="84">IF(AY24=0,"-%",AY25/AY24)</f>
        <v>-%</v>
      </c>
      <c r="AZ70" s="355" t="str">
        <f t="shared" si="84"/>
        <v>-%</v>
      </c>
      <c r="BA70" s="355" t="str">
        <f t="shared" si="84"/>
        <v>-%</v>
      </c>
      <c r="BB70" s="294"/>
      <c r="BC70" s="294"/>
      <c r="BD70" s="204" t="str">
        <f>BD69</f>
        <v>REVENUE GROWTH YEAR/YEAR-1</v>
      </c>
      <c r="BE70" s="25">
        <f t="shared" ref="BE70:BE76" si="85">BE16</f>
        <v>2024</v>
      </c>
      <c r="BF70" s="355" t="str">
        <f t="shared" ref="BF70:BH76" si="86">IF(BF24=0,"-%",BF25/BF24)</f>
        <v>-%</v>
      </c>
      <c r="BG70" s="355" t="str">
        <f t="shared" si="86"/>
        <v>-%</v>
      </c>
      <c r="BH70" s="355" t="str">
        <f t="shared" si="86"/>
        <v>-%</v>
      </c>
      <c r="BI70" s="294"/>
      <c r="BJ70" s="294"/>
      <c r="BK70" s="204" t="str">
        <f>BK69</f>
        <v>REVENUE GROWTH YEAR/YEAR-1</v>
      </c>
      <c r="BL70" s="25">
        <f t="shared" ref="BL70:BL76" si="87">BL16</f>
        <v>2024</v>
      </c>
      <c r="BM70" s="355" t="str">
        <f>IF(BM24=0,"-%",BM25/BM24)</f>
        <v>-%</v>
      </c>
      <c r="BN70" s="355" t="str">
        <f t="shared" ref="BN70:BO70" si="88">IF(BN24=0,"-%",BN25/BN24)</f>
        <v>-%</v>
      </c>
      <c r="BO70" s="355" t="str">
        <f t="shared" si="88"/>
        <v>-%</v>
      </c>
      <c r="BP70" s="294"/>
      <c r="BQ70" s="294"/>
      <c r="BR70" s="362" t="str">
        <f>VLOOKUP(BU70,TableInputsData[],6,FALSE)</f>
        <v>-</v>
      </c>
      <c r="BS70" s="598" t="str">
        <f>VLOOKUP(BU70,InputsData!$C$36:$I$67,5,FALSE)</f>
        <v>DIENST 05</v>
      </c>
      <c r="BT70" s="1" t="s">
        <v>457</v>
      </c>
      <c r="BU70" s="1" t="s">
        <v>550</v>
      </c>
      <c r="BV70" s="2">
        <v>0</v>
      </c>
      <c r="BW70" s="2">
        <v>0</v>
      </c>
      <c r="BX70" s="2">
        <v>0</v>
      </c>
      <c r="BY70" s="2">
        <v>0</v>
      </c>
      <c r="BZ70" s="2">
        <v>0</v>
      </c>
      <c r="CA70" s="2">
        <v>0</v>
      </c>
      <c r="CB70" s="2">
        <v>0</v>
      </c>
      <c r="CC70" s="2">
        <v>0</v>
      </c>
      <c r="CD70" s="2">
        <v>0</v>
      </c>
      <c r="CE70" s="2">
        <v>0</v>
      </c>
      <c r="CF70" s="2">
        <v>0</v>
      </c>
      <c r="CG70" s="2">
        <v>0</v>
      </c>
      <c r="CH70" s="2">
        <v>0</v>
      </c>
      <c r="CI70" s="2">
        <v>0</v>
      </c>
      <c r="CJ70" s="2">
        <v>0</v>
      </c>
      <c r="CK70" s="2">
        <v>0</v>
      </c>
      <c r="CL70" s="2">
        <v>0</v>
      </c>
      <c r="CM70" s="2">
        <v>0</v>
      </c>
      <c r="CN70" s="2">
        <v>0</v>
      </c>
      <c r="CO70" s="2">
        <v>0</v>
      </c>
      <c r="CP70" s="2">
        <v>0</v>
      </c>
      <c r="CQ70" s="2">
        <v>0</v>
      </c>
      <c r="CR70" s="2">
        <v>0</v>
      </c>
      <c r="CS70" s="2">
        <v>0</v>
      </c>
      <c r="CT70" s="294"/>
    </row>
    <row r="71" spans="1:98" x14ac:dyDescent="0.2">
      <c r="A71" s="294"/>
      <c r="B71" s="204" t="str">
        <f>IF(RIGHT($D71,5)="Total",$B70&amp;" Total",VLOOKUP($D71,TableInputsData[],ReadMe!$M$3,FALSE))</f>
        <v>CROISSANCE DU CHIFFRE D'AFFAIRES AN/AN-1</v>
      </c>
      <c r="C71" s="294"/>
      <c r="D71" s="204" t="str">
        <f t="shared" ref="D71:D76" si="89">D70</f>
        <v>REVENUE GROWTH YEAR/YEAR-1</v>
      </c>
      <c r="E71" s="25">
        <f t="shared" si="76"/>
        <v>2025</v>
      </c>
      <c r="F71" s="355" t="str">
        <f t="shared" si="77"/>
        <v>-%</v>
      </c>
      <c r="G71" s="355" t="str">
        <f t="shared" ref="G71:J76" si="90">IF(G25=0,"-%",G26/G25)</f>
        <v>-%</v>
      </c>
      <c r="H71" s="355" t="str">
        <f t="shared" si="90"/>
        <v>-%</v>
      </c>
      <c r="I71" s="355" t="str">
        <f t="shared" si="90"/>
        <v>-%</v>
      </c>
      <c r="J71" s="355" t="str">
        <f t="shared" si="90"/>
        <v>-%</v>
      </c>
      <c r="K71" s="294"/>
      <c r="L71" s="294"/>
      <c r="M71" s="204" t="str">
        <f t="shared" ref="M71:M76" si="91">M70</f>
        <v>REVENUE GROWTH YEAR/YEAR-1</v>
      </c>
      <c r="N71" s="25">
        <f t="shared" si="79"/>
        <v>2025</v>
      </c>
      <c r="O71" s="355" t="str">
        <f t="shared" ref="O71:S71" si="92">IF(O25=0,"-%",O26/O25)</f>
        <v>-%</v>
      </c>
      <c r="P71" s="355" t="str">
        <f t="shared" si="92"/>
        <v>-%</v>
      </c>
      <c r="Q71" s="355" t="str">
        <f t="shared" si="92"/>
        <v>-%</v>
      </c>
      <c r="R71" s="355" t="str">
        <f t="shared" si="92"/>
        <v>-%</v>
      </c>
      <c r="S71" s="355" t="str">
        <f t="shared" si="92"/>
        <v>-%</v>
      </c>
      <c r="T71" s="355" t="str">
        <f t="shared" ref="T71:AS71" si="93">IF(T25=0,"-%",T26/T25)</f>
        <v>-%</v>
      </c>
      <c r="U71" s="355" t="str">
        <f t="shared" ref="U71:AR71" si="94">IF(U25=0,"-%",U26/U25)</f>
        <v>-%</v>
      </c>
      <c r="V71" s="355" t="str">
        <f t="shared" si="94"/>
        <v>-%</v>
      </c>
      <c r="W71" s="355" t="str">
        <f t="shared" si="94"/>
        <v>-%</v>
      </c>
      <c r="X71" s="355" t="str">
        <f t="shared" si="94"/>
        <v>-%</v>
      </c>
      <c r="Y71" s="355" t="str">
        <f t="shared" si="94"/>
        <v>-%</v>
      </c>
      <c r="Z71" s="355" t="str">
        <f t="shared" si="94"/>
        <v>-%</v>
      </c>
      <c r="AA71" s="355" t="str">
        <f t="shared" si="94"/>
        <v>-%</v>
      </c>
      <c r="AB71" s="355" t="str">
        <f t="shared" si="94"/>
        <v>-%</v>
      </c>
      <c r="AC71" s="355" t="str">
        <f t="shared" si="94"/>
        <v>-%</v>
      </c>
      <c r="AD71" s="355" t="str">
        <f t="shared" si="94"/>
        <v>-%</v>
      </c>
      <c r="AE71" s="355" t="str">
        <f t="shared" si="94"/>
        <v>-%</v>
      </c>
      <c r="AF71" s="355" t="str">
        <f t="shared" si="94"/>
        <v>-%</v>
      </c>
      <c r="AG71" s="355" t="str">
        <f t="shared" si="94"/>
        <v>-%</v>
      </c>
      <c r="AH71" s="355" t="str">
        <f t="shared" si="94"/>
        <v>-%</v>
      </c>
      <c r="AI71" s="355" t="str">
        <f t="shared" si="94"/>
        <v>-%</v>
      </c>
      <c r="AJ71" s="355" t="str">
        <f t="shared" si="94"/>
        <v>-%</v>
      </c>
      <c r="AK71" s="355" t="str">
        <f t="shared" si="94"/>
        <v>-%</v>
      </c>
      <c r="AL71" s="355" t="str">
        <f t="shared" si="94"/>
        <v>-%</v>
      </c>
      <c r="AM71" s="355" t="str">
        <f t="shared" si="94"/>
        <v>-%</v>
      </c>
      <c r="AN71" s="355" t="str">
        <f t="shared" si="94"/>
        <v>-%</v>
      </c>
      <c r="AO71" s="355" t="str">
        <f t="shared" si="94"/>
        <v>-%</v>
      </c>
      <c r="AP71" s="355" t="str">
        <f t="shared" si="94"/>
        <v>-%</v>
      </c>
      <c r="AQ71" s="355" t="str">
        <f t="shared" si="94"/>
        <v>-%</v>
      </c>
      <c r="AR71" s="355" t="str">
        <f t="shared" si="94"/>
        <v>-%</v>
      </c>
      <c r="AS71" s="355" t="str">
        <f t="shared" si="93"/>
        <v>-%</v>
      </c>
      <c r="AT71" s="294"/>
      <c r="AU71" s="294"/>
      <c r="AV71" s="204" t="str">
        <f t="shared" ref="AV71:AV76" si="95">AV70</f>
        <v>REVENUE GROWTH YEAR/YEAR-1</v>
      </c>
      <c r="AW71" s="25">
        <f t="shared" si="83"/>
        <v>2025</v>
      </c>
      <c r="AX71" s="355" t="str">
        <f t="shared" ref="AX71:BA71" si="96">IF(AX25=0,"-%",AX26/AX25)</f>
        <v>-%</v>
      </c>
      <c r="AY71" s="355" t="str">
        <f t="shared" si="96"/>
        <v>-%</v>
      </c>
      <c r="AZ71" s="355" t="str">
        <f t="shared" si="96"/>
        <v>-%</v>
      </c>
      <c r="BA71" s="355" t="str">
        <f t="shared" si="96"/>
        <v>-%</v>
      </c>
      <c r="BB71" s="294"/>
      <c r="BC71" s="294"/>
      <c r="BD71" s="204" t="str">
        <f t="shared" ref="BD71:BD76" si="97">BD70</f>
        <v>REVENUE GROWTH YEAR/YEAR-1</v>
      </c>
      <c r="BE71" s="25">
        <f t="shared" si="85"/>
        <v>2025</v>
      </c>
      <c r="BF71" s="355" t="str">
        <f t="shared" si="86"/>
        <v>-%</v>
      </c>
      <c r="BG71" s="355" t="str">
        <f t="shared" si="86"/>
        <v>-%</v>
      </c>
      <c r="BH71" s="355" t="str">
        <f t="shared" si="86"/>
        <v>-%</v>
      </c>
      <c r="BI71" s="294"/>
      <c r="BJ71" s="294"/>
      <c r="BK71" s="204" t="str">
        <f t="shared" ref="BK71:BK76" si="98">BK70</f>
        <v>REVENUE GROWTH YEAR/YEAR-1</v>
      </c>
      <c r="BL71" s="25">
        <f t="shared" si="87"/>
        <v>2025</v>
      </c>
      <c r="BM71" s="355" t="str">
        <f t="shared" ref="BM71:BO71" si="99">IF(BM25=0,"-%",BM26/BM25)</f>
        <v>-%</v>
      </c>
      <c r="BN71" s="355" t="str">
        <f t="shared" si="99"/>
        <v>-%</v>
      </c>
      <c r="BO71" s="355" t="str">
        <f t="shared" si="99"/>
        <v>-%</v>
      </c>
      <c r="BP71" s="294"/>
      <c r="BQ71" s="294"/>
      <c r="BR71" s="362" t="str">
        <f>VLOOKUP(BU71,TableInputsData[],6,FALSE)</f>
        <v>-</v>
      </c>
      <c r="BS71" s="598" t="str">
        <f>VLOOKUP(BU71,InputsData!$C$36:$I$67,5,FALSE)</f>
        <v>DIENST 06</v>
      </c>
      <c r="BT71" s="1" t="s">
        <v>457</v>
      </c>
      <c r="BU71" s="1" t="s">
        <v>551</v>
      </c>
      <c r="BV71" s="2">
        <v>0</v>
      </c>
      <c r="BW71" s="2">
        <v>0</v>
      </c>
      <c r="BX71" s="2">
        <v>0</v>
      </c>
      <c r="BY71" s="2">
        <v>0</v>
      </c>
      <c r="BZ71" s="2">
        <v>0</v>
      </c>
      <c r="CA71" s="2">
        <v>0</v>
      </c>
      <c r="CB71" s="2">
        <v>0</v>
      </c>
      <c r="CC71" s="2">
        <v>0</v>
      </c>
      <c r="CD71" s="2">
        <v>0</v>
      </c>
      <c r="CE71" s="2">
        <v>0</v>
      </c>
      <c r="CF71" s="2">
        <v>0</v>
      </c>
      <c r="CG71" s="2">
        <v>0</v>
      </c>
      <c r="CH71" s="2">
        <v>0</v>
      </c>
      <c r="CI71" s="2">
        <v>0</v>
      </c>
      <c r="CJ71" s="2">
        <v>0</v>
      </c>
      <c r="CK71" s="2">
        <v>0</v>
      </c>
      <c r="CL71" s="2">
        <v>0</v>
      </c>
      <c r="CM71" s="2">
        <v>0</v>
      </c>
      <c r="CN71" s="2">
        <v>0</v>
      </c>
      <c r="CO71" s="2">
        <v>0</v>
      </c>
      <c r="CP71" s="2">
        <v>0</v>
      </c>
      <c r="CQ71" s="2">
        <v>0</v>
      </c>
      <c r="CR71" s="2">
        <v>0</v>
      </c>
      <c r="CS71" s="2">
        <v>0</v>
      </c>
      <c r="CT71" s="294"/>
    </row>
    <row r="72" spans="1:98" x14ac:dyDescent="0.2">
      <c r="A72" s="294"/>
      <c r="B72" s="204" t="str">
        <f>IF(RIGHT($D72,5)="Total",$B71&amp;" Total",VLOOKUP($D72,TableInputsData[],ReadMe!$M$3,FALSE))</f>
        <v>CROISSANCE DU CHIFFRE D'AFFAIRES AN/AN-1</v>
      </c>
      <c r="C72" s="294"/>
      <c r="D72" s="204" t="str">
        <f t="shared" si="89"/>
        <v>REVENUE GROWTH YEAR/YEAR-1</v>
      </c>
      <c r="E72" s="25">
        <f t="shared" si="76"/>
        <v>2026</v>
      </c>
      <c r="F72" s="355" t="str">
        <f t="shared" si="77"/>
        <v>-%</v>
      </c>
      <c r="G72" s="355" t="str">
        <f t="shared" si="90"/>
        <v>-%</v>
      </c>
      <c r="H72" s="355" t="str">
        <f t="shared" si="90"/>
        <v>-%</v>
      </c>
      <c r="I72" s="355" t="str">
        <f t="shared" si="90"/>
        <v>-%</v>
      </c>
      <c r="J72" s="355" t="str">
        <f t="shared" si="90"/>
        <v>-%</v>
      </c>
      <c r="K72" s="294"/>
      <c r="L72" s="294"/>
      <c r="M72" s="204" t="str">
        <f t="shared" si="91"/>
        <v>REVENUE GROWTH YEAR/YEAR-1</v>
      </c>
      <c r="N72" s="25">
        <f t="shared" si="79"/>
        <v>2026</v>
      </c>
      <c r="O72" s="355" t="str">
        <f t="shared" ref="O72:S72" si="100">IF(O26=0,"-%",O27/O26)</f>
        <v>-%</v>
      </c>
      <c r="P72" s="355" t="str">
        <f t="shared" si="100"/>
        <v>-%</v>
      </c>
      <c r="Q72" s="355" t="str">
        <f t="shared" si="100"/>
        <v>-%</v>
      </c>
      <c r="R72" s="355" t="str">
        <f t="shared" si="100"/>
        <v>-%</v>
      </c>
      <c r="S72" s="355" t="str">
        <f t="shared" si="100"/>
        <v>-%</v>
      </c>
      <c r="T72" s="355" t="str">
        <f t="shared" ref="T72:AS72" si="101">IF(T26=0,"-%",T27/T26)</f>
        <v>-%</v>
      </c>
      <c r="U72" s="355" t="str">
        <f t="shared" ref="U72:AR72" si="102">IF(U26=0,"-%",U27/U26)</f>
        <v>-%</v>
      </c>
      <c r="V72" s="355" t="str">
        <f t="shared" si="102"/>
        <v>-%</v>
      </c>
      <c r="W72" s="355" t="str">
        <f t="shared" si="102"/>
        <v>-%</v>
      </c>
      <c r="X72" s="355" t="str">
        <f t="shared" si="102"/>
        <v>-%</v>
      </c>
      <c r="Y72" s="355" t="str">
        <f t="shared" si="102"/>
        <v>-%</v>
      </c>
      <c r="Z72" s="355" t="str">
        <f t="shared" si="102"/>
        <v>-%</v>
      </c>
      <c r="AA72" s="355" t="str">
        <f t="shared" si="102"/>
        <v>-%</v>
      </c>
      <c r="AB72" s="355" t="str">
        <f t="shared" si="102"/>
        <v>-%</v>
      </c>
      <c r="AC72" s="355" t="str">
        <f t="shared" si="102"/>
        <v>-%</v>
      </c>
      <c r="AD72" s="355" t="str">
        <f t="shared" si="102"/>
        <v>-%</v>
      </c>
      <c r="AE72" s="355" t="str">
        <f t="shared" si="102"/>
        <v>-%</v>
      </c>
      <c r="AF72" s="355" t="str">
        <f t="shared" si="102"/>
        <v>-%</v>
      </c>
      <c r="AG72" s="355" t="str">
        <f t="shared" si="102"/>
        <v>-%</v>
      </c>
      <c r="AH72" s="355" t="str">
        <f t="shared" si="102"/>
        <v>-%</v>
      </c>
      <c r="AI72" s="355" t="str">
        <f t="shared" si="102"/>
        <v>-%</v>
      </c>
      <c r="AJ72" s="355" t="str">
        <f t="shared" si="102"/>
        <v>-%</v>
      </c>
      <c r="AK72" s="355" t="str">
        <f t="shared" si="102"/>
        <v>-%</v>
      </c>
      <c r="AL72" s="355" t="str">
        <f t="shared" si="102"/>
        <v>-%</v>
      </c>
      <c r="AM72" s="355" t="str">
        <f t="shared" si="102"/>
        <v>-%</v>
      </c>
      <c r="AN72" s="355" t="str">
        <f t="shared" si="102"/>
        <v>-%</v>
      </c>
      <c r="AO72" s="355" t="str">
        <f t="shared" si="102"/>
        <v>-%</v>
      </c>
      <c r="AP72" s="355" t="str">
        <f t="shared" si="102"/>
        <v>-%</v>
      </c>
      <c r="AQ72" s="355" t="str">
        <f t="shared" si="102"/>
        <v>-%</v>
      </c>
      <c r="AR72" s="355" t="str">
        <f t="shared" si="102"/>
        <v>-%</v>
      </c>
      <c r="AS72" s="355" t="str">
        <f t="shared" si="101"/>
        <v>-%</v>
      </c>
      <c r="AT72" s="294"/>
      <c r="AU72" s="294"/>
      <c r="AV72" s="204" t="str">
        <f t="shared" si="95"/>
        <v>REVENUE GROWTH YEAR/YEAR-1</v>
      </c>
      <c r="AW72" s="25">
        <f t="shared" si="83"/>
        <v>2026</v>
      </c>
      <c r="AX72" s="355" t="str">
        <f t="shared" ref="AX72:BA72" si="103">IF(AX26=0,"-%",AX27/AX26)</f>
        <v>-%</v>
      </c>
      <c r="AY72" s="355" t="str">
        <f t="shared" si="103"/>
        <v>-%</v>
      </c>
      <c r="AZ72" s="355" t="str">
        <f t="shared" si="103"/>
        <v>-%</v>
      </c>
      <c r="BA72" s="355" t="str">
        <f t="shared" si="103"/>
        <v>-%</v>
      </c>
      <c r="BB72" s="294"/>
      <c r="BC72" s="294"/>
      <c r="BD72" s="204" t="str">
        <f t="shared" si="97"/>
        <v>REVENUE GROWTH YEAR/YEAR-1</v>
      </c>
      <c r="BE72" s="25">
        <f t="shared" si="85"/>
        <v>2026</v>
      </c>
      <c r="BF72" s="355" t="str">
        <f t="shared" si="86"/>
        <v>-%</v>
      </c>
      <c r="BG72" s="355" t="str">
        <f t="shared" si="86"/>
        <v>-%</v>
      </c>
      <c r="BH72" s="355" t="str">
        <f t="shared" si="86"/>
        <v>-%</v>
      </c>
      <c r="BI72" s="294"/>
      <c r="BJ72" s="294"/>
      <c r="BK72" s="204" t="str">
        <f t="shared" si="98"/>
        <v>REVENUE GROWTH YEAR/YEAR-1</v>
      </c>
      <c r="BL72" s="25">
        <f t="shared" si="87"/>
        <v>2026</v>
      </c>
      <c r="BM72" s="355" t="str">
        <f t="shared" ref="BM72:BO72" si="104">IF(BM26=0,"-%",BM27/BM26)</f>
        <v>-%</v>
      </c>
      <c r="BN72" s="355" t="str">
        <f t="shared" si="104"/>
        <v>-%</v>
      </c>
      <c r="BO72" s="355" t="str">
        <f t="shared" si="104"/>
        <v>-%</v>
      </c>
      <c r="BP72" s="294"/>
      <c r="BQ72" s="294"/>
      <c r="BR72" s="362" t="str">
        <f>VLOOKUP(BU72,TableInputsData[],6,FALSE)</f>
        <v>-</v>
      </c>
      <c r="BS72" s="598" t="str">
        <f>VLOOKUP(BU72,InputsData!$C$36:$I$67,5,FALSE)</f>
        <v>DIENST 07</v>
      </c>
      <c r="BT72" s="1" t="s">
        <v>457</v>
      </c>
      <c r="BU72" s="1" t="s">
        <v>552</v>
      </c>
      <c r="BV72" s="2">
        <v>0</v>
      </c>
      <c r="BW72" s="2">
        <v>0</v>
      </c>
      <c r="BX72" s="2">
        <v>0</v>
      </c>
      <c r="BY72" s="2">
        <v>0</v>
      </c>
      <c r="BZ72" s="2">
        <v>0</v>
      </c>
      <c r="CA72" s="2">
        <v>0</v>
      </c>
      <c r="CB72" s="2">
        <v>0</v>
      </c>
      <c r="CC72" s="2">
        <v>0</v>
      </c>
      <c r="CD72" s="2">
        <v>0</v>
      </c>
      <c r="CE72" s="2">
        <v>0</v>
      </c>
      <c r="CF72" s="2">
        <v>0</v>
      </c>
      <c r="CG72" s="2">
        <v>0</v>
      </c>
      <c r="CH72" s="2">
        <v>0</v>
      </c>
      <c r="CI72" s="2">
        <v>0</v>
      </c>
      <c r="CJ72" s="2">
        <v>0</v>
      </c>
      <c r="CK72" s="2">
        <v>0</v>
      </c>
      <c r="CL72" s="2">
        <v>0</v>
      </c>
      <c r="CM72" s="2">
        <v>0</v>
      </c>
      <c r="CN72" s="2">
        <v>0</v>
      </c>
      <c r="CO72" s="2">
        <v>0</v>
      </c>
      <c r="CP72" s="2">
        <v>0</v>
      </c>
      <c r="CQ72" s="2">
        <v>0</v>
      </c>
      <c r="CR72" s="2">
        <v>0</v>
      </c>
      <c r="CS72" s="2">
        <v>0</v>
      </c>
      <c r="CT72" s="294"/>
    </row>
    <row r="73" spans="1:98" x14ac:dyDescent="0.2">
      <c r="A73" s="294"/>
      <c r="B73" s="204" t="str">
        <f>IF(RIGHT($D73,5)="Total",$B72&amp;" Total",VLOOKUP($D73,TableInputsData[],ReadMe!$M$3,FALSE))</f>
        <v>CROISSANCE DU CHIFFRE D'AFFAIRES AN/AN-1</v>
      </c>
      <c r="C73" s="294"/>
      <c r="D73" s="204" t="str">
        <f t="shared" si="89"/>
        <v>REVENUE GROWTH YEAR/YEAR-1</v>
      </c>
      <c r="E73" s="25">
        <f t="shared" si="76"/>
        <v>2027</v>
      </c>
      <c r="F73" s="355" t="str">
        <f t="shared" si="77"/>
        <v>-%</v>
      </c>
      <c r="G73" s="355" t="str">
        <f t="shared" si="90"/>
        <v>-%</v>
      </c>
      <c r="H73" s="355" t="str">
        <f t="shared" si="90"/>
        <v>-%</v>
      </c>
      <c r="I73" s="355" t="str">
        <f t="shared" si="90"/>
        <v>-%</v>
      </c>
      <c r="J73" s="355" t="str">
        <f t="shared" si="90"/>
        <v>-%</v>
      </c>
      <c r="K73" s="294"/>
      <c r="L73" s="294"/>
      <c r="M73" s="204" t="str">
        <f t="shared" si="91"/>
        <v>REVENUE GROWTH YEAR/YEAR-1</v>
      </c>
      <c r="N73" s="25">
        <f t="shared" si="79"/>
        <v>2027</v>
      </c>
      <c r="O73" s="355" t="str">
        <f t="shared" ref="O73:S73" si="105">IF(O27=0,"-%",O28/O27)</f>
        <v>-%</v>
      </c>
      <c r="P73" s="355" t="str">
        <f t="shared" si="105"/>
        <v>-%</v>
      </c>
      <c r="Q73" s="355" t="str">
        <f t="shared" si="105"/>
        <v>-%</v>
      </c>
      <c r="R73" s="355" t="str">
        <f t="shared" si="105"/>
        <v>-%</v>
      </c>
      <c r="S73" s="355" t="str">
        <f t="shared" si="105"/>
        <v>-%</v>
      </c>
      <c r="T73" s="355" t="str">
        <f t="shared" ref="T73:AS73" si="106">IF(T27=0,"-%",T28/T27)</f>
        <v>-%</v>
      </c>
      <c r="U73" s="355" t="str">
        <f t="shared" ref="U73:AR73" si="107">IF(U27=0,"-%",U28/U27)</f>
        <v>-%</v>
      </c>
      <c r="V73" s="355" t="str">
        <f t="shared" si="107"/>
        <v>-%</v>
      </c>
      <c r="W73" s="355" t="str">
        <f t="shared" si="107"/>
        <v>-%</v>
      </c>
      <c r="X73" s="355" t="str">
        <f t="shared" si="107"/>
        <v>-%</v>
      </c>
      <c r="Y73" s="355" t="str">
        <f t="shared" si="107"/>
        <v>-%</v>
      </c>
      <c r="Z73" s="355" t="str">
        <f t="shared" si="107"/>
        <v>-%</v>
      </c>
      <c r="AA73" s="355" t="str">
        <f t="shared" si="107"/>
        <v>-%</v>
      </c>
      <c r="AB73" s="355" t="str">
        <f t="shared" si="107"/>
        <v>-%</v>
      </c>
      <c r="AC73" s="355" t="str">
        <f t="shared" si="107"/>
        <v>-%</v>
      </c>
      <c r="AD73" s="355" t="str">
        <f t="shared" si="107"/>
        <v>-%</v>
      </c>
      <c r="AE73" s="355" t="str">
        <f t="shared" si="107"/>
        <v>-%</v>
      </c>
      <c r="AF73" s="355" t="str">
        <f t="shared" si="107"/>
        <v>-%</v>
      </c>
      <c r="AG73" s="355" t="str">
        <f t="shared" si="107"/>
        <v>-%</v>
      </c>
      <c r="AH73" s="355" t="str">
        <f t="shared" si="107"/>
        <v>-%</v>
      </c>
      <c r="AI73" s="355" t="str">
        <f t="shared" si="107"/>
        <v>-%</v>
      </c>
      <c r="AJ73" s="355" t="str">
        <f t="shared" si="107"/>
        <v>-%</v>
      </c>
      <c r="AK73" s="355" t="str">
        <f t="shared" si="107"/>
        <v>-%</v>
      </c>
      <c r="AL73" s="355" t="str">
        <f t="shared" si="107"/>
        <v>-%</v>
      </c>
      <c r="AM73" s="355" t="str">
        <f t="shared" si="107"/>
        <v>-%</v>
      </c>
      <c r="AN73" s="355" t="str">
        <f t="shared" si="107"/>
        <v>-%</v>
      </c>
      <c r="AO73" s="355" t="str">
        <f t="shared" si="107"/>
        <v>-%</v>
      </c>
      <c r="AP73" s="355" t="str">
        <f t="shared" si="107"/>
        <v>-%</v>
      </c>
      <c r="AQ73" s="355" t="str">
        <f t="shared" si="107"/>
        <v>-%</v>
      </c>
      <c r="AR73" s="355" t="str">
        <f t="shared" si="107"/>
        <v>-%</v>
      </c>
      <c r="AS73" s="355" t="str">
        <f t="shared" si="106"/>
        <v>-%</v>
      </c>
      <c r="AT73" s="294"/>
      <c r="AU73" s="294"/>
      <c r="AV73" s="204" t="str">
        <f t="shared" si="95"/>
        <v>REVENUE GROWTH YEAR/YEAR-1</v>
      </c>
      <c r="AW73" s="25">
        <f t="shared" si="83"/>
        <v>2027</v>
      </c>
      <c r="AX73" s="355" t="str">
        <f t="shared" ref="AX73:BA73" si="108">IF(AX27=0,"-%",AX28/AX27)</f>
        <v>-%</v>
      </c>
      <c r="AY73" s="355" t="str">
        <f t="shared" si="108"/>
        <v>-%</v>
      </c>
      <c r="AZ73" s="355" t="str">
        <f t="shared" si="108"/>
        <v>-%</v>
      </c>
      <c r="BA73" s="355" t="str">
        <f t="shared" si="108"/>
        <v>-%</v>
      </c>
      <c r="BB73" s="294"/>
      <c r="BC73" s="294"/>
      <c r="BD73" s="204" t="str">
        <f t="shared" si="97"/>
        <v>REVENUE GROWTH YEAR/YEAR-1</v>
      </c>
      <c r="BE73" s="25">
        <f t="shared" si="85"/>
        <v>2027</v>
      </c>
      <c r="BF73" s="355" t="str">
        <f t="shared" si="86"/>
        <v>-%</v>
      </c>
      <c r="BG73" s="355" t="str">
        <f t="shared" si="86"/>
        <v>-%</v>
      </c>
      <c r="BH73" s="355" t="str">
        <f t="shared" si="86"/>
        <v>-%</v>
      </c>
      <c r="BI73" s="294"/>
      <c r="BJ73" s="294"/>
      <c r="BK73" s="204" t="str">
        <f t="shared" si="98"/>
        <v>REVENUE GROWTH YEAR/YEAR-1</v>
      </c>
      <c r="BL73" s="25">
        <f t="shared" si="87"/>
        <v>2027</v>
      </c>
      <c r="BM73" s="355" t="str">
        <f t="shared" ref="BM73:BO73" si="109">IF(BM27=0,"-%",BM28/BM27)</f>
        <v>-%</v>
      </c>
      <c r="BN73" s="355" t="str">
        <f t="shared" si="109"/>
        <v>-%</v>
      </c>
      <c r="BO73" s="355" t="str">
        <f t="shared" si="109"/>
        <v>-%</v>
      </c>
      <c r="BP73" s="294"/>
      <c r="BQ73" s="294"/>
      <c r="BR73" s="362" t="str">
        <f>VLOOKUP(BU73,TableInputsData[],6,FALSE)</f>
        <v>-</v>
      </c>
      <c r="BS73" s="598" t="str">
        <f>VLOOKUP(BU73,InputsData!$C$36:$I$67,5,FALSE)</f>
        <v>DIENST 08</v>
      </c>
      <c r="BT73" s="1" t="s">
        <v>457</v>
      </c>
      <c r="BU73" s="1" t="s">
        <v>553</v>
      </c>
      <c r="BV73" s="2">
        <v>0</v>
      </c>
      <c r="BW73" s="2">
        <v>0</v>
      </c>
      <c r="BX73" s="2">
        <v>0</v>
      </c>
      <c r="BY73" s="2">
        <v>0</v>
      </c>
      <c r="BZ73" s="2">
        <v>0</v>
      </c>
      <c r="CA73" s="2">
        <v>0</v>
      </c>
      <c r="CB73" s="2">
        <v>0</v>
      </c>
      <c r="CC73" s="2">
        <v>0</v>
      </c>
      <c r="CD73" s="2">
        <v>0</v>
      </c>
      <c r="CE73" s="2">
        <v>0</v>
      </c>
      <c r="CF73" s="2">
        <v>0</v>
      </c>
      <c r="CG73" s="2">
        <v>0</v>
      </c>
      <c r="CH73" s="2">
        <v>0</v>
      </c>
      <c r="CI73" s="2">
        <v>0</v>
      </c>
      <c r="CJ73" s="2">
        <v>0</v>
      </c>
      <c r="CK73" s="2">
        <v>0</v>
      </c>
      <c r="CL73" s="2">
        <v>0</v>
      </c>
      <c r="CM73" s="2">
        <v>0</v>
      </c>
      <c r="CN73" s="2">
        <v>0</v>
      </c>
      <c r="CO73" s="2">
        <v>0</v>
      </c>
      <c r="CP73" s="2">
        <v>0</v>
      </c>
      <c r="CQ73" s="2">
        <v>0</v>
      </c>
      <c r="CR73" s="2">
        <v>0</v>
      </c>
      <c r="CS73" s="2">
        <v>0</v>
      </c>
      <c r="CT73" s="294"/>
    </row>
    <row r="74" spans="1:98" x14ac:dyDescent="0.2">
      <c r="A74" s="294"/>
      <c r="B74" s="204" t="str">
        <f>IF(RIGHT($D74,5)="Total",$B73&amp;" Total",VLOOKUP($D74,TableInputsData[],ReadMe!$M$3,FALSE))</f>
        <v>CROISSANCE DU CHIFFRE D'AFFAIRES AN/AN-1</v>
      </c>
      <c r="C74" s="294"/>
      <c r="D74" s="204" t="str">
        <f t="shared" si="89"/>
        <v>REVENUE GROWTH YEAR/YEAR-1</v>
      </c>
      <c r="E74" s="25">
        <f t="shared" si="76"/>
        <v>2028</v>
      </c>
      <c r="F74" s="355" t="str">
        <f t="shared" si="77"/>
        <v>-%</v>
      </c>
      <c r="G74" s="355" t="str">
        <f t="shared" si="90"/>
        <v>-%</v>
      </c>
      <c r="H74" s="355" t="str">
        <f t="shared" si="90"/>
        <v>-%</v>
      </c>
      <c r="I74" s="355" t="str">
        <f t="shared" si="90"/>
        <v>-%</v>
      </c>
      <c r="J74" s="355" t="str">
        <f t="shared" si="90"/>
        <v>-%</v>
      </c>
      <c r="K74" s="294"/>
      <c r="L74" s="294"/>
      <c r="M74" s="204" t="str">
        <f t="shared" si="91"/>
        <v>REVENUE GROWTH YEAR/YEAR-1</v>
      </c>
      <c r="N74" s="25">
        <f t="shared" si="79"/>
        <v>2028</v>
      </c>
      <c r="O74" s="355" t="str">
        <f t="shared" ref="O74:S74" si="110">IF(O28=0,"-%",O29/O28)</f>
        <v>-%</v>
      </c>
      <c r="P74" s="355" t="str">
        <f t="shared" si="110"/>
        <v>-%</v>
      </c>
      <c r="Q74" s="355" t="str">
        <f t="shared" si="110"/>
        <v>-%</v>
      </c>
      <c r="R74" s="355" t="str">
        <f t="shared" si="110"/>
        <v>-%</v>
      </c>
      <c r="S74" s="355" t="str">
        <f t="shared" si="110"/>
        <v>-%</v>
      </c>
      <c r="T74" s="355" t="str">
        <f t="shared" ref="T74:AS74" si="111">IF(T28=0,"-%",T29/T28)</f>
        <v>-%</v>
      </c>
      <c r="U74" s="355" t="str">
        <f t="shared" ref="U74:AR74" si="112">IF(U28=0,"-%",U29/U28)</f>
        <v>-%</v>
      </c>
      <c r="V74" s="355" t="str">
        <f t="shared" si="112"/>
        <v>-%</v>
      </c>
      <c r="W74" s="355" t="str">
        <f t="shared" si="112"/>
        <v>-%</v>
      </c>
      <c r="X74" s="355" t="str">
        <f t="shared" si="112"/>
        <v>-%</v>
      </c>
      <c r="Y74" s="355" t="str">
        <f t="shared" si="112"/>
        <v>-%</v>
      </c>
      <c r="Z74" s="355" t="str">
        <f t="shared" si="112"/>
        <v>-%</v>
      </c>
      <c r="AA74" s="355" t="str">
        <f t="shared" si="112"/>
        <v>-%</v>
      </c>
      <c r="AB74" s="355" t="str">
        <f t="shared" si="112"/>
        <v>-%</v>
      </c>
      <c r="AC74" s="355" t="str">
        <f t="shared" si="112"/>
        <v>-%</v>
      </c>
      <c r="AD74" s="355" t="str">
        <f t="shared" si="112"/>
        <v>-%</v>
      </c>
      <c r="AE74" s="355" t="str">
        <f t="shared" si="112"/>
        <v>-%</v>
      </c>
      <c r="AF74" s="355" t="str">
        <f t="shared" si="112"/>
        <v>-%</v>
      </c>
      <c r="AG74" s="355" t="str">
        <f t="shared" si="112"/>
        <v>-%</v>
      </c>
      <c r="AH74" s="355" t="str">
        <f t="shared" si="112"/>
        <v>-%</v>
      </c>
      <c r="AI74" s="355" t="str">
        <f t="shared" si="112"/>
        <v>-%</v>
      </c>
      <c r="AJ74" s="355" t="str">
        <f t="shared" si="112"/>
        <v>-%</v>
      </c>
      <c r="AK74" s="355" t="str">
        <f t="shared" si="112"/>
        <v>-%</v>
      </c>
      <c r="AL74" s="355" t="str">
        <f t="shared" si="112"/>
        <v>-%</v>
      </c>
      <c r="AM74" s="355" t="str">
        <f t="shared" si="112"/>
        <v>-%</v>
      </c>
      <c r="AN74" s="355" t="str">
        <f t="shared" si="112"/>
        <v>-%</v>
      </c>
      <c r="AO74" s="355" t="str">
        <f t="shared" si="112"/>
        <v>-%</v>
      </c>
      <c r="AP74" s="355" t="str">
        <f t="shared" si="112"/>
        <v>-%</v>
      </c>
      <c r="AQ74" s="355" t="str">
        <f t="shared" si="112"/>
        <v>-%</v>
      </c>
      <c r="AR74" s="355" t="str">
        <f t="shared" si="112"/>
        <v>-%</v>
      </c>
      <c r="AS74" s="355" t="str">
        <f t="shared" si="111"/>
        <v>-%</v>
      </c>
      <c r="AT74" s="294"/>
      <c r="AU74" s="294"/>
      <c r="AV74" s="204" t="str">
        <f t="shared" si="95"/>
        <v>REVENUE GROWTH YEAR/YEAR-1</v>
      </c>
      <c r="AW74" s="25">
        <f t="shared" si="83"/>
        <v>2028</v>
      </c>
      <c r="AX74" s="355" t="str">
        <f t="shared" ref="AX74:BA74" si="113">IF(AX28=0,"-%",AX29/AX28)</f>
        <v>-%</v>
      </c>
      <c r="AY74" s="355" t="str">
        <f t="shared" si="113"/>
        <v>-%</v>
      </c>
      <c r="AZ74" s="355" t="str">
        <f t="shared" si="113"/>
        <v>-%</v>
      </c>
      <c r="BA74" s="355" t="str">
        <f t="shared" si="113"/>
        <v>-%</v>
      </c>
      <c r="BB74" s="294"/>
      <c r="BC74" s="294"/>
      <c r="BD74" s="204" t="str">
        <f t="shared" si="97"/>
        <v>REVENUE GROWTH YEAR/YEAR-1</v>
      </c>
      <c r="BE74" s="25">
        <f t="shared" si="85"/>
        <v>2028</v>
      </c>
      <c r="BF74" s="355" t="str">
        <f t="shared" si="86"/>
        <v>-%</v>
      </c>
      <c r="BG74" s="355" t="str">
        <f t="shared" si="86"/>
        <v>-%</v>
      </c>
      <c r="BH74" s="355" t="str">
        <f t="shared" si="86"/>
        <v>-%</v>
      </c>
      <c r="BI74" s="294"/>
      <c r="BJ74" s="294"/>
      <c r="BK74" s="204" t="str">
        <f t="shared" si="98"/>
        <v>REVENUE GROWTH YEAR/YEAR-1</v>
      </c>
      <c r="BL74" s="25">
        <f t="shared" si="87"/>
        <v>2028</v>
      </c>
      <c r="BM74" s="355" t="str">
        <f t="shared" ref="BM74:BO74" si="114">IF(BM28=0,"-%",BM29/BM28)</f>
        <v>-%</v>
      </c>
      <c r="BN74" s="355" t="str">
        <f t="shared" si="114"/>
        <v>-%</v>
      </c>
      <c r="BO74" s="355" t="str">
        <f t="shared" si="114"/>
        <v>-%</v>
      </c>
      <c r="BP74" s="294"/>
      <c r="BQ74" s="294"/>
      <c r="BR74" s="362" t="str">
        <f>VLOOKUP(BU74,TableInputsData[],6,FALSE)</f>
        <v>-</v>
      </c>
      <c r="BS74" s="598" t="str">
        <f>VLOOKUP(BU74,InputsData!$C$36:$I$67,5,FALSE)</f>
        <v>DIENST 09</v>
      </c>
      <c r="BT74" s="1" t="s">
        <v>457</v>
      </c>
      <c r="BU74" s="1" t="s">
        <v>554</v>
      </c>
      <c r="BV74" s="2">
        <v>0</v>
      </c>
      <c r="BW74" s="2">
        <v>0</v>
      </c>
      <c r="BX74" s="2">
        <v>0</v>
      </c>
      <c r="BY74" s="2">
        <v>0</v>
      </c>
      <c r="BZ74" s="2">
        <v>0</v>
      </c>
      <c r="CA74" s="2">
        <v>0</v>
      </c>
      <c r="CB74" s="2">
        <v>0</v>
      </c>
      <c r="CC74" s="2">
        <v>0</v>
      </c>
      <c r="CD74" s="2">
        <v>0</v>
      </c>
      <c r="CE74" s="2">
        <v>0</v>
      </c>
      <c r="CF74" s="2">
        <v>0</v>
      </c>
      <c r="CG74" s="2">
        <v>0</v>
      </c>
      <c r="CH74" s="2">
        <v>0</v>
      </c>
      <c r="CI74" s="2">
        <v>0</v>
      </c>
      <c r="CJ74" s="2">
        <v>0</v>
      </c>
      <c r="CK74" s="2">
        <v>0</v>
      </c>
      <c r="CL74" s="2">
        <v>0</v>
      </c>
      <c r="CM74" s="2">
        <v>0</v>
      </c>
      <c r="CN74" s="2">
        <v>0</v>
      </c>
      <c r="CO74" s="2">
        <v>0</v>
      </c>
      <c r="CP74" s="2">
        <v>0</v>
      </c>
      <c r="CQ74" s="2">
        <v>0</v>
      </c>
      <c r="CR74" s="2">
        <v>0</v>
      </c>
      <c r="CS74" s="2">
        <v>0</v>
      </c>
      <c r="CT74" s="294"/>
    </row>
    <row r="75" spans="1:98" x14ac:dyDescent="0.2">
      <c r="A75" s="294"/>
      <c r="B75" s="204" t="str">
        <f>IF(RIGHT($D75,5)="Total",$B74&amp;" Total",VLOOKUP($D75,TableInputsData[],ReadMe!$M$3,FALSE))</f>
        <v>CROISSANCE DU CHIFFRE D'AFFAIRES AN/AN-1</v>
      </c>
      <c r="C75" s="294"/>
      <c r="D75" s="204" t="str">
        <f t="shared" si="89"/>
        <v>REVENUE GROWTH YEAR/YEAR-1</v>
      </c>
      <c r="E75" s="25">
        <f t="shared" si="76"/>
        <v>2029</v>
      </c>
      <c r="F75" s="355" t="str">
        <f t="shared" si="77"/>
        <v>-%</v>
      </c>
      <c r="G75" s="355" t="str">
        <f t="shared" si="90"/>
        <v>-%</v>
      </c>
      <c r="H75" s="355" t="str">
        <f t="shared" si="90"/>
        <v>-%</v>
      </c>
      <c r="I75" s="355" t="str">
        <f t="shared" si="90"/>
        <v>-%</v>
      </c>
      <c r="J75" s="355" t="str">
        <f t="shared" si="90"/>
        <v>-%</v>
      </c>
      <c r="K75" s="294"/>
      <c r="L75" s="294"/>
      <c r="M75" s="204" t="str">
        <f t="shared" si="91"/>
        <v>REVENUE GROWTH YEAR/YEAR-1</v>
      </c>
      <c r="N75" s="25">
        <f t="shared" si="79"/>
        <v>2029</v>
      </c>
      <c r="O75" s="355" t="str">
        <f t="shared" ref="O75:S75" si="115">IF(O29=0,"-%",O30/O29)</f>
        <v>-%</v>
      </c>
      <c r="P75" s="355" t="str">
        <f t="shared" si="115"/>
        <v>-%</v>
      </c>
      <c r="Q75" s="355" t="str">
        <f t="shared" si="115"/>
        <v>-%</v>
      </c>
      <c r="R75" s="355" t="str">
        <f t="shared" si="115"/>
        <v>-%</v>
      </c>
      <c r="S75" s="355" t="str">
        <f t="shared" si="115"/>
        <v>-%</v>
      </c>
      <c r="T75" s="355" t="str">
        <f t="shared" ref="T75:AS75" si="116">IF(T29=0,"-%",T30/T29)</f>
        <v>-%</v>
      </c>
      <c r="U75" s="355" t="str">
        <f t="shared" ref="U75:AR75" si="117">IF(U29=0,"-%",U30/U29)</f>
        <v>-%</v>
      </c>
      <c r="V75" s="355" t="str">
        <f t="shared" si="117"/>
        <v>-%</v>
      </c>
      <c r="W75" s="355" t="str">
        <f t="shared" si="117"/>
        <v>-%</v>
      </c>
      <c r="X75" s="355" t="str">
        <f t="shared" si="117"/>
        <v>-%</v>
      </c>
      <c r="Y75" s="355" t="str">
        <f t="shared" si="117"/>
        <v>-%</v>
      </c>
      <c r="Z75" s="355" t="str">
        <f t="shared" si="117"/>
        <v>-%</v>
      </c>
      <c r="AA75" s="355" t="str">
        <f t="shared" si="117"/>
        <v>-%</v>
      </c>
      <c r="AB75" s="355" t="str">
        <f t="shared" si="117"/>
        <v>-%</v>
      </c>
      <c r="AC75" s="355" t="str">
        <f t="shared" si="117"/>
        <v>-%</v>
      </c>
      <c r="AD75" s="355" t="str">
        <f t="shared" si="117"/>
        <v>-%</v>
      </c>
      <c r="AE75" s="355" t="str">
        <f t="shared" si="117"/>
        <v>-%</v>
      </c>
      <c r="AF75" s="355" t="str">
        <f t="shared" si="117"/>
        <v>-%</v>
      </c>
      <c r="AG75" s="355" t="str">
        <f t="shared" si="117"/>
        <v>-%</v>
      </c>
      <c r="AH75" s="355" t="str">
        <f t="shared" si="117"/>
        <v>-%</v>
      </c>
      <c r="AI75" s="355" t="str">
        <f t="shared" si="117"/>
        <v>-%</v>
      </c>
      <c r="AJ75" s="355" t="str">
        <f t="shared" si="117"/>
        <v>-%</v>
      </c>
      <c r="AK75" s="355" t="str">
        <f t="shared" si="117"/>
        <v>-%</v>
      </c>
      <c r="AL75" s="355" t="str">
        <f t="shared" si="117"/>
        <v>-%</v>
      </c>
      <c r="AM75" s="355" t="str">
        <f t="shared" si="117"/>
        <v>-%</v>
      </c>
      <c r="AN75" s="355" t="str">
        <f t="shared" si="117"/>
        <v>-%</v>
      </c>
      <c r="AO75" s="355" t="str">
        <f t="shared" si="117"/>
        <v>-%</v>
      </c>
      <c r="AP75" s="355" t="str">
        <f t="shared" si="117"/>
        <v>-%</v>
      </c>
      <c r="AQ75" s="355" t="str">
        <f t="shared" si="117"/>
        <v>-%</v>
      </c>
      <c r="AR75" s="355" t="str">
        <f t="shared" si="117"/>
        <v>-%</v>
      </c>
      <c r="AS75" s="355" t="str">
        <f t="shared" si="116"/>
        <v>-%</v>
      </c>
      <c r="AT75" s="294"/>
      <c r="AU75" s="294"/>
      <c r="AV75" s="204" t="str">
        <f t="shared" si="95"/>
        <v>REVENUE GROWTH YEAR/YEAR-1</v>
      </c>
      <c r="AW75" s="25">
        <f t="shared" si="83"/>
        <v>2029</v>
      </c>
      <c r="AX75" s="355" t="str">
        <f t="shared" ref="AX75:BA75" si="118">IF(AX29=0,"-%",AX30/AX29)</f>
        <v>-%</v>
      </c>
      <c r="AY75" s="355" t="str">
        <f t="shared" si="118"/>
        <v>-%</v>
      </c>
      <c r="AZ75" s="355" t="str">
        <f t="shared" si="118"/>
        <v>-%</v>
      </c>
      <c r="BA75" s="355" t="str">
        <f t="shared" si="118"/>
        <v>-%</v>
      </c>
      <c r="BB75" s="294"/>
      <c r="BC75" s="294"/>
      <c r="BD75" s="204" t="str">
        <f t="shared" si="97"/>
        <v>REVENUE GROWTH YEAR/YEAR-1</v>
      </c>
      <c r="BE75" s="25">
        <f t="shared" si="85"/>
        <v>2029</v>
      </c>
      <c r="BF75" s="355" t="str">
        <f t="shared" si="86"/>
        <v>-%</v>
      </c>
      <c r="BG75" s="355" t="str">
        <f t="shared" si="86"/>
        <v>-%</v>
      </c>
      <c r="BH75" s="355" t="str">
        <f t="shared" si="86"/>
        <v>-%</v>
      </c>
      <c r="BI75" s="294"/>
      <c r="BJ75" s="294"/>
      <c r="BK75" s="204" t="str">
        <f t="shared" si="98"/>
        <v>REVENUE GROWTH YEAR/YEAR-1</v>
      </c>
      <c r="BL75" s="25">
        <f t="shared" si="87"/>
        <v>2029</v>
      </c>
      <c r="BM75" s="355" t="str">
        <f t="shared" ref="BM75:BO75" si="119">IF(BM29=0,"-%",BM30/BM29)</f>
        <v>-%</v>
      </c>
      <c r="BN75" s="355" t="str">
        <f t="shared" si="119"/>
        <v>-%</v>
      </c>
      <c r="BO75" s="355" t="str">
        <f t="shared" si="119"/>
        <v>-%</v>
      </c>
      <c r="BP75" s="294"/>
      <c r="BQ75" s="294"/>
      <c r="BR75" s="362" t="str">
        <f>VLOOKUP(BU75,TableInputsData[],6,FALSE)</f>
        <v>-</v>
      </c>
      <c r="BS75" s="598" t="str">
        <f>VLOOKUP(BU75,InputsData!$C$36:$I$67,5,FALSE)</f>
        <v>DIENST 10</v>
      </c>
      <c r="BT75" s="1" t="s">
        <v>457</v>
      </c>
      <c r="BU75" s="1" t="s">
        <v>115</v>
      </c>
      <c r="BV75" s="2">
        <v>0</v>
      </c>
      <c r="BW75" s="2">
        <v>0</v>
      </c>
      <c r="BX75" s="2">
        <v>0</v>
      </c>
      <c r="BY75" s="2">
        <v>0</v>
      </c>
      <c r="BZ75" s="2">
        <v>0</v>
      </c>
      <c r="CA75" s="2">
        <v>0</v>
      </c>
      <c r="CB75" s="2">
        <v>0</v>
      </c>
      <c r="CC75" s="2">
        <v>0</v>
      </c>
      <c r="CD75" s="2">
        <v>0</v>
      </c>
      <c r="CE75" s="2">
        <v>0</v>
      </c>
      <c r="CF75" s="2">
        <v>0</v>
      </c>
      <c r="CG75" s="2">
        <v>0</v>
      </c>
      <c r="CH75" s="2">
        <v>0</v>
      </c>
      <c r="CI75" s="2">
        <v>0</v>
      </c>
      <c r="CJ75" s="2">
        <v>0</v>
      </c>
      <c r="CK75" s="2">
        <v>0</v>
      </c>
      <c r="CL75" s="2">
        <v>0</v>
      </c>
      <c r="CM75" s="2">
        <v>0</v>
      </c>
      <c r="CN75" s="2">
        <v>0</v>
      </c>
      <c r="CO75" s="2">
        <v>0</v>
      </c>
      <c r="CP75" s="2">
        <v>0</v>
      </c>
      <c r="CQ75" s="2">
        <v>0</v>
      </c>
      <c r="CR75" s="2">
        <v>0</v>
      </c>
      <c r="CS75" s="2">
        <v>0</v>
      </c>
      <c r="CT75" s="294"/>
    </row>
    <row r="76" spans="1:98" x14ac:dyDescent="0.2">
      <c r="A76" s="294"/>
      <c r="B76" s="204" t="str">
        <f>IF(RIGHT($D76,5)="Total",$B75&amp;" Total",VLOOKUP($D76,TableInputsData[],ReadMe!$M$3,FALSE))</f>
        <v>CROISSANCE DU CHIFFRE D'AFFAIRES AN/AN-1</v>
      </c>
      <c r="C76" s="294"/>
      <c r="D76" s="204" t="str">
        <f t="shared" si="89"/>
        <v>REVENUE GROWTH YEAR/YEAR-1</v>
      </c>
      <c r="E76" s="25">
        <f t="shared" si="76"/>
        <v>2030</v>
      </c>
      <c r="F76" s="355" t="str">
        <f t="shared" si="77"/>
        <v>-%</v>
      </c>
      <c r="G76" s="355" t="str">
        <f t="shared" si="90"/>
        <v>-%</v>
      </c>
      <c r="H76" s="355" t="str">
        <f t="shared" si="90"/>
        <v>-%</v>
      </c>
      <c r="I76" s="355" t="str">
        <f t="shared" si="90"/>
        <v>-%</v>
      </c>
      <c r="J76" s="355" t="str">
        <f t="shared" si="90"/>
        <v>-%</v>
      </c>
      <c r="K76" s="294"/>
      <c r="L76" s="294"/>
      <c r="M76" s="204" t="str">
        <f t="shared" si="91"/>
        <v>REVENUE GROWTH YEAR/YEAR-1</v>
      </c>
      <c r="N76" s="25">
        <f t="shared" si="79"/>
        <v>2030</v>
      </c>
      <c r="O76" s="355" t="str">
        <f t="shared" ref="O76:S76" si="120">IF(O30=0,"-%",O31/O30)</f>
        <v>-%</v>
      </c>
      <c r="P76" s="355" t="str">
        <f t="shared" si="120"/>
        <v>-%</v>
      </c>
      <c r="Q76" s="355" t="str">
        <f t="shared" si="120"/>
        <v>-%</v>
      </c>
      <c r="R76" s="355" t="str">
        <f t="shared" si="120"/>
        <v>-%</v>
      </c>
      <c r="S76" s="355" t="str">
        <f t="shared" si="120"/>
        <v>-%</v>
      </c>
      <c r="T76" s="355" t="str">
        <f t="shared" ref="T76:AS76" si="121">IF(T30=0,"-%",T31/T30)</f>
        <v>-%</v>
      </c>
      <c r="U76" s="355" t="str">
        <f t="shared" ref="U76:AR76" si="122">IF(U30=0,"-%",U31/U30)</f>
        <v>-%</v>
      </c>
      <c r="V76" s="355" t="str">
        <f t="shared" si="122"/>
        <v>-%</v>
      </c>
      <c r="W76" s="355" t="str">
        <f t="shared" si="122"/>
        <v>-%</v>
      </c>
      <c r="X76" s="355" t="str">
        <f t="shared" si="122"/>
        <v>-%</v>
      </c>
      <c r="Y76" s="355" t="str">
        <f t="shared" si="122"/>
        <v>-%</v>
      </c>
      <c r="Z76" s="355" t="str">
        <f t="shared" si="122"/>
        <v>-%</v>
      </c>
      <c r="AA76" s="355" t="str">
        <f t="shared" si="122"/>
        <v>-%</v>
      </c>
      <c r="AB76" s="355" t="str">
        <f t="shared" si="122"/>
        <v>-%</v>
      </c>
      <c r="AC76" s="355" t="str">
        <f t="shared" si="122"/>
        <v>-%</v>
      </c>
      <c r="AD76" s="355" t="str">
        <f t="shared" si="122"/>
        <v>-%</v>
      </c>
      <c r="AE76" s="355" t="str">
        <f t="shared" si="122"/>
        <v>-%</v>
      </c>
      <c r="AF76" s="355" t="str">
        <f t="shared" si="122"/>
        <v>-%</v>
      </c>
      <c r="AG76" s="355" t="str">
        <f t="shared" si="122"/>
        <v>-%</v>
      </c>
      <c r="AH76" s="355" t="str">
        <f t="shared" si="122"/>
        <v>-%</v>
      </c>
      <c r="AI76" s="355" t="str">
        <f t="shared" si="122"/>
        <v>-%</v>
      </c>
      <c r="AJ76" s="355" t="str">
        <f t="shared" si="122"/>
        <v>-%</v>
      </c>
      <c r="AK76" s="355" t="str">
        <f t="shared" si="122"/>
        <v>-%</v>
      </c>
      <c r="AL76" s="355" t="str">
        <f t="shared" si="122"/>
        <v>-%</v>
      </c>
      <c r="AM76" s="355" t="str">
        <f t="shared" si="122"/>
        <v>-%</v>
      </c>
      <c r="AN76" s="355" t="str">
        <f t="shared" si="122"/>
        <v>-%</v>
      </c>
      <c r="AO76" s="355" t="str">
        <f t="shared" si="122"/>
        <v>-%</v>
      </c>
      <c r="AP76" s="355" t="str">
        <f t="shared" si="122"/>
        <v>-%</v>
      </c>
      <c r="AQ76" s="355" t="str">
        <f t="shared" si="122"/>
        <v>-%</v>
      </c>
      <c r="AR76" s="355" t="str">
        <f t="shared" si="122"/>
        <v>-%</v>
      </c>
      <c r="AS76" s="355" t="str">
        <f t="shared" si="121"/>
        <v>-%</v>
      </c>
      <c r="AT76" s="294"/>
      <c r="AU76" s="294"/>
      <c r="AV76" s="204" t="str">
        <f t="shared" si="95"/>
        <v>REVENUE GROWTH YEAR/YEAR-1</v>
      </c>
      <c r="AW76" s="25">
        <f t="shared" si="83"/>
        <v>2030</v>
      </c>
      <c r="AX76" s="355" t="str">
        <f t="shared" ref="AX76:BA76" si="123">IF(AX30=0,"-%",AX31/AX30)</f>
        <v>-%</v>
      </c>
      <c r="AY76" s="355" t="str">
        <f t="shared" si="123"/>
        <v>-%</v>
      </c>
      <c r="AZ76" s="355" t="str">
        <f t="shared" si="123"/>
        <v>-%</v>
      </c>
      <c r="BA76" s="355" t="str">
        <f t="shared" si="123"/>
        <v>-%</v>
      </c>
      <c r="BB76" s="294"/>
      <c r="BC76" s="294"/>
      <c r="BD76" s="204" t="str">
        <f t="shared" si="97"/>
        <v>REVENUE GROWTH YEAR/YEAR-1</v>
      </c>
      <c r="BE76" s="25">
        <f t="shared" si="85"/>
        <v>2030</v>
      </c>
      <c r="BF76" s="355" t="str">
        <f t="shared" si="86"/>
        <v>-%</v>
      </c>
      <c r="BG76" s="355" t="str">
        <f t="shared" si="86"/>
        <v>-%</v>
      </c>
      <c r="BH76" s="355" t="str">
        <f t="shared" si="86"/>
        <v>-%</v>
      </c>
      <c r="BI76" s="294"/>
      <c r="BJ76" s="294"/>
      <c r="BK76" s="204" t="str">
        <f t="shared" si="98"/>
        <v>REVENUE GROWTH YEAR/YEAR-1</v>
      </c>
      <c r="BL76" s="25">
        <f t="shared" si="87"/>
        <v>2030</v>
      </c>
      <c r="BM76" s="355" t="str">
        <f t="shared" ref="BM76:BO76" si="124">IF(BM30=0,"-%",BM31/BM30)</f>
        <v>-%</v>
      </c>
      <c r="BN76" s="355" t="str">
        <f t="shared" si="124"/>
        <v>-%</v>
      </c>
      <c r="BO76" s="355" t="str">
        <f t="shared" si="124"/>
        <v>-%</v>
      </c>
      <c r="BP76" s="294"/>
      <c r="BQ76" s="294"/>
      <c r="BR76" s="348"/>
      <c r="BS76" s="368"/>
      <c r="BT76" s="358" t="s">
        <v>2075</v>
      </c>
      <c r="BU76" s="358"/>
      <c r="BV76" s="347">
        <v>0</v>
      </c>
      <c r="BW76" s="347">
        <v>0</v>
      </c>
      <c r="BX76" s="347">
        <v>0</v>
      </c>
      <c r="BY76" s="347">
        <v>0</v>
      </c>
      <c r="BZ76" s="347">
        <v>0</v>
      </c>
      <c r="CA76" s="347">
        <v>0</v>
      </c>
      <c r="CB76" s="347">
        <v>0</v>
      </c>
      <c r="CC76" s="347">
        <v>0</v>
      </c>
      <c r="CD76" s="347">
        <v>0</v>
      </c>
      <c r="CE76" s="347">
        <v>0</v>
      </c>
      <c r="CF76" s="347">
        <v>0</v>
      </c>
      <c r="CG76" s="347">
        <v>0</v>
      </c>
      <c r="CH76" s="347">
        <v>0</v>
      </c>
      <c r="CI76" s="347">
        <v>0</v>
      </c>
      <c r="CJ76" s="347">
        <v>0</v>
      </c>
      <c r="CK76" s="347">
        <v>0</v>
      </c>
      <c r="CL76" s="347">
        <v>0</v>
      </c>
      <c r="CM76" s="347">
        <v>0</v>
      </c>
      <c r="CN76" s="347">
        <v>0</v>
      </c>
      <c r="CO76" s="347">
        <v>0</v>
      </c>
      <c r="CP76" s="347">
        <v>0</v>
      </c>
      <c r="CQ76" s="347">
        <v>0</v>
      </c>
      <c r="CR76" s="347">
        <v>0</v>
      </c>
      <c r="CS76" s="347">
        <v>0</v>
      </c>
      <c r="CT76" s="294"/>
    </row>
    <row r="77" spans="1:98" x14ac:dyDescent="0.2">
      <c r="A77" s="294"/>
      <c r="B77" s="348" t="str">
        <f>IF(RIGHT($D77,5)="Total",$B76&amp;" Total",VLOOKUP($D77,TableInputsData[],ReadMe!$M$3,FALSE))</f>
        <v>CROISSANCE DU CHIFFRE D'AFFAIRES AN/AN-1 Total</v>
      </c>
      <c r="C77" s="294"/>
      <c r="D77" s="348" t="str">
        <f>+D76&amp;" Total"</f>
        <v>REVENUE GROWTH YEAR/YEAR-1 Total</v>
      </c>
      <c r="E77" s="344"/>
      <c r="F77" s="344"/>
      <c r="G77" s="344"/>
      <c r="H77" s="344"/>
      <c r="I77" s="344"/>
      <c r="J77" s="344"/>
      <c r="K77" s="294"/>
      <c r="L77" s="294"/>
      <c r="M77" s="348" t="str">
        <f>+M76&amp;" Total"</f>
        <v>REVENUE GROWTH YEAR/YEAR-1 Total</v>
      </c>
      <c r="N77" s="344"/>
      <c r="O77" s="344"/>
      <c r="P77" s="344"/>
      <c r="Q77" s="344"/>
      <c r="R77" s="344"/>
      <c r="S77" s="344"/>
      <c r="T77" s="344"/>
      <c r="U77" s="344"/>
      <c r="V77" s="344"/>
      <c r="W77" s="344"/>
      <c r="X77" s="344"/>
      <c r="Y77" s="344"/>
      <c r="Z77" s="344"/>
      <c r="AA77" s="344"/>
      <c r="AB77" s="344"/>
      <c r="AC77" s="344"/>
      <c r="AD77" s="344"/>
      <c r="AE77" s="344"/>
      <c r="AF77" s="344"/>
      <c r="AG77" s="344"/>
      <c r="AH77" s="344"/>
      <c r="AI77" s="344"/>
      <c r="AJ77" s="344"/>
      <c r="AK77" s="344"/>
      <c r="AL77" s="344"/>
      <c r="AM77" s="344"/>
      <c r="AN77" s="344"/>
      <c r="AO77" s="344"/>
      <c r="AP77" s="344"/>
      <c r="AQ77" s="344"/>
      <c r="AR77" s="344"/>
      <c r="AS77" s="344"/>
      <c r="AT77" s="294"/>
      <c r="AU77" s="294"/>
      <c r="AV77" s="348" t="str">
        <f>+AV76&amp;" Total"</f>
        <v>REVENUE GROWTH YEAR/YEAR-1 Total</v>
      </c>
      <c r="AW77" s="344"/>
      <c r="AX77" s="344"/>
      <c r="AY77" s="344"/>
      <c r="AZ77" s="344"/>
      <c r="BA77" s="344"/>
      <c r="BB77" s="294"/>
      <c r="BC77" s="294"/>
      <c r="BD77" s="348" t="str">
        <f>+BD76&amp;" Total"</f>
        <v>REVENUE GROWTH YEAR/YEAR-1 Total</v>
      </c>
      <c r="BE77" s="344"/>
      <c r="BF77" s="344"/>
      <c r="BG77" s="344"/>
      <c r="BH77" s="344"/>
      <c r="BI77" s="294"/>
      <c r="BJ77" s="294"/>
      <c r="BK77" s="348" t="str">
        <f>+BK76&amp;" Total"</f>
        <v>REVENUE GROWTH YEAR/YEAR-1 Total</v>
      </c>
      <c r="BL77" s="344"/>
      <c r="BM77" s="344"/>
      <c r="BN77" s="344"/>
      <c r="BO77" s="344"/>
      <c r="BP77" s="294"/>
      <c r="BQ77" s="294"/>
      <c r="BR77" s="362" t="str">
        <f>VLOOKUP(BU77,TableInputsData[],6,FALSE)</f>
        <v>XYZ</v>
      </c>
      <c r="BS77" s="598" t="str">
        <f>VLOOKUP(BU77,InputsData!$C$36:$I$67,5,FALSE)</f>
        <v>PRODUCT 01</v>
      </c>
      <c r="BT77" s="1" t="s">
        <v>531</v>
      </c>
      <c r="BU77" s="1" t="s">
        <v>537</v>
      </c>
      <c r="BV77" s="2">
        <v>0</v>
      </c>
      <c r="BW77" s="2">
        <v>0</v>
      </c>
      <c r="BX77" s="2">
        <v>0</v>
      </c>
      <c r="BY77" s="2">
        <v>0</v>
      </c>
      <c r="BZ77" s="2">
        <v>0</v>
      </c>
      <c r="CA77" s="2">
        <v>0</v>
      </c>
      <c r="CB77" s="2">
        <v>0</v>
      </c>
      <c r="CC77" s="2">
        <v>0</v>
      </c>
      <c r="CD77" s="2">
        <v>0</v>
      </c>
      <c r="CE77" s="2">
        <v>0</v>
      </c>
      <c r="CF77" s="2">
        <v>0</v>
      </c>
      <c r="CG77" s="2">
        <v>0</v>
      </c>
      <c r="CH77" s="2">
        <v>0</v>
      </c>
      <c r="CI77" s="2">
        <v>0</v>
      </c>
      <c r="CJ77" s="2">
        <v>0</v>
      </c>
      <c r="CK77" s="2">
        <v>0</v>
      </c>
      <c r="CL77" s="2">
        <v>0</v>
      </c>
      <c r="CM77" s="2">
        <v>0</v>
      </c>
      <c r="CN77" s="2">
        <v>0</v>
      </c>
      <c r="CO77" s="2">
        <v>0</v>
      </c>
      <c r="CP77" s="2">
        <v>0</v>
      </c>
      <c r="CQ77" s="2">
        <v>0</v>
      </c>
      <c r="CR77" s="2">
        <v>0</v>
      </c>
      <c r="CS77" s="2">
        <v>0</v>
      </c>
      <c r="CT77" s="294"/>
    </row>
    <row r="78" spans="1:98" x14ac:dyDescent="0.2">
      <c r="A78" s="294"/>
      <c r="B78" s="204" t="str">
        <f>IF(RIGHT($D78,5)="Total",$B77&amp;" Total",VLOOKUP($D78,TableInputsData[],ReadMe!$M$3,FALSE))</f>
        <v>CHIFFRE D'AFFAIRES EN EUR</v>
      </c>
      <c r="C78" s="294"/>
      <c r="D78" s="204" t="s">
        <v>527</v>
      </c>
      <c r="E78" s="25">
        <f t="shared" ref="E78:E85" si="125">E15</f>
        <v>2023</v>
      </c>
      <c r="F78" s="2">
        <f t="shared" ref="F78:J86" si="126">F24/$F$9</f>
        <v>0</v>
      </c>
      <c r="G78" s="2">
        <f t="shared" si="126"/>
        <v>0</v>
      </c>
      <c r="H78" s="2">
        <f t="shared" si="126"/>
        <v>0</v>
      </c>
      <c r="I78" s="2">
        <f t="shared" si="126"/>
        <v>0</v>
      </c>
      <c r="J78" s="2">
        <f t="shared" si="126"/>
        <v>0</v>
      </c>
      <c r="K78" s="294"/>
      <c r="L78" s="294"/>
      <c r="M78" s="204" t="s">
        <v>527</v>
      </c>
      <c r="N78" s="25">
        <f t="shared" ref="N78:N85" si="127">N15</f>
        <v>2023</v>
      </c>
      <c r="O78" s="2">
        <f t="shared" ref="O78:AS78" si="128">O24/$F$9</f>
        <v>0</v>
      </c>
      <c r="P78" s="2">
        <f t="shared" si="128"/>
        <v>0</v>
      </c>
      <c r="Q78" s="2">
        <f t="shared" si="128"/>
        <v>0</v>
      </c>
      <c r="R78" s="2">
        <f t="shared" si="128"/>
        <v>0</v>
      </c>
      <c r="S78" s="2">
        <f t="shared" si="128"/>
        <v>0</v>
      </c>
      <c r="T78" s="2">
        <f t="shared" si="128"/>
        <v>0</v>
      </c>
      <c r="U78" s="2">
        <f t="shared" ref="U78:AR78" si="129">U24/$F$9</f>
        <v>0</v>
      </c>
      <c r="V78" s="2">
        <f t="shared" si="129"/>
        <v>0</v>
      </c>
      <c r="W78" s="2">
        <f t="shared" si="129"/>
        <v>0</v>
      </c>
      <c r="X78" s="2">
        <f t="shared" si="129"/>
        <v>0</v>
      </c>
      <c r="Y78" s="2">
        <f t="shared" si="129"/>
        <v>0</v>
      </c>
      <c r="Z78" s="2">
        <f t="shared" si="129"/>
        <v>0</v>
      </c>
      <c r="AA78" s="2">
        <f t="shared" si="129"/>
        <v>0</v>
      </c>
      <c r="AB78" s="2">
        <f t="shared" si="129"/>
        <v>0</v>
      </c>
      <c r="AC78" s="2">
        <f t="shared" si="129"/>
        <v>0</v>
      </c>
      <c r="AD78" s="2">
        <f t="shared" si="129"/>
        <v>0</v>
      </c>
      <c r="AE78" s="2">
        <f t="shared" si="129"/>
        <v>0</v>
      </c>
      <c r="AF78" s="2">
        <f t="shared" si="129"/>
        <v>0</v>
      </c>
      <c r="AG78" s="2">
        <f t="shared" si="129"/>
        <v>0</v>
      </c>
      <c r="AH78" s="2">
        <f t="shared" si="129"/>
        <v>0</v>
      </c>
      <c r="AI78" s="2">
        <f t="shared" si="129"/>
        <v>0</v>
      </c>
      <c r="AJ78" s="2">
        <f t="shared" si="129"/>
        <v>0</v>
      </c>
      <c r="AK78" s="2">
        <f t="shared" si="129"/>
        <v>0</v>
      </c>
      <c r="AL78" s="2">
        <f t="shared" si="129"/>
        <v>0</v>
      </c>
      <c r="AM78" s="2">
        <f t="shared" si="129"/>
        <v>0</v>
      </c>
      <c r="AN78" s="2">
        <f t="shared" si="129"/>
        <v>0</v>
      </c>
      <c r="AO78" s="2">
        <f t="shared" si="129"/>
        <v>0</v>
      </c>
      <c r="AP78" s="2">
        <f t="shared" si="129"/>
        <v>0</v>
      </c>
      <c r="AQ78" s="2">
        <f t="shared" si="129"/>
        <v>0</v>
      </c>
      <c r="AR78" s="2">
        <f t="shared" si="129"/>
        <v>0</v>
      </c>
      <c r="AS78" s="2">
        <f t="shared" si="128"/>
        <v>0</v>
      </c>
      <c r="AT78" s="294"/>
      <c r="AU78" s="294"/>
      <c r="AV78" s="204" t="s">
        <v>527</v>
      </c>
      <c r="AW78" s="25">
        <f t="shared" ref="AW78:AW85" si="130">AW15</f>
        <v>2023</v>
      </c>
      <c r="AX78" s="2">
        <f t="shared" ref="AX78:BA86" si="131">AX24/$F$9</f>
        <v>0</v>
      </c>
      <c r="AY78" s="2">
        <f t="shared" si="131"/>
        <v>0</v>
      </c>
      <c r="AZ78" s="2">
        <f t="shared" si="131"/>
        <v>0</v>
      </c>
      <c r="BA78" s="2">
        <f t="shared" si="131"/>
        <v>0</v>
      </c>
      <c r="BB78" s="294"/>
      <c r="BC78" s="294"/>
      <c r="BD78" s="204" t="s">
        <v>527</v>
      </c>
      <c r="BE78" s="25">
        <f t="shared" ref="BE78:BE85" si="132">BE15</f>
        <v>2023</v>
      </c>
      <c r="BF78" s="2">
        <f t="shared" ref="BF78:BH86" si="133">BF24/$F$9</f>
        <v>0</v>
      </c>
      <c r="BG78" s="2">
        <f t="shared" si="133"/>
        <v>0</v>
      </c>
      <c r="BH78" s="2">
        <f t="shared" si="133"/>
        <v>0</v>
      </c>
      <c r="BI78" s="294"/>
      <c r="BJ78" s="294"/>
      <c r="BK78" s="204" t="s">
        <v>527</v>
      </c>
      <c r="BL78" s="25">
        <f t="shared" ref="BL78:BL85" si="134">BL15</f>
        <v>2023</v>
      </c>
      <c r="BM78" s="2">
        <f t="shared" ref="BM78:BO86" si="135">BM24/$F$9</f>
        <v>0</v>
      </c>
      <c r="BN78" s="2">
        <f t="shared" si="135"/>
        <v>0</v>
      </c>
      <c r="BO78" s="2">
        <f t="shared" si="135"/>
        <v>0</v>
      </c>
      <c r="BP78" s="294"/>
      <c r="BQ78" s="294"/>
      <c r="BR78" s="362" t="str">
        <f>VLOOKUP(BU78,TableInputsData[],6,FALSE)</f>
        <v>ABC</v>
      </c>
      <c r="BS78" s="598" t="str">
        <f>VLOOKUP(BU78,InputsData!$C$36:$I$67,5,FALSE)</f>
        <v>PRODUCT 02</v>
      </c>
      <c r="BT78" s="1" t="s">
        <v>531</v>
      </c>
      <c r="BU78" s="1" t="s">
        <v>538</v>
      </c>
      <c r="BV78" s="2">
        <v>0</v>
      </c>
      <c r="BW78" s="2">
        <v>0</v>
      </c>
      <c r="BX78" s="2">
        <v>0</v>
      </c>
      <c r="BY78" s="2">
        <v>0</v>
      </c>
      <c r="BZ78" s="2">
        <v>0</v>
      </c>
      <c r="CA78" s="2">
        <v>0</v>
      </c>
      <c r="CB78" s="2">
        <v>0</v>
      </c>
      <c r="CC78" s="2">
        <v>0</v>
      </c>
      <c r="CD78" s="2">
        <v>0</v>
      </c>
      <c r="CE78" s="2">
        <v>0</v>
      </c>
      <c r="CF78" s="2">
        <v>0</v>
      </c>
      <c r="CG78" s="2">
        <v>0</v>
      </c>
      <c r="CH78" s="2">
        <v>0</v>
      </c>
      <c r="CI78" s="2">
        <v>0</v>
      </c>
      <c r="CJ78" s="2">
        <v>0</v>
      </c>
      <c r="CK78" s="2">
        <v>0</v>
      </c>
      <c r="CL78" s="2">
        <v>0</v>
      </c>
      <c r="CM78" s="2">
        <v>0</v>
      </c>
      <c r="CN78" s="2">
        <v>0</v>
      </c>
      <c r="CO78" s="2">
        <v>0</v>
      </c>
      <c r="CP78" s="2">
        <v>0</v>
      </c>
      <c r="CQ78" s="2">
        <v>0</v>
      </c>
      <c r="CR78" s="2">
        <v>0</v>
      </c>
      <c r="CS78" s="2">
        <v>0</v>
      </c>
      <c r="CT78" s="294"/>
    </row>
    <row r="79" spans="1:98" x14ac:dyDescent="0.2">
      <c r="A79" s="294"/>
      <c r="B79" s="204" t="str">
        <f>IF(RIGHT($D79,5)="Total",$B78&amp;" Total",VLOOKUP($D79,TableInputsData[],ReadMe!$M$3,FALSE))</f>
        <v>CHIFFRE D'AFFAIRES EN EUR</v>
      </c>
      <c r="C79" s="294"/>
      <c r="D79" s="204" t="str">
        <f>D78</f>
        <v>REVENUE IN EUR</v>
      </c>
      <c r="E79" s="25">
        <f t="shared" si="125"/>
        <v>2024</v>
      </c>
      <c r="F79" s="2">
        <f t="shared" si="126"/>
        <v>0</v>
      </c>
      <c r="G79" s="2">
        <f t="shared" si="126"/>
        <v>0</v>
      </c>
      <c r="H79" s="2">
        <f t="shared" si="126"/>
        <v>0</v>
      </c>
      <c r="I79" s="2">
        <f t="shared" si="126"/>
        <v>0</v>
      </c>
      <c r="J79" s="2">
        <f t="shared" si="126"/>
        <v>0</v>
      </c>
      <c r="K79" s="294"/>
      <c r="L79" s="294"/>
      <c r="M79" s="204" t="str">
        <f>M78</f>
        <v>REVENUE IN EUR</v>
      </c>
      <c r="N79" s="25">
        <f t="shared" si="127"/>
        <v>2024</v>
      </c>
      <c r="O79" s="2">
        <f t="shared" ref="O79:AS79" si="136">O25/$F$9</f>
        <v>0</v>
      </c>
      <c r="P79" s="2">
        <f t="shared" si="136"/>
        <v>0</v>
      </c>
      <c r="Q79" s="2">
        <f t="shared" si="136"/>
        <v>0</v>
      </c>
      <c r="R79" s="2">
        <f t="shared" si="136"/>
        <v>0</v>
      </c>
      <c r="S79" s="2">
        <f t="shared" si="136"/>
        <v>0</v>
      </c>
      <c r="T79" s="2">
        <f t="shared" si="136"/>
        <v>0</v>
      </c>
      <c r="U79" s="2">
        <f t="shared" ref="U79:AR79" si="137">U25/$F$9</f>
        <v>0</v>
      </c>
      <c r="V79" s="2">
        <f t="shared" si="137"/>
        <v>0</v>
      </c>
      <c r="W79" s="2">
        <f t="shared" si="137"/>
        <v>0</v>
      </c>
      <c r="X79" s="2">
        <f t="shared" si="137"/>
        <v>0</v>
      </c>
      <c r="Y79" s="2">
        <f t="shared" si="137"/>
        <v>0</v>
      </c>
      <c r="Z79" s="2">
        <f t="shared" si="137"/>
        <v>0</v>
      </c>
      <c r="AA79" s="2">
        <f t="shared" si="137"/>
        <v>0</v>
      </c>
      <c r="AB79" s="2">
        <f t="shared" si="137"/>
        <v>0</v>
      </c>
      <c r="AC79" s="2">
        <f t="shared" si="137"/>
        <v>0</v>
      </c>
      <c r="AD79" s="2">
        <f t="shared" si="137"/>
        <v>0</v>
      </c>
      <c r="AE79" s="2">
        <f t="shared" si="137"/>
        <v>0</v>
      </c>
      <c r="AF79" s="2">
        <f t="shared" si="137"/>
        <v>0</v>
      </c>
      <c r="AG79" s="2">
        <f t="shared" si="137"/>
        <v>0</v>
      </c>
      <c r="AH79" s="2">
        <f t="shared" si="137"/>
        <v>0</v>
      </c>
      <c r="AI79" s="2">
        <f t="shared" si="137"/>
        <v>0</v>
      </c>
      <c r="AJ79" s="2">
        <f t="shared" si="137"/>
        <v>0</v>
      </c>
      <c r="AK79" s="2">
        <f t="shared" si="137"/>
        <v>0</v>
      </c>
      <c r="AL79" s="2">
        <f t="shared" si="137"/>
        <v>0</v>
      </c>
      <c r="AM79" s="2">
        <f t="shared" si="137"/>
        <v>0</v>
      </c>
      <c r="AN79" s="2">
        <f t="shared" si="137"/>
        <v>0</v>
      </c>
      <c r="AO79" s="2">
        <f t="shared" si="137"/>
        <v>0</v>
      </c>
      <c r="AP79" s="2">
        <f t="shared" si="137"/>
        <v>0</v>
      </c>
      <c r="AQ79" s="2">
        <f t="shared" si="137"/>
        <v>0</v>
      </c>
      <c r="AR79" s="2">
        <f t="shared" si="137"/>
        <v>0</v>
      </c>
      <c r="AS79" s="2">
        <f t="shared" si="136"/>
        <v>0</v>
      </c>
      <c r="AT79" s="294"/>
      <c r="AU79" s="294"/>
      <c r="AV79" s="204" t="str">
        <f>AV78</f>
        <v>REVENUE IN EUR</v>
      </c>
      <c r="AW79" s="25">
        <f t="shared" si="130"/>
        <v>2024</v>
      </c>
      <c r="AX79" s="2">
        <f t="shared" si="131"/>
        <v>0</v>
      </c>
      <c r="AY79" s="2">
        <f t="shared" si="131"/>
        <v>0</v>
      </c>
      <c r="AZ79" s="2">
        <f t="shared" si="131"/>
        <v>0</v>
      </c>
      <c r="BA79" s="2">
        <f t="shared" si="131"/>
        <v>0</v>
      </c>
      <c r="BB79" s="294"/>
      <c r="BC79" s="294"/>
      <c r="BD79" s="204" t="str">
        <f>BD78</f>
        <v>REVENUE IN EUR</v>
      </c>
      <c r="BE79" s="25">
        <f t="shared" si="132"/>
        <v>2024</v>
      </c>
      <c r="BF79" s="2">
        <f t="shared" si="133"/>
        <v>0</v>
      </c>
      <c r="BG79" s="2">
        <f t="shared" si="133"/>
        <v>0</v>
      </c>
      <c r="BH79" s="2">
        <f t="shared" si="133"/>
        <v>0</v>
      </c>
      <c r="BI79" s="294"/>
      <c r="BJ79" s="294"/>
      <c r="BK79" s="204" t="str">
        <f>BK78</f>
        <v>REVENUE IN EUR</v>
      </c>
      <c r="BL79" s="25">
        <f t="shared" si="134"/>
        <v>2024</v>
      </c>
      <c r="BM79" s="2">
        <f t="shared" si="135"/>
        <v>0</v>
      </c>
      <c r="BN79" s="2">
        <f t="shared" si="135"/>
        <v>0</v>
      </c>
      <c r="BO79" s="2">
        <f t="shared" si="135"/>
        <v>0</v>
      </c>
      <c r="BP79" s="294"/>
      <c r="BQ79" s="294"/>
      <c r="BR79" s="362" t="str">
        <f>VLOOKUP(BU79,TableInputsData[],6,FALSE)</f>
        <v>-</v>
      </c>
      <c r="BS79" s="598" t="str">
        <f>VLOOKUP(BU79,InputsData!$C$36:$I$67,5,FALSE)</f>
        <v>PRODUCT 03</v>
      </c>
      <c r="BT79" s="1" t="s">
        <v>531</v>
      </c>
      <c r="BU79" s="1" t="s">
        <v>539</v>
      </c>
      <c r="BV79" s="2">
        <v>0</v>
      </c>
      <c r="BW79" s="2">
        <v>0</v>
      </c>
      <c r="BX79" s="2">
        <v>0</v>
      </c>
      <c r="BY79" s="2">
        <v>0</v>
      </c>
      <c r="BZ79" s="2">
        <v>0</v>
      </c>
      <c r="CA79" s="2">
        <v>0</v>
      </c>
      <c r="CB79" s="2">
        <v>0</v>
      </c>
      <c r="CC79" s="2">
        <v>0</v>
      </c>
      <c r="CD79" s="2">
        <v>0</v>
      </c>
      <c r="CE79" s="2">
        <v>0</v>
      </c>
      <c r="CF79" s="2">
        <v>0</v>
      </c>
      <c r="CG79" s="2">
        <v>0</v>
      </c>
      <c r="CH79" s="2">
        <v>0</v>
      </c>
      <c r="CI79" s="2">
        <v>0</v>
      </c>
      <c r="CJ79" s="2">
        <v>0</v>
      </c>
      <c r="CK79" s="2">
        <v>0</v>
      </c>
      <c r="CL79" s="2">
        <v>0</v>
      </c>
      <c r="CM79" s="2">
        <v>0</v>
      </c>
      <c r="CN79" s="2">
        <v>0</v>
      </c>
      <c r="CO79" s="2">
        <v>0</v>
      </c>
      <c r="CP79" s="2">
        <v>0</v>
      </c>
      <c r="CQ79" s="2">
        <v>0</v>
      </c>
      <c r="CR79" s="2">
        <v>0</v>
      </c>
      <c r="CS79" s="2">
        <v>0</v>
      </c>
      <c r="CT79" s="294"/>
    </row>
    <row r="80" spans="1:98" x14ac:dyDescent="0.2">
      <c r="A80" s="294"/>
      <c r="B80" s="204" t="str">
        <f>IF(RIGHT($D80,5)="Total",$B79&amp;" Total",VLOOKUP($D80,TableInputsData[],ReadMe!$M$3,FALSE))</f>
        <v>CHIFFRE D'AFFAIRES EN EUR</v>
      </c>
      <c r="C80" s="294"/>
      <c r="D80" s="204" t="str">
        <f t="shared" ref="D80:D85" si="138">D79</f>
        <v>REVENUE IN EUR</v>
      </c>
      <c r="E80" s="25">
        <f t="shared" si="125"/>
        <v>2025</v>
      </c>
      <c r="F80" s="2">
        <f t="shared" si="126"/>
        <v>0</v>
      </c>
      <c r="G80" s="2">
        <f t="shared" si="126"/>
        <v>0</v>
      </c>
      <c r="H80" s="2">
        <f t="shared" si="126"/>
        <v>0</v>
      </c>
      <c r="I80" s="2">
        <f t="shared" si="126"/>
        <v>0</v>
      </c>
      <c r="J80" s="2">
        <f t="shared" si="126"/>
        <v>0</v>
      </c>
      <c r="K80" s="294"/>
      <c r="L80" s="294"/>
      <c r="M80" s="204" t="str">
        <f t="shared" ref="M80:M85" si="139">M79</f>
        <v>REVENUE IN EUR</v>
      </c>
      <c r="N80" s="25">
        <f t="shared" si="127"/>
        <v>2025</v>
      </c>
      <c r="O80" s="2">
        <f t="shared" ref="O80:AS80" si="140">O26/$F$9</f>
        <v>0</v>
      </c>
      <c r="P80" s="2">
        <f t="shared" si="140"/>
        <v>0</v>
      </c>
      <c r="Q80" s="2">
        <f t="shared" si="140"/>
        <v>0</v>
      </c>
      <c r="R80" s="2">
        <f t="shared" si="140"/>
        <v>0</v>
      </c>
      <c r="S80" s="2">
        <f t="shared" si="140"/>
        <v>0</v>
      </c>
      <c r="T80" s="2">
        <f t="shared" si="140"/>
        <v>0</v>
      </c>
      <c r="U80" s="2">
        <f t="shared" ref="U80:AR80" si="141">U26/$F$9</f>
        <v>0</v>
      </c>
      <c r="V80" s="2">
        <f t="shared" si="141"/>
        <v>0</v>
      </c>
      <c r="W80" s="2">
        <f t="shared" si="141"/>
        <v>0</v>
      </c>
      <c r="X80" s="2">
        <f t="shared" si="141"/>
        <v>0</v>
      </c>
      <c r="Y80" s="2">
        <f t="shared" si="141"/>
        <v>0</v>
      </c>
      <c r="Z80" s="2">
        <f t="shared" si="141"/>
        <v>0</v>
      </c>
      <c r="AA80" s="2">
        <f t="shared" si="141"/>
        <v>0</v>
      </c>
      <c r="AB80" s="2">
        <f t="shared" si="141"/>
        <v>0</v>
      </c>
      <c r="AC80" s="2">
        <f t="shared" si="141"/>
        <v>0</v>
      </c>
      <c r="AD80" s="2">
        <f t="shared" si="141"/>
        <v>0</v>
      </c>
      <c r="AE80" s="2">
        <f t="shared" si="141"/>
        <v>0</v>
      </c>
      <c r="AF80" s="2">
        <f t="shared" si="141"/>
        <v>0</v>
      </c>
      <c r="AG80" s="2">
        <f t="shared" si="141"/>
        <v>0</v>
      </c>
      <c r="AH80" s="2">
        <f t="shared" si="141"/>
        <v>0</v>
      </c>
      <c r="AI80" s="2">
        <f t="shared" si="141"/>
        <v>0</v>
      </c>
      <c r="AJ80" s="2">
        <f t="shared" si="141"/>
        <v>0</v>
      </c>
      <c r="AK80" s="2">
        <f t="shared" si="141"/>
        <v>0</v>
      </c>
      <c r="AL80" s="2">
        <f t="shared" si="141"/>
        <v>0</v>
      </c>
      <c r="AM80" s="2">
        <f t="shared" si="141"/>
        <v>0</v>
      </c>
      <c r="AN80" s="2">
        <f t="shared" si="141"/>
        <v>0</v>
      </c>
      <c r="AO80" s="2">
        <f t="shared" si="141"/>
        <v>0</v>
      </c>
      <c r="AP80" s="2">
        <f t="shared" si="141"/>
        <v>0</v>
      </c>
      <c r="AQ80" s="2">
        <f t="shared" si="141"/>
        <v>0</v>
      </c>
      <c r="AR80" s="2">
        <f t="shared" si="141"/>
        <v>0</v>
      </c>
      <c r="AS80" s="2">
        <f t="shared" si="140"/>
        <v>0</v>
      </c>
      <c r="AT80" s="294"/>
      <c r="AU80" s="294"/>
      <c r="AV80" s="204" t="str">
        <f t="shared" ref="AV80:AV85" si="142">AV79</f>
        <v>REVENUE IN EUR</v>
      </c>
      <c r="AW80" s="25">
        <f t="shared" si="130"/>
        <v>2025</v>
      </c>
      <c r="AX80" s="2">
        <f t="shared" si="131"/>
        <v>0</v>
      </c>
      <c r="AY80" s="2">
        <f t="shared" si="131"/>
        <v>0</v>
      </c>
      <c r="AZ80" s="2">
        <f t="shared" si="131"/>
        <v>0</v>
      </c>
      <c r="BA80" s="2">
        <f t="shared" si="131"/>
        <v>0</v>
      </c>
      <c r="BB80" s="294"/>
      <c r="BC80" s="294"/>
      <c r="BD80" s="204" t="str">
        <f t="shared" ref="BD80:BD85" si="143">BD79</f>
        <v>REVENUE IN EUR</v>
      </c>
      <c r="BE80" s="25">
        <f t="shared" si="132"/>
        <v>2025</v>
      </c>
      <c r="BF80" s="2">
        <f t="shared" si="133"/>
        <v>0</v>
      </c>
      <c r="BG80" s="2">
        <f t="shared" si="133"/>
        <v>0</v>
      </c>
      <c r="BH80" s="2">
        <f t="shared" si="133"/>
        <v>0</v>
      </c>
      <c r="BI80" s="294"/>
      <c r="BJ80" s="294"/>
      <c r="BK80" s="204" t="str">
        <f t="shared" ref="BK80:BK85" si="144">BK79</f>
        <v>REVENUE IN EUR</v>
      </c>
      <c r="BL80" s="25">
        <f t="shared" si="134"/>
        <v>2025</v>
      </c>
      <c r="BM80" s="2">
        <f t="shared" si="135"/>
        <v>0</v>
      </c>
      <c r="BN80" s="2">
        <f t="shared" si="135"/>
        <v>0</v>
      </c>
      <c r="BO80" s="2">
        <f t="shared" si="135"/>
        <v>0</v>
      </c>
      <c r="BP80" s="294"/>
      <c r="BQ80" s="294"/>
      <c r="BR80" s="362" t="str">
        <f>VLOOKUP(BU80,TableInputsData[],6,FALSE)</f>
        <v>-</v>
      </c>
      <c r="BS80" s="598" t="str">
        <f>VLOOKUP(BU80,InputsData!$C$36:$I$67,5,FALSE)</f>
        <v>PRODUCT 04</v>
      </c>
      <c r="BT80" s="1" t="s">
        <v>531</v>
      </c>
      <c r="BU80" s="1" t="s">
        <v>540</v>
      </c>
      <c r="BV80" s="2">
        <v>0</v>
      </c>
      <c r="BW80" s="2">
        <v>0</v>
      </c>
      <c r="BX80" s="2">
        <v>0</v>
      </c>
      <c r="BY80" s="2">
        <v>0</v>
      </c>
      <c r="BZ80" s="2">
        <v>0</v>
      </c>
      <c r="CA80" s="2">
        <v>0</v>
      </c>
      <c r="CB80" s="2">
        <v>0</v>
      </c>
      <c r="CC80" s="2">
        <v>0</v>
      </c>
      <c r="CD80" s="2">
        <v>0</v>
      </c>
      <c r="CE80" s="2">
        <v>0</v>
      </c>
      <c r="CF80" s="2">
        <v>0</v>
      </c>
      <c r="CG80" s="2">
        <v>0</v>
      </c>
      <c r="CH80" s="2">
        <v>0</v>
      </c>
      <c r="CI80" s="2">
        <v>0</v>
      </c>
      <c r="CJ80" s="2">
        <v>0</v>
      </c>
      <c r="CK80" s="2">
        <v>0</v>
      </c>
      <c r="CL80" s="2">
        <v>0</v>
      </c>
      <c r="CM80" s="2">
        <v>0</v>
      </c>
      <c r="CN80" s="2">
        <v>0</v>
      </c>
      <c r="CO80" s="2">
        <v>0</v>
      </c>
      <c r="CP80" s="2">
        <v>0</v>
      </c>
      <c r="CQ80" s="2">
        <v>0</v>
      </c>
      <c r="CR80" s="2">
        <v>0</v>
      </c>
      <c r="CS80" s="2">
        <v>0</v>
      </c>
      <c r="CT80" s="294"/>
    </row>
    <row r="81" spans="1:98" x14ac:dyDescent="0.2">
      <c r="A81" s="294"/>
      <c r="B81" s="204" t="str">
        <f>IF(RIGHT($D81,5)="Total",$B80&amp;" Total",VLOOKUP($D81,TableInputsData[],ReadMe!$M$3,FALSE))</f>
        <v>CHIFFRE D'AFFAIRES EN EUR</v>
      </c>
      <c r="C81" s="294"/>
      <c r="D81" s="204" t="str">
        <f t="shared" si="138"/>
        <v>REVENUE IN EUR</v>
      </c>
      <c r="E81" s="25">
        <f t="shared" si="125"/>
        <v>2026</v>
      </c>
      <c r="F81" s="2">
        <f t="shared" si="126"/>
        <v>0</v>
      </c>
      <c r="G81" s="2">
        <f t="shared" si="126"/>
        <v>0</v>
      </c>
      <c r="H81" s="2">
        <f t="shared" si="126"/>
        <v>0</v>
      </c>
      <c r="I81" s="2">
        <f t="shared" si="126"/>
        <v>0</v>
      </c>
      <c r="J81" s="2">
        <f t="shared" si="126"/>
        <v>0</v>
      </c>
      <c r="K81" s="294"/>
      <c r="L81" s="294"/>
      <c r="M81" s="204" t="str">
        <f t="shared" si="139"/>
        <v>REVENUE IN EUR</v>
      </c>
      <c r="N81" s="25">
        <f t="shared" si="127"/>
        <v>2026</v>
      </c>
      <c r="O81" s="2">
        <f t="shared" ref="O81:AS81" si="145">O27/$F$9</f>
        <v>0</v>
      </c>
      <c r="P81" s="2">
        <f t="shared" si="145"/>
        <v>0</v>
      </c>
      <c r="Q81" s="2">
        <f t="shared" si="145"/>
        <v>0</v>
      </c>
      <c r="R81" s="2">
        <f t="shared" si="145"/>
        <v>0</v>
      </c>
      <c r="S81" s="2">
        <f t="shared" si="145"/>
        <v>0</v>
      </c>
      <c r="T81" s="2">
        <f t="shared" si="145"/>
        <v>0</v>
      </c>
      <c r="U81" s="2">
        <f t="shared" ref="U81:AR81" si="146">U27/$F$9</f>
        <v>0</v>
      </c>
      <c r="V81" s="2">
        <f t="shared" si="146"/>
        <v>0</v>
      </c>
      <c r="W81" s="2">
        <f t="shared" si="146"/>
        <v>0</v>
      </c>
      <c r="X81" s="2">
        <f t="shared" si="146"/>
        <v>0</v>
      </c>
      <c r="Y81" s="2">
        <f t="shared" si="146"/>
        <v>0</v>
      </c>
      <c r="Z81" s="2">
        <f t="shared" si="146"/>
        <v>0</v>
      </c>
      <c r="AA81" s="2">
        <f t="shared" si="146"/>
        <v>0</v>
      </c>
      <c r="AB81" s="2">
        <f t="shared" si="146"/>
        <v>0</v>
      </c>
      <c r="AC81" s="2">
        <f t="shared" si="146"/>
        <v>0</v>
      </c>
      <c r="AD81" s="2">
        <f t="shared" si="146"/>
        <v>0</v>
      </c>
      <c r="AE81" s="2">
        <f t="shared" si="146"/>
        <v>0</v>
      </c>
      <c r="AF81" s="2">
        <f t="shared" si="146"/>
        <v>0</v>
      </c>
      <c r="AG81" s="2">
        <f t="shared" si="146"/>
        <v>0</v>
      </c>
      <c r="AH81" s="2">
        <f t="shared" si="146"/>
        <v>0</v>
      </c>
      <c r="AI81" s="2">
        <f t="shared" si="146"/>
        <v>0</v>
      </c>
      <c r="AJ81" s="2">
        <f t="shared" si="146"/>
        <v>0</v>
      </c>
      <c r="AK81" s="2">
        <f t="shared" si="146"/>
        <v>0</v>
      </c>
      <c r="AL81" s="2">
        <f t="shared" si="146"/>
        <v>0</v>
      </c>
      <c r="AM81" s="2">
        <f t="shared" si="146"/>
        <v>0</v>
      </c>
      <c r="AN81" s="2">
        <f t="shared" si="146"/>
        <v>0</v>
      </c>
      <c r="AO81" s="2">
        <f t="shared" si="146"/>
        <v>0</v>
      </c>
      <c r="AP81" s="2">
        <f t="shared" si="146"/>
        <v>0</v>
      </c>
      <c r="AQ81" s="2">
        <f t="shared" si="146"/>
        <v>0</v>
      </c>
      <c r="AR81" s="2">
        <f t="shared" si="146"/>
        <v>0</v>
      </c>
      <c r="AS81" s="2">
        <f t="shared" si="145"/>
        <v>0</v>
      </c>
      <c r="AT81" s="294"/>
      <c r="AU81" s="294"/>
      <c r="AV81" s="204" t="str">
        <f t="shared" si="142"/>
        <v>REVENUE IN EUR</v>
      </c>
      <c r="AW81" s="25">
        <f t="shared" si="130"/>
        <v>2026</v>
      </c>
      <c r="AX81" s="2">
        <f t="shared" si="131"/>
        <v>0</v>
      </c>
      <c r="AY81" s="2">
        <f t="shared" si="131"/>
        <v>0</v>
      </c>
      <c r="AZ81" s="2">
        <f t="shared" si="131"/>
        <v>0</v>
      </c>
      <c r="BA81" s="2">
        <f t="shared" si="131"/>
        <v>0</v>
      </c>
      <c r="BB81" s="294"/>
      <c r="BC81" s="294"/>
      <c r="BD81" s="204" t="str">
        <f t="shared" si="143"/>
        <v>REVENUE IN EUR</v>
      </c>
      <c r="BE81" s="25">
        <f t="shared" si="132"/>
        <v>2026</v>
      </c>
      <c r="BF81" s="2">
        <f t="shared" si="133"/>
        <v>0</v>
      </c>
      <c r="BG81" s="2">
        <f t="shared" si="133"/>
        <v>0</v>
      </c>
      <c r="BH81" s="2">
        <f t="shared" si="133"/>
        <v>0</v>
      </c>
      <c r="BI81" s="294"/>
      <c r="BJ81" s="294"/>
      <c r="BK81" s="204" t="str">
        <f t="shared" si="144"/>
        <v>REVENUE IN EUR</v>
      </c>
      <c r="BL81" s="25">
        <f t="shared" si="134"/>
        <v>2026</v>
      </c>
      <c r="BM81" s="2">
        <f t="shared" si="135"/>
        <v>0</v>
      </c>
      <c r="BN81" s="2">
        <f t="shared" si="135"/>
        <v>0</v>
      </c>
      <c r="BO81" s="2">
        <f t="shared" si="135"/>
        <v>0</v>
      </c>
      <c r="BP81" s="294"/>
      <c r="BQ81" s="294"/>
      <c r="BR81" s="362" t="str">
        <f>VLOOKUP(BU81,TableInputsData[],6,FALSE)</f>
        <v>-</v>
      </c>
      <c r="BS81" s="598" t="str">
        <f>VLOOKUP(BU81,InputsData!$C$36:$I$67,5,FALSE)</f>
        <v>PRODUCT 05</v>
      </c>
      <c r="BT81" s="1" t="s">
        <v>531</v>
      </c>
      <c r="BU81" s="1" t="s">
        <v>541</v>
      </c>
      <c r="BV81" s="2">
        <v>0</v>
      </c>
      <c r="BW81" s="2">
        <v>0</v>
      </c>
      <c r="BX81" s="2">
        <v>0</v>
      </c>
      <c r="BY81" s="2">
        <v>0</v>
      </c>
      <c r="BZ81" s="2">
        <v>0</v>
      </c>
      <c r="CA81" s="2">
        <v>0</v>
      </c>
      <c r="CB81" s="2">
        <v>0</v>
      </c>
      <c r="CC81" s="2">
        <v>0</v>
      </c>
      <c r="CD81" s="2">
        <v>0</v>
      </c>
      <c r="CE81" s="2">
        <v>0</v>
      </c>
      <c r="CF81" s="2">
        <v>0</v>
      </c>
      <c r="CG81" s="2">
        <v>0</v>
      </c>
      <c r="CH81" s="2">
        <v>0</v>
      </c>
      <c r="CI81" s="2">
        <v>0</v>
      </c>
      <c r="CJ81" s="2">
        <v>0</v>
      </c>
      <c r="CK81" s="2">
        <v>0</v>
      </c>
      <c r="CL81" s="2">
        <v>0</v>
      </c>
      <c r="CM81" s="2">
        <v>0</v>
      </c>
      <c r="CN81" s="2">
        <v>0</v>
      </c>
      <c r="CO81" s="2">
        <v>0</v>
      </c>
      <c r="CP81" s="2">
        <v>0</v>
      </c>
      <c r="CQ81" s="2">
        <v>0</v>
      </c>
      <c r="CR81" s="2">
        <v>0</v>
      </c>
      <c r="CS81" s="2">
        <v>0</v>
      </c>
      <c r="CT81" s="294"/>
    </row>
    <row r="82" spans="1:98" x14ac:dyDescent="0.2">
      <c r="A82" s="294"/>
      <c r="B82" s="204" t="str">
        <f>IF(RIGHT($D82,5)="Total",$B81&amp;" Total",VLOOKUP($D82,TableInputsData[],ReadMe!$M$3,FALSE))</f>
        <v>CHIFFRE D'AFFAIRES EN EUR</v>
      </c>
      <c r="C82" s="294"/>
      <c r="D82" s="204" t="str">
        <f t="shared" si="138"/>
        <v>REVENUE IN EUR</v>
      </c>
      <c r="E82" s="25">
        <f t="shared" si="125"/>
        <v>2027</v>
      </c>
      <c r="F82" s="2">
        <f t="shared" si="126"/>
        <v>0</v>
      </c>
      <c r="G82" s="2">
        <f t="shared" si="126"/>
        <v>0</v>
      </c>
      <c r="H82" s="2">
        <f t="shared" si="126"/>
        <v>0</v>
      </c>
      <c r="I82" s="2">
        <f t="shared" si="126"/>
        <v>0</v>
      </c>
      <c r="J82" s="2">
        <f t="shared" si="126"/>
        <v>0</v>
      </c>
      <c r="K82" s="294"/>
      <c r="L82" s="294"/>
      <c r="M82" s="204" t="str">
        <f t="shared" si="139"/>
        <v>REVENUE IN EUR</v>
      </c>
      <c r="N82" s="25">
        <f t="shared" si="127"/>
        <v>2027</v>
      </c>
      <c r="O82" s="2">
        <f t="shared" ref="O82:AS82" si="147">O28/$F$9</f>
        <v>0</v>
      </c>
      <c r="P82" s="2">
        <f t="shared" si="147"/>
        <v>0</v>
      </c>
      <c r="Q82" s="2">
        <f t="shared" si="147"/>
        <v>0</v>
      </c>
      <c r="R82" s="2">
        <f t="shared" si="147"/>
        <v>0</v>
      </c>
      <c r="S82" s="2">
        <f t="shared" si="147"/>
        <v>0</v>
      </c>
      <c r="T82" s="2">
        <f t="shared" si="147"/>
        <v>0</v>
      </c>
      <c r="U82" s="2">
        <f t="shared" ref="U82:AR82" si="148">U28/$F$9</f>
        <v>0</v>
      </c>
      <c r="V82" s="2">
        <f t="shared" si="148"/>
        <v>0</v>
      </c>
      <c r="W82" s="2">
        <f t="shared" si="148"/>
        <v>0</v>
      </c>
      <c r="X82" s="2">
        <f t="shared" si="148"/>
        <v>0</v>
      </c>
      <c r="Y82" s="2">
        <f t="shared" si="148"/>
        <v>0</v>
      </c>
      <c r="Z82" s="2">
        <f t="shared" si="148"/>
        <v>0</v>
      </c>
      <c r="AA82" s="2">
        <f t="shared" si="148"/>
        <v>0</v>
      </c>
      <c r="AB82" s="2">
        <f t="shared" si="148"/>
        <v>0</v>
      </c>
      <c r="AC82" s="2">
        <f t="shared" si="148"/>
        <v>0</v>
      </c>
      <c r="AD82" s="2">
        <f t="shared" si="148"/>
        <v>0</v>
      </c>
      <c r="AE82" s="2">
        <f t="shared" si="148"/>
        <v>0</v>
      </c>
      <c r="AF82" s="2">
        <f t="shared" si="148"/>
        <v>0</v>
      </c>
      <c r="AG82" s="2">
        <f t="shared" si="148"/>
        <v>0</v>
      </c>
      <c r="AH82" s="2">
        <f t="shared" si="148"/>
        <v>0</v>
      </c>
      <c r="AI82" s="2">
        <f t="shared" si="148"/>
        <v>0</v>
      </c>
      <c r="AJ82" s="2">
        <f t="shared" si="148"/>
        <v>0</v>
      </c>
      <c r="AK82" s="2">
        <f t="shared" si="148"/>
        <v>0</v>
      </c>
      <c r="AL82" s="2">
        <f t="shared" si="148"/>
        <v>0</v>
      </c>
      <c r="AM82" s="2">
        <f t="shared" si="148"/>
        <v>0</v>
      </c>
      <c r="AN82" s="2">
        <f t="shared" si="148"/>
        <v>0</v>
      </c>
      <c r="AO82" s="2">
        <f t="shared" si="148"/>
        <v>0</v>
      </c>
      <c r="AP82" s="2">
        <f t="shared" si="148"/>
        <v>0</v>
      </c>
      <c r="AQ82" s="2">
        <f t="shared" si="148"/>
        <v>0</v>
      </c>
      <c r="AR82" s="2">
        <f t="shared" si="148"/>
        <v>0</v>
      </c>
      <c r="AS82" s="2">
        <f t="shared" si="147"/>
        <v>0</v>
      </c>
      <c r="AT82" s="294"/>
      <c r="AU82" s="294"/>
      <c r="AV82" s="204" t="str">
        <f t="shared" si="142"/>
        <v>REVENUE IN EUR</v>
      </c>
      <c r="AW82" s="25">
        <f t="shared" si="130"/>
        <v>2027</v>
      </c>
      <c r="AX82" s="2">
        <f t="shared" si="131"/>
        <v>0</v>
      </c>
      <c r="AY82" s="2">
        <f t="shared" si="131"/>
        <v>0</v>
      </c>
      <c r="AZ82" s="2">
        <f t="shared" si="131"/>
        <v>0</v>
      </c>
      <c r="BA82" s="2">
        <f t="shared" si="131"/>
        <v>0</v>
      </c>
      <c r="BB82" s="294"/>
      <c r="BC82" s="294"/>
      <c r="BD82" s="204" t="str">
        <f t="shared" si="143"/>
        <v>REVENUE IN EUR</v>
      </c>
      <c r="BE82" s="25">
        <f t="shared" si="132"/>
        <v>2027</v>
      </c>
      <c r="BF82" s="2">
        <f t="shared" si="133"/>
        <v>0</v>
      </c>
      <c r="BG82" s="2">
        <f t="shared" si="133"/>
        <v>0</v>
      </c>
      <c r="BH82" s="2">
        <f t="shared" si="133"/>
        <v>0</v>
      </c>
      <c r="BI82" s="294"/>
      <c r="BJ82" s="294"/>
      <c r="BK82" s="204" t="str">
        <f t="shared" si="144"/>
        <v>REVENUE IN EUR</v>
      </c>
      <c r="BL82" s="25">
        <f t="shared" si="134"/>
        <v>2027</v>
      </c>
      <c r="BM82" s="2">
        <f t="shared" si="135"/>
        <v>0</v>
      </c>
      <c r="BN82" s="2">
        <f t="shared" si="135"/>
        <v>0</v>
      </c>
      <c r="BO82" s="2">
        <f t="shared" si="135"/>
        <v>0</v>
      </c>
      <c r="BP82" s="294"/>
      <c r="BQ82" s="294"/>
      <c r="BR82" s="362" t="str">
        <f>VLOOKUP(BU82,TableInputsData[],6,FALSE)</f>
        <v>-</v>
      </c>
      <c r="BS82" s="598" t="str">
        <f>VLOOKUP(BU82,InputsData!$C$36:$I$67,5,FALSE)</f>
        <v>PRODUCT 06</v>
      </c>
      <c r="BT82" s="1" t="s">
        <v>531</v>
      </c>
      <c r="BU82" s="1" t="s">
        <v>542</v>
      </c>
      <c r="BV82" s="2">
        <v>0</v>
      </c>
      <c r="BW82" s="2">
        <v>0</v>
      </c>
      <c r="BX82" s="2">
        <v>0</v>
      </c>
      <c r="BY82" s="2">
        <v>0</v>
      </c>
      <c r="BZ82" s="2">
        <v>0</v>
      </c>
      <c r="CA82" s="2">
        <v>0</v>
      </c>
      <c r="CB82" s="2">
        <v>0</v>
      </c>
      <c r="CC82" s="2">
        <v>0</v>
      </c>
      <c r="CD82" s="2">
        <v>0</v>
      </c>
      <c r="CE82" s="2">
        <v>0</v>
      </c>
      <c r="CF82" s="2">
        <v>0</v>
      </c>
      <c r="CG82" s="2">
        <v>0</v>
      </c>
      <c r="CH82" s="2">
        <v>0</v>
      </c>
      <c r="CI82" s="2">
        <v>0</v>
      </c>
      <c r="CJ82" s="2">
        <v>0</v>
      </c>
      <c r="CK82" s="2">
        <v>0</v>
      </c>
      <c r="CL82" s="2">
        <v>0</v>
      </c>
      <c r="CM82" s="2">
        <v>0</v>
      </c>
      <c r="CN82" s="2">
        <v>0</v>
      </c>
      <c r="CO82" s="2">
        <v>0</v>
      </c>
      <c r="CP82" s="2">
        <v>0</v>
      </c>
      <c r="CQ82" s="2">
        <v>0</v>
      </c>
      <c r="CR82" s="2">
        <v>0</v>
      </c>
      <c r="CS82" s="2">
        <v>0</v>
      </c>
      <c r="CT82" s="294"/>
    </row>
    <row r="83" spans="1:98" x14ac:dyDescent="0.2">
      <c r="A83" s="294"/>
      <c r="B83" s="204" t="str">
        <f>IF(RIGHT($D83,5)="Total",$B82&amp;" Total",VLOOKUP($D83,TableInputsData[],ReadMe!$M$3,FALSE))</f>
        <v>CHIFFRE D'AFFAIRES EN EUR</v>
      </c>
      <c r="C83" s="294"/>
      <c r="D83" s="204" t="str">
        <f t="shared" si="138"/>
        <v>REVENUE IN EUR</v>
      </c>
      <c r="E83" s="25">
        <f t="shared" si="125"/>
        <v>2028</v>
      </c>
      <c r="F83" s="2">
        <f t="shared" si="126"/>
        <v>0</v>
      </c>
      <c r="G83" s="2">
        <f t="shared" si="126"/>
        <v>0</v>
      </c>
      <c r="H83" s="2">
        <f t="shared" si="126"/>
        <v>0</v>
      </c>
      <c r="I83" s="2">
        <f t="shared" si="126"/>
        <v>0</v>
      </c>
      <c r="J83" s="2">
        <f t="shared" si="126"/>
        <v>0</v>
      </c>
      <c r="K83" s="294"/>
      <c r="L83" s="294"/>
      <c r="M83" s="204" t="str">
        <f t="shared" si="139"/>
        <v>REVENUE IN EUR</v>
      </c>
      <c r="N83" s="25">
        <f t="shared" si="127"/>
        <v>2028</v>
      </c>
      <c r="O83" s="2">
        <f t="shared" ref="O83:AS83" si="149">O29/$F$9</f>
        <v>0</v>
      </c>
      <c r="P83" s="2">
        <f t="shared" si="149"/>
        <v>0</v>
      </c>
      <c r="Q83" s="2">
        <f t="shared" si="149"/>
        <v>0</v>
      </c>
      <c r="R83" s="2">
        <f t="shared" si="149"/>
        <v>0</v>
      </c>
      <c r="S83" s="2">
        <f t="shared" si="149"/>
        <v>0</v>
      </c>
      <c r="T83" s="2">
        <f t="shared" si="149"/>
        <v>0</v>
      </c>
      <c r="U83" s="2">
        <f t="shared" ref="U83:AR83" si="150">U29/$F$9</f>
        <v>0</v>
      </c>
      <c r="V83" s="2">
        <f t="shared" si="150"/>
        <v>0</v>
      </c>
      <c r="W83" s="2">
        <f t="shared" si="150"/>
        <v>0</v>
      </c>
      <c r="X83" s="2">
        <f t="shared" si="150"/>
        <v>0</v>
      </c>
      <c r="Y83" s="2">
        <f t="shared" si="150"/>
        <v>0</v>
      </c>
      <c r="Z83" s="2">
        <f t="shared" si="150"/>
        <v>0</v>
      </c>
      <c r="AA83" s="2">
        <f t="shared" si="150"/>
        <v>0</v>
      </c>
      <c r="AB83" s="2">
        <f t="shared" si="150"/>
        <v>0</v>
      </c>
      <c r="AC83" s="2">
        <f t="shared" si="150"/>
        <v>0</v>
      </c>
      <c r="AD83" s="2">
        <f t="shared" si="150"/>
        <v>0</v>
      </c>
      <c r="AE83" s="2">
        <f t="shared" si="150"/>
        <v>0</v>
      </c>
      <c r="AF83" s="2">
        <f t="shared" si="150"/>
        <v>0</v>
      </c>
      <c r="AG83" s="2">
        <f t="shared" si="150"/>
        <v>0</v>
      </c>
      <c r="AH83" s="2">
        <f t="shared" si="150"/>
        <v>0</v>
      </c>
      <c r="AI83" s="2">
        <f t="shared" si="150"/>
        <v>0</v>
      </c>
      <c r="AJ83" s="2">
        <f t="shared" si="150"/>
        <v>0</v>
      </c>
      <c r="AK83" s="2">
        <f t="shared" si="150"/>
        <v>0</v>
      </c>
      <c r="AL83" s="2">
        <f t="shared" si="150"/>
        <v>0</v>
      </c>
      <c r="AM83" s="2">
        <f t="shared" si="150"/>
        <v>0</v>
      </c>
      <c r="AN83" s="2">
        <f t="shared" si="150"/>
        <v>0</v>
      </c>
      <c r="AO83" s="2">
        <f t="shared" si="150"/>
        <v>0</v>
      </c>
      <c r="AP83" s="2">
        <f t="shared" si="150"/>
        <v>0</v>
      </c>
      <c r="AQ83" s="2">
        <f t="shared" si="150"/>
        <v>0</v>
      </c>
      <c r="AR83" s="2">
        <f t="shared" si="150"/>
        <v>0</v>
      </c>
      <c r="AS83" s="2">
        <f t="shared" si="149"/>
        <v>0</v>
      </c>
      <c r="AT83" s="294"/>
      <c r="AU83" s="294"/>
      <c r="AV83" s="204" t="str">
        <f t="shared" si="142"/>
        <v>REVENUE IN EUR</v>
      </c>
      <c r="AW83" s="25">
        <f t="shared" si="130"/>
        <v>2028</v>
      </c>
      <c r="AX83" s="2">
        <f t="shared" si="131"/>
        <v>0</v>
      </c>
      <c r="AY83" s="2">
        <f t="shared" si="131"/>
        <v>0</v>
      </c>
      <c r="AZ83" s="2">
        <f t="shared" si="131"/>
        <v>0</v>
      </c>
      <c r="BA83" s="2">
        <f t="shared" si="131"/>
        <v>0</v>
      </c>
      <c r="BB83" s="294"/>
      <c r="BC83" s="294"/>
      <c r="BD83" s="204" t="str">
        <f t="shared" si="143"/>
        <v>REVENUE IN EUR</v>
      </c>
      <c r="BE83" s="25">
        <f t="shared" si="132"/>
        <v>2028</v>
      </c>
      <c r="BF83" s="2">
        <f t="shared" si="133"/>
        <v>0</v>
      </c>
      <c r="BG83" s="2">
        <f t="shared" si="133"/>
        <v>0</v>
      </c>
      <c r="BH83" s="2">
        <f t="shared" si="133"/>
        <v>0</v>
      </c>
      <c r="BI83" s="294"/>
      <c r="BJ83" s="294"/>
      <c r="BK83" s="204" t="str">
        <f t="shared" si="144"/>
        <v>REVENUE IN EUR</v>
      </c>
      <c r="BL83" s="25">
        <f t="shared" si="134"/>
        <v>2028</v>
      </c>
      <c r="BM83" s="2">
        <f t="shared" si="135"/>
        <v>0</v>
      </c>
      <c r="BN83" s="2">
        <f t="shared" si="135"/>
        <v>0</v>
      </c>
      <c r="BO83" s="2">
        <f t="shared" si="135"/>
        <v>0</v>
      </c>
      <c r="BP83" s="294"/>
      <c r="BQ83" s="294"/>
      <c r="BR83" s="362" t="str">
        <f>VLOOKUP(BU83,TableInputsData[],6,FALSE)</f>
        <v>-</v>
      </c>
      <c r="BS83" s="598" t="str">
        <f>VLOOKUP(BU83,InputsData!$C$36:$I$67,5,FALSE)</f>
        <v>PRODUCT 07</v>
      </c>
      <c r="BT83" s="1" t="s">
        <v>531</v>
      </c>
      <c r="BU83" s="1" t="s">
        <v>543</v>
      </c>
      <c r="BV83" s="2">
        <v>0</v>
      </c>
      <c r="BW83" s="2">
        <v>0</v>
      </c>
      <c r="BX83" s="2">
        <v>0</v>
      </c>
      <c r="BY83" s="2">
        <v>0</v>
      </c>
      <c r="BZ83" s="2">
        <v>0</v>
      </c>
      <c r="CA83" s="2">
        <v>0</v>
      </c>
      <c r="CB83" s="2">
        <v>0</v>
      </c>
      <c r="CC83" s="2">
        <v>0</v>
      </c>
      <c r="CD83" s="2">
        <v>0</v>
      </c>
      <c r="CE83" s="2">
        <v>0</v>
      </c>
      <c r="CF83" s="2">
        <v>0</v>
      </c>
      <c r="CG83" s="2">
        <v>0</v>
      </c>
      <c r="CH83" s="2">
        <v>0</v>
      </c>
      <c r="CI83" s="2">
        <v>0</v>
      </c>
      <c r="CJ83" s="2">
        <v>0</v>
      </c>
      <c r="CK83" s="2">
        <v>0</v>
      </c>
      <c r="CL83" s="2">
        <v>0</v>
      </c>
      <c r="CM83" s="2">
        <v>0</v>
      </c>
      <c r="CN83" s="2">
        <v>0</v>
      </c>
      <c r="CO83" s="2">
        <v>0</v>
      </c>
      <c r="CP83" s="2">
        <v>0</v>
      </c>
      <c r="CQ83" s="2">
        <v>0</v>
      </c>
      <c r="CR83" s="2">
        <v>0</v>
      </c>
      <c r="CS83" s="2">
        <v>0</v>
      </c>
      <c r="CT83" s="294"/>
    </row>
    <row r="84" spans="1:98" x14ac:dyDescent="0.2">
      <c r="A84" s="294"/>
      <c r="B84" s="204" t="str">
        <f>IF(RIGHT($D84,5)="Total",$B83&amp;" Total",VLOOKUP($D84,TableInputsData[],ReadMe!$M$3,FALSE))</f>
        <v>CHIFFRE D'AFFAIRES EN EUR</v>
      </c>
      <c r="C84" s="294"/>
      <c r="D84" s="204" t="str">
        <f t="shared" si="138"/>
        <v>REVENUE IN EUR</v>
      </c>
      <c r="E84" s="25">
        <f t="shared" si="125"/>
        <v>2029</v>
      </c>
      <c r="F84" s="2">
        <f t="shared" si="126"/>
        <v>0</v>
      </c>
      <c r="G84" s="2">
        <f t="shared" si="126"/>
        <v>0</v>
      </c>
      <c r="H84" s="2">
        <f t="shared" si="126"/>
        <v>0</v>
      </c>
      <c r="I84" s="2">
        <f t="shared" si="126"/>
        <v>0</v>
      </c>
      <c r="J84" s="2">
        <f t="shared" si="126"/>
        <v>0</v>
      </c>
      <c r="K84" s="294"/>
      <c r="L84" s="294"/>
      <c r="M84" s="204" t="str">
        <f t="shared" si="139"/>
        <v>REVENUE IN EUR</v>
      </c>
      <c r="N84" s="25">
        <f t="shared" si="127"/>
        <v>2029</v>
      </c>
      <c r="O84" s="2">
        <f t="shared" ref="O84:AS84" si="151">O30/$F$9</f>
        <v>0</v>
      </c>
      <c r="P84" s="2">
        <f t="shared" si="151"/>
        <v>0</v>
      </c>
      <c r="Q84" s="2">
        <f t="shared" si="151"/>
        <v>0</v>
      </c>
      <c r="R84" s="2">
        <f t="shared" si="151"/>
        <v>0</v>
      </c>
      <c r="S84" s="2">
        <f t="shared" si="151"/>
        <v>0</v>
      </c>
      <c r="T84" s="2">
        <f t="shared" si="151"/>
        <v>0</v>
      </c>
      <c r="U84" s="2">
        <f t="shared" ref="U84:AR84" si="152">U30/$F$9</f>
        <v>0</v>
      </c>
      <c r="V84" s="2">
        <f t="shared" si="152"/>
        <v>0</v>
      </c>
      <c r="W84" s="2">
        <f t="shared" si="152"/>
        <v>0</v>
      </c>
      <c r="X84" s="2">
        <f t="shared" si="152"/>
        <v>0</v>
      </c>
      <c r="Y84" s="2">
        <f t="shared" si="152"/>
        <v>0</v>
      </c>
      <c r="Z84" s="2">
        <f t="shared" si="152"/>
        <v>0</v>
      </c>
      <c r="AA84" s="2">
        <f t="shared" si="152"/>
        <v>0</v>
      </c>
      <c r="AB84" s="2">
        <f t="shared" si="152"/>
        <v>0</v>
      </c>
      <c r="AC84" s="2">
        <f t="shared" si="152"/>
        <v>0</v>
      </c>
      <c r="AD84" s="2">
        <f t="shared" si="152"/>
        <v>0</v>
      </c>
      <c r="AE84" s="2">
        <f t="shared" si="152"/>
        <v>0</v>
      </c>
      <c r="AF84" s="2">
        <f t="shared" si="152"/>
        <v>0</v>
      </c>
      <c r="AG84" s="2">
        <f t="shared" si="152"/>
        <v>0</v>
      </c>
      <c r="AH84" s="2">
        <f t="shared" si="152"/>
        <v>0</v>
      </c>
      <c r="AI84" s="2">
        <f t="shared" si="152"/>
        <v>0</v>
      </c>
      <c r="AJ84" s="2">
        <f t="shared" si="152"/>
        <v>0</v>
      </c>
      <c r="AK84" s="2">
        <f t="shared" si="152"/>
        <v>0</v>
      </c>
      <c r="AL84" s="2">
        <f t="shared" si="152"/>
        <v>0</v>
      </c>
      <c r="AM84" s="2">
        <f t="shared" si="152"/>
        <v>0</v>
      </c>
      <c r="AN84" s="2">
        <f t="shared" si="152"/>
        <v>0</v>
      </c>
      <c r="AO84" s="2">
        <f t="shared" si="152"/>
        <v>0</v>
      </c>
      <c r="AP84" s="2">
        <f t="shared" si="152"/>
        <v>0</v>
      </c>
      <c r="AQ84" s="2">
        <f t="shared" si="152"/>
        <v>0</v>
      </c>
      <c r="AR84" s="2">
        <f t="shared" si="152"/>
        <v>0</v>
      </c>
      <c r="AS84" s="2">
        <f t="shared" si="151"/>
        <v>0</v>
      </c>
      <c r="AT84" s="294"/>
      <c r="AU84" s="294"/>
      <c r="AV84" s="204" t="str">
        <f t="shared" si="142"/>
        <v>REVENUE IN EUR</v>
      </c>
      <c r="AW84" s="25">
        <f t="shared" si="130"/>
        <v>2029</v>
      </c>
      <c r="AX84" s="2">
        <f t="shared" si="131"/>
        <v>0</v>
      </c>
      <c r="AY84" s="2">
        <f t="shared" si="131"/>
        <v>0</v>
      </c>
      <c r="AZ84" s="2">
        <f t="shared" si="131"/>
        <v>0</v>
      </c>
      <c r="BA84" s="2">
        <f t="shared" si="131"/>
        <v>0</v>
      </c>
      <c r="BB84" s="294"/>
      <c r="BC84" s="294"/>
      <c r="BD84" s="204" t="str">
        <f t="shared" si="143"/>
        <v>REVENUE IN EUR</v>
      </c>
      <c r="BE84" s="25">
        <f t="shared" si="132"/>
        <v>2029</v>
      </c>
      <c r="BF84" s="2">
        <f t="shared" si="133"/>
        <v>0</v>
      </c>
      <c r="BG84" s="2">
        <f t="shared" si="133"/>
        <v>0</v>
      </c>
      <c r="BH84" s="2">
        <f t="shared" si="133"/>
        <v>0</v>
      </c>
      <c r="BI84" s="294"/>
      <c r="BJ84" s="294"/>
      <c r="BK84" s="204" t="str">
        <f t="shared" si="144"/>
        <v>REVENUE IN EUR</v>
      </c>
      <c r="BL84" s="25">
        <f t="shared" si="134"/>
        <v>2029</v>
      </c>
      <c r="BM84" s="2">
        <f t="shared" si="135"/>
        <v>0</v>
      </c>
      <c r="BN84" s="2">
        <f t="shared" si="135"/>
        <v>0</v>
      </c>
      <c r="BO84" s="2">
        <f t="shared" si="135"/>
        <v>0</v>
      </c>
      <c r="BP84" s="294"/>
      <c r="BQ84" s="294"/>
      <c r="BR84" s="362" t="str">
        <f>VLOOKUP(BU84,TableInputsData[],6,FALSE)</f>
        <v>-</v>
      </c>
      <c r="BS84" s="598" t="str">
        <f>VLOOKUP(BU84,InputsData!$C$36:$I$67,5,FALSE)</f>
        <v>PRODUCT 08</v>
      </c>
      <c r="BT84" s="1" t="s">
        <v>531</v>
      </c>
      <c r="BU84" s="1" t="s">
        <v>544</v>
      </c>
      <c r="BV84" s="2">
        <v>0</v>
      </c>
      <c r="BW84" s="2">
        <v>0</v>
      </c>
      <c r="BX84" s="2">
        <v>0</v>
      </c>
      <c r="BY84" s="2">
        <v>0</v>
      </c>
      <c r="BZ84" s="2">
        <v>0</v>
      </c>
      <c r="CA84" s="2">
        <v>0</v>
      </c>
      <c r="CB84" s="2">
        <v>0</v>
      </c>
      <c r="CC84" s="2">
        <v>0</v>
      </c>
      <c r="CD84" s="2">
        <v>0</v>
      </c>
      <c r="CE84" s="2">
        <v>0</v>
      </c>
      <c r="CF84" s="2">
        <v>0</v>
      </c>
      <c r="CG84" s="2">
        <v>0</v>
      </c>
      <c r="CH84" s="2">
        <v>0</v>
      </c>
      <c r="CI84" s="2">
        <v>0</v>
      </c>
      <c r="CJ84" s="2">
        <v>0</v>
      </c>
      <c r="CK84" s="2">
        <v>0</v>
      </c>
      <c r="CL84" s="2">
        <v>0</v>
      </c>
      <c r="CM84" s="2">
        <v>0</v>
      </c>
      <c r="CN84" s="2">
        <v>0</v>
      </c>
      <c r="CO84" s="2">
        <v>0</v>
      </c>
      <c r="CP84" s="2">
        <v>0</v>
      </c>
      <c r="CQ84" s="2">
        <v>0</v>
      </c>
      <c r="CR84" s="2">
        <v>0</v>
      </c>
      <c r="CS84" s="2">
        <v>0</v>
      </c>
      <c r="CT84" s="294"/>
    </row>
    <row r="85" spans="1:98" x14ac:dyDescent="0.2">
      <c r="A85" s="294"/>
      <c r="B85" s="204" t="str">
        <f>IF(RIGHT($D85,5)="Total",$B84&amp;" Total",VLOOKUP($D85,TableInputsData[],ReadMe!$M$3,FALSE))</f>
        <v>CHIFFRE D'AFFAIRES EN EUR</v>
      </c>
      <c r="C85" s="294"/>
      <c r="D85" s="204" t="str">
        <f t="shared" si="138"/>
        <v>REVENUE IN EUR</v>
      </c>
      <c r="E85" s="25">
        <f t="shared" si="125"/>
        <v>2030</v>
      </c>
      <c r="F85" s="2">
        <f t="shared" si="126"/>
        <v>0</v>
      </c>
      <c r="G85" s="2">
        <f t="shared" si="126"/>
        <v>0</v>
      </c>
      <c r="H85" s="2">
        <f t="shared" si="126"/>
        <v>0</v>
      </c>
      <c r="I85" s="2">
        <f t="shared" si="126"/>
        <v>0</v>
      </c>
      <c r="J85" s="2">
        <f t="shared" si="126"/>
        <v>0</v>
      </c>
      <c r="K85" s="294"/>
      <c r="L85" s="294"/>
      <c r="M85" s="204" t="str">
        <f t="shared" si="139"/>
        <v>REVENUE IN EUR</v>
      </c>
      <c r="N85" s="25">
        <f t="shared" si="127"/>
        <v>2030</v>
      </c>
      <c r="O85" s="2">
        <f t="shared" ref="O85:AS85" si="153">O31/$F$9</f>
        <v>0</v>
      </c>
      <c r="P85" s="2">
        <f t="shared" si="153"/>
        <v>0</v>
      </c>
      <c r="Q85" s="2">
        <f t="shared" si="153"/>
        <v>0</v>
      </c>
      <c r="R85" s="2">
        <f t="shared" si="153"/>
        <v>0</v>
      </c>
      <c r="S85" s="2">
        <f t="shared" si="153"/>
        <v>0</v>
      </c>
      <c r="T85" s="2">
        <f t="shared" si="153"/>
        <v>0</v>
      </c>
      <c r="U85" s="2">
        <f t="shared" ref="U85:AR85" si="154">U31/$F$9</f>
        <v>0</v>
      </c>
      <c r="V85" s="2">
        <f t="shared" si="154"/>
        <v>0</v>
      </c>
      <c r="W85" s="2">
        <f t="shared" si="154"/>
        <v>0</v>
      </c>
      <c r="X85" s="2">
        <f t="shared" si="154"/>
        <v>0</v>
      </c>
      <c r="Y85" s="2">
        <f t="shared" si="154"/>
        <v>0</v>
      </c>
      <c r="Z85" s="2">
        <f t="shared" si="154"/>
        <v>0</v>
      </c>
      <c r="AA85" s="2">
        <f t="shared" si="154"/>
        <v>0</v>
      </c>
      <c r="AB85" s="2">
        <f t="shared" si="154"/>
        <v>0</v>
      </c>
      <c r="AC85" s="2">
        <f t="shared" si="154"/>
        <v>0</v>
      </c>
      <c r="AD85" s="2">
        <f t="shared" si="154"/>
        <v>0</v>
      </c>
      <c r="AE85" s="2">
        <f t="shared" si="154"/>
        <v>0</v>
      </c>
      <c r="AF85" s="2">
        <f t="shared" si="154"/>
        <v>0</v>
      </c>
      <c r="AG85" s="2">
        <f t="shared" si="154"/>
        <v>0</v>
      </c>
      <c r="AH85" s="2">
        <f t="shared" si="154"/>
        <v>0</v>
      </c>
      <c r="AI85" s="2">
        <f t="shared" si="154"/>
        <v>0</v>
      </c>
      <c r="AJ85" s="2">
        <f t="shared" si="154"/>
        <v>0</v>
      </c>
      <c r="AK85" s="2">
        <f t="shared" si="154"/>
        <v>0</v>
      </c>
      <c r="AL85" s="2">
        <f t="shared" si="154"/>
        <v>0</v>
      </c>
      <c r="AM85" s="2">
        <f t="shared" si="154"/>
        <v>0</v>
      </c>
      <c r="AN85" s="2">
        <f t="shared" si="154"/>
        <v>0</v>
      </c>
      <c r="AO85" s="2">
        <f t="shared" si="154"/>
        <v>0</v>
      </c>
      <c r="AP85" s="2">
        <f t="shared" si="154"/>
        <v>0</v>
      </c>
      <c r="AQ85" s="2">
        <f t="shared" si="154"/>
        <v>0</v>
      </c>
      <c r="AR85" s="2">
        <f t="shared" si="154"/>
        <v>0</v>
      </c>
      <c r="AS85" s="2">
        <f t="shared" si="153"/>
        <v>0</v>
      </c>
      <c r="AT85" s="294"/>
      <c r="AU85" s="294"/>
      <c r="AV85" s="204" t="str">
        <f t="shared" si="142"/>
        <v>REVENUE IN EUR</v>
      </c>
      <c r="AW85" s="25">
        <f t="shared" si="130"/>
        <v>2030</v>
      </c>
      <c r="AX85" s="2">
        <f t="shared" si="131"/>
        <v>0</v>
      </c>
      <c r="AY85" s="2">
        <f t="shared" si="131"/>
        <v>0</v>
      </c>
      <c r="AZ85" s="2">
        <f t="shared" si="131"/>
        <v>0</v>
      </c>
      <c r="BA85" s="2">
        <f t="shared" si="131"/>
        <v>0</v>
      </c>
      <c r="BB85" s="294"/>
      <c r="BC85" s="294"/>
      <c r="BD85" s="204" t="str">
        <f t="shared" si="143"/>
        <v>REVENUE IN EUR</v>
      </c>
      <c r="BE85" s="25">
        <f t="shared" si="132"/>
        <v>2030</v>
      </c>
      <c r="BF85" s="2">
        <f t="shared" si="133"/>
        <v>0</v>
      </c>
      <c r="BG85" s="2">
        <f t="shared" si="133"/>
        <v>0</v>
      </c>
      <c r="BH85" s="2">
        <f t="shared" si="133"/>
        <v>0</v>
      </c>
      <c r="BI85" s="294"/>
      <c r="BJ85" s="294"/>
      <c r="BK85" s="204" t="str">
        <f t="shared" si="144"/>
        <v>REVENUE IN EUR</v>
      </c>
      <c r="BL85" s="25">
        <f t="shared" si="134"/>
        <v>2030</v>
      </c>
      <c r="BM85" s="2">
        <f t="shared" si="135"/>
        <v>0</v>
      </c>
      <c r="BN85" s="2">
        <f t="shared" si="135"/>
        <v>0</v>
      </c>
      <c r="BO85" s="2">
        <f t="shared" si="135"/>
        <v>0</v>
      </c>
      <c r="BP85" s="294"/>
      <c r="BQ85" s="294"/>
      <c r="BR85" s="362" t="str">
        <f>VLOOKUP(BU85,TableInputsData[],6,FALSE)</f>
        <v>-</v>
      </c>
      <c r="BS85" s="598" t="str">
        <f>VLOOKUP(BU85,InputsData!$C$36:$I$67,5,FALSE)</f>
        <v>PRODUCT 09</v>
      </c>
      <c r="BT85" s="1" t="s">
        <v>531</v>
      </c>
      <c r="BU85" s="1" t="s">
        <v>545</v>
      </c>
      <c r="BV85" s="2">
        <v>0</v>
      </c>
      <c r="BW85" s="2">
        <v>0</v>
      </c>
      <c r="BX85" s="2">
        <v>0</v>
      </c>
      <c r="BY85" s="2">
        <v>0</v>
      </c>
      <c r="BZ85" s="2">
        <v>0</v>
      </c>
      <c r="CA85" s="2">
        <v>0</v>
      </c>
      <c r="CB85" s="2">
        <v>0</v>
      </c>
      <c r="CC85" s="2">
        <v>0</v>
      </c>
      <c r="CD85" s="2">
        <v>0</v>
      </c>
      <c r="CE85" s="2">
        <v>0</v>
      </c>
      <c r="CF85" s="2">
        <v>0</v>
      </c>
      <c r="CG85" s="2">
        <v>0</v>
      </c>
      <c r="CH85" s="2">
        <v>0</v>
      </c>
      <c r="CI85" s="2">
        <v>0</v>
      </c>
      <c r="CJ85" s="2">
        <v>0</v>
      </c>
      <c r="CK85" s="2">
        <v>0</v>
      </c>
      <c r="CL85" s="2">
        <v>0</v>
      </c>
      <c r="CM85" s="2">
        <v>0</v>
      </c>
      <c r="CN85" s="2">
        <v>0</v>
      </c>
      <c r="CO85" s="2">
        <v>0</v>
      </c>
      <c r="CP85" s="2">
        <v>0</v>
      </c>
      <c r="CQ85" s="2">
        <v>0</v>
      </c>
      <c r="CR85" s="2">
        <v>0</v>
      </c>
      <c r="CS85" s="2">
        <v>0</v>
      </c>
      <c r="CT85" s="294"/>
    </row>
    <row r="86" spans="1:98" x14ac:dyDescent="0.2">
      <c r="A86" s="294"/>
      <c r="B86" s="348" t="str">
        <f>IF(RIGHT($D86,5)="Total",$B85&amp;" Total",VLOOKUP($D86,TableInputsData[],ReadMe!$M$3,FALSE))</f>
        <v>CHIFFRE D'AFFAIRES EN EUR Total</v>
      </c>
      <c r="C86" s="294"/>
      <c r="D86" s="348" t="str">
        <f>+D85&amp;" Total"</f>
        <v>REVENUE IN EUR Total</v>
      </c>
      <c r="E86" s="344"/>
      <c r="F86" s="347">
        <f t="shared" si="126"/>
        <v>0</v>
      </c>
      <c r="G86" s="347">
        <f t="shared" si="126"/>
        <v>0</v>
      </c>
      <c r="H86" s="347">
        <f t="shared" si="126"/>
        <v>0</v>
      </c>
      <c r="I86" s="347">
        <f t="shared" si="126"/>
        <v>0</v>
      </c>
      <c r="J86" s="347">
        <f t="shared" si="126"/>
        <v>0</v>
      </c>
      <c r="K86" s="294"/>
      <c r="L86" s="294"/>
      <c r="M86" s="348" t="str">
        <f>+M85&amp;" Total"</f>
        <v>REVENUE IN EUR Total</v>
      </c>
      <c r="N86" s="344"/>
      <c r="O86" s="347">
        <f t="shared" ref="O86:AS86" si="155">O32/$F$9</f>
        <v>0</v>
      </c>
      <c r="P86" s="347">
        <f t="shared" si="155"/>
        <v>0</v>
      </c>
      <c r="Q86" s="347">
        <f t="shared" si="155"/>
        <v>0</v>
      </c>
      <c r="R86" s="347">
        <f t="shared" si="155"/>
        <v>0</v>
      </c>
      <c r="S86" s="347">
        <f t="shared" si="155"/>
        <v>0</v>
      </c>
      <c r="T86" s="347">
        <f t="shared" si="155"/>
        <v>0</v>
      </c>
      <c r="U86" s="347">
        <f t="shared" ref="U86:AR86" si="156">U32/$F$9</f>
        <v>0</v>
      </c>
      <c r="V86" s="347">
        <f t="shared" si="156"/>
        <v>0</v>
      </c>
      <c r="W86" s="347">
        <f t="shared" si="156"/>
        <v>0</v>
      </c>
      <c r="X86" s="347">
        <f t="shared" si="156"/>
        <v>0</v>
      </c>
      <c r="Y86" s="347">
        <f t="shared" si="156"/>
        <v>0</v>
      </c>
      <c r="Z86" s="347">
        <f t="shared" si="156"/>
        <v>0</v>
      </c>
      <c r="AA86" s="347">
        <f t="shared" si="156"/>
        <v>0</v>
      </c>
      <c r="AB86" s="347">
        <f t="shared" si="156"/>
        <v>0</v>
      </c>
      <c r="AC86" s="347">
        <f t="shared" si="156"/>
        <v>0</v>
      </c>
      <c r="AD86" s="347">
        <f t="shared" si="156"/>
        <v>0</v>
      </c>
      <c r="AE86" s="347">
        <f t="shared" si="156"/>
        <v>0</v>
      </c>
      <c r="AF86" s="347">
        <f t="shared" si="156"/>
        <v>0</v>
      </c>
      <c r="AG86" s="347">
        <f t="shared" si="156"/>
        <v>0</v>
      </c>
      <c r="AH86" s="347">
        <f t="shared" si="156"/>
        <v>0</v>
      </c>
      <c r="AI86" s="347">
        <f t="shared" si="156"/>
        <v>0</v>
      </c>
      <c r="AJ86" s="347">
        <f t="shared" si="156"/>
        <v>0</v>
      </c>
      <c r="AK86" s="347">
        <f t="shared" si="156"/>
        <v>0</v>
      </c>
      <c r="AL86" s="347">
        <f t="shared" si="156"/>
        <v>0</v>
      </c>
      <c r="AM86" s="347">
        <f t="shared" si="156"/>
        <v>0</v>
      </c>
      <c r="AN86" s="347">
        <f t="shared" si="156"/>
        <v>0</v>
      </c>
      <c r="AO86" s="347">
        <f t="shared" si="156"/>
        <v>0</v>
      </c>
      <c r="AP86" s="347">
        <f t="shared" si="156"/>
        <v>0</v>
      </c>
      <c r="AQ86" s="347">
        <f t="shared" si="156"/>
        <v>0</v>
      </c>
      <c r="AR86" s="347">
        <f t="shared" si="156"/>
        <v>0</v>
      </c>
      <c r="AS86" s="347">
        <f t="shared" si="155"/>
        <v>0</v>
      </c>
      <c r="AT86" s="294"/>
      <c r="AU86" s="294"/>
      <c r="AV86" s="348" t="str">
        <f>+AV85&amp;" Total"</f>
        <v>REVENUE IN EUR Total</v>
      </c>
      <c r="AW86" s="344"/>
      <c r="AX86" s="347">
        <f t="shared" si="131"/>
        <v>0</v>
      </c>
      <c r="AY86" s="347">
        <f t="shared" si="131"/>
        <v>0</v>
      </c>
      <c r="AZ86" s="347">
        <f t="shared" si="131"/>
        <v>0</v>
      </c>
      <c r="BA86" s="347">
        <f t="shared" si="131"/>
        <v>0</v>
      </c>
      <c r="BB86" s="294"/>
      <c r="BC86" s="294"/>
      <c r="BD86" s="348" t="str">
        <f>+BD85&amp;" Total"</f>
        <v>REVENUE IN EUR Total</v>
      </c>
      <c r="BE86" s="344"/>
      <c r="BF86" s="347">
        <f t="shared" si="133"/>
        <v>0</v>
      </c>
      <c r="BG86" s="347">
        <f t="shared" si="133"/>
        <v>0</v>
      </c>
      <c r="BH86" s="347">
        <f t="shared" si="133"/>
        <v>0</v>
      </c>
      <c r="BI86" s="294"/>
      <c r="BJ86" s="294"/>
      <c r="BK86" s="348" t="str">
        <f>+BK85&amp;" Total"</f>
        <v>REVENUE IN EUR Total</v>
      </c>
      <c r="BL86" s="344"/>
      <c r="BM86" s="347">
        <f t="shared" si="135"/>
        <v>0</v>
      </c>
      <c r="BN86" s="347">
        <f t="shared" si="135"/>
        <v>0</v>
      </c>
      <c r="BO86" s="347">
        <f t="shared" si="135"/>
        <v>0</v>
      </c>
      <c r="BP86" s="294"/>
      <c r="BQ86" s="294"/>
      <c r="BR86" s="362" t="str">
        <f>VLOOKUP(BU86,TableInputsData[],6,FALSE)</f>
        <v>-</v>
      </c>
      <c r="BS86" s="598" t="str">
        <f>VLOOKUP(BU86,InputsData!$C$36:$I$67,5,FALSE)</f>
        <v>PRODUCT 10</v>
      </c>
      <c r="BT86" s="1" t="s">
        <v>531</v>
      </c>
      <c r="BU86" s="1" t="s">
        <v>401</v>
      </c>
      <c r="BV86" s="2">
        <v>0</v>
      </c>
      <c r="BW86" s="2">
        <v>0</v>
      </c>
      <c r="BX86" s="2">
        <v>0</v>
      </c>
      <c r="BY86" s="2">
        <v>0</v>
      </c>
      <c r="BZ86" s="2">
        <v>0</v>
      </c>
      <c r="CA86" s="2">
        <v>0</v>
      </c>
      <c r="CB86" s="2">
        <v>0</v>
      </c>
      <c r="CC86" s="2">
        <v>0</v>
      </c>
      <c r="CD86" s="2">
        <v>0</v>
      </c>
      <c r="CE86" s="2">
        <v>0</v>
      </c>
      <c r="CF86" s="2">
        <v>0</v>
      </c>
      <c r="CG86" s="2">
        <v>0</v>
      </c>
      <c r="CH86" s="2">
        <v>0</v>
      </c>
      <c r="CI86" s="2">
        <v>0</v>
      </c>
      <c r="CJ86" s="2">
        <v>0</v>
      </c>
      <c r="CK86" s="2">
        <v>0</v>
      </c>
      <c r="CL86" s="2">
        <v>0</v>
      </c>
      <c r="CM86" s="2">
        <v>0</v>
      </c>
      <c r="CN86" s="2">
        <v>0</v>
      </c>
      <c r="CO86" s="2">
        <v>0</v>
      </c>
      <c r="CP86" s="2">
        <v>0</v>
      </c>
      <c r="CQ86" s="2">
        <v>0</v>
      </c>
      <c r="CR86" s="2">
        <v>0</v>
      </c>
      <c r="CS86" s="2">
        <v>0</v>
      </c>
      <c r="CT86" s="294"/>
    </row>
    <row r="87" spans="1:98" x14ac:dyDescent="0.2">
      <c r="A87" s="294"/>
      <c r="B87" s="204" t="str">
        <f>IF(RIGHT($D87,5)="Total",$B86&amp;" Total",VLOOKUP($D87,TableInputsData[],ReadMe!$M$3,FALSE))</f>
        <v>PRIX MOYEN DE VENTE PAR PRODUIT/SERVICE</v>
      </c>
      <c r="C87" s="294"/>
      <c r="D87" s="204" t="s">
        <v>456</v>
      </c>
      <c r="E87" s="25">
        <f>E15</f>
        <v>2023</v>
      </c>
      <c r="F87" s="2">
        <f>IF(F15=0,0,F24/F15)</f>
        <v>0</v>
      </c>
      <c r="G87" s="2">
        <f t="shared" ref="G87:J87" si="157">IF(G15=0,0,G24/G15)</f>
        <v>0</v>
      </c>
      <c r="H87" s="2">
        <f t="shared" si="157"/>
        <v>0</v>
      </c>
      <c r="I87" s="2">
        <f t="shared" si="157"/>
        <v>0</v>
      </c>
      <c r="J87" s="2">
        <f t="shared" si="157"/>
        <v>0</v>
      </c>
      <c r="K87" s="294"/>
      <c r="L87" s="294"/>
      <c r="M87" s="204" t="s">
        <v>456</v>
      </c>
      <c r="N87" s="25">
        <f>N15</f>
        <v>2023</v>
      </c>
      <c r="O87" s="2">
        <f>IF(O15=0,0,O24/O15)</f>
        <v>0</v>
      </c>
      <c r="P87" s="2">
        <f t="shared" ref="P87:AS87" si="158">IF(P15=0,0,P24/P15)</f>
        <v>0</v>
      </c>
      <c r="Q87" s="2">
        <f t="shared" si="158"/>
        <v>0</v>
      </c>
      <c r="R87" s="2">
        <f t="shared" si="158"/>
        <v>0</v>
      </c>
      <c r="S87" s="2">
        <f t="shared" si="158"/>
        <v>0</v>
      </c>
      <c r="T87" s="2">
        <f t="shared" si="158"/>
        <v>0</v>
      </c>
      <c r="U87" s="2">
        <f t="shared" si="158"/>
        <v>0</v>
      </c>
      <c r="V87" s="2">
        <f t="shared" si="158"/>
        <v>0</v>
      </c>
      <c r="W87" s="2">
        <f t="shared" si="158"/>
        <v>0</v>
      </c>
      <c r="X87" s="2">
        <f t="shared" si="158"/>
        <v>0</v>
      </c>
      <c r="Y87" s="2">
        <f t="shared" si="158"/>
        <v>0</v>
      </c>
      <c r="Z87" s="2">
        <f t="shared" si="158"/>
        <v>0</v>
      </c>
      <c r="AA87" s="2">
        <f t="shared" si="158"/>
        <v>0</v>
      </c>
      <c r="AB87" s="2">
        <f t="shared" si="158"/>
        <v>0</v>
      </c>
      <c r="AC87" s="2">
        <f t="shared" si="158"/>
        <v>0</v>
      </c>
      <c r="AD87" s="2">
        <f t="shared" si="158"/>
        <v>0</v>
      </c>
      <c r="AE87" s="2">
        <f t="shared" si="158"/>
        <v>0</v>
      </c>
      <c r="AF87" s="2">
        <f t="shared" si="158"/>
        <v>0</v>
      </c>
      <c r="AG87" s="2">
        <f t="shared" si="158"/>
        <v>0</v>
      </c>
      <c r="AH87" s="2">
        <f t="shared" si="158"/>
        <v>0</v>
      </c>
      <c r="AI87" s="2">
        <f t="shared" si="158"/>
        <v>0</v>
      </c>
      <c r="AJ87" s="2">
        <f t="shared" si="158"/>
        <v>0</v>
      </c>
      <c r="AK87" s="2">
        <f t="shared" si="158"/>
        <v>0</v>
      </c>
      <c r="AL87" s="2">
        <f t="shared" si="158"/>
        <v>0</v>
      </c>
      <c r="AM87" s="2">
        <f t="shared" si="158"/>
        <v>0</v>
      </c>
      <c r="AN87" s="2">
        <f t="shared" si="158"/>
        <v>0</v>
      </c>
      <c r="AO87" s="2">
        <f t="shared" si="158"/>
        <v>0</v>
      </c>
      <c r="AP87" s="2">
        <f t="shared" si="158"/>
        <v>0</v>
      </c>
      <c r="AQ87" s="2">
        <f t="shared" si="158"/>
        <v>0</v>
      </c>
      <c r="AR87" s="2">
        <f t="shared" si="158"/>
        <v>0</v>
      </c>
      <c r="AS87" s="2">
        <f t="shared" si="158"/>
        <v>0</v>
      </c>
      <c r="AT87" s="294"/>
      <c r="AU87" s="294"/>
      <c r="AV87" s="204" t="s">
        <v>456</v>
      </c>
      <c r="AW87" s="25">
        <f>AW15</f>
        <v>2023</v>
      </c>
      <c r="AX87" s="2">
        <f>IF(AX15=0,0,AX24/AX15)</f>
        <v>0</v>
      </c>
      <c r="AY87" s="2">
        <f t="shared" ref="AY87:BA87" si="159">IF(AY15=0,0,AY24/AY15)</f>
        <v>0</v>
      </c>
      <c r="AZ87" s="2">
        <f t="shared" si="159"/>
        <v>0</v>
      </c>
      <c r="BA87" s="2">
        <f t="shared" si="159"/>
        <v>0</v>
      </c>
      <c r="BB87" s="294"/>
      <c r="BC87" s="294"/>
      <c r="BD87" s="204" t="s">
        <v>456</v>
      </c>
      <c r="BE87" s="25">
        <f>BE15</f>
        <v>2023</v>
      </c>
      <c r="BF87" s="2">
        <f>IF(BF15=0,0,BF24/BF15)</f>
        <v>0</v>
      </c>
      <c r="BG87" s="2">
        <f t="shared" ref="BG87:BH87" si="160">IF(BG15=0,0,BG24/BG15)</f>
        <v>0</v>
      </c>
      <c r="BH87" s="2">
        <f t="shared" si="160"/>
        <v>0</v>
      </c>
      <c r="BI87" s="294"/>
      <c r="BJ87" s="294"/>
      <c r="BK87" s="204" t="s">
        <v>456</v>
      </c>
      <c r="BL87" s="25">
        <f>BL15</f>
        <v>2023</v>
      </c>
      <c r="BM87" s="2">
        <f>IF(BM15=0,0,BM24/BM15)</f>
        <v>0</v>
      </c>
      <c r="BN87" s="2">
        <f t="shared" ref="BN87:BO87" si="161">IF(BN15=0,0,BN24/BN15)</f>
        <v>0</v>
      </c>
      <c r="BO87" s="2">
        <f t="shared" si="161"/>
        <v>0</v>
      </c>
      <c r="BP87" s="294"/>
      <c r="BQ87" s="294"/>
      <c r="BR87" s="362" t="str">
        <f>VLOOKUP(BU87,TableInputsData[],6,FALSE)</f>
        <v>-</v>
      </c>
      <c r="BS87" s="598" t="str">
        <f>VLOOKUP(BU87,InputsData!$C$36:$I$67,5,FALSE)</f>
        <v>PRODUCT 11</v>
      </c>
      <c r="BT87" s="1" t="s">
        <v>531</v>
      </c>
      <c r="BU87" s="1" t="s">
        <v>1710</v>
      </c>
      <c r="BV87" s="2">
        <v>0</v>
      </c>
      <c r="BW87" s="2">
        <v>0</v>
      </c>
      <c r="BX87" s="2">
        <v>0</v>
      </c>
      <c r="BY87" s="2">
        <v>0</v>
      </c>
      <c r="BZ87" s="2">
        <v>0</v>
      </c>
      <c r="CA87" s="2">
        <v>0</v>
      </c>
      <c r="CB87" s="2">
        <v>0</v>
      </c>
      <c r="CC87" s="2">
        <v>0</v>
      </c>
      <c r="CD87" s="2">
        <v>0</v>
      </c>
      <c r="CE87" s="2">
        <v>0</v>
      </c>
      <c r="CF87" s="2">
        <v>0</v>
      </c>
      <c r="CG87" s="2">
        <v>0</v>
      </c>
      <c r="CH87" s="2">
        <v>0</v>
      </c>
      <c r="CI87" s="2">
        <v>0</v>
      </c>
      <c r="CJ87" s="2">
        <v>0</v>
      </c>
      <c r="CK87" s="2">
        <v>0</v>
      </c>
      <c r="CL87" s="2">
        <v>0</v>
      </c>
      <c r="CM87" s="2">
        <v>0</v>
      </c>
      <c r="CN87" s="2">
        <v>0</v>
      </c>
      <c r="CO87" s="2">
        <v>0</v>
      </c>
      <c r="CP87" s="2">
        <v>0</v>
      </c>
      <c r="CQ87" s="2">
        <v>0</v>
      </c>
      <c r="CR87" s="2">
        <v>0</v>
      </c>
      <c r="CS87" s="2">
        <v>0</v>
      </c>
      <c r="CT87" s="294"/>
    </row>
    <row r="88" spans="1:98" x14ac:dyDescent="0.2">
      <c r="A88" s="294"/>
      <c r="B88" s="204" t="str">
        <f>IF(RIGHT($D88,5)="Total",$B87&amp;" Total",VLOOKUP($D88,TableInputsData[],ReadMe!$M$3,FALSE))</f>
        <v>PRIX MOYEN DE VENTE PAR PRODUIT/SERVICE</v>
      </c>
      <c r="C88" s="294"/>
      <c r="D88" s="204" t="str">
        <f>D87</f>
        <v>AVERAGE SELLING PRICE PER UNIT</v>
      </c>
      <c r="E88" s="25">
        <f t="shared" ref="E88:E94" si="162">E16</f>
        <v>2024</v>
      </c>
      <c r="F88" s="2">
        <f t="shared" ref="F88:J95" si="163">IF(F16=0,0,F25/F16)</f>
        <v>0</v>
      </c>
      <c r="G88" s="2">
        <f t="shared" si="163"/>
        <v>0</v>
      </c>
      <c r="H88" s="2">
        <f t="shared" si="163"/>
        <v>0</v>
      </c>
      <c r="I88" s="2">
        <f t="shared" si="163"/>
        <v>0</v>
      </c>
      <c r="J88" s="2">
        <f t="shared" si="163"/>
        <v>0</v>
      </c>
      <c r="K88" s="294"/>
      <c r="L88" s="294"/>
      <c r="M88" s="204" t="str">
        <f>M87</f>
        <v>AVERAGE SELLING PRICE PER UNIT</v>
      </c>
      <c r="N88" s="25">
        <f t="shared" ref="N88:N94" si="164">N16</f>
        <v>2024</v>
      </c>
      <c r="O88" s="2">
        <f t="shared" ref="O88:AS88" si="165">IF(O16=0,0,O25/O16)</f>
        <v>0</v>
      </c>
      <c r="P88" s="2">
        <f t="shared" si="165"/>
        <v>0</v>
      </c>
      <c r="Q88" s="2">
        <f t="shared" si="165"/>
        <v>0</v>
      </c>
      <c r="R88" s="2">
        <f t="shared" si="165"/>
        <v>0</v>
      </c>
      <c r="S88" s="2">
        <f t="shared" si="165"/>
        <v>0</v>
      </c>
      <c r="T88" s="2">
        <f t="shared" si="165"/>
        <v>0</v>
      </c>
      <c r="U88" s="2">
        <f t="shared" si="165"/>
        <v>0</v>
      </c>
      <c r="V88" s="2">
        <f t="shared" si="165"/>
        <v>0</v>
      </c>
      <c r="W88" s="2">
        <f t="shared" si="165"/>
        <v>0</v>
      </c>
      <c r="X88" s="2">
        <f t="shared" si="165"/>
        <v>0</v>
      </c>
      <c r="Y88" s="2">
        <f t="shared" si="165"/>
        <v>0</v>
      </c>
      <c r="Z88" s="2">
        <f t="shared" si="165"/>
        <v>0</v>
      </c>
      <c r="AA88" s="2">
        <f t="shared" si="165"/>
        <v>0</v>
      </c>
      <c r="AB88" s="2">
        <f t="shared" si="165"/>
        <v>0</v>
      </c>
      <c r="AC88" s="2">
        <f t="shared" si="165"/>
        <v>0</v>
      </c>
      <c r="AD88" s="2">
        <f t="shared" si="165"/>
        <v>0</v>
      </c>
      <c r="AE88" s="2">
        <f t="shared" si="165"/>
        <v>0</v>
      </c>
      <c r="AF88" s="2">
        <f t="shared" si="165"/>
        <v>0</v>
      </c>
      <c r="AG88" s="2">
        <f t="shared" si="165"/>
        <v>0</v>
      </c>
      <c r="AH88" s="2">
        <f t="shared" si="165"/>
        <v>0</v>
      </c>
      <c r="AI88" s="2">
        <f t="shared" si="165"/>
        <v>0</v>
      </c>
      <c r="AJ88" s="2">
        <f t="shared" si="165"/>
        <v>0</v>
      </c>
      <c r="AK88" s="2">
        <f t="shared" si="165"/>
        <v>0</v>
      </c>
      <c r="AL88" s="2">
        <f t="shared" si="165"/>
        <v>0</v>
      </c>
      <c r="AM88" s="2">
        <f t="shared" si="165"/>
        <v>0</v>
      </c>
      <c r="AN88" s="2">
        <f t="shared" si="165"/>
        <v>0</v>
      </c>
      <c r="AO88" s="2">
        <f t="shared" si="165"/>
        <v>0</v>
      </c>
      <c r="AP88" s="2">
        <f t="shared" si="165"/>
        <v>0</v>
      </c>
      <c r="AQ88" s="2">
        <f t="shared" si="165"/>
        <v>0</v>
      </c>
      <c r="AR88" s="2">
        <f t="shared" si="165"/>
        <v>0</v>
      </c>
      <c r="AS88" s="2">
        <f t="shared" si="165"/>
        <v>0</v>
      </c>
      <c r="AT88" s="294"/>
      <c r="AU88" s="294"/>
      <c r="AV88" s="204" t="str">
        <f>AV87</f>
        <v>AVERAGE SELLING PRICE PER UNIT</v>
      </c>
      <c r="AW88" s="25">
        <f t="shared" ref="AW88:AW94" si="166">AW16</f>
        <v>2024</v>
      </c>
      <c r="AX88" s="2">
        <f t="shared" ref="AX88:BA88" si="167">IF(AX16=0,0,AX25/AX16)</f>
        <v>0</v>
      </c>
      <c r="AY88" s="2">
        <f t="shared" si="167"/>
        <v>0</v>
      </c>
      <c r="AZ88" s="2">
        <f t="shared" si="167"/>
        <v>0</v>
      </c>
      <c r="BA88" s="2">
        <f t="shared" si="167"/>
        <v>0</v>
      </c>
      <c r="BB88" s="294"/>
      <c r="BC88" s="294"/>
      <c r="BD88" s="204" t="str">
        <f>BD87</f>
        <v>AVERAGE SELLING PRICE PER UNIT</v>
      </c>
      <c r="BE88" s="25">
        <f t="shared" ref="BE88:BE94" si="168">BE16</f>
        <v>2024</v>
      </c>
      <c r="BF88" s="2">
        <f t="shared" ref="BF88:BH88" si="169">IF(BF16=0,0,BF25/BF16)</f>
        <v>0</v>
      </c>
      <c r="BG88" s="2">
        <f t="shared" si="169"/>
        <v>0</v>
      </c>
      <c r="BH88" s="2">
        <f t="shared" si="169"/>
        <v>0</v>
      </c>
      <c r="BI88" s="294"/>
      <c r="BJ88" s="294"/>
      <c r="BK88" s="204" t="str">
        <f>BK87</f>
        <v>AVERAGE SELLING PRICE PER UNIT</v>
      </c>
      <c r="BL88" s="25">
        <f t="shared" ref="BL88:BL94" si="170">BL16</f>
        <v>2024</v>
      </c>
      <c r="BM88" s="2">
        <f t="shared" ref="BM88:BO88" si="171">IF(BM16=0,0,BM25/BM16)</f>
        <v>0</v>
      </c>
      <c r="BN88" s="2">
        <f t="shared" si="171"/>
        <v>0</v>
      </c>
      <c r="BO88" s="2">
        <f t="shared" si="171"/>
        <v>0</v>
      </c>
      <c r="BP88" s="294"/>
      <c r="BQ88" s="294"/>
      <c r="BR88" s="362" t="str">
        <f>VLOOKUP(BU88,TableInputsData[],6,FALSE)</f>
        <v>-</v>
      </c>
      <c r="BS88" s="598" t="str">
        <f>VLOOKUP(BU88,InputsData!$C$36:$I$67,5,FALSE)</f>
        <v>PRODUCT 12</v>
      </c>
      <c r="BT88" s="1" t="s">
        <v>531</v>
      </c>
      <c r="BU88" s="1" t="s">
        <v>1712</v>
      </c>
      <c r="BV88" s="2">
        <v>0</v>
      </c>
      <c r="BW88" s="2">
        <v>0</v>
      </c>
      <c r="BX88" s="2">
        <v>0</v>
      </c>
      <c r="BY88" s="2">
        <v>0</v>
      </c>
      <c r="BZ88" s="2">
        <v>0</v>
      </c>
      <c r="CA88" s="2">
        <v>0</v>
      </c>
      <c r="CB88" s="2">
        <v>0</v>
      </c>
      <c r="CC88" s="2">
        <v>0</v>
      </c>
      <c r="CD88" s="2">
        <v>0</v>
      </c>
      <c r="CE88" s="2">
        <v>0</v>
      </c>
      <c r="CF88" s="2">
        <v>0</v>
      </c>
      <c r="CG88" s="2">
        <v>0</v>
      </c>
      <c r="CH88" s="2">
        <v>0</v>
      </c>
      <c r="CI88" s="2">
        <v>0</v>
      </c>
      <c r="CJ88" s="2">
        <v>0</v>
      </c>
      <c r="CK88" s="2">
        <v>0</v>
      </c>
      <c r="CL88" s="2">
        <v>0</v>
      </c>
      <c r="CM88" s="2">
        <v>0</v>
      </c>
      <c r="CN88" s="2">
        <v>0</v>
      </c>
      <c r="CO88" s="2">
        <v>0</v>
      </c>
      <c r="CP88" s="2">
        <v>0</v>
      </c>
      <c r="CQ88" s="2">
        <v>0</v>
      </c>
      <c r="CR88" s="2">
        <v>0</v>
      </c>
      <c r="CS88" s="2">
        <v>0</v>
      </c>
      <c r="CT88" s="294"/>
    </row>
    <row r="89" spans="1:98" x14ac:dyDescent="0.2">
      <c r="A89" s="294"/>
      <c r="B89" s="204" t="str">
        <f>IF(RIGHT($D89,5)="Total",$B88&amp;" Total",VLOOKUP($D89,TableInputsData[],ReadMe!$M$3,FALSE))</f>
        <v>PRIX MOYEN DE VENTE PAR PRODUIT/SERVICE</v>
      </c>
      <c r="C89" s="294"/>
      <c r="D89" s="204" t="str">
        <f t="shared" ref="D89:D94" si="172">D88</f>
        <v>AVERAGE SELLING PRICE PER UNIT</v>
      </c>
      <c r="E89" s="25">
        <f t="shared" si="162"/>
        <v>2025</v>
      </c>
      <c r="F89" s="2">
        <f t="shared" si="163"/>
        <v>0</v>
      </c>
      <c r="G89" s="2">
        <f t="shared" si="163"/>
        <v>0</v>
      </c>
      <c r="H89" s="2">
        <f t="shared" si="163"/>
        <v>0</v>
      </c>
      <c r="I89" s="2">
        <f t="shared" si="163"/>
        <v>0</v>
      </c>
      <c r="J89" s="2">
        <f t="shared" si="163"/>
        <v>0</v>
      </c>
      <c r="K89" s="294"/>
      <c r="L89" s="294"/>
      <c r="M89" s="204" t="str">
        <f t="shared" ref="M89:M94" si="173">M88</f>
        <v>AVERAGE SELLING PRICE PER UNIT</v>
      </c>
      <c r="N89" s="25">
        <f t="shared" si="164"/>
        <v>2025</v>
      </c>
      <c r="O89" s="2">
        <f t="shared" ref="O89:AS89" si="174">IF(O17=0,0,O26/O17)</f>
        <v>0</v>
      </c>
      <c r="P89" s="2">
        <f t="shared" si="174"/>
        <v>0</v>
      </c>
      <c r="Q89" s="2">
        <f t="shared" si="174"/>
        <v>0</v>
      </c>
      <c r="R89" s="2">
        <f t="shared" si="174"/>
        <v>0</v>
      </c>
      <c r="S89" s="2">
        <f t="shared" si="174"/>
        <v>0</v>
      </c>
      <c r="T89" s="2">
        <f t="shared" si="174"/>
        <v>0</v>
      </c>
      <c r="U89" s="2">
        <f t="shared" si="174"/>
        <v>0</v>
      </c>
      <c r="V89" s="2">
        <f t="shared" si="174"/>
        <v>0</v>
      </c>
      <c r="W89" s="2">
        <f t="shared" si="174"/>
        <v>0</v>
      </c>
      <c r="X89" s="2">
        <f t="shared" si="174"/>
        <v>0</v>
      </c>
      <c r="Y89" s="2">
        <f t="shared" si="174"/>
        <v>0</v>
      </c>
      <c r="Z89" s="2">
        <f t="shared" si="174"/>
        <v>0</v>
      </c>
      <c r="AA89" s="2">
        <f t="shared" si="174"/>
        <v>0</v>
      </c>
      <c r="AB89" s="2">
        <f t="shared" si="174"/>
        <v>0</v>
      </c>
      <c r="AC89" s="2">
        <f t="shared" si="174"/>
        <v>0</v>
      </c>
      <c r="AD89" s="2">
        <f t="shared" si="174"/>
        <v>0</v>
      </c>
      <c r="AE89" s="2">
        <f t="shared" si="174"/>
        <v>0</v>
      </c>
      <c r="AF89" s="2">
        <f t="shared" si="174"/>
        <v>0</v>
      </c>
      <c r="AG89" s="2">
        <f t="shared" si="174"/>
        <v>0</v>
      </c>
      <c r="AH89" s="2">
        <f t="shared" si="174"/>
        <v>0</v>
      </c>
      <c r="AI89" s="2">
        <f t="shared" si="174"/>
        <v>0</v>
      </c>
      <c r="AJ89" s="2">
        <f t="shared" si="174"/>
        <v>0</v>
      </c>
      <c r="AK89" s="2">
        <f t="shared" si="174"/>
        <v>0</v>
      </c>
      <c r="AL89" s="2">
        <f t="shared" si="174"/>
        <v>0</v>
      </c>
      <c r="AM89" s="2">
        <f t="shared" si="174"/>
        <v>0</v>
      </c>
      <c r="AN89" s="2">
        <f t="shared" si="174"/>
        <v>0</v>
      </c>
      <c r="AO89" s="2">
        <f t="shared" si="174"/>
        <v>0</v>
      </c>
      <c r="AP89" s="2">
        <f t="shared" si="174"/>
        <v>0</v>
      </c>
      <c r="AQ89" s="2">
        <f t="shared" si="174"/>
        <v>0</v>
      </c>
      <c r="AR89" s="2">
        <f t="shared" si="174"/>
        <v>0</v>
      </c>
      <c r="AS89" s="2">
        <f t="shared" si="174"/>
        <v>0</v>
      </c>
      <c r="AT89" s="294"/>
      <c r="AU89" s="294"/>
      <c r="AV89" s="204" t="str">
        <f t="shared" ref="AV89:AV94" si="175">AV88</f>
        <v>AVERAGE SELLING PRICE PER UNIT</v>
      </c>
      <c r="AW89" s="25">
        <f t="shared" si="166"/>
        <v>2025</v>
      </c>
      <c r="AX89" s="2">
        <f t="shared" ref="AX89:BA89" si="176">IF(AX17=0,0,AX26/AX17)</f>
        <v>0</v>
      </c>
      <c r="AY89" s="2">
        <f t="shared" si="176"/>
        <v>0</v>
      </c>
      <c r="AZ89" s="2">
        <f t="shared" si="176"/>
        <v>0</v>
      </c>
      <c r="BA89" s="2">
        <f t="shared" si="176"/>
        <v>0</v>
      </c>
      <c r="BB89" s="294"/>
      <c r="BC89" s="294"/>
      <c r="BD89" s="204" t="str">
        <f t="shared" ref="BD89:BD94" si="177">BD88</f>
        <v>AVERAGE SELLING PRICE PER UNIT</v>
      </c>
      <c r="BE89" s="25">
        <f t="shared" si="168"/>
        <v>2025</v>
      </c>
      <c r="BF89" s="2">
        <f t="shared" ref="BF89:BH89" si="178">IF(BF17=0,0,BF26/BF17)</f>
        <v>0</v>
      </c>
      <c r="BG89" s="2">
        <f t="shared" si="178"/>
        <v>0</v>
      </c>
      <c r="BH89" s="2">
        <f t="shared" si="178"/>
        <v>0</v>
      </c>
      <c r="BI89" s="294"/>
      <c r="BJ89" s="294"/>
      <c r="BK89" s="204" t="str">
        <f t="shared" ref="BK89:BK94" si="179">BK88</f>
        <v>AVERAGE SELLING PRICE PER UNIT</v>
      </c>
      <c r="BL89" s="25">
        <f t="shared" si="170"/>
        <v>2025</v>
      </c>
      <c r="BM89" s="2">
        <f t="shared" ref="BM89:BO89" si="180">IF(BM17=0,0,BM26/BM17)</f>
        <v>0</v>
      </c>
      <c r="BN89" s="2">
        <f t="shared" si="180"/>
        <v>0</v>
      </c>
      <c r="BO89" s="2">
        <f t="shared" si="180"/>
        <v>0</v>
      </c>
      <c r="BP89" s="294"/>
      <c r="BQ89" s="294"/>
      <c r="BR89" s="362" t="str">
        <f>VLOOKUP(BU89,TableInputsData[],6,FALSE)</f>
        <v>-</v>
      </c>
      <c r="BS89" s="598" t="str">
        <f>VLOOKUP(BU89,InputsData!$C$36:$I$67,5,FALSE)</f>
        <v>PRODUCT 13</v>
      </c>
      <c r="BT89" s="1" t="s">
        <v>531</v>
      </c>
      <c r="BU89" s="1" t="s">
        <v>1714</v>
      </c>
      <c r="BV89" s="2">
        <v>0</v>
      </c>
      <c r="BW89" s="2">
        <v>0</v>
      </c>
      <c r="BX89" s="2">
        <v>0</v>
      </c>
      <c r="BY89" s="2">
        <v>0</v>
      </c>
      <c r="BZ89" s="2">
        <v>0</v>
      </c>
      <c r="CA89" s="2">
        <v>0</v>
      </c>
      <c r="CB89" s="2">
        <v>0</v>
      </c>
      <c r="CC89" s="2">
        <v>0</v>
      </c>
      <c r="CD89" s="2">
        <v>0</v>
      </c>
      <c r="CE89" s="2">
        <v>0</v>
      </c>
      <c r="CF89" s="2">
        <v>0</v>
      </c>
      <c r="CG89" s="2">
        <v>0</v>
      </c>
      <c r="CH89" s="2">
        <v>0</v>
      </c>
      <c r="CI89" s="2">
        <v>0</v>
      </c>
      <c r="CJ89" s="2">
        <v>0</v>
      </c>
      <c r="CK89" s="2">
        <v>0</v>
      </c>
      <c r="CL89" s="2">
        <v>0</v>
      </c>
      <c r="CM89" s="2">
        <v>0</v>
      </c>
      <c r="CN89" s="2">
        <v>0</v>
      </c>
      <c r="CO89" s="2">
        <v>0</v>
      </c>
      <c r="CP89" s="2">
        <v>0</v>
      </c>
      <c r="CQ89" s="2">
        <v>0</v>
      </c>
      <c r="CR89" s="2">
        <v>0</v>
      </c>
      <c r="CS89" s="2">
        <v>0</v>
      </c>
      <c r="CT89" s="294"/>
    </row>
    <row r="90" spans="1:98" x14ac:dyDescent="0.2">
      <c r="A90" s="294"/>
      <c r="B90" s="204" t="str">
        <f>IF(RIGHT($D90,5)="Total",$B89&amp;" Total",VLOOKUP($D90,TableInputsData[],ReadMe!$M$3,FALSE))</f>
        <v>PRIX MOYEN DE VENTE PAR PRODUIT/SERVICE</v>
      </c>
      <c r="C90" s="294"/>
      <c r="D90" s="204" t="str">
        <f t="shared" si="172"/>
        <v>AVERAGE SELLING PRICE PER UNIT</v>
      </c>
      <c r="E90" s="25">
        <f t="shared" si="162"/>
        <v>2026</v>
      </c>
      <c r="F90" s="2">
        <f t="shared" si="163"/>
        <v>0</v>
      </c>
      <c r="G90" s="2">
        <f t="shared" si="163"/>
        <v>0</v>
      </c>
      <c r="H90" s="2">
        <f t="shared" si="163"/>
        <v>0</v>
      </c>
      <c r="I90" s="2">
        <f t="shared" si="163"/>
        <v>0</v>
      </c>
      <c r="J90" s="2">
        <f t="shared" si="163"/>
        <v>0</v>
      </c>
      <c r="K90" s="294"/>
      <c r="L90" s="294"/>
      <c r="M90" s="204" t="str">
        <f t="shared" si="173"/>
        <v>AVERAGE SELLING PRICE PER UNIT</v>
      </c>
      <c r="N90" s="25">
        <f t="shared" si="164"/>
        <v>2026</v>
      </c>
      <c r="O90" s="2">
        <f t="shared" ref="O90:AS90" si="181">IF(O18=0,0,O27/O18)</f>
        <v>0</v>
      </c>
      <c r="P90" s="2">
        <f t="shared" si="181"/>
        <v>0</v>
      </c>
      <c r="Q90" s="2">
        <f t="shared" si="181"/>
        <v>0</v>
      </c>
      <c r="R90" s="2">
        <f t="shared" si="181"/>
        <v>0</v>
      </c>
      <c r="S90" s="2">
        <f t="shared" si="181"/>
        <v>0</v>
      </c>
      <c r="T90" s="2">
        <f t="shared" si="181"/>
        <v>0</v>
      </c>
      <c r="U90" s="2">
        <f t="shared" si="181"/>
        <v>0</v>
      </c>
      <c r="V90" s="2">
        <f t="shared" si="181"/>
        <v>0</v>
      </c>
      <c r="W90" s="2">
        <f t="shared" si="181"/>
        <v>0</v>
      </c>
      <c r="X90" s="2">
        <f t="shared" si="181"/>
        <v>0</v>
      </c>
      <c r="Y90" s="2">
        <f t="shared" si="181"/>
        <v>0</v>
      </c>
      <c r="Z90" s="2">
        <f t="shared" si="181"/>
        <v>0</v>
      </c>
      <c r="AA90" s="2">
        <f t="shared" si="181"/>
        <v>0</v>
      </c>
      <c r="AB90" s="2">
        <f t="shared" si="181"/>
        <v>0</v>
      </c>
      <c r="AC90" s="2">
        <f t="shared" si="181"/>
        <v>0</v>
      </c>
      <c r="AD90" s="2">
        <f t="shared" si="181"/>
        <v>0</v>
      </c>
      <c r="AE90" s="2">
        <f t="shared" si="181"/>
        <v>0</v>
      </c>
      <c r="AF90" s="2">
        <f t="shared" si="181"/>
        <v>0</v>
      </c>
      <c r="AG90" s="2">
        <f t="shared" si="181"/>
        <v>0</v>
      </c>
      <c r="AH90" s="2">
        <f t="shared" si="181"/>
        <v>0</v>
      </c>
      <c r="AI90" s="2">
        <f t="shared" si="181"/>
        <v>0</v>
      </c>
      <c r="AJ90" s="2">
        <f t="shared" si="181"/>
        <v>0</v>
      </c>
      <c r="AK90" s="2">
        <f t="shared" si="181"/>
        <v>0</v>
      </c>
      <c r="AL90" s="2">
        <f t="shared" si="181"/>
        <v>0</v>
      </c>
      <c r="AM90" s="2">
        <f t="shared" si="181"/>
        <v>0</v>
      </c>
      <c r="AN90" s="2">
        <f t="shared" si="181"/>
        <v>0</v>
      </c>
      <c r="AO90" s="2">
        <f t="shared" si="181"/>
        <v>0</v>
      </c>
      <c r="AP90" s="2">
        <f t="shared" si="181"/>
        <v>0</v>
      </c>
      <c r="AQ90" s="2">
        <f t="shared" si="181"/>
        <v>0</v>
      </c>
      <c r="AR90" s="2">
        <f t="shared" si="181"/>
        <v>0</v>
      </c>
      <c r="AS90" s="2">
        <f t="shared" si="181"/>
        <v>0</v>
      </c>
      <c r="AT90" s="294"/>
      <c r="AU90" s="294"/>
      <c r="AV90" s="204" t="str">
        <f t="shared" si="175"/>
        <v>AVERAGE SELLING PRICE PER UNIT</v>
      </c>
      <c r="AW90" s="25">
        <f t="shared" si="166"/>
        <v>2026</v>
      </c>
      <c r="AX90" s="2">
        <f t="shared" ref="AX90:BA90" si="182">IF(AX18=0,0,AX27/AX18)</f>
        <v>0</v>
      </c>
      <c r="AY90" s="2">
        <f t="shared" si="182"/>
        <v>0</v>
      </c>
      <c r="AZ90" s="2">
        <f t="shared" si="182"/>
        <v>0</v>
      </c>
      <c r="BA90" s="2">
        <f t="shared" si="182"/>
        <v>0</v>
      </c>
      <c r="BB90" s="294"/>
      <c r="BC90" s="294"/>
      <c r="BD90" s="204" t="str">
        <f t="shared" si="177"/>
        <v>AVERAGE SELLING PRICE PER UNIT</v>
      </c>
      <c r="BE90" s="25">
        <f t="shared" si="168"/>
        <v>2026</v>
      </c>
      <c r="BF90" s="2">
        <f t="shared" ref="BF90:BH90" si="183">IF(BF18=0,0,BF27/BF18)</f>
        <v>0</v>
      </c>
      <c r="BG90" s="2">
        <f t="shared" si="183"/>
        <v>0</v>
      </c>
      <c r="BH90" s="2">
        <f t="shared" si="183"/>
        <v>0</v>
      </c>
      <c r="BI90" s="294"/>
      <c r="BJ90" s="294"/>
      <c r="BK90" s="204" t="str">
        <f t="shared" si="179"/>
        <v>AVERAGE SELLING PRICE PER UNIT</v>
      </c>
      <c r="BL90" s="25">
        <f t="shared" si="170"/>
        <v>2026</v>
      </c>
      <c r="BM90" s="2">
        <f t="shared" ref="BM90:BO90" si="184">IF(BM18=0,0,BM27/BM18)</f>
        <v>0</v>
      </c>
      <c r="BN90" s="2">
        <f t="shared" si="184"/>
        <v>0</v>
      </c>
      <c r="BO90" s="2">
        <f t="shared" si="184"/>
        <v>0</v>
      </c>
      <c r="BP90" s="294"/>
      <c r="BQ90" s="294"/>
      <c r="BR90" s="362" t="str">
        <f>VLOOKUP(BU90,TableInputsData[],6,FALSE)</f>
        <v>-</v>
      </c>
      <c r="BS90" s="598" t="str">
        <f>VLOOKUP(BU90,InputsData!$C$36:$I$67,5,FALSE)</f>
        <v>PRODUCT 14</v>
      </c>
      <c r="BT90" s="1" t="s">
        <v>531</v>
      </c>
      <c r="BU90" s="1" t="s">
        <v>1716</v>
      </c>
      <c r="BV90" s="2">
        <v>0</v>
      </c>
      <c r="BW90" s="2">
        <v>0</v>
      </c>
      <c r="BX90" s="2">
        <v>0</v>
      </c>
      <c r="BY90" s="2">
        <v>0</v>
      </c>
      <c r="BZ90" s="2">
        <v>0</v>
      </c>
      <c r="CA90" s="2">
        <v>0</v>
      </c>
      <c r="CB90" s="2">
        <v>0</v>
      </c>
      <c r="CC90" s="2">
        <v>0</v>
      </c>
      <c r="CD90" s="2">
        <v>0</v>
      </c>
      <c r="CE90" s="2">
        <v>0</v>
      </c>
      <c r="CF90" s="2">
        <v>0</v>
      </c>
      <c r="CG90" s="2">
        <v>0</v>
      </c>
      <c r="CH90" s="2">
        <v>0</v>
      </c>
      <c r="CI90" s="2">
        <v>0</v>
      </c>
      <c r="CJ90" s="2">
        <v>0</v>
      </c>
      <c r="CK90" s="2">
        <v>0</v>
      </c>
      <c r="CL90" s="2">
        <v>0</v>
      </c>
      <c r="CM90" s="2">
        <v>0</v>
      </c>
      <c r="CN90" s="2">
        <v>0</v>
      </c>
      <c r="CO90" s="2">
        <v>0</v>
      </c>
      <c r="CP90" s="2">
        <v>0</v>
      </c>
      <c r="CQ90" s="2">
        <v>0</v>
      </c>
      <c r="CR90" s="2">
        <v>0</v>
      </c>
      <c r="CS90" s="2">
        <v>0</v>
      </c>
      <c r="CT90" s="294"/>
    </row>
    <row r="91" spans="1:98" x14ac:dyDescent="0.2">
      <c r="A91" s="294"/>
      <c r="B91" s="204" t="str">
        <f>IF(RIGHT($D91,5)="Total",$B90&amp;" Total",VLOOKUP($D91,TableInputsData[],ReadMe!$M$3,FALSE))</f>
        <v>PRIX MOYEN DE VENTE PAR PRODUIT/SERVICE</v>
      </c>
      <c r="C91" s="294"/>
      <c r="D91" s="204" t="str">
        <f t="shared" si="172"/>
        <v>AVERAGE SELLING PRICE PER UNIT</v>
      </c>
      <c r="E91" s="25">
        <f t="shared" si="162"/>
        <v>2027</v>
      </c>
      <c r="F91" s="2">
        <f t="shared" si="163"/>
        <v>0</v>
      </c>
      <c r="G91" s="2">
        <f t="shared" si="163"/>
        <v>0</v>
      </c>
      <c r="H91" s="2">
        <f t="shared" si="163"/>
        <v>0</v>
      </c>
      <c r="I91" s="2">
        <f t="shared" si="163"/>
        <v>0</v>
      </c>
      <c r="J91" s="2">
        <f t="shared" si="163"/>
        <v>0</v>
      </c>
      <c r="K91" s="294"/>
      <c r="L91" s="294"/>
      <c r="M91" s="204" t="str">
        <f t="shared" si="173"/>
        <v>AVERAGE SELLING PRICE PER UNIT</v>
      </c>
      <c r="N91" s="25">
        <f t="shared" si="164"/>
        <v>2027</v>
      </c>
      <c r="O91" s="2">
        <f t="shared" ref="O91:AS91" si="185">IF(O19=0,0,O28/O19)</f>
        <v>0</v>
      </c>
      <c r="P91" s="2">
        <f t="shared" si="185"/>
        <v>0</v>
      </c>
      <c r="Q91" s="2">
        <f t="shared" si="185"/>
        <v>0</v>
      </c>
      <c r="R91" s="2">
        <f t="shared" si="185"/>
        <v>0</v>
      </c>
      <c r="S91" s="2">
        <f t="shared" si="185"/>
        <v>0</v>
      </c>
      <c r="T91" s="2">
        <f t="shared" si="185"/>
        <v>0</v>
      </c>
      <c r="U91" s="2">
        <f t="shared" si="185"/>
        <v>0</v>
      </c>
      <c r="V91" s="2">
        <f t="shared" si="185"/>
        <v>0</v>
      </c>
      <c r="W91" s="2">
        <f t="shared" si="185"/>
        <v>0</v>
      </c>
      <c r="X91" s="2">
        <f t="shared" si="185"/>
        <v>0</v>
      </c>
      <c r="Y91" s="2">
        <f t="shared" si="185"/>
        <v>0</v>
      </c>
      <c r="Z91" s="2">
        <f t="shared" si="185"/>
        <v>0</v>
      </c>
      <c r="AA91" s="2">
        <f t="shared" si="185"/>
        <v>0</v>
      </c>
      <c r="AB91" s="2">
        <f t="shared" si="185"/>
        <v>0</v>
      </c>
      <c r="AC91" s="2">
        <f t="shared" si="185"/>
        <v>0</v>
      </c>
      <c r="AD91" s="2">
        <f t="shared" si="185"/>
        <v>0</v>
      </c>
      <c r="AE91" s="2">
        <f t="shared" si="185"/>
        <v>0</v>
      </c>
      <c r="AF91" s="2">
        <f t="shared" si="185"/>
        <v>0</v>
      </c>
      <c r="AG91" s="2">
        <f t="shared" si="185"/>
        <v>0</v>
      </c>
      <c r="AH91" s="2">
        <f t="shared" si="185"/>
        <v>0</v>
      </c>
      <c r="AI91" s="2">
        <f t="shared" si="185"/>
        <v>0</v>
      </c>
      <c r="AJ91" s="2">
        <f t="shared" si="185"/>
        <v>0</v>
      </c>
      <c r="AK91" s="2">
        <f t="shared" si="185"/>
        <v>0</v>
      </c>
      <c r="AL91" s="2">
        <f t="shared" si="185"/>
        <v>0</v>
      </c>
      <c r="AM91" s="2">
        <f t="shared" si="185"/>
        <v>0</v>
      </c>
      <c r="AN91" s="2">
        <f t="shared" si="185"/>
        <v>0</v>
      </c>
      <c r="AO91" s="2">
        <f t="shared" si="185"/>
        <v>0</v>
      </c>
      <c r="AP91" s="2">
        <f t="shared" si="185"/>
        <v>0</v>
      </c>
      <c r="AQ91" s="2">
        <f t="shared" si="185"/>
        <v>0</v>
      </c>
      <c r="AR91" s="2">
        <f t="shared" si="185"/>
        <v>0</v>
      </c>
      <c r="AS91" s="2">
        <f t="shared" si="185"/>
        <v>0</v>
      </c>
      <c r="AT91" s="294"/>
      <c r="AU91" s="294"/>
      <c r="AV91" s="204" t="str">
        <f t="shared" si="175"/>
        <v>AVERAGE SELLING PRICE PER UNIT</v>
      </c>
      <c r="AW91" s="25">
        <f t="shared" si="166"/>
        <v>2027</v>
      </c>
      <c r="AX91" s="2">
        <f t="shared" ref="AX91:BA91" si="186">IF(AX19=0,0,AX28/AX19)</f>
        <v>0</v>
      </c>
      <c r="AY91" s="2">
        <f t="shared" si="186"/>
        <v>0</v>
      </c>
      <c r="AZ91" s="2">
        <f t="shared" si="186"/>
        <v>0</v>
      </c>
      <c r="BA91" s="2">
        <f t="shared" si="186"/>
        <v>0</v>
      </c>
      <c r="BB91" s="294"/>
      <c r="BC91" s="294"/>
      <c r="BD91" s="204" t="str">
        <f t="shared" si="177"/>
        <v>AVERAGE SELLING PRICE PER UNIT</v>
      </c>
      <c r="BE91" s="25">
        <f t="shared" si="168"/>
        <v>2027</v>
      </c>
      <c r="BF91" s="2">
        <f t="shared" ref="BF91:BH91" si="187">IF(BF19=0,0,BF28/BF19)</f>
        <v>0</v>
      </c>
      <c r="BG91" s="2">
        <f t="shared" si="187"/>
        <v>0</v>
      </c>
      <c r="BH91" s="2">
        <f t="shared" si="187"/>
        <v>0</v>
      </c>
      <c r="BI91" s="294"/>
      <c r="BJ91" s="294"/>
      <c r="BK91" s="204" t="str">
        <f t="shared" si="179"/>
        <v>AVERAGE SELLING PRICE PER UNIT</v>
      </c>
      <c r="BL91" s="25">
        <f t="shared" si="170"/>
        <v>2027</v>
      </c>
      <c r="BM91" s="2">
        <f t="shared" ref="BM91:BO91" si="188">IF(BM19=0,0,BM28/BM19)</f>
        <v>0</v>
      </c>
      <c r="BN91" s="2">
        <f t="shared" si="188"/>
        <v>0</v>
      </c>
      <c r="BO91" s="2">
        <f t="shared" si="188"/>
        <v>0</v>
      </c>
      <c r="BP91" s="294"/>
      <c r="BQ91" s="294"/>
      <c r="BR91" s="362" t="str">
        <f>VLOOKUP(BU91,TableInputsData[],6,FALSE)</f>
        <v>-</v>
      </c>
      <c r="BS91" s="598" t="str">
        <f>VLOOKUP(BU91,InputsData!$C$36:$I$67,5,FALSE)</f>
        <v>PRODUCT 15</v>
      </c>
      <c r="BT91" s="1" t="s">
        <v>531</v>
      </c>
      <c r="BU91" s="1" t="s">
        <v>1718</v>
      </c>
      <c r="BV91" s="2">
        <v>0</v>
      </c>
      <c r="BW91" s="2">
        <v>0</v>
      </c>
      <c r="BX91" s="2">
        <v>0</v>
      </c>
      <c r="BY91" s="2">
        <v>0</v>
      </c>
      <c r="BZ91" s="2">
        <v>0</v>
      </c>
      <c r="CA91" s="2">
        <v>0</v>
      </c>
      <c r="CB91" s="2">
        <v>0</v>
      </c>
      <c r="CC91" s="2">
        <v>0</v>
      </c>
      <c r="CD91" s="2">
        <v>0</v>
      </c>
      <c r="CE91" s="2">
        <v>0</v>
      </c>
      <c r="CF91" s="2">
        <v>0</v>
      </c>
      <c r="CG91" s="2">
        <v>0</v>
      </c>
      <c r="CH91" s="2">
        <v>0</v>
      </c>
      <c r="CI91" s="2">
        <v>0</v>
      </c>
      <c r="CJ91" s="2">
        <v>0</v>
      </c>
      <c r="CK91" s="2">
        <v>0</v>
      </c>
      <c r="CL91" s="2">
        <v>0</v>
      </c>
      <c r="CM91" s="2">
        <v>0</v>
      </c>
      <c r="CN91" s="2">
        <v>0</v>
      </c>
      <c r="CO91" s="2">
        <v>0</v>
      </c>
      <c r="CP91" s="2">
        <v>0</v>
      </c>
      <c r="CQ91" s="2">
        <v>0</v>
      </c>
      <c r="CR91" s="2">
        <v>0</v>
      </c>
      <c r="CS91" s="2">
        <v>0</v>
      </c>
      <c r="CT91" s="294"/>
    </row>
    <row r="92" spans="1:98" x14ac:dyDescent="0.2">
      <c r="A92" s="294"/>
      <c r="B92" s="204" t="str">
        <f>IF(RIGHT($D92,5)="Total",$B91&amp;" Total",VLOOKUP($D92,TableInputsData[],ReadMe!$M$3,FALSE))</f>
        <v>PRIX MOYEN DE VENTE PAR PRODUIT/SERVICE</v>
      </c>
      <c r="C92" s="294"/>
      <c r="D92" s="204" t="str">
        <f t="shared" si="172"/>
        <v>AVERAGE SELLING PRICE PER UNIT</v>
      </c>
      <c r="E92" s="25">
        <f t="shared" si="162"/>
        <v>2028</v>
      </c>
      <c r="F92" s="2">
        <f t="shared" si="163"/>
        <v>0</v>
      </c>
      <c r="G92" s="2">
        <f t="shared" si="163"/>
        <v>0</v>
      </c>
      <c r="H92" s="2">
        <f t="shared" si="163"/>
        <v>0</v>
      </c>
      <c r="I92" s="2">
        <f t="shared" si="163"/>
        <v>0</v>
      </c>
      <c r="J92" s="2">
        <f t="shared" si="163"/>
        <v>0</v>
      </c>
      <c r="K92" s="294"/>
      <c r="L92" s="294"/>
      <c r="M92" s="204" t="str">
        <f t="shared" si="173"/>
        <v>AVERAGE SELLING PRICE PER UNIT</v>
      </c>
      <c r="N92" s="25">
        <f t="shared" si="164"/>
        <v>2028</v>
      </c>
      <c r="O92" s="2">
        <f t="shared" ref="O92:AS92" si="189">IF(O20=0,0,O29/O20)</f>
        <v>0</v>
      </c>
      <c r="P92" s="2">
        <f t="shared" si="189"/>
        <v>0</v>
      </c>
      <c r="Q92" s="2">
        <f t="shared" si="189"/>
        <v>0</v>
      </c>
      <c r="R92" s="2">
        <f t="shared" si="189"/>
        <v>0</v>
      </c>
      <c r="S92" s="2">
        <f t="shared" si="189"/>
        <v>0</v>
      </c>
      <c r="T92" s="2">
        <f t="shared" si="189"/>
        <v>0</v>
      </c>
      <c r="U92" s="2">
        <f t="shared" si="189"/>
        <v>0</v>
      </c>
      <c r="V92" s="2">
        <f t="shared" si="189"/>
        <v>0</v>
      </c>
      <c r="W92" s="2">
        <f t="shared" si="189"/>
        <v>0</v>
      </c>
      <c r="X92" s="2">
        <f t="shared" si="189"/>
        <v>0</v>
      </c>
      <c r="Y92" s="2">
        <f t="shared" si="189"/>
        <v>0</v>
      </c>
      <c r="Z92" s="2">
        <f t="shared" si="189"/>
        <v>0</v>
      </c>
      <c r="AA92" s="2">
        <f t="shared" si="189"/>
        <v>0</v>
      </c>
      <c r="AB92" s="2">
        <f t="shared" si="189"/>
        <v>0</v>
      </c>
      <c r="AC92" s="2">
        <f t="shared" si="189"/>
        <v>0</v>
      </c>
      <c r="AD92" s="2">
        <f t="shared" si="189"/>
        <v>0</v>
      </c>
      <c r="AE92" s="2">
        <f t="shared" si="189"/>
        <v>0</v>
      </c>
      <c r="AF92" s="2">
        <f t="shared" si="189"/>
        <v>0</v>
      </c>
      <c r="AG92" s="2">
        <f t="shared" si="189"/>
        <v>0</v>
      </c>
      <c r="AH92" s="2">
        <f t="shared" si="189"/>
        <v>0</v>
      </c>
      <c r="AI92" s="2">
        <f t="shared" si="189"/>
        <v>0</v>
      </c>
      <c r="AJ92" s="2">
        <f t="shared" si="189"/>
        <v>0</v>
      </c>
      <c r="AK92" s="2">
        <f t="shared" si="189"/>
        <v>0</v>
      </c>
      <c r="AL92" s="2">
        <f t="shared" si="189"/>
        <v>0</v>
      </c>
      <c r="AM92" s="2">
        <f t="shared" si="189"/>
        <v>0</v>
      </c>
      <c r="AN92" s="2">
        <f t="shared" si="189"/>
        <v>0</v>
      </c>
      <c r="AO92" s="2">
        <f t="shared" si="189"/>
        <v>0</v>
      </c>
      <c r="AP92" s="2">
        <f t="shared" si="189"/>
        <v>0</v>
      </c>
      <c r="AQ92" s="2">
        <f t="shared" si="189"/>
        <v>0</v>
      </c>
      <c r="AR92" s="2">
        <f t="shared" si="189"/>
        <v>0</v>
      </c>
      <c r="AS92" s="2">
        <f t="shared" si="189"/>
        <v>0</v>
      </c>
      <c r="AT92" s="294"/>
      <c r="AU92" s="294"/>
      <c r="AV92" s="204" t="str">
        <f t="shared" si="175"/>
        <v>AVERAGE SELLING PRICE PER UNIT</v>
      </c>
      <c r="AW92" s="25">
        <f t="shared" si="166"/>
        <v>2028</v>
      </c>
      <c r="AX92" s="2">
        <f t="shared" ref="AX92:BA92" si="190">IF(AX20=0,0,AX29/AX20)</f>
        <v>0</v>
      </c>
      <c r="AY92" s="2">
        <f t="shared" si="190"/>
        <v>0</v>
      </c>
      <c r="AZ92" s="2">
        <f t="shared" si="190"/>
        <v>0</v>
      </c>
      <c r="BA92" s="2">
        <f t="shared" si="190"/>
        <v>0</v>
      </c>
      <c r="BB92" s="294"/>
      <c r="BC92" s="294"/>
      <c r="BD92" s="204" t="str">
        <f t="shared" si="177"/>
        <v>AVERAGE SELLING PRICE PER UNIT</v>
      </c>
      <c r="BE92" s="25">
        <f t="shared" si="168"/>
        <v>2028</v>
      </c>
      <c r="BF92" s="2">
        <f t="shared" ref="BF92:BH92" si="191">IF(BF20=0,0,BF29/BF20)</f>
        <v>0</v>
      </c>
      <c r="BG92" s="2">
        <f t="shared" si="191"/>
        <v>0</v>
      </c>
      <c r="BH92" s="2">
        <f t="shared" si="191"/>
        <v>0</v>
      </c>
      <c r="BI92" s="294"/>
      <c r="BJ92" s="294"/>
      <c r="BK92" s="204" t="str">
        <f t="shared" si="179"/>
        <v>AVERAGE SELLING PRICE PER UNIT</v>
      </c>
      <c r="BL92" s="25">
        <f t="shared" si="170"/>
        <v>2028</v>
      </c>
      <c r="BM92" s="2">
        <f t="shared" ref="BM92:BO92" si="192">IF(BM20=0,0,BM29/BM20)</f>
        <v>0</v>
      </c>
      <c r="BN92" s="2">
        <f t="shared" si="192"/>
        <v>0</v>
      </c>
      <c r="BO92" s="2">
        <f t="shared" si="192"/>
        <v>0</v>
      </c>
      <c r="BP92" s="294"/>
      <c r="BQ92" s="294"/>
      <c r="BR92" s="362" t="str">
        <f>VLOOKUP(BU92,TableInputsData[],6,FALSE)</f>
        <v>-</v>
      </c>
      <c r="BS92" s="598" t="str">
        <f>VLOOKUP(BU92,InputsData!$C$36:$I$67,5,FALSE)</f>
        <v>PRODUCT 16</v>
      </c>
      <c r="BT92" s="1" t="s">
        <v>531</v>
      </c>
      <c r="BU92" s="1" t="s">
        <v>1720</v>
      </c>
      <c r="BV92" s="2">
        <v>0</v>
      </c>
      <c r="BW92" s="2">
        <v>0</v>
      </c>
      <c r="BX92" s="2">
        <v>0</v>
      </c>
      <c r="BY92" s="2">
        <v>0</v>
      </c>
      <c r="BZ92" s="2">
        <v>0</v>
      </c>
      <c r="CA92" s="2">
        <v>0</v>
      </c>
      <c r="CB92" s="2">
        <v>0</v>
      </c>
      <c r="CC92" s="2">
        <v>0</v>
      </c>
      <c r="CD92" s="2">
        <v>0</v>
      </c>
      <c r="CE92" s="2">
        <v>0</v>
      </c>
      <c r="CF92" s="2">
        <v>0</v>
      </c>
      <c r="CG92" s="2">
        <v>0</v>
      </c>
      <c r="CH92" s="2">
        <v>0</v>
      </c>
      <c r="CI92" s="2">
        <v>0</v>
      </c>
      <c r="CJ92" s="2">
        <v>0</v>
      </c>
      <c r="CK92" s="2">
        <v>0</v>
      </c>
      <c r="CL92" s="2">
        <v>0</v>
      </c>
      <c r="CM92" s="2">
        <v>0</v>
      </c>
      <c r="CN92" s="2">
        <v>0</v>
      </c>
      <c r="CO92" s="2">
        <v>0</v>
      </c>
      <c r="CP92" s="2">
        <v>0</v>
      </c>
      <c r="CQ92" s="2">
        <v>0</v>
      </c>
      <c r="CR92" s="2">
        <v>0</v>
      </c>
      <c r="CS92" s="2">
        <v>0</v>
      </c>
      <c r="CT92" s="294"/>
    </row>
    <row r="93" spans="1:98" x14ac:dyDescent="0.2">
      <c r="A93" s="294"/>
      <c r="B93" s="204" t="str">
        <f>IF(RIGHT($D93,5)="Total",$B92&amp;" Total",VLOOKUP($D93,TableInputsData[],ReadMe!$M$3,FALSE))</f>
        <v>PRIX MOYEN DE VENTE PAR PRODUIT/SERVICE</v>
      </c>
      <c r="C93" s="294"/>
      <c r="D93" s="204" t="str">
        <f t="shared" si="172"/>
        <v>AVERAGE SELLING PRICE PER UNIT</v>
      </c>
      <c r="E93" s="25">
        <f t="shared" si="162"/>
        <v>2029</v>
      </c>
      <c r="F93" s="2">
        <f t="shared" si="163"/>
        <v>0</v>
      </c>
      <c r="G93" s="2">
        <f t="shared" si="163"/>
        <v>0</v>
      </c>
      <c r="H93" s="2">
        <f t="shared" si="163"/>
        <v>0</v>
      </c>
      <c r="I93" s="2">
        <f t="shared" si="163"/>
        <v>0</v>
      </c>
      <c r="J93" s="2">
        <f t="shared" si="163"/>
        <v>0</v>
      </c>
      <c r="K93" s="294"/>
      <c r="L93" s="294"/>
      <c r="M93" s="204" t="str">
        <f t="shared" si="173"/>
        <v>AVERAGE SELLING PRICE PER UNIT</v>
      </c>
      <c r="N93" s="25">
        <f t="shared" si="164"/>
        <v>2029</v>
      </c>
      <c r="O93" s="2">
        <f t="shared" ref="O93:AS93" si="193">IF(O21=0,0,O30/O21)</f>
        <v>0</v>
      </c>
      <c r="P93" s="2">
        <f t="shared" si="193"/>
        <v>0</v>
      </c>
      <c r="Q93" s="2">
        <f t="shared" si="193"/>
        <v>0</v>
      </c>
      <c r="R93" s="2">
        <f t="shared" si="193"/>
        <v>0</v>
      </c>
      <c r="S93" s="2">
        <f t="shared" si="193"/>
        <v>0</v>
      </c>
      <c r="T93" s="2">
        <f t="shared" si="193"/>
        <v>0</v>
      </c>
      <c r="U93" s="2">
        <f t="shared" si="193"/>
        <v>0</v>
      </c>
      <c r="V93" s="2">
        <f t="shared" si="193"/>
        <v>0</v>
      </c>
      <c r="W93" s="2">
        <f t="shared" si="193"/>
        <v>0</v>
      </c>
      <c r="X93" s="2">
        <f t="shared" si="193"/>
        <v>0</v>
      </c>
      <c r="Y93" s="2">
        <f t="shared" si="193"/>
        <v>0</v>
      </c>
      <c r="Z93" s="2">
        <f t="shared" si="193"/>
        <v>0</v>
      </c>
      <c r="AA93" s="2">
        <f t="shared" si="193"/>
        <v>0</v>
      </c>
      <c r="AB93" s="2">
        <f t="shared" si="193"/>
        <v>0</v>
      </c>
      <c r="AC93" s="2">
        <f t="shared" si="193"/>
        <v>0</v>
      </c>
      <c r="AD93" s="2">
        <f t="shared" si="193"/>
        <v>0</v>
      </c>
      <c r="AE93" s="2">
        <f t="shared" si="193"/>
        <v>0</v>
      </c>
      <c r="AF93" s="2">
        <f t="shared" si="193"/>
        <v>0</v>
      </c>
      <c r="AG93" s="2">
        <f t="shared" si="193"/>
        <v>0</v>
      </c>
      <c r="AH93" s="2">
        <f t="shared" si="193"/>
        <v>0</v>
      </c>
      <c r="AI93" s="2">
        <f t="shared" si="193"/>
        <v>0</v>
      </c>
      <c r="AJ93" s="2">
        <f t="shared" si="193"/>
        <v>0</v>
      </c>
      <c r="AK93" s="2">
        <f t="shared" si="193"/>
        <v>0</v>
      </c>
      <c r="AL93" s="2">
        <f t="shared" si="193"/>
        <v>0</v>
      </c>
      <c r="AM93" s="2">
        <f t="shared" si="193"/>
        <v>0</v>
      </c>
      <c r="AN93" s="2">
        <f t="shared" si="193"/>
        <v>0</v>
      </c>
      <c r="AO93" s="2">
        <f t="shared" si="193"/>
        <v>0</v>
      </c>
      <c r="AP93" s="2">
        <f t="shared" si="193"/>
        <v>0</v>
      </c>
      <c r="AQ93" s="2">
        <f t="shared" si="193"/>
        <v>0</v>
      </c>
      <c r="AR93" s="2">
        <f t="shared" si="193"/>
        <v>0</v>
      </c>
      <c r="AS93" s="2">
        <f t="shared" si="193"/>
        <v>0</v>
      </c>
      <c r="AT93" s="294"/>
      <c r="AU93" s="294"/>
      <c r="AV93" s="204" t="str">
        <f t="shared" si="175"/>
        <v>AVERAGE SELLING PRICE PER UNIT</v>
      </c>
      <c r="AW93" s="25">
        <f t="shared" si="166"/>
        <v>2029</v>
      </c>
      <c r="AX93" s="2">
        <f t="shared" ref="AX93:BA93" si="194">IF(AX21=0,0,AX30/AX21)</f>
        <v>0</v>
      </c>
      <c r="AY93" s="2">
        <f t="shared" si="194"/>
        <v>0</v>
      </c>
      <c r="AZ93" s="2">
        <f t="shared" si="194"/>
        <v>0</v>
      </c>
      <c r="BA93" s="2">
        <f t="shared" si="194"/>
        <v>0</v>
      </c>
      <c r="BB93" s="294"/>
      <c r="BC93" s="294"/>
      <c r="BD93" s="204" t="str">
        <f t="shared" si="177"/>
        <v>AVERAGE SELLING PRICE PER UNIT</v>
      </c>
      <c r="BE93" s="25">
        <f t="shared" si="168"/>
        <v>2029</v>
      </c>
      <c r="BF93" s="2">
        <f t="shared" ref="BF93:BH93" si="195">IF(BF21=0,0,BF30/BF21)</f>
        <v>0</v>
      </c>
      <c r="BG93" s="2">
        <f t="shared" si="195"/>
        <v>0</v>
      </c>
      <c r="BH93" s="2">
        <f t="shared" si="195"/>
        <v>0</v>
      </c>
      <c r="BI93" s="294"/>
      <c r="BJ93" s="294"/>
      <c r="BK93" s="204" t="str">
        <f t="shared" si="179"/>
        <v>AVERAGE SELLING PRICE PER UNIT</v>
      </c>
      <c r="BL93" s="25">
        <f t="shared" si="170"/>
        <v>2029</v>
      </c>
      <c r="BM93" s="2">
        <f t="shared" ref="BM93:BO93" si="196">IF(BM21=0,0,BM30/BM21)</f>
        <v>0</v>
      </c>
      <c r="BN93" s="2">
        <f t="shared" si="196"/>
        <v>0</v>
      </c>
      <c r="BO93" s="2">
        <f t="shared" si="196"/>
        <v>0</v>
      </c>
      <c r="BP93" s="294"/>
      <c r="BQ93" s="294"/>
      <c r="BR93" s="362" t="str">
        <f>VLOOKUP(BU93,TableInputsData[],6,FALSE)</f>
        <v>-</v>
      </c>
      <c r="BS93" s="598" t="str">
        <f>VLOOKUP(BU93,InputsData!$C$36:$I$67,5,FALSE)</f>
        <v>PRODUCT 17</v>
      </c>
      <c r="BT93" s="1" t="s">
        <v>531</v>
      </c>
      <c r="BU93" s="1" t="s">
        <v>1722</v>
      </c>
      <c r="BV93" s="2">
        <v>0</v>
      </c>
      <c r="BW93" s="2">
        <v>0</v>
      </c>
      <c r="BX93" s="2">
        <v>0</v>
      </c>
      <c r="BY93" s="2">
        <v>0</v>
      </c>
      <c r="BZ93" s="2">
        <v>0</v>
      </c>
      <c r="CA93" s="2">
        <v>0</v>
      </c>
      <c r="CB93" s="2">
        <v>0</v>
      </c>
      <c r="CC93" s="2">
        <v>0</v>
      </c>
      <c r="CD93" s="2">
        <v>0</v>
      </c>
      <c r="CE93" s="2">
        <v>0</v>
      </c>
      <c r="CF93" s="2">
        <v>0</v>
      </c>
      <c r="CG93" s="2">
        <v>0</v>
      </c>
      <c r="CH93" s="2">
        <v>0</v>
      </c>
      <c r="CI93" s="2">
        <v>0</v>
      </c>
      <c r="CJ93" s="2">
        <v>0</v>
      </c>
      <c r="CK93" s="2">
        <v>0</v>
      </c>
      <c r="CL93" s="2">
        <v>0</v>
      </c>
      <c r="CM93" s="2">
        <v>0</v>
      </c>
      <c r="CN93" s="2">
        <v>0</v>
      </c>
      <c r="CO93" s="2">
        <v>0</v>
      </c>
      <c r="CP93" s="2">
        <v>0</v>
      </c>
      <c r="CQ93" s="2">
        <v>0</v>
      </c>
      <c r="CR93" s="2">
        <v>0</v>
      </c>
      <c r="CS93" s="2">
        <v>0</v>
      </c>
      <c r="CT93" s="294"/>
    </row>
    <row r="94" spans="1:98" x14ac:dyDescent="0.2">
      <c r="A94" s="294"/>
      <c r="B94" s="204" t="str">
        <f>IF(RIGHT($D94,5)="Total",$B93&amp;" Total",VLOOKUP($D94,TableInputsData[],ReadMe!$M$3,FALSE))</f>
        <v>PRIX MOYEN DE VENTE PAR PRODUIT/SERVICE</v>
      </c>
      <c r="C94" s="294"/>
      <c r="D94" s="204" t="str">
        <f t="shared" si="172"/>
        <v>AVERAGE SELLING PRICE PER UNIT</v>
      </c>
      <c r="E94" s="25">
        <f t="shared" si="162"/>
        <v>2030</v>
      </c>
      <c r="F94" s="2">
        <f t="shared" si="163"/>
        <v>0</v>
      </c>
      <c r="G94" s="2">
        <f t="shared" si="163"/>
        <v>0</v>
      </c>
      <c r="H94" s="2">
        <f t="shared" si="163"/>
        <v>0</v>
      </c>
      <c r="I94" s="2">
        <f t="shared" si="163"/>
        <v>0</v>
      </c>
      <c r="J94" s="2">
        <f t="shared" si="163"/>
        <v>0</v>
      </c>
      <c r="K94" s="294"/>
      <c r="L94" s="294"/>
      <c r="M94" s="204" t="str">
        <f t="shared" si="173"/>
        <v>AVERAGE SELLING PRICE PER UNIT</v>
      </c>
      <c r="N94" s="25">
        <f t="shared" si="164"/>
        <v>2030</v>
      </c>
      <c r="O94" s="2">
        <f t="shared" ref="O94:AS94" si="197">IF(O22=0,0,O31/O22)</f>
        <v>0</v>
      </c>
      <c r="P94" s="2">
        <f t="shared" si="197"/>
        <v>0</v>
      </c>
      <c r="Q94" s="2">
        <f t="shared" si="197"/>
        <v>0</v>
      </c>
      <c r="R94" s="2">
        <f t="shared" si="197"/>
        <v>0</v>
      </c>
      <c r="S94" s="2">
        <f t="shared" si="197"/>
        <v>0</v>
      </c>
      <c r="T94" s="2">
        <f t="shared" si="197"/>
        <v>0</v>
      </c>
      <c r="U94" s="2">
        <f t="shared" si="197"/>
        <v>0</v>
      </c>
      <c r="V94" s="2">
        <f t="shared" si="197"/>
        <v>0</v>
      </c>
      <c r="W94" s="2">
        <f t="shared" si="197"/>
        <v>0</v>
      </c>
      <c r="X94" s="2">
        <f t="shared" si="197"/>
        <v>0</v>
      </c>
      <c r="Y94" s="2">
        <f t="shared" si="197"/>
        <v>0</v>
      </c>
      <c r="Z94" s="2">
        <f t="shared" si="197"/>
        <v>0</v>
      </c>
      <c r="AA94" s="2">
        <f t="shared" si="197"/>
        <v>0</v>
      </c>
      <c r="AB94" s="2">
        <f t="shared" si="197"/>
        <v>0</v>
      </c>
      <c r="AC94" s="2">
        <f t="shared" si="197"/>
        <v>0</v>
      </c>
      <c r="AD94" s="2">
        <f t="shared" si="197"/>
        <v>0</v>
      </c>
      <c r="AE94" s="2">
        <f t="shared" si="197"/>
        <v>0</v>
      </c>
      <c r="AF94" s="2">
        <f t="shared" si="197"/>
        <v>0</v>
      </c>
      <c r="AG94" s="2">
        <f t="shared" si="197"/>
        <v>0</v>
      </c>
      <c r="AH94" s="2">
        <f t="shared" si="197"/>
        <v>0</v>
      </c>
      <c r="AI94" s="2">
        <f t="shared" si="197"/>
        <v>0</v>
      </c>
      <c r="AJ94" s="2">
        <f t="shared" si="197"/>
        <v>0</v>
      </c>
      <c r="AK94" s="2">
        <f t="shared" si="197"/>
        <v>0</v>
      </c>
      <c r="AL94" s="2">
        <f t="shared" si="197"/>
        <v>0</v>
      </c>
      <c r="AM94" s="2">
        <f t="shared" si="197"/>
        <v>0</v>
      </c>
      <c r="AN94" s="2">
        <f t="shared" si="197"/>
        <v>0</v>
      </c>
      <c r="AO94" s="2">
        <f t="shared" si="197"/>
        <v>0</v>
      </c>
      <c r="AP94" s="2">
        <f t="shared" si="197"/>
        <v>0</v>
      </c>
      <c r="AQ94" s="2">
        <f t="shared" si="197"/>
        <v>0</v>
      </c>
      <c r="AR94" s="2">
        <f t="shared" si="197"/>
        <v>0</v>
      </c>
      <c r="AS94" s="2">
        <f t="shared" si="197"/>
        <v>0</v>
      </c>
      <c r="AT94" s="294"/>
      <c r="AU94" s="294"/>
      <c r="AV94" s="204" t="str">
        <f t="shared" si="175"/>
        <v>AVERAGE SELLING PRICE PER UNIT</v>
      </c>
      <c r="AW94" s="25">
        <f t="shared" si="166"/>
        <v>2030</v>
      </c>
      <c r="AX94" s="2">
        <f t="shared" ref="AX94:BA94" si="198">IF(AX22=0,0,AX31/AX22)</f>
        <v>0</v>
      </c>
      <c r="AY94" s="2">
        <f t="shared" si="198"/>
        <v>0</v>
      </c>
      <c r="AZ94" s="2">
        <f t="shared" si="198"/>
        <v>0</v>
      </c>
      <c r="BA94" s="2">
        <f t="shared" si="198"/>
        <v>0</v>
      </c>
      <c r="BB94" s="294"/>
      <c r="BC94" s="294"/>
      <c r="BD94" s="204" t="str">
        <f t="shared" si="177"/>
        <v>AVERAGE SELLING PRICE PER UNIT</v>
      </c>
      <c r="BE94" s="25">
        <f t="shared" si="168"/>
        <v>2030</v>
      </c>
      <c r="BF94" s="2">
        <f t="shared" ref="BF94:BH94" si="199">IF(BF22=0,0,BF31/BF22)</f>
        <v>0</v>
      </c>
      <c r="BG94" s="2">
        <f t="shared" si="199"/>
        <v>0</v>
      </c>
      <c r="BH94" s="2">
        <f t="shared" si="199"/>
        <v>0</v>
      </c>
      <c r="BI94" s="294"/>
      <c r="BJ94" s="294"/>
      <c r="BK94" s="204" t="str">
        <f t="shared" si="179"/>
        <v>AVERAGE SELLING PRICE PER UNIT</v>
      </c>
      <c r="BL94" s="25">
        <f t="shared" si="170"/>
        <v>2030</v>
      </c>
      <c r="BM94" s="2">
        <f t="shared" ref="BM94:BO94" si="200">IF(BM22=0,0,BM31/BM22)</f>
        <v>0</v>
      </c>
      <c r="BN94" s="2">
        <f t="shared" si="200"/>
        <v>0</v>
      </c>
      <c r="BO94" s="2">
        <f t="shared" si="200"/>
        <v>0</v>
      </c>
      <c r="BP94" s="294"/>
      <c r="BQ94" s="294"/>
      <c r="BR94" s="362" t="str">
        <f>VLOOKUP(BU94,TableInputsData[],6,FALSE)</f>
        <v>-</v>
      </c>
      <c r="BS94" s="598" t="str">
        <f>VLOOKUP(BU94,InputsData!$C$36:$I$67,5,FALSE)</f>
        <v>PRODUCT 18</v>
      </c>
      <c r="BT94" s="1" t="s">
        <v>531</v>
      </c>
      <c r="BU94" s="1" t="s">
        <v>1724</v>
      </c>
      <c r="BV94" s="2">
        <v>0</v>
      </c>
      <c r="BW94" s="2">
        <v>0</v>
      </c>
      <c r="BX94" s="2">
        <v>0</v>
      </c>
      <c r="BY94" s="2">
        <v>0</v>
      </c>
      <c r="BZ94" s="2">
        <v>0</v>
      </c>
      <c r="CA94" s="2">
        <v>0</v>
      </c>
      <c r="CB94" s="2">
        <v>0</v>
      </c>
      <c r="CC94" s="2">
        <v>0</v>
      </c>
      <c r="CD94" s="2">
        <v>0</v>
      </c>
      <c r="CE94" s="2">
        <v>0</v>
      </c>
      <c r="CF94" s="2">
        <v>0</v>
      </c>
      <c r="CG94" s="2">
        <v>0</v>
      </c>
      <c r="CH94" s="2">
        <v>0</v>
      </c>
      <c r="CI94" s="2">
        <v>0</v>
      </c>
      <c r="CJ94" s="2">
        <v>0</v>
      </c>
      <c r="CK94" s="2">
        <v>0</v>
      </c>
      <c r="CL94" s="2">
        <v>0</v>
      </c>
      <c r="CM94" s="2">
        <v>0</v>
      </c>
      <c r="CN94" s="2">
        <v>0</v>
      </c>
      <c r="CO94" s="2">
        <v>0</v>
      </c>
      <c r="CP94" s="2">
        <v>0</v>
      </c>
      <c r="CQ94" s="2">
        <v>0</v>
      </c>
      <c r="CR94" s="2">
        <v>0</v>
      </c>
      <c r="CS94" s="2">
        <v>0</v>
      </c>
      <c r="CT94" s="294"/>
    </row>
    <row r="95" spans="1:98" x14ac:dyDescent="0.2">
      <c r="A95" s="294"/>
      <c r="B95" s="348" t="str">
        <f>IF(RIGHT($D95,5)="Total",$B94&amp;" Total",VLOOKUP($D95,TableInputsData[],ReadMe!$M$3,FALSE))</f>
        <v>PRIX MOYEN DE VENTE PAR PRODUIT/SERVICE Total</v>
      </c>
      <c r="C95" s="294"/>
      <c r="D95" s="348" t="str">
        <f>+D94&amp;" Total"</f>
        <v>AVERAGE SELLING PRICE PER UNIT Total</v>
      </c>
      <c r="E95" s="344"/>
      <c r="F95" s="347">
        <f t="shared" si="163"/>
        <v>0</v>
      </c>
      <c r="G95" s="347">
        <f t="shared" si="163"/>
        <v>0</v>
      </c>
      <c r="H95" s="347">
        <f t="shared" si="163"/>
        <v>0</v>
      </c>
      <c r="I95" s="347">
        <f t="shared" si="163"/>
        <v>0</v>
      </c>
      <c r="J95" s="347">
        <f t="shared" si="163"/>
        <v>0</v>
      </c>
      <c r="K95" s="294"/>
      <c r="L95" s="294"/>
      <c r="M95" s="348" t="str">
        <f>+M94&amp;" Total"</f>
        <v>AVERAGE SELLING PRICE PER UNIT Total</v>
      </c>
      <c r="N95" s="344"/>
      <c r="O95" s="347">
        <f t="shared" ref="O95:AS95" si="201">IF(O23=0,0,O32/O23)</f>
        <v>0</v>
      </c>
      <c r="P95" s="347">
        <f t="shared" si="201"/>
        <v>0</v>
      </c>
      <c r="Q95" s="347">
        <f t="shared" si="201"/>
        <v>0</v>
      </c>
      <c r="R95" s="347">
        <f t="shared" si="201"/>
        <v>0</v>
      </c>
      <c r="S95" s="347">
        <f t="shared" si="201"/>
        <v>0</v>
      </c>
      <c r="T95" s="347">
        <f t="shared" si="201"/>
        <v>0</v>
      </c>
      <c r="U95" s="347">
        <f t="shared" si="201"/>
        <v>0</v>
      </c>
      <c r="V95" s="347">
        <f t="shared" si="201"/>
        <v>0</v>
      </c>
      <c r="W95" s="347">
        <f t="shared" si="201"/>
        <v>0</v>
      </c>
      <c r="X95" s="347">
        <f t="shared" si="201"/>
        <v>0</v>
      </c>
      <c r="Y95" s="347">
        <f t="shared" si="201"/>
        <v>0</v>
      </c>
      <c r="Z95" s="347">
        <f t="shared" si="201"/>
        <v>0</v>
      </c>
      <c r="AA95" s="347">
        <f t="shared" si="201"/>
        <v>0</v>
      </c>
      <c r="AB95" s="347">
        <f t="shared" si="201"/>
        <v>0</v>
      </c>
      <c r="AC95" s="347">
        <f t="shared" si="201"/>
        <v>0</v>
      </c>
      <c r="AD95" s="347">
        <f t="shared" si="201"/>
        <v>0</v>
      </c>
      <c r="AE95" s="347">
        <f t="shared" si="201"/>
        <v>0</v>
      </c>
      <c r="AF95" s="347">
        <f t="shared" si="201"/>
        <v>0</v>
      </c>
      <c r="AG95" s="347">
        <f t="shared" si="201"/>
        <v>0</v>
      </c>
      <c r="AH95" s="347">
        <f t="shared" si="201"/>
        <v>0</v>
      </c>
      <c r="AI95" s="347">
        <f t="shared" si="201"/>
        <v>0</v>
      </c>
      <c r="AJ95" s="347">
        <f t="shared" si="201"/>
        <v>0</v>
      </c>
      <c r="AK95" s="347">
        <f t="shared" si="201"/>
        <v>0</v>
      </c>
      <c r="AL95" s="347">
        <f t="shared" si="201"/>
        <v>0</v>
      </c>
      <c r="AM95" s="347">
        <f t="shared" si="201"/>
        <v>0</v>
      </c>
      <c r="AN95" s="347">
        <f t="shared" si="201"/>
        <v>0</v>
      </c>
      <c r="AO95" s="347">
        <f t="shared" si="201"/>
        <v>0</v>
      </c>
      <c r="AP95" s="347">
        <f t="shared" si="201"/>
        <v>0</v>
      </c>
      <c r="AQ95" s="347">
        <f t="shared" si="201"/>
        <v>0</v>
      </c>
      <c r="AR95" s="347">
        <f t="shared" si="201"/>
        <v>0</v>
      </c>
      <c r="AS95" s="347">
        <f t="shared" si="201"/>
        <v>0</v>
      </c>
      <c r="AT95" s="294"/>
      <c r="AU95" s="294"/>
      <c r="AV95" s="348" t="str">
        <f>+AV94&amp;" Total"</f>
        <v>AVERAGE SELLING PRICE PER UNIT Total</v>
      </c>
      <c r="AW95" s="344"/>
      <c r="AX95" s="347">
        <f t="shared" ref="AX95:BA95" si="202">IF(AX23=0,0,AX32/AX23)</f>
        <v>0</v>
      </c>
      <c r="AY95" s="347">
        <f t="shared" si="202"/>
        <v>0</v>
      </c>
      <c r="AZ95" s="347">
        <f t="shared" si="202"/>
        <v>0</v>
      </c>
      <c r="BA95" s="347">
        <f t="shared" si="202"/>
        <v>0</v>
      </c>
      <c r="BB95" s="294"/>
      <c r="BC95" s="294"/>
      <c r="BD95" s="348" t="str">
        <f>+BD94&amp;" Total"</f>
        <v>AVERAGE SELLING PRICE PER UNIT Total</v>
      </c>
      <c r="BE95" s="344"/>
      <c r="BF95" s="347">
        <f t="shared" ref="BF95:BH95" si="203">IF(BF23=0,0,BF32/BF23)</f>
        <v>0</v>
      </c>
      <c r="BG95" s="347">
        <f t="shared" si="203"/>
        <v>0</v>
      </c>
      <c r="BH95" s="347">
        <f t="shared" si="203"/>
        <v>0</v>
      </c>
      <c r="BI95" s="294"/>
      <c r="BJ95" s="294"/>
      <c r="BK95" s="348" t="str">
        <f>+BK94&amp;" Total"</f>
        <v>AVERAGE SELLING PRICE PER UNIT Total</v>
      </c>
      <c r="BL95" s="344"/>
      <c r="BM95" s="347">
        <f t="shared" ref="BM95:BO95" si="204">IF(BM23=0,0,BM32/BM23)</f>
        <v>0</v>
      </c>
      <c r="BN95" s="347">
        <f t="shared" si="204"/>
        <v>0</v>
      </c>
      <c r="BO95" s="347">
        <f t="shared" si="204"/>
        <v>0</v>
      </c>
      <c r="BP95" s="294"/>
      <c r="BQ95" s="294"/>
      <c r="BR95" s="362" t="str">
        <f>VLOOKUP(BU95,TableInputsData[],6,FALSE)</f>
        <v>-</v>
      </c>
      <c r="BS95" s="598" t="str">
        <f>VLOOKUP(BU95,InputsData!$C$36:$I$67,5,FALSE)</f>
        <v>PRODUCT 19</v>
      </c>
      <c r="BT95" s="1" t="s">
        <v>531</v>
      </c>
      <c r="BU95" s="1" t="s">
        <v>1726</v>
      </c>
      <c r="BV95" s="2">
        <v>0</v>
      </c>
      <c r="BW95" s="2">
        <v>0</v>
      </c>
      <c r="BX95" s="2">
        <v>0</v>
      </c>
      <c r="BY95" s="2">
        <v>0</v>
      </c>
      <c r="BZ95" s="2">
        <v>0</v>
      </c>
      <c r="CA95" s="2">
        <v>0</v>
      </c>
      <c r="CB95" s="2">
        <v>0</v>
      </c>
      <c r="CC95" s="2">
        <v>0</v>
      </c>
      <c r="CD95" s="2">
        <v>0</v>
      </c>
      <c r="CE95" s="2">
        <v>0</v>
      </c>
      <c r="CF95" s="2">
        <v>0</v>
      </c>
      <c r="CG95" s="2">
        <v>0</v>
      </c>
      <c r="CH95" s="2">
        <v>0</v>
      </c>
      <c r="CI95" s="2">
        <v>0</v>
      </c>
      <c r="CJ95" s="2">
        <v>0</v>
      </c>
      <c r="CK95" s="2">
        <v>0</v>
      </c>
      <c r="CL95" s="2">
        <v>0</v>
      </c>
      <c r="CM95" s="2">
        <v>0</v>
      </c>
      <c r="CN95" s="2">
        <v>0</v>
      </c>
      <c r="CO95" s="2">
        <v>0</v>
      </c>
      <c r="CP95" s="2">
        <v>0</v>
      </c>
      <c r="CQ95" s="2">
        <v>0</v>
      </c>
      <c r="CR95" s="2">
        <v>0</v>
      </c>
      <c r="CS95" s="2">
        <v>0</v>
      </c>
      <c r="CT95" s="294"/>
    </row>
    <row r="96" spans="1:98" x14ac:dyDescent="0.2">
      <c r="A96" s="294"/>
      <c r="B96" s="204" t="str">
        <f>IF(RIGHT($D96,5)="Total",$B95&amp;" Total",VLOOKUP($D96,TableInputsData[],ReadMe!$M$3,FALSE))</f>
        <v>PRIX MOYEN D'ACHAT PAR PRODUIT/SERVICE</v>
      </c>
      <c r="C96" s="294"/>
      <c r="D96" s="204" t="s">
        <v>532</v>
      </c>
      <c r="E96" s="25">
        <f>E15</f>
        <v>2023</v>
      </c>
      <c r="F96" s="2">
        <f>IF(F15=0,0,F33/F15)</f>
        <v>0</v>
      </c>
      <c r="G96" s="2">
        <f t="shared" ref="G96:J96" si="205">IF(G15=0,0,G33/G15)</f>
        <v>0</v>
      </c>
      <c r="H96" s="2">
        <f t="shared" si="205"/>
        <v>0</v>
      </c>
      <c r="I96" s="2">
        <f t="shared" si="205"/>
        <v>0</v>
      </c>
      <c r="J96" s="2">
        <f t="shared" si="205"/>
        <v>0</v>
      </c>
      <c r="K96" s="294"/>
      <c r="L96" s="294"/>
      <c r="M96" s="204" t="s">
        <v>532</v>
      </c>
      <c r="N96" s="25">
        <f>N15</f>
        <v>2023</v>
      </c>
      <c r="O96" s="2">
        <f>IF(O15=0,0,O33/O15)</f>
        <v>0</v>
      </c>
      <c r="P96" s="2">
        <f t="shared" ref="P96:AS96" si="206">IF(P15=0,0,P33/P15)</f>
        <v>0</v>
      </c>
      <c r="Q96" s="2">
        <f t="shared" si="206"/>
        <v>0</v>
      </c>
      <c r="R96" s="2">
        <f t="shared" si="206"/>
        <v>0</v>
      </c>
      <c r="S96" s="2">
        <f t="shared" si="206"/>
        <v>0</v>
      </c>
      <c r="T96" s="2">
        <f t="shared" si="206"/>
        <v>0</v>
      </c>
      <c r="U96" s="2">
        <f t="shared" si="206"/>
        <v>0</v>
      </c>
      <c r="V96" s="2">
        <f t="shared" si="206"/>
        <v>0</v>
      </c>
      <c r="W96" s="2">
        <f t="shared" si="206"/>
        <v>0</v>
      </c>
      <c r="X96" s="2">
        <f t="shared" si="206"/>
        <v>0</v>
      </c>
      <c r="Y96" s="2">
        <f t="shared" si="206"/>
        <v>0</v>
      </c>
      <c r="Z96" s="2">
        <f t="shared" si="206"/>
        <v>0</v>
      </c>
      <c r="AA96" s="2">
        <f t="shared" si="206"/>
        <v>0</v>
      </c>
      <c r="AB96" s="2">
        <f t="shared" si="206"/>
        <v>0</v>
      </c>
      <c r="AC96" s="2">
        <f t="shared" si="206"/>
        <v>0</v>
      </c>
      <c r="AD96" s="2">
        <f t="shared" si="206"/>
        <v>0</v>
      </c>
      <c r="AE96" s="2">
        <f t="shared" si="206"/>
        <v>0</v>
      </c>
      <c r="AF96" s="2">
        <f t="shared" si="206"/>
        <v>0</v>
      </c>
      <c r="AG96" s="2">
        <f t="shared" si="206"/>
        <v>0</v>
      </c>
      <c r="AH96" s="2">
        <f t="shared" si="206"/>
        <v>0</v>
      </c>
      <c r="AI96" s="2">
        <f t="shared" si="206"/>
        <v>0</v>
      </c>
      <c r="AJ96" s="2">
        <f t="shared" si="206"/>
        <v>0</v>
      </c>
      <c r="AK96" s="2">
        <f t="shared" si="206"/>
        <v>0</v>
      </c>
      <c r="AL96" s="2">
        <f t="shared" si="206"/>
        <v>0</v>
      </c>
      <c r="AM96" s="2">
        <f t="shared" si="206"/>
        <v>0</v>
      </c>
      <c r="AN96" s="2">
        <f t="shared" si="206"/>
        <v>0</v>
      </c>
      <c r="AO96" s="2">
        <f t="shared" si="206"/>
        <v>0</v>
      </c>
      <c r="AP96" s="2">
        <f t="shared" si="206"/>
        <v>0</v>
      </c>
      <c r="AQ96" s="2">
        <f t="shared" si="206"/>
        <v>0</v>
      </c>
      <c r="AR96" s="2">
        <f t="shared" si="206"/>
        <v>0</v>
      </c>
      <c r="AS96" s="2">
        <f t="shared" si="206"/>
        <v>0</v>
      </c>
      <c r="AT96" s="294"/>
      <c r="AU96" s="294"/>
      <c r="AV96" s="204" t="s">
        <v>532</v>
      </c>
      <c r="AW96" s="25">
        <f>AW15</f>
        <v>2023</v>
      </c>
      <c r="AX96" s="2">
        <f>IF(AX15=0,0,AX33/AX15)</f>
        <v>0</v>
      </c>
      <c r="AY96" s="2">
        <f t="shared" ref="AY96:BA96" si="207">IF(AY15=0,0,AY33/AY15)</f>
        <v>0</v>
      </c>
      <c r="AZ96" s="2">
        <f t="shared" si="207"/>
        <v>0</v>
      </c>
      <c r="BA96" s="2">
        <f t="shared" si="207"/>
        <v>0</v>
      </c>
      <c r="BB96" s="294"/>
      <c r="BC96" s="294"/>
      <c r="BD96" s="204" t="s">
        <v>532</v>
      </c>
      <c r="BE96" s="25">
        <f>BE15</f>
        <v>2023</v>
      </c>
      <c r="BF96" s="2">
        <f>IF(BF15=0,0,BF33/BF15)</f>
        <v>0</v>
      </c>
      <c r="BG96" s="2">
        <f t="shared" ref="BG96:BH96" si="208">IF(BG15=0,0,BG33/BG15)</f>
        <v>0</v>
      </c>
      <c r="BH96" s="2">
        <f t="shared" si="208"/>
        <v>0</v>
      </c>
      <c r="BI96" s="294"/>
      <c r="BJ96" s="294"/>
      <c r="BK96" s="204" t="s">
        <v>532</v>
      </c>
      <c r="BL96" s="25">
        <f>BL15</f>
        <v>2023</v>
      </c>
      <c r="BM96" s="2">
        <f>IF(BM15=0,0,BM33/BM15)</f>
        <v>0</v>
      </c>
      <c r="BN96" s="2">
        <f t="shared" ref="BN96:BO96" si="209">IF(BN15=0,0,BN33/BN15)</f>
        <v>0</v>
      </c>
      <c r="BO96" s="2">
        <f t="shared" si="209"/>
        <v>0</v>
      </c>
      <c r="BP96" s="294"/>
      <c r="BQ96" s="294"/>
      <c r="BR96" s="362" t="str">
        <f>VLOOKUP(BU96,TableInputsData[],6,FALSE)</f>
        <v>-</v>
      </c>
      <c r="BS96" s="598" t="str">
        <f>VLOOKUP(BU96,InputsData!$C$36:$I$67,5,FALSE)</f>
        <v>PRODUCT 20</v>
      </c>
      <c r="BT96" s="1" t="s">
        <v>531</v>
      </c>
      <c r="BU96" s="1" t="s">
        <v>1728</v>
      </c>
      <c r="BV96" s="2">
        <v>0</v>
      </c>
      <c r="BW96" s="2">
        <v>0</v>
      </c>
      <c r="BX96" s="2">
        <v>0</v>
      </c>
      <c r="BY96" s="2">
        <v>0</v>
      </c>
      <c r="BZ96" s="2">
        <v>0</v>
      </c>
      <c r="CA96" s="2">
        <v>0</v>
      </c>
      <c r="CB96" s="2">
        <v>0</v>
      </c>
      <c r="CC96" s="2">
        <v>0</v>
      </c>
      <c r="CD96" s="2">
        <v>0</v>
      </c>
      <c r="CE96" s="2">
        <v>0</v>
      </c>
      <c r="CF96" s="2">
        <v>0</v>
      </c>
      <c r="CG96" s="2">
        <v>0</v>
      </c>
      <c r="CH96" s="2">
        <v>0</v>
      </c>
      <c r="CI96" s="2">
        <v>0</v>
      </c>
      <c r="CJ96" s="2">
        <v>0</v>
      </c>
      <c r="CK96" s="2">
        <v>0</v>
      </c>
      <c r="CL96" s="2">
        <v>0</v>
      </c>
      <c r="CM96" s="2">
        <v>0</v>
      </c>
      <c r="CN96" s="2">
        <v>0</v>
      </c>
      <c r="CO96" s="2">
        <v>0</v>
      </c>
      <c r="CP96" s="2">
        <v>0</v>
      </c>
      <c r="CQ96" s="2">
        <v>0</v>
      </c>
      <c r="CR96" s="2">
        <v>0</v>
      </c>
      <c r="CS96" s="2">
        <v>0</v>
      </c>
      <c r="CT96" s="294"/>
    </row>
    <row r="97" spans="1:98" x14ac:dyDescent="0.2">
      <c r="A97" s="294"/>
      <c r="B97" s="204" t="str">
        <f>IF(RIGHT($D97,5)="Total",$B96&amp;" Total",VLOOKUP($D97,TableInputsData[],ReadMe!$M$3,FALSE))</f>
        <v>PRIX MOYEN D'ACHAT PAR PRODUIT/SERVICE</v>
      </c>
      <c r="C97" s="294"/>
      <c r="D97" s="204" t="str">
        <f>D96</f>
        <v>AVERAGE COST OF GOODS SOLD PER UNIT</v>
      </c>
      <c r="E97" s="25">
        <f t="shared" ref="E97:E103" si="210">E16</f>
        <v>2024</v>
      </c>
      <c r="F97" s="2">
        <f t="shared" ref="F97:J97" si="211">IF(F16=0,0,F34/F16)</f>
        <v>0</v>
      </c>
      <c r="G97" s="2">
        <f t="shared" si="211"/>
        <v>0</v>
      </c>
      <c r="H97" s="2">
        <f t="shared" si="211"/>
        <v>0</v>
      </c>
      <c r="I97" s="2">
        <f t="shared" si="211"/>
        <v>0</v>
      </c>
      <c r="J97" s="2">
        <f t="shared" si="211"/>
        <v>0</v>
      </c>
      <c r="K97" s="294"/>
      <c r="L97" s="294"/>
      <c r="M97" s="204" t="str">
        <f>M96</f>
        <v>AVERAGE COST OF GOODS SOLD PER UNIT</v>
      </c>
      <c r="N97" s="25">
        <f t="shared" ref="N97:N103" si="212">N16</f>
        <v>2024</v>
      </c>
      <c r="O97" s="2">
        <f t="shared" ref="O97:AS97" si="213">IF(O16=0,0,O34/O16)</f>
        <v>0</v>
      </c>
      <c r="P97" s="2">
        <f t="shared" si="213"/>
        <v>0</v>
      </c>
      <c r="Q97" s="2">
        <f t="shared" si="213"/>
        <v>0</v>
      </c>
      <c r="R97" s="2">
        <f t="shared" si="213"/>
        <v>0</v>
      </c>
      <c r="S97" s="2">
        <f t="shared" si="213"/>
        <v>0</v>
      </c>
      <c r="T97" s="2">
        <f t="shared" si="213"/>
        <v>0</v>
      </c>
      <c r="U97" s="2">
        <f t="shared" si="213"/>
        <v>0</v>
      </c>
      <c r="V97" s="2">
        <f t="shared" si="213"/>
        <v>0</v>
      </c>
      <c r="W97" s="2">
        <f t="shared" si="213"/>
        <v>0</v>
      </c>
      <c r="X97" s="2">
        <f t="shared" si="213"/>
        <v>0</v>
      </c>
      <c r="Y97" s="2">
        <f t="shared" si="213"/>
        <v>0</v>
      </c>
      <c r="Z97" s="2">
        <f t="shared" si="213"/>
        <v>0</v>
      </c>
      <c r="AA97" s="2">
        <f t="shared" si="213"/>
        <v>0</v>
      </c>
      <c r="AB97" s="2">
        <f t="shared" si="213"/>
        <v>0</v>
      </c>
      <c r="AC97" s="2">
        <f t="shared" si="213"/>
        <v>0</v>
      </c>
      <c r="AD97" s="2">
        <f t="shared" si="213"/>
        <v>0</v>
      </c>
      <c r="AE97" s="2">
        <f t="shared" si="213"/>
        <v>0</v>
      </c>
      <c r="AF97" s="2">
        <f t="shared" si="213"/>
        <v>0</v>
      </c>
      <c r="AG97" s="2">
        <f t="shared" si="213"/>
        <v>0</v>
      </c>
      <c r="AH97" s="2">
        <f t="shared" si="213"/>
        <v>0</v>
      </c>
      <c r="AI97" s="2">
        <f t="shared" si="213"/>
        <v>0</v>
      </c>
      <c r="AJ97" s="2">
        <f t="shared" si="213"/>
        <v>0</v>
      </c>
      <c r="AK97" s="2">
        <f t="shared" si="213"/>
        <v>0</v>
      </c>
      <c r="AL97" s="2">
        <f t="shared" si="213"/>
        <v>0</v>
      </c>
      <c r="AM97" s="2">
        <f t="shared" si="213"/>
        <v>0</v>
      </c>
      <c r="AN97" s="2">
        <f t="shared" si="213"/>
        <v>0</v>
      </c>
      <c r="AO97" s="2">
        <f t="shared" si="213"/>
        <v>0</v>
      </c>
      <c r="AP97" s="2">
        <f t="shared" si="213"/>
        <v>0</v>
      </c>
      <c r="AQ97" s="2">
        <f t="shared" si="213"/>
        <v>0</v>
      </c>
      <c r="AR97" s="2">
        <f t="shared" si="213"/>
        <v>0</v>
      </c>
      <c r="AS97" s="2">
        <f t="shared" si="213"/>
        <v>0</v>
      </c>
      <c r="AT97" s="294"/>
      <c r="AU97" s="294"/>
      <c r="AV97" s="204" t="str">
        <f>AV96</f>
        <v>AVERAGE COST OF GOODS SOLD PER UNIT</v>
      </c>
      <c r="AW97" s="25">
        <f t="shared" ref="AW97:AW103" si="214">AW16</f>
        <v>2024</v>
      </c>
      <c r="AX97" s="2">
        <f t="shared" ref="AX97:BA97" si="215">IF(AX16=0,0,AX34/AX16)</f>
        <v>0</v>
      </c>
      <c r="AY97" s="2">
        <f t="shared" si="215"/>
        <v>0</v>
      </c>
      <c r="AZ97" s="2">
        <f t="shared" si="215"/>
        <v>0</v>
      </c>
      <c r="BA97" s="2">
        <f t="shared" si="215"/>
        <v>0</v>
      </c>
      <c r="BB97" s="294"/>
      <c r="BC97" s="294"/>
      <c r="BD97" s="204" t="str">
        <f>BD96</f>
        <v>AVERAGE COST OF GOODS SOLD PER UNIT</v>
      </c>
      <c r="BE97" s="25">
        <f t="shared" ref="BE97:BE103" si="216">BE16</f>
        <v>2024</v>
      </c>
      <c r="BF97" s="2">
        <f t="shared" ref="BF97:BH97" si="217">IF(BF16=0,0,BF34/BF16)</f>
        <v>0</v>
      </c>
      <c r="BG97" s="2">
        <f t="shared" si="217"/>
        <v>0</v>
      </c>
      <c r="BH97" s="2">
        <f t="shared" si="217"/>
        <v>0</v>
      </c>
      <c r="BI97" s="294"/>
      <c r="BJ97" s="294"/>
      <c r="BK97" s="204" t="str">
        <f>BK96</f>
        <v>AVERAGE COST OF GOODS SOLD PER UNIT</v>
      </c>
      <c r="BL97" s="25">
        <f t="shared" ref="BL97:BL103" si="218">BL16</f>
        <v>2024</v>
      </c>
      <c r="BM97" s="2">
        <f t="shared" ref="BM97:BO97" si="219">IF(BM16=0,0,BM34/BM16)</f>
        <v>0</v>
      </c>
      <c r="BN97" s="2">
        <f t="shared" si="219"/>
        <v>0</v>
      </c>
      <c r="BO97" s="2">
        <f t="shared" si="219"/>
        <v>0</v>
      </c>
      <c r="BP97" s="294"/>
      <c r="BQ97" s="294"/>
      <c r="BR97" s="362" t="str">
        <f>VLOOKUP(BU97,TableInputsData[],6,FALSE)</f>
        <v>-</v>
      </c>
      <c r="BS97" s="598" t="str">
        <f>VLOOKUP(BU97,InputsData!$C$36:$I$67,5,FALSE)</f>
        <v>DIENST 01</v>
      </c>
      <c r="BT97" s="1" t="s">
        <v>531</v>
      </c>
      <c r="BU97" s="1" t="s">
        <v>546</v>
      </c>
      <c r="BV97" s="2">
        <v>0</v>
      </c>
      <c r="BW97" s="2">
        <v>0</v>
      </c>
      <c r="BX97" s="2">
        <v>0</v>
      </c>
      <c r="BY97" s="2">
        <v>0</v>
      </c>
      <c r="BZ97" s="2">
        <v>0</v>
      </c>
      <c r="CA97" s="2">
        <v>0</v>
      </c>
      <c r="CB97" s="2">
        <v>0</v>
      </c>
      <c r="CC97" s="2">
        <v>0</v>
      </c>
      <c r="CD97" s="2">
        <v>0</v>
      </c>
      <c r="CE97" s="2">
        <v>0</v>
      </c>
      <c r="CF97" s="2">
        <v>0</v>
      </c>
      <c r="CG97" s="2">
        <v>0</v>
      </c>
      <c r="CH97" s="2">
        <v>0</v>
      </c>
      <c r="CI97" s="2">
        <v>0</v>
      </c>
      <c r="CJ97" s="2">
        <v>0</v>
      </c>
      <c r="CK97" s="2">
        <v>0</v>
      </c>
      <c r="CL97" s="2">
        <v>0</v>
      </c>
      <c r="CM97" s="2">
        <v>0</v>
      </c>
      <c r="CN97" s="2">
        <v>0</v>
      </c>
      <c r="CO97" s="2">
        <v>0</v>
      </c>
      <c r="CP97" s="2">
        <v>0</v>
      </c>
      <c r="CQ97" s="2">
        <v>0</v>
      </c>
      <c r="CR97" s="2">
        <v>0</v>
      </c>
      <c r="CS97" s="2">
        <v>0</v>
      </c>
      <c r="CT97" s="294"/>
    </row>
    <row r="98" spans="1:98" x14ac:dyDescent="0.2">
      <c r="A98" s="294"/>
      <c r="B98" s="204" t="str">
        <f>IF(RIGHT($D98,5)="Total",$B97&amp;" Total",VLOOKUP($D98,TableInputsData[],ReadMe!$M$3,FALSE))</f>
        <v>PRIX MOYEN D'ACHAT PAR PRODUIT/SERVICE</v>
      </c>
      <c r="C98" s="294"/>
      <c r="D98" s="204" t="str">
        <f t="shared" ref="D98:D103" si="220">D97</f>
        <v>AVERAGE COST OF GOODS SOLD PER UNIT</v>
      </c>
      <c r="E98" s="25">
        <f t="shared" si="210"/>
        <v>2025</v>
      </c>
      <c r="F98" s="2">
        <f t="shared" ref="F98:J98" si="221">IF(F17=0,0,F35/F17)</f>
        <v>0</v>
      </c>
      <c r="G98" s="2">
        <f t="shared" si="221"/>
        <v>0</v>
      </c>
      <c r="H98" s="2">
        <f t="shared" si="221"/>
        <v>0</v>
      </c>
      <c r="I98" s="2">
        <f t="shared" si="221"/>
        <v>0</v>
      </c>
      <c r="J98" s="2">
        <f t="shared" si="221"/>
        <v>0</v>
      </c>
      <c r="K98" s="294"/>
      <c r="L98" s="294"/>
      <c r="M98" s="204" t="str">
        <f t="shared" ref="M98:M103" si="222">M97</f>
        <v>AVERAGE COST OF GOODS SOLD PER UNIT</v>
      </c>
      <c r="N98" s="25">
        <f t="shared" si="212"/>
        <v>2025</v>
      </c>
      <c r="O98" s="2">
        <f t="shared" ref="O98:AS98" si="223">IF(O17=0,0,O35/O17)</f>
        <v>0</v>
      </c>
      <c r="P98" s="2">
        <f t="shared" si="223"/>
        <v>0</v>
      </c>
      <c r="Q98" s="2">
        <f t="shared" si="223"/>
        <v>0</v>
      </c>
      <c r="R98" s="2">
        <f t="shared" si="223"/>
        <v>0</v>
      </c>
      <c r="S98" s="2">
        <f t="shared" si="223"/>
        <v>0</v>
      </c>
      <c r="T98" s="2">
        <f t="shared" si="223"/>
        <v>0</v>
      </c>
      <c r="U98" s="2">
        <f t="shared" si="223"/>
        <v>0</v>
      </c>
      <c r="V98" s="2">
        <f t="shared" si="223"/>
        <v>0</v>
      </c>
      <c r="W98" s="2">
        <f t="shared" si="223"/>
        <v>0</v>
      </c>
      <c r="X98" s="2">
        <f t="shared" si="223"/>
        <v>0</v>
      </c>
      <c r="Y98" s="2">
        <f t="shared" si="223"/>
        <v>0</v>
      </c>
      <c r="Z98" s="2">
        <f t="shared" si="223"/>
        <v>0</v>
      </c>
      <c r="AA98" s="2">
        <f t="shared" si="223"/>
        <v>0</v>
      </c>
      <c r="AB98" s="2">
        <f t="shared" si="223"/>
        <v>0</v>
      </c>
      <c r="AC98" s="2">
        <f t="shared" si="223"/>
        <v>0</v>
      </c>
      <c r="AD98" s="2">
        <f t="shared" si="223"/>
        <v>0</v>
      </c>
      <c r="AE98" s="2">
        <f t="shared" si="223"/>
        <v>0</v>
      </c>
      <c r="AF98" s="2">
        <f t="shared" si="223"/>
        <v>0</v>
      </c>
      <c r="AG98" s="2">
        <f t="shared" si="223"/>
        <v>0</v>
      </c>
      <c r="AH98" s="2">
        <f t="shared" si="223"/>
        <v>0</v>
      </c>
      <c r="AI98" s="2">
        <f t="shared" si="223"/>
        <v>0</v>
      </c>
      <c r="AJ98" s="2">
        <f t="shared" si="223"/>
        <v>0</v>
      </c>
      <c r="AK98" s="2">
        <f t="shared" si="223"/>
        <v>0</v>
      </c>
      <c r="AL98" s="2">
        <f t="shared" si="223"/>
        <v>0</v>
      </c>
      <c r="AM98" s="2">
        <f t="shared" si="223"/>
        <v>0</v>
      </c>
      <c r="AN98" s="2">
        <f t="shared" si="223"/>
        <v>0</v>
      </c>
      <c r="AO98" s="2">
        <f t="shared" si="223"/>
        <v>0</v>
      </c>
      <c r="AP98" s="2">
        <f t="shared" si="223"/>
        <v>0</v>
      </c>
      <c r="AQ98" s="2">
        <f t="shared" si="223"/>
        <v>0</v>
      </c>
      <c r="AR98" s="2">
        <f t="shared" si="223"/>
        <v>0</v>
      </c>
      <c r="AS98" s="2">
        <f t="shared" si="223"/>
        <v>0</v>
      </c>
      <c r="AT98" s="294"/>
      <c r="AU98" s="294"/>
      <c r="AV98" s="204" t="str">
        <f t="shared" ref="AV98:AV103" si="224">AV97</f>
        <v>AVERAGE COST OF GOODS SOLD PER UNIT</v>
      </c>
      <c r="AW98" s="25">
        <f t="shared" si="214"/>
        <v>2025</v>
      </c>
      <c r="AX98" s="2">
        <f t="shared" ref="AX98:BA98" si="225">IF(AX17=0,0,AX35/AX17)</f>
        <v>0</v>
      </c>
      <c r="AY98" s="2">
        <f t="shared" si="225"/>
        <v>0</v>
      </c>
      <c r="AZ98" s="2">
        <f t="shared" si="225"/>
        <v>0</v>
      </c>
      <c r="BA98" s="2">
        <f t="shared" si="225"/>
        <v>0</v>
      </c>
      <c r="BB98" s="294"/>
      <c r="BC98" s="294"/>
      <c r="BD98" s="204" t="str">
        <f t="shared" ref="BD98:BD103" si="226">BD97</f>
        <v>AVERAGE COST OF GOODS SOLD PER UNIT</v>
      </c>
      <c r="BE98" s="25">
        <f t="shared" si="216"/>
        <v>2025</v>
      </c>
      <c r="BF98" s="2">
        <f t="shared" ref="BF98:BH98" si="227">IF(BF17=0,0,BF35/BF17)</f>
        <v>0</v>
      </c>
      <c r="BG98" s="2">
        <f t="shared" si="227"/>
        <v>0</v>
      </c>
      <c r="BH98" s="2">
        <f t="shared" si="227"/>
        <v>0</v>
      </c>
      <c r="BI98" s="294"/>
      <c r="BJ98" s="294"/>
      <c r="BK98" s="204" t="str">
        <f t="shared" ref="BK98:BK103" si="228">BK97</f>
        <v>AVERAGE COST OF GOODS SOLD PER UNIT</v>
      </c>
      <c r="BL98" s="25">
        <f t="shared" si="218"/>
        <v>2025</v>
      </c>
      <c r="BM98" s="2">
        <f t="shared" ref="BM98:BO98" si="229">IF(BM17=0,0,BM35/BM17)</f>
        <v>0</v>
      </c>
      <c r="BN98" s="2">
        <f t="shared" si="229"/>
        <v>0</v>
      </c>
      <c r="BO98" s="2">
        <f t="shared" si="229"/>
        <v>0</v>
      </c>
      <c r="BP98" s="294"/>
      <c r="BQ98" s="294"/>
      <c r="BR98" s="362" t="str">
        <f>VLOOKUP(BU98,TableInputsData[],6,FALSE)</f>
        <v>-</v>
      </c>
      <c r="BS98" s="598" t="str">
        <f>VLOOKUP(BU98,InputsData!$C$36:$I$67,5,FALSE)</f>
        <v>DIENST 02</v>
      </c>
      <c r="BT98" s="1" t="s">
        <v>531</v>
      </c>
      <c r="BU98" s="1" t="s">
        <v>547</v>
      </c>
      <c r="BV98" s="2">
        <v>0</v>
      </c>
      <c r="BW98" s="2">
        <v>0</v>
      </c>
      <c r="BX98" s="2">
        <v>0</v>
      </c>
      <c r="BY98" s="2">
        <v>0</v>
      </c>
      <c r="BZ98" s="2">
        <v>0</v>
      </c>
      <c r="CA98" s="2">
        <v>0</v>
      </c>
      <c r="CB98" s="2">
        <v>0</v>
      </c>
      <c r="CC98" s="2">
        <v>0</v>
      </c>
      <c r="CD98" s="2">
        <v>0</v>
      </c>
      <c r="CE98" s="2">
        <v>0</v>
      </c>
      <c r="CF98" s="2">
        <v>0</v>
      </c>
      <c r="CG98" s="2">
        <v>0</v>
      </c>
      <c r="CH98" s="2">
        <v>0</v>
      </c>
      <c r="CI98" s="2">
        <v>0</v>
      </c>
      <c r="CJ98" s="2">
        <v>0</v>
      </c>
      <c r="CK98" s="2">
        <v>0</v>
      </c>
      <c r="CL98" s="2">
        <v>0</v>
      </c>
      <c r="CM98" s="2">
        <v>0</v>
      </c>
      <c r="CN98" s="2">
        <v>0</v>
      </c>
      <c r="CO98" s="2">
        <v>0</v>
      </c>
      <c r="CP98" s="2">
        <v>0</v>
      </c>
      <c r="CQ98" s="2">
        <v>0</v>
      </c>
      <c r="CR98" s="2">
        <v>0</v>
      </c>
      <c r="CS98" s="2">
        <v>0</v>
      </c>
      <c r="CT98" s="294"/>
    </row>
    <row r="99" spans="1:98" x14ac:dyDescent="0.2">
      <c r="A99" s="294"/>
      <c r="B99" s="204" t="str">
        <f>IF(RIGHT($D99,5)="Total",$B98&amp;" Total",VLOOKUP($D99,TableInputsData[],ReadMe!$M$3,FALSE))</f>
        <v>PRIX MOYEN D'ACHAT PAR PRODUIT/SERVICE</v>
      </c>
      <c r="C99" s="294"/>
      <c r="D99" s="204" t="str">
        <f t="shared" si="220"/>
        <v>AVERAGE COST OF GOODS SOLD PER UNIT</v>
      </c>
      <c r="E99" s="25">
        <f t="shared" si="210"/>
        <v>2026</v>
      </c>
      <c r="F99" s="2">
        <f t="shared" ref="F99:J99" si="230">IF(F18=0,0,F36/F18)</f>
        <v>0</v>
      </c>
      <c r="G99" s="2">
        <f t="shared" si="230"/>
        <v>0</v>
      </c>
      <c r="H99" s="2">
        <f t="shared" si="230"/>
        <v>0</v>
      </c>
      <c r="I99" s="2">
        <f t="shared" si="230"/>
        <v>0</v>
      </c>
      <c r="J99" s="2">
        <f t="shared" si="230"/>
        <v>0</v>
      </c>
      <c r="K99" s="294"/>
      <c r="L99" s="294"/>
      <c r="M99" s="204" t="str">
        <f t="shared" si="222"/>
        <v>AVERAGE COST OF GOODS SOLD PER UNIT</v>
      </c>
      <c r="N99" s="25">
        <f t="shared" si="212"/>
        <v>2026</v>
      </c>
      <c r="O99" s="2">
        <f t="shared" ref="O99:AS99" si="231">IF(O18=0,0,O36/O18)</f>
        <v>0</v>
      </c>
      <c r="P99" s="2">
        <f t="shared" si="231"/>
        <v>0</v>
      </c>
      <c r="Q99" s="2">
        <f t="shared" si="231"/>
        <v>0</v>
      </c>
      <c r="R99" s="2">
        <f t="shared" si="231"/>
        <v>0</v>
      </c>
      <c r="S99" s="2">
        <f t="shared" si="231"/>
        <v>0</v>
      </c>
      <c r="T99" s="2">
        <f t="shared" si="231"/>
        <v>0</v>
      </c>
      <c r="U99" s="2">
        <f t="shared" si="231"/>
        <v>0</v>
      </c>
      <c r="V99" s="2">
        <f t="shared" si="231"/>
        <v>0</v>
      </c>
      <c r="W99" s="2">
        <f t="shared" si="231"/>
        <v>0</v>
      </c>
      <c r="X99" s="2">
        <f t="shared" si="231"/>
        <v>0</v>
      </c>
      <c r="Y99" s="2">
        <f t="shared" si="231"/>
        <v>0</v>
      </c>
      <c r="Z99" s="2">
        <f t="shared" si="231"/>
        <v>0</v>
      </c>
      <c r="AA99" s="2">
        <f t="shared" si="231"/>
        <v>0</v>
      </c>
      <c r="AB99" s="2">
        <f t="shared" si="231"/>
        <v>0</v>
      </c>
      <c r="AC99" s="2">
        <f t="shared" si="231"/>
        <v>0</v>
      </c>
      <c r="AD99" s="2">
        <f t="shared" si="231"/>
        <v>0</v>
      </c>
      <c r="AE99" s="2">
        <f t="shared" si="231"/>
        <v>0</v>
      </c>
      <c r="AF99" s="2">
        <f t="shared" si="231"/>
        <v>0</v>
      </c>
      <c r="AG99" s="2">
        <f t="shared" si="231"/>
        <v>0</v>
      </c>
      <c r="AH99" s="2">
        <f t="shared" si="231"/>
        <v>0</v>
      </c>
      <c r="AI99" s="2">
        <f t="shared" si="231"/>
        <v>0</v>
      </c>
      <c r="AJ99" s="2">
        <f t="shared" si="231"/>
        <v>0</v>
      </c>
      <c r="AK99" s="2">
        <f t="shared" si="231"/>
        <v>0</v>
      </c>
      <c r="AL99" s="2">
        <f t="shared" si="231"/>
        <v>0</v>
      </c>
      <c r="AM99" s="2">
        <f t="shared" si="231"/>
        <v>0</v>
      </c>
      <c r="AN99" s="2">
        <f t="shared" si="231"/>
        <v>0</v>
      </c>
      <c r="AO99" s="2">
        <f t="shared" si="231"/>
        <v>0</v>
      </c>
      <c r="AP99" s="2">
        <f t="shared" si="231"/>
        <v>0</v>
      </c>
      <c r="AQ99" s="2">
        <f t="shared" si="231"/>
        <v>0</v>
      </c>
      <c r="AR99" s="2">
        <f t="shared" si="231"/>
        <v>0</v>
      </c>
      <c r="AS99" s="2">
        <f t="shared" si="231"/>
        <v>0</v>
      </c>
      <c r="AT99" s="294"/>
      <c r="AU99" s="294"/>
      <c r="AV99" s="204" t="str">
        <f t="shared" si="224"/>
        <v>AVERAGE COST OF GOODS SOLD PER UNIT</v>
      </c>
      <c r="AW99" s="25">
        <f t="shared" si="214"/>
        <v>2026</v>
      </c>
      <c r="AX99" s="2">
        <f t="shared" ref="AX99:BA99" si="232">IF(AX18=0,0,AX36/AX18)</f>
        <v>0</v>
      </c>
      <c r="AY99" s="2">
        <f t="shared" si="232"/>
        <v>0</v>
      </c>
      <c r="AZ99" s="2">
        <f t="shared" si="232"/>
        <v>0</v>
      </c>
      <c r="BA99" s="2">
        <f t="shared" si="232"/>
        <v>0</v>
      </c>
      <c r="BB99" s="294"/>
      <c r="BC99" s="294"/>
      <c r="BD99" s="204" t="str">
        <f t="shared" si="226"/>
        <v>AVERAGE COST OF GOODS SOLD PER UNIT</v>
      </c>
      <c r="BE99" s="25">
        <f t="shared" si="216"/>
        <v>2026</v>
      </c>
      <c r="BF99" s="2">
        <f t="shared" ref="BF99:BH99" si="233">IF(BF18=0,0,BF36/BF18)</f>
        <v>0</v>
      </c>
      <c r="BG99" s="2">
        <f t="shared" si="233"/>
        <v>0</v>
      </c>
      <c r="BH99" s="2">
        <f t="shared" si="233"/>
        <v>0</v>
      </c>
      <c r="BI99" s="294"/>
      <c r="BJ99" s="294"/>
      <c r="BK99" s="204" t="str">
        <f t="shared" si="228"/>
        <v>AVERAGE COST OF GOODS SOLD PER UNIT</v>
      </c>
      <c r="BL99" s="25">
        <f t="shared" si="218"/>
        <v>2026</v>
      </c>
      <c r="BM99" s="2">
        <f t="shared" ref="BM99:BO99" si="234">IF(BM18=0,0,BM36/BM18)</f>
        <v>0</v>
      </c>
      <c r="BN99" s="2">
        <f t="shared" si="234"/>
        <v>0</v>
      </c>
      <c r="BO99" s="2">
        <f t="shared" si="234"/>
        <v>0</v>
      </c>
      <c r="BP99" s="294"/>
      <c r="BQ99" s="294"/>
      <c r="BR99" s="362" t="str">
        <f>VLOOKUP(BU99,TableInputsData[],6,FALSE)</f>
        <v>-</v>
      </c>
      <c r="BS99" s="598" t="str">
        <f>VLOOKUP(BU99,InputsData!$C$36:$I$67,5,FALSE)</f>
        <v>DIENST 03</v>
      </c>
      <c r="BT99" s="1" t="s">
        <v>531</v>
      </c>
      <c r="BU99" s="1" t="s">
        <v>548</v>
      </c>
      <c r="BV99" s="2">
        <v>0</v>
      </c>
      <c r="BW99" s="2">
        <v>0</v>
      </c>
      <c r="BX99" s="2">
        <v>0</v>
      </c>
      <c r="BY99" s="2">
        <v>0</v>
      </c>
      <c r="BZ99" s="2">
        <v>0</v>
      </c>
      <c r="CA99" s="2">
        <v>0</v>
      </c>
      <c r="CB99" s="2">
        <v>0</v>
      </c>
      <c r="CC99" s="2">
        <v>0</v>
      </c>
      <c r="CD99" s="2">
        <v>0</v>
      </c>
      <c r="CE99" s="2">
        <v>0</v>
      </c>
      <c r="CF99" s="2">
        <v>0</v>
      </c>
      <c r="CG99" s="2">
        <v>0</v>
      </c>
      <c r="CH99" s="2">
        <v>0</v>
      </c>
      <c r="CI99" s="2">
        <v>0</v>
      </c>
      <c r="CJ99" s="2">
        <v>0</v>
      </c>
      <c r="CK99" s="2">
        <v>0</v>
      </c>
      <c r="CL99" s="2">
        <v>0</v>
      </c>
      <c r="CM99" s="2">
        <v>0</v>
      </c>
      <c r="CN99" s="2">
        <v>0</v>
      </c>
      <c r="CO99" s="2">
        <v>0</v>
      </c>
      <c r="CP99" s="2">
        <v>0</v>
      </c>
      <c r="CQ99" s="2">
        <v>0</v>
      </c>
      <c r="CR99" s="2">
        <v>0</v>
      </c>
      <c r="CS99" s="2">
        <v>0</v>
      </c>
      <c r="CT99" s="294"/>
    </row>
    <row r="100" spans="1:98" x14ac:dyDescent="0.2">
      <c r="A100" s="294"/>
      <c r="B100" s="204" t="str">
        <f>IF(RIGHT($D100,5)="Total",$B99&amp;" Total",VLOOKUP($D100,TableInputsData[],ReadMe!$M$3,FALSE))</f>
        <v>PRIX MOYEN D'ACHAT PAR PRODUIT/SERVICE</v>
      </c>
      <c r="C100" s="294"/>
      <c r="D100" s="204" t="str">
        <f t="shared" si="220"/>
        <v>AVERAGE COST OF GOODS SOLD PER UNIT</v>
      </c>
      <c r="E100" s="25">
        <f t="shared" si="210"/>
        <v>2027</v>
      </c>
      <c r="F100" s="2">
        <f t="shared" ref="F100:J100" si="235">IF(F19=0,0,F37/F19)</f>
        <v>0</v>
      </c>
      <c r="G100" s="2">
        <f t="shared" si="235"/>
        <v>0</v>
      </c>
      <c r="H100" s="2">
        <f t="shared" si="235"/>
        <v>0</v>
      </c>
      <c r="I100" s="2">
        <f t="shared" si="235"/>
        <v>0</v>
      </c>
      <c r="J100" s="2">
        <f t="shared" si="235"/>
        <v>0</v>
      </c>
      <c r="K100" s="294"/>
      <c r="L100" s="294"/>
      <c r="M100" s="204" t="str">
        <f t="shared" si="222"/>
        <v>AVERAGE COST OF GOODS SOLD PER UNIT</v>
      </c>
      <c r="N100" s="25">
        <f t="shared" si="212"/>
        <v>2027</v>
      </c>
      <c r="O100" s="2">
        <f t="shared" ref="O100:AS100" si="236">IF(O19=0,0,O37/O19)</f>
        <v>0</v>
      </c>
      <c r="P100" s="2">
        <f t="shared" si="236"/>
        <v>0</v>
      </c>
      <c r="Q100" s="2">
        <f t="shared" si="236"/>
        <v>0</v>
      </c>
      <c r="R100" s="2">
        <f t="shared" si="236"/>
        <v>0</v>
      </c>
      <c r="S100" s="2">
        <f t="shared" si="236"/>
        <v>0</v>
      </c>
      <c r="T100" s="2">
        <f t="shared" si="236"/>
        <v>0</v>
      </c>
      <c r="U100" s="2">
        <f t="shared" si="236"/>
        <v>0</v>
      </c>
      <c r="V100" s="2">
        <f t="shared" si="236"/>
        <v>0</v>
      </c>
      <c r="W100" s="2">
        <f t="shared" si="236"/>
        <v>0</v>
      </c>
      <c r="X100" s="2">
        <f t="shared" si="236"/>
        <v>0</v>
      </c>
      <c r="Y100" s="2">
        <f t="shared" si="236"/>
        <v>0</v>
      </c>
      <c r="Z100" s="2">
        <f t="shared" si="236"/>
        <v>0</v>
      </c>
      <c r="AA100" s="2">
        <f t="shared" si="236"/>
        <v>0</v>
      </c>
      <c r="AB100" s="2">
        <f t="shared" si="236"/>
        <v>0</v>
      </c>
      <c r="AC100" s="2">
        <f t="shared" si="236"/>
        <v>0</v>
      </c>
      <c r="AD100" s="2">
        <f t="shared" si="236"/>
        <v>0</v>
      </c>
      <c r="AE100" s="2">
        <f t="shared" si="236"/>
        <v>0</v>
      </c>
      <c r="AF100" s="2">
        <f t="shared" si="236"/>
        <v>0</v>
      </c>
      <c r="AG100" s="2">
        <f t="shared" si="236"/>
        <v>0</v>
      </c>
      <c r="AH100" s="2">
        <f t="shared" si="236"/>
        <v>0</v>
      </c>
      <c r="AI100" s="2">
        <f t="shared" si="236"/>
        <v>0</v>
      </c>
      <c r="AJ100" s="2">
        <f t="shared" si="236"/>
        <v>0</v>
      </c>
      <c r="AK100" s="2">
        <f t="shared" si="236"/>
        <v>0</v>
      </c>
      <c r="AL100" s="2">
        <f t="shared" si="236"/>
        <v>0</v>
      </c>
      <c r="AM100" s="2">
        <f t="shared" si="236"/>
        <v>0</v>
      </c>
      <c r="AN100" s="2">
        <f t="shared" si="236"/>
        <v>0</v>
      </c>
      <c r="AO100" s="2">
        <f t="shared" si="236"/>
        <v>0</v>
      </c>
      <c r="AP100" s="2">
        <f t="shared" si="236"/>
        <v>0</v>
      </c>
      <c r="AQ100" s="2">
        <f t="shared" si="236"/>
        <v>0</v>
      </c>
      <c r="AR100" s="2">
        <f t="shared" si="236"/>
        <v>0</v>
      </c>
      <c r="AS100" s="2">
        <f t="shared" si="236"/>
        <v>0</v>
      </c>
      <c r="AT100" s="294"/>
      <c r="AU100" s="294"/>
      <c r="AV100" s="204" t="str">
        <f t="shared" si="224"/>
        <v>AVERAGE COST OF GOODS SOLD PER UNIT</v>
      </c>
      <c r="AW100" s="25">
        <f t="shared" si="214"/>
        <v>2027</v>
      </c>
      <c r="AX100" s="2">
        <f t="shared" ref="AX100:BA100" si="237">IF(AX19=0,0,AX37/AX19)</f>
        <v>0</v>
      </c>
      <c r="AY100" s="2">
        <f t="shared" si="237"/>
        <v>0</v>
      </c>
      <c r="AZ100" s="2">
        <f t="shared" si="237"/>
        <v>0</v>
      </c>
      <c r="BA100" s="2">
        <f t="shared" si="237"/>
        <v>0</v>
      </c>
      <c r="BB100" s="294"/>
      <c r="BC100" s="294"/>
      <c r="BD100" s="204" t="str">
        <f t="shared" si="226"/>
        <v>AVERAGE COST OF GOODS SOLD PER UNIT</v>
      </c>
      <c r="BE100" s="25">
        <f t="shared" si="216"/>
        <v>2027</v>
      </c>
      <c r="BF100" s="2">
        <f t="shared" ref="BF100:BH100" si="238">IF(BF19=0,0,BF37/BF19)</f>
        <v>0</v>
      </c>
      <c r="BG100" s="2">
        <f t="shared" si="238"/>
        <v>0</v>
      </c>
      <c r="BH100" s="2">
        <f t="shared" si="238"/>
        <v>0</v>
      </c>
      <c r="BI100" s="294"/>
      <c r="BJ100" s="294"/>
      <c r="BK100" s="204" t="str">
        <f t="shared" si="228"/>
        <v>AVERAGE COST OF GOODS SOLD PER UNIT</v>
      </c>
      <c r="BL100" s="25">
        <f t="shared" si="218"/>
        <v>2027</v>
      </c>
      <c r="BM100" s="2">
        <f t="shared" ref="BM100:BO100" si="239">IF(BM19=0,0,BM37/BM19)</f>
        <v>0</v>
      </c>
      <c r="BN100" s="2">
        <f t="shared" si="239"/>
        <v>0</v>
      </c>
      <c r="BO100" s="2">
        <f t="shared" si="239"/>
        <v>0</v>
      </c>
      <c r="BP100" s="294"/>
      <c r="BQ100" s="294"/>
      <c r="BR100" s="362" t="str">
        <f>VLOOKUP(BU100,TableInputsData[],6,FALSE)</f>
        <v>-</v>
      </c>
      <c r="BS100" s="598" t="str">
        <f>VLOOKUP(BU100,InputsData!$C$36:$I$67,5,FALSE)</f>
        <v>DIENST 04</v>
      </c>
      <c r="BT100" s="1" t="s">
        <v>531</v>
      </c>
      <c r="BU100" s="1" t="s">
        <v>549</v>
      </c>
      <c r="BV100" s="2">
        <v>0</v>
      </c>
      <c r="BW100" s="2">
        <v>0</v>
      </c>
      <c r="BX100" s="2">
        <v>0</v>
      </c>
      <c r="BY100" s="2">
        <v>0</v>
      </c>
      <c r="BZ100" s="2">
        <v>0</v>
      </c>
      <c r="CA100" s="2">
        <v>0</v>
      </c>
      <c r="CB100" s="2">
        <v>0</v>
      </c>
      <c r="CC100" s="2">
        <v>0</v>
      </c>
      <c r="CD100" s="2">
        <v>0</v>
      </c>
      <c r="CE100" s="2">
        <v>0</v>
      </c>
      <c r="CF100" s="2">
        <v>0</v>
      </c>
      <c r="CG100" s="2">
        <v>0</v>
      </c>
      <c r="CH100" s="2">
        <v>0</v>
      </c>
      <c r="CI100" s="2">
        <v>0</v>
      </c>
      <c r="CJ100" s="2">
        <v>0</v>
      </c>
      <c r="CK100" s="2">
        <v>0</v>
      </c>
      <c r="CL100" s="2">
        <v>0</v>
      </c>
      <c r="CM100" s="2">
        <v>0</v>
      </c>
      <c r="CN100" s="2">
        <v>0</v>
      </c>
      <c r="CO100" s="2">
        <v>0</v>
      </c>
      <c r="CP100" s="2">
        <v>0</v>
      </c>
      <c r="CQ100" s="2">
        <v>0</v>
      </c>
      <c r="CR100" s="2">
        <v>0</v>
      </c>
      <c r="CS100" s="2">
        <v>0</v>
      </c>
      <c r="CT100" s="294"/>
    </row>
    <row r="101" spans="1:98" x14ac:dyDescent="0.2">
      <c r="A101" s="294"/>
      <c r="B101" s="204" t="str">
        <f>IF(RIGHT($D101,5)="Total",$B100&amp;" Total",VLOOKUP($D101,TableInputsData[],ReadMe!$M$3,FALSE))</f>
        <v>PRIX MOYEN D'ACHAT PAR PRODUIT/SERVICE</v>
      </c>
      <c r="C101" s="294"/>
      <c r="D101" s="204" t="str">
        <f t="shared" si="220"/>
        <v>AVERAGE COST OF GOODS SOLD PER UNIT</v>
      </c>
      <c r="E101" s="25">
        <f t="shared" si="210"/>
        <v>2028</v>
      </c>
      <c r="F101" s="2">
        <f t="shared" ref="F101:J101" si="240">IF(F20=0,0,F38/F20)</f>
        <v>0</v>
      </c>
      <c r="G101" s="2">
        <f t="shared" si="240"/>
        <v>0</v>
      </c>
      <c r="H101" s="2">
        <f t="shared" si="240"/>
        <v>0</v>
      </c>
      <c r="I101" s="2">
        <f t="shared" si="240"/>
        <v>0</v>
      </c>
      <c r="J101" s="2">
        <f t="shared" si="240"/>
        <v>0</v>
      </c>
      <c r="K101" s="294"/>
      <c r="L101" s="294"/>
      <c r="M101" s="204" t="str">
        <f t="shared" si="222"/>
        <v>AVERAGE COST OF GOODS SOLD PER UNIT</v>
      </c>
      <c r="N101" s="25">
        <f t="shared" si="212"/>
        <v>2028</v>
      </c>
      <c r="O101" s="2">
        <f t="shared" ref="O101:AS101" si="241">IF(O20=0,0,O38/O20)</f>
        <v>0</v>
      </c>
      <c r="P101" s="2">
        <f t="shared" si="241"/>
        <v>0</v>
      </c>
      <c r="Q101" s="2">
        <f t="shared" si="241"/>
        <v>0</v>
      </c>
      <c r="R101" s="2">
        <f t="shared" si="241"/>
        <v>0</v>
      </c>
      <c r="S101" s="2">
        <f t="shared" si="241"/>
        <v>0</v>
      </c>
      <c r="T101" s="2">
        <f t="shared" si="241"/>
        <v>0</v>
      </c>
      <c r="U101" s="2">
        <f t="shared" si="241"/>
        <v>0</v>
      </c>
      <c r="V101" s="2">
        <f t="shared" si="241"/>
        <v>0</v>
      </c>
      <c r="W101" s="2">
        <f t="shared" si="241"/>
        <v>0</v>
      </c>
      <c r="X101" s="2">
        <f t="shared" si="241"/>
        <v>0</v>
      </c>
      <c r="Y101" s="2">
        <f t="shared" si="241"/>
        <v>0</v>
      </c>
      <c r="Z101" s="2">
        <f t="shared" si="241"/>
        <v>0</v>
      </c>
      <c r="AA101" s="2">
        <f t="shared" si="241"/>
        <v>0</v>
      </c>
      <c r="AB101" s="2">
        <f t="shared" si="241"/>
        <v>0</v>
      </c>
      <c r="AC101" s="2">
        <f t="shared" si="241"/>
        <v>0</v>
      </c>
      <c r="AD101" s="2">
        <f t="shared" si="241"/>
        <v>0</v>
      </c>
      <c r="AE101" s="2">
        <f t="shared" si="241"/>
        <v>0</v>
      </c>
      <c r="AF101" s="2">
        <f t="shared" si="241"/>
        <v>0</v>
      </c>
      <c r="AG101" s="2">
        <f t="shared" si="241"/>
        <v>0</v>
      </c>
      <c r="AH101" s="2">
        <f t="shared" si="241"/>
        <v>0</v>
      </c>
      <c r="AI101" s="2">
        <f t="shared" si="241"/>
        <v>0</v>
      </c>
      <c r="AJ101" s="2">
        <f t="shared" si="241"/>
        <v>0</v>
      </c>
      <c r="AK101" s="2">
        <f t="shared" si="241"/>
        <v>0</v>
      </c>
      <c r="AL101" s="2">
        <f t="shared" si="241"/>
        <v>0</v>
      </c>
      <c r="AM101" s="2">
        <f t="shared" si="241"/>
        <v>0</v>
      </c>
      <c r="AN101" s="2">
        <f t="shared" si="241"/>
        <v>0</v>
      </c>
      <c r="AO101" s="2">
        <f t="shared" si="241"/>
        <v>0</v>
      </c>
      <c r="AP101" s="2">
        <f t="shared" si="241"/>
        <v>0</v>
      </c>
      <c r="AQ101" s="2">
        <f t="shared" si="241"/>
        <v>0</v>
      </c>
      <c r="AR101" s="2">
        <f t="shared" si="241"/>
        <v>0</v>
      </c>
      <c r="AS101" s="2">
        <f t="shared" si="241"/>
        <v>0</v>
      </c>
      <c r="AT101" s="294"/>
      <c r="AU101" s="294"/>
      <c r="AV101" s="204" t="str">
        <f t="shared" si="224"/>
        <v>AVERAGE COST OF GOODS SOLD PER UNIT</v>
      </c>
      <c r="AW101" s="25">
        <f t="shared" si="214"/>
        <v>2028</v>
      </c>
      <c r="AX101" s="2">
        <f t="shared" ref="AX101:BA101" si="242">IF(AX20=0,0,AX38/AX20)</f>
        <v>0</v>
      </c>
      <c r="AY101" s="2">
        <f t="shared" si="242"/>
        <v>0</v>
      </c>
      <c r="AZ101" s="2">
        <f t="shared" si="242"/>
        <v>0</v>
      </c>
      <c r="BA101" s="2">
        <f t="shared" si="242"/>
        <v>0</v>
      </c>
      <c r="BB101" s="294"/>
      <c r="BC101" s="294"/>
      <c r="BD101" s="204" t="str">
        <f t="shared" si="226"/>
        <v>AVERAGE COST OF GOODS SOLD PER UNIT</v>
      </c>
      <c r="BE101" s="25">
        <f t="shared" si="216"/>
        <v>2028</v>
      </c>
      <c r="BF101" s="2">
        <f t="shared" ref="BF101:BH101" si="243">IF(BF20=0,0,BF38/BF20)</f>
        <v>0</v>
      </c>
      <c r="BG101" s="2">
        <f t="shared" si="243"/>
        <v>0</v>
      </c>
      <c r="BH101" s="2">
        <f t="shared" si="243"/>
        <v>0</v>
      </c>
      <c r="BI101" s="294"/>
      <c r="BJ101" s="294"/>
      <c r="BK101" s="204" t="str">
        <f t="shared" si="228"/>
        <v>AVERAGE COST OF GOODS SOLD PER UNIT</v>
      </c>
      <c r="BL101" s="25">
        <f t="shared" si="218"/>
        <v>2028</v>
      </c>
      <c r="BM101" s="2">
        <f t="shared" ref="BM101:BO101" si="244">IF(BM20=0,0,BM38/BM20)</f>
        <v>0</v>
      </c>
      <c r="BN101" s="2">
        <f t="shared" si="244"/>
        <v>0</v>
      </c>
      <c r="BO101" s="2">
        <f t="shared" si="244"/>
        <v>0</v>
      </c>
      <c r="BP101" s="294"/>
      <c r="BQ101" s="294"/>
      <c r="BR101" s="362" t="str">
        <f>VLOOKUP(BU101,TableInputsData[],6,FALSE)</f>
        <v>-</v>
      </c>
      <c r="BS101" s="598" t="str">
        <f>VLOOKUP(BU101,InputsData!$C$36:$I$67,5,FALSE)</f>
        <v>DIENST 05</v>
      </c>
      <c r="BT101" s="1" t="s">
        <v>531</v>
      </c>
      <c r="BU101" s="1" t="s">
        <v>550</v>
      </c>
      <c r="BV101" s="2">
        <v>0</v>
      </c>
      <c r="BW101" s="2">
        <v>0</v>
      </c>
      <c r="BX101" s="2">
        <v>0</v>
      </c>
      <c r="BY101" s="2">
        <v>0</v>
      </c>
      <c r="BZ101" s="2">
        <v>0</v>
      </c>
      <c r="CA101" s="2">
        <v>0</v>
      </c>
      <c r="CB101" s="2">
        <v>0</v>
      </c>
      <c r="CC101" s="2">
        <v>0</v>
      </c>
      <c r="CD101" s="2">
        <v>0</v>
      </c>
      <c r="CE101" s="2">
        <v>0</v>
      </c>
      <c r="CF101" s="2">
        <v>0</v>
      </c>
      <c r="CG101" s="2">
        <v>0</v>
      </c>
      <c r="CH101" s="2">
        <v>0</v>
      </c>
      <c r="CI101" s="2">
        <v>0</v>
      </c>
      <c r="CJ101" s="2">
        <v>0</v>
      </c>
      <c r="CK101" s="2">
        <v>0</v>
      </c>
      <c r="CL101" s="2">
        <v>0</v>
      </c>
      <c r="CM101" s="2">
        <v>0</v>
      </c>
      <c r="CN101" s="2">
        <v>0</v>
      </c>
      <c r="CO101" s="2">
        <v>0</v>
      </c>
      <c r="CP101" s="2">
        <v>0</v>
      </c>
      <c r="CQ101" s="2">
        <v>0</v>
      </c>
      <c r="CR101" s="2">
        <v>0</v>
      </c>
      <c r="CS101" s="2">
        <v>0</v>
      </c>
      <c r="CT101" s="294"/>
    </row>
    <row r="102" spans="1:98" x14ac:dyDescent="0.2">
      <c r="A102" s="294"/>
      <c r="B102" s="204" t="str">
        <f>IF(RIGHT($D102,5)="Total",$B101&amp;" Total",VLOOKUP($D102,TableInputsData[],ReadMe!$M$3,FALSE))</f>
        <v>PRIX MOYEN D'ACHAT PAR PRODUIT/SERVICE</v>
      </c>
      <c r="C102" s="294"/>
      <c r="D102" s="204" t="str">
        <f t="shared" si="220"/>
        <v>AVERAGE COST OF GOODS SOLD PER UNIT</v>
      </c>
      <c r="E102" s="25">
        <f t="shared" si="210"/>
        <v>2029</v>
      </c>
      <c r="F102" s="2">
        <f t="shared" ref="F102:J102" si="245">IF(F21=0,0,F39/F21)</f>
        <v>0</v>
      </c>
      <c r="G102" s="2">
        <f t="shared" si="245"/>
        <v>0</v>
      </c>
      <c r="H102" s="2">
        <f t="shared" si="245"/>
        <v>0</v>
      </c>
      <c r="I102" s="2">
        <f t="shared" si="245"/>
        <v>0</v>
      </c>
      <c r="J102" s="2">
        <f t="shared" si="245"/>
        <v>0</v>
      </c>
      <c r="K102" s="294"/>
      <c r="L102" s="294"/>
      <c r="M102" s="204" t="str">
        <f t="shared" si="222"/>
        <v>AVERAGE COST OF GOODS SOLD PER UNIT</v>
      </c>
      <c r="N102" s="25">
        <f t="shared" si="212"/>
        <v>2029</v>
      </c>
      <c r="O102" s="2">
        <f t="shared" ref="O102:AS102" si="246">IF(O21=0,0,O39/O21)</f>
        <v>0</v>
      </c>
      <c r="P102" s="2">
        <f t="shared" si="246"/>
        <v>0</v>
      </c>
      <c r="Q102" s="2">
        <f t="shared" si="246"/>
        <v>0</v>
      </c>
      <c r="R102" s="2">
        <f t="shared" si="246"/>
        <v>0</v>
      </c>
      <c r="S102" s="2">
        <f t="shared" si="246"/>
        <v>0</v>
      </c>
      <c r="T102" s="2">
        <f t="shared" si="246"/>
        <v>0</v>
      </c>
      <c r="U102" s="2">
        <f t="shared" si="246"/>
        <v>0</v>
      </c>
      <c r="V102" s="2">
        <f t="shared" si="246"/>
        <v>0</v>
      </c>
      <c r="W102" s="2">
        <f t="shared" si="246"/>
        <v>0</v>
      </c>
      <c r="X102" s="2">
        <f t="shared" si="246"/>
        <v>0</v>
      </c>
      <c r="Y102" s="2">
        <f t="shared" si="246"/>
        <v>0</v>
      </c>
      <c r="Z102" s="2">
        <f t="shared" si="246"/>
        <v>0</v>
      </c>
      <c r="AA102" s="2">
        <f t="shared" si="246"/>
        <v>0</v>
      </c>
      <c r="AB102" s="2">
        <f t="shared" si="246"/>
        <v>0</v>
      </c>
      <c r="AC102" s="2">
        <f t="shared" si="246"/>
        <v>0</v>
      </c>
      <c r="AD102" s="2">
        <f t="shared" si="246"/>
        <v>0</v>
      </c>
      <c r="AE102" s="2">
        <f t="shared" si="246"/>
        <v>0</v>
      </c>
      <c r="AF102" s="2">
        <f t="shared" si="246"/>
        <v>0</v>
      </c>
      <c r="AG102" s="2">
        <f t="shared" si="246"/>
        <v>0</v>
      </c>
      <c r="AH102" s="2">
        <f t="shared" si="246"/>
        <v>0</v>
      </c>
      <c r="AI102" s="2">
        <f t="shared" si="246"/>
        <v>0</v>
      </c>
      <c r="AJ102" s="2">
        <f t="shared" si="246"/>
        <v>0</v>
      </c>
      <c r="AK102" s="2">
        <f t="shared" si="246"/>
        <v>0</v>
      </c>
      <c r="AL102" s="2">
        <f t="shared" si="246"/>
        <v>0</v>
      </c>
      <c r="AM102" s="2">
        <f t="shared" si="246"/>
        <v>0</v>
      </c>
      <c r="AN102" s="2">
        <f t="shared" si="246"/>
        <v>0</v>
      </c>
      <c r="AO102" s="2">
        <f t="shared" si="246"/>
        <v>0</v>
      </c>
      <c r="AP102" s="2">
        <f t="shared" si="246"/>
        <v>0</v>
      </c>
      <c r="AQ102" s="2">
        <f t="shared" si="246"/>
        <v>0</v>
      </c>
      <c r="AR102" s="2">
        <f t="shared" si="246"/>
        <v>0</v>
      </c>
      <c r="AS102" s="2">
        <f t="shared" si="246"/>
        <v>0</v>
      </c>
      <c r="AT102" s="294"/>
      <c r="AU102" s="294"/>
      <c r="AV102" s="204" t="str">
        <f t="shared" si="224"/>
        <v>AVERAGE COST OF GOODS SOLD PER UNIT</v>
      </c>
      <c r="AW102" s="25">
        <f t="shared" si="214"/>
        <v>2029</v>
      </c>
      <c r="AX102" s="2">
        <f t="shared" ref="AX102:BA102" si="247">IF(AX21=0,0,AX39/AX21)</f>
        <v>0</v>
      </c>
      <c r="AY102" s="2">
        <f t="shared" si="247"/>
        <v>0</v>
      </c>
      <c r="AZ102" s="2">
        <f t="shared" si="247"/>
        <v>0</v>
      </c>
      <c r="BA102" s="2">
        <f t="shared" si="247"/>
        <v>0</v>
      </c>
      <c r="BB102" s="294"/>
      <c r="BC102" s="294"/>
      <c r="BD102" s="204" t="str">
        <f t="shared" si="226"/>
        <v>AVERAGE COST OF GOODS SOLD PER UNIT</v>
      </c>
      <c r="BE102" s="25">
        <f t="shared" si="216"/>
        <v>2029</v>
      </c>
      <c r="BF102" s="2">
        <f t="shared" ref="BF102:BH102" si="248">IF(BF21=0,0,BF39/BF21)</f>
        <v>0</v>
      </c>
      <c r="BG102" s="2">
        <f t="shared" si="248"/>
        <v>0</v>
      </c>
      <c r="BH102" s="2">
        <f t="shared" si="248"/>
        <v>0</v>
      </c>
      <c r="BI102" s="294"/>
      <c r="BJ102" s="294"/>
      <c r="BK102" s="204" t="str">
        <f t="shared" si="228"/>
        <v>AVERAGE COST OF GOODS SOLD PER UNIT</v>
      </c>
      <c r="BL102" s="25">
        <f t="shared" si="218"/>
        <v>2029</v>
      </c>
      <c r="BM102" s="2">
        <f t="shared" ref="BM102:BO102" si="249">IF(BM21=0,0,BM39/BM21)</f>
        <v>0</v>
      </c>
      <c r="BN102" s="2">
        <f t="shared" si="249"/>
        <v>0</v>
      </c>
      <c r="BO102" s="2">
        <f t="shared" si="249"/>
        <v>0</v>
      </c>
      <c r="BP102" s="294"/>
      <c r="BQ102" s="294"/>
      <c r="BR102" s="362" t="str">
        <f>VLOOKUP(BU102,TableInputsData[],6,FALSE)</f>
        <v>-</v>
      </c>
      <c r="BS102" s="598" t="str">
        <f>VLOOKUP(BU102,InputsData!$C$36:$I$67,5,FALSE)</f>
        <v>DIENST 06</v>
      </c>
      <c r="BT102" s="1" t="s">
        <v>531</v>
      </c>
      <c r="BU102" s="1" t="s">
        <v>551</v>
      </c>
      <c r="BV102" s="2">
        <v>0</v>
      </c>
      <c r="BW102" s="2">
        <v>0</v>
      </c>
      <c r="BX102" s="2">
        <v>0</v>
      </c>
      <c r="BY102" s="2">
        <v>0</v>
      </c>
      <c r="BZ102" s="2">
        <v>0</v>
      </c>
      <c r="CA102" s="2">
        <v>0</v>
      </c>
      <c r="CB102" s="2">
        <v>0</v>
      </c>
      <c r="CC102" s="2">
        <v>0</v>
      </c>
      <c r="CD102" s="2">
        <v>0</v>
      </c>
      <c r="CE102" s="2">
        <v>0</v>
      </c>
      <c r="CF102" s="2">
        <v>0</v>
      </c>
      <c r="CG102" s="2">
        <v>0</v>
      </c>
      <c r="CH102" s="2">
        <v>0</v>
      </c>
      <c r="CI102" s="2">
        <v>0</v>
      </c>
      <c r="CJ102" s="2">
        <v>0</v>
      </c>
      <c r="CK102" s="2">
        <v>0</v>
      </c>
      <c r="CL102" s="2">
        <v>0</v>
      </c>
      <c r="CM102" s="2">
        <v>0</v>
      </c>
      <c r="CN102" s="2">
        <v>0</v>
      </c>
      <c r="CO102" s="2">
        <v>0</v>
      </c>
      <c r="CP102" s="2">
        <v>0</v>
      </c>
      <c r="CQ102" s="2">
        <v>0</v>
      </c>
      <c r="CR102" s="2">
        <v>0</v>
      </c>
      <c r="CS102" s="2">
        <v>0</v>
      </c>
      <c r="CT102" s="294"/>
    </row>
    <row r="103" spans="1:98" x14ac:dyDescent="0.2">
      <c r="A103" s="294"/>
      <c r="B103" s="204" t="str">
        <f>IF(RIGHT($D103,5)="Total",$B102&amp;" Total",VLOOKUP($D103,TableInputsData[],ReadMe!$M$3,FALSE))</f>
        <v>PRIX MOYEN D'ACHAT PAR PRODUIT/SERVICE</v>
      </c>
      <c r="C103" s="294"/>
      <c r="D103" s="204" t="str">
        <f t="shared" si="220"/>
        <v>AVERAGE COST OF GOODS SOLD PER UNIT</v>
      </c>
      <c r="E103" s="25">
        <f t="shared" si="210"/>
        <v>2030</v>
      </c>
      <c r="F103" s="2">
        <f t="shared" ref="F103:J103" si="250">IF(F22=0,0,F40/F22)</f>
        <v>0</v>
      </c>
      <c r="G103" s="2">
        <f t="shared" si="250"/>
        <v>0</v>
      </c>
      <c r="H103" s="2">
        <f t="shared" si="250"/>
        <v>0</v>
      </c>
      <c r="I103" s="2">
        <f t="shared" si="250"/>
        <v>0</v>
      </c>
      <c r="J103" s="2">
        <f t="shared" si="250"/>
        <v>0</v>
      </c>
      <c r="K103" s="294"/>
      <c r="L103" s="294"/>
      <c r="M103" s="204" t="str">
        <f t="shared" si="222"/>
        <v>AVERAGE COST OF GOODS SOLD PER UNIT</v>
      </c>
      <c r="N103" s="25">
        <f t="shared" si="212"/>
        <v>2030</v>
      </c>
      <c r="O103" s="2">
        <f t="shared" ref="O103:AS103" si="251">IF(O22=0,0,O40/O22)</f>
        <v>0</v>
      </c>
      <c r="P103" s="2">
        <f t="shared" si="251"/>
        <v>0</v>
      </c>
      <c r="Q103" s="2">
        <f t="shared" si="251"/>
        <v>0</v>
      </c>
      <c r="R103" s="2">
        <f t="shared" si="251"/>
        <v>0</v>
      </c>
      <c r="S103" s="2">
        <f t="shared" si="251"/>
        <v>0</v>
      </c>
      <c r="T103" s="2">
        <f t="shared" si="251"/>
        <v>0</v>
      </c>
      <c r="U103" s="2">
        <f t="shared" si="251"/>
        <v>0</v>
      </c>
      <c r="V103" s="2">
        <f t="shared" si="251"/>
        <v>0</v>
      </c>
      <c r="W103" s="2">
        <f t="shared" si="251"/>
        <v>0</v>
      </c>
      <c r="X103" s="2">
        <f t="shared" si="251"/>
        <v>0</v>
      </c>
      <c r="Y103" s="2">
        <f t="shared" si="251"/>
        <v>0</v>
      </c>
      <c r="Z103" s="2">
        <f t="shared" si="251"/>
        <v>0</v>
      </c>
      <c r="AA103" s="2">
        <f t="shared" si="251"/>
        <v>0</v>
      </c>
      <c r="AB103" s="2">
        <f t="shared" si="251"/>
        <v>0</v>
      </c>
      <c r="AC103" s="2">
        <f t="shared" si="251"/>
        <v>0</v>
      </c>
      <c r="AD103" s="2">
        <f t="shared" si="251"/>
        <v>0</v>
      </c>
      <c r="AE103" s="2">
        <f t="shared" si="251"/>
        <v>0</v>
      </c>
      <c r="AF103" s="2">
        <f t="shared" si="251"/>
        <v>0</v>
      </c>
      <c r="AG103" s="2">
        <f t="shared" si="251"/>
        <v>0</v>
      </c>
      <c r="AH103" s="2">
        <f t="shared" si="251"/>
        <v>0</v>
      </c>
      <c r="AI103" s="2">
        <f t="shared" si="251"/>
        <v>0</v>
      </c>
      <c r="AJ103" s="2">
        <f t="shared" si="251"/>
        <v>0</v>
      </c>
      <c r="AK103" s="2">
        <f t="shared" si="251"/>
        <v>0</v>
      </c>
      <c r="AL103" s="2">
        <f t="shared" si="251"/>
        <v>0</v>
      </c>
      <c r="AM103" s="2">
        <f t="shared" si="251"/>
        <v>0</v>
      </c>
      <c r="AN103" s="2">
        <f t="shared" si="251"/>
        <v>0</v>
      </c>
      <c r="AO103" s="2">
        <f t="shared" si="251"/>
        <v>0</v>
      </c>
      <c r="AP103" s="2">
        <f t="shared" si="251"/>
        <v>0</v>
      </c>
      <c r="AQ103" s="2">
        <f t="shared" si="251"/>
        <v>0</v>
      </c>
      <c r="AR103" s="2">
        <f t="shared" si="251"/>
        <v>0</v>
      </c>
      <c r="AS103" s="2">
        <f t="shared" si="251"/>
        <v>0</v>
      </c>
      <c r="AT103" s="294"/>
      <c r="AU103" s="294"/>
      <c r="AV103" s="204" t="str">
        <f t="shared" si="224"/>
        <v>AVERAGE COST OF GOODS SOLD PER UNIT</v>
      </c>
      <c r="AW103" s="25">
        <f t="shared" si="214"/>
        <v>2030</v>
      </c>
      <c r="AX103" s="2">
        <f t="shared" ref="AX103:BA103" si="252">IF(AX22=0,0,AX40/AX22)</f>
        <v>0</v>
      </c>
      <c r="AY103" s="2">
        <f t="shared" si="252"/>
        <v>0</v>
      </c>
      <c r="AZ103" s="2">
        <f t="shared" si="252"/>
        <v>0</v>
      </c>
      <c r="BA103" s="2">
        <f t="shared" si="252"/>
        <v>0</v>
      </c>
      <c r="BB103" s="294"/>
      <c r="BC103" s="294"/>
      <c r="BD103" s="204" t="str">
        <f t="shared" si="226"/>
        <v>AVERAGE COST OF GOODS SOLD PER UNIT</v>
      </c>
      <c r="BE103" s="25">
        <f t="shared" si="216"/>
        <v>2030</v>
      </c>
      <c r="BF103" s="2">
        <f t="shared" ref="BF103:BH103" si="253">IF(BF22=0,0,BF40/BF22)</f>
        <v>0</v>
      </c>
      <c r="BG103" s="2">
        <f t="shared" si="253"/>
        <v>0</v>
      </c>
      <c r="BH103" s="2">
        <f t="shared" si="253"/>
        <v>0</v>
      </c>
      <c r="BI103" s="294"/>
      <c r="BJ103" s="294"/>
      <c r="BK103" s="204" t="str">
        <f t="shared" si="228"/>
        <v>AVERAGE COST OF GOODS SOLD PER UNIT</v>
      </c>
      <c r="BL103" s="25">
        <f t="shared" si="218"/>
        <v>2030</v>
      </c>
      <c r="BM103" s="2">
        <f t="shared" ref="BM103:BO103" si="254">IF(BM22=0,0,BM40/BM22)</f>
        <v>0</v>
      </c>
      <c r="BN103" s="2">
        <f t="shared" si="254"/>
        <v>0</v>
      </c>
      <c r="BO103" s="2">
        <f t="shared" si="254"/>
        <v>0</v>
      </c>
      <c r="BP103" s="294"/>
      <c r="BQ103" s="294"/>
      <c r="BR103" s="362" t="str">
        <f>VLOOKUP(BU103,TableInputsData[],6,FALSE)</f>
        <v>-</v>
      </c>
      <c r="BS103" s="598" t="str">
        <f>VLOOKUP(BU103,InputsData!$C$36:$I$67,5,FALSE)</f>
        <v>DIENST 07</v>
      </c>
      <c r="BT103" s="1" t="s">
        <v>531</v>
      </c>
      <c r="BU103" s="1" t="s">
        <v>552</v>
      </c>
      <c r="BV103" s="2">
        <v>0</v>
      </c>
      <c r="BW103" s="2">
        <v>0</v>
      </c>
      <c r="BX103" s="2">
        <v>0</v>
      </c>
      <c r="BY103" s="2">
        <v>0</v>
      </c>
      <c r="BZ103" s="2">
        <v>0</v>
      </c>
      <c r="CA103" s="2">
        <v>0</v>
      </c>
      <c r="CB103" s="2">
        <v>0</v>
      </c>
      <c r="CC103" s="2">
        <v>0</v>
      </c>
      <c r="CD103" s="2">
        <v>0</v>
      </c>
      <c r="CE103" s="2">
        <v>0</v>
      </c>
      <c r="CF103" s="2">
        <v>0</v>
      </c>
      <c r="CG103" s="2">
        <v>0</v>
      </c>
      <c r="CH103" s="2">
        <v>0</v>
      </c>
      <c r="CI103" s="2">
        <v>0</v>
      </c>
      <c r="CJ103" s="2">
        <v>0</v>
      </c>
      <c r="CK103" s="2">
        <v>0</v>
      </c>
      <c r="CL103" s="2">
        <v>0</v>
      </c>
      <c r="CM103" s="2">
        <v>0</v>
      </c>
      <c r="CN103" s="2">
        <v>0</v>
      </c>
      <c r="CO103" s="2">
        <v>0</v>
      </c>
      <c r="CP103" s="2">
        <v>0</v>
      </c>
      <c r="CQ103" s="2">
        <v>0</v>
      </c>
      <c r="CR103" s="2">
        <v>0</v>
      </c>
      <c r="CS103" s="2">
        <v>0</v>
      </c>
      <c r="CT103" s="294"/>
    </row>
    <row r="104" spans="1:98" x14ac:dyDescent="0.2">
      <c r="A104" s="294"/>
      <c r="B104" s="348" t="str">
        <f>IF(RIGHT($D104,5)="Total",$B103&amp;" Total",VLOOKUP($D104,TableInputsData[],ReadMe!$M$3,FALSE))</f>
        <v>PRIX MOYEN D'ACHAT PAR PRODUIT/SERVICE Total</v>
      </c>
      <c r="C104" s="294"/>
      <c r="D104" s="348" t="str">
        <f>+D103&amp;" Total"</f>
        <v>AVERAGE COST OF GOODS SOLD PER UNIT Total</v>
      </c>
      <c r="E104" s="344"/>
      <c r="F104" s="347">
        <f t="shared" ref="F104:J104" si="255">IF(F23=0,0,F41/F23)</f>
        <v>0</v>
      </c>
      <c r="G104" s="347">
        <f t="shared" si="255"/>
        <v>0</v>
      </c>
      <c r="H104" s="347">
        <f t="shared" si="255"/>
        <v>0</v>
      </c>
      <c r="I104" s="347">
        <f t="shared" si="255"/>
        <v>0</v>
      </c>
      <c r="J104" s="347">
        <f t="shared" si="255"/>
        <v>0</v>
      </c>
      <c r="K104" s="294"/>
      <c r="L104" s="294"/>
      <c r="M104" s="348" t="str">
        <f>+M103&amp;" Total"</f>
        <v>AVERAGE COST OF GOODS SOLD PER UNIT Total</v>
      </c>
      <c r="N104" s="344"/>
      <c r="O104" s="347">
        <f t="shared" ref="O104:AS104" si="256">IF(O23=0,0,O41/O23)</f>
        <v>0</v>
      </c>
      <c r="P104" s="347">
        <f t="shared" si="256"/>
        <v>0</v>
      </c>
      <c r="Q104" s="347">
        <f t="shared" si="256"/>
        <v>0</v>
      </c>
      <c r="R104" s="347">
        <f t="shared" si="256"/>
        <v>0</v>
      </c>
      <c r="S104" s="347">
        <f t="shared" si="256"/>
        <v>0</v>
      </c>
      <c r="T104" s="347">
        <f t="shared" si="256"/>
        <v>0</v>
      </c>
      <c r="U104" s="347">
        <f t="shared" si="256"/>
        <v>0</v>
      </c>
      <c r="V104" s="347">
        <f t="shared" si="256"/>
        <v>0</v>
      </c>
      <c r="W104" s="347">
        <f t="shared" si="256"/>
        <v>0</v>
      </c>
      <c r="X104" s="347">
        <f t="shared" si="256"/>
        <v>0</v>
      </c>
      <c r="Y104" s="347">
        <f t="shared" si="256"/>
        <v>0</v>
      </c>
      <c r="Z104" s="347">
        <f t="shared" si="256"/>
        <v>0</v>
      </c>
      <c r="AA104" s="347">
        <f t="shared" si="256"/>
        <v>0</v>
      </c>
      <c r="AB104" s="347">
        <f t="shared" si="256"/>
        <v>0</v>
      </c>
      <c r="AC104" s="347">
        <f t="shared" si="256"/>
        <v>0</v>
      </c>
      <c r="AD104" s="347">
        <f t="shared" si="256"/>
        <v>0</v>
      </c>
      <c r="AE104" s="347">
        <f t="shared" si="256"/>
        <v>0</v>
      </c>
      <c r="AF104" s="347">
        <f t="shared" si="256"/>
        <v>0</v>
      </c>
      <c r="AG104" s="347">
        <f t="shared" si="256"/>
        <v>0</v>
      </c>
      <c r="AH104" s="347">
        <f t="shared" si="256"/>
        <v>0</v>
      </c>
      <c r="AI104" s="347">
        <f t="shared" si="256"/>
        <v>0</v>
      </c>
      <c r="AJ104" s="347">
        <f t="shared" si="256"/>
        <v>0</v>
      </c>
      <c r="AK104" s="347">
        <f t="shared" si="256"/>
        <v>0</v>
      </c>
      <c r="AL104" s="347">
        <f t="shared" si="256"/>
        <v>0</v>
      </c>
      <c r="AM104" s="347">
        <f t="shared" si="256"/>
        <v>0</v>
      </c>
      <c r="AN104" s="347">
        <f t="shared" si="256"/>
        <v>0</v>
      </c>
      <c r="AO104" s="347">
        <f t="shared" si="256"/>
        <v>0</v>
      </c>
      <c r="AP104" s="347">
        <f t="shared" si="256"/>
        <v>0</v>
      </c>
      <c r="AQ104" s="347">
        <f t="shared" si="256"/>
        <v>0</v>
      </c>
      <c r="AR104" s="347">
        <f t="shared" si="256"/>
        <v>0</v>
      </c>
      <c r="AS104" s="347">
        <f t="shared" si="256"/>
        <v>0</v>
      </c>
      <c r="AT104" s="294"/>
      <c r="AU104" s="294"/>
      <c r="AV104" s="348" t="str">
        <f>+AV103&amp;" Total"</f>
        <v>AVERAGE COST OF GOODS SOLD PER UNIT Total</v>
      </c>
      <c r="AW104" s="344"/>
      <c r="AX104" s="347">
        <f t="shared" ref="AX104:BA104" si="257">IF(AX23=0,0,AX41/AX23)</f>
        <v>0</v>
      </c>
      <c r="AY104" s="347">
        <f t="shared" si="257"/>
        <v>0</v>
      </c>
      <c r="AZ104" s="347">
        <f t="shared" si="257"/>
        <v>0</v>
      </c>
      <c r="BA104" s="347">
        <f t="shared" si="257"/>
        <v>0</v>
      </c>
      <c r="BB104" s="294"/>
      <c r="BC104" s="294"/>
      <c r="BD104" s="348" t="str">
        <f>+BD103&amp;" Total"</f>
        <v>AVERAGE COST OF GOODS SOLD PER UNIT Total</v>
      </c>
      <c r="BE104" s="344"/>
      <c r="BF104" s="347">
        <f t="shared" ref="BF104:BH104" si="258">IF(BF23=0,0,BF41/BF23)</f>
        <v>0</v>
      </c>
      <c r="BG104" s="347">
        <f t="shared" si="258"/>
        <v>0</v>
      </c>
      <c r="BH104" s="347">
        <f t="shared" si="258"/>
        <v>0</v>
      </c>
      <c r="BI104" s="294"/>
      <c r="BJ104" s="294"/>
      <c r="BK104" s="348" t="str">
        <f>+BK103&amp;" Total"</f>
        <v>AVERAGE COST OF GOODS SOLD PER UNIT Total</v>
      </c>
      <c r="BL104" s="344"/>
      <c r="BM104" s="347">
        <f t="shared" ref="BM104:BO104" si="259">IF(BM23=0,0,BM41/BM23)</f>
        <v>0</v>
      </c>
      <c r="BN104" s="347">
        <f t="shared" si="259"/>
        <v>0</v>
      </c>
      <c r="BO104" s="347">
        <f t="shared" si="259"/>
        <v>0</v>
      </c>
      <c r="BP104" s="294"/>
      <c r="BQ104" s="294"/>
      <c r="BR104" s="362" t="str">
        <f>VLOOKUP(BU104,TableInputsData[],6,FALSE)</f>
        <v>-</v>
      </c>
      <c r="BS104" s="598" t="str">
        <f>VLOOKUP(BU104,InputsData!$C$36:$I$67,5,FALSE)</f>
        <v>DIENST 08</v>
      </c>
      <c r="BT104" s="1" t="s">
        <v>531</v>
      </c>
      <c r="BU104" s="1" t="s">
        <v>553</v>
      </c>
      <c r="BV104" s="2">
        <v>0</v>
      </c>
      <c r="BW104" s="2">
        <v>0</v>
      </c>
      <c r="BX104" s="2">
        <v>0</v>
      </c>
      <c r="BY104" s="2">
        <v>0</v>
      </c>
      <c r="BZ104" s="2">
        <v>0</v>
      </c>
      <c r="CA104" s="2">
        <v>0</v>
      </c>
      <c r="CB104" s="2">
        <v>0</v>
      </c>
      <c r="CC104" s="2">
        <v>0</v>
      </c>
      <c r="CD104" s="2">
        <v>0</v>
      </c>
      <c r="CE104" s="2">
        <v>0</v>
      </c>
      <c r="CF104" s="2">
        <v>0</v>
      </c>
      <c r="CG104" s="2">
        <v>0</v>
      </c>
      <c r="CH104" s="2">
        <v>0</v>
      </c>
      <c r="CI104" s="2">
        <v>0</v>
      </c>
      <c r="CJ104" s="2">
        <v>0</v>
      </c>
      <c r="CK104" s="2">
        <v>0</v>
      </c>
      <c r="CL104" s="2">
        <v>0</v>
      </c>
      <c r="CM104" s="2">
        <v>0</v>
      </c>
      <c r="CN104" s="2">
        <v>0</v>
      </c>
      <c r="CO104" s="2">
        <v>0</v>
      </c>
      <c r="CP104" s="2">
        <v>0</v>
      </c>
      <c r="CQ104" s="2">
        <v>0</v>
      </c>
      <c r="CR104" s="2">
        <v>0</v>
      </c>
      <c r="CS104" s="2">
        <v>0</v>
      </c>
      <c r="CT104" s="294"/>
    </row>
    <row r="105" spans="1:98" ht="16" x14ac:dyDescent="0.2">
      <c r="A105" s="294"/>
      <c r="B105" s="294"/>
      <c r="C105" s="294"/>
      <c r="D105" s="294"/>
      <c r="E105" s="294"/>
      <c r="F105" s="294"/>
      <c r="G105" s="294"/>
      <c r="H105" s="294"/>
      <c r="I105" s="294"/>
      <c r="J105" s="294"/>
      <c r="K105" s="294"/>
      <c r="L105" s="294"/>
      <c r="M105" s="294"/>
      <c r="N105" s="294"/>
      <c r="O105" s="294"/>
      <c r="P105" s="294"/>
      <c r="Q105" s="294"/>
      <c r="R105" s="294"/>
      <c r="S105" s="294"/>
      <c r="T105" s="294"/>
      <c r="U105" s="294"/>
      <c r="V105" s="294"/>
      <c r="W105" s="294"/>
      <c r="X105" s="294"/>
      <c r="Y105" s="294"/>
      <c r="Z105" s="294"/>
      <c r="AA105" s="294"/>
      <c r="AB105" s="294"/>
      <c r="AC105" s="294"/>
      <c r="AD105" s="294"/>
      <c r="AE105" s="294"/>
      <c r="AF105" s="294"/>
      <c r="AG105" s="294"/>
      <c r="AH105" s="294"/>
      <c r="AI105" s="294"/>
      <c r="AJ105" s="294"/>
      <c r="AK105" s="294"/>
      <c r="AL105" s="294"/>
      <c r="AM105" s="294"/>
      <c r="AN105" s="294"/>
      <c r="AO105" s="294"/>
      <c r="AP105" s="294"/>
      <c r="AQ105" s="294"/>
      <c r="AR105" s="294"/>
      <c r="AS105" s="294"/>
      <c r="AT105" s="294"/>
      <c r="AU105" s="294"/>
      <c r="AV105" s="294"/>
      <c r="AW105" s="294"/>
      <c r="AX105" s="294"/>
      <c r="AY105" s="294"/>
      <c r="AZ105" s="294"/>
      <c r="BA105" s="294"/>
      <c r="BB105" s="294"/>
      <c r="BC105" s="294"/>
      <c r="BD105" s="294"/>
      <c r="BE105" s="294"/>
      <c r="BF105" s="294"/>
      <c r="BG105" s="294"/>
      <c r="BH105" s="294"/>
      <c r="BI105" s="294"/>
      <c r="BJ105" s="294"/>
      <c r="BO105" s="343"/>
      <c r="BP105" s="294"/>
      <c r="BQ105" s="294"/>
      <c r="BR105" s="362" t="str">
        <f>VLOOKUP(BU105,TableInputsData[],6,FALSE)</f>
        <v>-</v>
      </c>
      <c r="BS105" s="598" t="str">
        <f>VLOOKUP(BU105,InputsData!$C$36:$I$67,5,FALSE)</f>
        <v>DIENST 09</v>
      </c>
      <c r="BT105" s="1" t="s">
        <v>531</v>
      </c>
      <c r="BU105" s="1" t="s">
        <v>554</v>
      </c>
      <c r="BV105" s="2">
        <v>0</v>
      </c>
      <c r="BW105" s="2">
        <v>0</v>
      </c>
      <c r="BX105" s="2">
        <v>0</v>
      </c>
      <c r="BY105" s="2">
        <v>0</v>
      </c>
      <c r="BZ105" s="2">
        <v>0</v>
      </c>
      <c r="CA105" s="2">
        <v>0</v>
      </c>
      <c r="CB105" s="2">
        <v>0</v>
      </c>
      <c r="CC105" s="2">
        <v>0</v>
      </c>
      <c r="CD105" s="2">
        <v>0</v>
      </c>
      <c r="CE105" s="2">
        <v>0</v>
      </c>
      <c r="CF105" s="2">
        <v>0</v>
      </c>
      <c r="CG105" s="2">
        <v>0</v>
      </c>
      <c r="CH105" s="2">
        <v>0</v>
      </c>
      <c r="CI105" s="2">
        <v>0</v>
      </c>
      <c r="CJ105" s="2">
        <v>0</v>
      </c>
      <c r="CK105" s="2">
        <v>0</v>
      </c>
      <c r="CL105" s="2">
        <v>0</v>
      </c>
      <c r="CM105" s="2">
        <v>0</v>
      </c>
      <c r="CN105" s="2">
        <v>0</v>
      </c>
      <c r="CO105" s="2">
        <v>0</v>
      </c>
      <c r="CP105" s="2">
        <v>0</v>
      </c>
      <c r="CQ105" s="2">
        <v>0</v>
      </c>
      <c r="CR105" s="2">
        <v>0</v>
      </c>
      <c r="CS105" s="2">
        <v>0</v>
      </c>
      <c r="CT105" s="294"/>
    </row>
    <row r="106" spans="1:98" ht="16" x14ac:dyDescent="0.2">
      <c r="A106" s="294"/>
      <c r="C106" s="294"/>
      <c r="K106" s="294"/>
      <c r="L106" s="294"/>
      <c r="S106" s="343"/>
      <c r="T106" s="343"/>
      <c r="U106" s="343"/>
      <c r="V106" s="343"/>
      <c r="W106" s="343"/>
      <c r="X106" s="343"/>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294"/>
      <c r="AU106" s="294"/>
      <c r="BA106" s="343"/>
      <c r="BB106" s="294"/>
      <c r="BC106" s="294"/>
      <c r="BH106" s="343"/>
      <c r="BI106" s="294"/>
      <c r="BJ106" s="294"/>
      <c r="BO106" s="343"/>
      <c r="BP106" s="294"/>
      <c r="BQ106" s="294"/>
      <c r="BR106" s="362" t="str">
        <f>VLOOKUP(BU106,TableInputsData[],6,FALSE)</f>
        <v>-</v>
      </c>
      <c r="BS106" s="598" t="str">
        <f>VLOOKUP(BU106,InputsData!$C$36:$I$67,5,FALSE)</f>
        <v>DIENST 10</v>
      </c>
      <c r="BT106" s="1" t="s">
        <v>531</v>
      </c>
      <c r="BU106" s="1" t="s">
        <v>115</v>
      </c>
      <c r="BV106" s="2">
        <v>0</v>
      </c>
      <c r="BW106" s="2">
        <v>0</v>
      </c>
      <c r="BX106" s="2">
        <v>0</v>
      </c>
      <c r="BY106" s="2">
        <v>0</v>
      </c>
      <c r="BZ106" s="2">
        <v>0</v>
      </c>
      <c r="CA106" s="2">
        <v>0</v>
      </c>
      <c r="CB106" s="2">
        <v>0</v>
      </c>
      <c r="CC106" s="2">
        <v>0</v>
      </c>
      <c r="CD106" s="2">
        <v>0</v>
      </c>
      <c r="CE106" s="2">
        <v>0</v>
      </c>
      <c r="CF106" s="2">
        <v>0</v>
      </c>
      <c r="CG106" s="2">
        <v>0</v>
      </c>
      <c r="CH106" s="2">
        <v>0</v>
      </c>
      <c r="CI106" s="2">
        <v>0</v>
      </c>
      <c r="CJ106" s="2">
        <v>0</v>
      </c>
      <c r="CK106" s="2">
        <v>0</v>
      </c>
      <c r="CL106" s="2">
        <v>0</v>
      </c>
      <c r="CM106" s="2">
        <v>0</v>
      </c>
      <c r="CN106" s="2">
        <v>0</v>
      </c>
      <c r="CO106" s="2">
        <v>0</v>
      </c>
      <c r="CP106" s="2">
        <v>0</v>
      </c>
      <c r="CQ106" s="2">
        <v>0</v>
      </c>
      <c r="CR106" s="2">
        <v>0</v>
      </c>
      <c r="CS106" s="2">
        <v>0</v>
      </c>
      <c r="CT106" s="294"/>
    </row>
    <row r="107" spans="1:98" ht="16" x14ac:dyDescent="0.2">
      <c r="A107" s="294"/>
      <c r="C107" s="294"/>
      <c r="K107" s="294"/>
      <c r="L107" s="294"/>
      <c r="S107" s="343"/>
      <c r="T107" s="343"/>
      <c r="U107" s="343"/>
      <c r="V107" s="343"/>
      <c r="W107" s="343"/>
      <c r="X107" s="343"/>
      <c r="Y107" s="343"/>
      <c r="Z107" s="343"/>
      <c r="AA107" s="343"/>
      <c r="AB107" s="343"/>
      <c r="AC107" s="343"/>
      <c r="AD107" s="343"/>
      <c r="AE107" s="343"/>
      <c r="AF107" s="343"/>
      <c r="AG107" s="343"/>
      <c r="AH107" s="343"/>
      <c r="AI107" s="343"/>
      <c r="AJ107" s="343"/>
      <c r="AK107" s="343"/>
      <c r="AL107" s="343"/>
      <c r="AM107" s="343"/>
      <c r="AN107" s="343"/>
      <c r="AO107" s="343"/>
      <c r="AP107" s="343"/>
      <c r="AQ107" s="343"/>
      <c r="AR107" s="343"/>
      <c r="AS107" s="343"/>
      <c r="AT107" s="294"/>
      <c r="AU107" s="294"/>
      <c r="BA107" s="343"/>
      <c r="BB107" s="294"/>
      <c r="BC107" s="294"/>
      <c r="BH107" s="343"/>
      <c r="BI107" s="294"/>
      <c r="BJ107" s="294"/>
      <c r="BO107" s="343"/>
      <c r="BP107" s="294"/>
      <c r="BQ107" s="294"/>
      <c r="BR107" s="348"/>
      <c r="BS107" s="368"/>
      <c r="BT107" s="358" t="s">
        <v>2076</v>
      </c>
      <c r="BU107" s="358"/>
      <c r="BV107" s="347">
        <v>0</v>
      </c>
      <c r="BW107" s="347">
        <v>0</v>
      </c>
      <c r="BX107" s="347">
        <v>0</v>
      </c>
      <c r="BY107" s="347">
        <v>0</v>
      </c>
      <c r="BZ107" s="347">
        <v>0</v>
      </c>
      <c r="CA107" s="347">
        <v>0</v>
      </c>
      <c r="CB107" s="347">
        <v>0</v>
      </c>
      <c r="CC107" s="347">
        <v>0</v>
      </c>
      <c r="CD107" s="347">
        <v>0</v>
      </c>
      <c r="CE107" s="347">
        <v>0</v>
      </c>
      <c r="CF107" s="347">
        <v>0</v>
      </c>
      <c r="CG107" s="347">
        <v>0</v>
      </c>
      <c r="CH107" s="347">
        <v>0</v>
      </c>
      <c r="CI107" s="347">
        <v>0</v>
      </c>
      <c r="CJ107" s="347">
        <v>0</v>
      </c>
      <c r="CK107" s="347">
        <v>0</v>
      </c>
      <c r="CL107" s="347">
        <v>0</v>
      </c>
      <c r="CM107" s="347">
        <v>0</v>
      </c>
      <c r="CN107" s="347">
        <v>0</v>
      </c>
      <c r="CO107" s="347">
        <v>0</v>
      </c>
      <c r="CP107" s="347">
        <v>0</v>
      </c>
      <c r="CQ107" s="347">
        <v>0</v>
      </c>
      <c r="CR107" s="347">
        <v>0</v>
      </c>
      <c r="CS107" s="347">
        <v>0</v>
      </c>
      <c r="CT107" s="294"/>
    </row>
    <row r="108" spans="1:98" ht="16" x14ac:dyDescent="0.2">
      <c r="A108" s="294"/>
      <c r="C108" s="294"/>
      <c r="K108" s="294"/>
      <c r="L108" s="294"/>
      <c r="S108" s="343"/>
      <c r="T108" s="343"/>
      <c r="U108" s="343"/>
      <c r="V108" s="343"/>
      <c r="W108" s="343"/>
      <c r="X108" s="343"/>
      <c r="Y108" s="343"/>
      <c r="Z108" s="343"/>
      <c r="AA108" s="343"/>
      <c r="AB108" s="343"/>
      <c r="AC108" s="343"/>
      <c r="AD108" s="343"/>
      <c r="AE108" s="343"/>
      <c r="AF108" s="343"/>
      <c r="AG108" s="343"/>
      <c r="AH108" s="343"/>
      <c r="AI108" s="343"/>
      <c r="AJ108" s="343"/>
      <c r="AK108" s="343"/>
      <c r="AL108" s="343"/>
      <c r="AM108" s="343"/>
      <c r="AN108" s="343"/>
      <c r="AO108" s="343"/>
      <c r="AP108" s="343"/>
      <c r="AQ108" s="343"/>
      <c r="AR108" s="343"/>
      <c r="AS108" s="343"/>
      <c r="AT108" s="294"/>
      <c r="AU108" s="294"/>
      <c r="BA108" s="343"/>
      <c r="BB108" s="294"/>
      <c r="BC108" s="294"/>
      <c r="BH108" s="343"/>
      <c r="BI108" s="294"/>
      <c r="BJ108" s="294"/>
      <c r="BO108" s="343"/>
      <c r="BP108" s="294"/>
      <c r="BQ108" s="294"/>
      <c r="BR108" s="362" t="str">
        <f>VLOOKUP(BU108,TableInputsData[],6,FALSE)</f>
        <v>XYZ</v>
      </c>
      <c r="BS108" s="598" t="str">
        <f>VLOOKUP(BU108,InputsData!$C$36:$I$67,5,FALSE)</f>
        <v>PRODUCT 01</v>
      </c>
      <c r="BT108" s="1" t="s">
        <v>522</v>
      </c>
      <c r="BU108" s="1" t="s">
        <v>537</v>
      </c>
      <c r="BV108" s="2">
        <v>0</v>
      </c>
      <c r="BW108" s="2">
        <v>0</v>
      </c>
      <c r="BX108" s="2">
        <v>0</v>
      </c>
      <c r="BY108" s="2">
        <v>0</v>
      </c>
      <c r="BZ108" s="2">
        <v>0</v>
      </c>
      <c r="CA108" s="2">
        <v>0</v>
      </c>
      <c r="CB108" s="2">
        <v>0</v>
      </c>
      <c r="CC108" s="2">
        <v>0</v>
      </c>
      <c r="CD108" s="2">
        <v>0</v>
      </c>
      <c r="CE108" s="2">
        <v>0</v>
      </c>
      <c r="CF108" s="2">
        <v>0</v>
      </c>
      <c r="CG108" s="2">
        <v>0</v>
      </c>
      <c r="CH108" s="2">
        <v>0</v>
      </c>
      <c r="CI108" s="2">
        <v>0</v>
      </c>
      <c r="CJ108" s="2">
        <v>0</v>
      </c>
      <c r="CK108" s="2">
        <v>0</v>
      </c>
      <c r="CL108" s="2">
        <v>0</v>
      </c>
      <c r="CM108" s="2">
        <v>0</v>
      </c>
      <c r="CN108" s="2">
        <v>0</v>
      </c>
      <c r="CO108" s="2">
        <v>0</v>
      </c>
      <c r="CP108" s="2">
        <v>0</v>
      </c>
      <c r="CQ108" s="2">
        <v>0</v>
      </c>
      <c r="CR108" s="2">
        <v>0</v>
      </c>
      <c r="CS108" s="2">
        <v>0</v>
      </c>
      <c r="CT108" s="294"/>
    </row>
    <row r="109" spans="1:98" ht="16" x14ac:dyDescent="0.2">
      <c r="A109" s="294"/>
      <c r="C109" s="294"/>
      <c r="K109" s="294"/>
      <c r="L109" s="294"/>
      <c r="S109" s="343"/>
      <c r="T109" s="343"/>
      <c r="U109" s="343"/>
      <c r="V109" s="343"/>
      <c r="W109" s="343"/>
      <c r="X109" s="343"/>
      <c r="Y109" s="343"/>
      <c r="Z109" s="343"/>
      <c r="AA109" s="343"/>
      <c r="AB109" s="343"/>
      <c r="AC109" s="343"/>
      <c r="AD109" s="343"/>
      <c r="AE109" s="343"/>
      <c r="AF109" s="343"/>
      <c r="AG109" s="343"/>
      <c r="AH109" s="343"/>
      <c r="AI109" s="343"/>
      <c r="AJ109" s="343"/>
      <c r="AK109" s="343"/>
      <c r="AL109" s="343"/>
      <c r="AM109" s="343"/>
      <c r="AN109" s="343"/>
      <c r="AO109" s="343"/>
      <c r="AP109" s="343"/>
      <c r="AQ109" s="343"/>
      <c r="AR109" s="343"/>
      <c r="AS109" s="343"/>
      <c r="AT109" s="294"/>
      <c r="AU109" s="294"/>
      <c r="BA109" s="343"/>
      <c r="BB109" s="294"/>
      <c r="BC109" s="294"/>
      <c r="BH109" s="343"/>
      <c r="BI109" s="294"/>
      <c r="BJ109" s="294"/>
      <c r="BO109" s="343"/>
      <c r="BP109" s="294"/>
      <c r="BQ109" s="294"/>
      <c r="BR109" s="362" t="str">
        <f>VLOOKUP(BU109,TableInputsData[],6,FALSE)</f>
        <v>ABC</v>
      </c>
      <c r="BS109" s="598" t="str">
        <f>VLOOKUP(BU109,InputsData!$C$36:$I$67,5,FALSE)</f>
        <v>PRODUCT 02</v>
      </c>
      <c r="BT109" s="1" t="s">
        <v>522</v>
      </c>
      <c r="BU109" s="1" t="s">
        <v>538</v>
      </c>
      <c r="BV109" s="2">
        <v>0</v>
      </c>
      <c r="BW109" s="2">
        <v>0</v>
      </c>
      <c r="BX109" s="2">
        <v>0</v>
      </c>
      <c r="BY109" s="2">
        <v>0</v>
      </c>
      <c r="BZ109" s="2">
        <v>0</v>
      </c>
      <c r="CA109" s="2">
        <v>0</v>
      </c>
      <c r="CB109" s="2">
        <v>0</v>
      </c>
      <c r="CC109" s="2">
        <v>0</v>
      </c>
      <c r="CD109" s="2">
        <v>0</v>
      </c>
      <c r="CE109" s="2">
        <v>0</v>
      </c>
      <c r="CF109" s="2">
        <v>0</v>
      </c>
      <c r="CG109" s="2">
        <v>0</v>
      </c>
      <c r="CH109" s="2">
        <v>0</v>
      </c>
      <c r="CI109" s="2">
        <v>0</v>
      </c>
      <c r="CJ109" s="2">
        <v>0</v>
      </c>
      <c r="CK109" s="2">
        <v>0</v>
      </c>
      <c r="CL109" s="2">
        <v>0</v>
      </c>
      <c r="CM109" s="2">
        <v>0</v>
      </c>
      <c r="CN109" s="2">
        <v>0</v>
      </c>
      <c r="CO109" s="2">
        <v>0</v>
      </c>
      <c r="CP109" s="2">
        <v>0</v>
      </c>
      <c r="CQ109" s="2">
        <v>0</v>
      </c>
      <c r="CR109" s="2">
        <v>0</v>
      </c>
      <c r="CS109" s="2">
        <v>0</v>
      </c>
      <c r="CT109" s="294"/>
    </row>
    <row r="110" spans="1:98" ht="16" x14ac:dyDescent="0.2">
      <c r="A110" s="294"/>
      <c r="C110" s="294"/>
      <c r="K110" s="294"/>
      <c r="L110" s="294"/>
      <c r="S110" s="343"/>
      <c r="T110" s="343"/>
      <c r="U110" s="343"/>
      <c r="V110" s="343"/>
      <c r="W110" s="343"/>
      <c r="X110" s="343"/>
      <c r="Y110" s="343"/>
      <c r="Z110" s="343"/>
      <c r="AA110" s="343"/>
      <c r="AB110" s="343"/>
      <c r="AC110" s="343"/>
      <c r="AD110" s="343"/>
      <c r="AE110" s="343"/>
      <c r="AF110" s="343"/>
      <c r="AG110" s="343"/>
      <c r="AH110" s="343"/>
      <c r="AI110" s="343"/>
      <c r="AJ110" s="343"/>
      <c r="AK110" s="343"/>
      <c r="AL110" s="343"/>
      <c r="AM110" s="343"/>
      <c r="AN110" s="343"/>
      <c r="AO110" s="343"/>
      <c r="AP110" s="343"/>
      <c r="AQ110" s="343"/>
      <c r="AR110" s="343"/>
      <c r="AS110" s="343"/>
      <c r="AT110" s="294"/>
      <c r="AU110" s="294"/>
      <c r="BA110" s="343"/>
      <c r="BB110" s="294"/>
      <c r="BC110" s="294"/>
      <c r="BH110" s="343"/>
      <c r="BI110" s="294"/>
      <c r="BJ110" s="294"/>
      <c r="BO110" s="343"/>
      <c r="BP110" s="294"/>
      <c r="BQ110" s="294"/>
      <c r="BR110" s="362" t="str">
        <f>VLOOKUP(BU110,TableInputsData[],6,FALSE)</f>
        <v>-</v>
      </c>
      <c r="BS110" s="598" t="str">
        <f>VLOOKUP(BU110,InputsData!$C$36:$I$67,5,FALSE)</f>
        <v>PRODUCT 03</v>
      </c>
      <c r="BT110" s="1" t="s">
        <v>522</v>
      </c>
      <c r="BU110" s="1" t="s">
        <v>539</v>
      </c>
      <c r="BV110" s="2">
        <v>0</v>
      </c>
      <c r="BW110" s="2">
        <v>0</v>
      </c>
      <c r="BX110" s="2">
        <v>0</v>
      </c>
      <c r="BY110" s="2">
        <v>0</v>
      </c>
      <c r="BZ110" s="2">
        <v>0</v>
      </c>
      <c r="CA110" s="2">
        <v>0</v>
      </c>
      <c r="CB110" s="2">
        <v>0</v>
      </c>
      <c r="CC110" s="2">
        <v>0</v>
      </c>
      <c r="CD110" s="2">
        <v>0</v>
      </c>
      <c r="CE110" s="2">
        <v>0</v>
      </c>
      <c r="CF110" s="2">
        <v>0</v>
      </c>
      <c r="CG110" s="2">
        <v>0</v>
      </c>
      <c r="CH110" s="2">
        <v>0</v>
      </c>
      <c r="CI110" s="2">
        <v>0</v>
      </c>
      <c r="CJ110" s="2">
        <v>0</v>
      </c>
      <c r="CK110" s="2">
        <v>0</v>
      </c>
      <c r="CL110" s="2">
        <v>0</v>
      </c>
      <c r="CM110" s="2">
        <v>0</v>
      </c>
      <c r="CN110" s="2">
        <v>0</v>
      </c>
      <c r="CO110" s="2">
        <v>0</v>
      </c>
      <c r="CP110" s="2">
        <v>0</v>
      </c>
      <c r="CQ110" s="2">
        <v>0</v>
      </c>
      <c r="CR110" s="2">
        <v>0</v>
      </c>
      <c r="CS110" s="2">
        <v>0</v>
      </c>
      <c r="CT110" s="294"/>
    </row>
    <row r="111" spans="1:98" ht="16" x14ac:dyDescent="0.2">
      <c r="A111" s="294"/>
      <c r="C111" s="294"/>
      <c r="K111" s="294"/>
      <c r="L111" s="294"/>
      <c r="S111" s="343"/>
      <c r="T111" s="343"/>
      <c r="U111" s="343"/>
      <c r="V111" s="343"/>
      <c r="W111" s="343"/>
      <c r="X111" s="343"/>
      <c r="Y111" s="343"/>
      <c r="Z111" s="343"/>
      <c r="AA111" s="343"/>
      <c r="AB111" s="343"/>
      <c r="AC111" s="343"/>
      <c r="AD111" s="343"/>
      <c r="AE111" s="343"/>
      <c r="AF111" s="343"/>
      <c r="AG111" s="343"/>
      <c r="AH111" s="343"/>
      <c r="AI111" s="343"/>
      <c r="AJ111" s="343"/>
      <c r="AK111" s="343"/>
      <c r="AL111" s="343"/>
      <c r="AM111" s="343"/>
      <c r="AN111" s="343"/>
      <c r="AO111" s="343"/>
      <c r="AP111" s="343"/>
      <c r="AQ111" s="343"/>
      <c r="AR111" s="343"/>
      <c r="AS111" s="343"/>
      <c r="AT111" s="294"/>
      <c r="AU111" s="294"/>
      <c r="BA111" s="343"/>
      <c r="BB111" s="294"/>
      <c r="BC111" s="294"/>
      <c r="BH111" s="343"/>
      <c r="BI111" s="294"/>
      <c r="BJ111" s="294"/>
      <c r="BO111" s="343"/>
      <c r="BP111" s="294"/>
      <c r="BQ111" s="294"/>
      <c r="BR111" s="362" t="str">
        <f>VLOOKUP(BU111,TableInputsData[],6,FALSE)</f>
        <v>-</v>
      </c>
      <c r="BS111" s="598" t="str">
        <f>VLOOKUP(BU111,InputsData!$C$36:$I$67,5,FALSE)</f>
        <v>PRODUCT 04</v>
      </c>
      <c r="BT111" s="1" t="s">
        <v>522</v>
      </c>
      <c r="BU111" s="1" t="s">
        <v>540</v>
      </c>
      <c r="BV111" s="2">
        <v>0</v>
      </c>
      <c r="BW111" s="2">
        <v>0</v>
      </c>
      <c r="BX111" s="2">
        <v>0</v>
      </c>
      <c r="BY111" s="2">
        <v>0</v>
      </c>
      <c r="BZ111" s="2">
        <v>0</v>
      </c>
      <c r="CA111" s="2">
        <v>0</v>
      </c>
      <c r="CB111" s="2">
        <v>0</v>
      </c>
      <c r="CC111" s="2">
        <v>0</v>
      </c>
      <c r="CD111" s="2">
        <v>0</v>
      </c>
      <c r="CE111" s="2">
        <v>0</v>
      </c>
      <c r="CF111" s="2">
        <v>0</v>
      </c>
      <c r="CG111" s="2">
        <v>0</v>
      </c>
      <c r="CH111" s="2">
        <v>0</v>
      </c>
      <c r="CI111" s="2">
        <v>0</v>
      </c>
      <c r="CJ111" s="2">
        <v>0</v>
      </c>
      <c r="CK111" s="2">
        <v>0</v>
      </c>
      <c r="CL111" s="2">
        <v>0</v>
      </c>
      <c r="CM111" s="2">
        <v>0</v>
      </c>
      <c r="CN111" s="2">
        <v>0</v>
      </c>
      <c r="CO111" s="2">
        <v>0</v>
      </c>
      <c r="CP111" s="2">
        <v>0</v>
      </c>
      <c r="CQ111" s="2">
        <v>0</v>
      </c>
      <c r="CR111" s="2">
        <v>0</v>
      </c>
      <c r="CS111" s="2">
        <v>0</v>
      </c>
      <c r="CT111" s="294"/>
    </row>
    <row r="112" spans="1:98" ht="16" x14ac:dyDescent="0.2">
      <c r="A112" s="294"/>
      <c r="C112" s="294"/>
      <c r="K112" s="294"/>
      <c r="L112" s="294"/>
      <c r="S112" s="343"/>
      <c r="T112" s="343"/>
      <c r="U112" s="343"/>
      <c r="V112" s="343"/>
      <c r="W112" s="343"/>
      <c r="X112" s="343"/>
      <c r="Y112" s="343"/>
      <c r="Z112" s="343"/>
      <c r="AA112" s="343"/>
      <c r="AB112" s="343"/>
      <c r="AC112" s="343"/>
      <c r="AD112" s="343"/>
      <c r="AE112" s="343"/>
      <c r="AF112" s="343"/>
      <c r="AG112" s="343"/>
      <c r="AH112" s="343"/>
      <c r="AI112" s="343"/>
      <c r="AJ112" s="343"/>
      <c r="AK112" s="343"/>
      <c r="AL112" s="343"/>
      <c r="AM112" s="343"/>
      <c r="AN112" s="343"/>
      <c r="AO112" s="343"/>
      <c r="AP112" s="343"/>
      <c r="AQ112" s="343"/>
      <c r="AR112" s="343"/>
      <c r="AS112" s="343"/>
      <c r="AT112" s="294"/>
      <c r="AU112" s="294"/>
      <c r="BB112" s="294"/>
      <c r="BC112" s="294"/>
      <c r="BD112" s="343"/>
      <c r="BE112" s="343"/>
      <c r="BF112" s="343"/>
      <c r="BG112" s="343"/>
      <c r="BH112" s="343"/>
      <c r="BI112" s="294"/>
      <c r="BJ112" s="294"/>
      <c r="BK112" s="343"/>
      <c r="BL112" s="343"/>
      <c r="BM112" s="343"/>
      <c r="BN112" s="343"/>
      <c r="BO112" s="343"/>
      <c r="BP112" s="294"/>
      <c r="BQ112" s="294"/>
      <c r="BR112" s="362" t="str">
        <f>VLOOKUP(BU112,TableInputsData[],6,FALSE)</f>
        <v>-</v>
      </c>
      <c r="BS112" s="598" t="str">
        <f>VLOOKUP(BU112,InputsData!$C$36:$I$67,5,FALSE)</f>
        <v>PRODUCT 05</v>
      </c>
      <c r="BT112" s="1" t="s">
        <v>522</v>
      </c>
      <c r="BU112" s="1" t="s">
        <v>541</v>
      </c>
      <c r="BV112" s="2">
        <v>0</v>
      </c>
      <c r="BW112" s="2">
        <v>0</v>
      </c>
      <c r="BX112" s="2">
        <v>0</v>
      </c>
      <c r="BY112" s="2">
        <v>0</v>
      </c>
      <c r="BZ112" s="2">
        <v>0</v>
      </c>
      <c r="CA112" s="2">
        <v>0</v>
      </c>
      <c r="CB112" s="2">
        <v>0</v>
      </c>
      <c r="CC112" s="2">
        <v>0</v>
      </c>
      <c r="CD112" s="2">
        <v>0</v>
      </c>
      <c r="CE112" s="2">
        <v>0</v>
      </c>
      <c r="CF112" s="2">
        <v>0</v>
      </c>
      <c r="CG112" s="2">
        <v>0</v>
      </c>
      <c r="CH112" s="2">
        <v>0</v>
      </c>
      <c r="CI112" s="2">
        <v>0</v>
      </c>
      <c r="CJ112" s="2">
        <v>0</v>
      </c>
      <c r="CK112" s="2">
        <v>0</v>
      </c>
      <c r="CL112" s="2">
        <v>0</v>
      </c>
      <c r="CM112" s="2">
        <v>0</v>
      </c>
      <c r="CN112" s="2">
        <v>0</v>
      </c>
      <c r="CO112" s="2">
        <v>0</v>
      </c>
      <c r="CP112" s="2">
        <v>0</v>
      </c>
      <c r="CQ112" s="2">
        <v>0</v>
      </c>
      <c r="CR112" s="2">
        <v>0</v>
      </c>
      <c r="CS112" s="2">
        <v>0</v>
      </c>
      <c r="CT112" s="294"/>
    </row>
    <row r="113" spans="1:98" ht="16" x14ac:dyDescent="0.2">
      <c r="A113" s="294"/>
      <c r="C113" s="294"/>
      <c r="K113" s="294"/>
      <c r="L113" s="294"/>
      <c r="AS113" s="343"/>
      <c r="AT113" s="294"/>
      <c r="AU113" s="294"/>
      <c r="AV113" s="343"/>
      <c r="AW113" s="343"/>
      <c r="AX113" s="343"/>
      <c r="AY113" s="343"/>
      <c r="AZ113" s="343"/>
      <c r="BA113" s="343"/>
      <c r="BB113" s="294"/>
      <c r="BC113" s="294"/>
      <c r="BD113" s="343"/>
      <c r="BE113" s="343"/>
      <c r="BF113" s="343"/>
      <c r="BG113" s="343"/>
      <c r="BH113" s="343"/>
      <c r="BI113" s="294"/>
      <c r="BJ113" s="294"/>
      <c r="BK113" s="343"/>
      <c r="BL113" s="343"/>
      <c r="BM113" s="343"/>
      <c r="BN113" s="343"/>
      <c r="BO113" s="343"/>
      <c r="BP113" s="294"/>
      <c r="BQ113" s="294"/>
      <c r="BR113" s="362" t="str">
        <f>VLOOKUP(BU113,TableInputsData[],6,FALSE)</f>
        <v>-</v>
      </c>
      <c r="BS113" s="598" t="str">
        <f>VLOOKUP(BU113,InputsData!$C$36:$I$67,5,FALSE)</f>
        <v>PRODUCT 06</v>
      </c>
      <c r="BT113" s="1" t="s">
        <v>522</v>
      </c>
      <c r="BU113" s="1" t="s">
        <v>542</v>
      </c>
      <c r="BV113" s="2">
        <v>0</v>
      </c>
      <c r="BW113" s="2">
        <v>0</v>
      </c>
      <c r="BX113" s="2">
        <v>0</v>
      </c>
      <c r="BY113" s="2">
        <v>0</v>
      </c>
      <c r="BZ113" s="2">
        <v>0</v>
      </c>
      <c r="CA113" s="2">
        <v>0</v>
      </c>
      <c r="CB113" s="2">
        <v>0</v>
      </c>
      <c r="CC113" s="2">
        <v>0</v>
      </c>
      <c r="CD113" s="2">
        <v>0</v>
      </c>
      <c r="CE113" s="2">
        <v>0</v>
      </c>
      <c r="CF113" s="2">
        <v>0</v>
      </c>
      <c r="CG113" s="2">
        <v>0</v>
      </c>
      <c r="CH113" s="2">
        <v>0</v>
      </c>
      <c r="CI113" s="2">
        <v>0</v>
      </c>
      <c r="CJ113" s="2">
        <v>0</v>
      </c>
      <c r="CK113" s="2">
        <v>0</v>
      </c>
      <c r="CL113" s="2">
        <v>0</v>
      </c>
      <c r="CM113" s="2">
        <v>0</v>
      </c>
      <c r="CN113" s="2">
        <v>0</v>
      </c>
      <c r="CO113" s="2">
        <v>0</v>
      </c>
      <c r="CP113" s="2">
        <v>0</v>
      </c>
      <c r="CQ113" s="2">
        <v>0</v>
      </c>
      <c r="CR113" s="2">
        <v>0</v>
      </c>
      <c r="CS113" s="2">
        <v>0</v>
      </c>
      <c r="CT113" s="294"/>
    </row>
    <row r="114" spans="1:98" ht="16" x14ac:dyDescent="0.2">
      <c r="A114" s="294"/>
      <c r="C114" s="294"/>
      <c r="K114" s="294"/>
      <c r="L114" s="294"/>
      <c r="AS114" s="343"/>
      <c r="AT114" s="294"/>
      <c r="AU114" s="294"/>
      <c r="AV114" s="343"/>
      <c r="AW114" s="343"/>
      <c r="AX114" s="343"/>
      <c r="AY114" s="343"/>
      <c r="AZ114" s="343"/>
      <c r="BA114" s="343"/>
      <c r="BB114" s="294"/>
      <c r="BC114" s="294"/>
      <c r="BD114" s="343"/>
      <c r="BE114" s="343"/>
      <c r="BF114" s="343"/>
      <c r="BG114" s="343"/>
      <c r="BH114" s="343"/>
      <c r="BI114" s="294"/>
      <c r="BJ114" s="294"/>
      <c r="BK114" s="343"/>
      <c r="BL114" s="343"/>
      <c r="BM114" s="343"/>
      <c r="BN114" s="343"/>
      <c r="BO114" s="343"/>
      <c r="BP114" s="294"/>
      <c r="BQ114" s="294"/>
      <c r="BR114" s="362" t="str">
        <f>VLOOKUP(BU114,TableInputsData[],6,FALSE)</f>
        <v>-</v>
      </c>
      <c r="BS114" s="598" t="str">
        <f>VLOOKUP(BU114,InputsData!$C$36:$I$67,5,FALSE)</f>
        <v>PRODUCT 07</v>
      </c>
      <c r="BT114" s="1" t="s">
        <v>522</v>
      </c>
      <c r="BU114" s="1" t="s">
        <v>543</v>
      </c>
      <c r="BV114" s="2">
        <v>0</v>
      </c>
      <c r="BW114" s="2">
        <v>0</v>
      </c>
      <c r="BX114" s="2">
        <v>0</v>
      </c>
      <c r="BY114" s="2">
        <v>0</v>
      </c>
      <c r="BZ114" s="2">
        <v>0</v>
      </c>
      <c r="CA114" s="2">
        <v>0</v>
      </c>
      <c r="CB114" s="2">
        <v>0</v>
      </c>
      <c r="CC114" s="2">
        <v>0</v>
      </c>
      <c r="CD114" s="2">
        <v>0</v>
      </c>
      <c r="CE114" s="2">
        <v>0</v>
      </c>
      <c r="CF114" s="2">
        <v>0</v>
      </c>
      <c r="CG114" s="2">
        <v>0</v>
      </c>
      <c r="CH114" s="2">
        <v>0</v>
      </c>
      <c r="CI114" s="2">
        <v>0</v>
      </c>
      <c r="CJ114" s="2">
        <v>0</v>
      </c>
      <c r="CK114" s="2">
        <v>0</v>
      </c>
      <c r="CL114" s="2">
        <v>0</v>
      </c>
      <c r="CM114" s="2">
        <v>0</v>
      </c>
      <c r="CN114" s="2">
        <v>0</v>
      </c>
      <c r="CO114" s="2">
        <v>0</v>
      </c>
      <c r="CP114" s="2">
        <v>0</v>
      </c>
      <c r="CQ114" s="2">
        <v>0</v>
      </c>
      <c r="CR114" s="2">
        <v>0</v>
      </c>
      <c r="CS114" s="2">
        <v>0</v>
      </c>
      <c r="CT114" s="294"/>
    </row>
    <row r="115" spans="1:98" ht="16" x14ac:dyDescent="0.2">
      <c r="A115" s="294"/>
      <c r="C115" s="294"/>
      <c r="K115" s="294"/>
      <c r="L115" s="294"/>
      <c r="M115" s="343"/>
      <c r="N115" s="343"/>
      <c r="O115" s="343"/>
      <c r="P115" s="343"/>
      <c r="Q115" s="343"/>
      <c r="R115" s="343"/>
      <c r="AS115" s="343"/>
      <c r="AT115" s="294"/>
      <c r="AU115" s="294"/>
      <c r="AV115" s="343"/>
      <c r="AW115" s="343"/>
      <c r="AX115" s="343"/>
      <c r="AY115" s="343"/>
      <c r="AZ115" s="343"/>
      <c r="BA115" s="343"/>
      <c r="BB115" s="294"/>
      <c r="BC115" s="294"/>
      <c r="BD115" s="343"/>
      <c r="BE115" s="343"/>
      <c r="BF115" s="343"/>
      <c r="BG115" s="343"/>
      <c r="BH115" s="343"/>
      <c r="BI115" s="294"/>
      <c r="BJ115" s="294"/>
      <c r="BK115" s="343"/>
      <c r="BL115" s="343"/>
      <c r="BM115" s="343"/>
      <c r="BN115" s="343"/>
      <c r="BO115" s="343"/>
      <c r="BP115" s="294"/>
      <c r="BQ115" s="294"/>
      <c r="BR115" s="362" t="str">
        <f>VLOOKUP(BU115,TableInputsData[],6,FALSE)</f>
        <v>-</v>
      </c>
      <c r="BS115" s="598" t="str">
        <f>VLOOKUP(BU115,InputsData!$C$36:$I$67,5,FALSE)</f>
        <v>PRODUCT 08</v>
      </c>
      <c r="BT115" s="1" t="s">
        <v>522</v>
      </c>
      <c r="BU115" s="1" t="s">
        <v>544</v>
      </c>
      <c r="BV115" s="2">
        <v>0</v>
      </c>
      <c r="BW115" s="2">
        <v>0</v>
      </c>
      <c r="BX115" s="2">
        <v>0</v>
      </c>
      <c r="BY115" s="2">
        <v>0</v>
      </c>
      <c r="BZ115" s="2">
        <v>0</v>
      </c>
      <c r="CA115" s="2">
        <v>0</v>
      </c>
      <c r="CB115" s="2">
        <v>0</v>
      </c>
      <c r="CC115" s="2">
        <v>0</v>
      </c>
      <c r="CD115" s="2">
        <v>0</v>
      </c>
      <c r="CE115" s="2">
        <v>0</v>
      </c>
      <c r="CF115" s="2">
        <v>0</v>
      </c>
      <c r="CG115" s="2">
        <v>0</v>
      </c>
      <c r="CH115" s="2">
        <v>0</v>
      </c>
      <c r="CI115" s="2">
        <v>0</v>
      </c>
      <c r="CJ115" s="2">
        <v>0</v>
      </c>
      <c r="CK115" s="2">
        <v>0</v>
      </c>
      <c r="CL115" s="2">
        <v>0</v>
      </c>
      <c r="CM115" s="2">
        <v>0</v>
      </c>
      <c r="CN115" s="2">
        <v>0</v>
      </c>
      <c r="CO115" s="2">
        <v>0</v>
      </c>
      <c r="CP115" s="2">
        <v>0</v>
      </c>
      <c r="CQ115" s="2">
        <v>0</v>
      </c>
      <c r="CR115" s="2">
        <v>0</v>
      </c>
      <c r="CS115" s="2">
        <v>0</v>
      </c>
      <c r="CT115" s="294"/>
    </row>
    <row r="116" spans="1:98" ht="16" x14ac:dyDescent="0.2">
      <c r="A116" s="294"/>
      <c r="C116" s="294"/>
      <c r="K116" s="294"/>
      <c r="L116" s="294"/>
      <c r="M116" s="343"/>
      <c r="N116" s="343"/>
      <c r="O116" s="343"/>
      <c r="P116" s="343"/>
      <c r="Q116" s="343"/>
      <c r="R116" s="343"/>
      <c r="AS116" s="343"/>
      <c r="AT116" s="294"/>
      <c r="AU116" s="294"/>
      <c r="AV116" s="343"/>
      <c r="AW116" s="343"/>
      <c r="AX116" s="343"/>
      <c r="AY116" s="343"/>
      <c r="AZ116" s="343"/>
      <c r="BA116" s="343"/>
      <c r="BB116" s="294"/>
      <c r="BC116" s="294"/>
      <c r="BD116" s="343"/>
      <c r="BE116" s="343"/>
      <c r="BF116" s="343"/>
      <c r="BG116" s="343"/>
      <c r="BH116" s="343"/>
      <c r="BI116" s="294"/>
      <c r="BJ116" s="294"/>
      <c r="BK116" s="343"/>
      <c r="BL116" s="343"/>
      <c r="BM116" s="343"/>
      <c r="BN116" s="343"/>
      <c r="BO116" s="343"/>
      <c r="BP116" s="294"/>
      <c r="BQ116" s="294"/>
      <c r="BR116" s="362" t="str">
        <f>VLOOKUP(BU116,TableInputsData[],6,FALSE)</f>
        <v>-</v>
      </c>
      <c r="BS116" s="598" t="str">
        <f>VLOOKUP(BU116,InputsData!$C$36:$I$67,5,FALSE)</f>
        <v>PRODUCT 09</v>
      </c>
      <c r="BT116" s="1" t="s">
        <v>522</v>
      </c>
      <c r="BU116" s="1" t="s">
        <v>545</v>
      </c>
      <c r="BV116" s="2">
        <v>0</v>
      </c>
      <c r="BW116" s="2">
        <v>0</v>
      </c>
      <c r="BX116" s="2">
        <v>0</v>
      </c>
      <c r="BY116" s="2">
        <v>0</v>
      </c>
      <c r="BZ116" s="2">
        <v>0</v>
      </c>
      <c r="CA116" s="2">
        <v>0</v>
      </c>
      <c r="CB116" s="2">
        <v>0</v>
      </c>
      <c r="CC116" s="2">
        <v>0</v>
      </c>
      <c r="CD116" s="2">
        <v>0</v>
      </c>
      <c r="CE116" s="2">
        <v>0</v>
      </c>
      <c r="CF116" s="2">
        <v>0</v>
      </c>
      <c r="CG116" s="2">
        <v>0</v>
      </c>
      <c r="CH116" s="2">
        <v>0</v>
      </c>
      <c r="CI116" s="2">
        <v>0</v>
      </c>
      <c r="CJ116" s="2">
        <v>0</v>
      </c>
      <c r="CK116" s="2">
        <v>0</v>
      </c>
      <c r="CL116" s="2">
        <v>0</v>
      </c>
      <c r="CM116" s="2">
        <v>0</v>
      </c>
      <c r="CN116" s="2">
        <v>0</v>
      </c>
      <c r="CO116" s="2">
        <v>0</v>
      </c>
      <c r="CP116" s="2">
        <v>0</v>
      </c>
      <c r="CQ116" s="2">
        <v>0</v>
      </c>
      <c r="CR116" s="2">
        <v>0</v>
      </c>
      <c r="CS116" s="2">
        <v>0</v>
      </c>
      <c r="CT116" s="294"/>
    </row>
    <row r="117" spans="1:98" ht="16" x14ac:dyDescent="0.2">
      <c r="A117" s="294"/>
      <c r="C117" s="294"/>
      <c r="K117" s="294"/>
      <c r="L117" s="294"/>
      <c r="M117" s="343"/>
      <c r="N117" s="343"/>
      <c r="O117" s="343"/>
      <c r="P117" s="343"/>
      <c r="Q117" s="343"/>
      <c r="R117" s="343"/>
      <c r="AS117" s="343"/>
      <c r="AT117" s="294"/>
      <c r="AU117" s="294"/>
      <c r="AV117" s="343"/>
      <c r="AW117" s="343"/>
      <c r="AX117" s="343"/>
      <c r="AY117" s="343"/>
      <c r="AZ117" s="343"/>
      <c r="BA117" s="343"/>
      <c r="BB117" s="294"/>
      <c r="BC117" s="294"/>
      <c r="BD117" s="343"/>
      <c r="BE117" s="343"/>
      <c r="BF117" s="343"/>
      <c r="BG117" s="343"/>
      <c r="BH117" s="343"/>
      <c r="BI117" s="294"/>
      <c r="BJ117" s="294"/>
      <c r="BK117" s="343"/>
      <c r="BL117" s="343"/>
      <c r="BM117" s="343"/>
      <c r="BN117" s="343"/>
      <c r="BO117" s="343"/>
      <c r="BP117" s="294"/>
      <c r="BQ117" s="294"/>
      <c r="BR117" s="362" t="str">
        <f>VLOOKUP(BU117,TableInputsData[],6,FALSE)</f>
        <v>-</v>
      </c>
      <c r="BS117" s="598" t="str">
        <f>VLOOKUP(BU117,InputsData!$C$36:$I$67,5,FALSE)</f>
        <v>PRODUCT 10</v>
      </c>
      <c r="BT117" s="1" t="s">
        <v>522</v>
      </c>
      <c r="BU117" s="1" t="s">
        <v>401</v>
      </c>
      <c r="BV117" s="2">
        <v>0</v>
      </c>
      <c r="BW117" s="2">
        <v>0</v>
      </c>
      <c r="BX117" s="2">
        <v>0</v>
      </c>
      <c r="BY117" s="2">
        <v>0</v>
      </c>
      <c r="BZ117" s="2">
        <v>0</v>
      </c>
      <c r="CA117" s="2">
        <v>0</v>
      </c>
      <c r="CB117" s="2">
        <v>0</v>
      </c>
      <c r="CC117" s="2">
        <v>0</v>
      </c>
      <c r="CD117" s="2">
        <v>0</v>
      </c>
      <c r="CE117" s="2">
        <v>0</v>
      </c>
      <c r="CF117" s="2">
        <v>0</v>
      </c>
      <c r="CG117" s="2">
        <v>0</v>
      </c>
      <c r="CH117" s="2">
        <v>0</v>
      </c>
      <c r="CI117" s="2">
        <v>0</v>
      </c>
      <c r="CJ117" s="2">
        <v>0</v>
      </c>
      <c r="CK117" s="2">
        <v>0</v>
      </c>
      <c r="CL117" s="2">
        <v>0</v>
      </c>
      <c r="CM117" s="2">
        <v>0</v>
      </c>
      <c r="CN117" s="2">
        <v>0</v>
      </c>
      <c r="CO117" s="2">
        <v>0</v>
      </c>
      <c r="CP117" s="2">
        <v>0</v>
      </c>
      <c r="CQ117" s="2">
        <v>0</v>
      </c>
      <c r="CR117" s="2">
        <v>0</v>
      </c>
      <c r="CS117" s="2">
        <v>0</v>
      </c>
      <c r="CT117" s="294"/>
    </row>
    <row r="118" spans="1:98" ht="16" x14ac:dyDescent="0.2">
      <c r="A118" s="294"/>
      <c r="C118" s="294"/>
      <c r="K118" s="294"/>
      <c r="L118" s="294"/>
      <c r="M118" s="343"/>
      <c r="N118" s="343"/>
      <c r="O118" s="343"/>
      <c r="P118" s="343"/>
      <c r="Q118" s="343"/>
      <c r="R118" s="343"/>
      <c r="AS118" s="343"/>
      <c r="AT118" s="294"/>
      <c r="AU118" s="294"/>
      <c r="AV118" s="343"/>
      <c r="AW118" s="343"/>
      <c r="AX118" s="343"/>
      <c r="AY118" s="343"/>
      <c r="AZ118" s="343"/>
      <c r="BA118" s="343"/>
      <c r="BB118" s="294"/>
      <c r="BC118" s="294"/>
      <c r="BD118" s="343"/>
      <c r="BE118" s="343"/>
      <c r="BF118" s="343"/>
      <c r="BG118" s="343"/>
      <c r="BH118" s="343"/>
      <c r="BI118" s="294"/>
      <c r="BJ118" s="294"/>
      <c r="BK118" s="343"/>
      <c r="BL118" s="343"/>
      <c r="BM118" s="343"/>
      <c r="BN118" s="343"/>
      <c r="BO118" s="343"/>
      <c r="BP118" s="294"/>
      <c r="BQ118" s="294"/>
      <c r="BR118" s="362" t="str">
        <f>VLOOKUP(BU118,TableInputsData[],6,FALSE)</f>
        <v>-</v>
      </c>
      <c r="BS118" s="598" t="str">
        <f>VLOOKUP(BU118,InputsData!$C$36:$I$67,5,FALSE)</f>
        <v>PRODUCT 11</v>
      </c>
      <c r="BT118" s="1" t="s">
        <v>522</v>
      </c>
      <c r="BU118" s="1" t="s">
        <v>1710</v>
      </c>
      <c r="BV118" s="2">
        <v>0</v>
      </c>
      <c r="BW118" s="2">
        <v>0</v>
      </c>
      <c r="BX118" s="2">
        <v>0</v>
      </c>
      <c r="BY118" s="2">
        <v>0</v>
      </c>
      <c r="BZ118" s="2">
        <v>0</v>
      </c>
      <c r="CA118" s="2">
        <v>0</v>
      </c>
      <c r="CB118" s="2">
        <v>0</v>
      </c>
      <c r="CC118" s="2">
        <v>0</v>
      </c>
      <c r="CD118" s="2">
        <v>0</v>
      </c>
      <c r="CE118" s="2">
        <v>0</v>
      </c>
      <c r="CF118" s="2">
        <v>0</v>
      </c>
      <c r="CG118" s="2">
        <v>0</v>
      </c>
      <c r="CH118" s="2">
        <v>0</v>
      </c>
      <c r="CI118" s="2">
        <v>0</v>
      </c>
      <c r="CJ118" s="2">
        <v>0</v>
      </c>
      <c r="CK118" s="2">
        <v>0</v>
      </c>
      <c r="CL118" s="2">
        <v>0</v>
      </c>
      <c r="CM118" s="2">
        <v>0</v>
      </c>
      <c r="CN118" s="2">
        <v>0</v>
      </c>
      <c r="CO118" s="2">
        <v>0</v>
      </c>
      <c r="CP118" s="2">
        <v>0</v>
      </c>
      <c r="CQ118" s="2">
        <v>0</v>
      </c>
      <c r="CR118" s="2">
        <v>0</v>
      </c>
      <c r="CS118" s="2">
        <v>0</v>
      </c>
      <c r="CT118" s="294"/>
    </row>
    <row r="119" spans="1:98" ht="16" x14ac:dyDescent="0.2">
      <c r="A119" s="294"/>
      <c r="C119" s="294"/>
      <c r="K119" s="294"/>
      <c r="L119" s="294"/>
      <c r="M119" s="343"/>
      <c r="N119" s="343"/>
      <c r="O119" s="343"/>
      <c r="P119" s="343"/>
      <c r="Q119" s="343"/>
      <c r="R119" s="343"/>
      <c r="AS119" s="343"/>
      <c r="AT119" s="294"/>
      <c r="AU119" s="294"/>
      <c r="AV119" s="343"/>
      <c r="AW119" s="343"/>
      <c r="AX119" s="343"/>
      <c r="AY119" s="343"/>
      <c r="AZ119" s="343"/>
      <c r="BA119" s="343"/>
      <c r="BB119" s="294"/>
      <c r="BC119" s="294"/>
      <c r="BD119" s="343"/>
      <c r="BE119" s="343"/>
      <c r="BF119" s="343"/>
      <c r="BG119" s="343"/>
      <c r="BH119" s="343"/>
      <c r="BI119" s="294"/>
      <c r="BJ119" s="294"/>
      <c r="BK119" s="343"/>
      <c r="BL119" s="343"/>
      <c r="BM119" s="343"/>
      <c r="BN119" s="343"/>
      <c r="BO119" s="343"/>
      <c r="BP119" s="294"/>
      <c r="BQ119" s="294"/>
      <c r="BR119" s="362" t="str">
        <f>VLOOKUP(BU119,TableInputsData[],6,FALSE)</f>
        <v>-</v>
      </c>
      <c r="BS119" s="598" t="str">
        <f>VLOOKUP(BU119,InputsData!$C$36:$I$67,5,FALSE)</f>
        <v>PRODUCT 12</v>
      </c>
      <c r="BT119" s="1" t="s">
        <v>522</v>
      </c>
      <c r="BU119" s="1" t="s">
        <v>1712</v>
      </c>
      <c r="BV119" s="2">
        <v>0</v>
      </c>
      <c r="BW119" s="2">
        <v>0</v>
      </c>
      <c r="BX119" s="2">
        <v>0</v>
      </c>
      <c r="BY119" s="2">
        <v>0</v>
      </c>
      <c r="BZ119" s="2">
        <v>0</v>
      </c>
      <c r="CA119" s="2">
        <v>0</v>
      </c>
      <c r="CB119" s="2">
        <v>0</v>
      </c>
      <c r="CC119" s="2">
        <v>0</v>
      </c>
      <c r="CD119" s="2">
        <v>0</v>
      </c>
      <c r="CE119" s="2">
        <v>0</v>
      </c>
      <c r="CF119" s="2">
        <v>0</v>
      </c>
      <c r="CG119" s="2">
        <v>0</v>
      </c>
      <c r="CH119" s="2">
        <v>0</v>
      </c>
      <c r="CI119" s="2">
        <v>0</v>
      </c>
      <c r="CJ119" s="2">
        <v>0</v>
      </c>
      <c r="CK119" s="2">
        <v>0</v>
      </c>
      <c r="CL119" s="2">
        <v>0</v>
      </c>
      <c r="CM119" s="2">
        <v>0</v>
      </c>
      <c r="CN119" s="2">
        <v>0</v>
      </c>
      <c r="CO119" s="2">
        <v>0</v>
      </c>
      <c r="CP119" s="2">
        <v>0</v>
      </c>
      <c r="CQ119" s="2">
        <v>0</v>
      </c>
      <c r="CR119" s="2">
        <v>0</v>
      </c>
      <c r="CS119" s="2">
        <v>0</v>
      </c>
      <c r="CT119" s="294"/>
    </row>
    <row r="120" spans="1:98" ht="16" x14ac:dyDescent="0.2">
      <c r="A120" s="294"/>
      <c r="C120" s="294"/>
      <c r="K120" s="294"/>
      <c r="L120" s="294"/>
      <c r="M120" s="343"/>
      <c r="N120" s="343"/>
      <c r="O120" s="343"/>
      <c r="P120" s="343"/>
      <c r="Q120" s="343"/>
      <c r="R120" s="343"/>
      <c r="AS120" s="343"/>
      <c r="AT120" s="294"/>
      <c r="AU120" s="294"/>
      <c r="AV120" s="343"/>
      <c r="AW120" s="343"/>
      <c r="AX120" s="343"/>
      <c r="AY120" s="343"/>
      <c r="AZ120" s="343"/>
      <c r="BA120" s="343"/>
      <c r="BB120" s="294"/>
      <c r="BC120" s="294"/>
      <c r="BD120" s="343"/>
      <c r="BE120" s="343"/>
      <c r="BF120" s="343"/>
      <c r="BG120" s="343"/>
      <c r="BH120" s="343"/>
      <c r="BI120" s="294"/>
      <c r="BJ120" s="294"/>
      <c r="BK120" s="343"/>
      <c r="BL120" s="343"/>
      <c r="BM120" s="343"/>
      <c r="BN120" s="343"/>
      <c r="BO120" s="343"/>
      <c r="BP120" s="294"/>
      <c r="BQ120" s="294"/>
      <c r="BR120" s="362" t="str">
        <f>VLOOKUP(BU120,TableInputsData[],6,FALSE)</f>
        <v>-</v>
      </c>
      <c r="BS120" s="598" t="str">
        <f>VLOOKUP(BU120,InputsData!$C$36:$I$67,5,FALSE)</f>
        <v>PRODUCT 13</v>
      </c>
      <c r="BT120" s="1" t="s">
        <v>522</v>
      </c>
      <c r="BU120" s="1" t="s">
        <v>1714</v>
      </c>
      <c r="BV120" s="2">
        <v>0</v>
      </c>
      <c r="BW120" s="2">
        <v>0</v>
      </c>
      <c r="BX120" s="2">
        <v>0</v>
      </c>
      <c r="BY120" s="2">
        <v>0</v>
      </c>
      <c r="BZ120" s="2">
        <v>0</v>
      </c>
      <c r="CA120" s="2">
        <v>0</v>
      </c>
      <c r="CB120" s="2">
        <v>0</v>
      </c>
      <c r="CC120" s="2">
        <v>0</v>
      </c>
      <c r="CD120" s="2">
        <v>0</v>
      </c>
      <c r="CE120" s="2">
        <v>0</v>
      </c>
      <c r="CF120" s="2">
        <v>0</v>
      </c>
      <c r="CG120" s="2">
        <v>0</v>
      </c>
      <c r="CH120" s="2">
        <v>0</v>
      </c>
      <c r="CI120" s="2">
        <v>0</v>
      </c>
      <c r="CJ120" s="2">
        <v>0</v>
      </c>
      <c r="CK120" s="2">
        <v>0</v>
      </c>
      <c r="CL120" s="2">
        <v>0</v>
      </c>
      <c r="CM120" s="2">
        <v>0</v>
      </c>
      <c r="CN120" s="2">
        <v>0</v>
      </c>
      <c r="CO120" s="2">
        <v>0</v>
      </c>
      <c r="CP120" s="2">
        <v>0</v>
      </c>
      <c r="CQ120" s="2">
        <v>0</v>
      </c>
      <c r="CR120" s="2">
        <v>0</v>
      </c>
      <c r="CS120" s="2">
        <v>0</v>
      </c>
      <c r="CT120" s="294"/>
    </row>
    <row r="121" spans="1:98" ht="16" x14ac:dyDescent="0.2">
      <c r="A121" s="294"/>
      <c r="C121" s="294"/>
      <c r="K121" s="294"/>
      <c r="L121" s="294"/>
      <c r="M121" s="343"/>
      <c r="N121" s="343"/>
      <c r="O121" s="343"/>
      <c r="P121" s="343"/>
      <c r="Q121" s="343"/>
      <c r="R121" s="343"/>
      <c r="AS121" s="343"/>
      <c r="AT121" s="294"/>
      <c r="AU121" s="294"/>
      <c r="AV121" s="343"/>
      <c r="AW121" s="343"/>
      <c r="AX121" s="343"/>
      <c r="AY121" s="343"/>
      <c r="AZ121" s="343"/>
      <c r="BA121" s="343"/>
      <c r="BB121" s="294"/>
      <c r="BC121" s="294"/>
      <c r="BD121" s="343"/>
      <c r="BE121" s="343"/>
      <c r="BF121" s="343"/>
      <c r="BG121" s="343"/>
      <c r="BH121" s="343"/>
      <c r="BI121" s="294"/>
      <c r="BJ121" s="294"/>
      <c r="BK121" s="343"/>
      <c r="BL121" s="343"/>
      <c r="BM121" s="343"/>
      <c r="BN121" s="343"/>
      <c r="BO121" s="343"/>
      <c r="BP121" s="294"/>
      <c r="BQ121" s="294"/>
      <c r="BR121" s="362" t="str">
        <f>VLOOKUP(BU121,TableInputsData[],6,FALSE)</f>
        <v>-</v>
      </c>
      <c r="BS121" s="598" t="str">
        <f>VLOOKUP(BU121,InputsData!$C$36:$I$67,5,FALSE)</f>
        <v>PRODUCT 14</v>
      </c>
      <c r="BT121" s="1" t="s">
        <v>522</v>
      </c>
      <c r="BU121" s="1" t="s">
        <v>1716</v>
      </c>
      <c r="BV121" s="2">
        <v>0</v>
      </c>
      <c r="BW121" s="2">
        <v>0</v>
      </c>
      <c r="BX121" s="2">
        <v>0</v>
      </c>
      <c r="BY121" s="2">
        <v>0</v>
      </c>
      <c r="BZ121" s="2">
        <v>0</v>
      </c>
      <c r="CA121" s="2">
        <v>0</v>
      </c>
      <c r="CB121" s="2">
        <v>0</v>
      </c>
      <c r="CC121" s="2">
        <v>0</v>
      </c>
      <c r="CD121" s="2">
        <v>0</v>
      </c>
      <c r="CE121" s="2">
        <v>0</v>
      </c>
      <c r="CF121" s="2">
        <v>0</v>
      </c>
      <c r="CG121" s="2">
        <v>0</v>
      </c>
      <c r="CH121" s="2">
        <v>0</v>
      </c>
      <c r="CI121" s="2">
        <v>0</v>
      </c>
      <c r="CJ121" s="2">
        <v>0</v>
      </c>
      <c r="CK121" s="2">
        <v>0</v>
      </c>
      <c r="CL121" s="2">
        <v>0</v>
      </c>
      <c r="CM121" s="2">
        <v>0</v>
      </c>
      <c r="CN121" s="2">
        <v>0</v>
      </c>
      <c r="CO121" s="2">
        <v>0</v>
      </c>
      <c r="CP121" s="2">
        <v>0</v>
      </c>
      <c r="CQ121" s="2">
        <v>0</v>
      </c>
      <c r="CR121" s="2">
        <v>0</v>
      </c>
      <c r="CS121" s="2">
        <v>0</v>
      </c>
      <c r="CT121" s="294"/>
    </row>
    <row r="122" spans="1:98" ht="16" x14ac:dyDescent="0.2">
      <c r="A122" s="294"/>
      <c r="C122" s="294"/>
      <c r="K122" s="294"/>
      <c r="L122" s="294"/>
      <c r="AS122" s="343"/>
      <c r="AT122" s="294"/>
      <c r="AU122" s="294"/>
      <c r="AV122" s="343"/>
      <c r="AW122" s="343"/>
      <c r="AX122" s="343"/>
      <c r="AY122" s="343"/>
      <c r="AZ122" s="343"/>
      <c r="BA122" s="343"/>
      <c r="BB122" s="294"/>
      <c r="BC122" s="294"/>
      <c r="BD122" s="343"/>
      <c r="BE122" s="343"/>
      <c r="BF122" s="343"/>
      <c r="BG122" s="343"/>
      <c r="BH122" s="343"/>
      <c r="BI122" s="294"/>
      <c r="BJ122" s="294"/>
      <c r="BK122" s="343"/>
      <c r="BL122" s="343"/>
      <c r="BM122" s="343"/>
      <c r="BN122" s="343"/>
      <c r="BO122" s="343"/>
      <c r="BP122" s="294"/>
      <c r="BQ122" s="294"/>
      <c r="BR122" s="362" t="str">
        <f>VLOOKUP(BU122,TableInputsData[],6,FALSE)</f>
        <v>-</v>
      </c>
      <c r="BS122" s="598" t="str">
        <f>VLOOKUP(BU122,InputsData!$C$36:$I$67,5,FALSE)</f>
        <v>PRODUCT 15</v>
      </c>
      <c r="BT122" s="1" t="s">
        <v>522</v>
      </c>
      <c r="BU122" s="1" t="s">
        <v>1718</v>
      </c>
      <c r="BV122" s="2">
        <v>0</v>
      </c>
      <c r="BW122" s="2">
        <v>0</v>
      </c>
      <c r="BX122" s="2">
        <v>0</v>
      </c>
      <c r="BY122" s="2">
        <v>0</v>
      </c>
      <c r="BZ122" s="2">
        <v>0</v>
      </c>
      <c r="CA122" s="2">
        <v>0</v>
      </c>
      <c r="CB122" s="2">
        <v>0</v>
      </c>
      <c r="CC122" s="2">
        <v>0</v>
      </c>
      <c r="CD122" s="2">
        <v>0</v>
      </c>
      <c r="CE122" s="2">
        <v>0</v>
      </c>
      <c r="CF122" s="2">
        <v>0</v>
      </c>
      <c r="CG122" s="2">
        <v>0</v>
      </c>
      <c r="CH122" s="2">
        <v>0</v>
      </c>
      <c r="CI122" s="2">
        <v>0</v>
      </c>
      <c r="CJ122" s="2">
        <v>0</v>
      </c>
      <c r="CK122" s="2">
        <v>0</v>
      </c>
      <c r="CL122" s="2">
        <v>0</v>
      </c>
      <c r="CM122" s="2">
        <v>0</v>
      </c>
      <c r="CN122" s="2">
        <v>0</v>
      </c>
      <c r="CO122" s="2">
        <v>0</v>
      </c>
      <c r="CP122" s="2">
        <v>0</v>
      </c>
      <c r="CQ122" s="2">
        <v>0</v>
      </c>
      <c r="CR122" s="2">
        <v>0</v>
      </c>
      <c r="CS122" s="2">
        <v>0</v>
      </c>
      <c r="CT122" s="294"/>
    </row>
    <row r="123" spans="1:98" ht="16" x14ac:dyDescent="0.2">
      <c r="A123" s="294"/>
      <c r="C123" s="294"/>
      <c r="K123" s="294"/>
      <c r="L123" s="294"/>
      <c r="AT123" s="294"/>
      <c r="AU123" s="294"/>
      <c r="AV123" s="343"/>
      <c r="AW123" s="343"/>
      <c r="AX123" s="343"/>
      <c r="AY123" s="343"/>
      <c r="AZ123" s="343"/>
      <c r="BA123" s="343"/>
      <c r="BB123" s="294"/>
      <c r="BC123" s="294"/>
      <c r="BD123" s="343"/>
      <c r="BE123" s="343"/>
      <c r="BF123" s="343"/>
      <c r="BG123" s="343"/>
      <c r="BH123" s="343"/>
      <c r="BI123" s="294"/>
      <c r="BJ123" s="294"/>
      <c r="BK123" s="343"/>
      <c r="BL123" s="343"/>
      <c r="BM123" s="343"/>
      <c r="BN123" s="343"/>
      <c r="BO123" s="343"/>
      <c r="BP123" s="294"/>
      <c r="BQ123" s="294"/>
      <c r="BR123" s="362" t="str">
        <f>VLOOKUP(BU123,TableInputsData[],6,FALSE)</f>
        <v>-</v>
      </c>
      <c r="BS123" s="598" t="str">
        <f>VLOOKUP(BU123,InputsData!$C$36:$I$67,5,FALSE)</f>
        <v>PRODUCT 16</v>
      </c>
      <c r="BT123" s="1" t="s">
        <v>522</v>
      </c>
      <c r="BU123" s="1" t="s">
        <v>1720</v>
      </c>
      <c r="BV123" s="2">
        <v>0</v>
      </c>
      <c r="BW123" s="2">
        <v>0</v>
      </c>
      <c r="BX123" s="2">
        <v>0</v>
      </c>
      <c r="BY123" s="2">
        <v>0</v>
      </c>
      <c r="BZ123" s="2">
        <v>0</v>
      </c>
      <c r="CA123" s="2">
        <v>0</v>
      </c>
      <c r="CB123" s="2">
        <v>0</v>
      </c>
      <c r="CC123" s="2">
        <v>0</v>
      </c>
      <c r="CD123" s="2">
        <v>0</v>
      </c>
      <c r="CE123" s="2">
        <v>0</v>
      </c>
      <c r="CF123" s="2">
        <v>0</v>
      </c>
      <c r="CG123" s="2">
        <v>0</v>
      </c>
      <c r="CH123" s="2">
        <v>0</v>
      </c>
      <c r="CI123" s="2">
        <v>0</v>
      </c>
      <c r="CJ123" s="2">
        <v>0</v>
      </c>
      <c r="CK123" s="2">
        <v>0</v>
      </c>
      <c r="CL123" s="2">
        <v>0</v>
      </c>
      <c r="CM123" s="2">
        <v>0</v>
      </c>
      <c r="CN123" s="2">
        <v>0</v>
      </c>
      <c r="CO123" s="2">
        <v>0</v>
      </c>
      <c r="CP123" s="2">
        <v>0</v>
      </c>
      <c r="CQ123" s="2">
        <v>0</v>
      </c>
      <c r="CR123" s="2">
        <v>0</v>
      </c>
      <c r="CS123" s="2">
        <v>0</v>
      </c>
      <c r="CT123" s="294"/>
    </row>
    <row r="124" spans="1:98" ht="16" x14ac:dyDescent="0.2">
      <c r="A124" s="294"/>
      <c r="C124" s="294"/>
      <c r="K124" s="294"/>
      <c r="L124" s="294"/>
      <c r="AT124" s="294"/>
      <c r="AU124" s="294"/>
      <c r="AV124" s="343"/>
      <c r="AW124" s="343"/>
      <c r="AX124" s="343"/>
      <c r="AY124" s="343"/>
      <c r="AZ124" s="343"/>
      <c r="BA124" s="343"/>
      <c r="BB124" s="294"/>
      <c r="BC124" s="294"/>
      <c r="BD124" s="343"/>
      <c r="BE124" s="343"/>
      <c r="BF124" s="343"/>
      <c r="BG124" s="343"/>
      <c r="BH124" s="343"/>
      <c r="BI124" s="294"/>
      <c r="BJ124" s="294"/>
      <c r="BK124" s="343"/>
      <c r="BL124" s="343"/>
      <c r="BM124" s="343"/>
      <c r="BN124" s="343"/>
      <c r="BO124" s="343"/>
      <c r="BP124" s="294"/>
      <c r="BQ124" s="294"/>
      <c r="BR124" s="362" t="str">
        <f>VLOOKUP(BU124,TableInputsData[],6,FALSE)</f>
        <v>-</v>
      </c>
      <c r="BS124" s="598" t="str">
        <f>VLOOKUP(BU124,InputsData!$C$36:$I$67,5,FALSE)</f>
        <v>PRODUCT 17</v>
      </c>
      <c r="BT124" s="1" t="s">
        <v>522</v>
      </c>
      <c r="BU124" s="1" t="s">
        <v>1722</v>
      </c>
      <c r="BV124" s="2">
        <v>0</v>
      </c>
      <c r="BW124" s="2">
        <v>0</v>
      </c>
      <c r="BX124" s="2">
        <v>0</v>
      </c>
      <c r="BY124" s="2">
        <v>0</v>
      </c>
      <c r="BZ124" s="2">
        <v>0</v>
      </c>
      <c r="CA124" s="2">
        <v>0</v>
      </c>
      <c r="CB124" s="2">
        <v>0</v>
      </c>
      <c r="CC124" s="2">
        <v>0</v>
      </c>
      <c r="CD124" s="2">
        <v>0</v>
      </c>
      <c r="CE124" s="2">
        <v>0</v>
      </c>
      <c r="CF124" s="2">
        <v>0</v>
      </c>
      <c r="CG124" s="2">
        <v>0</v>
      </c>
      <c r="CH124" s="2">
        <v>0</v>
      </c>
      <c r="CI124" s="2">
        <v>0</v>
      </c>
      <c r="CJ124" s="2">
        <v>0</v>
      </c>
      <c r="CK124" s="2">
        <v>0</v>
      </c>
      <c r="CL124" s="2">
        <v>0</v>
      </c>
      <c r="CM124" s="2">
        <v>0</v>
      </c>
      <c r="CN124" s="2">
        <v>0</v>
      </c>
      <c r="CO124" s="2">
        <v>0</v>
      </c>
      <c r="CP124" s="2">
        <v>0</v>
      </c>
      <c r="CQ124" s="2">
        <v>0</v>
      </c>
      <c r="CR124" s="2">
        <v>0</v>
      </c>
      <c r="CS124" s="2">
        <v>0</v>
      </c>
      <c r="CT124" s="294"/>
    </row>
    <row r="125" spans="1:98" ht="16" x14ac:dyDescent="0.2">
      <c r="A125" s="294"/>
      <c r="C125" s="294"/>
      <c r="K125" s="294"/>
      <c r="L125" s="294"/>
      <c r="AT125" s="294"/>
      <c r="AU125" s="294"/>
      <c r="AV125" s="343"/>
      <c r="AW125" s="343"/>
      <c r="AX125" s="343"/>
      <c r="AY125" s="343"/>
      <c r="AZ125" s="343"/>
      <c r="BA125" s="343"/>
      <c r="BB125" s="294"/>
      <c r="BC125" s="294"/>
      <c r="BD125" s="343"/>
      <c r="BE125" s="343"/>
      <c r="BF125" s="343"/>
      <c r="BG125" s="343"/>
      <c r="BH125" s="343"/>
      <c r="BI125" s="294"/>
      <c r="BJ125" s="294"/>
      <c r="BK125" s="343"/>
      <c r="BL125" s="343"/>
      <c r="BM125" s="343"/>
      <c r="BN125" s="343"/>
      <c r="BO125" s="343"/>
      <c r="BP125" s="294"/>
      <c r="BQ125" s="294"/>
      <c r="BR125" s="362" t="str">
        <f>VLOOKUP(BU125,TableInputsData[],6,FALSE)</f>
        <v>-</v>
      </c>
      <c r="BS125" s="598" t="str">
        <f>VLOOKUP(BU125,InputsData!$C$36:$I$67,5,FALSE)</f>
        <v>PRODUCT 18</v>
      </c>
      <c r="BT125" s="1" t="s">
        <v>522</v>
      </c>
      <c r="BU125" s="1" t="s">
        <v>1724</v>
      </c>
      <c r="BV125" s="2">
        <v>0</v>
      </c>
      <c r="BW125" s="2">
        <v>0</v>
      </c>
      <c r="BX125" s="2">
        <v>0</v>
      </c>
      <c r="BY125" s="2">
        <v>0</v>
      </c>
      <c r="BZ125" s="2">
        <v>0</v>
      </c>
      <c r="CA125" s="2">
        <v>0</v>
      </c>
      <c r="CB125" s="2">
        <v>0</v>
      </c>
      <c r="CC125" s="2">
        <v>0</v>
      </c>
      <c r="CD125" s="2">
        <v>0</v>
      </c>
      <c r="CE125" s="2">
        <v>0</v>
      </c>
      <c r="CF125" s="2">
        <v>0</v>
      </c>
      <c r="CG125" s="2">
        <v>0</v>
      </c>
      <c r="CH125" s="2">
        <v>0</v>
      </c>
      <c r="CI125" s="2">
        <v>0</v>
      </c>
      <c r="CJ125" s="2">
        <v>0</v>
      </c>
      <c r="CK125" s="2">
        <v>0</v>
      </c>
      <c r="CL125" s="2">
        <v>0</v>
      </c>
      <c r="CM125" s="2">
        <v>0</v>
      </c>
      <c r="CN125" s="2">
        <v>0</v>
      </c>
      <c r="CO125" s="2">
        <v>0</v>
      </c>
      <c r="CP125" s="2">
        <v>0</v>
      </c>
      <c r="CQ125" s="2">
        <v>0</v>
      </c>
      <c r="CR125" s="2">
        <v>0</v>
      </c>
      <c r="CS125" s="2">
        <v>0</v>
      </c>
      <c r="CT125" s="294"/>
    </row>
    <row r="126" spans="1:98" ht="16" x14ac:dyDescent="0.2">
      <c r="A126" s="294"/>
      <c r="C126" s="294"/>
      <c r="K126" s="294"/>
      <c r="L126" s="294"/>
      <c r="AT126" s="294"/>
      <c r="AU126" s="294"/>
      <c r="AV126" s="343"/>
      <c r="AW126" s="343"/>
      <c r="AX126" s="343"/>
      <c r="AY126" s="343"/>
      <c r="AZ126" s="343"/>
      <c r="BA126" s="343"/>
      <c r="BB126" s="294"/>
      <c r="BC126" s="294"/>
      <c r="BD126" s="343"/>
      <c r="BE126" s="343"/>
      <c r="BF126" s="343"/>
      <c r="BG126" s="343"/>
      <c r="BH126" s="343"/>
      <c r="BI126" s="294"/>
      <c r="BJ126" s="294"/>
      <c r="BK126" s="343"/>
      <c r="BL126" s="343"/>
      <c r="BM126" s="343"/>
      <c r="BN126" s="343"/>
      <c r="BO126" s="343"/>
      <c r="BP126" s="294"/>
      <c r="BQ126" s="294"/>
      <c r="BR126" s="362" t="str">
        <f>VLOOKUP(BU126,TableInputsData[],6,FALSE)</f>
        <v>-</v>
      </c>
      <c r="BS126" s="598" t="str">
        <f>VLOOKUP(BU126,InputsData!$C$36:$I$67,5,FALSE)</f>
        <v>PRODUCT 19</v>
      </c>
      <c r="BT126" s="1" t="s">
        <v>522</v>
      </c>
      <c r="BU126" s="1" t="s">
        <v>1726</v>
      </c>
      <c r="BV126" s="2">
        <v>0</v>
      </c>
      <c r="BW126" s="2">
        <v>0</v>
      </c>
      <c r="BX126" s="2">
        <v>0</v>
      </c>
      <c r="BY126" s="2">
        <v>0</v>
      </c>
      <c r="BZ126" s="2">
        <v>0</v>
      </c>
      <c r="CA126" s="2">
        <v>0</v>
      </c>
      <c r="CB126" s="2">
        <v>0</v>
      </c>
      <c r="CC126" s="2">
        <v>0</v>
      </c>
      <c r="CD126" s="2">
        <v>0</v>
      </c>
      <c r="CE126" s="2">
        <v>0</v>
      </c>
      <c r="CF126" s="2">
        <v>0</v>
      </c>
      <c r="CG126" s="2">
        <v>0</v>
      </c>
      <c r="CH126" s="2">
        <v>0</v>
      </c>
      <c r="CI126" s="2">
        <v>0</v>
      </c>
      <c r="CJ126" s="2">
        <v>0</v>
      </c>
      <c r="CK126" s="2">
        <v>0</v>
      </c>
      <c r="CL126" s="2">
        <v>0</v>
      </c>
      <c r="CM126" s="2">
        <v>0</v>
      </c>
      <c r="CN126" s="2">
        <v>0</v>
      </c>
      <c r="CO126" s="2">
        <v>0</v>
      </c>
      <c r="CP126" s="2">
        <v>0</v>
      </c>
      <c r="CQ126" s="2">
        <v>0</v>
      </c>
      <c r="CR126" s="2">
        <v>0</v>
      </c>
      <c r="CS126" s="2">
        <v>0</v>
      </c>
      <c r="CT126" s="294"/>
    </row>
    <row r="127" spans="1:98" ht="16" x14ac:dyDescent="0.2">
      <c r="A127" s="294"/>
      <c r="C127" s="294"/>
      <c r="K127" s="294"/>
      <c r="L127" s="294"/>
      <c r="AT127" s="294"/>
      <c r="AU127" s="294"/>
      <c r="AV127" s="343"/>
      <c r="AW127" s="343"/>
      <c r="AX127" s="343"/>
      <c r="AY127" s="343"/>
      <c r="AZ127" s="343"/>
      <c r="BA127" s="343"/>
      <c r="BB127" s="294"/>
      <c r="BC127" s="294"/>
      <c r="BD127" s="343"/>
      <c r="BE127" s="343"/>
      <c r="BF127" s="343"/>
      <c r="BG127" s="343"/>
      <c r="BH127" s="343"/>
      <c r="BI127" s="294"/>
      <c r="BJ127" s="294"/>
      <c r="BK127" s="343"/>
      <c r="BL127" s="343"/>
      <c r="BM127" s="343"/>
      <c r="BN127" s="343"/>
      <c r="BO127" s="343"/>
      <c r="BP127" s="294"/>
      <c r="BQ127" s="294"/>
      <c r="BR127" s="362" t="str">
        <f>VLOOKUP(BU127,TableInputsData[],6,FALSE)</f>
        <v>-</v>
      </c>
      <c r="BS127" s="598" t="str">
        <f>VLOOKUP(BU127,InputsData!$C$36:$I$67,5,FALSE)</f>
        <v>PRODUCT 20</v>
      </c>
      <c r="BT127" s="1" t="s">
        <v>522</v>
      </c>
      <c r="BU127" s="1" t="s">
        <v>1728</v>
      </c>
      <c r="BV127" s="2">
        <v>0</v>
      </c>
      <c r="BW127" s="2">
        <v>0</v>
      </c>
      <c r="BX127" s="2">
        <v>0</v>
      </c>
      <c r="BY127" s="2">
        <v>0</v>
      </c>
      <c r="BZ127" s="2">
        <v>0</v>
      </c>
      <c r="CA127" s="2">
        <v>0</v>
      </c>
      <c r="CB127" s="2">
        <v>0</v>
      </c>
      <c r="CC127" s="2">
        <v>0</v>
      </c>
      <c r="CD127" s="2">
        <v>0</v>
      </c>
      <c r="CE127" s="2">
        <v>0</v>
      </c>
      <c r="CF127" s="2">
        <v>0</v>
      </c>
      <c r="CG127" s="2">
        <v>0</v>
      </c>
      <c r="CH127" s="2">
        <v>0</v>
      </c>
      <c r="CI127" s="2">
        <v>0</v>
      </c>
      <c r="CJ127" s="2">
        <v>0</v>
      </c>
      <c r="CK127" s="2">
        <v>0</v>
      </c>
      <c r="CL127" s="2">
        <v>0</v>
      </c>
      <c r="CM127" s="2">
        <v>0</v>
      </c>
      <c r="CN127" s="2">
        <v>0</v>
      </c>
      <c r="CO127" s="2">
        <v>0</v>
      </c>
      <c r="CP127" s="2">
        <v>0</v>
      </c>
      <c r="CQ127" s="2">
        <v>0</v>
      </c>
      <c r="CR127" s="2">
        <v>0</v>
      </c>
      <c r="CS127" s="2">
        <v>0</v>
      </c>
      <c r="CT127" s="294"/>
    </row>
    <row r="128" spans="1:98" ht="16" x14ac:dyDescent="0.2">
      <c r="A128" s="294"/>
      <c r="C128" s="294"/>
      <c r="K128" s="294"/>
      <c r="L128" s="294"/>
      <c r="AT128" s="294"/>
      <c r="AU128" s="294"/>
      <c r="AV128" s="343"/>
      <c r="AW128" s="343"/>
      <c r="AX128" s="343"/>
      <c r="AY128" s="343"/>
      <c r="AZ128" s="343"/>
      <c r="BA128" s="343"/>
      <c r="BB128" s="294"/>
      <c r="BC128" s="294"/>
      <c r="BD128" s="343"/>
      <c r="BE128" s="343"/>
      <c r="BF128" s="343"/>
      <c r="BG128" s="343"/>
      <c r="BH128" s="343"/>
      <c r="BI128" s="294"/>
      <c r="BJ128" s="294"/>
      <c r="BK128" s="343"/>
      <c r="BL128" s="343"/>
      <c r="BM128" s="343"/>
      <c r="BN128" s="343"/>
      <c r="BO128" s="343"/>
      <c r="BP128" s="294"/>
      <c r="BQ128" s="294"/>
      <c r="BR128" s="362" t="str">
        <f>VLOOKUP(BU128,TableInputsData[],6,FALSE)</f>
        <v>-</v>
      </c>
      <c r="BS128" s="598" t="str">
        <f>VLOOKUP(BU128,InputsData!$C$36:$I$67,5,FALSE)</f>
        <v>DIENST 01</v>
      </c>
      <c r="BT128" s="1" t="s">
        <v>522</v>
      </c>
      <c r="BU128" s="1" t="s">
        <v>546</v>
      </c>
      <c r="BV128" s="2">
        <v>0</v>
      </c>
      <c r="BW128" s="2">
        <v>0</v>
      </c>
      <c r="BX128" s="2">
        <v>0</v>
      </c>
      <c r="BY128" s="2">
        <v>0</v>
      </c>
      <c r="BZ128" s="2">
        <v>0</v>
      </c>
      <c r="CA128" s="2">
        <v>0</v>
      </c>
      <c r="CB128" s="2">
        <v>0</v>
      </c>
      <c r="CC128" s="2">
        <v>0</v>
      </c>
      <c r="CD128" s="2">
        <v>0</v>
      </c>
      <c r="CE128" s="2">
        <v>0</v>
      </c>
      <c r="CF128" s="2">
        <v>0</v>
      </c>
      <c r="CG128" s="2">
        <v>0</v>
      </c>
      <c r="CH128" s="2">
        <v>0</v>
      </c>
      <c r="CI128" s="2">
        <v>0</v>
      </c>
      <c r="CJ128" s="2">
        <v>0</v>
      </c>
      <c r="CK128" s="2">
        <v>0</v>
      </c>
      <c r="CL128" s="2">
        <v>0</v>
      </c>
      <c r="CM128" s="2">
        <v>0</v>
      </c>
      <c r="CN128" s="2">
        <v>0</v>
      </c>
      <c r="CO128" s="2">
        <v>0</v>
      </c>
      <c r="CP128" s="2">
        <v>0</v>
      </c>
      <c r="CQ128" s="2">
        <v>0</v>
      </c>
      <c r="CR128" s="2">
        <v>0</v>
      </c>
      <c r="CS128" s="2">
        <v>0</v>
      </c>
      <c r="CT128" s="294"/>
    </row>
    <row r="129" spans="1:98" ht="16" x14ac:dyDescent="0.2">
      <c r="A129" s="294"/>
      <c r="C129" s="294"/>
      <c r="K129" s="294"/>
      <c r="L129" s="294"/>
      <c r="AT129" s="294"/>
      <c r="AU129" s="294"/>
      <c r="AV129" s="343"/>
      <c r="AW129" s="343"/>
      <c r="AX129" s="343"/>
      <c r="AY129" s="343"/>
      <c r="AZ129" s="343"/>
      <c r="BA129" s="343"/>
      <c r="BB129" s="294"/>
      <c r="BC129" s="294"/>
      <c r="BD129" s="343"/>
      <c r="BE129" s="343"/>
      <c r="BF129" s="343"/>
      <c r="BG129" s="343"/>
      <c r="BH129" s="343"/>
      <c r="BI129" s="294"/>
      <c r="BJ129" s="294"/>
      <c r="BK129" s="343"/>
      <c r="BL129" s="343"/>
      <c r="BM129" s="343"/>
      <c r="BN129" s="343"/>
      <c r="BO129" s="343"/>
      <c r="BP129" s="294"/>
      <c r="BQ129" s="294"/>
      <c r="BR129" s="362" t="str">
        <f>VLOOKUP(BU129,TableInputsData[],6,FALSE)</f>
        <v>-</v>
      </c>
      <c r="BS129" s="598" t="str">
        <f>VLOOKUP(BU129,InputsData!$C$36:$I$67,5,FALSE)</f>
        <v>DIENST 02</v>
      </c>
      <c r="BT129" s="1" t="s">
        <v>522</v>
      </c>
      <c r="BU129" s="1" t="s">
        <v>547</v>
      </c>
      <c r="BV129" s="2">
        <v>0</v>
      </c>
      <c r="BW129" s="2">
        <v>0</v>
      </c>
      <c r="BX129" s="2">
        <v>0</v>
      </c>
      <c r="BY129" s="2">
        <v>0</v>
      </c>
      <c r="BZ129" s="2">
        <v>0</v>
      </c>
      <c r="CA129" s="2">
        <v>0</v>
      </c>
      <c r="CB129" s="2">
        <v>0</v>
      </c>
      <c r="CC129" s="2">
        <v>0</v>
      </c>
      <c r="CD129" s="2">
        <v>0</v>
      </c>
      <c r="CE129" s="2">
        <v>0</v>
      </c>
      <c r="CF129" s="2">
        <v>0</v>
      </c>
      <c r="CG129" s="2">
        <v>0</v>
      </c>
      <c r="CH129" s="2">
        <v>0</v>
      </c>
      <c r="CI129" s="2">
        <v>0</v>
      </c>
      <c r="CJ129" s="2">
        <v>0</v>
      </c>
      <c r="CK129" s="2">
        <v>0</v>
      </c>
      <c r="CL129" s="2">
        <v>0</v>
      </c>
      <c r="CM129" s="2">
        <v>0</v>
      </c>
      <c r="CN129" s="2">
        <v>0</v>
      </c>
      <c r="CO129" s="2">
        <v>0</v>
      </c>
      <c r="CP129" s="2">
        <v>0</v>
      </c>
      <c r="CQ129" s="2">
        <v>0</v>
      </c>
      <c r="CR129" s="2">
        <v>0</v>
      </c>
      <c r="CS129" s="2">
        <v>0</v>
      </c>
      <c r="CT129" s="294"/>
    </row>
    <row r="130" spans="1:98" ht="16" x14ac:dyDescent="0.2">
      <c r="A130" s="294"/>
      <c r="C130" s="294"/>
      <c r="K130" s="294"/>
      <c r="L130" s="294"/>
      <c r="AT130" s="294"/>
      <c r="AU130" s="294"/>
      <c r="AV130" s="343"/>
      <c r="AW130" s="343"/>
      <c r="AX130" s="343"/>
      <c r="AY130" s="343"/>
      <c r="AZ130" s="343"/>
      <c r="BA130" s="343"/>
      <c r="BB130" s="294"/>
      <c r="BC130" s="294"/>
      <c r="BD130" s="343"/>
      <c r="BE130" s="343"/>
      <c r="BF130" s="343"/>
      <c r="BG130" s="343"/>
      <c r="BH130" s="343"/>
      <c r="BI130" s="294"/>
      <c r="BJ130" s="294"/>
      <c r="BK130" s="343"/>
      <c r="BL130" s="343"/>
      <c r="BM130" s="343"/>
      <c r="BN130" s="343"/>
      <c r="BO130" s="343"/>
      <c r="BP130" s="294"/>
      <c r="BQ130" s="294"/>
      <c r="BR130" s="362" t="str">
        <f>VLOOKUP(BU130,TableInputsData[],6,FALSE)</f>
        <v>-</v>
      </c>
      <c r="BS130" s="598" t="str">
        <f>VLOOKUP(BU130,InputsData!$C$36:$I$67,5,FALSE)</f>
        <v>DIENST 03</v>
      </c>
      <c r="BT130" s="1" t="s">
        <v>522</v>
      </c>
      <c r="BU130" s="1" t="s">
        <v>548</v>
      </c>
      <c r="BV130" s="2">
        <v>0</v>
      </c>
      <c r="BW130" s="2">
        <v>0</v>
      </c>
      <c r="BX130" s="2">
        <v>0</v>
      </c>
      <c r="BY130" s="2">
        <v>0</v>
      </c>
      <c r="BZ130" s="2">
        <v>0</v>
      </c>
      <c r="CA130" s="2">
        <v>0</v>
      </c>
      <c r="CB130" s="2">
        <v>0</v>
      </c>
      <c r="CC130" s="2">
        <v>0</v>
      </c>
      <c r="CD130" s="2">
        <v>0</v>
      </c>
      <c r="CE130" s="2">
        <v>0</v>
      </c>
      <c r="CF130" s="2">
        <v>0</v>
      </c>
      <c r="CG130" s="2">
        <v>0</v>
      </c>
      <c r="CH130" s="2">
        <v>0</v>
      </c>
      <c r="CI130" s="2">
        <v>0</v>
      </c>
      <c r="CJ130" s="2">
        <v>0</v>
      </c>
      <c r="CK130" s="2">
        <v>0</v>
      </c>
      <c r="CL130" s="2">
        <v>0</v>
      </c>
      <c r="CM130" s="2">
        <v>0</v>
      </c>
      <c r="CN130" s="2">
        <v>0</v>
      </c>
      <c r="CO130" s="2">
        <v>0</v>
      </c>
      <c r="CP130" s="2">
        <v>0</v>
      </c>
      <c r="CQ130" s="2">
        <v>0</v>
      </c>
      <c r="CR130" s="2">
        <v>0</v>
      </c>
      <c r="CS130" s="2">
        <v>0</v>
      </c>
      <c r="CT130" s="294"/>
    </row>
    <row r="131" spans="1:98" ht="16" x14ac:dyDescent="0.2">
      <c r="A131" s="294"/>
      <c r="C131" s="294"/>
      <c r="K131" s="294"/>
      <c r="L131" s="294"/>
      <c r="AT131" s="294"/>
      <c r="AU131" s="294"/>
      <c r="AV131" s="343"/>
      <c r="AW131" s="343"/>
      <c r="AX131" s="343"/>
      <c r="AY131" s="343"/>
      <c r="AZ131" s="343"/>
      <c r="BA131" s="343"/>
      <c r="BB131" s="294"/>
      <c r="BC131" s="294"/>
      <c r="BD131" s="343"/>
      <c r="BE131" s="343"/>
      <c r="BF131" s="343"/>
      <c r="BG131" s="343"/>
      <c r="BH131" s="343"/>
      <c r="BI131" s="294"/>
      <c r="BJ131" s="294"/>
      <c r="BK131" s="343"/>
      <c r="BL131" s="343"/>
      <c r="BM131" s="343"/>
      <c r="BN131" s="343"/>
      <c r="BO131" s="343"/>
      <c r="BP131" s="294"/>
      <c r="BQ131" s="294"/>
      <c r="BR131" s="362" t="str">
        <f>VLOOKUP(BU131,TableInputsData[],6,FALSE)</f>
        <v>-</v>
      </c>
      <c r="BS131" s="598" t="str">
        <f>VLOOKUP(BU131,InputsData!$C$36:$I$67,5,FALSE)</f>
        <v>DIENST 04</v>
      </c>
      <c r="BT131" s="1" t="s">
        <v>522</v>
      </c>
      <c r="BU131" s="1" t="s">
        <v>549</v>
      </c>
      <c r="BV131" s="2">
        <v>0</v>
      </c>
      <c r="BW131" s="2">
        <v>0</v>
      </c>
      <c r="BX131" s="2">
        <v>0</v>
      </c>
      <c r="BY131" s="2">
        <v>0</v>
      </c>
      <c r="BZ131" s="2">
        <v>0</v>
      </c>
      <c r="CA131" s="2">
        <v>0</v>
      </c>
      <c r="CB131" s="2">
        <v>0</v>
      </c>
      <c r="CC131" s="2">
        <v>0</v>
      </c>
      <c r="CD131" s="2">
        <v>0</v>
      </c>
      <c r="CE131" s="2">
        <v>0</v>
      </c>
      <c r="CF131" s="2">
        <v>0</v>
      </c>
      <c r="CG131" s="2">
        <v>0</v>
      </c>
      <c r="CH131" s="2">
        <v>0</v>
      </c>
      <c r="CI131" s="2">
        <v>0</v>
      </c>
      <c r="CJ131" s="2">
        <v>0</v>
      </c>
      <c r="CK131" s="2">
        <v>0</v>
      </c>
      <c r="CL131" s="2">
        <v>0</v>
      </c>
      <c r="CM131" s="2">
        <v>0</v>
      </c>
      <c r="CN131" s="2">
        <v>0</v>
      </c>
      <c r="CO131" s="2">
        <v>0</v>
      </c>
      <c r="CP131" s="2">
        <v>0</v>
      </c>
      <c r="CQ131" s="2">
        <v>0</v>
      </c>
      <c r="CR131" s="2">
        <v>0</v>
      </c>
      <c r="CS131" s="2">
        <v>0</v>
      </c>
      <c r="CT131" s="294"/>
    </row>
    <row r="132" spans="1:98" ht="16" x14ac:dyDescent="0.2">
      <c r="A132" s="294"/>
      <c r="C132" s="294"/>
      <c r="K132" s="294"/>
      <c r="L132" s="294"/>
      <c r="AT132" s="294"/>
      <c r="AU132" s="294"/>
      <c r="AV132" s="343"/>
      <c r="AW132" s="343"/>
      <c r="AX132" s="343"/>
      <c r="AY132" s="343"/>
      <c r="AZ132" s="343"/>
      <c r="BA132" s="343"/>
      <c r="BB132" s="294"/>
      <c r="BC132" s="294"/>
      <c r="BD132" s="343"/>
      <c r="BE132" s="343"/>
      <c r="BF132" s="343"/>
      <c r="BG132" s="343"/>
      <c r="BH132" s="343"/>
      <c r="BI132" s="294"/>
      <c r="BJ132" s="294"/>
      <c r="BK132" s="343"/>
      <c r="BL132" s="343"/>
      <c r="BM132" s="343"/>
      <c r="BN132" s="343"/>
      <c r="BO132" s="343"/>
      <c r="BP132" s="294"/>
      <c r="BQ132" s="294"/>
      <c r="BR132" s="362" t="str">
        <f>VLOOKUP(BU132,TableInputsData[],6,FALSE)</f>
        <v>-</v>
      </c>
      <c r="BS132" s="598" t="str">
        <f>VLOOKUP(BU132,InputsData!$C$36:$I$67,5,FALSE)</f>
        <v>DIENST 05</v>
      </c>
      <c r="BT132" s="1" t="s">
        <v>522</v>
      </c>
      <c r="BU132" s="1" t="s">
        <v>550</v>
      </c>
      <c r="BV132" s="2">
        <v>0</v>
      </c>
      <c r="BW132" s="2">
        <v>0</v>
      </c>
      <c r="BX132" s="2">
        <v>0</v>
      </c>
      <c r="BY132" s="2">
        <v>0</v>
      </c>
      <c r="BZ132" s="2">
        <v>0</v>
      </c>
      <c r="CA132" s="2">
        <v>0</v>
      </c>
      <c r="CB132" s="2">
        <v>0</v>
      </c>
      <c r="CC132" s="2">
        <v>0</v>
      </c>
      <c r="CD132" s="2">
        <v>0</v>
      </c>
      <c r="CE132" s="2">
        <v>0</v>
      </c>
      <c r="CF132" s="2">
        <v>0</v>
      </c>
      <c r="CG132" s="2">
        <v>0</v>
      </c>
      <c r="CH132" s="2">
        <v>0</v>
      </c>
      <c r="CI132" s="2">
        <v>0</v>
      </c>
      <c r="CJ132" s="2">
        <v>0</v>
      </c>
      <c r="CK132" s="2">
        <v>0</v>
      </c>
      <c r="CL132" s="2">
        <v>0</v>
      </c>
      <c r="CM132" s="2">
        <v>0</v>
      </c>
      <c r="CN132" s="2">
        <v>0</v>
      </c>
      <c r="CO132" s="2">
        <v>0</v>
      </c>
      <c r="CP132" s="2">
        <v>0</v>
      </c>
      <c r="CQ132" s="2">
        <v>0</v>
      </c>
      <c r="CR132" s="2">
        <v>0</v>
      </c>
      <c r="CS132" s="2">
        <v>0</v>
      </c>
      <c r="CT132" s="294"/>
    </row>
    <row r="133" spans="1:98" ht="16" x14ac:dyDescent="0.2">
      <c r="A133" s="294"/>
      <c r="C133" s="294"/>
      <c r="K133" s="294"/>
      <c r="L133" s="294"/>
      <c r="AT133" s="294"/>
      <c r="AU133" s="294"/>
      <c r="AV133" s="343"/>
      <c r="AW133" s="343"/>
      <c r="AX133" s="343"/>
      <c r="AY133" s="343"/>
      <c r="AZ133" s="343"/>
      <c r="BA133" s="343"/>
      <c r="BB133" s="294"/>
      <c r="BC133" s="294"/>
      <c r="BD133" s="343"/>
      <c r="BE133" s="343"/>
      <c r="BF133" s="343"/>
      <c r="BG133" s="343"/>
      <c r="BH133" s="343"/>
      <c r="BI133" s="294"/>
      <c r="BJ133" s="294"/>
      <c r="BK133" s="343"/>
      <c r="BL133" s="343"/>
      <c r="BM133" s="343"/>
      <c r="BN133" s="343"/>
      <c r="BO133" s="343"/>
      <c r="BP133" s="294"/>
      <c r="BQ133" s="294"/>
      <c r="BR133" s="362" t="str">
        <f>VLOOKUP(BU133,TableInputsData[],6,FALSE)</f>
        <v>-</v>
      </c>
      <c r="BS133" s="598" t="str">
        <f>VLOOKUP(BU133,InputsData!$C$36:$I$67,5,FALSE)</f>
        <v>DIENST 06</v>
      </c>
      <c r="BT133" s="1" t="s">
        <v>522</v>
      </c>
      <c r="BU133" s="1" t="s">
        <v>551</v>
      </c>
      <c r="BV133" s="2">
        <v>0</v>
      </c>
      <c r="BW133" s="2">
        <v>0</v>
      </c>
      <c r="BX133" s="2">
        <v>0</v>
      </c>
      <c r="BY133" s="2">
        <v>0</v>
      </c>
      <c r="BZ133" s="2">
        <v>0</v>
      </c>
      <c r="CA133" s="2">
        <v>0</v>
      </c>
      <c r="CB133" s="2">
        <v>0</v>
      </c>
      <c r="CC133" s="2">
        <v>0</v>
      </c>
      <c r="CD133" s="2">
        <v>0</v>
      </c>
      <c r="CE133" s="2">
        <v>0</v>
      </c>
      <c r="CF133" s="2">
        <v>0</v>
      </c>
      <c r="CG133" s="2">
        <v>0</v>
      </c>
      <c r="CH133" s="2">
        <v>0</v>
      </c>
      <c r="CI133" s="2">
        <v>0</v>
      </c>
      <c r="CJ133" s="2">
        <v>0</v>
      </c>
      <c r="CK133" s="2">
        <v>0</v>
      </c>
      <c r="CL133" s="2">
        <v>0</v>
      </c>
      <c r="CM133" s="2">
        <v>0</v>
      </c>
      <c r="CN133" s="2">
        <v>0</v>
      </c>
      <c r="CO133" s="2">
        <v>0</v>
      </c>
      <c r="CP133" s="2">
        <v>0</v>
      </c>
      <c r="CQ133" s="2">
        <v>0</v>
      </c>
      <c r="CR133" s="2">
        <v>0</v>
      </c>
      <c r="CS133" s="2">
        <v>0</v>
      </c>
      <c r="CT133" s="294"/>
    </row>
    <row r="134" spans="1:98" ht="16" x14ac:dyDescent="0.2">
      <c r="A134" s="294"/>
      <c r="C134" s="294"/>
      <c r="K134" s="294"/>
      <c r="L134" s="294"/>
      <c r="AT134" s="294"/>
      <c r="AU134" s="294"/>
      <c r="AV134" s="343"/>
      <c r="AW134" s="343"/>
      <c r="AX134" s="343"/>
      <c r="AY134" s="343"/>
      <c r="AZ134" s="343"/>
      <c r="BA134" s="343"/>
      <c r="BB134" s="294"/>
      <c r="BC134" s="294"/>
      <c r="BD134" s="343"/>
      <c r="BE134" s="343"/>
      <c r="BF134" s="343"/>
      <c r="BG134" s="343"/>
      <c r="BH134" s="343"/>
      <c r="BI134" s="294"/>
      <c r="BJ134" s="294"/>
      <c r="BK134" s="343"/>
      <c r="BL134" s="343"/>
      <c r="BM134" s="343"/>
      <c r="BN134" s="343"/>
      <c r="BO134" s="343"/>
      <c r="BP134" s="294"/>
      <c r="BQ134" s="294"/>
      <c r="BR134" s="362" t="str">
        <f>VLOOKUP(BU134,TableInputsData[],6,FALSE)</f>
        <v>-</v>
      </c>
      <c r="BS134" s="598" t="str">
        <f>VLOOKUP(BU134,InputsData!$C$36:$I$67,5,FALSE)</f>
        <v>DIENST 07</v>
      </c>
      <c r="BT134" s="1" t="s">
        <v>522</v>
      </c>
      <c r="BU134" s="1" t="s">
        <v>552</v>
      </c>
      <c r="BV134" s="2">
        <v>0</v>
      </c>
      <c r="BW134" s="2">
        <v>0</v>
      </c>
      <c r="BX134" s="2">
        <v>0</v>
      </c>
      <c r="BY134" s="2">
        <v>0</v>
      </c>
      <c r="BZ134" s="2">
        <v>0</v>
      </c>
      <c r="CA134" s="2">
        <v>0</v>
      </c>
      <c r="CB134" s="2">
        <v>0</v>
      </c>
      <c r="CC134" s="2">
        <v>0</v>
      </c>
      <c r="CD134" s="2">
        <v>0</v>
      </c>
      <c r="CE134" s="2">
        <v>0</v>
      </c>
      <c r="CF134" s="2">
        <v>0</v>
      </c>
      <c r="CG134" s="2">
        <v>0</v>
      </c>
      <c r="CH134" s="2">
        <v>0</v>
      </c>
      <c r="CI134" s="2">
        <v>0</v>
      </c>
      <c r="CJ134" s="2">
        <v>0</v>
      </c>
      <c r="CK134" s="2">
        <v>0</v>
      </c>
      <c r="CL134" s="2">
        <v>0</v>
      </c>
      <c r="CM134" s="2">
        <v>0</v>
      </c>
      <c r="CN134" s="2">
        <v>0</v>
      </c>
      <c r="CO134" s="2">
        <v>0</v>
      </c>
      <c r="CP134" s="2">
        <v>0</v>
      </c>
      <c r="CQ134" s="2">
        <v>0</v>
      </c>
      <c r="CR134" s="2">
        <v>0</v>
      </c>
      <c r="CS134" s="2">
        <v>0</v>
      </c>
      <c r="CT134" s="294"/>
    </row>
    <row r="135" spans="1:98" ht="16" x14ac:dyDescent="0.2">
      <c r="A135" s="294"/>
      <c r="C135" s="294"/>
      <c r="K135" s="294"/>
      <c r="L135" s="294"/>
      <c r="AT135" s="294"/>
      <c r="AU135" s="294"/>
      <c r="AV135" s="343"/>
      <c r="AW135" s="343"/>
      <c r="AX135" s="343"/>
      <c r="AY135" s="343"/>
      <c r="AZ135" s="343"/>
      <c r="BA135" s="343"/>
      <c r="BB135" s="294"/>
      <c r="BC135" s="294"/>
      <c r="BD135" s="343"/>
      <c r="BE135" s="343"/>
      <c r="BF135" s="343"/>
      <c r="BG135" s="343"/>
      <c r="BH135" s="343"/>
      <c r="BI135" s="294"/>
      <c r="BJ135" s="294"/>
      <c r="BK135" s="343"/>
      <c r="BL135" s="343"/>
      <c r="BM135" s="343"/>
      <c r="BN135" s="343"/>
      <c r="BO135" s="343"/>
      <c r="BP135" s="294"/>
      <c r="BQ135" s="294"/>
      <c r="BR135" s="362" t="str">
        <f>VLOOKUP(BU135,TableInputsData[],6,FALSE)</f>
        <v>-</v>
      </c>
      <c r="BS135" s="598" t="str">
        <f>VLOOKUP(BU135,InputsData!$C$36:$I$67,5,FALSE)</f>
        <v>DIENST 08</v>
      </c>
      <c r="BT135" s="1" t="s">
        <v>522</v>
      </c>
      <c r="BU135" s="1" t="s">
        <v>553</v>
      </c>
      <c r="BV135" s="2">
        <v>0</v>
      </c>
      <c r="BW135" s="2">
        <v>0</v>
      </c>
      <c r="BX135" s="2">
        <v>0</v>
      </c>
      <c r="BY135" s="2">
        <v>0</v>
      </c>
      <c r="BZ135" s="2">
        <v>0</v>
      </c>
      <c r="CA135" s="2">
        <v>0</v>
      </c>
      <c r="CB135" s="2">
        <v>0</v>
      </c>
      <c r="CC135" s="2">
        <v>0</v>
      </c>
      <c r="CD135" s="2">
        <v>0</v>
      </c>
      <c r="CE135" s="2">
        <v>0</v>
      </c>
      <c r="CF135" s="2">
        <v>0</v>
      </c>
      <c r="CG135" s="2">
        <v>0</v>
      </c>
      <c r="CH135" s="2">
        <v>0</v>
      </c>
      <c r="CI135" s="2">
        <v>0</v>
      </c>
      <c r="CJ135" s="2">
        <v>0</v>
      </c>
      <c r="CK135" s="2">
        <v>0</v>
      </c>
      <c r="CL135" s="2">
        <v>0</v>
      </c>
      <c r="CM135" s="2">
        <v>0</v>
      </c>
      <c r="CN135" s="2">
        <v>0</v>
      </c>
      <c r="CO135" s="2">
        <v>0</v>
      </c>
      <c r="CP135" s="2">
        <v>0</v>
      </c>
      <c r="CQ135" s="2">
        <v>0</v>
      </c>
      <c r="CR135" s="2">
        <v>0</v>
      </c>
      <c r="CS135" s="2">
        <v>0</v>
      </c>
      <c r="CT135" s="294"/>
    </row>
    <row r="136" spans="1:98" ht="16" x14ac:dyDescent="0.2">
      <c r="A136" s="294"/>
      <c r="C136" s="294"/>
      <c r="K136" s="294"/>
      <c r="L136" s="294"/>
      <c r="AT136" s="294"/>
      <c r="AU136" s="294"/>
      <c r="AV136" s="343"/>
      <c r="AW136" s="343"/>
      <c r="AX136" s="343"/>
      <c r="AY136" s="343"/>
      <c r="AZ136" s="343"/>
      <c r="BA136" s="343"/>
      <c r="BB136" s="294"/>
      <c r="BC136" s="294"/>
      <c r="BD136" s="343"/>
      <c r="BE136" s="343"/>
      <c r="BF136" s="343"/>
      <c r="BG136" s="343"/>
      <c r="BH136" s="343"/>
      <c r="BI136" s="294"/>
      <c r="BJ136" s="294"/>
      <c r="BK136" s="343"/>
      <c r="BL136" s="343"/>
      <c r="BM136" s="343"/>
      <c r="BN136" s="343"/>
      <c r="BO136" s="343"/>
      <c r="BP136" s="294"/>
      <c r="BQ136" s="294"/>
      <c r="BR136" s="362" t="str">
        <f>VLOOKUP(BU136,TableInputsData[],6,FALSE)</f>
        <v>-</v>
      </c>
      <c r="BS136" s="598" t="str">
        <f>VLOOKUP(BU136,InputsData!$C$36:$I$67,5,FALSE)</f>
        <v>DIENST 09</v>
      </c>
      <c r="BT136" s="1" t="s">
        <v>522</v>
      </c>
      <c r="BU136" s="1" t="s">
        <v>554</v>
      </c>
      <c r="BV136" s="2">
        <v>0</v>
      </c>
      <c r="BW136" s="2">
        <v>0</v>
      </c>
      <c r="BX136" s="2">
        <v>0</v>
      </c>
      <c r="BY136" s="2">
        <v>0</v>
      </c>
      <c r="BZ136" s="2">
        <v>0</v>
      </c>
      <c r="CA136" s="2">
        <v>0</v>
      </c>
      <c r="CB136" s="2">
        <v>0</v>
      </c>
      <c r="CC136" s="2">
        <v>0</v>
      </c>
      <c r="CD136" s="2">
        <v>0</v>
      </c>
      <c r="CE136" s="2">
        <v>0</v>
      </c>
      <c r="CF136" s="2">
        <v>0</v>
      </c>
      <c r="CG136" s="2">
        <v>0</v>
      </c>
      <c r="CH136" s="2">
        <v>0</v>
      </c>
      <c r="CI136" s="2">
        <v>0</v>
      </c>
      <c r="CJ136" s="2">
        <v>0</v>
      </c>
      <c r="CK136" s="2">
        <v>0</v>
      </c>
      <c r="CL136" s="2">
        <v>0</v>
      </c>
      <c r="CM136" s="2">
        <v>0</v>
      </c>
      <c r="CN136" s="2">
        <v>0</v>
      </c>
      <c r="CO136" s="2">
        <v>0</v>
      </c>
      <c r="CP136" s="2">
        <v>0</v>
      </c>
      <c r="CQ136" s="2">
        <v>0</v>
      </c>
      <c r="CR136" s="2">
        <v>0</v>
      </c>
      <c r="CS136" s="2">
        <v>0</v>
      </c>
      <c r="CT136" s="294"/>
    </row>
    <row r="137" spans="1:98" ht="16" x14ac:dyDescent="0.2">
      <c r="A137" s="294"/>
      <c r="C137" s="294"/>
      <c r="K137" s="294"/>
      <c r="L137" s="294"/>
      <c r="AT137" s="294"/>
      <c r="AU137" s="294"/>
      <c r="AV137" s="343"/>
      <c r="AW137" s="343"/>
      <c r="AX137" s="343"/>
      <c r="AY137" s="343"/>
      <c r="AZ137" s="343"/>
      <c r="BA137" s="343"/>
      <c r="BB137" s="294"/>
      <c r="BC137" s="294"/>
      <c r="BD137" s="343"/>
      <c r="BE137" s="343"/>
      <c r="BF137" s="343"/>
      <c r="BG137" s="343"/>
      <c r="BH137" s="343"/>
      <c r="BI137" s="294"/>
      <c r="BJ137" s="294"/>
      <c r="BK137" s="343"/>
      <c r="BL137" s="343"/>
      <c r="BM137" s="343"/>
      <c r="BN137" s="343"/>
      <c r="BO137" s="343"/>
      <c r="BP137" s="294"/>
      <c r="BQ137" s="294"/>
      <c r="BR137" s="362" t="str">
        <f>VLOOKUP(BU137,TableInputsData[],6,FALSE)</f>
        <v>-</v>
      </c>
      <c r="BS137" s="598" t="str">
        <f>VLOOKUP(BU137,InputsData!$C$36:$I$67,5,FALSE)</f>
        <v>DIENST 10</v>
      </c>
      <c r="BT137" s="1" t="s">
        <v>522</v>
      </c>
      <c r="BU137" s="1" t="s">
        <v>115</v>
      </c>
      <c r="BV137" s="2">
        <v>0</v>
      </c>
      <c r="BW137" s="2">
        <v>0</v>
      </c>
      <c r="BX137" s="2">
        <v>0</v>
      </c>
      <c r="BY137" s="2">
        <v>0</v>
      </c>
      <c r="BZ137" s="2">
        <v>0</v>
      </c>
      <c r="CA137" s="2">
        <v>0</v>
      </c>
      <c r="CB137" s="2">
        <v>0</v>
      </c>
      <c r="CC137" s="2">
        <v>0</v>
      </c>
      <c r="CD137" s="2">
        <v>0</v>
      </c>
      <c r="CE137" s="2">
        <v>0</v>
      </c>
      <c r="CF137" s="2">
        <v>0</v>
      </c>
      <c r="CG137" s="2">
        <v>0</v>
      </c>
      <c r="CH137" s="2">
        <v>0</v>
      </c>
      <c r="CI137" s="2">
        <v>0</v>
      </c>
      <c r="CJ137" s="2">
        <v>0</v>
      </c>
      <c r="CK137" s="2">
        <v>0</v>
      </c>
      <c r="CL137" s="2">
        <v>0</v>
      </c>
      <c r="CM137" s="2">
        <v>0</v>
      </c>
      <c r="CN137" s="2">
        <v>0</v>
      </c>
      <c r="CO137" s="2">
        <v>0</v>
      </c>
      <c r="CP137" s="2">
        <v>0</v>
      </c>
      <c r="CQ137" s="2">
        <v>0</v>
      </c>
      <c r="CR137" s="2">
        <v>0</v>
      </c>
      <c r="CS137" s="2">
        <v>0</v>
      </c>
      <c r="CT137" s="294"/>
    </row>
    <row r="138" spans="1:98" ht="16" x14ac:dyDescent="0.2">
      <c r="A138" s="294"/>
      <c r="C138" s="294"/>
      <c r="K138" s="294"/>
      <c r="L138" s="294"/>
      <c r="AT138" s="294"/>
      <c r="AU138" s="294"/>
      <c r="AV138" s="343"/>
      <c r="AW138" s="343"/>
      <c r="AX138" s="343"/>
      <c r="AY138" s="343"/>
      <c r="AZ138" s="343"/>
      <c r="BA138" s="343"/>
      <c r="BB138" s="294"/>
      <c r="BC138" s="294"/>
      <c r="BD138" s="343"/>
      <c r="BE138" s="343"/>
      <c r="BF138" s="343"/>
      <c r="BG138" s="343"/>
      <c r="BH138" s="343"/>
      <c r="BI138" s="294"/>
      <c r="BJ138" s="294"/>
      <c r="BK138" s="343"/>
      <c r="BL138" s="343"/>
      <c r="BM138" s="343"/>
      <c r="BN138" s="343"/>
      <c r="BO138" s="343"/>
      <c r="BP138" s="294"/>
      <c r="BQ138" s="294"/>
      <c r="BR138" s="348"/>
      <c r="BS138" s="368"/>
      <c r="BT138" s="358" t="s">
        <v>523</v>
      </c>
      <c r="BU138" s="358"/>
      <c r="BV138" s="347">
        <v>0</v>
      </c>
      <c r="BW138" s="347">
        <v>0</v>
      </c>
      <c r="BX138" s="347">
        <v>0</v>
      </c>
      <c r="BY138" s="347">
        <v>0</v>
      </c>
      <c r="BZ138" s="347">
        <v>0</v>
      </c>
      <c r="CA138" s="347">
        <v>0</v>
      </c>
      <c r="CB138" s="347">
        <v>0</v>
      </c>
      <c r="CC138" s="347">
        <v>0</v>
      </c>
      <c r="CD138" s="347">
        <v>0</v>
      </c>
      <c r="CE138" s="347">
        <v>0</v>
      </c>
      <c r="CF138" s="347">
        <v>0</v>
      </c>
      <c r="CG138" s="347">
        <v>0</v>
      </c>
      <c r="CH138" s="347">
        <v>0</v>
      </c>
      <c r="CI138" s="347">
        <v>0</v>
      </c>
      <c r="CJ138" s="347">
        <v>0</v>
      </c>
      <c r="CK138" s="347">
        <v>0</v>
      </c>
      <c r="CL138" s="347">
        <v>0</v>
      </c>
      <c r="CM138" s="347">
        <v>0</v>
      </c>
      <c r="CN138" s="347">
        <v>0</v>
      </c>
      <c r="CO138" s="347">
        <v>0</v>
      </c>
      <c r="CP138" s="347">
        <v>0</v>
      </c>
      <c r="CQ138" s="347">
        <v>0</v>
      </c>
      <c r="CR138" s="347">
        <v>0</v>
      </c>
      <c r="CS138" s="347">
        <v>0</v>
      </c>
      <c r="CT138" s="294"/>
    </row>
    <row r="139" spans="1:98" ht="16" x14ac:dyDescent="0.2">
      <c r="A139" s="294"/>
      <c r="C139" s="294"/>
      <c r="K139" s="294"/>
      <c r="L139" s="294"/>
      <c r="AT139" s="294"/>
      <c r="AU139" s="294"/>
      <c r="AV139" s="343"/>
      <c r="AW139" s="343"/>
      <c r="AX139" s="343"/>
      <c r="AY139" s="343"/>
      <c r="AZ139" s="343"/>
      <c r="BA139" s="343"/>
      <c r="BB139" s="294"/>
      <c r="BC139" s="294"/>
      <c r="BI139" s="294"/>
      <c r="BJ139" s="294"/>
      <c r="BP139" s="294"/>
      <c r="BQ139" s="294"/>
      <c r="BT139"/>
      <c r="BU139"/>
      <c r="BV139"/>
      <c r="BW139"/>
      <c r="BX139"/>
      <c r="BY139"/>
      <c r="BZ139"/>
      <c r="CA139"/>
      <c r="CB139"/>
      <c r="CC139"/>
      <c r="CD139"/>
      <c r="CE139"/>
      <c r="CF139"/>
      <c r="CG139"/>
      <c r="CH139"/>
      <c r="CI139"/>
      <c r="CJ139"/>
      <c r="CK139"/>
      <c r="CL139"/>
      <c r="CT139" s="294"/>
    </row>
    <row r="140" spans="1:98" ht="16" x14ac:dyDescent="0.2">
      <c r="A140" s="294"/>
      <c r="B140" s="294"/>
      <c r="C140" s="294"/>
      <c r="D140" s="294"/>
      <c r="E140" s="294"/>
      <c r="F140" s="294"/>
      <c r="G140" s="294"/>
      <c r="H140" s="294"/>
      <c r="I140" s="294"/>
      <c r="J140" s="294"/>
      <c r="K140" s="294"/>
      <c r="L140" s="294"/>
      <c r="M140" s="294"/>
      <c r="N140" s="294"/>
      <c r="O140" s="294"/>
      <c r="P140" s="294"/>
      <c r="Q140" s="294"/>
      <c r="R140" s="294"/>
      <c r="S140" s="294"/>
      <c r="T140" s="294"/>
      <c r="U140" s="294"/>
      <c r="V140" s="294"/>
      <c r="W140" s="294"/>
      <c r="X140" s="294"/>
      <c r="Y140" s="294"/>
      <c r="Z140" s="294"/>
      <c r="AA140" s="294"/>
      <c r="AB140" s="294"/>
      <c r="AC140" s="294"/>
      <c r="AD140" s="294"/>
      <c r="AE140" s="294"/>
      <c r="AF140" s="294"/>
      <c r="AG140" s="294"/>
      <c r="AH140" s="294"/>
      <c r="AI140" s="294"/>
      <c r="AJ140" s="294"/>
      <c r="AK140" s="294"/>
      <c r="AL140" s="294"/>
      <c r="AM140" s="294"/>
      <c r="AN140" s="294"/>
      <c r="AO140" s="294"/>
      <c r="AP140" s="294"/>
      <c r="AQ140" s="294"/>
      <c r="AR140" s="294"/>
      <c r="AS140" s="304"/>
      <c r="AT140" s="294"/>
      <c r="AU140" s="294"/>
      <c r="AV140" s="294"/>
      <c r="AW140" s="294"/>
      <c r="AX140" s="294"/>
      <c r="AY140" s="294"/>
      <c r="AZ140" s="294"/>
      <c r="BA140" s="294"/>
      <c r="BB140" s="294"/>
      <c r="BC140" s="294"/>
      <c r="BD140" s="294"/>
      <c r="BE140" s="294"/>
      <c r="BF140" s="294"/>
      <c r="BG140" s="294"/>
      <c r="BH140" s="294"/>
      <c r="BI140" s="294"/>
      <c r="BJ140" s="294"/>
      <c r="BK140" s="294"/>
      <c r="BL140" s="294"/>
      <c r="BM140" s="294"/>
      <c r="BN140" s="294"/>
      <c r="BO140" s="294"/>
      <c r="BP140" s="294"/>
      <c r="BQ140" s="294"/>
      <c r="BR140" s="294"/>
      <c r="BS140" s="309"/>
      <c r="BT140" s="313"/>
      <c r="BU140" s="313"/>
      <c r="BV140" s="313"/>
      <c r="BW140" s="313"/>
      <c r="BX140" s="313"/>
      <c r="BY140" s="313"/>
      <c r="BZ140" s="313"/>
      <c r="CA140" s="313"/>
      <c r="CB140" s="313"/>
      <c r="CC140" s="313"/>
      <c r="CD140" s="313"/>
      <c r="CE140" s="313"/>
      <c r="CF140" s="313"/>
      <c r="CG140" s="313"/>
      <c r="CH140" s="313"/>
      <c r="CI140" s="313"/>
      <c r="CJ140" s="313"/>
      <c r="CK140" s="313"/>
      <c r="CL140" s="313"/>
      <c r="CM140" s="294"/>
      <c r="CN140" s="294"/>
      <c r="CO140" s="294"/>
      <c r="CP140" s="294"/>
      <c r="CQ140" s="294"/>
      <c r="CR140" s="294"/>
      <c r="CS140" s="294"/>
      <c r="CT140" s="294"/>
    </row>
    <row r="141" spans="1:98" ht="16" hidden="1" x14ac:dyDescent="0.2">
      <c r="BT141"/>
      <c r="BU141"/>
      <c r="BV141"/>
      <c r="BW141"/>
      <c r="BX141"/>
      <c r="BY141"/>
      <c r="BZ141"/>
      <c r="CA141"/>
      <c r="CB141"/>
      <c r="CC141"/>
      <c r="CD141"/>
      <c r="CE141"/>
      <c r="CF141"/>
      <c r="CG141"/>
      <c r="CH141"/>
      <c r="CI141"/>
      <c r="CJ141"/>
      <c r="CK141"/>
    </row>
    <row r="142" spans="1:98" ht="16" hidden="1" x14ac:dyDescent="0.2">
      <c r="BT142"/>
      <c r="BU142"/>
      <c r="BV142"/>
      <c r="BW142"/>
      <c r="BX142"/>
      <c r="BY142"/>
      <c r="BZ142"/>
      <c r="CA142"/>
      <c r="CB142"/>
      <c r="CC142"/>
      <c r="CD142"/>
      <c r="CE142"/>
      <c r="CF142"/>
      <c r="CG142"/>
      <c r="CH142"/>
      <c r="CI142"/>
      <c r="CJ142"/>
      <c r="CK142"/>
    </row>
    <row r="143" spans="1:98" ht="16" hidden="1" x14ac:dyDescent="0.2">
      <c r="BT143"/>
      <c r="BU143"/>
      <c r="BV143"/>
      <c r="BW143"/>
      <c r="BX143"/>
      <c r="BY143"/>
      <c r="BZ143"/>
      <c r="CA143"/>
      <c r="CB143"/>
      <c r="CC143"/>
      <c r="CD143"/>
      <c r="CE143"/>
      <c r="CF143"/>
      <c r="CG143"/>
      <c r="CH143"/>
      <c r="CI143"/>
      <c r="CJ143"/>
      <c r="CK143"/>
    </row>
    <row r="144" spans="1:98" ht="16" hidden="1" x14ac:dyDescent="0.2">
      <c r="BT144"/>
      <c r="BU144"/>
      <c r="BV144"/>
      <c r="BW144"/>
      <c r="BX144"/>
      <c r="BY144"/>
      <c r="BZ144"/>
      <c r="CA144"/>
      <c r="CB144"/>
      <c r="CC144"/>
      <c r="CD144"/>
      <c r="CE144"/>
      <c r="CF144"/>
      <c r="CG144"/>
      <c r="CH144"/>
      <c r="CI144"/>
      <c r="CJ144"/>
      <c r="CK144"/>
    </row>
    <row r="145" spans="72:89" ht="16" hidden="1" x14ac:dyDescent="0.2">
      <c r="BT145"/>
      <c r="BU145"/>
      <c r="BV145"/>
      <c r="BW145"/>
      <c r="BX145"/>
      <c r="BY145"/>
      <c r="BZ145"/>
      <c r="CA145"/>
      <c r="CB145"/>
      <c r="CC145"/>
      <c r="CD145"/>
      <c r="CE145"/>
      <c r="CF145"/>
      <c r="CG145"/>
      <c r="CH145"/>
      <c r="CI145"/>
      <c r="CJ145"/>
      <c r="CK145"/>
    </row>
    <row r="146" spans="72:89" ht="16" hidden="1" x14ac:dyDescent="0.2">
      <c r="BT146"/>
      <c r="BU146"/>
      <c r="BV146"/>
      <c r="BW146"/>
      <c r="BX146"/>
      <c r="BY146"/>
      <c r="BZ146"/>
      <c r="CA146"/>
      <c r="CB146"/>
      <c r="CC146"/>
      <c r="CD146"/>
      <c r="CE146"/>
      <c r="CF146"/>
      <c r="CG146"/>
      <c r="CH146"/>
      <c r="CI146"/>
      <c r="CJ146"/>
      <c r="CK146"/>
    </row>
    <row r="147" spans="72:89" ht="16" hidden="1" x14ac:dyDescent="0.2">
      <c r="BT147"/>
      <c r="BU147"/>
      <c r="BV147"/>
      <c r="BW147"/>
      <c r="BX147"/>
      <c r="BY147"/>
      <c r="BZ147"/>
      <c r="CA147"/>
      <c r="CB147"/>
      <c r="CC147"/>
      <c r="CD147"/>
      <c r="CE147"/>
      <c r="CF147"/>
      <c r="CG147"/>
      <c r="CH147"/>
      <c r="CI147"/>
      <c r="CJ147"/>
      <c r="CK147"/>
    </row>
    <row r="148" spans="72:89" ht="16" hidden="1" x14ac:dyDescent="0.2">
      <c r="BT148"/>
      <c r="BU148"/>
      <c r="BV148"/>
      <c r="BW148"/>
      <c r="BX148"/>
      <c r="BY148"/>
      <c r="BZ148"/>
      <c r="CA148"/>
      <c r="CB148"/>
      <c r="CC148"/>
      <c r="CD148"/>
      <c r="CE148"/>
      <c r="CF148"/>
      <c r="CG148"/>
      <c r="CH148"/>
      <c r="CI148"/>
      <c r="CJ148"/>
      <c r="CK148"/>
    </row>
    <row r="149" spans="72:89" ht="16" hidden="1" x14ac:dyDescent="0.2">
      <c r="BT149"/>
      <c r="BU149"/>
      <c r="BV149"/>
      <c r="BW149"/>
      <c r="BX149"/>
      <c r="BY149"/>
      <c r="BZ149"/>
      <c r="CA149"/>
      <c r="CB149"/>
      <c r="CC149"/>
      <c r="CD149"/>
      <c r="CE149"/>
      <c r="CF149"/>
      <c r="CG149"/>
      <c r="CH149"/>
      <c r="CI149"/>
      <c r="CJ149"/>
      <c r="CK149"/>
    </row>
    <row r="150" spans="72:89" ht="16" hidden="1" x14ac:dyDescent="0.2">
      <c r="BT150"/>
      <c r="BU150"/>
      <c r="BV150"/>
      <c r="BW150"/>
      <c r="BX150"/>
      <c r="BY150"/>
      <c r="BZ150"/>
      <c r="CA150"/>
      <c r="CB150"/>
      <c r="CC150"/>
      <c r="CD150"/>
      <c r="CE150"/>
      <c r="CF150"/>
      <c r="CG150"/>
      <c r="CH150"/>
      <c r="CI150"/>
      <c r="CJ150"/>
      <c r="CK150"/>
    </row>
    <row r="151" spans="72:89" ht="16" hidden="1" x14ac:dyDescent="0.2">
      <c r="BT151"/>
      <c r="BU151"/>
      <c r="BV151"/>
      <c r="BW151"/>
      <c r="BX151"/>
      <c r="BY151"/>
      <c r="BZ151"/>
      <c r="CA151"/>
      <c r="CB151"/>
      <c r="CC151"/>
      <c r="CD151"/>
      <c r="CE151"/>
      <c r="CF151"/>
      <c r="CG151"/>
      <c r="CH151"/>
      <c r="CI151"/>
      <c r="CJ151"/>
      <c r="CK151"/>
    </row>
    <row r="152" spans="72:89" ht="16" hidden="1" x14ac:dyDescent="0.2">
      <c r="BT152"/>
      <c r="BU152"/>
      <c r="BV152"/>
      <c r="BW152"/>
      <c r="BX152"/>
      <c r="BY152"/>
      <c r="BZ152"/>
      <c r="CA152"/>
      <c r="CB152"/>
      <c r="CC152"/>
      <c r="CD152"/>
      <c r="CE152"/>
      <c r="CF152"/>
      <c r="CG152"/>
      <c r="CH152"/>
      <c r="CI152"/>
      <c r="CJ152"/>
      <c r="CK152"/>
    </row>
    <row r="153" spans="72:89" ht="16" hidden="1" x14ac:dyDescent="0.2">
      <c r="BT153"/>
      <c r="BU153"/>
      <c r="BV153"/>
      <c r="BW153"/>
      <c r="BX153"/>
      <c r="BY153"/>
      <c r="BZ153"/>
      <c r="CA153"/>
      <c r="CB153"/>
      <c r="CC153"/>
      <c r="CD153"/>
      <c r="CE153"/>
      <c r="CF153"/>
      <c r="CG153"/>
      <c r="CH153"/>
      <c r="CI153"/>
      <c r="CJ153"/>
      <c r="CK153"/>
    </row>
    <row r="154" spans="72:89" ht="16" hidden="1" x14ac:dyDescent="0.2">
      <c r="BT154"/>
      <c r="BU154"/>
      <c r="BV154"/>
      <c r="BW154"/>
      <c r="BX154"/>
      <c r="BY154"/>
      <c r="BZ154"/>
      <c r="CA154"/>
      <c r="CB154"/>
      <c r="CC154"/>
      <c r="CD154"/>
      <c r="CE154"/>
      <c r="CF154"/>
      <c r="CG154"/>
      <c r="CH154"/>
      <c r="CI154"/>
      <c r="CJ154"/>
      <c r="CK154"/>
    </row>
    <row r="155" spans="72:89" ht="16" hidden="1" x14ac:dyDescent="0.2">
      <c r="BT155"/>
      <c r="BU155"/>
      <c r="BV155"/>
      <c r="BW155"/>
      <c r="BX155"/>
      <c r="BY155"/>
      <c r="BZ155"/>
      <c r="CA155"/>
      <c r="CB155"/>
      <c r="CC155"/>
      <c r="CD155"/>
      <c r="CE155"/>
      <c r="CF155"/>
      <c r="CG155"/>
      <c r="CH155"/>
      <c r="CI155"/>
      <c r="CJ155"/>
      <c r="CK155"/>
    </row>
    <row r="156" spans="72:89" ht="16" hidden="1" x14ac:dyDescent="0.2">
      <c r="BT156"/>
      <c r="BU156"/>
      <c r="BV156"/>
      <c r="BW156"/>
      <c r="BX156"/>
      <c r="BY156"/>
      <c r="BZ156"/>
      <c r="CA156"/>
      <c r="CB156"/>
      <c r="CC156"/>
      <c r="CD156"/>
      <c r="CE156"/>
      <c r="CF156"/>
      <c r="CG156"/>
      <c r="CH156"/>
      <c r="CI156"/>
      <c r="CJ156"/>
      <c r="CK156"/>
    </row>
    <row r="157" spans="72:89" ht="16" hidden="1" x14ac:dyDescent="0.2">
      <c r="BT157"/>
      <c r="BU157"/>
      <c r="BV157"/>
      <c r="BW157"/>
      <c r="BX157"/>
      <c r="BY157"/>
      <c r="BZ157"/>
      <c r="CA157"/>
      <c r="CB157"/>
      <c r="CC157"/>
      <c r="CD157"/>
      <c r="CE157"/>
      <c r="CF157"/>
      <c r="CG157"/>
      <c r="CH157"/>
      <c r="CI157"/>
      <c r="CJ157"/>
      <c r="CK157"/>
    </row>
    <row r="158" spans="72:89" ht="16" hidden="1" x14ac:dyDescent="0.2">
      <c r="BT158"/>
      <c r="BU158"/>
      <c r="BV158"/>
      <c r="BW158"/>
      <c r="BX158"/>
      <c r="BY158"/>
      <c r="BZ158"/>
      <c r="CA158"/>
      <c r="CB158"/>
      <c r="CC158"/>
      <c r="CD158"/>
      <c r="CE158"/>
      <c r="CF158"/>
      <c r="CG158"/>
      <c r="CH158"/>
      <c r="CI158"/>
      <c r="CJ158"/>
      <c r="CK158"/>
    </row>
    <row r="159" spans="72:89" ht="16" hidden="1" x14ac:dyDescent="0.2">
      <c r="BT159"/>
      <c r="BU159"/>
      <c r="BV159"/>
      <c r="BW159"/>
      <c r="BX159"/>
      <c r="BY159"/>
      <c r="BZ159"/>
      <c r="CA159"/>
      <c r="CB159"/>
      <c r="CC159"/>
      <c r="CD159"/>
      <c r="CE159"/>
      <c r="CF159"/>
      <c r="CG159"/>
      <c r="CH159"/>
      <c r="CI159"/>
      <c r="CJ159"/>
      <c r="CK159"/>
    </row>
    <row r="160" spans="72:89" ht="16" hidden="1" x14ac:dyDescent="0.2">
      <c r="BT160"/>
      <c r="BU160"/>
      <c r="BV160"/>
      <c r="BW160"/>
      <c r="BX160"/>
      <c r="BY160"/>
      <c r="BZ160"/>
      <c r="CA160"/>
      <c r="CB160"/>
      <c r="CC160"/>
      <c r="CD160"/>
      <c r="CE160"/>
      <c r="CF160"/>
      <c r="CG160"/>
      <c r="CH160"/>
      <c r="CI160"/>
      <c r="CJ160"/>
      <c r="CK160"/>
    </row>
    <row r="161" spans="72:89" ht="16" hidden="1" x14ac:dyDescent="0.2">
      <c r="BT161"/>
      <c r="BU161"/>
      <c r="BV161"/>
      <c r="BW161"/>
      <c r="BX161"/>
      <c r="BY161"/>
      <c r="BZ161"/>
      <c r="CA161"/>
      <c r="CB161"/>
      <c r="CC161"/>
      <c r="CD161"/>
      <c r="CE161"/>
      <c r="CF161"/>
      <c r="CG161"/>
      <c r="CH161"/>
      <c r="CI161"/>
      <c r="CJ161"/>
      <c r="CK161"/>
    </row>
    <row r="162" spans="72:89" ht="16" hidden="1" x14ac:dyDescent="0.2">
      <c r="BT162"/>
      <c r="BU162"/>
      <c r="BV162"/>
      <c r="BW162"/>
      <c r="BX162"/>
      <c r="BY162"/>
      <c r="BZ162"/>
      <c r="CA162"/>
      <c r="CB162"/>
      <c r="CC162"/>
      <c r="CD162"/>
      <c r="CE162"/>
      <c r="CF162"/>
      <c r="CG162"/>
      <c r="CH162"/>
      <c r="CI162"/>
      <c r="CJ162"/>
      <c r="CK162"/>
    </row>
    <row r="163" spans="72:89" ht="16" hidden="1" x14ac:dyDescent="0.2">
      <c r="BT163"/>
      <c r="BU163"/>
      <c r="BV163"/>
      <c r="BW163"/>
      <c r="BX163"/>
      <c r="BY163"/>
      <c r="BZ163"/>
      <c r="CA163"/>
      <c r="CB163"/>
      <c r="CC163"/>
      <c r="CD163"/>
      <c r="CE163"/>
      <c r="CF163"/>
      <c r="CG163"/>
      <c r="CH163"/>
      <c r="CI163"/>
      <c r="CJ163"/>
      <c r="CK163"/>
    </row>
    <row r="164" spans="72:89" ht="16" hidden="1" x14ac:dyDescent="0.2">
      <c r="BT164"/>
      <c r="BU164"/>
      <c r="BV164"/>
      <c r="BW164"/>
      <c r="BX164"/>
      <c r="BY164"/>
      <c r="BZ164"/>
      <c r="CA164"/>
      <c r="CB164"/>
      <c r="CC164"/>
      <c r="CD164"/>
      <c r="CE164"/>
      <c r="CF164"/>
      <c r="CG164"/>
      <c r="CH164"/>
      <c r="CI164"/>
      <c r="CJ164"/>
      <c r="CK164"/>
    </row>
    <row r="165" spans="72:89" ht="16" hidden="1" x14ac:dyDescent="0.2">
      <c r="BT165"/>
      <c r="BU165"/>
      <c r="BV165"/>
      <c r="BW165"/>
      <c r="BX165"/>
      <c r="BY165"/>
      <c r="BZ165"/>
      <c r="CA165"/>
      <c r="CB165"/>
      <c r="CC165"/>
      <c r="CD165"/>
      <c r="CE165"/>
      <c r="CF165"/>
      <c r="CG165"/>
      <c r="CH165"/>
      <c r="CI165"/>
      <c r="CJ165"/>
      <c r="CK165"/>
    </row>
    <row r="166" spans="72:89" ht="16" hidden="1" x14ac:dyDescent="0.2">
      <c r="BT166"/>
      <c r="BU166"/>
      <c r="BV166"/>
      <c r="BW166"/>
      <c r="BX166"/>
      <c r="BY166"/>
      <c r="BZ166"/>
      <c r="CA166"/>
      <c r="CB166"/>
      <c r="CC166"/>
      <c r="CD166"/>
      <c r="CE166"/>
      <c r="CF166"/>
      <c r="CG166"/>
      <c r="CH166"/>
      <c r="CI166"/>
      <c r="CJ166"/>
      <c r="CK166"/>
    </row>
    <row r="167" spans="72:89" ht="16" hidden="1" x14ac:dyDescent="0.2">
      <c r="BT167"/>
      <c r="BU167"/>
      <c r="BV167"/>
      <c r="BW167"/>
      <c r="BX167"/>
      <c r="BY167"/>
      <c r="BZ167"/>
      <c r="CA167"/>
      <c r="CB167"/>
      <c r="CC167"/>
      <c r="CD167"/>
      <c r="CE167"/>
      <c r="CF167"/>
      <c r="CG167"/>
      <c r="CH167"/>
      <c r="CI167"/>
      <c r="CJ167"/>
      <c r="CK167"/>
    </row>
    <row r="168" spans="72:89" ht="16" hidden="1" x14ac:dyDescent="0.2">
      <c r="BT168"/>
      <c r="BU168"/>
      <c r="BV168"/>
      <c r="BW168"/>
      <c r="BX168"/>
      <c r="BY168"/>
      <c r="BZ168"/>
      <c r="CA168"/>
      <c r="CB168"/>
      <c r="CC168"/>
      <c r="CD168"/>
      <c r="CE168"/>
      <c r="CF168"/>
      <c r="CG168"/>
      <c r="CH168"/>
      <c r="CI168"/>
      <c r="CJ168"/>
      <c r="CK168"/>
    </row>
    <row r="169" spans="72:89" ht="16" hidden="1" x14ac:dyDescent="0.2">
      <c r="BT169"/>
      <c r="BU169"/>
      <c r="BV169"/>
      <c r="BW169"/>
      <c r="BX169"/>
      <c r="BY169"/>
      <c r="BZ169"/>
      <c r="CA169"/>
      <c r="CB169"/>
      <c r="CC169"/>
      <c r="CD169"/>
      <c r="CE169"/>
      <c r="CF169"/>
      <c r="CG169"/>
      <c r="CH169"/>
      <c r="CI169"/>
      <c r="CJ169"/>
      <c r="CK169"/>
    </row>
    <row r="170" spans="72:89" ht="16" hidden="1" x14ac:dyDescent="0.2">
      <c r="BT170"/>
      <c r="BU170"/>
      <c r="BV170"/>
      <c r="BW170"/>
      <c r="BX170"/>
      <c r="BY170"/>
      <c r="BZ170"/>
      <c r="CA170"/>
      <c r="CB170"/>
      <c r="CC170"/>
      <c r="CD170"/>
      <c r="CE170"/>
      <c r="CF170"/>
      <c r="CG170"/>
      <c r="CH170"/>
      <c r="CI170"/>
      <c r="CJ170"/>
      <c r="CK170"/>
    </row>
    <row r="171" spans="72:89" ht="16" hidden="1" x14ac:dyDescent="0.2">
      <c r="BT171"/>
      <c r="BU171"/>
      <c r="BV171"/>
      <c r="BW171"/>
      <c r="BX171"/>
      <c r="BY171"/>
      <c r="BZ171"/>
      <c r="CA171"/>
      <c r="CB171"/>
      <c r="CC171"/>
      <c r="CD171"/>
      <c r="CE171"/>
      <c r="CF171"/>
      <c r="CG171"/>
      <c r="CH171"/>
      <c r="CI171"/>
      <c r="CJ171"/>
      <c r="CK171"/>
    </row>
    <row r="172" spans="72:89" ht="16" hidden="1" x14ac:dyDescent="0.2">
      <c r="BT172"/>
      <c r="BU172"/>
      <c r="BV172"/>
      <c r="BW172"/>
      <c r="BX172"/>
      <c r="BY172"/>
      <c r="BZ172"/>
      <c r="CA172"/>
      <c r="CB172"/>
      <c r="CC172"/>
      <c r="CD172"/>
      <c r="CE172"/>
      <c r="CF172"/>
      <c r="CG172"/>
      <c r="CH172"/>
      <c r="CI172"/>
      <c r="CJ172"/>
      <c r="CK172"/>
    </row>
    <row r="173" spans="72:89" ht="16" hidden="1" x14ac:dyDescent="0.2">
      <c r="BT173"/>
      <c r="BU173"/>
      <c r="BV173"/>
      <c r="BW173"/>
      <c r="BX173"/>
      <c r="BY173"/>
      <c r="BZ173"/>
      <c r="CA173"/>
      <c r="CB173"/>
      <c r="CC173"/>
      <c r="CD173"/>
      <c r="CE173"/>
      <c r="CF173"/>
      <c r="CG173"/>
      <c r="CH173"/>
      <c r="CI173"/>
      <c r="CJ173"/>
      <c r="CK173"/>
    </row>
    <row r="174" spans="72:89" ht="16" hidden="1" x14ac:dyDescent="0.2">
      <c r="BT174"/>
      <c r="BU174"/>
      <c r="BV174"/>
      <c r="BW174"/>
      <c r="BX174"/>
      <c r="BY174"/>
      <c r="BZ174"/>
      <c r="CA174"/>
      <c r="CB174"/>
      <c r="CC174"/>
      <c r="CD174"/>
      <c r="CE174"/>
      <c r="CF174"/>
      <c r="CG174"/>
      <c r="CH174"/>
      <c r="CI174"/>
      <c r="CJ174"/>
      <c r="CK174"/>
    </row>
    <row r="175" spans="72:89" ht="16" hidden="1" x14ac:dyDescent="0.2">
      <c r="BT175"/>
      <c r="BU175"/>
      <c r="BV175"/>
      <c r="BW175"/>
      <c r="BX175"/>
      <c r="BY175"/>
      <c r="BZ175"/>
      <c r="CA175"/>
      <c r="CB175"/>
      <c r="CC175"/>
      <c r="CD175"/>
      <c r="CE175"/>
      <c r="CF175"/>
      <c r="CG175"/>
      <c r="CH175"/>
      <c r="CI175"/>
      <c r="CJ175"/>
      <c r="CK175"/>
    </row>
    <row r="176" spans="72:89" ht="16" hidden="1" x14ac:dyDescent="0.2">
      <c r="BT176"/>
      <c r="BU176"/>
      <c r="BV176"/>
      <c r="BW176"/>
      <c r="BX176"/>
      <c r="BY176"/>
      <c r="BZ176"/>
      <c r="CA176"/>
      <c r="CB176"/>
      <c r="CC176"/>
      <c r="CD176"/>
      <c r="CE176"/>
      <c r="CF176"/>
      <c r="CG176"/>
      <c r="CH176"/>
      <c r="CI176"/>
      <c r="CJ176"/>
      <c r="CK176"/>
    </row>
    <row r="177" spans="72:89" ht="16" hidden="1" x14ac:dyDescent="0.2">
      <c r="BT177"/>
      <c r="BU177"/>
      <c r="BV177"/>
      <c r="BW177"/>
      <c r="BX177"/>
      <c r="BY177"/>
      <c r="BZ177"/>
      <c r="CA177"/>
      <c r="CB177"/>
      <c r="CC177"/>
      <c r="CD177"/>
      <c r="CE177"/>
      <c r="CF177"/>
      <c r="CG177"/>
      <c r="CH177"/>
      <c r="CI177"/>
      <c r="CJ177"/>
      <c r="CK177"/>
    </row>
    <row r="178" spans="72:89" ht="16" hidden="1" x14ac:dyDescent="0.2">
      <c r="BT178"/>
      <c r="BU178"/>
      <c r="BV178"/>
      <c r="BW178"/>
      <c r="BX178"/>
      <c r="BY178"/>
      <c r="BZ178"/>
      <c r="CA178"/>
      <c r="CB178"/>
      <c r="CC178"/>
      <c r="CD178"/>
      <c r="CE178"/>
      <c r="CF178"/>
      <c r="CG178"/>
      <c r="CH178"/>
      <c r="CI178"/>
      <c r="CJ178"/>
      <c r="CK178"/>
    </row>
    <row r="179" spans="72:89" ht="16" hidden="1" x14ac:dyDescent="0.2">
      <c r="BT179"/>
      <c r="BU179"/>
      <c r="BV179"/>
      <c r="BW179"/>
      <c r="BX179"/>
      <c r="BY179"/>
      <c r="BZ179"/>
      <c r="CA179"/>
      <c r="CB179"/>
      <c r="CC179"/>
      <c r="CD179"/>
      <c r="CE179"/>
      <c r="CF179"/>
      <c r="CG179"/>
      <c r="CH179"/>
      <c r="CI179"/>
      <c r="CJ179"/>
      <c r="CK179"/>
    </row>
    <row r="180" spans="72:89" ht="16" hidden="1" x14ac:dyDescent="0.2">
      <c r="BT180"/>
      <c r="BU180"/>
      <c r="BV180"/>
      <c r="BW180"/>
      <c r="BX180"/>
      <c r="BY180"/>
      <c r="BZ180"/>
      <c r="CA180"/>
      <c r="CB180"/>
      <c r="CC180"/>
      <c r="CD180"/>
      <c r="CE180"/>
      <c r="CF180"/>
      <c r="CG180"/>
      <c r="CH180"/>
      <c r="CI180"/>
      <c r="CJ180"/>
      <c r="CK180"/>
    </row>
    <row r="181" spans="72:89" ht="16" hidden="1" x14ac:dyDescent="0.2">
      <c r="BT181"/>
      <c r="BU181"/>
      <c r="BV181"/>
      <c r="BW181"/>
      <c r="BX181"/>
      <c r="BY181"/>
      <c r="BZ181"/>
      <c r="CA181"/>
      <c r="CB181"/>
      <c r="CC181"/>
      <c r="CD181"/>
      <c r="CE181"/>
      <c r="CF181"/>
      <c r="CG181"/>
      <c r="CH181"/>
      <c r="CI181"/>
      <c r="CJ181"/>
      <c r="CK181"/>
    </row>
    <row r="182" spans="72:89" ht="16" hidden="1" x14ac:dyDescent="0.2">
      <c r="BT182"/>
      <c r="BU182"/>
      <c r="BV182"/>
      <c r="BW182"/>
      <c r="BX182"/>
      <c r="BY182"/>
      <c r="BZ182"/>
      <c r="CA182"/>
      <c r="CB182"/>
      <c r="CC182"/>
      <c r="CD182"/>
      <c r="CE182"/>
      <c r="CF182"/>
      <c r="CG182"/>
      <c r="CH182"/>
      <c r="CI182"/>
      <c r="CJ182"/>
      <c r="CK182"/>
    </row>
    <row r="183" spans="72:89" ht="16" hidden="1" x14ac:dyDescent="0.2">
      <c r="BT183"/>
      <c r="BU183"/>
      <c r="BV183"/>
      <c r="BW183"/>
      <c r="BX183"/>
      <c r="BY183"/>
      <c r="BZ183"/>
      <c r="CA183"/>
      <c r="CB183"/>
      <c r="CC183"/>
      <c r="CD183"/>
      <c r="CE183"/>
      <c r="CF183"/>
      <c r="CG183"/>
      <c r="CH183"/>
      <c r="CI183"/>
      <c r="CJ183"/>
      <c r="CK183"/>
    </row>
    <row r="184" spans="72:89" ht="16" hidden="1" x14ac:dyDescent="0.2">
      <c r="BT184"/>
      <c r="BU184"/>
      <c r="BV184"/>
      <c r="BW184"/>
      <c r="BX184"/>
      <c r="BY184"/>
      <c r="BZ184"/>
      <c r="CA184"/>
      <c r="CB184"/>
      <c r="CC184"/>
      <c r="CD184"/>
      <c r="CE184"/>
      <c r="CF184"/>
      <c r="CG184"/>
      <c r="CH184"/>
      <c r="CI184"/>
      <c r="CJ184"/>
      <c r="CK184"/>
    </row>
    <row r="185" spans="72:89" ht="16" hidden="1" x14ac:dyDescent="0.2">
      <c r="BT185"/>
      <c r="BU185"/>
      <c r="BV185"/>
      <c r="BW185"/>
      <c r="BX185"/>
      <c r="BY185"/>
      <c r="BZ185"/>
      <c r="CA185"/>
      <c r="CB185"/>
      <c r="CC185"/>
      <c r="CD185"/>
      <c r="CE185"/>
      <c r="CF185"/>
      <c r="CG185"/>
      <c r="CH185"/>
      <c r="CI185"/>
      <c r="CJ185"/>
      <c r="CK185"/>
    </row>
    <row r="186" spans="72:89" ht="16" hidden="1" x14ac:dyDescent="0.2">
      <c r="BT186"/>
      <c r="BU186"/>
      <c r="BV186"/>
      <c r="BW186"/>
      <c r="BX186"/>
      <c r="BY186"/>
      <c r="BZ186"/>
      <c r="CA186"/>
      <c r="CB186"/>
      <c r="CC186"/>
      <c r="CD186"/>
      <c r="CE186"/>
      <c r="CF186"/>
      <c r="CG186"/>
      <c r="CH186"/>
      <c r="CI186"/>
      <c r="CJ186"/>
      <c r="CK186"/>
    </row>
    <row r="187" spans="72:89" ht="16" hidden="1" x14ac:dyDescent="0.2">
      <c r="BT187"/>
      <c r="BU187"/>
      <c r="BV187"/>
      <c r="BW187"/>
      <c r="BX187"/>
      <c r="BY187"/>
      <c r="BZ187"/>
      <c r="CA187"/>
      <c r="CB187"/>
      <c r="CC187"/>
      <c r="CD187"/>
      <c r="CE187"/>
      <c r="CF187"/>
      <c r="CG187"/>
      <c r="CH187"/>
      <c r="CI187"/>
      <c r="CJ187"/>
      <c r="CK187"/>
    </row>
    <row r="188" spans="72:89" ht="16" hidden="1" x14ac:dyDescent="0.2">
      <c r="BT188"/>
      <c r="BU188"/>
      <c r="BV188"/>
      <c r="BW188"/>
      <c r="BX188"/>
      <c r="BY188"/>
      <c r="BZ188"/>
      <c r="CA188"/>
      <c r="CB188"/>
      <c r="CC188"/>
      <c r="CD188"/>
      <c r="CE188"/>
      <c r="CF188"/>
      <c r="CG188"/>
      <c r="CH188"/>
      <c r="CI188"/>
      <c r="CJ188"/>
      <c r="CK188"/>
    </row>
    <row r="189" spans="72:89" ht="16" hidden="1" x14ac:dyDescent="0.2">
      <c r="BT189"/>
      <c r="BU189"/>
      <c r="BV189"/>
      <c r="BW189"/>
      <c r="BX189"/>
      <c r="BY189"/>
      <c r="BZ189"/>
      <c r="CA189"/>
      <c r="CB189"/>
      <c r="CC189"/>
      <c r="CD189"/>
      <c r="CE189"/>
      <c r="CF189"/>
      <c r="CG189"/>
      <c r="CH189"/>
      <c r="CI189"/>
      <c r="CJ189"/>
      <c r="CK189"/>
    </row>
    <row r="190" spans="72:89" ht="16" hidden="1" x14ac:dyDescent="0.2">
      <c r="BT190"/>
      <c r="BU190"/>
      <c r="BV190"/>
      <c r="BW190"/>
      <c r="BX190"/>
      <c r="BY190"/>
      <c r="BZ190"/>
      <c r="CA190"/>
      <c r="CB190"/>
      <c r="CC190"/>
      <c r="CD190"/>
      <c r="CE190"/>
      <c r="CF190"/>
      <c r="CG190"/>
      <c r="CH190"/>
      <c r="CI190"/>
      <c r="CJ190"/>
      <c r="CK190"/>
    </row>
    <row r="191" spans="72:89" ht="16" hidden="1" x14ac:dyDescent="0.2">
      <c r="BT191"/>
      <c r="BU191"/>
      <c r="BV191"/>
      <c r="BW191"/>
      <c r="BX191"/>
      <c r="BY191"/>
      <c r="BZ191"/>
      <c r="CA191"/>
      <c r="CB191"/>
      <c r="CC191"/>
      <c r="CD191"/>
      <c r="CE191"/>
      <c r="CF191"/>
      <c r="CG191"/>
      <c r="CH191"/>
      <c r="CI191"/>
      <c r="CJ191"/>
      <c r="CK191"/>
    </row>
    <row r="192" spans="72:89" ht="16" hidden="1" x14ac:dyDescent="0.2">
      <c r="BT192"/>
      <c r="BU192"/>
      <c r="BV192"/>
      <c r="BW192"/>
      <c r="BX192"/>
      <c r="BY192"/>
      <c r="BZ192"/>
      <c r="CA192"/>
      <c r="CB192"/>
      <c r="CC192"/>
      <c r="CD192"/>
      <c r="CE192"/>
      <c r="CF192"/>
      <c r="CG192"/>
      <c r="CH192"/>
      <c r="CI192"/>
      <c r="CJ192"/>
      <c r="CK192"/>
    </row>
    <row r="193" spans="72:89" ht="16" hidden="1" x14ac:dyDescent="0.2">
      <c r="BT193"/>
      <c r="BU193"/>
      <c r="BV193"/>
      <c r="BW193"/>
      <c r="BX193"/>
      <c r="BY193"/>
      <c r="BZ193"/>
      <c r="CA193"/>
      <c r="CB193"/>
      <c r="CC193"/>
      <c r="CD193"/>
      <c r="CE193"/>
      <c r="CF193"/>
      <c r="CG193"/>
      <c r="CH193"/>
      <c r="CI193"/>
      <c r="CJ193"/>
      <c r="CK193"/>
    </row>
    <row r="194" spans="72:89" ht="16" hidden="1" x14ac:dyDescent="0.2">
      <c r="BT194"/>
      <c r="BU194"/>
      <c r="BV194"/>
      <c r="BW194"/>
      <c r="BX194"/>
      <c r="BY194"/>
      <c r="BZ194"/>
      <c r="CA194"/>
      <c r="CB194"/>
      <c r="CC194"/>
      <c r="CD194"/>
      <c r="CE194"/>
      <c r="CF194"/>
      <c r="CG194"/>
      <c r="CH194"/>
      <c r="CI194"/>
      <c r="CJ194"/>
      <c r="CK194"/>
    </row>
    <row r="195" spans="72:89" ht="16" hidden="1" x14ac:dyDescent="0.2">
      <c r="BT195"/>
      <c r="BU195"/>
      <c r="BV195"/>
      <c r="BW195"/>
      <c r="BX195"/>
      <c r="BY195"/>
      <c r="BZ195"/>
      <c r="CA195"/>
      <c r="CB195"/>
      <c r="CC195"/>
      <c r="CD195"/>
      <c r="CE195"/>
      <c r="CF195"/>
      <c r="CG195"/>
      <c r="CH195"/>
      <c r="CI195"/>
      <c r="CJ195"/>
      <c r="CK195"/>
    </row>
    <row r="196" spans="72:89" ht="16" hidden="1" x14ac:dyDescent="0.2">
      <c r="BT196"/>
      <c r="BU196"/>
      <c r="BV196"/>
      <c r="BW196"/>
      <c r="BX196"/>
      <c r="BY196"/>
      <c r="BZ196"/>
      <c r="CA196"/>
      <c r="CB196"/>
      <c r="CC196"/>
      <c r="CD196"/>
      <c r="CE196"/>
      <c r="CF196"/>
      <c r="CG196"/>
      <c r="CH196"/>
      <c r="CI196"/>
      <c r="CJ196"/>
      <c r="CK196"/>
    </row>
    <row r="197" spans="72:89" ht="16" hidden="1" x14ac:dyDescent="0.2">
      <c r="BT197"/>
      <c r="BU197"/>
      <c r="BV197"/>
      <c r="BW197"/>
      <c r="BX197"/>
      <c r="BY197"/>
      <c r="BZ197"/>
      <c r="CA197"/>
      <c r="CB197"/>
      <c r="CC197"/>
      <c r="CD197"/>
      <c r="CE197"/>
      <c r="CF197"/>
      <c r="CG197"/>
      <c r="CH197"/>
      <c r="CI197"/>
      <c r="CJ197"/>
      <c r="CK197"/>
    </row>
    <row r="198" spans="72:89" ht="16" hidden="1" x14ac:dyDescent="0.2">
      <c r="BT198"/>
      <c r="BU198"/>
      <c r="BV198"/>
      <c r="BW198"/>
      <c r="BX198"/>
      <c r="BY198"/>
      <c r="BZ198"/>
      <c r="CA198"/>
      <c r="CB198"/>
      <c r="CC198"/>
      <c r="CD198"/>
      <c r="CE198"/>
      <c r="CF198"/>
      <c r="CG198"/>
      <c r="CH198"/>
      <c r="CI198"/>
      <c r="CJ198"/>
      <c r="CK198"/>
    </row>
    <row r="199" spans="72:89" ht="16" hidden="1" x14ac:dyDescent="0.2">
      <c r="BT199"/>
      <c r="BU199"/>
      <c r="BV199"/>
      <c r="BW199"/>
      <c r="BX199"/>
      <c r="BY199"/>
      <c r="BZ199"/>
      <c r="CA199"/>
      <c r="CB199"/>
      <c r="CC199"/>
      <c r="CD199"/>
      <c r="CE199"/>
      <c r="CF199"/>
      <c r="CG199"/>
      <c r="CH199"/>
      <c r="CI199"/>
      <c r="CJ199"/>
      <c r="CK199"/>
    </row>
    <row r="200" spans="72:89" ht="16" hidden="1" x14ac:dyDescent="0.2">
      <c r="BT200"/>
      <c r="BU200"/>
      <c r="BV200"/>
      <c r="BW200"/>
      <c r="BX200"/>
      <c r="BY200"/>
      <c r="BZ200"/>
      <c r="CA200"/>
      <c r="CB200"/>
      <c r="CC200"/>
      <c r="CD200"/>
      <c r="CE200"/>
      <c r="CF200"/>
      <c r="CG200"/>
      <c r="CH200"/>
      <c r="CI200"/>
      <c r="CJ200"/>
      <c r="CK200"/>
    </row>
    <row r="201" spans="72:89" ht="16" hidden="1" x14ac:dyDescent="0.2">
      <c r="BT201"/>
      <c r="BU201"/>
      <c r="BV201"/>
      <c r="BW201"/>
      <c r="BX201"/>
      <c r="BY201"/>
      <c r="BZ201"/>
      <c r="CA201"/>
      <c r="CB201"/>
      <c r="CC201"/>
      <c r="CD201"/>
      <c r="CE201"/>
      <c r="CF201"/>
      <c r="CG201"/>
      <c r="CH201"/>
      <c r="CI201"/>
      <c r="CJ201"/>
      <c r="CK201"/>
    </row>
    <row r="202" spans="72:89" ht="16" hidden="1" x14ac:dyDescent="0.2">
      <c r="BT202"/>
      <c r="BU202"/>
      <c r="BV202"/>
      <c r="BW202"/>
      <c r="BX202"/>
      <c r="BY202"/>
      <c r="BZ202"/>
      <c r="CA202"/>
      <c r="CB202"/>
      <c r="CC202"/>
      <c r="CD202"/>
      <c r="CE202"/>
      <c r="CF202"/>
      <c r="CG202"/>
      <c r="CH202"/>
      <c r="CI202"/>
      <c r="CJ202"/>
      <c r="CK202"/>
    </row>
    <row r="203" spans="72:89" ht="16" hidden="1" x14ac:dyDescent="0.2">
      <c r="BT203"/>
      <c r="BU203"/>
      <c r="BV203"/>
      <c r="BW203"/>
      <c r="BX203"/>
      <c r="BY203"/>
      <c r="BZ203"/>
      <c r="CA203"/>
      <c r="CB203"/>
      <c r="CC203"/>
      <c r="CD203"/>
      <c r="CE203"/>
      <c r="CF203"/>
      <c r="CG203"/>
      <c r="CH203"/>
      <c r="CI203"/>
      <c r="CJ203"/>
      <c r="CK203"/>
    </row>
    <row r="204" spans="72:89" ht="16" hidden="1" x14ac:dyDescent="0.2">
      <c r="BT204"/>
      <c r="BU204"/>
      <c r="BV204"/>
      <c r="BW204"/>
      <c r="BX204"/>
      <c r="BY204"/>
      <c r="BZ204"/>
      <c r="CA204"/>
      <c r="CB204"/>
      <c r="CC204"/>
      <c r="CD204"/>
      <c r="CE204"/>
      <c r="CF204"/>
      <c r="CG204"/>
      <c r="CH204"/>
      <c r="CI204"/>
      <c r="CJ204"/>
      <c r="CK204"/>
    </row>
    <row r="205" spans="72:89" ht="16" hidden="1" x14ac:dyDescent="0.2">
      <c r="BT205"/>
      <c r="BU205"/>
      <c r="BV205"/>
      <c r="BW205"/>
      <c r="BX205"/>
      <c r="BY205"/>
      <c r="BZ205"/>
      <c r="CA205"/>
      <c r="CB205"/>
      <c r="CC205"/>
      <c r="CD205"/>
      <c r="CE205"/>
      <c r="CF205"/>
      <c r="CG205"/>
      <c r="CH205"/>
      <c r="CI205"/>
      <c r="CJ205"/>
      <c r="CK205"/>
    </row>
    <row r="206" spans="72:89" ht="16" hidden="1" x14ac:dyDescent="0.2">
      <c r="BT206"/>
      <c r="BU206"/>
      <c r="BV206"/>
      <c r="BW206"/>
      <c r="BX206"/>
      <c r="BY206"/>
      <c r="BZ206"/>
      <c r="CA206"/>
      <c r="CB206"/>
      <c r="CC206"/>
      <c r="CD206"/>
      <c r="CE206"/>
      <c r="CF206"/>
      <c r="CG206"/>
      <c r="CH206"/>
      <c r="CI206"/>
      <c r="CJ206"/>
      <c r="CK206"/>
    </row>
    <row r="207" spans="72:89" ht="16" hidden="1" x14ac:dyDescent="0.2">
      <c r="BT207"/>
      <c r="BU207"/>
      <c r="BV207"/>
      <c r="BW207"/>
      <c r="BX207"/>
      <c r="BY207"/>
      <c r="BZ207"/>
      <c r="CA207"/>
      <c r="CB207"/>
      <c r="CC207"/>
      <c r="CD207"/>
      <c r="CE207"/>
      <c r="CF207"/>
      <c r="CG207"/>
      <c r="CH207"/>
      <c r="CI207"/>
      <c r="CJ207"/>
      <c r="CK207"/>
    </row>
    <row r="208" spans="72:89" ht="16" hidden="1" x14ac:dyDescent="0.2">
      <c r="BT208"/>
      <c r="BU208"/>
      <c r="BV208"/>
      <c r="BW208"/>
      <c r="BX208"/>
      <c r="BY208"/>
      <c r="BZ208"/>
      <c r="CA208"/>
      <c r="CB208"/>
      <c r="CC208"/>
      <c r="CD208"/>
      <c r="CE208"/>
      <c r="CF208"/>
      <c r="CG208"/>
      <c r="CH208"/>
      <c r="CI208"/>
      <c r="CJ208"/>
      <c r="CK208"/>
    </row>
    <row r="209" spans="72:89" ht="16" hidden="1" x14ac:dyDescent="0.2">
      <c r="BT209"/>
      <c r="BU209"/>
      <c r="BV209"/>
      <c r="BW209"/>
      <c r="BX209"/>
      <c r="BY209"/>
      <c r="BZ209"/>
      <c r="CA209"/>
      <c r="CB209"/>
      <c r="CC209"/>
      <c r="CD209"/>
      <c r="CE209"/>
      <c r="CF209"/>
      <c r="CG209"/>
      <c r="CH209"/>
      <c r="CI209"/>
      <c r="CJ209"/>
      <c r="CK209"/>
    </row>
    <row r="210" spans="72:89" ht="16" hidden="1" x14ac:dyDescent="0.2">
      <c r="BT210"/>
      <c r="BU210"/>
      <c r="BV210"/>
      <c r="BW210"/>
      <c r="BX210"/>
      <c r="BY210"/>
      <c r="BZ210"/>
      <c r="CA210"/>
      <c r="CB210"/>
      <c r="CC210"/>
      <c r="CD210"/>
      <c r="CE210"/>
      <c r="CF210"/>
      <c r="CG210"/>
      <c r="CH210"/>
      <c r="CI210"/>
      <c r="CJ210"/>
      <c r="CK210"/>
    </row>
    <row r="211" spans="72:89" ht="16" hidden="1" x14ac:dyDescent="0.2">
      <c r="BT211"/>
      <c r="BU211"/>
      <c r="BV211"/>
      <c r="BW211"/>
      <c r="BX211"/>
      <c r="BY211"/>
      <c r="BZ211"/>
      <c r="CA211"/>
      <c r="CB211"/>
      <c r="CC211"/>
      <c r="CD211"/>
      <c r="CE211"/>
      <c r="CF211"/>
      <c r="CG211"/>
      <c r="CH211"/>
      <c r="CI211"/>
      <c r="CJ211"/>
      <c r="CK211"/>
    </row>
    <row r="212" spans="72:89" ht="16" hidden="1" x14ac:dyDescent="0.2">
      <c r="BT212"/>
      <c r="BU212"/>
      <c r="BV212"/>
      <c r="BW212"/>
      <c r="BX212"/>
      <c r="BY212"/>
      <c r="BZ212"/>
      <c r="CA212"/>
      <c r="CB212"/>
      <c r="CC212"/>
      <c r="CD212"/>
      <c r="CE212"/>
      <c r="CF212"/>
      <c r="CG212"/>
      <c r="CH212"/>
      <c r="CI212"/>
      <c r="CJ212"/>
      <c r="CK212"/>
    </row>
    <row r="213" spans="72:89" ht="16" hidden="1" x14ac:dyDescent="0.2">
      <c r="BT213"/>
      <c r="BU213"/>
      <c r="BV213"/>
      <c r="BW213"/>
      <c r="BX213"/>
      <c r="BY213"/>
      <c r="BZ213"/>
      <c r="CA213"/>
      <c r="CB213"/>
      <c r="CC213"/>
      <c r="CD213"/>
      <c r="CE213"/>
      <c r="CF213"/>
      <c r="CG213"/>
      <c r="CH213"/>
      <c r="CI213"/>
      <c r="CJ213"/>
      <c r="CK213"/>
    </row>
    <row r="214" spans="72:89" ht="16" hidden="1" x14ac:dyDescent="0.2">
      <c r="BT214"/>
      <c r="BU214"/>
      <c r="BV214"/>
      <c r="BW214"/>
      <c r="BX214"/>
      <c r="BY214"/>
      <c r="BZ214"/>
      <c r="CA214"/>
      <c r="CB214"/>
      <c r="CC214"/>
      <c r="CD214"/>
      <c r="CE214"/>
      <c r="CF214"/>
      <c r="CG214"/>
      <c r="CH214"/>
      <c r="CI214"/>
      <c r="CJ214"/>
      <c r="CK214"/>
    </row>
    <row r="215" spans="72:89" ht="16" hidden="1" x14ac:dyDescent="0.2">
      <c r="BT215"/>
      <c r="BU215"/>
      <c r="BV215"/>
      <c r="BW215"/>
      <c r="BX215"/>
      <c r="BY215"/>
      <c r="BZ215"/>
      <c r="CA215"/>
      <c r="CB215"/>
      <c r="CC215"/>
      <c r="CD215"/>
      <c r="CE215"/>
      <c r="CF215"/>
      <c r="CG215"/>
      <c r="CH215"/>
      <c r="CI215"/>
      <c r="CJ215"/>
      <c r="CK215"/>
    </row>
    <row r="216" spans="72:89" ht="16" hidden="1" x14ac:dyDescent="0.2">
      <c r="BT216"/>
      <c r="BU216"/>
      <c r="BV216"/>
      <c r="BW216"/>
      <c r="BX216"/>
      <c r="BY216"/>
      <c r="BZ216"/>
      <c r="CA216"/>
      <c r="CB216"/>
      <c r="CC216"/>
      <c r="CD216"/>
      <c r="CE216"/>
      <c r="CF216"/>
      <c r="CG216"/>
      <c r="CH216"/>
      <c r="CI216"/>
      <c r="CJ216"/>
      <c r="CK216"/>
    </row>
    <row r="217" spans="72:89" ht="16" hidden="1" x14ac:dyDescent="0.2">
      <c r="BT217"/>
      <c r="BU217"/>
      <c r="BV217"/>
      <c r="BW217"/>
      <c r="BX217"/>
      <c r="BY217"/>
      <c r="BZ217"/>
      <c r="CA217"/>
      <c r="CB217"/>
      <c r="CC217"/>
      <c r="CD217"/>
      <c r="CE217"/>
      <c r="CF217"/>
      <c r="CG217"/>
      <c r="CH217"/>
      <c r="CI217"/>
      <c r="CJ217"/>
      <c r="CK217"/>
    </row>
    <row r="218" spans="72:89" ht="16" hidden="1" x14ac:dyDescent="0.2">
      <c r="BT218"/>
      <c r="BU218"/>
      <c r="BV218"/>
      <c r="BW218"/>
      <c r="BX218"/>
      <c r="BY218"/>
      <c r="BZ218"/>
      <c r="CA218"/>
      <c r="CB218"/>
      <c r="CC218"/>
      <c r="CD218"/>
      <c r="CE218"/>
      <c r="CF218"/>
      <c r="CG218"/>
      <c r="CH218"/>
      <c r="CI218"/>
      <c r="CJ218"/>
      <c r="CK218"/>
    </row>
    <row r="219" spans="72:89" ht="16" hidden="1" x14ac:dyDescent="0.2">
      <c r="BT219"/>
      <c r="BU219"/>
      <c r="BV219"/>
      <c r="BW219"/>
      <c r="BX219"/>
      <c r="BY219"/>
      <c r="BZ219"/>
      <c r="CA219"/>
      <c r="CB219"/>
      <c r="CC219"/>
      <c r="CD219"/>
      <c r="CE219"/>
      <c r="CF219"/>
      <c r="CG219"/>
      <c r="CH219"/>
      <c r="CI219"/>
      <c r="CJ219"/>
      <c r="CK219"/>
    </row>
    <row r="220" spans="72:89" ht="16" hidden="1" x14ac:dyDescent="0.2">
      <c r="BT220"/>
      <c r="BU220"/>
      <c r="BV220"/>
      <c r="BW220"/>
      <c r="BX220"/>
      <c r="BY220"/>
      <c r="BZ220"/>
      <c r="CA220"/>
      <c r="CB220"/>
      <c r="CC220"/>
      <c r="CD220"/>
      <c r="CE220"/>
      <c r="CF220"/>
      <c r="CG220"/>
      <c r="CH220"/>
      <c r="CI220"/>
      <c r="CJ220"/>
      <c r="CK220"/>
    </row>
    <row r="221" spans="72:89" ht="16" hidden="1" x14ac:dyDescent="0.2">
      <c r="BT221"/>
      <c r="BU221"/>
      <c r="BV221"/>
      <c r="BW221"/>
      <c r="BX221"/>
      <c r="BY221"/>
      <c r="BZ221"/>
      <c r="CA221"/>
      <c r="CB221"/>
      <c r="CC221"/>
      <c r="CD221"/>
      <c r="CE221"/>
      <c r="CF221"/>
      <c r="CG221"/>
      <c r="CH221"/>
      <c r="CI221"/>
      <c r="CJ221"/>
      <c r="CK221"/>
    </row>
    <row r="222" spans="72:89" ht="16" hidden="1" x14ac:dyDescent="0.2">
      <c r="BT222"/>
      <c r="BU222"/>
      <c r="BV222"/>
      <c r="BW222"/>
      <c r="BX222"/>
      <c r="BY222"/>
      <c r="BZ222"/>
      <c r="CA222"/>
      <c r="CB222"/>
      <c r="CC222"/>
      <c r="CD222"/>
      <c r="CE222"/>
      <c r="CF222"/>
      <c r="CG222"/>
      <c r="CH222"/>
      <c r="CI222"/>
      <c r="CJ222"/>
      <c r="CK222"/>
    </row>
    <row r="223" spans="72:89" ht="16" hidden="1" x14ac:dyDescent="0.2">
      <c r="BT223"/>
      <c r="BU223"/>
      <c r="BV223"/>
      <c r="BW223"/>
      <c r="BX223"/>
      <c r="BY223"/>
      <c r="BZ223"/>
      <c r="CA223"/>
      <c r="CB223"/>
      <c r="CC223"/>
      <c r="CD223"/>
      <c r="CE223"/>
      <c r="CF223"/>
      <c r="CG223"/>
      <c r="CH223"/>
      <c r="CI223"/>
      <c r="CJ223"/>
      <c r="CK223"/>
    </row>
    <row r="224" spans="72:89" ht="16" hidden="1" x14ac:dyDescent="0.2">
      <c r="BT224"/>
      <c r="BU224"/>
      <c r="BV224"/>
      <c r="BW224"/>
      <c r="BX224"/>
      <c r="BY224"/>
      <c r="BZ224"/>
      <c r="CA224"/>
      <c r="CB224"/>
      <c r="CC224"/>
      <c r="CD224"/>
      <c r="CE224"/>
      <c r="CF224"/>
      <c r="CG224"/>
      <c r="CH224"/>
      <c r="CI224"/>
      <c r="CJ224"/>
      <c r="CK224"/>
    </row>
    <row r="225" spans="72:89" ht="16" hidden="1" x14ac:dyDescent="0.2">
      <c r="BT225"/>
      <c r="BU225"/>
      <c r="BV225"/>
      <c r="BW225"/>
      <c r="BX225"/>
      <c r="BY225"/>
      <c r="BZ225"/>
      <c r="CA225"/>
      <c r="CB225"/>
      <c r="CC225"/>
      <c r="CD225"/>
      <c r="CE225"/>
      <c r="CF225"/>
      <c r="CG225"/>
      <c r="CH225"/>
      <c r="CI225"/>
      <c r="CJ225"/>
      <c r="CK225"/>
    </row>
    <row r="226" spans="72:89" ht="16" hidden="1" x14ac:dyDescent="0.2">
      <c r="BT226"/>
      <c r="BU226"/>
      <c r="BV226"/>
      <c r="BW226"/>
      <c r="BX226"/>
      <c r="BY226"/>
      <c r="BZ226"/>
      <c r="CA226"/>
      <c r="CB226"/>
      <c r="CC226"/>
      <c r="CD226"/>
      <c r="CE226"/>
      <c r="CF226"/>
      <c r="CG226"/>
      <c r="CH226"/>
      <c r="CI226"/>
      <c r="CJ226"/>
      <c r="CK226"/>
    </row>
    <row r="227" spans="72:89" ht="16" hidden="1" x14ac:dyDescent="0.2">
      <c r="BT227"/>
      <c r="BU227"/>
      <c r="BV227"/>
      <c r="BW227"/>
      <c r="BX227"/>
      <c r="BY227"/>
      <c r="BZ227"/>
      <c r="CA227"/>
      <c r="CB227"/>
      <c r="CC227"/>
      <c r="CD227"/>
      <c r="CE227"/>
      <c r="CF227"/>
      <c r="CG227"/>
      <c r="CH227"/>
      <c r="CI227"/>
      <c r="CJ227"/>
      <c r="CK227"/>
    </row>
    <row r="228" spans="72:89" ht="16" hidden="1" x14ac:dyDescent="0.2">
      <c r="BT228"/>
      <c r="BU228"/>
      <c r="BV228"/>
      <c r="BW228"/>
      <c r="BX228"/>
      <c r="BY228"/>
      <c r="BZ228"/>
      <c r="CA228"/>
      <c r="CB228"/>
      <c r="CC228"/>
      <c r="CD228"/>
      <c r="CE228"/>
      <c r="CF228"/>
      <c r="CG228"/>
      <c r="CH228"/>
      <c r="CI228"/>
      <c r="CJ228"/>
      <c r="CK228"/>
    </row>
    <row r="229" spans="72:89" ht="16" hidden="1" x14ac:dyDescent="0.2">
      <c r="BT229"/>
      <c r="BU229"/>
      <c r="BV229"/>
      <c r="BW229"/>
      <c r="BX229"/>
      <c r="BY229"/>
      <c r="BZ229"/>
      <c r="CA229"/>
      <c r="CB229"/>
      <c r="CC229"/>
      <c r="CD229"/>
      <c r="CE229"/>
      <c r="CF229"/>
      <c r="CG229"/>
      <c r="CH229"/>
      <c r="CI229"/>
      <c r="CJ229"/>
      <c r="CK229"/>
    </row>
    <row r="230" spans="72:89" ht="16" hidden="1" x14ac:dyDescent="0.2">
      <c r="BT230"/>
      <c r="BU230"/>
      <c r="BV230"/>
      <c r="BW230"/>
      <c r="BX230"/>
      <c r="BY230"/>
      <c r="BZ230"/>
      <c r="CA230"/>
      <c r="CB230"/>
      <c r="CC230"/>
      <c r="CD230"/>
      <c r="CE230"/>
      <c r="CF230"/>
      <c r="CG230"/>
      <c r="CH230"/>
      <c r="CI230"/>
      <c r="CJ230"/>
      <c r="CK230"/>
    </row>
    <row r="231" spans="72:89" ht="16" hidden="1" x14ac:dyDescent="0.2">
      <c r="BT231"/>
      <c r="BU231"/>
      <c r="BV231"/>
      <c r="BW231"/>
      <c r="BX231"/>
      <c r="BY231"/>
      <c r="BZ231"/>
      <c r="CA231"/>
      <c r="CB231"/>
      <c r="CC231"/>
      <c r="CD231"/>
      <c r="CE231"/>
      <c r="CF231"/>
      <c r="CG231"/>
      <c r="CH231"/>
      <c r="CI231"/>
      <c r="CJ231"/>
      <c r="CK231"/>
    </row>
    <row r="232" spans="72:89" ht="16" hidden="1" x14ac:dyDescent="0.2">
      <c r="BT232"/>
      <c r="BU232"/>
      <c r="BV232"/>
      <c r="BW232"/>
      <c r="BX232"/>
      <c r="BY232"/>
      <c r="BZ232"/>
      <c r="CA232"/>
      <c r="CB232"/>
      <c r="CC232"/>
      <c r="CD232"/>
      <c r="CE232"/>
      <c r="CF232"/>
      <c r="CG232"/>
      <c r="CH232"/>
      <c r="CI232"/>
      <c r="CJ232"/>
      <c r="CK232"/>
    </row>
    <row r="233" spans="72:89" ht="16" hidden="1" x14ac:dyDescent="0.2">
      <c r="BT233"/>
      <c r="BU233"/>
      <c r="BV233"/>
      <c r="BW233"/>
      <c r="BX233"/>
      <c r="BY233"/>
      <c r="BZ233"/>
      <c r="CA233"/>
      <c r="CB233"/>
      <c r="CC233"/>
      <c r="CD233"/>
      <c r="CE233"/>
      <c r="CF233"/>
      <c r="CG233"/>
      <c r="CH233"/>
      <c r="CI233"/>
      <c r="CJ233"/>
      <c r="CK233"/>
    </row>
    <row r="234" spans="72:89" ht="16" hidden="1" x14ac:dyDescent="0.2">
      <c r="BT234"/>
      <c r="BU234"/>
      <c r="BV234"/>
      <c r="BW234"/>
      <c r="BX234"/>
      <c r="BY234"/>
      <c r="BZ234"/>
      <c r="CA234"/>
      <c r="CB234"/>
      <c r="CC234"/>
      <c r="CD234"/>
      <c r="CE234"/>
      <c r="CF234"/>
      <c r="CG234"/>
      <c r="CH234"/>
      <c r="CI234"/>
      <c r="CJ234"/>
      <c r="CK234"/>
    </row>
    <row r="235" spans="72:89" ht="16" hidden="1" x14ac:dyDescent="0.2">
      <c r="BT235"/>
      <c r="BU235"/>
      <c r="BV235"/>
      <c r="BW235"/>
      <c r="BX235"/>
      <c r="BY235"/>
      <c r="BZ235"/>
      <c r="CA235"/>
      <c r="CB235"/>
      <c r="CC235"/>
      <c r="CD235"/>
      <c r="CE235"/>
      <c r="CF235"/>
      <c r="CG235"/>
      <c r="CH235"/>
      <c r="CI235"/>
      <c r="CJ235"/>
      <c r="CK235"/>
    </row>
    <row r="236" spans="72:89" ht="16" hidden="1" x14ac:dyDescent="0.2">
      <c r="BT236"/>
      <c r="BU236"/>
      <c r="BV236"/>
      <c r="BW236"/>
      <c r="BX236"/>
      <c r="BY236"/>
      <c r="BZ236"/>
      <c r="CA236"/>
      <c r="CB236"/>
      <c r="CC236"/>
      <c r="CD236"/>
      <c r="CE236"/>
      <c r="CF236"/>
      <c r="CG236"/>
      <c r="CH236"/>
      <c r="CI236"/>
      <c r="CJ236"/>
      <c r="CK236"/>
    </row>
    <row r="237" spans="72:89" ht="16" hidden="1" x14ac:dyDescent="0.2">
      <c r="BT237"/>
      <c r="BU237"/>
      <c r="BV237"/>
      <c r="BW237"/>
      <c r="BX237"/>
      <c r="BY237"/>
      <c r="BZ237"/>
      <c r="CA237"/>
      <c r="CB237"/>
      <c r="CC237"/>
      <c r="CD237"/>
      <c r="CE237"/>
      <c r="CF237"/>
      <c r="CG237"/>
      <c r="CH237"/>
      <c r="CI237"/>
      <c r="CJ237"/>
      <c r="CK237"/>
    </row>
    <row r="238" spans="72:89" ht="16" hidden="1" x14ac:dyDescent="0.2">
      <c r="BT238"/>
      <c r="BU238"/>
      <c r="BV238"/>
      <c r="BW238"/>
      <c r="BX238"/>
      <c r="BY238"/>
      <c r="BZ238"/>
      <c r="CA238"/>
      <c r="CB238"/>
      <c r="CC238"/>
      <c r="CD238"/>
      <c r="CE238"/>
      <c r="CF238"/>
      <c r="CG238"/>
      <c r="CH238"/>
      <c r="CI238"/>
      <c r="CJ238"/>
      <c r="CK238"/>
    </row>
    <row r="239" spans="72:89" ht="16" hidden="1" x14ac:dyDescent="0.2">
      <c r="BT239"/>
      <c r="BU239"/>
      <c r="BV239"/>
      <c r="BW239"/>
      <c r="BX239"/>
      <c r="BY239"/>
      <c r="BZ239"/>
      <c r="CA239"/>
      <c r="CB239"/>
      <c r="CC239"/>
      <c r="CD239"/>
      <c r="CE239"/>
      <c r="CF239"/>
      <c r="CG239"/>
      <c r="CH239"/>
      <c r="CI239"/>
      <c r="CJ239"/>
      <c r="CK239"/>
    </row>
    <row r="240" spans="72:89" ht="16" hidden="1" x14ac:dyDescent="0.2">
      <c r="BT240"/>
      <c r="BU240"/>
      <c r="BV240"/>
      <c r="BW240"/>
      <c r="BX240"/>
      <c r="BY240"/>
      <c r="BZ240"/>
      <c r="CA240"/>
      <c r="CB240"/>
      <c r="CC240"/>
      <c r="CD240"/>
      <c r="CE240"/>
      <c r="CF240"/>
      <c r="CG240"/>
      <c r="CH240"/>
      <c r="CI240"/>
      <c r="CJ240"/>
      <c r="CK240"/>
    </row>
    <row r="241" spans="72:89" ht="16" hidden="1" x14ac:dyDescent="0.2">
      <c r="BT241"/>
      <c r="BU241"/>
      <c r="BV241"/>
      <c r="BW241"/>
      <c r="BX241"/>
      <c r="BY241"/>
      <c r="BZ241"/>
      <c r="CA241"/>
      <c r="CB241"/>
      <c r="CC241"/>
      <c r="CD241"/>
      <c r="CE241"/>
      <c r="CF241"/>
      <c r="CG241"/>
      <c r="CH241"/>
      <c r="CI241"/>
      <c r="CJ241"/>
      <c r="CK241"/>
    </row>
    <row r="242" spans="72:89" ht="16" hidden="1" x14ac:dyDescent="0.2">
      <c r="BT242"/>
      <c r="BU242"/>
      <c r="BV242"/>
      <c r="BW242"/>
      <c r="BX242"/>
      <c r="BY242"/>
      <c r="BZ242"/>
      <c r="CA242"/>
      <c r="CB242"/>
      <c r="CC242"/>
      <c r="CD242"/>
      <c r="CE242"/>
      <c r="CF242"/>
      <c r="CG242"/>
      <c r="CH242"/>
      <c r="CI242"/>
      <c r="CJ242"/>
      <c r="CK242"/>
    </row>
    <row r="243" spans="72:89" ht="16" hidden="1" x14ac:dyDescent="0.2">
      <c r="BT243"/>
      <c r="BU243"/>
      <c r="BV243"/>
      <c r="BW243"/>
      <c r="BX243"/>
      <c r="BY243"/>
      <c r="BZ243"/>
      <c r="CA243"/>
      <c r="CB243"/>
      <c r="CC243"/>
      <c r="CD243"/>
      <c r="CE243"/>
      <c r="CF243"/>
      <c r="CG243"/>
      <c r="CH243"/>
      <c r="CI243"/>
      <c r="CJ243"/>
      <c r="CK243"/>
    </row>
    <row r="244" spans="72:89" ht="16" hidden="1" x14ac:dyDescent="0.2">
      <c r="BT244"/>
      <c r="BU244"/>
      <c r="BV244"/>
      <c r="BW244"/>
      <c r="BX244"/>
      <c r="BY244"/>
      <c r="BZ244"/>
      <c r="CA244"/>
      <c r="CB244"/>
      <c r="CC244"/>
      <c r="CD244"/>
      <c r="CE244"/>
      <c r="CF244"/>
      <c r="CG244"/>
      <c r="CH244"/>
      <c r="CI244"/>
      <c r="CJ244"/>
      <c r="CK244"/>
    </row>
    <row r="245" spans="72:89" ht="16" hidden="1" x14ac:dyDescent="0.2">
      <c r="BT245"/>
      <c r="BU245"/>
      <c r="BV245"/>
      <c r="BW245"/>
      <c r="BX245"/>
      <c r="BY245"/>
      <c r="BZ245"/>
      <c r="CA245"/>
      <c r="CB245"/>
      <c r="CC245"/>
      <c r="CD245"/>
      <c r="CE245"/>
      <c r="CF245"/>
      <c r="CG245"/>
      <c r="CH245"/>
      <c r="CI245"/>
      <c r="CJ245"/>
      <c r="CK245"/>
    </row>
    <row r="246" spans="72:89" ht="16" hidden="1" x14ac:dyDescent="0.2">
      <c r="BT246"/>
      <c r="BU246"/>
      <c r="BV246"/>
      <c r="BW246"/>
      <c r="BX246"/>
      <c r="BY246"/>
      <c r="BZ246"/>
      <c r="CA246"/>
      <c r="CB246"/>
      <c r="CC246"/>
      <c r="CD246"/>
      <c r="CE246"/>
      <c r="CF246"/>
      <c r="CG246"/>
      <c r="CH246"/>
      <c r="CI246"/>
      <c r="CJ246"/>
      <c r="CK246"/>
    </row>
    <row r="247" spans="72:89" ht="16" hidden="1" x14ac:dyDescent="0.2">
      <c r="BT247"/>
      <c r="BU247"/>
      <c r="BV247"/>
      <c r="BW247"/>
      <c r="BX247"/>
      <c r="BY247"/>
      <c r="BZ247"/>
      <c r="CA247"/>
      <c r="CB247"/>
      <c r="CC247"/>
      <c r="CD247"/>
      <c r="CE247"/>
      <c r="CF247"/>
      <c r="CG247"/>
      <c r="CH247"/>
      <c r="CI247"/>
      <c r="CJ247"/>
      <c r="CK247"/>
    </row>
    <row r="248" spans="72:89" ht="16" hidden="1" x14ac:dyDescent="0.2">
      <c r="BT248"/>
      <c r="BU248"/>
      <c r="BV248"/>
      <c r="BW248"/>
      <c r="BX248"/>
      <c r="BY248"/>
      <c r="BZ248"/>
      <c r="CA248"/>
      <c r="CB248"/>
      <c r="CC248"/>
      <c r="CD248"/>
      <c r="CE248"/>
      <c r="CF248"/>
      <c r="CG248"/>
      <c r="CH248"/>
      <c r="CI248"/>
      <c r="CJ248"/>
      <c r="CK248"/>
    </row>
    <row r="249" spans="72:89" ht="16" hidden="1" x14ac:dyDescent="0.2">
      <c r="BT249"/>
      <c r="BU249"/>
      <c r="BV249"/>
      <c r="BW249"/>
      <c r="BX249"/>
      <c r="BY249"/>
      <c r="BZ249"/>
      <c r="CA249"/>
      <c r="CB249"/>
      <c r="CC249"/>
      <c r="CD249"/>
      <c r="CE249"/>
      <c r="CF249"/>
      <c r="CG249"/>
      <c r="CH249"/>
      <c r="CI249"/>
      <c r="CJ249"/>
      <c r="CK249"/>
    </row>
    <row r="250" spans="72:89" ht="16" hidden="1" x14ac:dyDescent="0.2">
      <c r="BT250"/>
      <c r="BU250"/>
      <c r="BV250"/>
      <c r="BW250"/>
      <c r="BX250"/>
      <c r="BY250"/>
      <c r="BZ250"/>
      <c r="CA250"/>
      <c r="CB250"/>
      <c r="CC250"/>
      <c r="CD250"/>
      <c r="CE250"/>
      <c r="CF250"/>
      <c r="CG250"/>
      <c r="CH250"/>
      <c r="CI250"/>
      <c r="CJ250"/>
      <c r="CK250"/>
    </row>
    <row r="251" spans="72:89" ht="16" hidden="1" x14ac:dyDescent="0.2">
      <c r="BT251"/>
      <c r="BU251"/>
      <c r="BV251"/>
      <c r="BW251"/>
      <c r="BX251"/>
      <c r="BY251"/>
      <c r="BZ251"/>
      <c r="CA251"/>
      <c r="CB251"/>
      <c r="CC251"/>
      <c r="CD251"/>
      <c r="CE251"/>
      <c r="CF251"/>
      <c r="CG251"/>
      <c r="CH251"/>
      <c r="CI251"/>
      <c r="CJ251"/>
      <c r="CK251"/>
    </row>
    <row r="252" spans="72:89" ht="16" hidden="1" x14ac:dyDescent="0.2">
      <c r="BT252"/>
      <c r="BU252"/>
      <c r="BV252"/>
      <c r="BW252"/>
      <c r="BX252"/>
      <c r="BY252"/>
      <c r="BZ252"/>
      <c r="CA252"/>
      <c r="CB252"/>
      <c r="CC252"/>
      <c r="CD252"/>
      <c r="CE252"/>
      <c r="CF252"/>
      <c r="CG252"/>
      <c r="CH252"/>
      <c r="CI252"/>
      <c r="CJ252"/>
      <c r="CK252"/>
    </row>
    <row r="253" spans="72:89" ht="16" hidden="1" x14ac:dyDescent="0.2">
      <c r="BT253"/>
      <c r="BU253"/>
      <c r="BV253"/>
      <c r="BW253"/>
      <c r="BX253"/>
      <c r="BY253"/>
      <c r="BZ253"/>
      <c r="CA253"/>
      <c r="CB253"/>
      <c r="CC253"/>
      <c r="CD253"/>
      <c r="CE253"/>
      <c r="CF253"/>
      <c r="CG253"/>
      <c r="CH253"/>
      <c r="CI253"/>
      <c r="CJ253"/>
      <c r="CK253"/>
    </row>
    <row r="254" spans="72:89" ht="16" hidden="1" x14ac:dyDescent="0.2">
      <c r="BT254"/>
      <c r="BU254"/>
      <c r="BV254"/>
      <c r="BW254"/>
      <c r="BX254"/>
      <c r="BY254"/>
      <c r="BZ254"/>
      <c r="CA254"/>
      <c r="CB254"/>
      <c r="CC254"/>
      <c r="CD254"/>
      <c r="CE254"/>
      <c r="CF254"/>
      <c r="CG254"/>
      <c r="CH254"/>
      <c r="CI254"/>
      <c r="CJ254"/>
      <c r="CK254"/>
    </row>
    <row r="255" spans="72:89" ht="16" hidden="1" x14ac:dyDescent="0.2">
      <c r="BT255"/>
      <c r="BU255"/>
      <c r="BV255"/>
      <c r="BW255"/>
      <c r="BX255"/>
      <c r="BY255"/>
      <c r="BZ255"/>
      <c r="CA255"/>
      <c r="CB255"/>
      <c r="CC255"/>
      <c r="CD255"/>
      <c r="CE255"/>
      <c r="CF255"/>
      <c r="CG255"/>
      <c r="CH255"/>
      <c r="CI255"/>
      <c r="CJ255"/>
      <c r="CK255"/>
    </row>
    <row r="256" spans="72:89" ht="16" hidden="1" x14ac:dyDescent="0.2">
      <c r="BT256"/>
      <c r="BU256"/>
      <c r="BV256"/>
      <c r="BW256"/>
      <c r="BX256"/>
      <c r="BY256"/>
      <c r="BZ256"/>
      <c r="CA256"/>
      <c r="CB256"/>
      <c r="CC256"/>
      <c r="CD256"/>
      <c r="CE256"/>
      <c r="CF256"/>
      <c r="CG256"/>
      <c r="CH256"/>
      <c r="CI256"/>
      <c r="CJ256"/>
      <c r="CK256"/>
    </row>
    <row r="257" spans="72:89" ht="16" hidden="1" x14ac:dyDescent="0.2">
      <c r="BT257"/>
      <c r="BU257"/>
      <c r="BV257"/>
      <c r="BW257"/>
      <c r="BX257"/>
      <c r="BY257"/>
      <c r="BZ257"/>
      <c r="CA257"/>
      <c r="CB257"/>
      <c r="CC257"/>
      <c r="CD257"/>
      <c r="CE257"/>
      <c r="CF257"/>
      <c r="CG257"/>
      <c r="CH257"/>
      <c r="CI257"/>
      <c r="CJ257"/>
      <c r="CK257"/>
    </row>
    <row r="258" spans="72:89" ht="16" hidden="1" x14ac:dyDescent="0.2">
      <c r="BT258"/>
      <c r="BU258"/>
      <c r="BV258"/>
      <c r="BW258"/>
      <c r="BX258"/>
      <c r="BY258"/>
      <c r="BZ258"/>
      <c r="CA258"/>
      <c r="CB258"/>
      <c r="CC258"/>
      <c r="CD258"/>
      <c r="CE258"/>
      <c r="CF258"/>
      <c r="CG258"/>
      <c r="CH258"/>
      <c r="CI258"/>
      <c r="CJ258"/>
      <c r="CK258"/>
    </row>
    <row r="259" spans="72:89" ht="16" hidden="1" x14ac:dyDescent="0.2">
      <c r="BT259"/>
      <c r="BU259"/>
      <c r="BV259"/>
      <c r="BW259"/>
      <c r="BX259"/>
      <c r="BY259"/>
      <c r="BZ259"/>
      <c r="CA259"/>
      <c r="CB259"/>
      <c r="CC259"/>
      <c r="CD259"/>
      <c r="CE259"/>
      <c r="CF259"/>
      <c r="CG259"/>
      <c r="CH259"/>
      <c r="CI259"/>
      <c r="CJ259"/>
      <c r="CK259"/>
    </row>
    <row r="260" spans="72:89" ht="16" hidden="1" x14ac:dyDescent="0.2">
      <c r="BT260"/>
      <c r="BU260"/>
      <c r="BV260"/>
      <c r="BW260"/>
      <c r="BX260"/>
      <c r="BY260"/>
      <c r="BZ260"/>
      <c r="CA260"/>
      <c r="CB260"/>
      <c r="CC260"/>
      <c r="CD260"/>
      <c r="CE260"/>
      <c r="CF260"/>
      <c r="CG260"/>
      <c r="CH260"/>
      <c r="CI260"/>
      <c r="CJ260"/>
      <c r="CK260"/>
    </row>
    <row r="261" spans="72:89" ht="16" hidden="1" x14ac:dyDescent="0.2">
      <c r="BT261"/>
      <c r="BU261"/>
      <c r="BV261"/>
      <c r="BW261"/>
      <c r="BX261"/>
      <c r="BY261"/>
      <c r="BZ261"/>
      <c r="CA261"/>
      <c r="CB261"/>
      <c r="CC261"/>
      <c r="CD261"/>
      <c r="CE261"/>
      <c r="CF261"/>
      <c r="CG261"/>
      <c r="CH261"/>
      <c r="CI261"/>
      <c r="CJ261"/>
      <c r="CK261"/>
    </row>
    <row r="262" spans="72:89" ht="16" hidden="1" x14ac:dyDescent="0.2">
      <c r="BT262"/>
      <c r="BU262"/>
      <c r="BV262"/>
      <c r="BW262"/>
      <c r="BX262"/>
      <c r="BY262"/>
      <c r="BZ262"/>
      <c r="CA262"/>
      <c r="CB262"/>
      <c r="CC262"/>
      <c r="CD262"/>
      <c r="CE262"/>
      <c r="CF262"/>
      <c r="CG262"/>
      <c r="CH262"/>
      <c r="CI262"/>
      <c r="CJ262"/>
      <c r="CK262"/>
    </row>
    <row r="263" spans="72:89" ht="16" hidden="1" x14ac:dyDescent="0.2">
      <c r="BT263"/>
      <c r="BU263"/>
      <c r="BV263"/>
      <c r="BW263"/>
      <c r="BX263"/>
      <c r="BY263"/>
      <c r="BZ263"/>
      <c r="CA263"/>
      <c r="CB263"/>
      <c r="CC263"/>
      <c r="CD263"/>
      <c r="CE263"/>
      <c r="CF263"/>
      <c r="CG263"/>
      <c r="CH263"/>
      <c r="CI263"/>
      <c r="CJ263"/>
      <c r="CK263"/>
    </row>
    <row r="264" spans="72:89" ht="16" hidden="1" x14ac:dyDescent="0.2">
      <c r="BT264"/>
      <c r="BU264"/>
      <c r="BV264"/>
      <c r="BW264"/>
      <c r="BX264"/>
      <c r="BY264"/>
      <c r="BZ264"/>
      <c r="CA264"/>
      <c r="CB264"/>
      <c r="CC264"/>
      <c r="CD264"/>
      <c r="CE264"/>
      <c r="CF264"/>
      <c r="CG264"/>
      <c r="CH264"/>
      <c r="CI264"/>
      <c r="CJ264"/>
      <c r="CK264"/>
    </row>
    <row r="265" spans="72:89" ht="16" hidden="1" x14ac:dyDescent="0.2">
      <c r="BT265"/>
      <c r="BU265"/>
      <c r="BV265"/>
      <c r="BW265"/>
      <c r="BX265"/>
      <c r="BY265"/>
      <c r="BZ265"/>
      <c r="CA265"/>
      <c r="CB265"/>
      <c r="CC265"/>
      <c r="CD265"/>
      <c r="CE265"/>
      <c r="CF265"/>
      <c r="CG265"/>
      <c r="CH265"/>
      <c r="CI265"/>
      <c r="CJ265"/>
      <c r="CK265"/>
    </row>
    <row r="266" spans="72:89" ht="16" hidden="1" x14ac:dyDescent="0.2">
      <c r="BT266"/>
      <c r="BU266"/>
      <c r="BV266"/>
      <c r="BW266"/>
      <c r="BX266"/>
      <c r="BY266"/>
      <c r="BZ266"/>
      <c r="CA266"/>
      <c r="CB266"/>
      <c r="CC266"/>
      <c r="CD266"/>
      <c r="CE266"/>
      <c r="CF266"/>
      <c r="CG266"/>
      <c r="CH266"/>
      <c r="CI266"/>
      <c r="CJ266"/>
      <c r="CK266"/>
    </row>
    <row r="267" spans="72:89" ht="16" hidden="1" x14ac:dyDescent="0.2">
      <c r="BT267"/>
      <c r="BU267"/>
      <c r="BV267"/>
      <c r="BW267"/>
      <c r="BX267"/>
      <c r="BY267"/>
      <c r="BZ267"/>
      <c r="CA267"/>
      <c r="CB267"/>
      <c r="CC267"/>
      <c r="CD267"/>
      <c r="CE267"/>
      <c r="CF267"/>
      <c r="CG267"/>
      <c r="CH267"/>
      <c r="CI267"/>
      <c r="CJ267"/>
      <c r="CK267"/>
    </row>
    <row r="268" spans="72:89" ht="16" hidden="1" x14ac:dyDescent="0.2">
      <c r="BT268"/>
      <c r="BU268"/>
      <c r="BV268"/>
      <c r="BW268"/>
      <c r="BX268"/>
      <c r="BY268"/>
      <c r="BZ268"/>
      <c r="CA268"/>
      <c r="CB268"/>
      <c r="CC268"/>
      <c r="CD268"/>
      <c r="CE268"/>
      <c r="CF268"/>
      <c r="CG268"/>
      <c r="CH268"/>
      <c r="CI268"/>
      <c r="CJ268"/>
      <c r="CK268"/>
    </row>
    <row r="269" spans="72:89" ht="16" hidden="1" x14ac:dyDescent="0.2">
      <c r="BT269"/>
      <c r="BU269"/>
      <c r="BV269"/>
      <c r="BW269"/>
      <c r="BX269"/>
      <c r="BY269"/>
      <c r="BZ269"/>
      <c r="CA269"/>
      <c r="CB269"/>
      <c r="CC269"/>
      <c r="CD269"/>
      <c r="CE269"/>
      <c r="CF269"/>
      <c r="CG269"/>
      <c r="CH269"/>
      <c r="CI269"/>
      <c r="CJ269"/>
      <c r="CK269"/>
    </row>
    <row r="270" spans="72:89" ht="16" hidden="1" x14ac:dyDescent="0.2">
      <c r="BT270"/>
      <c r="BU270"/>
      <c r="BV270"/>
      <c r="BW270"/>
      <c r="BX270"/>
      <c r="BY270"/>
      <c r="BZ270"/>
      <c r="CA270"/>
      <c r="CB270"/>
      <c r="CC270"/>
      <c r="CD270"/>
      <c r="CE270"/>
      <c r="CF270"/>
      <c r="CG270"/>
      <c r="CH270"/>
      <c r="CI270"/>
      <c r="CJ270"/>
      <c r="CK270"/>
    </row>
    <row r="271" spans="72:89" ht="16" hidden="1" x14ac:dyDescent="0.2">
      <c r="BT271"/>
      <c r="BU271"/>
      <c r="BV271"/>
      <c r="BW271"/>
      <c r="BX271"/>
      <c r="BY271"/>
      <c r="BZ271"/>
      <c r="CA271"/>
      <c r="CB271"/>
      <c r="CC271"/>
      <c r="CD271"/>
      <c r="CE271"/>
      <c r="CF271"/>
      <c r="CG271"/>
      <c r="CH271"/>
      <c r="CI271"/>
      <c r="CJ271"/>
      <c r="CK271"/>
    </row>
    <row r="272" spans="72:89" ht="16" hidden="1" x14ac:dyDescent="0.2">
      <c r="BT272"/>
      <c r="BU272"/>
      <c r="BV272"/>
      <c r="BW272"/>
      <c r="BX272"/>
      <c r="BY272"/>
      <c r="BZ272"/>
      <c r="CA272"/>
      <c r="CB272"/>
      <c r="CC272"/>
      <c r="CD272"/>
      <c r="CE272"/>
      <c r="CF272"/>
      <c r="CG272"/>
      <c r="CH272"/>
      <c r="CI272"/>
      <c r="CJ272"/>
      <c r="CK272"/>
    </row>
    <row r="273" spans="72:89" ht="16" hidden="1" x14ac:dyDescent="0.2">
      <c r="BT273"/>
      <c r="BU273"/>
      <c r="BV273"/>
      <c r="BW273"/>
      <c r="BX273"/>
      <c r="BY273"/>
      <c r="BZ273"/>
      <c r="CA273"/>
      <c r="CB273"/>
      <c r="CC273"/>
      <c r="CD273"/>
      <c r="CE273"/>
      <c r="CF273"/>
      <c r="CG273"/>
      <c r="CH273"/>
      <c r="CI273"/>
      <c r="CJ273"/>
      <c r="CK273"/>
    </row>
    <row r="274" spans="72:89" ht="16" hidden="1" x14ac:dyDescent="0.2">
      <c r="BT274"/>
      <c r="BU274"/>
      <c r="BV274"/>
      <c r="BW274"/>
      <c r="BX274"/>
      <c r="BY274"/>
      <c r="BZ274"/>
      <c r="CA274"/>
      <c r="CB274"/>
      <c r="CC274"/>
      <c r="CD274"/>
      <c r="CE274"/>
      <c r="CF274"/>
      <c r="CG274"/>
      <c r="CH274"/>
      <c r="CI274"/>
      <c r="CJ274"/>
      <c r="CK274"/>
    </row>
    <row r="275" spans="72:89" ht="16" hidden="1" x14ac:dyDescent="0.2">
      <c r="BT275"/>
      <c r="BU275"/>
      <c r="BV275"/>
      <c r="BW275"/>
      <c r="BX275"/>
      <c r="BY275"/>
      <c r="BZ275"/>
      <c r="CA275"/>
      <c r="CB275"/>
      <c r="CC275"/>
      <c r="CD275"/>
      <c r="CE275"/>
      <c r="CF275"/>
      <c r="CG275"/>
      <c r="CH275"/>
      <c r="CI275"/>
      <c r="CJ275"/>
      <c r="CK275"/>
    </row>
    <row r="276" spans="72:89" ht="16" hidden="1" x14ac:dyDescent="0.2">
      <c r="BT276"/>
      <c r="BU276"/>
      <c r="BV276"/>
      <c r="BW276"/>
      <c r="BX276"/>
      <c r="BY276"/>
      <c r="BZ276"/>
      <c r="CA276"/>
      <c r="CB276"/>
      <c r="CC276"/>
      <c r="CD276"/>
      <c r="CE276"/>
      <c r="CF276"/>
      <c r="CG276"/>
      <c r="CH276"/>
      <c r="CI276"/>
      <c r="CJ276"/>
      <c r="CK276"/>
    </row>
    <row r="277" spans="72:89" ht="16" hidden="1" x14ac:dyDescent="0.2">
      <c r="BT277"/>
      <c r="BU277"/>
      <c r="BV277"/>
      <c r="BW277"/>
      <c r="BX277"/>
      <c r="BY277"/>
      <c r="BZ277"/>
      <c r="CA277"/>
      <c r="CB277"/>
      <c r="CC277"/>
      <c r="CD277"/>
      <c r="CE277"/>
      <c r="CF277"/>
      <c r="CG277"/>
      <c r="CH277"/>
      <c r="CI277"/>
      <c r="CJ277"/>
      <c r="CK277"/>
    </row>
    <row r="278" spans="72:89" ht="16" hidden="1" x14ac:dyDescent="0.2">
      <c r="BT278"/>
      <c r="BU278"/>
      <c r="BV278"/>
      <c r="BW278"/>
      <c r="BX278"/>
      <c r="BY278"/>
      <c r="BZ278"/>
      <c r="CA278"/>
      <c r="CB278"/>
      <c r="CC278"/>
      <c r="CD278"/>
      <c r="CE278"/>
      <c r="CF278"/>
      <c r="CG278"/>
      <c r="CH278"/>
      <c r="CI278"/>
      <c r="CJ278"/>
      <c r="CK278"/>
    </row>
    <row r="279" spans="72:89" ht="16" hidden="1" x14ac:dyDescent="0.2">
      <c r="BT279"/>
      <c r="BU279"/>
      <c r="BV279"/>
      <c r="BW279"/>
      <c r="BX279"/>
      <c r="BY279"/>
      <c r="BZ279"/>
      <c r="CA279"/>
      <c r="CB279"/>
      <c r="CC279"/>
      <c r="CD279"/>
      <c r="CE279"/>
      <c r="CF279"/>
      <c r="CG279"/>
      <c r="CH279"/>
      <c r="CI279"/>
      <c r="CJ279"/>
      <c r="CK279"/>
    </row>
    <row r="280" spans="72:89" ht="16" hidden="1" x14ac:dyDescent="0.2">
      <c r="BT280"/>
      <c r="BU280"/>
      <c r="BV280"/>
      <c r="BW280"/>
      <c r="BX280"/>
      <c r="BY280"/>
      <c r="BZ280"/>
      <c r="CA280"/>
      <c r="CB280"/>
      <c r="CC280"/>
      <c r="CD280"/>
      <c r="CE280"/>
      <c r="CF280"/>
      <c r="CG280"/>
      <c r="CH280"/>
      <c r="CI280"/>
      <c r="CJ280"/>
      <c r="CK280"/>
    </row>
    <row r="281" spans="72:89" ht="16" hidden="1" x14ac:dyDescent="0.2">
      <c r="BT281"/>
      <c r="BU281"/>
      <c r="BV281"/>
      <c r="BW281"/>
      <c r="BX281"/>
      <c r="BY281"/>
      <c r="BZ281"/>
      <c r="CA281"/>
      <c r="CB281"/>
      <c r="CC281"/>
      <c r="CD281"/>
      <c r="CE281"/>
      <c r="CF281"/>
      <c r="CG281"/>
      <c r="CH281"/>
      <c r="CI281"/>
      <c r="CJ281"/>
      <c r="CK281"/>
    </row>
    <row r="282" spans="72:89" ht="16" hidden="1" x14ac:dyDescent="0.2">
      <c r="BT282"/>
      <c r="BU282"/>
      <c r="BV282"/>
      <c r="BW282"/>
      <c r="BX282"/>
      <c r="BY282"/>
      <c r="BZ282"/>
      <c r="CA282"/>
      <c r="CB282"/>
      <c r="CC282"/>
      <c r="CD282"/>
      <c r="CE282"/>
      <c r="CF282"/>
      <c r="CG282"/>
      <c r="CH282"/>
      <c r="CI282"/>
      <c r="CJ282"/>
      <c r="CK282"/>
    </row>
    <row r="283" spans="72:89" ht="16" hidden="1" x14ac:dyDescent="0.2">
      <c r="BT283"/>
      <c r="BU283"/>
      <c r="BV283"/>
      <c r="BW283"/>
      <c r="BX283"/>
      <c r="BY283"/>
      <c r="BZ283"/>
      <c r="CA283"/>
      <c r="CB283"/>
      <c r="CC283"/>
      <c r="CD283"/>
      <c r="CE283"/>
      <c r="CF283"/>
      <c r="CG283"/>
      <c r="CH283"/>
      <c r="CI283"/>
      <c r="CJ283"/>
      <c r="CK283"/>
    </row>
    <row r="284" spans="72:89" ht="16" hidden="1" x14ac:dyDescent="0.2">
      <c r="BT284"/>
      <c r="BU284"/>
      <c r="BV284"/>
      <c r="BW284"/>
      <c r="BX284"/>
      <c r="BY284"/>
      <c r="BZ284"/>
      <c r="CA284"/>
      <c r="CB284"/>
      <c r="CC284"/>
      <c r="CD284"/>
      <c r="CE284"/>
      <c r="CF284"/>
      <c r="CG284"/>
      <c r="CH284"/>
      <c r="CI284"/>
      <c r="CJ284"/>
      <c r="CK284"/>
    </row>
    <row r="285" spans="72:89" ht="16" hidden="1" x14ac:dyDescent="0.2">
      <c r="BT285"/>
      <c r="BU285"/>
      <c r="BV285"/>
      <c r="BW285"/>
      <c r="BX285"/>
      <c r="BY285"/>
      <c r="BZ285"/>
      <c r="CA285"/>
      <c r="CB285"/>
      <c r="CC285"/>
      <c r="CD285"/>
      <c r="CE285"/>
      <c r="CF285"/>
      <c r="CG285"/>
      <c r="CH285"/>
      <c r="CI285"/>
      <c r="CJ285"/>
      <c r="CK285"/>
    </row>
    <row r="286" spans="72:89" ht="16" hidden="1" x14ac:dyDescent="0.2">
      <c r="BT286"/>
      <c r="BU286"/>
      <c r="BV286"/>
      <c r="BW286"/>
      <c r="BX286"/>
      <c r="BY286"/>
      <c r="BZ286"/>
      <c r="CA286"/>
      <c r="CB286"/>
      <c r="CC286"/>
      <c r="CD286"/>
      <c r="CE286"/>
      <c r="CF286"/>
      <c r="CG286"/>
      <c r="CH286"/>
      <c r="CI286"/>
      <c r="CJ286"/>
      <c r="CK286"/>
    </row>
    <row r="287" spans="72:89" ht="16" hidden="1" x14ac:dyDescent="0.2">
      <c r="BT287"/>
      <c r="BU287"/>
      <c r="BV287"/>
      <c r="BW287"/>
      <c r="BX287"/>
      <c r="BY287"/>
      <c r="BZ287"/>
      <c r="CA287"/>
      <c r="CB287"/>
      <c r="CC287"/>
      <c r="CD287"/>
      <c r="CE287"/>
      <c r="CF287"/>
      <c r="CG287"/>
      <c r="CH287"/>
      <c r="CI287"/>
      <c r="CJ287"/>
      <c r="CK287"/>
    </row>
    <row r="288" spans="72:89" ht="16" hidden="1" x14ac:dyDescent="0.2">
      <c r="BT288"/>
      <c r="BU288"/>
      <c r="BV288"/>
      <c r="BW288"/>
      <c r="BX288"/>
      <c r="BY288"/>
      <c r="BZ288"/>
      <c r="CA288"/>
      <c r="CB288"/>
      <c r="CC288"/>
      <c r="CD288"/>
      <c r="CE288"/>
      <c r="CF288"/>
      <c r="CG288"/>
      <c r="CH288"/>
      <c r="CI288"/>
      <c r="CJ288"/>
      <c r="CK288"/>
    </row>
    <row r="289" spans="72:89" ht="16" hidden="1" x14ac:dyDescent="0.2">
      <c r="BT289"/>
      <c r="BU289"/>
      <c r="BV289"/>
      <c r="BW289"/>
      <c r="BX289"/>
      <c r="BY289"/>
      <c r="BZ289"/>
      <c r="CA289"/>
      <c r="CB289"/>
      <c r="CC289"/>
      <c r="CD289"/>
      <c r="CE289"/>
      <c r="CF289"/>
      <c r="CG289"/>
      <c r="CH289"/>
      <c r="CI289"/>
      <c r="CJ289"/>
      <c r="CK289"/>
    </row>
    <row r="290" spans="72:89" ht="16" hidden="1" x14ac:dyDescent="0.2">
      <c r="BT290"/>
      <c r="BU290"/>
      <c r="BV290"/>
      <c r="BW290"/>
      <c r="BX290"/>
      <c r="BY290"/>
      <c r="BZ290"/>
      <c r="CA290"/>
      <c r="CB290"/>
      <c r="CC290"/>
      <c r="CD290"/>
      <c r="CE290"/>
      <c r="CF290"/>
      <c r="CG290"/>
      <c r="CH290"/>
      <c r="CI290"/>
      <c r="CJ290"/>
      <c r="CK290"/>
    </row>
    <row r="291" spans="72:89" ht="16" hidden="1" x14ac:dyDescent="0.2">
      <c r="BT291"/>
      <c r="BU291"/>
      <c r="BV291"/>
      <c r="BW291"/>
      <c r="BX291"/>
      <c r="BY291"/>
      <c r="BZ291"/>
      <c r="CA291"/>
      <c r="CB291"/>
      <c r="CC291"/>
      <c r="CD291"/>
      <c r="CE291"/>
      <c r="CF291"/>
      <c r="CG291"/>
      <c r="CH291"/>
      <c r="CI291"/>
      <c r="CJ291"/>
      <c r="CK291"/>
    </row>
    <row r="292" spans="72:89" ht="16" hidden="1" x14ac:dyDescent="0.2">
      <c r="BT292"/>
      <c r="BU292"/>
      <c r="BV292"/>
      <c r="BW292"/>
      <c r="BX292"/>
      <c r="BY292"/>
      <c r="BZ292"/>
      <c r="CA292"/>
      <c r="CB292"/>
      <c r="CC292"/>
      <c r="CD292"/>
      <c r="CE292"/>
      <c r="CF292"/>
      <c r="CG292"/>
      <c r="CH292"/>
      <c r="CI292"/>
      <c r="CJ292"/>
      <c r="CK292"/>
    </row>
    <row r="293" spans="72:89" ht="16" hidden="1" x14ac:dyDescent="0.2">
      <c r="BT293"/>
      <c r="BU293"/>
      <c r="BV293"/>
      <c r="BW293"/>
      <c r="BX293"/>
      <c r="BY293"/>
      <c r="BZ293"/>
      <c r="CA293"/>
      <c r="CB293"/>
      <c r="CC293"/>
      <c r="CD293"/>
      <c r="CE293"/>
      <c r="CF293"/>
      <c r="CG293"/>
      <c r="CH293"/>
      <c r="CI293"/>
      <c r="CJ293"/>
      <c r="CK293"/>
    </row>
    <row r="294" spans="72:89" ht="16" hidden="1" x14ac:dyDescent="0.2">
      <c r="BT294"/>
      <c r="BU294"/>
      <c r="BV294"/>
      <c r="BW294"/>
      <c r="BX294"/>
      <c r="BY294"/>
      <c r="BZ294"/>
      <c r="CA294"/>
      <c r="CB294"/>
      <c r="CC294"/>
      <c r="CD294"/>
      <c r="CE294"/>
      <c r="CF294"/>
      <c r="CG294"/>
      <c r="CH294"/>
      <c r="CI294"/>
      <c r="CJ294"/>
      <c r="CK294"/>
    </row>
    <row r="295" spans="72:89" ht="16" hidden="1" x14ac:dyDescent="0.2">
      <c r="BT295"/>
      <c r="BU295"/>
      <c r="BV295"/>
      <c r="BW295"/>
      <c r="BX295"/>
      <c r="BY295"/>
      <c r="BZ295"/>
      <c r="CA295"/>
      <c r="CB295"/>
      <c r="CC295"/>
      <c r="CD295"/>
      <c r="CE295"/>
      <c r="CF295"/>
      <c r="CG295"/>
      <c r="CH295"/>
      <c r="CI295"/>
      <c r="CJ295"/>
      <c r="CK295"/>
    </row>
    <row r="296" spans="72:89" ht="16" hidden="1" x14ac:dyDescent="0.2">
      <c r="BT296"/>
      <c r="BU296"/>
      <c r="BV296"/>
      <c r="BW296"/>
      <c r="BX296"/>
      <c r="BY296"/>
      <c r="BZ296"/>
      <c r="CA296"/>
      <c r="CB296"/>
      <c r="CC296"/>
      <c r="CD296"/>
      <c r="CE296"/>
      <c r="CF296"/>
      <c r="CG296"/>
      <c r="CH296"/>
      <c r="CI296"/>
      <c r="CJ296"/>
      <c r="CK296"/>
    </row>
    <row r="297" spans="72:89" ht="16" hidden="1" x14ac:dyDescent="0.2">
      <c r="BT297"/>
      <c r="BU297"/>
      <c r="BV297"/>
      <c r="BW297"/>
      <c r="BX297"/>
      <c r="BY297"/>
      <c r="BZ297"/>
      <c r="CA297"/>
      <c r="CB297"/>
      <c r="CC297"/>
      <c r="CD297"/>
      <c r="CE297"/>
      <c r="CF297"/>
      <c r="CG297"/>
      <c r="CH297"/>
      <c r="CI297"/>
      <c r="CJ297"/>
      <c r="CK297"/>
    </row>
    <row r="298" spans="72:89" ht="16" hidden="1" x14ac:dyDescent="0.2">
      <c r="BT298"/>
      <c r="BU298"/>
      <c r="BV298"/>
      <c r="BW298"/>
      <c r="BX298"/>
      <c r="BY298"/>
      <c r="BZ298"/>
      <c r="CA298"/>
      <c r="CB298"/>
      <c r="CC298"/>
      <c r="CD298"/>
      <c r="CE298"/>
      <c r="CF298"/>
      <c r="CG298"/>
      <c r="CH298"/>
      <c r="CI298"/>
      <c r="CJ298"/>
      <c r="CK298"/>
    </row>
    <row r="299" spans="72:89" ht="16" hidden="1" x14ac:dyDescent="0.2">
      <c r="BT299"/>
      <c r="BU299"/>
      <c r="BV299"/>
      <c r="BW299"/>
      <c r="BX299"/>
      <c r="BY299"/>
      <c r="BZ299"/>
      <c r="CA299"/>
      <c r="CB299"/>
      <c r="CC299"/>
      <c r="CD299"/>
      <c r="CE299"/>
      <c r="CF299"/>
      <c r="CG299"/>
      <c r="CH299"/>
      <c r="CI299"/>
      <c r="CJ299"/>
      <c r="CK299"/>
    </row>
    <row r="300" spans="72:89" ht="16" hidden="1" x14ac:dyDescent="0.2">
      <c r="BT300"/>
      <c r="BU300"/>
      <c r="BV300"/>
      <c r="BW300"/>
      <c r="BX300"/>
      <c r="BY300"/>
      <c r="BZ300"/>
      <c r="CA300"/>
      <c r="CB300"/>
      <c r="CC300"/>
      <c r="CD300"/>
      <c r="CE300"/>
      <c r="CF300"/>
      <c r="CG300"/>
      <c r="CH300"/>
      <c r="CI300"/>
      <c r="CJ300"/>
      <c r="CK300"/>
    </row>
    <row r="301" spans="72:89" ht="16" hidden="1" x14ac:dyDescent="0.2">
      <c r="BT301"/>
      <c r="BU301"/>
      <c r="BV301"/>
      <c r="BW301"/>
      <c r="BX301"/>
      <c r="BY301"/>
      <c r="BZ301"/>
      <c r="CA301"/>
      <c r="CB301"/>
      <c r="CC301"/>
      <c r="CD301"/>
      <c r="CE301"/>
      <c r="CF301"/>
      <c r="CG301"/>
      <c r="CH301"/>
      <c r="CI301"/>
      <c r="CJ301"/>
      <c r="CK301"/>
    </row>
    <row r="302" spans="72:89" ht="16" hidden="1" x14ac:dyDescent="0.2">
      <c r="BT302"/>
      <c r="BU302"/>
      <c r="BV302"/>
      <c r="BW302"/>
      <c r="BX302"/>
      <c r="BY302"/>
      <c r="BZ302"/>
      <c r="CA302"/>
      <c r="CB302"/>
      <c r="CC302"/>
      <c r="CD302"/>
      <c r="CE302"/>
      <c r="CF302"/>
      <c r="CG302"/>
      <c r="CH302"/>
      <c r="CI302"/>
      <c r="CJ302"/>
      <c r="CK302"/>
    </row>
    <row r="303" spans="72:89" ht="16" hidden="1" x14ac:dyDescent="0.2">
      <c r="BT303"/>
      <c r="BU303"/>
      <c r="BV303"/>
      <c r="BW303"/>
      <c r="BX303"/>
      <c r="BY303"/>
      <c r="BZ303"/>
      <c r="CA303"/>
      <c r="CB303"/>
      <c r="CC303"/>
      <c r="CD303"/>
      <c r="CE303"/>
      <c r="CF303"/>
      <c r="CG303"/>
      <c r="CH303"/>
      <c r="CI303"/>
      <c r="CJ303"/>
      <c r="CK303"/>
    </row>
    <row r="304" spans="72:89" ht="16" hidden="1" x14ac:dyDescent="0.2">
      <c r="BT304"/>
      <c r="BU304"/>
      <c r="BV304"/>
      <c r="BW304"/>
      <c r="BX304"/>
      <c r="BY304"/>
      <c r="BZ304"/>
      <c r="CA304"/>
      <c r="CB304"/>
      <c r="CC304"/>
      <c r="CD304"/>
      <c r="CE304"/>
      <c r="CF304"/>
      <c r="CG304"/>
      <c r="CH304"/>
      <c r="CI304"/>
      <c r="CJ304"/>
      <c r="CK304"/>
    </row>
    <row r="305" spans="72:89" ht="16" hidden="1" x14ac:dyDescent="0.2">
      <c r="BT305"/>
      <c r="BU305"/>
      <c r="BV305"/>
      <c r="BW305"/>
      <c r="BX305"/>
      <c r="BY305"/>
      <c r="BZ305"/>
      <c r="CA305"/>
      <c r="CB305"/>
      <c r="CC305"/>
      <c r="CD305"/>
      <c r="CE305"/>
      <c r="CF305"/>
      <c r="CG305"/>
      <c r="CH305"/>
      <c r="CI305"/>
      <c r="CJ305"/>
      <c r="CK305"/>
    </row>
    <row r="306" spans="72:89" ht="16" hidden="1" x14ac:dyDescent="0.2">
      <c r="BT306"/>
      <c r="BU306"/>
      <c r="BV306"/>
      <c r="BW306"/>
      <c r="BX306"/>
      <c r="BY306"/>
      <c r="BZ306"/>
      <c r="CA306"/>
      <c r="CB306"/>
      <c r="CC306"/>
      <c r="CD306"/>
      <c r="CE306"/>
      <c r="CF306"/>
      <c r="CG306"/>
      <c r="CH306"/>
      <c r="CI306"/>
      <c r="CJ306"/>
      <c r="CK306"/>
    </row>
    <row r="307" spans="72:89" ht="16" hidden="1" x14ac:dyDescent="0.2">
      <c r="BT307"/>
      <c r="BU307"/>
      <c r="BV307"/>
      <c r="BW307"/>
      <c r="BX307"/>
      <c r="BY307"/>
      <c r="BZ307"/>
      <c r="CA307"/>
      <c r="CB307"/>
      <c r="CC307"/>
      <c r="CD307"/>
      <c r="CE307"/>
      <c r="CF307"/>
      <c r="CG307"/>
      <c r="CH307"/>
      <c r="CI307"/>
      <c r="CJ307"/>
      <c r="CK307"/>
    </row>
    <row r="308" spans="72:89" ht="16" hidden="1" x14ac:dyDescent="0.2">
      <c r="BT308"/>
      <c r="BU308"/>
      <c r="BV308"/>
      <c r="BW308"/>
      <c r="BX308"/>
      <c r="BY308"/>
      <c r="BZ308"/>
      <c r="CA308"/>
      <c r="CB308"/>
      <c r="CC308"/>
      <c r="CD308"/>
      <c r="CE308"/>
      <c r="CF308"/>
      <c r="CG308"/>
      <c r="CH308"/>
      <c r="CI308"/>
      <c r="CJ308"/>
      <c r="CK308"/>
    </row>
    <row r="309" spans="72:89" ht="16" hidden="1" x14ac:dyDescent="0.2">
      <c r="BT309"/>
      <c r="BU309"/>
      <c r="BV309"/>
      <c r="BW309"/>
      <c r="BX309"/>
      <c r="BY309"/>
      <c r="BZ309"/>
      <c r="CA309"/>
      <c r="CB309"/>
      <c r="CC309"/>
      <c r="CD309"/>
      <c r="CE309"/>
      <c r="CF309"/>
      <c r="CG309"/>
      <c r="CH309"/>
      <c r="CI309"/>
      <c r="CJ309"/>
      <c r="CK309"/>
    </row>
    <row r="310" spans="72:89" ht="16" hidden="1" x14ac:dyDescent="0.2">
      <c r="BT310"/>
      <c r="BU310"/>
      <c r="BV310"/>
      <c r="BW310"/>
      <c r="BX310"/>
      <c r="BY310"/>
      <c r="BZ310"/>
      <c r="CA310"/>
      <c r="CB310"/>
      <c r="CC310"/>
      <c r="CD310"/>
      <c r="CE310"/>
      <c r="CF310"/>
      <c r="CG310"/>
      <c r="CH310"/>
      <c r="CI310"/>
      <c r="CJ310"/>
      <c r="CK310"/>
    </row>
    <row r="311" spans="72:89" ht="16" hidden="1" x14ac:dyDescent="0.2">
      <c r="BT311"/>
      <c r="BU311"/>
      <c r="BV311"/>
      <c r="BW311"/>
      <c r="BX311"/>
      <c r="BY311"/>
      <c r="BZ311"/>
      <c r="CA311"/>
      <c r="CB311"/>
      <c r="CC311"/>
      <c r="CD311"/>
      <c r="CE311"/>
      <c r="CF311"/>
      <c r="CG311"/>
      <c r="CH311"/>
      <c r="CI311"/>
      <c r="CJ311"/>
      <c r="CK311"/>
    </row>
    <row r="312" spans="72:89" ht="16" hidden="1" x14ac:dyDescent="0.2">
      <c r="BT312"/>
      <c r="BU312"/>
      <c r="BV312"/>
      <c r="BW312"/>
      <c r="BX312"/>
      <c r="BY312"/>
      <c r="BZ312"/>
      <c r="CA312"/>
      <c r="CB312"/>
      <c r="CC312"/>
      <c r="CD312"/>
      <c r="CE312"/>
      <c r="CF312"/>
      <c r="CG312"/>
      <c r="CH312"/>
      <c r="CI312"/>
      <c r="CJ312"/>
      <c r="CK312"/>
    </row>
    <row r="313" spans="72:89" ht="16" hidden="1" x14ac:dyDescent="0.2">
      <c r="BT313"/>
      <c r="BU313"/>
      <c r="BV313"/>
      <c r="BW313"/>
      <c r="BX313"/>
      <c r="BY313"/>
      <c r="BZ313"/>
      <c r="CA313"/>
      <c r="CB313"/>
      <c r="CC313"/>
      <c r="CD313"/>
      <c r="CE313"/>
      <c r="CF313"/>
      <c r="CG313"/>
      <c r="CH313"/>
      <c r="CI313"/>
      <c r="CJ313"/>
      <c r="CK313"/>
    </row>
    <row r="314" spans="72:89" ht="16" hidden="1" x14ac:dyDescent="0.2">
      <c r="BT314"/>
      <c r="BU314"/>
      <c r="BV314"/>
      <c r="BW314"/>
      <c r="BX314"/>
      <c r="BY314"/>
      <c r="BZ314"/>
      <c r="CA314"/>
      <c r="CB314"/>
      <c r="CC314"/>
      <c r="CD314"/>
      <c r="CE314"/>
      <c r="CF314"/>
      <c r="CG314"/>
      <c r="CH314"/>
      <c r="CI314"/>
      <c r="CJ314"/>
      <c r="CK314"/>
    </row>
    <row r="315" spans="72:89" ht="16" hidden="1" x14ac:dyDescent="0.2">
      <c r="BT315"/>
      <c r="BU315"/>
      <c r="BV315"/>
      <c r="BW315"/>
      <c r="BX315"/>
      <c r="BY315"/>
      <c r="BZ315"/>
      <c r="CA315"/>
      <c r="CB315"/>
      <c r="CC315"/>
      <c r="CD315"/>
      <c r="CE315"/>
      <c r="CF315"/>
      <c r="CG315"/>
      <c r="CH315"/>
      <c r="CI315"/>
      <c r="CJ315"/>
      <c r="CK315"/>
    </row>
    <row r="316" spans="72:89" ht="16" hidden="1" x14ac:dyDescent="0.2">
      <c r="BT316"/>
      <c r="BU316"/>
      <c r="BV316"/>
      <c r="BW316"/>
      <c r="BX316"/>
      <c r="BY316"/>
      <c r="BZ316"/>
      <c r="CA316"/>
      <c r="CB316"/>
      <c r="CC316"/>
      <c r="CD316"/>
      <c r="CE316"/>
      <c r="CF316"/>
      <c r="CG316"/>
      <c r="CH316"/>
      <c r="CI316"/>
      <c r="CJ316"/>
      <c r="CK316"/>
    </row>
    <row r="317" spans="72:89" ht="16" hidden="1" x14ac:dyDescent="0.2">
      <c r="BT317"/>
      <c r="BU317"/>
      <c r="BV317"/>
      <c r="BW317"/>
      <c r="BX317"/>
      <c r="BY317"/>
      <c r="BZ317"/>
      <c r="CA317"/>
      <c r="CB317"/>
      <c r="CC317"/>
      <c r="CD317"/>
      <c r="CE317"/>
      <c r="CF317"/>
      <c r="CG317"/>
      <c r="CH317"/>
      <c r="CI317"/>
      <c r="CJ317"/>
      <c r="CK317"/>
    </row>
    <row r="318" spans="72:89" ht="16" hidden="1" x14ac:dyDescent="0.2">
      <c r="BT318"/>
      <c r="BU318"/>
      <c r="BV318"/>
      <c r="BW318"/>
      <c r="BX318"/>
      <c r="BY318"/>
      <c r="BZ318"/>
      <c r="CA318"/>
      <c r="CB318"/>
      <c r="CC318"/>
      <c r="CD318"/>
      <c r="CE318"/>
      <c r="CF318"/>
      <c r="CG318"/>
      <c r="CH318"/>
      <c r="CI318"/>
      <c r="CJ318"/>
      <c r="CK318"/>
    </row>
    <row r="319" spans="72:89" ht="16" hidden="1" x14ac:dyDescent="0.2">
      <c r="BT319"/>
      <c r="BU319"/>
      <c r="BV319"/>
      <c r="BW319"/>
      <c r="BX319"/>
      <c r="BY319"/>
      <c r="BZ319"/>
      <c r="CA319"/>
      <c r="CB319"/>
      <c r="CC319"/>
      <c r="CD319"/>
      <c r="CE319"/>
      <c r="CF319"/>
      <c r="CG319"/>
      <c r="CH319"/>
      <c r="CI319"/>
      <c r="CJ319"/>
      <c r="CK319"/>
    </row>
    <row r="320" spans="72:89" ht="16" hidden="1" x14ac:dyDescent="0.2">
      <c r="BT320"/>
      <c r="BU320"/>
      <c r="BV320"/>
      <c r="BW320"/>
      <c r="BX320"/>
      <c r="BY320"/>
      <c r="BZ320"/>
      <c r="CA320"/>
      <c r="CB320"/>
      <c r="CC320"/>
      <c r="CD320"/>
      <c r="CE320"/>
      <c r="CF320"/>
      <c r="CG320"/>
      <c r="CH320"/>
      <c r="CI320"/>
      <c r="CJ320"/>
      <c r="CK320"/>
    </row>
    <row r="321" spans="72:89" ht="16" hidden="1" x14ac:dyDescent="0.2">
      <c r="BT321"/>
      <c r="BU321"/>
      <c r="BV321"/>
      <c r="BW321"/>
      <c r="BX321"/>
      <c r="BY321"/>
      <c r="BZ321"/>
      <c r="CA321"/>
      <c r="CB321"/>
      <c r="CC321"/>
      <c r="CD321"/>
      <c r="CE321"/>
      <c r="CF321"/>
      <c r="CG321"/>
      <c r="CH321"/>
      <c r="CI321"/>
      <c r="CJ321"/>
      <c r="CK321"/>
    </row>
    <row r="322" spans="72:89" ht="16" hidden="1" x14ac:dyDescent="0.2">
      <c r="BT322"/>
      <c r="BU322"/>
      <c r="BV322"/>
      <c r="BW322"/>
      <c r="BX322"/>
      <c r="BY322"/>
      <c r="BZ322"/>
      <c r="CA322"/>
      <c r="CB322"/>
      <c r="CC322"/>
      <c r="CD322"/>
      <c r="CE322"/>
      <c r="CF322"/>
      <c r="CG322"/>
      <c r="CH322"/>
      <c r="CI322"/>
      <c r="CJ322"/>
      <c r="CK322"/>
    </row>
    <row r="323" spans="72:89" ht="16" hidden="1" x14ac:dyDescent="0.2">
      <c r="BT323"/>
      <c r="BU323"/>
      <c r="BV323"/>
      <c r="BW323"/>
      <c r="BX323"/>
      <c r="BY323"/>
      <c r="BZ323"/>
      <c r="CA323"/>
      <c r="CB323"/>
      <c r="CC323"/>
      <c r="CD323"/>
      <c r="CE323"/>
      <c r="CF323"/>
      <c r="CG323"/>
      <c r="CH323"/>
      <c r="CI323"/>
      <c r="CJ323"/>
      <c r="CK323"/>
    </row>
    <row r="324" spans="72:89" ht="16" hidden="1" x14ac:dyDescent="0.2">
      <c r="BT324"/>
      <c r="BU324"/>
      <c r="BV324"/>
      <c r="BW324"/>
      <c r="BX324"/>
      <c r="BY324"/>
      <c r="BZ324"/>
      <c r="CA324"/>
      <c r="CB324"/>
      <c r="CC324"/>
      <c r="CD324"/>
      <c r="CE324"/>
      <c r="CF324"/>
      <c r="CG324"/>
      <c r="CH324"/>
      <c r="CI324"/>
      <c r="CJ324"/>
      <c r="CK324"/>
    </row>
    <row r="325" spans="72:89" ht="16" hidden="1" x14ac:dyDescent="0.2">
      <c r="BT325"/>
      <c r="BU325"/>
      <c r="BV325"/>
      <c r="BW325"/>
      <c r="BX325"/>
      <c r="BY325"/>
      <c r="BZ325"/>
      <c r="CA325"/>
      <c r="CB325"/>
      <c r="CC325"/>
      <c r="CD325"/>
      <c r="CE325"/>
      <c r="CF325"/>
      <c r="CG325"/>
      <c r="CH325"/>
      <c r="CI325"/>
      <c r="CJ325"/>
      <c r="CK325"/>
    </row>
    <row r="326" spans="72:89" ht="16" hidden="1" x14ac:dyDescent="0.2">
      <c r="BT326"/>
      <c r="BU326"/>
      <c r="BV326"/>
      <c r="BW326"/>
      <c r="BX326"/>
      <c r="BY326"/>
      <c r="BZ326"/>
      <c r="CA326"/>
      <c r="CB326"/>
      <c r="CC326"/>
      <c r="CD326"/>
      <c r="CE326"/>
      <c r="CF326"/>
      <c r="CG326"/>
      <c r="CH326"/>
      <c r="CI326"/>
      <c r="CJ326"/>
      <c r="CK326"/>
    </row>
    <row r="327" spans="72:89" ht="16" hidden="1" x14ac:dyDescent="0.2">
      <c r="BT327"/>
      <c r="BU327"/>
      <c r="BV327"/>
      <c r="BW327"/>
      <c r="BX327"/>
      <c r="BY327"/>
      <c r="BZ327"/>
      <c r="CA327"/>
      <c r="CB327"/>
      <c r="CC327"/>
      <c r="CD327"/>
      <c r="CE327"/>
      <c r="CF327"/>
      <c r="CG327"/>
      <c r="CH327"/>
      <c r="CI327"/>
      <c r="CJ327"/>
      <c r="CK327"/>
    </row>
    <row r="328" spans="72:89" ht="16" hidden="1" x14ac:dyDescent="0.2">
      <c r="BT328"/>
      <c r="BU328"/>
      <c r="BV328"/>
      <c r="BW328"/>
      <c r="BX328"/>
      <c r="BY328"/>
      <c r="BZ328"/>
      <c r="CA328"/>
      <c r="CB328"/>
      <c r="CC328"/>
      <c r="CD328"/>
      <c r="CE328"/>
      <c r="CF328"/>
      <c r="CG328"/>
      <c r="CH328"/>
      <c r="CI328"/>
      <c r="CJ328"/>
      <c r="CK328"/>
    </row>
    <row r="329" spans="72:89" ht="16" hidden="1" x14ac:dyDescent="0.2">
      <c r="BT329"/>
      <c r="BU329"/>
      <c r="BV329"/>
      <c r="BW329"/>
      <c r="BX329"/>
      <c r="BY329"/>
      <c r="BZ329"/>
      <c r="CA329"/>
      <c r="CB329"/>
      <c r="CC329"/>
      <c r="CD329"/>
      <c r="CE329"/>
      <c r="CF329"/>
      <c r="CG329"/>
      <c r="CH329"/>
      <c r="CI329"/>
      <c r="CJ329"/>
      <c r="CK329"/>
    </row>
    <row r="330" spans="72:89" ht="16" hidden="1" x14ac:dyDescent="0.2">
      <c r="BT330"/>
      <c r="BU330"/>
      <c r="BV330"/>
      <c r="BW330"/>
      <c r="BX330"/>
      <c r="BY330"/>
      <c r="BZ330"/>
      <c r="CA330"/>
      <c r="CB330"/>
      <c r="CC330"/>
      <c r="CD330"/>
      <c r="CE330"/>
      <c r="CF330"/>
      <c r="CG330"/>
      <c r="CH330"/>
      <c r="CI330"/>
      <c r="CJ330"/>
      <c r="CK330"/>
    </row>
    <row r="331" spans="72:89" ht="16" hidden="1" x14ac:dyDescent="0.2">
      <c r="BT331"/>
      <c r="BU331"/>
      <c r="BV331"/>
      <c r="BW331"/>
      <c r="BX331"/>
      <c r="BY331"/>
      <c r="BZ331"/>
      <c r="CA331"/>
      <c r="CB331"/>
      <c r="CC331"/>
      <c r="CD331"/>
      <c r="CE331"/>
      <c r="CF331"/>
      <c r="CG331"/>
      <c r="CH331"/>
      <c r="CI331"/>
      <c r="CJ331"/>
      <c r="CK331"/>
    </row>
    <row r="332" spans="72:89" ht="16" hidden="1" x14ac:dyDescent="0.2">
      <c r="BT332"/>
      <c r="BU332"/>
      <c r="BV332"/>
      <c r="BW332"/>
      <c r="BX332"/>
      <c r="BY332"/>
      <c r="BZ332"/>
      <c r="CA332"/>
      <c r="CB332"/>
      <c r="CC332"/>
      <c r="CD332"/>
      <c r="CE332"/>
      <c r="CF332"/>
      <c r="CG332"/>
      <c r="CH332"/>
      <c r="CI332"/>
      <c r="CJ332"/>
      <c r="CK332"/>
    </row>
    <row r="333" spans="72:89" ht="16" hidden="1" x14ac:dyDescent="0.2">
      <c r="BT333"/>
      <c r="BU333"/>
      <c r="BV333"/>
      <c r="BW333"/>
      <c r="BX333"/>
      <c r="BY333"/>
      <c r="BZ333"/>
      <c r="CA333"/>
      <c r="CB333"/>
      <c r="CC333"/>
      <c r="CD333"/>
      <c r="CE333"/>
      <c r="CF333"/>
      <c r="CG333"/>
      <c r="CH333"/>
      <c r="CI333"/>
      <c r="CJ333"/>
      <c r="CK333"/>
    </row>
    <row r="334" spans="72:89" ht="16" hidden="1" x14ac:dyDescent="0.2">
      <c r="BT334"/>
      <c r="BU334"/>
      <c r="BV334"/>
      <c r="BW334"/>
      <c r="BX334"/>
      <c r="BY334"/>
      <c r="BZ334"/>
      <c r="CA334"/>
      <c r="CB334"/>
      <c r="CC334"/>
      <c r="CD334"/>
      <c r="CE334"/>
      <c r="CF334"/>
      <c r="CG334"/>
      <c r="CH334"/>
      <c r="CI334"/>
      <c r="CJ334"/>
      <c r="CK334"/>
    </row>
    <row r="335" spans="72:89" ht="16" hidden="1" x14ac:dyDescent="0.2">
      <c r="BT335"/>
      <c r="BU335"/>
      <c r="BV335"/>
      <c r="BW335"/>
      <c r="BX335"/>
      <c r="BY335"/>
      <c r="BZ335"/>
      <c r="CA335"/>
      <c r="CB335"/>
      <c r="CC335"/>
      <c r="CD335"/>
      <c r="CE335"/>
      <c r="CF335"/>
      <c r="CG335"/>
      <c r="CH335"/>
      <c r="CI335"/>
      <c r="CJ335"/>
      <c r="CK335"/>
    </row>
    <row r="336" spans="72:89" ht="16" hidden="1" x14ac:dyDescent="0.2">
      <c r="BT336"/>
      <c r="BU336"/>
      <c r="BV336"/>
      <c r="BW336"/>
      <c r="BX336"/>
      <c r="BY336"/>
      <c r="BZ336"/>
      <c r="CA336"/>
      <c r="CB336"/>
      <c r="CC336"/>
      <c r="CD336"/>
      <c r="CE336"/>
      <c r="CF336"/>
      <c r="CG336"/>
      <c r="CH336"/>
      <c r="CI336"/>
      <c r="CJ336"/>
      <c r="CK336"/>
    </row>
    <row r="337" spans="72:89" ht="16" hidden="1" x14ac:dyDescent="0.2">
      <c r="BT337"/>
      <c r="BU337"/>
      <c r="BV337"/>
      <c r="BW337"/>
      <c r="BX337"/>
      <c r="BY337"/>
      <c r="BZ337"/>
      <c r="CA337"/>
      <c r="CB337"/>
      <c r="CC337"/>
      <c r="CD337"/>
      <c r="CE337"/>
      <c r="CF337"/>
      <c r="CG337"/>
      <c r="CH337"/>
      <c r="CI337"/>
      <c r="CJ337"/>
      <c r="CK337"/>
    </row>
    <row r="338" spans="72:89" ht="16" hidden="1" x14ac:dyDescent="0.2">
      <c r="BT338"/>
      <c r="BU338"/>
      <c r="BV338"/>
      <c r="BW338"/>
      <c r="BX338"/>
      <c r="BY338"/>
      <c r="BZ338"/>
      <c r="CA338"/>
      <c r="CB338"/>
      <c r="CC338"/>
      <c r="CD338"/>
      <c r="CE338"/>
      <c r="CF338"/>
      <c r="CG338"/>
      <c r="CH338"/>
      <c r="CI338"/>
      <c r="CJ338"/>
      <c r="CK338"/>
    </row>
    <row r="339" spans="72:89" ht="16" hidden="1" x14ac:dyDescent="0.2">
      <c r="BT339"/>
      <c r="BU339"/>
      <c r="BV339"/>
      <c r="BW339"/>
      <c r="BX339"/>
      <c r="BY339"/>
      <c r="BZ339"/>
      <c r="CA339"/>
      <c r="CB339"/>
      <c r="CC339"/>
      <c r="CD339"/>
      <c r="CE339"/>
      <c r="CF339"/>
      <c r="CG339"/>
      <c r="CH339"/>
      <c r="CI339"/>
      <c r="CJ339"/>
      <c r="CK339"/>
    </row>
    <row r="340" spans="72:89" ht="16" hidden="1" x14ac:dyDescent="0.2">
      <c r="BT340"/>
      <c r="BU340"/>
      <c r="BV340"/>
      <c r="BW340"/>
      <c r="BX340"/>
      <c r="BY340"/>
      <c r="BZ340"/>
      <c r="CA340"/>
      <c r="CB340"/>
      <c r="CC340"/>
      <c r="CD340"/>
      <c r="CE340"/>
      <c r="CF340"/>
      <c r="CG340"/>
      <c r="CH340"/>
      <c r="CI340"/>
      <c r="CJ340"/>
      <c r="CK340"/>
    </row>
    <row r="341" spans="72:89" ht="16" hidden="1" x14ac:dyDescent="0.2">
      <c r="BT341"/>
      <c r="BU341"/>
      <c r="BV341"/>
      <c r="BW341"/>
      <c r="BX341"/>
      <c r="BY341"/>
      <c r="BZ341"/>
      <c r="CA341"/>
      <c r="CB341"/>
      <c r="CC341"/>
      <c r="CD341"/>
      <c r="CE341"/>
      <c r="CF341"/>
      <c r="CG341"/>
      <c r="CH341"/>
      <c r="CI341"/>
      <c r="CJ341"/>
      <c r="CK341"/>
    </row>
    <row r="342" spans="72:89" ht="16" hidden="1" x14ac:dyDescent="0.2">
      <c r="BT342"/>
      <c r="BU342"/>
      <c r="BV342"/>
      <c r="BW342"/>
      <c r="BX342"/>
      <c r="BY342"/>
      <c r="BZ342"/>
      <c r="CA342"/>
      <c r="CB342"/>
      <c r="CC342"/>
      <c r="CD342"/>
      <c r="CE342"/>
      <c r="CF342"/>
      <c r="CG342"/>
      <c r="CH342"/>
      <c r="CI342"/>
      <c r="CJ342"/>
      <c r="CK342"/>
    </row>
    <row r="343" spans="72:89" ht="16" hidden="1" x14ac:dyDescent="0.2">
      <c r="BT343"/>
      <c r="BU343"/>
      <c r="BV343"/>
      <c r="BW343"/>
      <c r="BX343"/>
      <c r="BY343"/>
      <c r="BZ343"/>
      <c r="CA343"/>
      <c r="CB343"/>
      <c r="CC343"/>
      <c r="CD343"/>
      <c r="CE343"/>
      <c r="CF343"/>
      <c r="CG343"/>
      <c r="CH343"/>
      <c r="CI343"/>
      <c r="CJ343"/>
      <c r="CK343"/>
    </row>
    <row r="344" spans="72:89" ht="16" hidden="1" x14ac:dyDescent="0.2">
      <c r="BT344"/>
      <c r="BU344"/>
      <c r="BV344"/>
      <c r="BW344"/>
      <c r="BX344"/>
      <c r="BY344"/>
      <c r="BZ344"/>
      <c r="CA344"/>
      <c r="CB344"/>
      <c r="CC344"/>
      <c r="CD344"/>
      <c r="CE344"/>
      <c r="CF344"/>
      <c r="CG344"/>
      <c r="CH344"/>
      <c r="CI344"/>
      <c r="CJ344"/>
      <c r="CK344"/>
    </row>
    <row r="345" spans="72:89" ht="16" hidden="1" x14ac:dyDescent="0.2">
      <c r="BT345"/>
      <c r="BU345"/>
      <c r="BV345"/>
      <c r="BW345"/>
      <c r="BX345"/>
      <c r="BY345"/>
      <c r="BZ345"/>
      <c r="CA345"/>
      <c r="CB345"/>
      <c r="CC345"/>
      <c r="CD345"/>
      <c r="CE345"/>
      <c r="CF345"/>
      <c r="CG345"/>
      <c r="CH345"/>
      <c r="CI345"/>
      <c r="CJ345"/>
      <c r="CK345"/>
    </row>
    <row r="346" spans="72:89" ht="16" hidden="1" x14ac:dyDescent="0.2">
      <c r="BT346"/>
      <c r="BU346"/>
      <c r="BV346"/>
      <c r="BW346"/>
      <c r="BX346"/>
      <c r="BY346"/>
      <c r="BZ346"/>
      <c r="CA346"/>
      <c r="CB346"/>
      <c r="CC346"/>
      <c r="CD346"/>
      <c r="CE346"/>
      <c r="CF346"/>
      <c r="CG346"/>
      <c r="CH346"/>
      <c r="CI346"/>
      <c r="CJ346"/>
      <c r="CK346"/>
    </row>
    <row r="347" spans="72:89" ht="16" hidden="1" x14ac:dyDescent="0.2">
      <c r="BT347"/>
      <c r="BU347"/>
      <c r="BV347"/>
      <c r="BW347"/>
      <c r="BX347"/>
      <c r="BY347"/>
      <c r="BZ347"/>
      <c r="CA347"/>
      <c r="CB347"/>
      <c r="CC347"/>
      <c r="CD347"/>
      <c r="CE347"/>
      <c r="CF347"/>
      <c r="CG347"/>
      <c r="CH347"/>
      <c r="CI347"/>
      <c r="CJ347"/>
      <c r="CK347"/>
    </row>
    <row r="348" spans="72:89" ht="16" hidden="1" x14ac:dyDescent="0.2">
      <c r="BT348"/>
      <c r="BU348"/>
      <c r="BV348"/>
      <c r="BW348"/>
      <c r="BX348"/>
      <c r="BY348"/>
      <c r="BZ348"/>
      <c r="CA348"/>
      <c r="CB348"/>
      <c r="CC348"/>
      <c r="CD348"/>
      <c r="CE348"/>
      <c r="CF348"/>
      <c r="CG348"/>
      <c r="CH348"/>
      <c r="CI348"/>
      <c r="CJ348"/>
      <c r="CK348"/>
    </row>
    <row r="349" spans="72:89" ht="16" hidden="1" x14ac:dyDescent="0.2">
      <c r="BT349"/>
      <c r="BU349"/>
      <c r="BV349"/>
      <c r="BW349"/>
      <c r="BX349"/>
      <c r="BY349"/>
      <c r="BZ349"/>
      <c r="CA349"/>
      <c r="CB349"/>
      <c r="CC349"/>
      <c r="CD349"/>
      <c r="CE349"/>
      <c r="CF349"/>
      <c r="CG349"/>
      <c r="CH349"/>
      <c r="CI349"/>
      <c r="CJ349"/>
      <c r="CK349"/>
    </row>
    <row r="350" spans="72:89" ht="16" hidden="1" x14ac:dyDescent="0.2">
      <c r="BT350"/>
      <c r="BU350"/>
      <c r="BV350"/>
      <c r="BW350"/>
      <c r="BX350"/>
      <c r="BY350"/>
      <c r="BZ350"/>
      <c r="CA350"/>
      <c r="CB350"/>
      <c r="CC350"/>
      <c r="CD350"/>
      <c r="CE350"/>
      <c r="CF350"/>
      <c r="CG350"/>
      <c r="CH350"/>
      <c r="CI350"/>
      <c r="CJ350"/>
      <c r="CK350"/>
    </row>
    <row r="351" spans="72:89" ht="16" hidden="1" x14ac:dyDescent="0.2">
      <c r="BT351"/>
      <c r="BU351"/>
      <c r="BV351"/>
      <c r="BW351"/>
      <c r="BX351"/>
      <c r="BY351"/>
      <c r="BZ351"/>
      <c r="CA351"/>
      <c r="CB351"/>
      <c r="CC351"/>
      <c r="CD351"/>
      <c r="CE351"/>
      <c r="CF351"/>
      <c r="CG351"/>
      <c r="CH351"/>
      <c r="CI351"/>
      <c r="CJ351"/>
      <c r="CK351"/>
    </row>
    <row r="352" spans="72:89" ht="16" hidden="1" x14ac:dyDescent="0.2">
      <c r="BT352"/>
      <c r="BU352"/>
      <c r="BV352"/>
      <c r="BW352"/>
      <c r="BX352"/>
      <c r="BY352"/>
      <c r="BZ352"/>
      <c r="CA352"/>
      <c r="CB352"/>
      <c r="CC352"/>
      <c r="CD352"/>
      <c r="CE352"/>
      <c r="CF352"/>
      <c r="CG352"/>
      <c r="CH352"/>
      <c r="CI352"/>
      <c r="CJ352"/>
      <c r="CK352"/>
    </row>
    <row r="353" spans="72:89" ht="16" hidden="1" x14ac:dyDescent="0.2">
      <c r="BT353"/>
      <c r="BU353"/>
      <c r="BV353"/>
      <c r="BW353"/>
      <c r="BX353"/>
      <c r="BY353"/>
      <c r="BZ353"/>
      <c r="CA353"/>
      <c r="CB353"/>
      <c r="CC353"/>
      <c r="CD353"/>
      <c r="CE353"/>
      <c r="CF353"/>
      <c r="CG353"/>
      <c r="CH353"/>
      <c r="CI353"/>
      <c r="CJ353"/>
      <c r="CK353"/>
    </row>
    <row r="354" spans="72:89" ht="16" hidden="1" x14ac:dyDescent="0.2">
      <c r="BT354"/>
      <c r="BU354"/>
      <c r="BV354"/>
      <c r="BW354"/>
      <c r="BX354"/>
      <c r="BY354"/>
      <c r="BZ354"/>
      <c r="CA354"/>
      <c r="CB354"/>
      <c r="CC354"/>
      <c r="CD354"/>
      <c r="CE354"/>
      <c r="CF354"/>
      <c r="CG354"/>
      <c r="CH354"/>
      <c r="CI354"/>
      <c r="CJ354"/>
      <c r="CK354"/>
    </row>
    <row r="355" spans="72:89" ht="16" hidden="1" x14ac:dyDescent="0.2">
      <c r="BT355"/>
      <c r="BU355"/>
      <c r="BV355"/>
      <c r="BW355"/>
      <c r="BX355"/>
      <c r="BY355"/>
      <c r="BZ355"/>
      <c r="CA355"/>
      <c r="CB355"/>
      <c r="CC355"/>
      <c r="CD355"/>
      <c r="CE355"/>
      <c r="CF355"/>
      <c r="CG355"/>
      <c r="CH355"/>
      <c r="CI355"/>
      <c r="CJ355"/>
      <c r="CK355"/>
    </row>
    <row r="356" spans="72:89" ht="16" hidden="1" x14ac:dyDescent="0.2">
      <c r="BT356"/>
      <c r="BU356"/>
      <c r="BV356"/>
      <c r="BW356"/>
      <c r="BX356"/>
      <c r="BY356"/>
      <c r="BZ356"/>
      <c r="CA356"/>
      <c r="CB356"/>
      <c r="CC356"/>
      <c r="CD356"/>
      <c r="CE356"/>
      <c r="CF356"/>
      <c r="CG356"/>
      <c r="CH356"/>
      <c r="CI356"/>
      <c r="CJ356"/>
      <c r="CK356"/>
    </row>
    <row r="357" spans="72:89" ht="16" hidden="1" x14ac:dyDescent="0.2">
      <c r="BT357"/>
      <c r="BU357"/>
      <c r="BV357"/>
      <c r="BW357"/>
      <c r="BX357"/>
      <c r="BY357"/>
      <c r="BZ357"/>
      <c r="CA357"/>
      <c r="CB357"/>
      <c r="CC357"/>
      <c r="CD357"/>
      <c r="CE357"/>
      <c r="CF357"/>
      <c r="CG357"/>
      <c r="CH357"/>
      <c r="CI357"/>
      <c r="CJ357"/>
      <c r="CK357"/>
    </row>
    <row r="358" spans="72:89" ht="16" hidden="1" x14ac:dyDescent="0.2">
      <c r="BT358"/>
      <c r="BU358"/>
      <c r="BV358"/>
      <c r="BW358"/>
      <c r="BX358"/>
      <c r="BY358"/>
      <c r="BZ358"/>
      <c r="CA358"/>
      <c r="CB358"/>
      <c r="CC358"/>
      <c r="CD358"/>
      <c r="CE358"/>
      <c r="CF358"/>
      <c r="CG358"/>
      <c r="CH358"/>
      <c r="CI358"/>
      <c r="CJ358"/>
      <c r="CK358"/>
    </row>
    <row r="359" spans="72:89" ht="16" hidden="1" x14ac:dyDescent="0.2">
      <c r="BT359"/>
      <c r="BU359"/>
      <c r="BV359"/>
      <c r="BW359"/>
      <c r="BX359"/>
      <c r="BY359"/>
      <c r="BZ359"/>
      <c r="CA359"/>
      <c r="CB359"/>
      <c r="CC359"/>
      <c r="CD359"/>
      <c r="CE359"/>
      <c r="CF359"/>
      <c r="CG359"/>
      <c r="CH359"/>
      <c r="CI359"/>
      <c r="CJ359"/>
      <c r="CK359"/>
    </row>
    <row r="360" spans="72:89" ht="16" hidden="1" x14ac:dyDescent="0.2">
      <c r="BT360"/>
      <c r="BU360"/>
      <c r="BV360"/>
      <c r="BW360"/>
      <c r="BX360"/>
      <c r="BY360"/>
      <c r="BZ360"/>
      <c r="CA360"/>
      <c r="CB360"/>
      <c r="CC360"/>
      <c r="CD360"/>
      <c r="CE360"/>
      <c r="CF360"/>
      <c r="CG360"/>
      <c r="CH360"/>
      <c r="CI360"/>
      <c r="CJ360"/>
      <c r="CK360"/>
    </row>
    <row r="361" spans="72:89" ht="16" hidden="1" x14ac:dyDescent="0.2">
      <c r="BT361"/>
      <c r="BU361"/>
      <c r="BV361"/>
      <c r="BW361"/>
      <c r="BX361"/>
      <c r="BY361"/>
      <c r="BZ361"/>
      <c r="CA361"/>
      <c r="CB361"/>
      <c r="CC361"/>
      <c r="CD361"/>
      <c r="CE361"/>
      <c r="CF361"/>
      <c r="CG361"/>
      <c r="CH361"/>
      <c r="CI361"/>
      <c r="CJ361"/>
      <c r="CK361"/>
    </row>
    <row r="362" spans="72:89" ht="16" hidden="1" x14ac:dyDescent="0.2">
      <c r="BT362"/>
      <c r="BU362"/>
      <c r="BV362"/>
      <c r="BW362"/>
      <c r="BX362"/>
      <c r="BY362"/>
      <c r="BZ362"/>
      <c r="CA362"/>
      <c r="CB362"/>
      <c r="CC362"/>
      <c r="CD362"/>
      <c r="CE362"/>
      <c r="CF362"/>
      <c r="CG362"/>
      <c r="CH362"/>
      <c r="CI362"/>
      <c r="CJ362"/>
      <c r="CK362"/>
    </row>
    <row r="363" spans="72:89" ht="16" hidden="1" x14ac:dyDescent="0.2">
      <c r="BT363"/>
      <c r="BU363"/>
      <c r="BV363"/>
      <c r="BW363"/>
      <c r="BX363"/>
      <c r="BY363"/>
      <c r="BZ363"/>
      <c r="CA363"/>
      <c r="CB363"/>
      <c r="CC363"/>
      <c r="CD363"/>
      <c r="CE363"/>
      <c r="CF363"/>
      <c r="CG363"/>
      <c r="CH363"/>
      <c r="CI363"/>
      <c r="CJ363"/>
      <c r="CK363"/>
    </row>
    <row r="364" spans="72:89" ht="16" hidden="1" x14ac:dyDescent="0.2">
      <c r="BT364"/>
      <c r="BU364"/>
      <c r="BV364"/>
      <c r="BW364"/>
      <c r="BX364"/>
      <c r="BY364"/>
      <c r="BZ364"/>
      <c r="CA364"/>
      <c r="CB364"/>
      <c r="CC364"/>
      <c r="CD364"/>
      <c r="CE364"/>
      <c r="CF364"/>
      <c r="CG364"/>
      <c r="CH364"/>
      <c r="CI364"/>
      <c r="CJ364"/>
      <c r="CK364"/>
    </row>
    <row r="365" spans="72:89" ht="16" hidden="1" x14ac:dyDescent="0.2">
      <c r="BT365"/>
      <c r="BU365"/>
      <c r="BV365"/>
      <c r="BW365"/>
      <c r="BX365"/>
      <c r="BY365"/>
      <c r="BZ365"/>
      <c r="CA365"/>
      <c r="CB365"/>
      <c r="CC365"/>
      <c r="CD365"/>
      <c r="CE365"/>
      <c r="CF365"/>
      <c r="CG365"/>
      <c r="CH365"/>
      <c r="CI365"/>
      <c r="CJ365"/>
      <c r="CK365"/>
    </row>
    <row r="366" spans="72:89" ht="16" hidden="1" x14ac:dyDescent="0.2">
      <c r="BT366"/>
      <c r="BU366"/>
      <c r="BV366"/>
      <c r="BW366"/>
      <c r="BX366"/>
      <c r="BY366"/>
      <c r="BZ366"/>
      <c r="CA366"/>
      <c r="CB366"/>
      <c r="CC366"/>
      <c r="CD366"/>
      <c r="CE366"/>
      <c r="CF366"/>
      <c r="CG366"/>
      <c r="CH366"/>
      <c r="CI366"/>
      <c r="CJ366"/>
      <c r="CK366"/>
    </row>
    <row r="367" spans="72:89" ht="16" hidden="1" x14ac:dyDescent="0.2">
      <c r="BT367"/>
      <c r="BU367"/>
      <c r="BV367"/>
      <c r="BW367"/>
      <c r="BX367"/>
      <c r="BY367"/>
      <c r="BZ367"/>
      <c r="CA367"/>
      <c r="CB367"/>
      <c r="CC367"/>
      <c r="CD367"/>
      <c r="CE367"/>
      <c r="CF367"/>
      <c r="CG367"/>
      <c r="CH367"/>
      <c r="CI367"/>
      <c r="CJ367"/>
      <c r="CK367"/>
    </row>
    <row r="368" spans="72:89" ht="16" hidden="1" x14ac:dyDescent="0.2">
      <c r="BT368"/>
      <c r="BU368"/>
      <c r="BV368"/>
      <c r="BW368"/>
      <c r="BX368"/>
      <c r="BY368"/>
      <c r="BZ368"/>
      <c r="CA368"/>
      <c r="CB368"/>
      <c r="CC368"/>
      <c r="CD368"/>
      <c r="CE368"/>
      <c r="CF368"/>
      <c r="CG368"/>
      <c r="CH368"/>
      <c r="CI368"/>
      <c r="CJ368"/>
      <c r="CK368"/>
    </row>
    <row r="369" spans="72:89" ht="16" hidden="1" x14ac:dyDescent="0.2">
      <c r="BT369"/>
      <c r="BU369"/>
      <c r="BV369"/>
      <c r="BW369"/>
      <c r="BX369"/>
      <c r="BY369"/>
      <c r="BZ369"/>
      <c r="CA369"/>
      <c r="CB369"/>
      <c r="CC369"/>
      <c r="CD369"/>
      <c r="CE369"/>
      <c r="CF369"/>
      <c r="CG369"/>
      <c r="CH369"/>
      <c r="CI369"/>
      <c r="CJ369"/>
      <c r="CK369"/>
    </row>
    <row r="370" spans="72:89" ht="16" hidden="1" x14ac:dyDescent="0.2">
      <c r="BT370"/>
      <c r="BU370"/>
      <c r="BV370"/>
      <c r="BW370"/>
      <c r="BX370"/>
      <c r="BY370"/>
      <c r="BZ370"/>
      <c r="CA370"/>
      <c r="CB370"/>
      <c r="CC370"/>
      <c r="CD370"/>
      <c r="CE370"/>
      <c r="CF370"/>
      <c r="CG370"/>
      <c r="CH370"/>
      <c r="CI370"/>
      <c r="CJ370"/>
      <c r="CK370"/>
    </row>
    <row r="371" spans="72:89" ht="16" hidden="1" x14ac:dyDescent="0.2">
      <c r="BT371"/>
      <c r="BU371"/>
      <c r="BV371"/>
      <c r="BW371"/>
      <c r="BX371"/>
      <c r="BY371"/>
      <c r="BZ371"/>
      <c r="CA371"/>
      <c r="CB371"/>
      <c r="CC371"/>
      <c r="CD371"/>
      <c r="CE371"/>
      <c r="CF371"/>
      <c r="CG371"/>
      <c r="CH371"/>
      <c r="CI371"/>
      <c r="CJ371"/>
      <c r="CK371"/>
    </row>
    <row r="372" spans="72:89" ht="16" hidden="1" x14ac:dyDescent="0.2">
      <c r="BT372"/>
      <c r="BU372"/>
      <c r="BV372"/>
      <c r="BW372"/>
      <c r="BX372"/>
      <c r="BY372"/>
      <c r="BZ372"/>
      <c r="CA372"/>
      <c r="CB372"/>
      <c r="CC372"/>
      <c r="CD372"/>
      <c r="CE372"/>
      <c r="CF372"/>
      <c r="CG372"/>
      <c r="CH372"/>
      <c r="CI372"/>
      <c r="CJ372"/>
      <c r="CK372"/>
    </row>
    <row r="373" spans="72:89" ht="16" hidden="1" x14ac:dyDescent="0.2">
      <c r="BT373"/>
      <c r="BU373"/>
      <c r="BV373"/>
      <c r="BW373"/>
      <c r="BX373"/>
      <c r="BY373"/>
      <c r="BZ373"/>
      <c r="CA373"/>
      <c r="CB373"/>
      <c r="CC373"/>
      <c r="CD373"/>
      <c r="CE373"/>
      <c r="CF373"/>
      <c r="CG373"/>
      <c r="CH373"/>
      <c r="CI373"/>
      <c r="CJ373"/>
      <c r="CK373"/>
    </row>
    <row r="374" spans="72:89" ht="16" hidden="1" x14ac:dyDescent="0.2">
      <c r="BT374"/>
      <c r="BU374"/>
      <c r="BV374"/>
      <c r="BW374"/>
      <c r="BX374"/>
      <c r="BY374"/>
      <c r="BZ374"/>
      <c r="CA374"/>
      <c r="CB374"/>
      <c r="CC374"/>
      <c r="CD374"/>
      <c r="CE374"/>
      <c r="CF374"/>
      <c r="CG374"/>
      <c r="CH374"/>
      <c r="CI374"/>
      <c r="CJ374"/>
      <c r="CK374"/>
    </row>
    <row r="375" spans="72:89" ht="16" hidden="1" x14ac:dyDescent="0.2">
      <c r="BT375"/>
      <c r="BU375"/>
      <c r="BV375"/>
      <c r="BW375"/>
      <c r="BX375"/>
      <c r="BY375"/>
      <c r="BZ375"/>
      <c r="CA375"/>
      <c r="CB375"/>
      <c r="CC375"/>
      <c r="CD375"/>
      <c r="CE375"/>
      <c r="CF375"/>
      <c r="CG375"/>
      <c r="CH375"/>
      <c r="CI375"/>
      <c r="CJ375"/>
      <c r="CK375"/>
    </row>
    <row r="376" spans="72:89" ht="16" hidden="1" x14ac:dyDescent="0.2">
      <c r="BT376"/>
      <c r="BU376"/>
      <c r="BV376"/>
      <c r="BW376"/>
      <c r="BX376"/>
      <c r="BY376"/>
      <c r="BZ376"/>
      <c r="CA376"/>
      <c r="CB376"/>
      <c r="CC376"/>
      <c r="CD376"/>
      <c r="CE376"/>
      <c r="CF376"/>
      <c r="CG376"/>
      <c r="CH376"/>
      <c r="CI376"/>
      <c r="CJ376"/>
      <c r="CK376"/>
    </row>
    <row r="377" spans="72:89" ht="16" hidden="1" x14ac:dyDescent="0.2">
      <c r="BT377"/>
      <c r="BU377"/>
      <c r="BV377"/>
      <c r="BW377"/>
      <c r="BX377"/>
      <c r="BY377"/>
      <c r="BZ377"/>
      <c r="CA377"/>
      <c r="CB377"/>
      <c r="CC377"/>
      <c r="CD377"/>
      <c r="CE377"/>
      <c r="CF377"/>
      <c r="CG377"/>
      <c r="CH377"/>
      <c r="CI377"/>
      <c r="CJ377"/>
      <c r="CK377"/>
    </row>
    <row r="378" spans="72:89" ht="16" hidden="1" x14ac:dyDescent="0.2">
      <c r="BT378"/>
      <c r="BU378"/>
      <c r="BV378"/>
      <c r="BW378"/>
      <c r="BX378"/>
      <c r="BY378"/>
      <c r="BZ378"/>
      <c r="CA378"/>
      <c r="CB378"/>
      <c r="CC378"/>
      <c r="CD378"/>
      <c r="CE378"/>
      <c r="CF378"/>
      <c r="CG378"/>
      <c r="CH378"/>
      <c r="CI378"/>
      <c r="CJ378"/>
      <c r="CK378"/>
    </row>
    <row r="379" spans="72:89" ht="16" hidden="1" x14ac:dyDescent="0.2">
      <c r="BT379"/>
      <c r="BU379"/>
      <c r="BV379"/>
      <c r="BW379"/>
      <c r="BX379"/>
      <c r="BY379"/>
      <c r="BZ379"/>
      <c r="CA379"/>
      <c r="CB379"/>
      <c r="CC379"/>
      <c r="CD379"/>
      <c r="CE379"/>
      <c r="CF379"/>
      <c r="CG379"/>
      <c r="CH379"/>
      <c r="CI379"/>
      <c r="CJ379"/>
      <c r="CK379"/>
    </row>
    <row r="380" spans="72:89" ht="16" hidden="1" x14ac:dyDescent="0.2">
      <c r="BT380"/>
      <c r="BU380"/>
      <c r="BV380"/>
      <c r="BW380"/>
      <c r="BX380"/>
      <c r="BY380"/>
      <c r="BZ380"/>
      <c r="CA380"/>
      <c r="CB380"/>
      <c r="CC380"/>
      <c r="CD380"/>
      <c r="CE380"/>
      <c r="CF380"/>
      <c r="CG380"/>
      <c r="CH380"/>
      <c r="CI380"/>
      <c r="CJ380"/>
      <c r="CK380"/>
    </row>
    <row r="381" spans="72:89" ht="16" hidden="1" x14ac:dyDescent="0.2">
      <c r="BT381"/>
      <c r="BU381"/>
      <c r="BV381"/>
      <c r="BW381"/>
      <c r="BX381"/>
      <c r="BY381"/>
      <c r="BZ381"/>
      <c r="CA381"/>
      <c r="CB381"/>
      <c r="CC381"/>
      <c r="CD381"/>
      <c r="CE381"/>
      <c r="CF381"/>
      <c r="CG381"/>
      <c r="CH381"/>
      <c r="CI381"/>
      <c r="CJ381"/>
      <c r="CK381"/>
    </row>
    <row r="382" spans="72:89" ht="16" hidden="1" x14ac:dyDescent="0.2">
      <c r="BT382"/>
      <c r="BU382"/>
      <c r="BV382"/>
      <c r="BW382"/>
      <c r="BX382"/>
      <c r="BY382"/>
      <c r="BZ382"/>
      <c r="CA382"/>
      <c r="CB382"/>
      <c r="CC382"/>
      <c r="CD382"/>
      <c r="CE382"/>
      <c r="CF382"/>
      <c r="CG382"/>
      <c r="CH382"/>
      <c r="CI382"/>
      <c r="CJ382"/>
      <c r="CK382"/>
    </row>
    <row r="383" spans="72:89" ht="16" hidden="1" x14ac:dyDescent="0.2">
      <c r="BT383"/>
      <c r="BU383"/>
      <c r="BV383"/>
      <c r="BW383"/>
      <c r="BX383"/>
      <c r="BY383"/>
      <c r="BZ383"/>
      <c r="CA383"/>
      <c r="CB383"/>
      <c r="CC383"/>
      <c r="CD383"/>
      <c r="CE383"/>
      <c r="CF383"/>
      <c r="CG383"/>
      <c r="CH383"/>
      <c r="CI383"/>
      <c r="CJ383"/>
      <c r="CK383"/>
    </row>
    <row r="384" spans="72:89" ht="16" hidden="1" x14ac:dyDescent="0.2">
      <c r="BT384"/>
      <c r="BU384"/>
      <c r="BV384"/>
      <c r="BW384"/>
      <c r="BX384"/>
      <c r="BY384"/>
      <c r="BZ384"/>
      <c r="CA384"/>
      <c r="CB384"/>
      <c r="CC384"/>
      <c r="CD384"/>
      <c r="CE384"/>
      <c r="CF384"/>
      <c r="CG384"/>
      <c r="CH384"/>
      <c r="CI384"/>
      <c r="CJ384"/>
      <c r="CK384"/>
    </row>
    <row r="385" spans="72:89" ht="16" hidden="1" x14ac:dyDescent="0.2">
      <c r="BT385"/>
      <c r="BU385"/>
      <c r="BV385"/>
      <c r="BW385"/>
      <c r="BX385"/>
      <c r="BY385"/>
      <c r="BZ385"/>
      <c r="CA385"/>
      <c r="CB385"/>
      <c r="CC385"/>
      <c r="CD385"/>
      <c r="CE385"/>
      <c r="CF385"/>
      <c r="CG385"/>
      <c r="CH385"/>
      <c r="CI385"/>
      <c r="CJ385"/>
      <c r="CK385"/>
    </row>
    <row r="386" spans="72:89" ht="16" hidden="1" x14ac:dyDescent="0.2">
      <c r="BT386"/>
      <c r="BU386"/>
      <c r="BV386"/>
      <c r="BW386"/>
      <c r="BX386"/>
      <c r="BY386"/>
      <c r="BZ386"/>
      <c r="CA386"/>
      <c r="CB386"/>
      <c r="CC386"/>
      <c r="CD386"/>
      <c r="CE386"/>
      <c r="CF386"/>
      <c r="CG386"/>
      <c r="CH386"/>
      <c r="CI386"/>
      <c r="CJ386"/>
      <c r="CK386"/>
    </row>
    <row r="387" spans="72:89" ht="16" hidden="1" x14ac:dyDescent="0.2">
      <c r="BT387"/>
      <c r="BU387"/>
      <c r="BV387"/>
      <c r="BW387"/>
      <c r="BX387"/>
      <c r="BY387"/>
      <c r="BZ387"/>
      <c r="CA387"/>
      <c r="CB387"/>
      <c r="CC387"/>
      <c r="CD387"/>
      <c r="CE387"/>
      <c r="CF387"/>
      <c r="CG387"/>
      <c r="CH387"/>
      <c r="CI387"/>
      <c r="CJ387"/>
      <c r="CK387"/>
    </row>
    <row r="388" spans="72:89" ht="16" hidden="1" x14ac:dyDescent="0.2">
      <c r="BT388"/>
      <c r="BU388"/>
      <c r="BV388"/>
      <c r="BW388"/>
      <c r="BX388"/>
      <c r="BY388"/>
      <c r="BZ388"/>
      <c r="CA388"/>
      <c r="CB388"/>
      <c r="CC388"/>
      <c r="CD388"/>
      <c r="CE388"/>
      <c r="CF388"/>
      <c r="CG388"/>
      <c r="CH388"/>
      <c r="CI388"/>
      <c r="CJ388"/>
      <c r="CK388"/>
    </row>
    <row r="389" spans="72:89" ht="16" hidden="1" x14ac:dyDescent="0.2">
      <c r="BT389"/>
      <c r="BU389"/>
      <c r="BV389"/>
      <c r="BW389"/>
      <c r="BX389"/>
      <c r="BY389"/>
      <c r="BZ389"/>
      <c r="CA389"/>
      <c r="CB389"/>
      <c r="CC389"/>
      <c r="CD389"/>
      <c r="CE389"/>
      <c r="CF389"/>
      <c r="CG389"/>
      <c r="CH389"/>
      <c r="CI389"/>
      <c r="CJ389"/>
      <c r="CK389"/>
    </row>
    <row r="390" spans="72:89" ht="16" hidden="1" x14ac:dyDescent="0.2">
      <c r="BT390"/>
      <c r="BU390"/>
      <c r="BV390"/>
      <c r="BW390"/>
      <c r="BX390"/>
      <c r="BY390"/>
      <c r="BZ390"/>
      <c r="CA390"/>
      <c r="CB390"/>
      <c r="CC390"/>
      <c r="CD390"/>
      <c r="CE390"/>
      <c r="CF390"/>
      <c r="CG390"/>
      <c r="CH390"/>
      <c r="CI390"/>
      <c r="CJ390"/>
      <c r="CK390"/>
    </row>
    <row r="391" spans="72:89" ht="16" hidden="1" x14ac:dyDescent="0.2">
      <c r="BT391"/>
      <c r="BU391"/>
      <c r="BV391"/>
      <c r="BW391"/>
      <c r="BX391"/>
      <c r="BY391"/>
      <c r="BZ391"/>
      <c r="CA391"/>
      <c r="CB391"/>
      <c r="CC391"/>
      <c r="CD391"/>
      <c r="CE391"/>
      <c r="CF391"/>
      <c r="CG391"/>
      <c r="CH391"/>
      <c r="CI391"/>
      <c r="CJ391"/>
      <c r="CK391"/>
    </row>
    <row r="392" spans="72:89" ht="16" hidden="1" x14ac:dyDescent="0.2">
      <c r="BT392"/>
      <c r="BU392"/>
      <c r="BV392"/>
      <c r="BW392"/>
      <c r="BX392"/>
      <c r="BY392"/>
      <c r="BZ392"/>
      <c r="CA392"/>
      <c r="CB392"/>
      <c r="CC392"/>
      <c r="CD392"/>
      <c r="CE392"/>
      <c r="CF392"/>
      <c r="CG392"/>
      <c r="CH392"/>
      <c r="CI392"/>
      <c r="CJ392"/>
      <c r="CK392"/>
    </row>
    <row r="393" spans="72:89" ht="16" hidden="1" x14ac:dyDescent="0.2">
      <c r="BT393"/>
      <c r="BU393"/>
      <c r="BV393"/>
      <c r="BW393"/>
      <c r="BX393"/>
      <c r="BY393"/>
      <c r="BZ393"/>
      <c r="CA393"/>
      <c r="CB393"/>
      <c r="CC393"/>
      <c r="CD393"/>
      <c r="CE393"/>
      <c r="CF393"/>
      <c r="CG393"/>
      <c r="CH393"/>
      <c r="CI393"/>
      <c r="CJ393"/>
      <c r="CK393"/>
    </row>
    <row r="394" spans="72:89" ht="16" hidden="1" x14ac:dyDescent="0.2">
      <c r="BT394"/>
      <c r="BU394"/>
      <c r="BV394"/>
      <c r="BW394"/>
      <c r="BX394"/>
      <c r="BY394"/>
      <c r="BZ394"/>
      <c r="CA394"/>
      <c r="CB394"/>
      <c r="CC394"/>
      <c r="CD394"/>
      <c r="CE394"/>
      <c r="CF394"/>
      <c r="CG394"/>
      <c r="CH394"/>
      <c r="CI394"/>
      <c r="CJ394"/>
      <c r="CK394"/>
    </row>
    <row r="395" spans="72:89" ht="16" hidden="1" x14ac:dyDescent="0.2">
      <c r="BT395"/>
      <c r="BU395"/>
      <c r="BV395"/>
      <c r="BW395"/>
      <c r="BX395"/>
      <c r="BY395"/>
      <c r="BZ395"/>
      <c r="CA395"/>
      <c r="CB395"/>
      <c r="CC395"/>
      <c r="CD395"/>
      <c r="CE395"/>
      <c r="CF395"/>
      <c r="CG395"/>
      <c r="CH395"/>
      <c r="CI395"/>
      <c r="CJ395"/>
      <c r="CK395"/>
    </row>
    <row r="396" spans="72:89" ht="16" hidden="1" x14ac:dyDescent="0.2">
      <c r="BT396"/>
      <c r="BU396"/>
      <c r="BV396"/>
      <c r="BW396"/>
      <c r="BX396"/>
      <c r="BY396"/>
      <c r="BZ396"/>
      <c r="CA396"/>
      <c r="CB396"/>
      <c r="CC396"/>
      <c r="CD396"/>
      <c r="CE396"/>
      <c r="CF396"/>
      <c r="CG396"/>
      <c r="CH396"/>
      <c r="CI396"/>
      <c r="CJ396"/>
      <c r="CK396"/>
    </row>
    <row r="397" spans="72:89" ht="16" hidden="1" x14ac:dyDescent="0.2">
      <c r="BT397"/>
      <c r="BU397"/>
      <c r="BV397"/>
      <c r="BW397"/>
      <c r="BX397"/>
      <c r="BY397"/>
      <c r="BZ397"/>
      <c r="CA397"/>
      <c r="CB397"/>
      <c r="CC397"/>
      <c r="CD397"/>
      <c r="CE397"/>
      <c r="CF397"/>
      <c r="CG397"/>
      <c r="CH397"/>
      <c r="CI397"/>
      <c r="CJ397"/>
      <c r="CK397"/>
    </row>
    <row r="398" spans="72:89" ht="16" hidden="1" x14ac:dyDescent="0.2">
      <c r="BT398"/>
      <c r="BU398"/>
      <c r="BV398"/>
      <c r="BW398"/>
      <c r="BX398"/>
      <c r="BY398"/>
      <c r="BZ398"/>
      <c r="CA398"/>
      <c r="CB398"/>
      <c r="CC398"/>
      <c r="CD398"/>
      <c r="CE398"/>
      <c r="CF398"/>
      <c r="CG398"/>
      <c r="CH398"/>
      <c r="CI398"/>
      <c r="CJ398"/>
      <c r="CK398"/>
    </row>
    <row r="399" spans="72:89" ht="16" hidden="1" x14ac:dyDescent="0.2">
      <c r="BT399"/>
      <c r="BU399"/>
      <c r="BV399"/>
      <c r="BW399"/>
      <c r="BX399"/>
      <c r="BY399"/>
      <c r="BZ399"/>
      <c r="CA399"/>
      <c r="CB399"/>
      <c r="CC399"/>
      <c r="CD399"/>
      <c r="CE399"/>
      <c r="CF399"/>
      <c r="CG399"/>
      <c r="CH399"/>
      <c r="CI399"/>
      <c r="CJ399"/>
      <c r="CK399"/>
    </row>
    <row r="400" spans="72:89" ht="16" hidden="1" x14ac:dyDescent="0.2">
      <c r="BT400"/>
      <c r="BU400"/>
      <c r="BV400"/>
      <c r="BW400"/>
      <c r="BX400"/>
      <c r="BY400"/>
      <c r="BZ400"/>
      <c r="CA400"/>
      <c r="CB400"/>
      <c r="CC400"/>
      <c r="CD400"/>
      <c r="CE400"/>
      <c r="CF400"/>
      <c r="CG400"/>
      <c r="CH400"/>
      <c r="CI400"/>
      <c r="CJ400"/>
      <c r="CK400"/>
    </row>
    <row r="401" spans="72:89" ht="16" hidden="1" x14ac:dyDescent="0.2">
      <c r="BT401"/>
      <c r="BU401"/>
      <c r="BV401"/>
      <c r="BW401"/>
      <c r="BX401"/>
      <c r="BY401"/>
      <c r="BZ401"/>
      <c r="CA401"/>
      <c r="CB401"/>
      <c r="CC401"/>
      <c r="CD401"/>
      <c r="CE401"/>
      <c r="CF401"/>
      <c r="CG401"/>
      <c r="CH401"/>
      <c r="CI401"/>
      <c r="CJ401"/>
      <c r="CK401"/>
    </row>
    <row r="402" spans="72:89" ht="16" hidden="1" x14ac:dyDescent="0.2">
      <c r="BT402"/>
      <c r="BU402"/>
      <c r="BV402"/>
      <c r="BW402"/>
      <c r="BX402"/>
      <c r="BY402"/>
      <c r="BZ402"/>
      <c r="CA402"/>
      <c r="CB402"/>
      <c r="CC402"/>
      <c r="CD402"/>
      <c r="CE402"/>
      <c r="CF402"/>
      <c r="CG402"/>
      <c r="CH402"/>
      <c r="CI402"/>
      <c r="CJ402"/>
      <c r="CK402"/>
    </row>
    <row r="403" spans="72:89" ht="16" hidden="1" x14ac:dyDescent="0.2">
      <c r="BT403"/>
      <c r="BU403"/>
      <c r="BV403"/>
      <c r="BW403"/>
      <c r="BX403"/>
      <c r="BY403"/>
      <c r="BZ403"/>
      <c r="CA403"/>
      <c r="CB403"/>
      <c r="CC403"/>
      <c r="CD403"/>
      <c r="CE403"/>
      <c r="CF403"/>
      <c r="CG403"/>
      <c r="CH403"/>
      <c r="CI403"/>
      <c r="CJ403"/>
      <c r="CK403"/>
    </row>
    <row r="404" spans="72:89" ht="16" hidden="1" x14ac:dyDescent="0.2">
      <c r="BT404"/>
      <c r="BU404"/>
      <c r="BV404"/>
      <c r="BW404"/>
      <c r="BX404"/>
      <c r="BY404"/>
      <c r="BZ404"/>
      <c r="CA404"/>
      <c r="CB404"/>
      <c r="CC404"/>
      <c r="CD404"/>
      <c r="CE404"/>
      <c r="CF404"/>
      <c r="CG404"/>
      <c r="CH404"/>
      <c r="CI404"/>
      <c r="CJ404"/>
      <c r="CK404"/>
    </row>
    <row r="405" spans="72:89" ht="16" hidden="1" x14ac:dyDescent="0.2">
      <c r="BT405"/>
      <c r="BU405"/>
      <c r="BV405"/>
      <c r="BW405"/>
      <c r="BX405"/>
      <c r="BY405"/>
      <c r="BZ405"/>
      <c r="CA405"/>
      <c r="CB405"/>
      <c r="CC405"/>
      <c r="CD405"/>
      <c r="CE405"/>
      <c r="CF405"/>
      <c r="CG405"/>
      <c r="CH405"/>
      <c r="CI405"/>
      <c r="CJ405"/>
      <c r="CK405"/>
    </row>
    <row r="406" spans="72:89" ht="16" hidden="1" x14ac:dyDescent="0.2">
      <c r="BT406"/>
      <c r="BU406"/>
      <c r="BV406"/>
      <c r="BW406"/>
      <c r="BX406"/>
      <c r="BY406"/>
      <c r="BZ406"/>
      <c r="CA406"/>
      <c r="CB406"/>
      <c r="CC406"/>
      <c r="CD406"/>
      <c r="CE406"/>
      <c r="CF406"/>
      <c r="CG406"/>
      <c r="CH406"/>
      <c r="CI406"/>
      <c r="CJ406"/>
      <c r="CK406"/>
    </row>
    <row r="407" spans="72:89" ht="16" hidden="1" x14ac:dyDescent="0.2">
      <c r="BT407"/>
      <c r="BU407"/>
      <c r="BV407"/>
      <c r="BW407"/>
      <c r="BX407"/>
      <c r="BY407"/>
      <c r="BZ407"/>
      <c r="CA407"/>
      <c r="CB407"/>
      <c r="CC407"/>
      <c r="CD407"/>
      <c r="CE407"/>
      <c r="CF407"/>
      <c r="CG407"/>
      <c r="CH407"/>
      <c r="CI407"/>
      <c r="CJ407"/>
      <c r="CK407"/>
    </row>
    <row r="408" spans="72:89" ht="16" hidden="1" x14ac:dyDescent="0.2">
      <c r="BT408"/>
      <c r="BU408"/>
      <c r="BV408"/>
      <c r="BW408"/>
      <c r="BX408"/>
      <c r="BY408"/>
      <c r="BZ408"/>
      <c r="CA408"/>
      <c r="CB408"/>
      <c r="CC408"/>
      <c r="CD408"/>
      <c r="CE408"/>
      <c r="CF408"/>
      <c r="CG408"/>
      <c r="CH408"/>
      <c r="CI408"/>
      <c r="CJ408"/>
      <c r="CK408"/>
    </row>
    <row r="409" spans="72:89" ht="16" hidden="1" x14ac:dyDescent="0.2">
      <c r="BT409"/>
      <c r="BU409"/>
      <c r="BV409"/>
      <c r="BW409"/>
      <c r="BX409"/>
      <c r="BY409"/>
      <c r="BZ409"/>
      <c r="CA409"/>
      <c r="CB409"/>
      <c r="CC409"/>
      <c r="CD409"/>
      <c r="CE409"/>
      <c r="CF409"/>
      <c r="CG409"/>
      <c r="CH409"/>
      <c r="CI409"/>
      <c r="CJ409"/>
      <c r="CK409"/>
    </row>
    <row r="410" spans="72:89" ht="16" hidden="1" x14ac:dyDescent="0.2">
      <c r="BT410"/>
      <c r="BU410"/>
      <c r="BV410"/>
      <c r="BW410"/>
      <c r="BX410"/>
      <c r="BY410"/>
      <c r="BZ410"/>
      <c r="CA410"/>
      <c r="CB410"/>
      <c r="CC410"/>
      <c r="CD410"/>
      <c r="CE410"/>
      <c r="CF410"/>
      <c r="CG410"/>
      <c r="CH410"/>
      <c r="CI410"/>
      <c r="CJ410"/>
      <c r="CK410"/>
    </row>
    <row r="411" spans="72:89" ht="16" hidden="1" x14ac:dyDescent="0.2">
      <c r="BT411"/>
      <c r="BU411"/>
      <c r="BV411"/>
      <c r="BW411"/>
      <c r="BX411"/>
      <c r="BY411"/>
      <c r="BZ411"/>
      <c r="CA411"/>
      <c r="CB411"/>
      <c r="CC411"/>
      <c r="CD411"/>
      <c r="CE411"/>
      <c r="CF411"/>
      <c r="CG411"/>
      <c r="CH411"/>
      <c r="CI411"/>
      <c r="CJ411"/>
      <c r="CK411"/>
    </row>
    <row r="412" spans="72:89" ht="16" hidden="1" x14ac:dyDescent="0.2">
      <c r="BT412"/>
      <c r="BU412"/>
      <c r="BV412"/>
      <c r="BW412"/>
      <c r="BX412"/>
      <c r="BY412"/>
      <c r="BZ412"/>
      <c r="CA412"/>
      <c r="CB412"/>
      <c r="CC412"/>
      <c r="CD412"/>
      <c r="CE412"/>
      <c r="CF412"/>
      <c r="CG412"/>
      <c r="CH412"/>
      <c r="CI412"/>
      <c r="CJ412"/>
      <c r="CK412"/>
    </row>
    <row r="413" spans="72:89" ht="16" hidden="1" x14ac:dyDescent="0.2">
      <c r="BT413"/>
      <c r="BU413"/>
      <c r="BV413"/>
      <c r="BW413"/>
      <c r="BX413"/>
      <c r="BY413"/>
      <c r="BZ413"/>
      <c r="CA413"/>
      <c r="CB413"/>
      <c r="CC413"/>
      <c r="CD413"/>
      <c r="CE413"/>
      <c r="CF413"/>
      <c r="CG413"/>
      <c r="CH413"/>
      <c r="CI413"/>
      <c r="CJ413"/>
      <c r="CK413"/>
    </row>
    <row r="414" spans="72:89" ht="16" hidden="1" x14ac:dyDescent="0.2">
      <c r="BT414"/>
      <c r="BU414"/>
      <c r="BV414"/>
      <c r="BW414"/>
      <c r="BX414"/>
      <c r="BY414"/>
      <c r="BZ414"/>
      <c r="CA414"/>
      <c r="CB414"/>
      <c r="CC414"/>
      <c r="CD414"/>
      <c r="CE414"/>
      <c r="CF414"/>
      <c r="CG414"/>
      <c r="CH414"/>
      <c r="CI414"/>
      <c r="CJ414"/>
      <c r="CK414"/>
    </row>
    <row r="415" spans="72:89" ht="16" hidden="1" x14ac:dyDescent="0.2">
      <c r="BT415"/>
      <c r="BU415"/>
      <c r="BV415"/>
      <c r="BW415"/>
      <c r="BX415"/>
      <c r="BY415"/>
      <c r="BZ415"/>
      <c r="CA415"/>
      <c r="CB415"/>
      <c r="CC415"/>
      <c r="CD415"/>
      <c r="CE415"/>
      <c r="CF415"/>
      <c r="CG415"/>
      <c r="CH415"/>
      <c r="CI415"/>
      <c r="CJ415"/>
      <c r="CK415"/>
    </row>
    <row r="416" spans="72:89" ht="16" hidden="1" x14ac:dyDescent="0.2">
      <c r="BT416"/>
      <c r="BU416"/>
      <c r="BV416"/>
      <c r="BW416"/>
      <c r="BX416"/>
      <c r="BY416"/>
      <c r="BZ416"/>
      <c r="CA416"/>
      <c r="CB416"/>
      <c r="CC416"/>
      <c r="CD416"/>
      <c r="CE416"/>
      <c r="CF416"/>
      <c r="CG416"/>
      <c r="CH416"/>
      <c r="CI416"/>
      <c r="CJ416"/>
      <c r="CK416"/>
    </row>
    <row r="417" spans="72:89" ht="16" hidden="1" x14ac:dyDescent="0.2">
      <c r="BT417"/>
      <c r="BU417"/>
      <c r="BV417"/>
      <c r="BW417"/>
      <c r="BX417"/>
      <c r="BY417"/>
      <c r="BZ417"/>
      <c r="CA417"/>
      <c r="CB417"/>
      <c r="CC417"/>
      <c r="CD417"/>
      <c r="CE417"/>
      <c r="CF417"/>
      <c r="CG417"/>
      <c r="CH417"/>
      <c r="CI417"/>
      <c r="CJ417"/>
      <c r="CK417"/>
    </row>
    <row r="418" spans="72:89" ht="16" hidden="1" x14ac:dyDescent="0.2">
      <c r="BT418"/>
      <c r="BU418"/>
      <c r="BV418"/>
      <c r="BW418"/>
      <c r="BX418"/>
      <c r="BY418"/>
      <c r="BZ418"/>
      <c r="CA418"/>
      <c r="CB418"/>
      <c r="CC418"/>
      <c r="CD418"/>
      <c r="CE418"/>
      <c r="CF418"/>
      <c r="CG418"/>
      <c r="CH418"/>
      <c r="CI418"/>
      <c r="CJ418"/>
      <c r="CK418"/>
    </row>
    <row r="419" spans="72:89" ht="16" hidden="1" x14ac:dyDescent="0.2">
      <c r="BT419"/>
      <c r="BU419"/>
      <c r="BV419"/>
      <c r="BW419"/>
      <c r="BX419"/>
      <c r="BY419"/>
      <c r="BZ419"/>
      <c r="CA419"/>
      <c r="CB419"/>
      <c r="CC419"/>
      <c r="CD419"/>
      <c r="CE419"/>
      <c r="CF419"/>
      <c r="CG419"/>
      <c r="CH419"/>
      <c r="CI419"/>
      <c r="CJ419"/>
      <c r="CK419"/>
    </row>
    <row r="420" spans="72:89" ht="16" hidden="1" x14ac:dyDescent="0.2">
      <c r="BT420"/>
      <c r="BU420"/>
      <c r="BV420"/>
      <c r="BW420"/>
      <c r="BX420"/>
      <c r="BY420"/>
      <c r="BZ420"/>
      <c r="CA420"/>
      <c r="CB420"/>
      <c r="CC420"/>
      <c r="CD420"/>
      <c r="CE420"/>
      <c r="CF420"/>
      <c r="CG420"/>
      <c r="CH420"/>
      <c r="CI420"/>
      <c r="CJ420"/>
      <c r="CK420"/>
    </row>
    <row r="421" spans="72:89" ht="16" hidden="1" x14ac:dyDescent="0.2">
      <c r="BT421"/>
      <c r="BU421"/>
      <c r="BV421"/>
      <c r="BW421"/>
      <c r="BX421"/>
      <c r="BY421"/>
      <c r="BZ421"/>
      <c r="CA421"/>
      <c r="CB421"/>
      <c r="CC421"/>
      <c r="CD421"/>
      <c r="CE421"/>
      <c r="CF421"/>
      <c r="CG421"/>
      <c r="CH421"/>
      <c r="CI421"/>
      <c r="CJ421"/>
      <c r="CK421"/>
    </row>
    <row r="422" spans="72:89" ht="16" hidden="1" x14ac:dyDescent="0.2">
      <c r="BT422"/>
      <c r="BU422"/>
      <c r="BV422"/>
      <c r="BW422"/>
      <c r="BX422"/>
      <c r="BY422"/>
      <c r="BZ422"/>
      <c r="CA422"/>
      <c r="CB422"/>
      <c r="CC422"/>
      <c r="CD422"/>
      <c r="CE422"/>
      <c r="CF422"/>
      <c r="CG422"/>
      <c r="CH422"/>
      <c r="CI422"/>
      <c r="CJ422"/>
      <c r="CK422"/>
    </row>
    <row r="423" spans="72:89" ht="16" hidden="1" x14ac:dyDescent="0.2">
      <c r="BT423"/>
      <c r="BU423"/>
      <c r="BV423"/>
      <c r="BW423"/>
      <c r="BX423"/>
      <c r="BY423"/>
      <c r="BZ423"/>
      <c r="CA423"/>
      <c r="CB423"/>
      <c r="CC423"/>
      <c r="CD423"/>
      <c r="CE423"/>
      <c r="CF423"/>
      <c r="CG423"/>
      <c r="CH423"/>
      <c r="CI423"/>
      <c r="CJ423"/>
      <c r="CK423"/>
    </row>
    <row r="424" spans="72:89" ht="16" hidden="1" x14ac:dyDescent="0.2">
      <c r="BT424"/>
      <c r="BU424"/>
      <c r="BV424"/>
      <c r="BW424"/>
      <c r="BX424"/>
      <c r="BY424"/>
      <c r="BZ424"/>
      <c r="CA424"/>
      <c r="CB424"/>
      <c r="CC424"/>
      <c r="CD424"/>
      <c r="CE424"/>
      <c r="CF424"/>
      <c r="CG424"/>
      <c r="CH424"/>
      <c r="CI424"/>
      <c r="CJ424"/>
      <c r="CK424"/>
    </row>
    <row r="425" spans="72:89" ht="16" hidden="1" x14ac:dyDescent="0.2">
      <c r="BT425"/>
      <c r="BU425"/>
      <c r="BV425"/>
      <c r="BW425"/>
      <c r="BX425"/>
      <c r="BY425"/>
      <c r="BZ425"/>
      <c r="CA425"/>
      <c r="CB425"/>
      <c r="CC425"/>
      <c r="CD425"/>
      <c r="CE425"/>
      <c r="CF425"/>
      <c r="CG425"/>
      <c r="CH425"/>
      <c r="CI425"/>
      <c r="CJ425"/>
      <c r="CK425"/>
    </row>
    <row r="426" spans="72:89" ht="16" hidden="1" x14ac:dyDescent="0.2">
      <c r="BT426"/>
      <c r="BU426"/>
      <c r="BV426"/>
      <c r="BW426"/>
      <c r="BX426"/>
      <c r="BY426"/>
      <c r="BZ426"/>
      <c r="CA426"/>
      <c r="CB426"/>
      <c r="CC426"/>
      <c r="CD426"/>
      <c r="CE426"/>
      <c r="CF426"/>
      <c r="CG426"/>
      <c r="CH426"/>
      <c r="CI426"/>
      <c r="CJ426"/>
      <c r="CK426"/>
    </row>
    <row r="427" spans="72:89" ht="16" hidden="1" x14ac:dyDescent="0.2">
      <c r="BT427"/>
      <c r="BU427"/>
      <c r="BV427"/>
      <c r="BW427"/>
      <c r="BX427"/>
      <c r="BY427"/>
      <c r="BZ427"/>
      <c r="CA427"/>
      <c r="CB427"/>
      <c r="CC427"/>
      <c r="CD427"/>
      <c r="CE427"/>
      <c r="CF427"/>
      <c r="CG427"/>
      <c r="CH427"/>
      <c r="CI427"/>
      <c r="CJ427"/>
      <c r="CK427"/>
    </row>
    <row r="428" spans="72:89" ht="16" hidden="1" x14ac:dyDescent="0.2">
      <c r="BT428"/>
      <c r="BU428"/>
      <c r="BV428"/>
      <c r="BW428"/>
      <c r="BX428"/>
      <c r="BY428"/>
      <c r="BZ428"/>
      <c r="CA428"/>
      <c r="CB428"/>
      <c r="CC428"/>
      <c r="CD428"/>
      <c r="CE428"/>
      <c r="CF428"/>
      <c r="CG428"/>
      <c r="CH428"/>
      <c r="CI428"/>
      <c r="CJ428"/>
      <c r="CK428"/>
    </row>
    <row r="429" spans="72:89" ht="16" hidden="1" x14ac:dyDescent="0.2">
      <c r="BT429"/>
      <c r="BU429"/>
      <c r="BV429"/>
      <c r="BW429"/>
      <c r="BX429"/>
      <c r="BY429"/>
      <c r="BZ429"/>
      <c r="CA429"/>
      <c r="CB429"/>
      <c r="CC429"/>
      <c r="CD429"/>
      <c r="CE429"/>
      <c r="CF429"/>
      <c r="CG429"/>
      <c r="CH429"/>
      <c r="CI429"/>
      <c r="CJ429"/>
      <c r="CK429"/>
    </row>
    <row r="430" spans="72:89" ht="16" hidden="1" x14ac:dyDescent="0.2">
      <c r="BT430"/>
      <c r="BU430"/>
      <c r="BV430"/>
      <c r="BW430"/>
      <c r="BX430"/>
      <c r="BY430"/>
      <c r="BZ430"/>
      <c r="CA430"/>
      <c r="CB430"/>
      <c r="CC430"/>
      <c r="CD430"/>
      <c r="CE430"/>
      <c r="CF430"/>
      <c r="CG430"/>
      <c r="CH430"/>
      <c r="CI430"/>
      <c r="CJ430"/>
      <c r="CK430"/>
    </row>
    <row r="431" spans="72:89" ht="16" hidden="1" x14ac:dyDescent="0.2">
      <c r="BT431"/>
      <c r="BU431"/>
      <c r="BV431"/>
      <c r="BW431"/>
      <c r="BX431"/>
      <c r="BY431"/>
      <c r="BZ431"/>
      <c r="CA431"/>
      <c r="CB431"/>
      <c r="CC431"/>
      <c r="CD431"/>
      <c r="CE431"/>
      <c r="CF431"/>
      <c r="CG431"/>
      <c r="CH431"/>
      <c r="CI431"/>
      <c r="CJ431"/>
      <c r="CK431"/>
    </row>
    <row r="432" spans="72:89" ht="16" hidden="1" x14ac:dyDescent="0.2">
      <c r="BT432"/>
      <c r="BU432"/>
      <c r="BV432"/>
      <c r="BW432"/>
      <c r="BX432"/>
      <c r="BY432"/>
      <c r="BZ432"/>
      <c r="CA432"/>
      <c r="CB432"/>
      <c r="CC432"/>
      <c r="CD432"/>
      <c r="CE432"/>
      <c r="CF432"/>
      <c r="CG432"/>
      <c r="CH432"/>
      <c r="CI432"/>
      <c r="CJ432"/>
      <c r="CK432"/>
    </row>
    <row r="433" spans="72:89" ht="16" hidden="1" x14ac:dyDescent="0.2">
      <c r="BT433"/>
      <c r="BU433"/>
      <c r="BV433"/>
      <c r="BW433"/>
      <c r="BX433"/>
      <c r="BY433"/>
      <c r="BZ433"/>
      <c r="CA433"/>
      <c r="CB433"/>
      <c r="CC433"/>
      <c r="CD433"/>
      <c r="CE433"/>
      <c r="CF433"/>
      <c r="CG433"/>
      <c r="CH433"/>
      <c r="CI433"/>
      <c r="CJ433"/>
      <c r="CK433"/>
    </row>
    <row r="434" spans="72:89" ht="16" hidden="1" x14ac:dyDescent="0.2">
      <c r="BT434"/>
      <c r="BU434"/>
      <c r="BV434"/>
      <c r="BW434"/>
      <c r="BX434"/>
      <c r="BY434"/>
      <c r="BZ434"/>
      <c r="CA434"/>
      <c r="CB434"/>
      <c r="CC434"/>
      <c r="CD434"/>
      <c r="CE434"/>
      <c r="CF434"/>
      <c r="CG434"/>
      <c r="CH434"/>
      <c r="CI434"/>
      <c r="CJ434"/>
      <c r="CK434"/>
    </row>
    <row r="435" spans="72:89" ht="16" hidden="1" x14ac:dyDescent="0.2">
      <c r="BT435"/>
      <c r="BU435"/>
      <c r="BV435"/>
      <c r="BW435"/>
      <c r="BX435"/>
      <c r="BY435"/>
      <c r="BZ435"/>
      <c r="CA435"/>
      <c r="CB435"/>
      <c r="CC435"/>
      <c r="CD435"/>
      <c r="CE435"/>
      <c r="CF435"/>
      <c r="CG435"/>
      <c r="CH435"/>
      <c r="CI435"/>
      <c r="CJ435"/>
      <c r="CK435"/>
    </row>
    <row r="436" spans="72:89" ht="16" hidden="1" x14ac:dyDescent="0.2">
      <c r="BT436"/>
      <c r="BU436"/>
      <c r="BV436"/>
      <c r="BW436"/>
      <c r="BX436"/>
      <c r="BY436"/>
      <c r="BZ436"/>
      <c r="CA436"/>
      <c r="CB436"/>
      <c r="CC436"/>
      <c r="CD436"/>
      <c r="CE436"/>
      <c r="CF436"/>
      <c r="CG436"/>
      <c r="CH436"/>
      <c r="CI436"/>
      <c r="CJ436"/>
      <c r="CK436"/>
    </row>
    <row r="437" spans="72:89" ht="16" hidden="1" x14ac:dyDescent="0.2">
      <c r="BT437"/>
      <c r="BU437"/>
      <c r="BV437"/>
      <c r="BW437"/>
      <c r="BX437"/>
      <c r="BY437"/>
      <c r="BZ437"/>
      <c r="CA437"/>
      <c r="CB437"/>
      <c r="CC437"/>
      <c r="CD437"/>
      <c r="CE437"/>
      <c r="CF437"/>
      <c r="CG437"/>
      <c r="CH437"/>
      <c r="CI437"/>
      <c r="CJ437"/>
      <c r="CK437"/>
    </row>
    <row r="438" spans="72:89" ht="16" hidden="1" x14ac:dyDescent="0.2">
      <c r="BT438"/>
      <c r="BU438"/>
      <c r="BV438"/>
      <c r="BW438"/>
      <c r="BX438"/>
      <c r="BY438"/>
      <c r="BZ438"/>
      <c r="CA438"/>
      <c r="CB438"/>
      <c r="CC438"/>
      <c r="CD438"/>
      <c r="CE438"/>
      <c r="CF438"/>
      <c r="CG438"/>
      <c r="CH438"/>
      <c r="CI438"/>
      <c r="CJ438"/>
      <c r="CK438"/>
    </row>
    <row r="439" spans="72:89" ht="16" hidden="1" x14ac:dyDescent="0.2">
      <c r="BT439"/>
      <c r="BU439"/>
      <c r="BV439"/>
      <c r="BW439"/>
      <c r="BX439"/>
      <c r="BY439"/>
      <c r="BZ439"/>
      <c r="CA439"/>
      <c r="CB439"/>
      <c r="CC439"/>
      <c r="CD439"/>
      <c r="CE439"/>
      <c r="CF439"/>
      <c r="CG439"/>
      <c r="CH439"/>
      <c r="CI439"/>
      <c r="CJ439"/>
      <c r="CK439"/>
    </row>
    <row r="440" spans="72:89" ht="16" hidden="1" x14ac:dyDescent="0.2">
      <c r="BT440"/>
      <c r="BU440"/>
      <c r="BV440"/>
      <c r="BW440"/>
      <c r="BX440"/>
      <c r="BY440"/>
      <c r="BZ440"/>
      <c r="CA440"/>
      <c r="CB440"/>
      <c r="CC440"/>
      <c r="CD440"/>
      <c r="CE440"/>
      <c r="CF440"/>
      <c r="CG440"/>
      <c r="CH440"/>
      <c r="CI440"/>
      <c r="CJ440"/>
      <c r="CK440"/>
    </row>
    <row r="441" spans="72:89" ht="16" hidden="1" x14ac:dyDescent="0.2">
      <c r="BT441"/>
      <c r="BU441"/>
      <c r="BV441"/>
      <c r="BW441"/>
      <c r="BX441"/>
      <c r="BY441"/>
      <c r="BZ441"/>
      <c r="CA441"/>
      <c r="CB441"/>
      <c r="CC441"/>
      <c r="CD441"/>
      <c r="CE441"/>
      <c r="CF441"/>
      <c r="CG441"/>
      <c r="CH441"/>
      <c r="CI441"/>
      <c r="CJ441"/>
      <c r="CK441"/>
    </row>
    <row r="442" spans="72:89" ht="16" hidden="1" x14ac:dyDescent="0.2">
      <c r="BT442"/>
      <c r="BU442"/>
      <c r="BV442"/>
      <c r="BW442"/>
      <c r="BX442"/>
      <c r="BY442"/>
      <c r="BZ442"/>
      <c r="CA442"/>
      <c r="CB442"/>
      <c r="CC442"/>
      <c r="CD442"/>
      <c r="CE442"/>
      <c r="CF442"/>
      <c r="CG442"/>
      <c r="CH442"/>
      <c r="CI442"/>
      <c r="CJ442"/>
      <c r="CK442"/>
    </row>
    <row r="443" spans="72:89" ht="16" hidden="1" x14ac:dyDescent="0.2">
      <c r="BT443"/>
      <c r="BU443"/>
      <c r="BV443"/>
      <c r="BW443"/>
      <c r="BX443"/>
      <c r="BY443"/>
      <c r="BZ443"/>
      <c r="CA443"/>
      <c r="CB443"/>
      <c r="CC443"/>
      <c r="CD443"/>
      <c r="CE443"/>
      <c r="CF443"/>
      <c r="CG443"/>
      <c r="CH443"/>
      <c r="CI443"/>
      <c r="CJ443"/>
      <c r="CK443"/>
    </row>
    <row r="444" spans="72:89" ht="16" hidden="1" x14ac:dyDescent="0.2">
      <c r="BT444"/>
      <c r="BU444"/>
      <c r="BV444"/>
      <c r="BW444"/>
      <c r="BX444"/>
      <c r="BY444"/>
      <c r="BZ444"/>
      <c r="CA444"/>
      <c r="CB444"/>
      <c r="CC444"/>
      <c r="CD444"/>
      <c r="CE444"/>
      <c r="CF444"/>
      <c r="CG444"/>
      <c r="CH444"/>
      <c r="CI444"/>
      <c r="CJ444"/>
      <c r="CK444"/>
    </row>
    <row r="445" spans="72:89" ht="16" hidden="1" x14ac:dyDescent="0.2">
      <c r="BT445"/>
      <c r="BU445"/>
      <c r="BV445"/>
      <c r="BW445"/>
      <c r="BX445"/>
      <c r="BY445"/>
      <c r="BZ445"/>
      <c r="CA445"/>
      <c r="CB445"/>
      <c r="CC445"/>
      <c r="CD445"/>
      <c r="CE445"/>
      <c r="CF445"/>
      <c r="CG445"/>
      <c r="CH445"/>
      <c r="CI445"/>
      <c r="CJ445"/>
      <c r="CK445"/>
    </row>
    <row r="446" spans="72:89" ht="16" hidden="1" x14ac:dyDescent="0.2">
      <c r="BT446"/>
      <c r="BU446"/>
      <c r="BV446"/>
      <c r="BW446"/>
      <c r="BX446"/>
      <c r="BY446"/>
      <c r="BZ446"/>
      <c r="CA446"/>
      <c r="CB446"/>
      <c r="CC446"/>
      <c r="CD446"/>
      <c r="CE446"/>
      <c r="CF446"/>
      <c r="CG446"/>
      <c r="CH446"/>
      <c r="CI446"/>
      <c r="CJ446"/>
      <c r="CK446"/>
    </row>
    <row r="447" spans="72:89" ht="16" hidden="1" x14ac:dyDescent="0.2">
      <c r="BT447"/>
      <c r="BU447"/>
      <c r="BV447"/>
      <c r="BW447"/>
      <c r="BX447"/>
      <c r="BY447"/>
      <c r="BZ447"/>
      <c r="CA447"/>
      <c r="CB447"/>
      <c r="CC447"/>
      <c r="CD447"/>
      <c r="CE447"/>
      <c r="CF447"/>
      <c r="CG447"/>
      <c r="CH447"/>
      <c r="CI447"/>
      <c r="CJ447"/>
      <c r="CK447"/>
    </row>
    <row r="448" spans="72:89" ht="16" hidden="1" x14ac:dyDescent="0.2">
      <c r="BT448"/>
      <c r="BU448"/>
      <c r="BV448"/>
      <c r="BW448"/>
      <c r="BX448"/>
      <c r="BY448"/>
      <c r="BZ448"/>
      <c r="CA448"/>
      <c r="CB448"/>
      <c r="CC448"/>
      <c r="CD448"/>
      <c r="CE448"/>
      <c r="CF448"/>
      <c r="CG448"/>
      <c r="CH448"/>
      <c r="CI448"/>
      <c r="CJ448"/>
      <c r="CK448"/>
    </row>
    <row r="449" spans="72:89" ht="16" hidden="1" x14ac:dyDescent="0.2">
      <c r="BT449"/>
      <c r="BU449"/>
      <c r="BV449"/>
      <c r="BW449"/>
      <c r="BX449"/>
      <c r="BY449"/>
      <c r="BZ449"/>
      <c r="CA449"/>
      <c r="CB449"/>
      <c r="CC449"/>
      <c r="CD449"/>
      <c r="CE449"/>
      <c r="CF449"/>
      <c r="CG449"/>
      <c r="CH449"/>
      <c r="CI449"/>
      <c r="CJ449"/>
      <c r="CK449"/>
    </row>
    <row r="450" spans="72:89" ht="16" hidden="1" x14ac:dyDescent="0.2">
      <c r="BT450"/>
      <c r="BU450"/>
      <c r="BV450"/>
      <c r="BW450"/>
      <c r="BX450"/>
      <c r="BY450"/>
      <c r="BZ450"/>
      <c r="CA450"/>
      <c r="CB450"/>
      <c r="CC450"/>
      <c r="CD450"/>
      <c r="CE450"/>
      <c r="CF450"/>
      <c r="CG450"/>
      <c r="CH450"/>
      <c r="CI450"/>
      <c r="CJ450"/>
      <c r="CK450"/>
    </row>
    <row r="451" spans="72:89" ht="16" hidden="1" x14ac:dyDescent="0.2">
      <c r="BT451"/>
      <c r="BU451"/>
      <c r="BV451"/>
      <c r="BW451"/>
      <c r="BX451"/>
      <c r="BY451"/>
      <c r="BZ451"/>
      <c r="CA451"/>
      <c r="CB451"/>
      <c r="CC451"/>
      <c r="CD451"/>
      <c r="CE451"/>
      <c r="CF451"/>
      <c r="CG451"/>
      <c r="CH451"/>
      <c r="CI451"/>
      <c r="CJ451"/>
      <c r="CK451"/>
    </row>
    <row r="452" spans="72:89" ht="16" hidden="1" x14ac:dyDescent="0.2">
      <c r="BT452"/>
      <c r="BU452"/>
      <c r="BV452"/>
      <c r="BW452"/>
      <c r="BX452"/>
      <c r="BY452"/>
      <c r="BZ452"/>
      <c r="CA452"/>
      <c r="CB452"/>
      <c r="CC452"/>
      <c r="CD452"/>
      <c r="CE452"/>
      <c r="CF452"/>
      <c r="CG452"/>
      <c r="CH452"/>
      <c r="CI452"/>
      <c r="CJ452"/>
      <c r="CK452"/>
    </row>
    <row r="453" spans="72:89" ht="16" hidden="1" x14ac:dyDescent="0.2">
      <c r="BT453"/>
      <c r="BU453"/>
      <c r="BV453"/>
      <c r="BW453"/>
      <c r="BX453"/>
      <c r="BY453"/>
      <c r="BZ453"/>
      <c r="CA453"/>
      <c r="CB453"/>
      <c r="CC453"/>
      <c r="CD453"/>
      <c r="CE453"/>
      <c r="CF453"/>
      <c r="CG453"/>
      <c r="CH453"/>
      <c r="CI453"/>
      <c r="CJ453"/>
      <c r="CK453"/>
    </row>
    <row r="454" spans="72:89" ht="16" hidden="1" x14ac:dyDescent="0.2">
      <c r="BT454"/>
      <c r="BU454"/>
      <c r="BV454"/>
      <c r="BW454"/>
      <c r="BX454"/>
      <c r="BY454"/>
      <c r="BZ454"/>
      <c r="CA454"/>
      <c r="CB454"/>
      <c r="CC454"/>
      <c r="CD454"/>
      <c r="CE454"/>
      <c r="CF454"/>
      <c r="CG454"/>
      <c r="CH454"/>
      <c r="CI454"/>
      <c r="CJ454"/>
      <c r="CK454"/>
    </row>
    <row r="455" spans="72:89" ht="16" hidden="1" x14ac:dyDescent="0.2">
      <c r="BT455"/>
      <c r="BU455"/>
      <c r="BV455"/>
      <c r="BW455"/>
      <c r="BX455"/>
      <c r="BY455"/>
      <c r="BZ455"/>
      <c r="CA455"/>
      <c r="CB455"/>
      <c r="CC455"/>
      <c r="CD455"/>
      <c r="CE455"/>
      <c r="CF455"/>
      <c r="CG455"/>
      <c r="CH455"/>
      <c r="CI455"/>
      <c r="CJ455"/>
      <c r="CK455"/>
    </row>
    <row r="456" spans="72:89" ht="16" hidden="1" x14ac:dyDescent="0.2">
      <c r="BT456"/>
      <c r="BU456"/>
      <c r="BV456"/>
      <c r="BW456"/>
      <c r="BX456"/>
      <c r="BY456"/>
      <c r="BZ456"/>
      <c r="CA456"/>
      <c r="CB456"/>
      <c r="CC456"/>
      <c r="CD456"/>
      <c r="CE456"/>
      <c r="CF456"/>
      <c r="CG456"/>
      <c r="CH456"/>
      <c r="CI456"/>
      <c r="CJ456"/>
      <c r="CK456"/>
    </row>
    <row r="457" spans="72:89" ht="16" hidden="1" x14ac:dyDescent="0.2">
      <c r="BT457"/>
      <c r="BU457"/>
      <c r="BV457"/>
      <c r="BW457"/>
      <c r="BX457"/>
      <c r="BY457"/>
      <c r="BZ457"/>
      <c r="CA457"/>
      <c r="CB457"/>
      <c r="CC457"/>
      <c r="CD457"/>
      <c r="CE457"/>
      <c r="CF457"/>
      <c r="CG457"/>
      <c r="CH457"/>
      <c r="CI457"/>
      <c r="CJ457"/>
      <c r="CK457"/>
    </row>
    <row r="458" spans="72:89" ht="16" hidden="1" x14ac:dyDescent="0.2">
      <c r="BT458"/>
      <c r="BU458"/>
      <c r="BV458"/>
      <c r="BW458"/>
      <c r="BX458"/>
      <c r="BY458"/>
      <c r="BZ458"/>
      <c r="CA458"/>
      <c r="CB458"/>
      <c r="CC458"/>
      <c r="CD458"/>
      <c r="CE458"/>
      <c r="CF458"/>
      <c r="CG458"/>
      <c r="CH458"/>
      <c r="CI458"/>
      <c r="CJ458"/>
      <c r="CK458"/>
    </row>
    <row r="459" spans="72:89" ht="16" hidden="1" x14ac:dyDescent="0.2">
      <c r="BT459"/>
      <c r="BU459"/>
      <c r="BV459"/>
      <c r="BW459"/>
      <c r="BX459"/>
      <c r="BY459"/>
      <c r="BZ459"/>
      <c r="CA459"/>
      <c r="CB459"/>
      <c r="CC459"/>
      <c r="CD459"/>
      <c r="CE459"/>
      <c r="CF459"/>
      <c r="CG459"/>
      <c r="CH459"/>
      <c r="CI459"/>
      <c r="CJ459"/>
      <c r="CK459"/>
    </row>
    <row r="460" spans="72:89" ht="16" hidden="1" x14ac:dyDescent="0.2">
      <c r="BT460"/>
      <c r="BU460"/>
      <c r="BV460"/>
      <c r="BW460"/>
      <c r="BX460"/>
      <c r="BY460"/>
      <c r="BZ460"/>
      <c r="CA460"/>
      <c r="CB460"/>
      <c r="CC460"/>
      <c r="CD460"/>
      <c r="CE460"/>
      <c r="CF460"/>
      <c r="CG460"/>
      <c r="CH460"/>
      <c r="CI460"/>
      <c r="CJ460"/>
      <c r="CK460"/>
    </row>
    <row r="461" spans="72:89" ht="16" hidden="1" x14ac:dyDescent="0.2">
      <c r="BT461"/>
      <c r="BU461"/>
      <c r="BV461"/>
      <c r="BW461"/>
      <c r="BX461"/>
      <c r="BY461"/>
      <c r="BZ461"/>
      <c r="CA461"/>
      <c r="CB461"/>
      <c r="CC461"/>
      <c r="CD461"/>
      <c r="CE461"/>
      <c r="CF461"/>
      <c r="CG461"/>
      <c r="CH461"/>
      <c r="CI461"/>
      <c r="CJ461"/>
      <c r="CK461"/>
    </row>
    <row r="462" spans="72:89" ht="16" hidden="1" x14ac:dyDescent="0.2">
      <c r="BT462"/>
      <c r="BU462"/>
      <c r="BV462"/>
      <c r="BW462"/>
      <c r="BX462"/>
      <c r="BY462"/>
      <c r="BZ462"/>
      <c r="CA462"/>
      <c r="CB462"/>
      <c r="CC462"/>
      <c r="CD462"/>
      <c r="CE462"/>
      <c r="CF462"/>
      <c r="CG462"/>
      <c r="CH462"/>
      <c r="CI462"/>
      <c r="CJ462"/>
      <c r="CK462"/>
    </row>
    <row r="463" spans="72:89" ht="16" hidden="1" x14ac:dyDescent="0.2">
      <c r="BT463"/>
      <c r="BU463"/>
      <c r="BV463"/>
      <c r="BW463"/>
      <c r="BX463"/>
      <c r="BY463"/>
      <c r="BZ463"/>
      <c r="CA463"/>
      <c r="CB463"/>
      <c r="CC463"/>
      <c r="CD463"/>
      <c r="CE463"/>
      <c r="CF463"/>
      <c r="CG463"/>
      <c r="CH463"/>
      <c r="CI463"/>
      <c r="CJ463"/>
      <c r="CK463"/>
    </row>
    <row r="464" spans="72:89" ht="16" hidden="1" x14ac:dyDescent="0.2">
      <c r="BT464"/>
      <c r="BU464"/>
      <c r="BV464"/>
      <c r="BW464"/>
      <c r="BX464"/>
      <c r="BY464"/>
      <c r="BZ464"/>
      <c r="CA464"/>
      <c r="CB464"/>
      <c r="CC464"/>
      <c r="CD464"/>
      <c r="CE464"/>
      <c r="CF464"/>
      <c r="CG464"/>
      <c r="CH464"/>
      <c r="CI464"/>
      <c r="CJ464"/>
      <c r="CK464"/>
    </row>
    <row r="465" spans="72:89" ht="16" hidden="1" x14ac:dyDescent="0.2">
      <c r="BT465"/>
      <c r="BU465"/>
      <c r="BV465"/>
      <c r="BW465"/>
      <c r="BX465"/>
      <c r="BY465"/>
      <c r="BZ465"/>
      <c r="CA465"/>
      <c r="CB465"/>
      <c r="CC465"/>
      <c r="CD465"/>
      <c r="CE465"/>
      <c r="CF465"/>
      <c r="CG465"/>
      <c r="CH465"/>
      <c r="CI465"/>
      <c r="CJ465"/>
      <c r="CK465"/>
    </row>
    <row r="466" spans="72:89" ht="16" hidden="1" x14ac:dyDescent="0.2">
      <c r="BT466"/>
      <c r="BU466"/>
      <c r="BV466"/>
      <c r="BW466"/>
      <c r="BX466"/>
      <c r="BY466"/>
      <c r="BZ466"/>
      <c r="CA466"/>
      <c r="CB466"/>
      <c r="CC466"/>
      <c r="CD466"/>
      <c r="CE466"/>
      <c r="CF466"/>
      <c r="CG466"/>
      <c r="CH466"/>
      <c r="CI466"/>
      <c r="CJ466"/>
      <c r="CK466"/>
    </row>
    <row r="467" spans="72:89" ht="16" hidden="1" x14ac:dyDescent="0.2">
      <c r="BT467"/>
      <c r="BU467"/>
      <c r="BV467"/>
      <c r="BW467"/>
      <c r="BX467"/>
      <c r="BY467"/>
      <c r="BZ467"/>
      <c r="CA467"/>
      <c r="CB467"/>
      <c r="CC467"/>
      <c r="CD467"/>
      <c r="CE467"/>
      <c r="CF467"/>
      <c r="CG467"/>
      <c r="CH467"/>
      <c r="CI467"/>
      <c r="CJ467"/>
      <c r="CK467"/>
    </row>
    <row r="468" spans="72:89" ht="16" hidden="1" x14ac:dyDescent="0.2">
      <c r="BT468"/>
      <c r="BU468"/>
      <c r="BV468"/>
      <c r="BW468"/>
      <c r="BX468"/>
      <c r="BY468"/>
      <c r="BZ468"/>
      <c r="CA468"/>
      <c r="CB468"/>
      <c r="CC468"/>
      <c r="CD468"/>
      <c r="CE468"/>
      <c r="CF468"/>
      <c r="CG468"/>
      <c r="CH468"/>
      <c r="CI468"/>
      <c r="CJ468"/>
      <c r="CK468"/>
    </row>
    <row r="469" spans="72:89" ht="16" hidden="1" x14ac:dyDescent="0.2">
      <c r="BT469"/>
      <c r="BU469"/>
      <c r="BV469"/>
      <c r="BW469"/>
      <c r="BX469"/>
      <c r="BY469"/>
      <c r="BZ469"/>
      <c r="CA469"/>
      <c r="CB469"/>
      <c r="CC469"/>
      <c r="CD469"/>
      <c r="CE469"/>
      <c r="CF469"/>
      <c r="CG469"/>
      <c r="CH469"/>
      <c r="CI469"/>
      <c r="CJ469"/>
      <c r="CK469"/>
    </row>
    <row r="470" spans="72:89" ht="16" hidden="1" x14ac:dyDescent="0.2">
      <c r="BT470"/>
      <c r="BU470"/>
      <c r="BV470"/>
      <c r="BW470"/>
      <c r="BX470"/>
      <c r="BY470"/>
      <c r="BZ470"/>
      <c r="CA470"/>
      <c r="CB470"/>
      <c r="CC470"/>
      <c r="CD470"/>
      <c r="CE470"/>
      <c r="CF470"/>
      <c r="CG470"/>
      <c r="CH470"/>
      <c r="CI470"/>
      <c r="CJ470"/>
      <c r="CK470"/>
    </row>
    <row r="471" spans="72:89" ht="16" hidden="1" x14ac:dyDescent="0.2">
      <c r="BT471"/>
      <c r="BU471"/>
      <c r="BV471"/>
      <c r="BW471"/>
      <c r="BX471"/>
      <c r="BY471"/>
      <c r="BZ471"/>
      <c r="CA471"/>
      <c r="CB471"/>
      <c r="CC471"/>
      <c r="CD471"/>
      <c r="CE471"/>
      <c r="CF471"/>
      <c r="CG471"/>
      <c r="CH471"/>
      <c r="CI471"/>
      <c r="CJ471"/>
      <c r="CK471"/>
    </row>
    <row r="472" spans="72:89" ht="16" hidden="1" x14ac:dyDescent="0.2">
      <c r="BT472"/>
      <c r="BU472"/>
      <c r="BV472"/>
      <c r="BW472"/>
      <c r="BX472"/>
      <c r="BY472"/>
      <c r="BZ472"/>
      <c r="CA472"/>
      <c r="CB472"/>
      <c r="CC472"/>
      <c r="CD472"/>
      <c r="CE472"/>
      <c r="CF472"/>
      <c r="CG472"/>
      <c r="CH472"/>
      <c r="CI472"/>
      <c r="CJ472"/>
      <c r="CK472"/>
    </row>
    <row r="473" spans="72:89" ht="16" hidden="1" x14ac:dyDescent="0.2">
      <c r="BT473"/>
      <c r="BU473"/>
      <c r="BV473"/>
      <c r="BW473"/>
      <c r="BX473"/>
      <c r="BY473"/>
      <c r="BZ473"/>
      <c r="CA473"/>
      <c r="CB473"/>
      <c r="CC473"/>
      <c r="CD473"/>
      <c r="CE473"/>
      <c r="CF473"/>
      <c r="CG473"/>
      <c r="CH473"/>
      <c r="CI473"/>
      <c r="CJ473"/>
      <c r="CK473"/>
    </row>
    <row r="474" spans="72:89" ht="16" hidden="1" x14ac:dyDescent="0.2">
      <c r="BT474"/>
      <c r="BU474"/>
      <c r="BV474"/>
      <c r="BW474"/>
      <c r="BX474"/>
      <c r="BY474"/>
      <c r="BZ474"/>
      <c r="CA474"/>
      <c r="CB474"/>
      <c r="CC474"/>
      <c r="CD474"/>
      <c r="CE474"/>
      <c r="CF474"/>
      <c r="CG474"/>
      <c r="CH474"/>
      <c r="CI474"/>
      <c r="CJ474"/>
      <c r="CK474"/>
    </row>
    <row r="475" spans="72:89" ht="16" hidden="1" x14ac:dyDescent="0.2">
      <c r="BT475"/>
      <c r="BU475"/>
      <c r="BV475"/>
      <c r="BW475"/>
      <c r="BX475"/>
      <c r="BY475"/>
      <c r="BZ475"/>
      <c r="CA475"/>
      <c r="CB475"/>
      <c r="CC475"/>
      <c r="CD475"/>
      <c r="CE475"/>
      <c r="CF475"/>
      <c r="CG475"/>
      <c r="CH475"/>
      <c r="CI475"/>
      <c r="CJ475"/>
      <c r="CK475"/>
    </row>
    <row r="476" spans="72:89" ht="16" hidden="1" x14ac:dyDescent="0.2">
      <c r="BT476"/>
      <c r="BU476"/>
      <c r="BV476"/>
      <c r="BW476"/>
      <c r="BX476"/>
      <c r="BY476"/>
      <c r="BZ476"/>
      <c r="CA476"/>
      <c r="CB476"/>
      <c r="CC476"/>
      <c r="CD476"/>
      <c r="CE476"/>
      <c r="CF476"/>
      <c r="CG476"/>
      <c r="CH476"/>
      <c r="CI476"/>
      <c r="CJ476"/>
      <c r="CK476"/>
    </row>
    <row r="477" spans="72:89" ht="16" hidden="1" x14ac:dyDescent="0.2">
      <c r="BT477"/>
      <c r="BU477"/>
      <c r="BV477"/>
      <c r="BW477"/>
      <c r="BX477"/>
      <c r="BY477"/>
      <c r="BZ477"/>
      <c r="CA477"/>
      <c r="CB477"/>
      <c r="CC477"/>
      <c r="CD477"/>
      <c r="CE477"/>
      <c r="CF477"/>
      <c r="CG477"/>
      <c r="CH477"/>
      <c r="CI477"/>
      <c r="CJ477"/>
      <c r="CK477"/>
    </row>
    <row r="478" spans="72:89" ht="16" hidden="1" x14ac:dyDescent="0.2">
      <c r="BT478"/>
      <c r="BU478"/>
      <c r="BV478"/>
      <c r="BW478"/>
      <c r="BX478"/>
      <c r="BY478"/>
      <c r="BZ478"/>
      <c r="CA478"/>
      <c r="CB478"/>
      <c r="CC478"/>
      <c r="CD478"/>
      <c r="CE478"/>
      <c r="CF478"/>
      <c r="CG478"/>
      <c r="CH478"/>
      <c r="CI478"/>
      <c r="CJ478"/>
      <c r="CK478"/>
    </row>
    <row r="479" spans="72:89" ht="16" hidden="1" x14ac:dyDescent="0.2">
      <c r="BT479"/>
      <c r="BU479"/>
      <c r="BV479"/>
      <c r="BW479"/>
      <c r="BX479"/>
      <c r="BY479"/>
      <c r="BZ479"/>
      <c r="CA479"/>
      <c r="CB479"/>
      <c r="CC479"/>
      <c r="CD479"/>
      <c r="CE479"/>
      <c r="CF479"/>
      <c r="CG479"/>
      <c r="CH479"/>
      <c r="CI479"/>
      <c r="CJ479"/>
      <c r="CK479"/>
    </row>
    <row r="480" spans="72:89" ht="16" hidden="1" x14ac:dyDescent="0.2">
      <c r="BT480"/>
      <c r="BU480"/>
      <c r="BV480"/>
      <c r="BW480"/>
      <c r="BX480"/>
      <c r="BY480"/>
      <c r="BZ480"/>
      <c r="CA480"/>
      <c r="CB480"/>
      <c r="CC480"/>
      <c r="CD480"/>
      <c r="CE480"/>
      <c r="CF480"/>
      <c r="CG480"/>
      <c r="CH480"/>
      <c r="CI480"/>
      <c r="CJ480"/>
      <c r="CK480"/>
    </row>
    <row r="481" spans="72:89" ht="16" hidden="1" x14ac:dyDescent="0.2">
      <c r="BT481"/>
      <c r="BU481"/>
      <c r="BV481"/>
      <c r="BW481"/>
      <c r="BX481"/>
      <c r="BY481"/>
      <c r="BZ481"/>
      <c r="CA481"/>
      <c r="CB481"/>
      <c r="CC481"/>
      <c r="CD481"/>
      <c r="CE481"/>
      <c r="CF481"/>
      <c r="CG481"/>
      <c r="CH481"/>
      <c r="CI481"/>
      <c r="CJ481"/>
      <c r="CK481"/>
    </row>
    <row r="482" spans="72:89" ht="16" hidden="1" x14ac:dyDescent="0.2">
      <c r="BT482"/>
      <c r="BU482"/>
      <c r="BV482"/>
      <c r="BW482"/>
      <c r="BX482"/>
      <c r="BY482"/>
      <c r="BZ482"/>
      <c r="CA482"/>
      <c r="CB482"/>
      <c r="CC482"/>
      <c r="CD482"/>
      <c r="CE482"/>
      <c r="CF482"/>
      <c r="CG482"/>
      <c r="CH482"/>
      <c r="CI482"/>
      <c r="CJ482"/>
      <c r="CK482"/>
    </row>
    <row r="483" spans="72:89" ht="16" hidden="1" x14ac:dyDescent="0.2">
      <c r="BT483"/>
      <c r="BU483"/>
      <c r="BV483"/>
      <c r="BW483"/>
      <c r="BX483"/>
      <c r="BY483"/>
      <c r="BZ483"/>
      <c r="CA483"/>
      <c r="CB483"/>
      <c r="CC483"/>
      <c r="CD483"/>
      <c r="CE483"/>
      <c r="CF483"/>
      <c r="CG483"/>
      <c r="CH483"/>
      <c r="CI483"/>
      <c r="CJ483"/>
      <c r="CK483"/>
    </row>
    <row r="484" spans="72:89" ht="16" hidden="1" x14ac:dyDescent="0.2">
      <c r="BT484"/>
      <c r="BU484"/>
      <c r="BV484"/>
      <c r="BW484"/>
      <c r="BX484"/>
      <c r="BY484"/>
      <c r="BZ484"/>
      <c r="CA484"/>
      <c r="CB484"/>
      <c r="CC484"/>
      <c r="CD484"/>
      <c r="CE484"/>
      <c r="CF484"/>
      <c r="CG484"/>
      <c r="CH484"/>
      <c r="CI484"/>
      <c r="CJ484"/>
      <c r="CK484"/>
    </row>
    <row r="485" spans="72:89" ht="16" hidden="1" x14ac:dyDescent="0.2">
      <c r="BT485"/>
      <c r="BU485"/>
      <c r="BV485"/>
      <c r="BW485"/>
      <c r="BX485"/>
      <c r="BY485"/>
      <c r="BZ485"/>
      <c r="CA485"/>
      <c r="CB485"/>
      <c r="CC485"/>
      <c r="CD485"/>
      <c r="CE485"/>
      <c r="CF485"/>
      <c r="CG485"/>
      <c r="CH485"/>
      <c r="CI485"/>
      <c r="CJ485"/>
      <c r="CK485"/>
    </row>
    <row r="486" spans="72:89" ht="16" hidden="1" x14ac:dyDescent="0.2">
      <c r="BT486"/>
      <c r="BU486"/>
      <c r="BV486"/>
      <c r="BW486"/>
      <c r="BX486"/>
      <c r="BY486"/>
      <c r="BZ486"/>
      <c r="CA486"/>
      <c r="CB486"/>
      <c r="CC486"/>
      <c r="CD486"/>
      <c r="CE486"/>
      <c r="CF486"/>
      <c r="CG486"/>
      <c r="CH486"/>
      <c r="CI486"/>
      <c r="CJ486"/>
      <c r="CK486"/>
    </row>
    <row r="487" spans="72:89" ht="16" hidden="1" x14ac:dyDescent="0.2">
      <c r="BT487"/>
      <c r="BU487"/>
      <c r="BV487"/>
      <c r="BW487"/>
      <c r="BX487"/>
      <c r="BY487"/>
      <c r="BZ487"/>
      <c r="CA487"/>
      <c r="CB487"/>
      <c r="CC487"/>
      <c r="CD487"/>
      <c r="CE487"/>
      <c r="CF487"/>
      <c r="CG487"/>
      <c r="CH487"/>
      <c r="CI487"/>
      <c r="CJ487"/>
      <c r="CK487"/>
    </row>
    <row r="488" spans="72:89" ht="16" hidden="1" x14ac:dyDescent="0.2">
      <c r="BT488"/>
      <c r="BU488"/>
      <c r="BV488"/>
      <c r="BW488"/>
      <c r="BX488"/>
      <c r="BY488"/>
      <c r="BZ488"/>
      <c r="CA488"/>
      <c r="CB488"/>
      <c r="CC488"/>
      <c r="CD488"/>
      <c r="CE488"/>
      <c r="CF488"/>
      <c r="CG488"/>
      <c r="CH488"/>
      <c r="CI488"/>
      <c r="CJ488"/>
      <c r="CK488"/>
    </row>
    <row r="489" spans="72:89" ht="16" hidden="1" x14ac:dyDescent="0.2">
      <c r="BT489"/>
      <c r="BU489"/>
      <c r="BV489"/>
      <c r="BW489"/>
      <c r="BX489"/>
      <c r="BY489"/>
      <c r="BZ489"/>
      <c r="CA489"/>
      <c r="CB489"/>
      <c r="CC489"/>
      <c r="CD489"/>
      <c r="CE489"/>
      <c r="CF489"/>
      <c r="CG489"/>
      <c r="CH489"/>
      <c r="CI489"/>
      <c r="CJ489"/>
      <c r="CK489"/>
    </row>
    <row r="490" spans="72:89" ht="16" hidden="1" x14ac:dyDescent="0.2">
      <c r="BT490"/>
      <c r="BU490"/>
      <c r="BV490"/>
      <c r="BW490"/>
      <c r="BX490"/>
      <c r="BY490"/>
      <c r="BZ490"/>
      <c r="CA490"/>
      <c r="CB490"/>
      <c r="CC490"/>
      <c r="CD490"/>
      <c r="CE490"/>
      <c r="CF490"/>
      <c r="CG490"/>
      <c r="CH490"/>
      <c r="CI490"/>
      <c r="CJ490"/>
      <c r="CK490"/>
    </row>
    <row r="491" spans="72:89" ht="16" hidden="1" x14ac:dyDescent="0.2">
      <c r="BT491"/>
      <c r="BU491"/>
      <c r="BV491"/>
      <c r="BW491"/>
      <c r="BX491"/>
      <c r="BY491"/>
      <c r="BZ491"/>
      <c r="CA491"/>
      <c r="CB491"/>
      <c r="CC491"/>
      <c r="CD491"/>
      <c r="CE491"/>
      <c r="CF491"/>
      <c r="CG491"/>
      <c r="CH491"/>
      <c r="CI491"/>
      <c r="CJ491"/>
      <c r="CK491"/>
    </row>
    <row r="492" spans="72:89" ht="16" hidden="1" x14ac:dyDescent="0.2">
      <c r="BT492"/>
      <c r="BU492"/>
      <c r="BV492"/>
      <c r="BW492"/>
      <c r="BX492"/>
      <c r="BY492"/>
      <c r="BZ492"/>
      <c r="CA492"/>
      <c r="CB492"/>
      <c r="CC492"/>
      <c r="CD492"/>
      <c r="CE492"/>
      <c r="CF492"/>
      <c r="CG492"/>
      <c r="CH492"/>
      <c r="CI492"/>
      <c r="CJ492"/>
      <c r="CK492"/>
    </row>
    <row r="493" spans="72:89" ht="16" hidden="1" x14ac:dyDescent="0.2">
      <c r="BT493"/>
      <c r="BU493"/>
      <c r="BV493"/>
      <c r="BW493"/>
      <c r="BX493"/>
      <c r="BY493"/>
      <c r="BZ493"/>
      <c r="CA493"/>
      <c r="CB493"/>
      <c r="CC493"/>
      <c r="CD493"/>
      <c r="CE493"/>
      <c r="CF493"/>
      <c r="CG493"/>
      <c r="CH493"/>
      <c r="CI493"/>
      <c r="CJ493"/>
      <c r="CK493"/>
    </row>
    <row r="494" spans="72:89" ht="16" hidden="1" x14ac:dyDescent="0.2">
      <c r="BT494"/>
      <c r="BU494"/>
      <c r="BV494"/>
      <c r="BW494"/>
      <c r="BX494"/>
      <c r="BY494"/>
      <c r="BZ494"/>
      <c r="CA494"/>
      <c r="CB494"/>
      <c r="CC494"/>
      <c r="CD494"/>
      <c r="CE494"/>
      <c r="CF494"/>
      <c r="CG494"/>
      <c r="CH494"/>
      <c r="CI494"/>
      <c r="CJ494"/>
      <c r="CK494"/>
    </row>
    <row r="495" spans="72:89" ht="16" hidden="1" x14ac:dyDescent="0.2">
      <c r="BT495"/>
      <c r="BU495"/>
      <c r="BV495"/>
      <c r="BW495"/>
      <c r="BX495"/>
      <c r="BY495"/>
      <c r="BZ495"/>
      <c r="CA495"/>
      <c r="CB495"/>
      <c r="CC495"/>
      <c r="CD495"/>
      <c r="CE495"/>
      <c r="CF495"/>
      <c r="CG495"/>
      <c r="CH495"/>
      <c r="CI495"/>
      <c r="CJ495"/>
      <c r="CK495"/>
    </row>
    <row r="496" spans="72:89" ht="16" hidden="1" x14ac:dyDescent="0.2">
      <c r="BT496"/>
      <c r="BU496"/>
      <c r="BV496"/>
      <c r="BW496"/>
      <c r="BX496"/>
      <c r="BY496"/>
      <c r="BZ496"/>
      <c r="CA496"/>
      <c r="CB496"/>
      <c r="CC496"/>
      <c r="CD496"/>
      <c r="CE496"/>
      <c r="CF496"/>
      <c r="CG496"/>
      <c r="CH496"/>
      <c r="CI496"/>
      <c r="CJ496"/>
      <c r="CK496"/>
    </row>
    <row r="497" spans="72:89" ht="16" hidden="1" x14ac:dyDescent="0.2">
      <c r="BT497"/>
      <c r="BU497"/>
      <c r="BV497"/>
      <c r="BW497"/>
      <c r="BX497"/>
      <c r="BY497"/>
      <c r="BZ497"/>
      <c r="CA497"/>
      <c r="CB497"/>
      <c r="CC497"/>
      <c r="CD497"/>
      <c r="CE497"/>
      <c r="CF497"/>
      <c r="CG497"/>
      <c r="CH497"/>
      <c r="CI497"/>
      <c r="CJ497"/>
      <c r="CK497"/>
    </row>
    <row r="498" spans="72:89" ht="16" hidden="1" x14ac:dyDescent="0.2">
      <c r="BT498"/>
      <c r="BU498"/>
      <c r="BV498"/>
      <c r="BW498"/>
      <c r="BX498"/>
      <c r="BY498"/>
      <c r="BZ498"/>
      <c r="CA498"/>
      <c r="CB498"/>
      <c r="CC498"/>
      <c r="CD498"/>
      <c r="CE498"/>
      <c r="CF498"/>
      <c r="CG498"/>
      <c r="CH498"/>
      <c r="CI498"/>
      <c r="CJ498"/>
      <c r="CK498"/>
    </row>
    <row r="499" spans="72:89" ht="16" hidden="1" x14ac:dyDescent="0.2">
      <c r="BT499"/>
      <c r="BU499"/>
      <c r="BV499"/>
      <c r="BW499"/>
      <c r="BX499"/>
      <c r="BY499"/>
      <c r="BZ499"/>
      <c r="CA499"/>
      <c r="CB499"/>
      <c r="CC499"/>
      <c r="CD499"/>
      <c r="CE499"/>
      <c r="CF499"/>
      <c r="CG499"/>
      <c r="CH499"/>
      <c r="CI499"/>
      <c r="CJ499"/>
      <c r="CK499"/>
    </row>
    <row r="500" spans="72:89" ht="16" hidden="1" x14ac:dyDescent="0.2">
      <c r="BT500"/>
      <c r="BU500"/>
      <c r="BV500"/>
      <c r="BW500"/>
      <c r="BX500"/>
      <c r="BY500"/>
      <c r="BZ500"/>
      <c r="CA500"/>
      <c r="CB500"/>
      <c r="CC500"/>
      <c r="CD500"/>
      <c r="CE500"/>
      <c r="CF500"/>
      <c r="CG500"/>
      <c r="CH500"/>
      <c r="CI500"/>
      <c r="CJ500"/>
      <c r="CK500"/>
    </row>
    <row r="501" spans="72:89" ht="16" hidden="1" x14ac:dyDescent="0.2">
      <c r="BT501"/>
      <c r="BU501"/>
      <c r="BV501"/>
      <c r="BW501"/>
      <c r="BX501"/>
      <c r="BY501"/>
      <c r="BZ501"/>
      <c r="CA501"/>
      <c r="CB501"/>
      <c r="CC501"/>
      <c r="CD501"/>
      <c r="CE501"/>
      <c r="CF501"/>
      <c r="CG501"/>
      <c r="CH501"/>
      <c r="CI501"/>
      <c r="CJ501"/>
      <c r="CK501"/>
    </row>
    <row r="502" spans="72:89" ht="16" hidden="1" x14ac:dyDescent="0.2">
      <c r="BT502"/>
      <c r="BU502"/>
      <c r="BV502"/>
      <c r="BW502"/>
      <c r="BX502"/>
      <c r="BY502"/>
      <c r="BZ502"/>
      <c r="CA502"/>
      <c r="CB502"/>
      <c r="CC502"/>
      <c r="CD502"/>
      <c r="CE502"/>
      <c r="CF502"/>
      <c r="CG502"/>
      <c r="CH502"/>
      <c r="CI502"/>
      <c r="CJ502"/>
      <c r="CK502"/>
    </row>
    <row r="503" spans="72:89" ht="16" hidden="1" x14ac:dyDescent="0.2">
      <c r="BT503"/>
      <c r="BU503"/>
      <c r="BV503"/>
      <c r="BW503"/>
      <c r="BX503"/>
      <c r="BY503"/>
      <c r="BZ503"/>
      <c r="CA503"/>
      <c r="CB503"/>
      <c r="CC503"/>
      <c r="CD503"/>
      <c r="CE503"/>
      <c r="CF503"/>
      <c r="CG503"/>
      <c r="CH503"/>
      <c r="CI503"/>
      <c r="CJ503"/>
      <c r="CK503"/>
    </row>
    <row r="504" spans="72:89" ht="16" hidden="1" x14ac:dyDescent="0.2">
      <c r="BT504"/>
      <c r="BU504"/>
      <c r="BV504"/>
      <c r="BW504"/>
      <c r="BX504"/>
      <c r="BY504"/>
      <c r="BZ504"/>
      <c r="CA504"/>
      <c r="CB504"/>
      <c r="CC504"/>
      <c r="CD504"/>
      <c r="CE504"/>
      <c r="CF504"/>
      <c r="CG504"/>
      <c r="CH504"/>
      <c r="CI504"/>
      <c r="CJ504"/>
      <c r="CK504"/>
    </row>
    <row r="505" spans="72:89" ht="16" hidden="1" x14ac:dyDescent="0.2">
      <c r="BT505"/>
      <c r="BU505"/>
      <c r="BV505"/>
      <c r="BW505"/>
      <c r="BX505"/>
      <c r="BY505"/>
      <c r="BZ505"/>
      <c r="CA505"/>
      <c r="CB505"/>
      <c r="CC505"/>
      <c r="CD505"/>
      <c r="CE505"/>
      <c r="CF505"/>
      <c r="CG505"/>
      <c r="CH505"/>
      <c r="CI505"/>
      <c r="CJ505"/>
      <c r="CK505"/>
    </row>
    <row r="506" spans="72:89" ht="16" hidden="1" x14ac:dyDescent="0.2">
      <c r="BT506"/>
      <c r="BU506"/>
      <c r="BV506"/>
      <c r="BW506"/>
      <c r="BX506"/>
      <c r="BY506"/>
      <c r="BZ506"/>
      <c r="CA506"/>
      <c r="CB506"/>
      <c r="CC506"/>
      <c r="CD506"/>
      <c r="CE506"/>
      <c r="CF506"/>
      <c r="CG506"/>
      <c r="CH506"/>
      <c r="CI506"/>
      <c r="CJ506"/>
      <c r="CK506"/>
    </row>
    <row r="507" spans="72:89" ht="16" hidden="1" x14ac:dyDescent="0.2">
      <c r="BT507"/>
      <c r="BU507"/>
      <c r="BV507"/>
      <c r="BW507"/>
      <c r="BX507"/>
      <c r="BY507"/>
      <c r="BZ507"/>
      <c r="CA507"/>
      <c r="CB507"/>
      <c r="CC507"/>
      <c r="CD507"/>
      <c r="CE507"/>
      <c r="CF507"/>
      <c r="CG507"/>
      <c r="CH507"/>
      <c r="CI507"/>
      <c r="CJ507"/>
      <c r="CK507"/>
    </row>
    <row r="508" spans="72:89" ht="16" hidden="1" x14ac:dyDescent="0.2">
      <c r="BT508"/>
      <c r="BU508"/>
      <c r="BV508"/>
      <c r="BW508"/>
      <c r="BX508"/>
      <c r="BY508"/>
      <c r="BZ508"/>
      <c r="CA508"/>
      <c r="CB508"/>
      <c r="CC508"/>
      <c r="CD508"/>
      <c r="CE508"/>
      <c r="CF508"/>
      <c r="CG508"/>
      <c r="CH508"/>
      <c r="CI508"/>
      <c r="CJ508"/>
      <c r="CK508"/>
    </row>
    <row r="509" spans="72:89" ht="16" hidden="1" x14ac:dyDescent="0.2">
      <c r="BT509"/>
      <c r="BU509"/>
      <c r="BV509"/>
      <c r="BW509"/>
      <c r="BX509"/>
      <c r="BY509"/>
      <c r="BZ509"/>
      <c r="CA509"/>
      <c r="CB509"/>
      <c r="CC509"/>
      <c r="CD509"/>
      <c r="CE509"/>
      <c r="CF509"/>
      <c r="CG509"/>
      <c r="CH509"/>
      <c r="CI509"/>
      <c r="CJ509"/>
      <c r="CK509"/>
    </row>
    <row r="510" spans="72:89" ht="16" hidden="1" x14ac:dyDescent="0.2">
      <c r="BT510"/>
      <c r="BU510"/>
      <c r="BV510"/>
      <c r="BW510"/>
      <c r="BX510"/>
      <c r="BY510"/>
      <c r="BZ510"/>
      <c r="CA510"/>
      <c r="CB510"/>
      <c r="CC510"/>
      <c r="CD510"/>
      <c r="CE510"/>
      <c r="CF510"/>
      <c r="CG510"/>
      <c r="CH510"/>
      <c r="CI510"/>
      <c r="CJ510"/>
      <c r="CK510"/>
    </row>
    <row r="511" spans="72:89" ht="16" hidden="1" x14ac:dyDescent="0.2">
      <c r="BT511"/>
      <c r="BU511"/>
      <c r="BV511"/>
      <c r="BW511"/>
      <c r="BX511"/>
      <c r="BY511"/>
      <c r="BZ511"/>
      <c r="CA511"/>
      <c r="CB511"/>
      <c r="CC511"/>
      <c r="CD511"/>
      <c r="CE511"/>
      <c r="CF511"/>
      <c r="CG511"/>
      <c r="CH511"/>
      <c r="CI511"/>
      <c r="CJ511"/>
      <c r="CK511"/>
    </row>
    <row r="512" spans="72:89" ht="16" hidden="1" x14ac:dyDescent="0.2">
      <c r="BT512"/>
      <c r="BU512"/>
      <c r="BV512"/>
      <c r="BW512"/>
      <c r="BX512"/>
      <c r="BY512"/>
      <c r="BZ512"/>
      <c r="CA512"/>
      <c r="CB512"/>
      <c r="CC512"/>
      <c r="CD512"/>
      <c r="CE512"/>
      <c r="CF512"/>
      <c r="CG512"/>
      <c r="CH512"/>
      <c r="CI512"/>
      <c r="CJ512"/>
      <c r="CK512"/>
    </row>
    <row r="513" spans="72:89" ht="16" hidden="1" x14ac:dyDescent="0.2">
      <c r="BT513"/>
      <c r="BU513"/>
      <c r="BV513"/>
      <c r="BW513"/>
      <c r="BX513"/>
      <c r="BY513"/>
      <c r="BZ513"/>
      <c r="CA513"/>
      <c r="CB513"/>
      <c r="CC513"/>
      <c r="CD513"/>
      <c r="CE513"/>
      <c r="CF513"/>
      <c r="CG513"/>
      <c r="CH513"/>
      <c r="CI513"/>
      <c r="CJ513"/>
      <c r="CK513"/>
    </row>
    <row r="514" spans="72:89" ht="16" hidden="1" x14ac:dyDescent="0.2">
      <c r="BT514"/>
      <c r="BU514"/>
      <c r="BV514"/>
      <c r="BW514"/>
      <c r="BX514"/>
      <c r="BY514"/>
      <c r="BZ514"/>
      <c r="CA514"/>
      <c r="CB514"/>
      <c r="CC514"/>
      <c r="CD514"/>
      <c r="CE514"/>
      <c r="CF514"/>
      <c r="CG514"/>
      <c r="CH514"/>
      <c r="CI514"/>
      <c r="CJ514"/>
      <c r="CK514"/>
    </row>
    <row r="515" spans="72:89" ht="16" hidden="1" x14ac:dyDescent="0.2">
      <c r="BT515"/>
      <c r="BU515"/>
      <c r="BV515"/>
      <c r="BW515"/>
      <c r="BX515"/>
      <c r="BY515"/>
      <c r="BZ515"/>
      <c r="CA515"/>
      <c r="CB515"/>
      <c r="CC515"/>
      <c r="CD515"/>
      <c r="CE515"/>
      <c r="CF515"/>
      <c r="CG515"/>
      <c r="CH515"/>
      <c r="CI515"/>
      <c r="CJ515"/>
      <c r="CK515"/>
    </row>
    <row r="516" spans="72:89" ht="16" hidden="1" x14ac:dyDescent="0.2">
      <c r="BT516"/>
      <c r="BU516"/>
      <c r="BV516"/>
      <c r="BW516"/>
      <c r="BX516"/>
      <c r="BY516"/>
      <c r="BZ516"/>
      <c r="CA516"/>
      <c r="CB516"/>
      <c r="CC516"/>
      <c r="CD516"/>
      <c r="CE516"/>
      <c r="CF516"/>
      <c r="CG516"/>
      <c r="CH516"/>
      <c r="CI516"/>
      <c r="CJ516"/>
      <c r="CK516"/>
    </row>
    <row r="517" spans="72:89" ht="16" hidden="1" x14ac:dyDescent="0.2">
      <c r="BT517"/>
      <c r="BU517"/>
      <c r="BV517"/>
      <c r="BW517"/>
      <c r="BX517"/>
      <c r="BY517"/>
      <c r="BZ517"/>
      <c r="CA517"/>
      <c r="CB517"/>
      <c r="CC517"/>
      <c r="CD517"/>
      <c r="CE517"/>
      <c r="CF517"/>
      <c r="CG517"/>
      <c r="CH517"/>
      <c r="CI517"/>
      <c r="CJ517"/>
      <c r="CK517"/>
    </row>
    <row r="518" spans="72:89" ht="16" hidden="1" x14ac:dyDescent="0.2">
      <c r="BT518"/>
      <c r="BU518"/>
      <c r="BV518"/>
      <c r="BW518"/>
      <c r="BX518"/>
      <c r="BY518"/>
      <c r="BZ518"/>
      <c r="CA518"/>
      <c r="CB518"/>
      <c r="CC518"/>
      <c r="CD518"/>
      <c r="CE518"/>
      <c r="CF518"/>
      <c r="CG518"/>
      <c r="CH518"/>
      <c r="CI518"/>
      <c r="CJ518"/>
      <c r="CK518"/>
    </row>
    <row r="519" spans="72:89" ht="16" hidden="1" x14ac:dyDescent="0.2">
      <c r="BT519"/>
      <c r="BU519"/>
      <c r="BV519"/>
      <c r="BW519"/>
      <c r="BX519"/>
      <c r="BY519"/>
      <c r="BZ519"/>
      <c r="CA519"/>
      <c r="CB519"/>
      <c r="CC519"/>
      <c r="CD519"/>
      <c r="CE519"/>
      <c r="CF519"/>
      <c r="CG519"/>
      <c r="CH519"/>
      <c r="CI519"/>
      <c r="CJ519"/>
      <c r="CK519"/>
    </row>
    <row r="520" spans="72:89" ht="16" hidden="1" x14ac:dyDescent="0.2">
      <c r="BT520"/>
      <c r="BU520"/>
      <c r="BV520"/>
      <c r="BW520"/>
      <c r="BX520"/>
      <c r="BY520"/>
      <c r="BZ520"/>
      <c r="CA520"/>
      <c r="CB520"/>
      <c r="CC520"/>
      <c r="CD520"/>
      <c r="CE520"/>
      <c r="CF520"/>
      <c r="CG520"/>
      <c r="CH520"/>
      <c r="CI520"/>
      <c r="CJ520"/>
      <c r="CK520"/>
    </row>
    <row r="521" spans="72:89" ht="16" hidden="1" x14ac:dyDescent="0.2">
      <c r="BT521"/>
      <c r="BU521"/>
      <c r="BV521"/>
      <c r="BW521"/>
      <c r="BX521"/>
      <c r="BY521"/>
      <c r="BZ521"/>
      <c r="CA521"/>
      <c r="CB521"/>
      <c r="CC521"/>
      <c r="CD521"/>
      <c r="CE521"/>
      <c r="CF521"/>
      <c r="CG521"/>
      <c r="CH521"/>
      <c r="CI521"/>
      <c r="CJ521"/>
      <c r="CK521"/>
    </row>
    <row r="522" spans="72:89" ht="16" hidden="1" x14ac:dyDescent="0.2">
      <c r="BT522"/>
      <c r="BU522"/>
      <c r="BV522"/>
      <c r="BW522"/>
      <c r="BX522"/>
      <c r="BY522"/>
      <c r="BZ522"/>
      <c r="CA522"/>
      <c r="CB522"/>
      <c r="CC522"/>
      <c r="CD522"/>
      <c r="CE522"/>
      <c r="CF522"/>
      <c r="CG522"/>
      <c r="CH522"/>
      <c r="CI522"/>
      <c r="CJ522"/>
      <c r="CK522"/>
    </row>
    <row r="523" spans="72:89" ht="16" hidden="1" x14ac:dyDescent="0.2">
      <c r="BT523"/>
      <c r="BU523"/>
      <c r="BV523"/>
      <c r="BW523"/>
      <c r="BX523"/>
      <c r="BY523"/>
      <c r="BZ523"/>
      <c r="CA523"/>
      <c r="CB523"/>
      <c r="CC523"/>
      <c r="CD523"/>
      <c r="CE523"/>
      <c r="CF523"/>
      <c r="CG523"/>
      <c r="CH523"/>
      <c r="CI523"/>
      <c r="CJ523"/>
      <c r="CK523"/>
    </row>
    <row r="524" spans="72:89" ht="16" hidden="1" x14ac:dyDescent="0.2">
      <c r="BT524"/>
      <c r="BU524"/>
      <c r="BV524"/>
      <c r="BW524"/>
      <c r="BX524"/>
      <c r="BY524"/>
      <c r="BZ524"/>
      <c r="CA524"/>
      <c r="CB524"/>
      <c r="CC524"/>
      <c r="CD524"/>
      <c r="CE524"/>
      <c r="CF524"/>
      <c r="CG524"/>
      <c r="CH524"/>
      <c r="CI524"/>
      <c r="CJ524"/>
      <c r="CK524"/>
    </row>
    <row r="525" spans="72:89" ht="16" hidden="1" x14ac:dyDescent="0.2">
      <c r="BT525"/>
      <c r="BU525"/>
      <c r="BV525"/>
      <c r="BW525"/>
      <c r="BX525"/>
      <c r="BY525"/>
      <c r="BZ525"/>
      <c r="CA525"/>
      <c r="CB525"/>
      <c r="CC525"/>
      <c r="CD525"/>
      <c r="CE525"/>
      <c r="CF525"/>
      <c r="CG525"/>
      <c r="CH525"/>
      <c r="CI525"/>
      <c r="CJ525"/>
      <c r="CK525"/>
    </row>
    <row r="526" spans="72:89" ht="16" hidden="1" x14ac:dyDescent="0.2">
      <c r="BT526"/>
      <c r="BU526"/>
      <c r="BV526"/>
      <c r="BW526"/>
      <c r="BX526"/>
      <c r="BY526"/>
      <c r="BZ526"/>
      <c r="CA526"/>
      <c r="CB526"/>
      <c r="CC526"/>
      <c r="CD526"/>
      <c r="CE526"/>
      <c r="CF526"/>
      <c r="CG526"/>
      <c r="CH526"/>
      <c r="CI526"/>
      <c r="CJ526"/>
      <c r="CK526"/>
    </row>
    <row r="527" spans="72:89" ht="16" hidden="1" x14ac:dyDescent="0.2">
      <c r="BT527"/>
      <c r="BU527"/>
      <c r="BV527"/>
      <c r="BW527"/>
      <c r="BX527"/>
      <c r="BY527"/>
      <c r="BZ527"/>
      <c r="CA527"/>
      <c r="CB527"/>
      <c r="CC527"/>
      <c r="CD527"/>
      <c r="CE527"/>
      <c r="CF527"/>
      <c r="CG527"/>
      <c r="CH527"/>
      <c r="CI527"/>
      <c r="CJ527"/>
      <c r="CK527"/>
    </row>
    <row r="528" spans="72:89" ht="16" hidden="1" x14ac:dyDescent="0.2">
      <c r="BT528"/>
      <c r="BU528"/>
      <c r="BV528"/>
      <c r="BW528"/>
      <c r="BX528"/>
      <c r="BY528"/>
      <c r="BZ528"/>
      <c r="CA528"/>
      <c r="CB528"/>
      <c r="CC528"/>
      <c r="CD528"/>
      <c r="CE528"/>
      <c r="CF528"/>
      <c r="CG528"/>
      <c r="CH528"/>
      <c r="CI528"/>
      <c r="CJ528"/>
      <c r="CK528"/>
    </row>
    <row r="529" spans="72:89" ht="16" hidden="1" x14ac:dyDescent="0.2">
      <c r="BT529"/>
      <c r="BU529"/>
      <c r="BV529"/>
      <c r="BW529"/>
      <c r="BX529"/>
      <c r="BY529"/>
      <c r="BZ529"/>
      <c r="CA529"/>
      <c r="CB529"/>
      <c r="CC529"/>
      <c r="CD529"/>
      <c r="CE529"/>
      <c r="CF529"/>
      <c r="CG529"/>
      <c r="CH529"/>
      <c r="CI529"/>
      <c r="CJ529"/>
      <c r="CK529"/>
    </row>
    <row r="530" spans="72:89" ht="16" hidden="1" x14ac:dyDescent="0.2">
      <c r="BT530"/>
      <c r="BU530"/>
      <c r="BV530"/>
      <c r="BW530"/>
      <c r="BX530"/>
      <c r="BY530"/>
      <c r="BZ530"/>
      <c r="CA530"/>
      <c r="CB530"/>
      <c r="CC530"/>
      <c r="CD530"/>
      <c r="CE530"/>
      <c r="CF530"/>
      <c r="CG530"/>
      <c r="CH530"/>
      <c r="CI530"/>
      <c r="CJ530"/>
      <c r="CK530"/>
    </row>
    <row r="531" spans="72:89" ht="16" hidden="1" x14ac:dyDescent="0.2">
      <c r="BT531"/>
      <c r="BU531"/>
      <c r="BV531"/>
      <c r="BW531"/>
      <c r="BX531"/>
      <c r="BY531"/>
      <c r="BZ531"/>
      <c r="CA531"/>
      <c r="CB531"/>
      <c r="CC531"/>
      <c r="CD531"/>
      <c r="CE531"/>
      <c r="CF531"/>
      <c r="CG531"/>
      <c r="CH531"/>
      <c r="CI531"/>
      <c r="CJ531"/>
      <c r="CK531"/>
    </row>
    <row r="532" spans="72:89" ht="16" hidden="1" x14ac:dyDescent="0.2">
      <c r="BT532"/>
      <c r="BU532"/>
      <c r="BV532"/>
      <c r="BW532"/>
      <c r="BX532"/>
      <c r="BY532"/>
      <c r="BZ532"/>
      <c r="CA532"/>
      <c r="CB532"/>
      <c r="CC532"/>
      <c r="CD532"/>
      <c r="CE532"/>
      <c r="CF532"/>
      <c r="CG532"/>
      <c r="CH532"/>
      <c r="CI532"/>
      <c r="CJ532"/>
      <c r="CK532"/>
    </row>
    <row r="533" spans="72:89" ht="16" hidden="1" x14ac:dyDescent="0.2">
      <c r="BT533"/>
      <c r="BU533"/>
      <c r="BV533"/>
      <c r="BW533"/>
      <c r="BX533"/>
      <c r="BY533"/>
      <c r="BZ533"/>
      <c r="CA533"/>
      <c r="CB533"/>
      <c r="CC533"/>
      <c r="CD533"/>
      <c r="CE533"/>
      <c r="CF533"/>
      <c r="CG533"/>
      <c r="CH533"/>
      <c r="CI533"/>
      <c r="CJ533"/>
      <c r="CK533"/>
    </row>
    <row r="534" spans="72:89" ht="16" hidden="1" x14ac:dyDescent="0.2">
      <c r="BT534"/>
      <c r="BU534"/>
      <c r="BV534"/>
      <c r="BW534"/>
      <c r="BX534"/>
      <c r="BY534"/>
      <c r="BZ534"/>
      <c r="CA534"/>
      <c r="CB534"/>
      <c r="CC534"/>
      <c r="CD534"/>
      <c r="CE534"/>
      <c r="CF534"/>
      <c r="CG534"/>
      <c r="CH534"/>
      <c r="CI534"/>
      <c r="CJ534"/>
      <c r="CK534"/>
    </row>
    <row r="535" spans="72:89" ht="16" hidden="1" x14ac:dyDescent="0.2">
      <c r="BT535"/>
      <c r="BU535"/>
      <c r="BV535"/>
      <c r="BW535"/>
      <c r="BX535"/>
      <c r="BY535"/>
      <c r="BZ535"/>
      <c r="CA535"/>
      <c r="CB535"/>
      <c r="CC535"/>
      <c r="CD535"/>
      <c r="CE535"/>
      <c r="CF535"/>
      <c r="CG535"/>
      <c r="CH535"/>
      <c r="CI535"/>
      <c r="CJ535"/>
      <c r="CK535"/>
    </row>
    <row r="536" spans="72:89" ht="16" hidden="1" x14ac:dyDescent="0.2">
      <c r="BT536"/>
      <c r="BU536"/>
      <c r="BV536"/>
      <c r="BW536"/>
      <c r="BX536"/>
      <c r="BY536"/>
      <c r="BZ536"/>
      <c r="CA536"/>
      <c r="CB536"/>
      <c r="CC536"/>
      <c r="CD536"/>
      <c r="CE536"/>
      <c r="CF536"/>
      <c r="CG536"/>
      <c r="CH536"/>
      <c r="CI536"/>
      <c r="CJ536"/>
      <c r="CK536"/>
    </row>
    <row r="537" spans="72:89" ht="16" hidden="1" x14ac:dyDescent="0.2">
      <c r="BT537"/>
      <c r="BU537"/>
      <c r="BV537"/>
      <c r="BW537"/>
      <c r="BX537"/>
      <c r="BY537"/>
      <c r="BZ537"/>
      <c r="CA537"/>
      <c r="CB537"/>
      <c r="CC537"/>
      <c r="CD537"/>
      <c r="CE537"/>
      <c r="CF537"/>
      <c r="CG537"/>
      <c r="CH537"/>
      <c r="CI537"/>
      <c r="CJ537"/>
      <c r="CK537"/>
    </row>
    <row r="538" spans="72:89" ht="16" hidden="1" x14ac:dyDescent="0.2">
      <c r="BT538"/>
      <c r="BU538"/>
      <c r="BV538"/>
      <c r="BW538"/>
      <c r="BX538"/>
      <c r="BY538"/>
      <c r="BZ538"/>
      <c r="CA538"/>
      <c r="CB538"/>
      <c r="CC538"/>
      <c r="CD538"/>
      <c r="CE538"/>
      <c r="CF538"/>
      <c r="CG538"/>
      <c r="CH538"/>
      <c r="CI538"/>
      <c r="CJ538"/>
      <c r="CK538"/>
    </row>
    <row r="539" spans="72:89" ht="16" hidden="1" x14ac:dyDescent="0.2">
      <c r="BT539"/>
      <c r="BU539"/>
      <c r="BV539"/>
      <c r="BW539"/>
      <c r="BX539"/>
      <c r="BY539"/>
      <c r="BZ539"/>
      <c r="CA539"/>
      <c r="CB539"/>
      <c r="CC539"/>
      <c r="CD539"/>
      <c r="CE539"/>
      <c r="CF539"/>
      <c r="CG539"/>
      <c r="CH539"/>
      <c r="CI539"/>
      <c r="CJ539"/>
      <c r="CK539"/>
    </row>
    <row r="540" spans="72:89" ht="16" hidden="1" x14ac:dyDescent="0.2">
      <c r="BT540"/>
      <c r="BU540"/>
      <c r="BV540"/>
      <c r="BW540"/>
      <c r="BX540"/>
      <c r="BY540"/>
      <c r="BZ540"/>
      <c r="CA540"/>
      <c r="CB540"/>
      <c r="CC540"/>
      <c r="CD540"/>
      <c r="CE540"/>
      <c r="CF540"/>
      <c r="CG540"/>
      <c r="CH540"/>
      <c r="CI540"/>
      <c r="CJ540"/>
      <c r="CK540"/>
    </row>
    <row r="541" spans="72:89" ht="16" hidden="1" x14ac:dyDescent="0.2">
      <c r="BT541"/>
      <c r="BU541"/>
      <c r="BV541"/>
      <c r="BW541"/>
      <c r="BX541"/>
      <c r="BY541"/>
      <c r="BZ541"/>
      <c r="CA541"/>
      <c r="CB541"/>
      <c r="CC541"/>
      <c r="CD541"/>
      <c r="CE541"/>
      <c r="CF541"/>
      <c r="CG541"/>
      <c r="CH541"/>
      <c r="CI541"/>
      <c r="CJ541"/>
      <c r="CK541"/>
    </row>
    <row r="542" spans="72:89" ht="16" hidden="1" x14ac:dyDescent="0.2">
      <c r="BT542"/>
      <c r="BU542"/>
      <c r="BV542"/>
      <c r="BW542"/>
      <c r="BX542"/>
      <c r="BY542"/>
      <c r="BZ542"/>
      <c r="CA542"/>
      <c r="CB542"/>
      <c r="CC542"/>
      <c r="CD542"/>
      <c r="CE542"/>
      <c r="CF542"/>
      <c r="CG542"/>
      <c r="CH542"/>
      <c r="CI542"/>
      <c r="CJ542"/>
      <c r="CK542"/>
    </row>
    <row r="543" spans="72:89" ht="16" hidden="1" x14ac:dyDescent="0.2">
      <c r="BT543"/>
      <c r="BU543"/>
      <c r="BV543"/>
      <c r="BW543"/>
      <c r="BX543"/>
      <c r="BY543"/>
      <c r="BZ543"/>
      <c r="CA543"/>
      <c r="CB543"/>
      <c r="CC543"/>
      <c r="CD543"/>
      <c r="CE543"/>
      <c r="CF543"/>
      <c r="CG543"/>
      <c r="CH543"/>
      <c r="CI543"/>
      <c r="CJ543"/>
      <c r="CK543"/>
    </row>
    <row r="544" spans="72:89" ht="16" hidden="1" x14ac:dyDescent="0.2">
      <c r="BT544"/>
      <c r="BU544"/>
      <c r="BV544"/>
      <c r="BW544"/>
      <c r="BX544"/>
      <c r="BY544"/>
      <c r="BZ544"/>
      <c r="CA544"/>
      <c r="CB544"/>
      <c r="CC544"/>
      <c r="CD544"/>
      <c r="CE544"/>
      <c r="CF544"/>
      <c r="CG544"/>
      <c r="CH544"/>
      <c r="CI544"/>
      <c r="CJ544"/>
      <c r="CK544"/>
    </row>
    <row r="545" spans="72:89" ht="16" hidden="1" x14ac:dyDescent="0.2">
      <c r="BT545"/>
      <c r="BU545"/>
      <c r="BV545"/>
      <c r="BW545"/>
      <c r="BX545"/>
      <c r="BY545"/>
      <c r="BZ545"/>
      <c r="CA545"/>
      <c r="CB545"/>
      <c r="CC545"/>
      <c r="CD545"/>
      <c r="CE545"/>
      <c r="CF545"/>
      <c r="CG545"/>
      <c r="CH545"/>
      <c r="CI545"/>
      <c r="CJ545"/>
      <c r="CK545"/>
    </row>
    <row r="546" spans="72:89" ht="16" hidden="1" x14ac:dyDescent="0.2">
      <c r="BT546"/>
      <c r="BU546"/>
      <c r="BV546"/>
      <c r="BW546"/>
      <c r="BX546"/>
      <c r="BY546"/>
      <c r="BZ546"/>
      <c r="CA546"/>
      <c r="CB546"/>
      <c r="CC546"/>
      <c r="CD546"/>
      <c r="CE546"/>
      <c r="CF546"/>
      <c r="CG546"/>
      <c r="CH546"/>
      <c r="CI546"/>
      <c r="CJ546"/>
      <c r="CK546"/>
    </row>
    <row r="547" spans="72:89" ht="16" hidden="1" x14ac:dyDescent="0.2">
      <c r="BT547"/>
      <c r="BU547"/>
      <c r="BV547"/>
      <c r="BW547"/>
      <c r="BX547"/>
      <c r="BY547"/>
      <c r="BZ547"/>
      <c r="CA547"/>
      <c r="CB547"/>
      <c r="CC547"/>
      <c r="CD547"/>
      <c r="CE547"/>
      <c r="CF547"/>
      <c r="CG547"/>
      <c r="CH547"/>
      <c r="CI547"/>
      <c r="CJ547"/>
      <c r="CK547"/>
    </row>
    <row r="548" spans="72:89" ht="16" hidden="1" x14ac:dyDescent="0.2">
      <c r="BT548"/>
      <c r="BU548"/>
      <c r="BV548"/>
      <c r="BW548"/>
      <c r="BX548"/>
      <c r="BY548"/>
      <c r="BZ548"/>
      <c r="CA548"/>
      <c r="CB548"/>
      <c r="CC548"/>
      <c r="CD548"/>
      <c r="CE548"/>
      <c r="CF548"/>
      <c r="CG548"/>
      <c r="CH548"/>
      <c r="CI548"/>
      <c r="CJ548"/>
      <c r="CK548"/>
    </row>
    <row r="549" spans="72:89" ht="16" hidden="1" x14ac:dyDescent="0.2">
      <c r="BT549"/>
      <c r="BU549"/>
      <c r="BV549"/>
      <c r="BW549"/>
      <c r="BX549"/>
      <c r="BY549"/>
      <c r="BZ549"/>
      <c r="CA549"/>
      <c r="CB549"/>
      <c r="CC549"/>
      <c r="CD549"/>
      <c r="CE549"/>
      <c r="CF549"/>
      <c r="CG549"/>
      <c r="CH549"/>
      <c r="CI549"/>
      <c r="CJ549"/>
      <c r="CK549"/>
    </row>
    <row r="550" spans="72:89" ht="16" hidden="1" x14ac:dyDescent="0.2">
      <c r="BT550"/>
      <c r="BU550"/>
      <c r="BV550"/>
      <c r="BW550"/>
      <c r="BX550"/>
      <c r="BY550"/>
      <c r="BZ550"/>
      <c r="CA550"/>
      <c r="CB550"/>
      <c r="CC550"/>
      <c r="CD550"/>
      <c r="CE550"/>
      <c r="CF550"/>
      <c r="CG550"/>
      <c r="CH550"/>
      <c r="CI550"/>
      <c r="CJ550"/>
      <c r="CK550"/>
    </row>
    <row r="551" spans="72:89" ht="16" hidden="1" x14ac:dyDescent="0.2">
      <c r="BT551"/>
      <c r="BU551"/>
      <c r="BV551"/>
      <c r="BW551"/>
      <c r="BX551"/>
      <c r="BY551"/>
      <c r="BZ551"/>
      <c r="CA551"/>
      <c r="CB551"/>
      <c r="CC551"/>
      <c r="CD551"/>
      <c r="CE551"/>
      <c r="CF551"/>
      <c r="CG551"/>
      <c r="CH551"/>
      <c r="CI551"/>
      <c r="CJ551"/>
      <c r="CK551"/>
    </row>
    <row r="552" spans="72:89" ht="16" hidden="1" x14ac:dyDescent="0.2">
      <c r="BT552"/>
      <c r="BU552"/>
      <c r="BV552"/>
      <c r="BW552"/>
      <c r="BX552"/>
      <c r="BY552"/>
      <c r="BZ552"/>
      <c r="CA552"/>
      <c r="CB552"/>
      <c r="CC552"/>
      <c r="CD552"/>
      <c r="CE552"/>
      <c r="CF552"/>
      <c r="CG552"/>
      <c r="CH552"/>
      <c r="CI552"/>
      <c r="CJ552"/>
      <c r="CK552"/>
    </row>
    <row r="553" spans="72:89" ht="16" hidden="1" x14ac:dyDescent="0.2">
      <c r="BT553"/>
      <c r="BU553"/>
      <c r="BV553"/>
      <c r="BW553"/>
      <c r="BX553"/>
      <c r="BY553"/>
      <c r="BZ553"/>
      <c r="CA553"/>
      <c r="CB553"/>
      <c r="CC553"/>
      <c r="CD553"/>
      <c r="CE553"/>
      <c r="CF553"/>
      <c r="CG553"/>
      <c r="CH553"/>
      <c r="CI553"/>
      <c r="CJ553"/>
      <c r="CK553"/>
    </row>
    <row r="554" spans="72:89" ht="16" hidden="1" x14ac:dyDescent="0.2">
      <c r="BT554"/>
      <c r="BU554"/>
      <c r="BV554"/>
      <c r="BW554"/>
      <c r="BX554"/>
      <c r="BY554"/>
      <c r="BZ554"/>
      <c r="CA554"/>
      <c r="CB554"/>
      <c r="CC554"/>
      <c r="CD554"/>
      <c r="CE554"/>
      <c r="CF554"/>
      <c r="CG554"/>
      <c r="CH554"/>
      <c r="CI554"/>
      <c r="CJ554"/>
      <c r="CK554"/>
    </row>
    <row r="555" spans="72:89" ht="16" hidden="1" x14ac:dyDescent="0.2">
      <c r="BT555"/>
      <c r="BU555"/>
      <c r="BV555"/>
      <c r="BW555"/>
      <c r="BX555"/>
      <c r="BY555"/>
      <c r="BZ555"/>
      <c r="CA555"/>
      <c r="CB555"/>
      <c r="CC555"/>
      <c r="CD555"/>
      <c r="CE555"/>
      <c r="CF555"/>
      <c r="CG555"/>
      <c r="CH555"/>
      <c r="CI555"/>
      <c r="CJ555"/>
      <c r="CK555"/>
    </row>
    <row r="556" spans="72:89" ht="16" hidden="1" x14ac:dyDescent="0.2">
      <c r="BT556"/>
      <c r="BU556"/>
      <c r="BV556"/>
      <c r="BW556"/>
      <c r="BX556"/>
      <c r="BY556"/>
      <c r="BZ556"/>
      <c r="CA556"/>
      <c r="CB556"/>
      <c r="CC556"/>
      <c r="CD556"/>
      <c r="CE556"/>
      <c r="CF556"/>
      <c r="CG556"/>
      <c r="CH556"/>
      <c r="CI556"/>
      <c r="CJ556"/>
      <c r="CK556"/>
    </row>
    <row r="557" spans="72:89" ht="16" hidden="1" x14ac:dyDescent="0.2">
      <c r="BT557"/>
      <c r="BU557"/>
      <c r="BV557"/>
      <c r="BW557"/>
      <c r="BX557"/>
      <c r="BY557"/>
      <c r="BZ557"/>
      <c r="CA557"/>
      <c r="CB557"/>
      <c r="CC557"/>
      <c r="CD557"/>
      <c r="CE557"/>
      <c r="CF557"/>
      <c r="CG557"/>
      <c r="CH557"/>
      <c r="CI557"/>
      <c r="CJ557"/>
      <c r="CK557"/>
    </row>
    <row r="558" spans="72:89" ht="16" hidden="1" x14ac:dyDescent="0.2">
      <c r="BT558"/>
      <c r="BU558"/>
      <c r="BV558"/>
      <c r="BW558"/>
      <c r="BX558"/>
      <c r="BY558"/>
      <c r="BZ558"/>
      <c r="CA558"/>
      <c r="CB558"/>
      <c r="CC558"/>
      <c r="CD558"/>
      <c r="CE558"/>
      <c r="CF558"/>
      <c r="CG558"/>
      <c r="CH558"/>
      <c r="CI558"/>
      <c r="CJ558"/>
      <c r="CK558"/>
    </row>
    <row r="559" spans="72:89" ht="16" hidden="1" x14ac:dyDescent="0.2">
      <c r="BT559"/>
      <c r="BU559"/>
      <c r="BV559"/>
      <c r="BW559"/>
      <c r="BX559"/>
      <c r="BY559"/>
      <c r="BZ559"/>
      <c r="CA559"/>
      <c r="CB559"/>
      <c r="CC559"/>
      <c r="CD559"/>
      <c r="CE559"/>
      <c r="CF559"/>
      <c r="CG559"/>
      <c r="CH559"/>
      <c r="CI559"/>
      <c r="CJ559"/>
      <c r="CK559"/>
    </row>
    <row r="560" spans="72:89" ht="16" hidden="1" x14ac:dyDescent="0.2">
      <c r="BT560"/>
      <c r="BU560"/>
      <c r="BV560"/>
      <c r="BW560"/>
      <c r="BX560"/>
      <c r="BY560"/>
      <c r="BZ560"/>
      <c r="CA560"/>
      <c r="CB560"/>
      <c r="CC560"/>
      <c r="CD560"/>
      <c r="CE560"/>
      <c r="CF560"/>
      <c r="CG560"/>
      <c r="CH560"/>
      <c r="CI560"/>
      <c r="CJ560"/>
      <c r="CK560"/>
    </row>
    <row r="561" spans="72:89" ht="16" hidden="1" x14ac:dyDescent="0.2">
      <c r="BT561"/>
      <c r="BU561"/>
      <c r="BV561"/>
      <c r="BW561"/>
      <c r="BX561"/>
      <c r="BY561"/>
      <c r="BZ561"/>
      <c r="CA561"/>
      <c r="CB561"/>
      <c r="CC561"/>
      <c r="CD561"/>
      <c r="CE561"/>
      <c r="CF561"/>
      <c r="CG561"/>
      <c r="CH561"/>
      <c r="CI561"/>
      <c r="CJ561"/>
      <c r="CK561"/>
    </row>
    <row r="562" spans="72:89" ht="16" hidden="1" x14ac:dyDescent="0.2">
      <c r="BT562"/>
      <c r="BU562"/>
      <c r="BV562"/>
      <c r="BW562"/>
      <c r="BX562"/>
      <c r="BY562"/>
      <c r="BZ562"/>
      <c r="CA562"/>
      <c r="CB562"/>
      <c r="CC562"/>
      <c r="CD562"/>
      <c r="CE562"/>
      <c r="CF562"/>
      <c r="CG562"/>
      <c r="CH562"/>
      <c r="CI562"/>
      <c r="CJ562"/>
      <c r="CK562"/>
    </row>
    <row r="563" spans="72:89" ht="16" hidden="1" x14ac:dyDescent="0.2">
      <c r="BT563"/>
      <c r="BU563"/>
      <c r="BV563"/>
      <c r="BW563"/>
      <c r="BX563"/>
      <c r="BY563"/>
      <c r="BZ563"/>
      <c r="CA563"/>
      <c r="CB563"/>
      <c r="CC563"/>
      <c r="CD563"/>
      <c r="CE563"/>
      <c r="CF563"/>
      <c r="CG563"/>
      <c r="CH563"/>
      <c r="CI563"/>
      <c r="CJ563"/>
      <c r="CK563"/>
    </row>
    <row r="564" spans="72:89" ht="16" hidden="1" x14ac:dyDescent="0.2">
      <c r="BT564"/>
      <c r="BU564"/>
      <c r="BV564"/>
      <c r="BW564"/>
      <c r="BX564"/>
      <c r="BY564"/>
      <c r="BZ564"/>
      <c r="CA564"/>
      <c r="CB564"/>
      <c r="CC564"/>
      <c r="CD564"/>
      <c r="CE564"/>
      <c r="CF564"/>
      <c r="CG564"/>
      <c r="CH564"/>
      <c r="CI564"/>
      <c r="CJ564"/>
      <c r="CK564"/>
    </row>
    <row r="565" spans="72:89" ht="16" hidden="1" x14ac:dyDescent="0.2">
      <c r="BT565"/>
      <c r="BU565"/>
      <c r="BV565"/>
      <c r="BW565"/>
      <c r="BX565"/>
      <c r="BY565"/>
      <c r="BZ565"/>
      <c r="CA565"/>
      <c r="CB565"/>
      <c r="CC565"/>
      <c r="CD565"/>
      <c r="CE565"/>
      <c r="CF565"/>
      <c r="CG565"/>
      <c r="CH565"/>
      <c r="CI565"/>
      <c r="CJ565"/>
      <c r="CK565"/>
    </row>
    <row r="566" spans="72:89" ht="16" hidden="1" x14ac:dyDescent="0.2">
      <c r="BT566"/>
      <c r="BU566"/>
      <c r="BV566"/>
      <c r="BW566"/>
      <c r="BX566"/>
      <c r="BY566"/>
      <c r="BZ566"/>
      <c r="CA566"/>
      <c r="CB566"/>
      <c r="CC566"/>
      <c r="CD566"/>
      <c r="CE566"/>
      <c r="CF566"/>
      <c r="CG566"/>
      <c r="CH566"/>
      <c r="CI566"/>
      <c r="CJ566"/>
      <c r="CK566"/>
    </row>
    <row r="567" spans="72:89" ht="16" hidden="1" x14ac:dyDescent="0.2">
      <c r="BT567"/>
      <c r="BU567"/>
      <c r="BV567"/>
      <c r="BW567"/>
      <c r="BX567"/>
      <c r="BY567"/>
      <c r="BZ567"/>
      <c r="CA567"/>
      <c r="CB567"/>
      <c r="CC567"/>
      <c r="CD567"/>
      <c r="CE567"/>
      <c r="CF567"/>
      <c r="CG567"/>
      <c r="CH567"/>
      <c r="CI567"/>
      <c r="CJ567"/>
      <c r="CK567"/>
    </row>
    <row r="568" spans="72:89" ht="16" hidden="1" x14ac:dyDescent="0.2">
      <c r="BT568"/>
      <c r="BU568"/>
      <c r="BV568"/>
      <c r="BW568"/>
      <c r="BX568"/>
      <c r="BY568"/>
      <c r="BZ568"/>
      <c r="CA568"/>
      <c r="CB568"/>
      <c r="CC568"/>
      <c r="CD568"/>
      <c r="CE568"/>
      <c r="CF568"/>
      <c r="CG568"/>
      <c r="CH568"/>
      <c r="CI568"/>
      <c r="CJ568"/>
      <c r="CK568"/>
    </row>
    <row r="569" spans="72:89" ht="16" hidden="1" x14ac:dyDescent="0.2">
      <c r="BT569"/>
      <c r="BU569"/>
      <c r="BV569"/>
      <c r="BW569"/>
      <c r="BX569"/>
      <c r="BY569"/>
      <c r="BZ569"/>
      <c r="CA569"/>
      <c r="CB569"/>
      <c r="CC569"/>
      <c r="CD569"/>
      <c r="CE569"/>
      <c r="CF569"/>
      <c r="CG569"/>
      <c r="CH569"/>
      <c r="CI569"/>
      <c r="CJ569"/>
      <c r="CK569"/>
    </row>
    <row r="570" spans="72:89" ht="16" hidden="1" x14ac:dyDescent="0.2">
      <c r="BT570"/>
      <c r="BU570"/>
      <c r="BV570"/>
      <c r="BW570"/>
      <c r="BX570"/>
      <c r="BY570"/>
      <c r="BZ570"/>
      <c r="CA570"/>
      <c r="CB570"/>
      <c r="CC570"/>
      <c r="CD570"/>
      <c r="CE570"/>
      <c r="CF570"/>
      <c r="CG570"/>
      <c r="CH570"/>
      <c r="CI570"/>
      <c r="CJ570"/>
      <c r="CK570"/>
    </row>
    <row r="571" spans="72:89" ht="16" hidden="1" x14ac:dyDescent="0.2">
      <c r="BT571"/>
      <c r="BU571"/>
      <c r="BV571"/>
      <c r="BW571"/>
      <c r="BX571"/>
      <c r="BY571"/>
      <c r="BZ571"/>
      <c r="CA571"/>
      <c r="CB571"/>
      <c r="CC571"/>
      <c r="CD571"/>
      <c r="CE571"/>
      <c r="CF571"/>
      <c r="CG571"/>
      <c r="CH571"/>
      <c r="CI571"/>
      <c r="CJ571"/>
      <c r="CK571"/>
    </row>
    <row r="572" spans="72:89" ht="16" hidden="1" x14ac:dyDescent="0.2">
      <c r="BT572"/>
      <c r="BU572"/>
      <c r="BV572"/>
      <c r="BW572"/>
      <c r="BX572"/>
      <c r="BY572"/>
      <c r="BZ572"/>
      <c r="CA572"/>
      <c r="CB572"/>
      <c r="CC572"/>
      <c r="CD572"/>
      <c r="CE572"/>
      <c r="CF572"/>
      <c r="CG572"/>
      <c r="CH572"/>
      <c r="CI572"/>
      <c r="CJ572"/>
      <c r="CK572"/>
    </row>
    <row r="573" spans="72:89" ht="16" hidden="1" x14ac:dyDescent="0.2">
      <c r="BT573"/>
      <c r="BU573"/>
      <c r="BV573"/>
      <c r="BW573"/>
      <c r="BX573"/>
      <c r="BY573"/>
      <c r="BZ573"/>
      <c r="CA573"/>
      <c r="CB573"/>
      <c r="CC573"/>
      <c r="CD573"/>
      <c r="CE573"/>
      <c r="CF573"/>
      <c r="CG573"/>
      <c r="CH573"/>
      <c r="CI573"/>
      <c r="CJ573"/>
      <c r="CK573"/>
    </row>
    <row r="574" spans="72:89" ht="16" hidden="1" x14ac:dyDescent="0.2">
      <c r="BT574"/>
      <c r="BU574"/>
      <c r="BV574"/>
      <c r="BW574"/>
      <c r="BX574"/>
      <c r="BY574"/>
      <c r="BZ574"/>
      <c r="CA574"/>
      <c r="CB574"/>
      <c r="CC574"/>
      <c r="CD574"/>
      <c r="CE574"/>
      <c r="CF574"/>
      <c r="CG574"/>
      <c r="CH574"/>
      <c r="CI574"/>
      <c r="CJ574"/>
      <c r="CK574"/>
    </row>
    <row r="575" spans="72:89" ht="16" hidden="1" x14ac:dyDescent="0.2">
      <c r="BT575"/>
      <c r="BU575"/>
      <c r="BV575"/>
      <c r="BW575"/>
      <c r="BX575"/>
      <c r="BY575"/>
      <c r="BZ575"/>
      <c r="CA575"/>
      <c r="CB575"/>
      <c r="CC575"/>
      <c r="CD575"/>
      <c r="CE575"/>
      <c r="CF575"/>
      <c r="CG575"/>
      <c r="CH575"/>
      <c r="CI575"/>
      <c r="CJ575"/>
      <c r="CK575"/>
    </row>
    <row r="576" spans="72:89" ht="16" hidden="1" x14ac:dyDescent="0.2">
      <c r="BT576"/>
      <c r="BU576"/>
      <c r="BV576"/>
      <c r="BW576"/>
      <c r="BX576"/>
      <c r="BY576"/>
      <c r="BZ576"/>
      <c r="CA576"/>
      <c r="CB576"/>
      <c r="CC576"/>
      <c r="CD576"/>
      <c r="CE576"/>
      <c r="CF576"/>
      <c r="CG576"/>
      <c r="CH576"/>
      <c r="CI576"/>
      <c r="CJ576"/>
      <c r="CK576"/>
    </row>
    <row r="577" spans="72:89" ht="16" hidden="1" x14ac:dyDescent="0.2">
      <c r="BT577"/>
      <c r="BU577"/>
      <c r="BV577"/>
      <c r="BW577"/>
      <c r="BX577"/>
      <c r="BY577"/>
      <c r="BZ577"/>
      <c r="CA577"/>
      <c r="CB577"/>
      <c r="CC577"/>
      <c r="CD577"/>
      <c r="CE577"/>
      <c r="CF577"/>
      <c r="CG577"/>
      <c r="CH577"/>
      <c r="CI577"/>
      <c r="CJ577"/>
      <c r="CK577"/>
    </row>
    <row r="578" spans="72:89" ht="16" hidden="1" x14ac:dyDescent="0.2">
      <c r="BT578"/>
      <c r="BU578"/>
      <c r="BV578"/>
      <c r="BW578"/>
      <c r="BX578"/>
      <c r="BY578"/>
      <c r="BZ578"/>
      <c r="CA578"/>
      <c r="CB578"/>
      <c r="CC578"/>
      <c r="CD578"/>
      <c r="CE578"/>
      <c r="CF578"/>
      <c r="CG578"/>
      <c r="CH578"/>
      <c r="CI578"/>
      <c r="CJ578"/>
      <c r="CK578"/>
    </row>
    <row r="579" spans="72:89" ht="16" hidden="1" x14ac:dyDescent="0.2">
      <c r="BT579"/>
      <c r="BU579"/>
      <c r="BV579"/>
      <c r="BW579"/>
      <c r="BX579"/>
      <c r="BY579"/>
      <c r="BZ579"/>
      <c r="CA579"/>
      <c r="CB579"/>
      <c r="CC579"/>
      <c r="CD579"/>
      <c r="CE579"/>
      <c r="CF579"/>
      <c r="CG579"/>
      <c r="CH579"/>
      <c r="CI579"/>
      <c r="CJ579"/>
      <c r="CK579"/>
    </row>
    <row r="580" spans="72:89" ht="16" hidden="1" x14ac:dyDescent="0.2">
      <c r="BT580"/>
      <c r="BU580"/>
      <c r="BV580"/>
      <c r="BW580"/>
      <c r="BX580"/>
      <c r="BY580"/>
      <c r="BZ580"/>
      <c r="CA580"/>
      <c r="CB580"/>
      <c r="CC580"/>
      <c r="CD580"/>
      <c r="CE580"/>
      <c r="CF580"/>
      <c r="CG580"/>
      <c r="CH580"/>
      <c r="CI580"/>
      <c r="CJ580"/>
      <c r="CK580"/>
    </row>
    <row r="581" spans="72:89" ht="16" hidden="1" x14ac:dyDescent="0.2">
      <c r="BT581"/>
      <c r="BU581"/>
      <c r="BV581"/>
      <c r="BW581"/>
      <c r="BX581"/>
      <c r="BY581"/>
      <c r="BZ581"/>
      <c r="CA581"/>
      <c r="CB581"/>
      <c r="CC581"/>
      <c r="CD581"/>
      <c r="CE581"/>
      <c r="CF581"/>
      <c r="CG581"/>
      <c r="CH581"/>
      <c r="CI581"/>
      <c r="CJ581"/>
      <c r="CK581"/>
    </row>
    <row r="582" spans="72:89" ht="16" hidden="1" x14ac:dyDescent="0.2">
      <c r="BT582"/>
      <c r="BU582"/>
      <c r="BV582"/>
      <c r="BW582"/>
      <c r="BX582"/>
      <c r="BY582"/>
      <c r="BZ582"/>
      <c r="CA582"/>
      <c r="CB582"/>
      <c r="CC582"/>
      <c r="CD582"/>
      <c r="CE582"/>
      <c r="CF582"/>
      <c r="CG582"/>
      <c r="CH582"/>
      <c r="CI582"/>
      <c r="CJ582"/>
      <c r="CK582"/>
    </row>
    <row r="583" spans="72:89" ht="16" hidden="1" x14ac:dyDescent="0.2">
      <c r="BT583"/>
      <c r="BU583"/>
      <c r="BV583"/>
      <c r="BW583"/>
      <c r="BX583"/>
      <c r="BY583"/>
      <c r="BZ583"/>
      <c r="CA583"/>
      <c r="CB583"/>
      <c r="CC583"/>
      <c r="CD583"/>
      <c r="CE583"/>
      <c r="CF583"/>
      <c r="CG583"/>
      <c r="CH583"/>
      <c r="CI583"/>
      <c r="CJ583"/>
      <c r="CK583"/>
    </row>
    <row r="584" spans="72:89" ht="16" hidden="1" x14ac:dyDescent="0.2">
      <c r="BT584"/>
      <c r="BU584"/>
      <c r="BV584"/>
      <c r="BW584"/>
      <c r="BX584"/>
      <c r="BY584"/>
      <c r="BZ584"/>
      <c r="CA584"/>
      <c r="CB584"/>
      <c r="CC584"/>
      <c r="CD584"/>
      <c r="CE584"/>
      <c r="CF584"/>
      <c r="CG584"/>
      <c r="CH584"/>
      <c r="CI584"/>
      <c r="CJ584"/>
      <c r="CK584"/>
    </row>
    <row r="585" spans="72:89" ht="16" hidden="1" x14ac:dyDescent="0.2">
      <c r="BT585"/>
      <c r="BU585"/>
      <c r="BV585"/>
      <c r="BW585"/>
      <c r="BX585"/>
      <c r="BY585"/>
      <c r="BZ585"/>
      <c r="CA585"/>
      <c r="CB585"/>
      <c r="CC585"/>
      <c r="CD585"/>
      <c r="CE585"/>
      <c r="CF585"/>
      <c r="CG585"/>
      <c r="CH585"/>
      <c r="CI585"/>
      <c r="CJ585"/>
      <c r="CK585"/>
    </row>
    <row r="586" spans="72:89" ht="16" hidden="1" x14ac:dyDescent="0.2">
      <c r="BT586"/>
      <c r="BU586"/>
      <c r="BV586"/>
      <c r="BW586"/>
      <c r="BX586"/>
      <c r="BY586"/>
      <c r="BZ586"/>
      <c r="CA586"/>
      <c r="CB586"/>
      <c r="CC586"/>
      <c r="CD586"/>
      <c r="CE586"/>
      <c r="CF586"/>
      <c r="CG586"/>
      <c r="CH586"/>
      <c r="CI586"/>
      <c r="CJ586"/>
      <c r="CK586"/>
    </row>
    <row r="587" spans="72:89" ht="16" hidden="1" x14ac:dyDescent="0.2">
      <c r="BT587"/>
      <c r="BU587"/>
      <c r="BV587"/>
      <c r="BW587"/>
      <c r="BX587"/>
      <c r="BY587"/>
      <c r="BZ587"/>
      <c r="CA587"/>
      <c r="CB587"/>
      <c r="CC587"/>
      <c r="CD587"/>
      <c r="CE587"/>
      <c r="CF587"/>
      <c r="CG587"/>
      <c r="CH587"/>
      <c r="CI587"/>
      <c r="CJ587"/>
      <c r="CK587"/>
    </row>
    <row r="588" spans="72:89" ht="16" hidden="1" x14ac:dyDescent="0.2">
      <c r="BT588"/>
      <c r="BU588"/>
      <c r="BV588"/>
      <c r="BW588"/>
      <c r="BX588"/>
      <c r="BY588"/>
      <c r="BZ588"/>
      <c r="CA588"/>
      <c r="CB588"/>
      <c r="CC588"/>
      <c r="CD588"/>
      <c r="CE588"/>
      <c r="CF588"/>
      <c r="CG588"/>
      <c r="CH588"/>
      <c r="CI588"/>
      <c r="CJ588"/>
      <c r="CK588"/>
    </row>
    <row r="589" spans="72:89" ht="16" hidden="1" x14ac:dyDescent="0.2">
      <c r="BT589"/>
      <c r="BU589"/>
      <c r="BV589"/>
      <c r="BW589"/>
      <c r="BX589"/>
      <c r="BY589"/>
      <c r="BZ589"/>
      <c r="CA589"/>
      <c r="CB589"/>
      <c r="CC589"/>
      <c r="CD589"/>
      <c r="CE589"/>
      <c r="CF589"/>
      <c r="CG589"/>
      <c r="CH589"/>
      <c r="CI589"/>
      <c r="CJ589"/>
      <c r="CK589"/>
    </row>
    <row r="590" spans="72:89" ht="16" hidden="1" x14ac:dyDescent="0.2">
      <c r="BT590"/>
      <c r="BU590"/>
      <c r="BV590"/>
      <c r="BW590"/>
      <c r="BX590"/>
      <c r="BY590"/>
      <c r="BZ590"/>
      <c r="CA590"/>
      <c r="CB590"/>
      <c r="CC590"/>
      <c r="CD590"/>
      <c r="CE590"/>
      <c r="CF590"/>
      <c r="CG590"/>
      <c r="CH590"/>
      <c r="CI590"/>
      <c r="CJ590"/>
      <c r="CK590"/>
    </row>
    <row r="591" spans="72:89" ht="16" hidden="1" x14ac:dyDescent="0.2">
      <c r="BT591"/>
      <c r="BU591"/>
      <c r="BV591"/>
      <c r="BW591"/>
      <c r="BX591"/>
      <c r="BY591"/>
      <c r="BZ591"/>
      <c r="CA591"/>
      <c r="CB591"/>
      <c r="CC591"/>
      <c r="CD591"/>
      <c r="CE591"/>
      <c r="CF591"/>
      <c r="CG591"/>
      <c r="CH591"/>
      <c r="CI591"/>
      <c r="CJ591"/>
      <c r="CK591"/>
    </row>
    <row r="592" spans="72:89" ht="16" hidden="1" x14ac:dyDescent="0.2">
      <c r="BT592"/>
      <c r="BU592"/>
      <c r="BV592"/>
      <c r="BW592"/>
      <c r="BX592"/>
      <c r="BY592"/>
      <c r="BZ592"/>
      <c r="CA592"/>
      <c r="CB592"/>
      <c r="CC592"/>
      <c r="CD592"/>
      <c r="CE592"/>
      <c r="CF592"/>
      <c r="CG592"/>
      <c r="CH592"/>
      <c r="CI592"/>
      <c r="CJ592"/>
      <c r="CK592"/>
    </row>
    <row r="593" spans="72:89" ht="16" hidden="1" x14ac:dyDescent="0.2">
      <c r="BT593"/>
      <c r="BU593"/>
      <c r="BV593"/>
      <c r="BW593"/>
      <c r="BX593"/>
      <c r="BY593"/>
      <c r="BZ593"/>
      <c r="CA593"/>
      <c r="CB593"/>
      <c r="CC593"/>
      <c r="CD593"/>
      <c r="CE593"/>
      <c r="CF593"/>
      <c r="CG593"/>
      <c r="CH593"/>
      <c r="CI593"/>
      <c r="CJ593"/>
      <c r="CK593"/>
    </row>
    <row r="594" spans="72:89" ht="16" hidden="1" x14ac:dyDescent="0.2">
      <c r="BT594"/>
      <c r="BU594"/>
      <c r="BV594"/>
      <c r="BW594"/>
      <c r="BX594"/>
      <c r="BY594"/>
      <c r="BZ594"/>
      <c r="CA594"/>
      <c r="CB594"/>
      <c r="CC594"/>
      <c r="CD594"/>
      <c r="CE594"/>
      <c r="CF594"/>
      <c r="CG594"/>
      <c r="CH594"/>
      <c r="CI594"/>
      <c r="CJ594"/>
      <c r="CK594"/>
    </row>
    <row r="595" spans="72:89" ht="16" hidden="1" x14ac:dyDescent="0.2">
      <c r="BT595"/>
      <c r="BU595"/>
      <c r="BV595"/>
      <c r="BW595"/>
      <c r="BX595"/>
      <c r="BY595"/>
      <c r="BZ595"/>
      <c r="CA595"/>
      <c r="CB595"/>
      <c r="CC595"/>
      <c r="CD595"/>
      <c r="CE595"/>
      <c r="CF595"/>
      <c r="CG595"/>
      <c r="CH595"/>
      <c r="CI595"/>
      <c r="CJ595"/>
      <c r="CK595"/>
    </row>
    <row r="596" spans="72:89" ht="16" hidden="1" x14ac:dyDescent="0.2">
      <c r="BT596"/>
      <c r="BU596"/>
      <c r="BV596"/>
      <c r="BW596"/>
      <c r="BX596"/>
      <c r="BY596"/>
      <c r="BZ596"/>
      <c r="CA596"/>
      <c r="CB596"/>
      <c r="CC596"/>
      <c r="CD596"/>
      <c r="CE596"/>
      <c r="CF596"/>
      <c r="CG596"/>
      <c r="CH596"/>
      <c r="CI596"/>
      <c r="CJ596"/>
      <c r="CK596"/>
    </row>
    <row r="597" spans="72:89" ht="16" hidden="1" x14ac:dyDescent="0.2">
      <c r="BT597"/>
      <c r="BU597"/>
      <c r="BV597"/>
      <c r="BW597"/>
      <c r="BX597"/>
      <c r="BY597"/>
      <c r="BZ597"/>
      <c r="CA597"/>
      <c r="CB597"/>
      <c r="CC597"/>
      <c r="CD597"/>
      <c r="CE597"/>
      <c r="CF597"/>
      <c r="CG597"/>
      <c r="CH597"/>
      <c r="CI597"/>
      <c r="CJ597"/>
      <c r="CK597"/>
    </row>
    <row r="598" spans="72:89" ht="16" hidden="1" x14ac:dyDescent="0.2">
      <c r="BT598"/>
      <c r="BU598"/>
      <c r="BV598"/>
      <c r="BW598"/>
      <c r="BX598"/>
      <c r="BY598"/>
      <c r="BZ598"/>
      <c r="CA598"/>
      <c r="CB598"/>
      <c r="CC598"/>
      <c r="CD598"/>
      <c r="CE598"/>
      <c r="CF598"/>
      <c r="CG598"/>
      <c r="CH598"/>
      <c r="CI598"/>
      <c r="CJ598"/>
      <c r="CK598"/>
    </row>
    <row r="599" spans="72:89" ht="16" hidden="1" x14ac:dyDescent="0.2">
      <c r="BT599"/>
      <c r="BU599"/>
      <c r="BV599"/>
      <c r="BW599"/>
      <c r="BX599"/>
      <c r="BY599"/>
      <c r="BZ599"/>
      <c r="CA599"/>
      <c r="CB599"/>
      <c r="CC599"/>
      <c r="CD599"/>
      <c r="CE599"/>
      <c r="CF599"/>
      <c r="CG599"/>
      <c r="CH599"/>
      <c r="CI599"/>
      <c r="CJ599"/>
      <c r="CK599"/>
    </row>
    <row r="600" spans="72:89" ht="16" hidden="1" x14ac:dyDescent="0.2">
      <c r="BT600"/>
      <c r="BU600"/>
      <c r="BV600"/>
      <c r="BW600"/>
      <c r="BX600"/>
      <c r="BY600"/>
      <c r="BZ600"/>
      <c r="CA600"/>
      <c r="CB600"/>
      <c r="CC600"/>
      <c r="CD600"/>
      <c r="CE600"/>
      <c r="CF600"/>
      <c r="CG600"/>
      <c r="CH600"/>
      <c r="CI600"/>
      <c r="CJ600"/>
      <c r="CK600"/>
    </row>
    <row r="601" spans="72:89" ht="16" hidden="1" x14ac:dyDescent="0.2">
      <c r="BT601"/>
      <c r="BU601"/>
      <c r="BV601"/>
      <c r="BW601"/>
      <c r="BX601"/>
      <c r="BY601"/>
      <c r="BZ601"/>
      <c r="CA601"/>
      <c r="CB601"/>
      <c r="CC601"/>
      <c r="CD601"/>
      <c r="CE601"/>
      <c r="CF601"/>
      <c r="CG601"/>
      <c r="CH601"/>
      <c r="CI601"/>
      <c r="CJ601"/>
      <c r="CK601"/>
    </row>
    <row r="602" spans="72:89" ht="16" hidden="1" x14ac:dyDescent="0.2">
      <c r="BT602"/>
      <c r="BU602"/>
      <c r="BV602"/>
      <c r="BW602"/>
      <c r="BX602"/>
      <c r="BY602"/>
      <c r="BZ602"/>
      <c r="CA602"/>
      <c r="CB602"/>
      <c r="CC602"/>
      <c r="CD602"/>
      <c r="CE602"/>
      <c r="CF602"/>
      <c r="CG602"/>
      <c r="CH602"/>
      <c r="CI602"/>
      <c r="CJ602"/>
      <c r="CK602"/>
    </row>
    <row r="603" spans="72:89" ht="16" hidden="1" x14ac:dyDescent="0.2">
      <c r="BT603"/>
      <c r="BU603"/>
      <c r="BV603"/>
      <c r="BW603"/>
      <c r="BX603"/>
      <c r="BY603"/>
      <c r="BZ603"/>
      <c r="CA603"/>
      <c r="CB603"/>
      <c r="CC603"/>
      <c r="CD603"/>
      <c r="CE603"/>
      <c r="CF603"/>
      <c r="CG603"/>
      <c r="CH603"/>
      <c r="CI603"/>
      <c r="CJ603"/>
      <c r="CK603"/>
    </row>
    <row r="604" spans="72:89" ht="16" hidden="1" x14ac:dyDescent="0.2">
      <c r="BT604"/>
      <c r="BU604"/>
      <c r="BV604"/>
      <c r="BW604"/>
      <c r="BX604"/>
      <c r="BY604"/>
      <c r="BZ604"/>
      <c r="CA604"/>
      <c r="CB604"/>
      <c r="CC604"/>
      <c r="CD604"/>
      <c r="CE604"/>
      <c r="CF604"/>
      <c r="CG604"/>
      <c r="CH604"/>
      <c r="CI604"/>
      <c r="CJ604"/>
      <c r="CK604"/>
    </row>
    <row r="605" spans="72:89" ht="16" hidden="1" x14ac:dyDescent="0.2">
      <c r="BT605"/>
      <c r="BU605"/>
      <c r="BV605"/>
      <c r="BW605"/>
      <c r="BX605"/>
      <c r="BY605"/>
      <c r="BZ605"/>
      <c r="CA605"/>
      <c r="CB605"/>
      <c r="CC605"/>
      <c r="CD605"/>
      <c r="CE605"/>
      <c r="CF605"/>
      <c r="CG605"/>
      <c r="CH605"/>
      <c r="CI605"/>
      <c r="CJ605"/>
      <c r="CK605"/>
    </row>
    <row r="606" spans="72:89" ht="16" hidden="1" x14ac:dyDescent="0.2">
      <c r="BT606"/>
      <c r="BU606"/>
      <c r="BV606"/>
      <c r="BW606"/>
      <c r="BX606"/>
      <c r="BY606"/>
      <c r="BZ606"/>
      <c r="CA606"/>
      <c r="CB606"/>
      <c r="CC606"/>
      <c r="CD606"/>
      <c r="CE606"/>
      <c r="CF606"/>
      <c r="CG606"/>
      <c r="CH606"/>
      <c r="CI606"/>
      <c r="CJ606"/>
      <c r="CK606"/>
    </row>
    <row r="607" spans="72:89" ht="16" hidden="1" x14ac:dyDescent="0.2">
      <c r="BT607"/>
      <c r="BU607"/>
      <c r="BV607"/>
      <c r="BW607"/>
      <c r="BX607"/>
      <c r="BY607"/>
      <c r="BZ607"/>
      <c r="CA607"/>
      <c r="CB607"/>
      <c r="CC607"/>
      <c r="CD607"/>
      <c r="CE607"/>
      <c r="CF607"/>
      <c r="CG607"/>
      <c r="CH607"/>
      <c r="CI607"/>
      <c r="CJ607"/>
      <c r="CK607"/>
    </row>
    <row r="608" spans="72:89" ht="16" hidden="1" x14ac:dyDescent="0.2">
      <c r="BT608"/>
      <c r="BU608"/>
      <c r="BV608"/>
      <c r="BW608"/>
      <c r="BX608"/>
      <c r="BY608"/>
      <c r="BZ608"/>
      <c r="CA608"/>
      <c r="CB608"/>
      <c r="CC608"/>
      <c r="CD608"/>
      <c r="CE608"/>
      <c r="CF608"/>
      <c r="CG608"/>
      <c r="CH608"/>
      <c r="CI608"/>
      <c r="CJ608"/>
      <c r="CK608"/>
    </row>
    <row r="609" spans="72:89" ht="16" hidden="1" x14ac:dyDescent="0.2">
      <c r="BT609"/>
      <c r="BU609"/>
      <c r="BV609"/>
      <c r="BW609"/>
      <c r="BX609"/>
      <c r="BY609"/>
      <c r="BZ609"/>
      <c r="CA609"/>
      <c r="CB609"/>
      <c r="CC609"/>
      <c r="CD609"/>
      <c r="CE609"/>
      <c r="CF609"/>
      <c r="CG609"/>
      <c r="CH609"/>
      <c r="CI609"/>
      <c r="CJ609"/>
      <c r="CK609"/>
    </row>
    <row r="610" spans="72:89" ht="16" hidden="1" x14ac:dyDescent="0.2">
      <c r="BT610"/>
      <c r="BU610"/>
      <c r="BV610"/>
      <c r="BW610"/>
      <c r="BX610"/>
      <c r="BY610"/>
      <c r="BZ610"/>
      <c r="CA610"/>
      <c r="CB610"/>
      <c r="CC610"/>
      <c r="CD610"/>
      <c r="CE610"/>
      <c r="CF610"/>
      <c r="CG610"/>
      <c r="CH610"/>
      <c r="CI610"/>
      <c r="CJ610"/>
      <c r="CK610"/>
    </row>
    <row r="611" spans="72:89" ht="16" hidden="1" x14ac:dyDescent="0.2">
      <c r="BT611"/>
      <c r="BU611"/>
      <c r="BV611"/>
      <c r="BW611"/>
      <c r="BX611"/>
      <c r="BY611"/>
      <c r="BZ611"/>
      <c r="CA611"/>
      <c r="CB611"/>
      <c r="CC611"/>
      <c r="CD611"/>
      <c r="CE611"/>
      <c r="CF611"/>
      <c r="CG611"/>
      <c r="CH611"/>
      <c r="CI611"/>
      <c r="CJ611"/>
      <c r="CK611"/>
    </row>
    <row r="612" spans="72:89" ht="16" hidden="1" x14ac:dyDescent="0.2">
      <c r="BT612"/>
      <c r="BU612"/>
      <c r="BV612"/>
      <c r="BW612"/>
      <c r="BX612"/>
      <c r="BY612"/>
      <c r="BZ612"/>
      <c r="CA612"/>
      <c r="CB612"/>
      <c r="CC612"/>
      <c r="CD612"/>
      <c r="CE612"/>
      <c r="CF612"/>
      <c r="CG612"/>
      <c r="CH612"/>
      <c r="CI612"/>
      <c r="CJ612"/>
      <c r="CK612"/>
    </row>
    <row r="613" spans="72:89" ht="16" hidden="1" x14ac:dyDescent="0.2">
      <c r="BT613"/>
      <c r="BU613"/>
      <c r="BV613"/>
      <c r="BW613"/>
      <c r="BX613"/>
      <c r="BY613"/>
      <c r="BZ613"/>
      <c r="CA613"/>
      <c r="CB613"/>
      <c r="CC613"/>
      <c r="CD613"/>
      <c r="CE613"/>
      <c r="CF613"/>
      <c r="CG613"/>
      <c r="CH613"/>
      <c r="CI613"/>
      <c r="CJ613"/>
      <c r="CK613"/>
    </row>
    <row r="614" spans="72:89" ht="16" hidden="1" x14ac:dyDescent="0.2">
      <c r="BT614"/>
      <c r="BU614"/>
      <c r="BV614"/>
      <c r="BW614"/>
      <c r="BX614"/>
      <c r="BY614"/>
      <c r="BZ614"/>
      <c r="CA614"/>
      <c r="CB614"/>
      <c r="CC614"/>
      <c r="CD614"/>
      <c r="CE614"/>
      <c r="CF614"/>
      <c r="CG614"/>
      <c r="CH614"/>
      <c r="CI614"/>
      <c r="CJ614"/>
      <c r="CK614"/>
    </row>
    <row r="615" spans="72:89" ht="16" hidden="1" x14ac:dyDescent="0.2">
      <c r="BT615"/>
      <c r="BU615"/>
      <c r="BV615"/>
      <c r="BW615"/>
      <c r="BX615"/>
      <c r="BY615"/>
      <c r="BZ615"/>
      <c r="CA615"/>
      <c r="CB615"/>
      <c r="CC615"/>
      <c r="CD615"/>
      <c r="CE615"/>
      <c r="CF615"/>
      <c r="CG615"/>
      <c r="CH615"/>
      <c r="CI615"/>
      <c r="CJ615"/>
      <c r="CK615"/>
    </row>
    <row r="616" spans="72:89" ht="16" hidden="1" x14ac:dyDescent="0.2">
      <c r="BT616"/>
      <c r="BU616"/>
      <c r="BV616"/>
      <c r="BW616"/>
      <c r="BX616"/>
      <c r="BY616"/>
      <c r="BZ616"/>
      <c r="CA616"/>
      <c r="CB616"/>
      <c r="CC616"/>
      <c r="CD616"/>
      <c r="CE616"/>
      <c r="CF616"/>
      <c r="CG616"/>
      <c r="CH616"/>
      <c r="CI616"/>
      <c r="CJ616"/>
      <c r="CK616"/>
    </row>
    <row r="617" spans="72:89" ht="16" hidden="1" x14ac:dyDescent="0.2">
      <c r="BT617"/>
      <c r="BU617"/>
      <c r="BV617"/>
      <c r="BW617"/>
      <c r="BX617"/>
      <c r="BY617"/>
      <c r="BZ617"/>
      <c r="CA617"/>
      <c r="CB617"/>
      <c r="CC617"/>
      <c r="CD617"/>
      <c r="CE617"/>
      <c r="CF617"/>
      <c r="CG617"/>
      <c r="CH617"/>
      <c r="CI617"/>
      <c r="CJ617"/>
      <c r="CK617"/>
    </row>
    <row r="618" spans="72:89" ht="16" hidden="1" x14ac:dyDescent="0.2">
      <c r="BT618"/>
      <c r="BU618"/>
      <c r="BV618"/>
      <c r="BW618"/>
      <c r="BX618"/>
      <c r="BY618"/>
      <c r="BZ618"/>
      <c r="CA618"/>
      <c r="CB618"/>
      <c r="CC618"/>
      <c r="CD618"/>
      <c r="CE618"/>
      <c r="CF618"/>
      <c r="CG618"/>
      <c r="CH618"/>
      <c r="CI618"/>
      <c r="CJ618"/>
      <c r="CK618"/>
    </row>
    <row r="619" spans="72:89" ht="16" hidden="1" x14ac:dyDescent="0.2">
      <c r="BT619"/>
      <c r="BU619"/>
      <c r="BV619"/>
      <c r="BW619"/>
      <c r="BX619"/>
      <c r="BY619"/>
      <c r="BZ619"/>
      <c r="CA619"/>
      <c r="CB619"/>
      <c r="CC619"/>
      <c r="CD619"/>
      <c r="CE619"/>
      <c r="CF619"/>
      <c r="CG619"/>
      <c r="CH619"/>
      <c r="CI619"/>
      <c r="CJ619"/>
      <c r="CK619"/>
    </row>
    <row r="620" spans="72:89" ht="16" hidden="1" x14ac:dyDescent="0.2">
      <c r="BT620"/>
      <c r="BU620"/>
      <c r="BV620"/>
      <c r="BW620"/>
      <c r="BX620"/>
      <c r="BY620"/>
      <c r="BZ620"/>
      <c r="CA620"/>
      <c r="CB620"/>
      <c r="CC620"/>
      <c r="CD620"/>
      <c r="CE620"/>
      <c r="CF620"/>
      <c r="CG620"/>
      <c r="CH620"/>
      <c r="CI620"/>
      <c r="CJ620"/>
      <c r="CK620"/>
    </row>
    <row r="621" spans="72:89" ht="16" hidden="1" x14ac:dyDescent="0.2">
      <c r="BT621"/>
      <c r="BU621"/>
      <c r="BV621"/>
      <c r="BW621"/>
      <c r="BX621"/>
      <c r="BY621"/>
      <c r="BZ621"/>
      <c r="CA621"/>
      <c r="CB621"/>
      <c r="CC621"/>
      <c r="CD621"/>
      <c r="CE621"/>
      <c r="CF621"/>
      <c r="CG621"/>
      <c r="CH621"/>
      <c r="CI621"/>
      <c r="CJ621"/>
      <c r="CK621"/>
    </row>
    <row r="622" spans="72:89" ht="16" hidden="1" x14ac:dyDescent="0.2">
      <c r="BT622"/>
      <c r="BU622"/>
      <c r="BV622"/>
      <c r="BW622"/>
      <c r="BX622"/>
      <c r="BY622"/>
      <c r="BZ622"/>
      <c r="CA622"/>
      <c r="CB622"/>
      <c r="CC622"/>
      <c r="CD622"/>
      <c r="CE622"/>
      <c r="CF622"/>
      <c r="CG622"/>
      <c r="CH622"/>
      <c r="CI622"/>
      <c r="CJ622"/>
      <c r="CK622"/>
    </row>
    <row r="623" spans="72:89" ht="16" hidden="1" x14ac:dyDescent="0.2">
      <c r="BT623"/>
      <c r="BU623"/>
      <c r="BV623"/>
      <c r="BW623"/>
      <c r="BX623"/>
      <c r="BY623"/>
      <c r="BZ623"/>
      <c r="CA623"/>
      <c r="CB623"/>
      <c r="CC623"/>
      <c r="CD623"/>
      <c r="CE623"/>
      <c r="CF623"/>
      <c r="CG623"/>
      <c r="CH623"/>
      <c r="CI623"/>
      <c r="CJ623"/>
      <c r="CK623"/>
    </row>
    <row r="624" spans="72:89" ht="16" hidden="1" x14ac:dyDescent="0.2">
      <c r="BT624"/>
      <c r="BU624"/>
      <c r="BV624"/>
      <c r="BW624"/>
      <c r="BX624"/>
      <c r="BY624"/>
      <c r="BZ624"/>
      <c r="CA624"/>
      <c r="CB624"/>
      <c r="CC624"/>
      <c r="CD624"/>
      <c r="CE624"/>
      <c r="CF624"/>
      <c r="CG624"/>
      <c r="CH624"/>
      <c r="CI624"/>
      <c r="CJ624"/>
      <c r="CK624"/>
    </row>
    <row r="625" spans="72:89" ht="16" hidden="1" x14ac:dyDescent="0.2">
      <c r="BT625"/>
      <c r="BU625"/>
      <c r="BV625"/>
      <c r="BW625"/>
      <c r="BX625"/>
      <c r="BY625"/>
      <c r="BZ625"/>
      <c r="CA625"/>
      <c r="CB625"/>
      <c r="CC625"/>
      <c r="CD625"/>
      <c r="CE625"/>
      <c r="CF625"/>
      <c r="CG625"/>
      <c r="CH625"/>
      <c r="CI625"/>
      <c r="CJ625"/>
      <c r="CK625"/>
    </row>
    <row r="626" spans="72:89" ht="16" hidden="1" x14ac:dyDescent="0.2">
      <c r="BT626"/>
      <c r="BU626"/>
      <c r="BV626"/>
      <c r="BW626"/>
      <c r="BX626"/>
      <c r="BY626"/>
      <c r="BZ626"/>
      <c r="CA626"/>
      <c r="CB626"/>
      <c r="CC626"/>
      <c r="CD626"/>
      <c r="CE626"/>
      <c r="CF626"/>
      <c r="CG626"/>
      <c r="CH626"/>
      <c r="CI626"/>
      <c r="CJ626"/>
      <c r="CK626"/>
    </row>
    <row r="627" spans="72:89" ht="16" hidden="1" x14ac:dyDescent="0.2">
      <c r="BT627"/>
      <c r="BU627"/>
      <c r="BV627"/>
      <c r="BW627"/>
      <c r="BX627"/>
      <c r="BY627"/>
      <c r="BZ627"/>
      <c r="CA627"/>
      <c r="CB627"/>
      <c r="CC627"/>
      <c r="CD627"/>
      <c r="CE627"/>
      <c r="CF627"/>
      <c r="CG627"/>
      <c r="CH627"/>
      <c r="CI627"/>
      <c r="CJ627"/>
      <c r="CK627"/>
    </row>
    <row r="628" spans="72:89" ht="16" hidden="1" x14ac:dyDescent="0.2">
      <c r="BT628"/>
      <c r="BU628"/>
      <c r="BV628"/>
      <c r="BW628"/>
      <c r="BX628"/>
      <c r="BY628"/>
      <c r="BZ628"/>
      <c r="CA628"/>
      <c r="CB628"/>
      <c r="CC628"/>
      <c r="CD628"/>
      <c r="CE628"/>
      <c r="CF628"/>
      <c r="CG628"/>
      <c r="CH628"/>
      <c r="CI628"/>
      <c r="CJ628"/>
      <c r="CK628"/>
    </row>
    <row r="629" spans="72:89" ht="16" hidden="1" x14ac:dyDescent="0.2">
      <c r="BT629"/>
      <c r="BU629"/>
      <c r="BV629"/>
      <c r="BW629"/>
      <c r="BX629"/>
      <c r="BY629"/>
      <c r="BZ629"/>
      <c r="CA629"/>
      <c r="CB629"/>
      <c r="CC629"/>
      <c r="CD629"/>
      <c r="CE629"/>
      <c r="CF629"/>
      <c r="CG629"/>
      <c r="CH629"/>
      <c r="CI629"/>
      <c r="CJ629"/>
      <c r="CK629"/>
    </row>
    <row r="630" spans="72:89" ht="16" hidden="1" x14ac:dyDescent="0.2">
      <c r="BT630"/>
      <c r="BU630"/>
      <c r="BV630"/>
      <c r="BW630"/>
      <c r="BX630"/>
      <c r="BY630"/>
      <c r="BZ630"/>
      <c r="CA630"/>
      <c r="CB630"/>
      <c r="CC630"/>
      <c r="CD630"/>
      <c r="CE630"/>
      <c r="CF630"/>
      <c r="CG630"/>
      <c r="CH630"/>
      <c r="CI630"/>
      <c r="CJ630"/>
      <c r="CK630"/>
    </row>
    <row r="631" spans="72:89" ht="16" hidden="1" x14ac:dyDescent="0.2">
      <c r="BT631"/>
      <c r="BU631"/>
      <c r="BV631"/>
      <c r="BW631"/>
      <c r="BX631"/>
      <c r="BY631"/>
      <c r="BZ631"/>
      <c r="CA631"/>
      <c r="CB631"/>
      <c r="CC631"/>
      <c r="CD631"/>
      <c r="CE631"/>
      <c r="CF631"/>
      <c r="CG631"/>
      <c r="CH631"/>
      <c r="CI631"/>
      <c r="CJ631"/>
      <c r="CK631"/>
    </row>
    <row r="632" spans="72:89" ht="16" hidden="1" x14ac:dyDescent="0.2">
      <c r="BT632"/>
      <c r="BU632"/>
      <c r="BV632"/>
      <c r="BW632"/>
      <c r="BX632"/>
      <c r="BY632"/>
      <c r="BZ632"/>
      <c r="CA632"/>
      <c r="CB632"/>
      <c r="CC632"/>
      <c r="CD632"/>
      <c r="CE632"/>
      <c r="CF632"/>
      <c r="CG632"/>
      <c r="CH632"/>
      <c r="CI632"/>
      <c r="CJ632"/>
      <c r="CK632"/>
    </row>
    <row r="633" spans="72:89" ht="16" hidden="1" x14ac:dyDescent="0.2">
      <c r="BT633"/>
      <c r="BU633"/>
      <c r="BV633"/>
      <c r="BW633"/>
      <c r="BX633"/>
      <c r="BY633"/>
      <c r="BZ633"/>
      <c r="CA633"/>
      <c r="CB633"/>
      <c r="CC633"/>
      <c r="CD633"/>
      <c r="CE633"/>
      <c r="CF633"/>
      <c r="CG633"/>
      <c r="CH633"/>
      <c r="CI633"/>
      <c r="CJ633"/>
      <c r="CK633"/>
    </row>
    <row r="634" spans="72:89" ht="16" hidden="1" x14ac:dyDescent="0.2">
      <c r="BT634"/>
      <c r="BU634"/>
      <c r="BV634"/>
      <c r="BW634"/>
      <c r="BX634"/>
      <c r="BY634"/>
      <c r="BZ634"/>
      <c r="CA634"/>
      <c r="CB634"/>
      <c r="CC634"/>
      <c r="CD634"/>
      <c r="CE634"/>
      <c r="CF634"/>
      <c r="CG634"/>
      <c r="CH634"/>
      <c r="CI634"/>
      <c r="CJ634"/>
      <c r="CK634"/>
    </row>
    <row r="635" spans="72:89" ht="16" hidden="1" x14ac:dyDescent="0.2">
      <c r="BT635"/>
      <c r="BU635"/>
      <c r="BV635"/>
      <c r="BW635"/>
      <c r="BX635"/>
      <c r="BY635"/>
      <c r="BZ635"/>
      <c r="CA635"/>
      <c r="CB635"/>
      <c r="CC635"/>
      <c r="CD635"/>
      <c r="CE635"/>
      <c r="CF635"/>
      <c r="CG635"/>
      <c r="CH635"/>
      <c r="CI635"/>
      <c r="CJ635"/>
      <c r="CK635"/>
    </row>
    <row r="636" spans="72:89" ht="16" hidden="1" x14ac:dyDescent="0.2">
      <c r="BT636"/>
      <c r="BU636"/>
      <c r="BV636"/>
      <c r="BW636"/>
      <c r="BX636"/>
      <c r="BY636"/>
      <c r="BZ636"/>
      <c r="CA636"/>
      <c r="CB636"/>
      <c r="CC636"/>
      <c r="CD636"/>
      <c r="CE636"/>
      <c r="CF636"/>
      <c r="CG636"/>
      <c r="CH636"/>
      <c r="CI636"/>
      <c r="CJ636"/>
      <c r="CK636"/>
    </row>
    <row r="637" spans="72:89" ht="16" hidden="1" x14ac:dyDescent="0.2">
      <c r="BT637"/>
      <c r="BU637"/>
      <c r="BV637"/>
      <c r="BW637"/>
      <c r="BX637"/>
      <c r="BY637"/>
      <c r="BZ637"/>
      <c r="CA637"/>
      <c r="CB637"/>
      <c r="CC637"/>
      <c r="CD637"/>
      <c r="CE637"/>
      <c r="CF637"/>
      <c r="CG637"/>
      <c r="CH637"/>
      <c r="CI637"/>
      <c r="CJ637"/>
      <c r="CK637"/>
    </row>
    <row r="638" spans="72:89" ht="16" hidden="1" x14ac:dyDescent="0.2">
      <c r="BT638"/>
      <c r="BU638"/>
      <c r="BV638"/>
      <c r="BW638"/>
      <c r="BX638"/>
      <c r="BY638"/>
      <c r="BZ638"/>
      <c r="CA638"/>
      <c r="CB638"/>
      <c r="CC638"/>
      <c r="CD638"/>
      <c r="CE638"/>
      <c r="CF638"/>
      <c r="CG638"/>
      <c r="CH638"/>
      <c r="CI638"/>
      <c r="CJ638"/>
      <c r="CK638"/>
    </row>
    <row r="639" spans="72:89" ht="16" hidden="1" x14ac:dyDescent="0.2">
      <c r="BT639"/>
      <c r="BU639"/>
      <c r="BV639"/>
      <c r="BW639"/>
      <c r="BX639"/>
      <c r="BY639"/>
      <c r="BZ639"/>
      <c r="CA639"/>
      <c r="CB639"/>
      <c r="CC639"/>
      <c r="CD639"/>
      <c r="CE639"/>
      <c r="CF639"/>
      <c r="CG639"/>
      <c r="CH639"/>
      <c r="CI639"/>
      <c r="CJ639"/>
      <c r="CK639"/>
    </row>
    <row r="640" spans="72:89" ht="16" hidden="1" x14ac:dyDescent="0.2">
      <c r="BT640"/>
      <c r="BU640"/>
      <c r="BV640"/>
      <c r="BW640"/>
      <c r="BX640"/>
      <c r="BY640"/>
      <c r="BZ640"/>
      <c r="CA640"/>
      <c r="CB640"/>
      <c r="CC640"/>
      <c r="CD640"/>
      <c r="CE640"/>
      <c r="CF640"/>
      <c r="CG640"/>
      <c r="CH640"/>
      <c r="CI640"/>
      <c r="CJ640"/>
      <c r="CK640"/>
    </row>
    <row r="641" spans="72:89" ht="16" hidden="1" x14ac:dyDescent="0.2">
      <c r="BT641"/>
      <c r="BU641"/>
      <c r="BV641"/>
      <c r="BW641"/>
      <c r="BX641"/>
      <c r="BY641"/>
      <c r="BZ641"/>
      <c r="CA641"/>
      <c r="CB641"/>
      <c r="CC641"/>
      <c r="CD641"/>
      <c r="CE641"/>
      <c r="CF641"/>
      <c r="CG641"/>
      <c r="CH641"/>
      <c r="CI641"/>
      <c r="CJ641"/>
      <c r="CK641"/>
    </row>
    <row r="642" spans="72:89" ht="16" hidden="1" x14ac:dyDescent="0.2">
      <c r="BT642"/>
      <c r="BU642"/>
      <c r="BV642"/>
      <c r="BW642"/>
      <c r="BX642"/>
      <c r="BY642"/>
      <c r="BZ642"/>
      <c r="CA642"/>
      <c r="CB642"/>
      <c r="CC642"/>
      <c r="CD642"/>
      <c r="CE642"/>
      <c r="CF642"/>
      <c r="CG642"/>
      <c r="CH642"/>
      <c r="CI642"/>
      <c r="CJ642"/>
      <c r="CK642"/>
    </row>
    <row r="643" spans="72:89" ht="16" hidden="1" x14ac:dyDescent="0.2">
      <c r="BT643"/>
      <c r="BU643"/>
      <c r="BV643"/>
      <c r="BW643"/>
      <c r="BX643"/>
      <c r="BY643"/>
      <c r="BZ643"/>
      <c r="CA643"/>
      <c r="CB643"/>
      <c r="CC643"/>
      <c r="CD643"/>
      <c r="CE643"/>
      <c r="CF643"/>
      <c r="CG643"/>
      <c r="CH643"/>
      <c r="CI643"/>
      <c r="CJ643"/>
      <c r="CK643"/>
    </row>
    <row r="644" spans="72:89" ht="16" hidden="1" x14ac:dyDescent="0.2">
      <c r="BT644"/>
      <c r="BU644"/>
      <c r="BV644"/>
      <c r="BW644"/>
      <c r="BX644"/>
      <c r="BY644"/>
      <c r="BZ644"/>
      <c r="CA644"/>
      <c r="CB644"/>
      <c r="CC644"/>
      <c r="CD644"/>
      <c r="CE644"/>
      <c r="CF644"/>
      <c r="CG644"/>
      <c r="CH644"/>
      <c r="CI644"/>
      <c r="CJ644"/>
      <c r="CK644"/>
    </row>
    <row r="645" spans="72:89" ht="16" hidden="1" x14ac:dyDescent="0.2">
      <c r="BT645"/>
      <c r="BU645"/>
      <c r="BV645"/>
      <c r="BW645"/>
      <c r="BX645"/>
      <c r="BY645"/>
      <c r="BZ645"/>
      <c r="CA645"/>
      <c r="CB645"/>
      <c r="CC645"/>
      <c r="CD645"/>
      <c r="CE645"/>
      <c r="CF645"/>
      <c r="CG645"/>
      <c r="CH645"/>
      <c r="CI645"/>
      <c r="CJ645"/>
      <c r="CK645"/>
    </row>
    <row r="646" spans="72:89" ht="16" hidden="1" x14ac:dyDescent="0.2">
      <c r="BT646"/>
      <c r="BU646"/>
      <c r="BV646"/>
      <c r="BW646"/>
      <c r="BX646"/>
      <c r="BY646"/>
      <c r="BZ646"/>
      <c r="CA646"/>
      <c r="CB646"/>
      <c r="CC646"/>
      <c r="CD646"/>
      <c r="CE646"/>
      <c r="CF646"/>
      <c r="CG646"/>
      <c r="CH646"/>
      <c r="CI646"/>
      <c r="CJ646"/>
      <c r="CK646"/>
    </row>
    <row r="647" spans="72:89" ht="16" hidden="1" x14ac:dyDescent="0.2">
      <c r="BT647"/>
      <c r="BU647"/>
      <c r="BV647"/>
      <c r="BW647"/>
      <c r="BX647"/>
      <c r="BY647"/>
      <c r="BZ647"/>
      <c r="CA647"/>
      <c r="CB647"/>
      <c r="CC647"/>
      <c r="CD647"/>
      <c r="CE647"/>
      <c r="CF647"/>
      <c r="CG647"/>
      <c r="CH647"/>
      <c r="CI647"/>
      <c r="CJ647"/>
      <c r="CK647"/>
    </row>
    <row r="648" spans="72:89" ht="16" hidden="1" x14ac:dyDescent="0.2">
      <c r="BT648"/>
      <c r="BU648"/>
      <c r="BV648"/>
      <c r="BW648"/>
      <c r="BX648"/>
      <c r="BY648"/>
      <c r="BZ648"/>
      <c r="CA648"/>
      <c r="CB648"/>
      <c r="CC648"/>
      <c r="CD648"/>
      <c r="CE648"/>
      <c r="CF648"/>
      <c r="CG648"/>
      <c r="CH648"/>
      <c r="CI648"/>
      <c r="CJ648"/>
      <c r="CK648"/>
    </row>
    <row r="649" spans="72:89" ht="16" hidden="1" x14ac:dyDescent="0.2">
      <c r="BT649"/>
      <c r="BU649"/>
      <c r="BV649"/>
      <c r="BW649"/>
      <c r="BX649"/>
      <c r="BY649"/>
      <c r="BZ649"/>
      <c r="CA649"/>
      <c r="CB649"/>
      <c r="CC649"/>
      <c r="CD649"/>
      <c r="CE649"/>
      <c r="CF649"/>
      <c r="CG649"/>
      <c r="CH649"/>
      <c r="CI649"/>
      <c r="CJ649"/>
      <c r="CK649"/>
    </row>
    <row r="650" spans="72:89" ht="16" hidden="1" x14ac:dyDescent="0.2">
      <c r="BT650"/>
      <c r="BU650"/>
      <c r="BV650"/>
      <c r="BW650"/>
      <c r="BX650"/>
      <c r="BY650"/>
      <c r="BZ650"/>
      <c r="CA650"/>
      <c r="CB650"/>
      <c r="CC650"/>
      <c r="CD650"/>
      <c r="CE650"/>
      <c r="CF650"/>
      <c r="CG650"/>
      <c r="CH650"/>
      <c r="CI650"/>
      <c r="CJ650"/>
      <c r="CK650"/>
    </row>
    <row r="651" spans="72:89" ht="16" hidden="1" x14ac:dyDescent="0.2">
      <c r="BT651"/>
      <c r="BU651"/>
      <c r="BV651"/>
      <c r="BW651"/>
      <c r="BX651"/>
      <c r="BY651"/>
      <c r="BZ651"/>
      <c r="CA651"/>
      <c r="CB651"/>
      <c r="CC651"/>
      <c r="CD651"/>
      <c r="CE651"/>
      <c r="CF651"/>
      <c r="CG651"/>
      <c r="CH651"/>
      <c r="CI651"/>
      <c r="CJ651"/>
      <c r="CK651"/>
    </row>
    <row r="652" spans="72:89" ht="16" hidden="1" x14ac:dyDescent="0.2">
      <c r="BT652"/>
      <c r="BU652"/>
      <c r="BV652"/>
      <c r="BW652"/>
      <c r="BX652"/>
      <c r="BY652"/>
      <c r="BZ652"/>
      <c r="CA652"/>
      <c r="CB652"/>
      <c r="CC652"/>
      <c r="CD652"/>
      <c r="CE652"/>
      <c r="CF652"/>
      <c r="CG652"/>
      <c r="CH652"/>
      <c r="CI652"/>
      <c r="CJ652"/>
      <c r="CK652"/>
    </row>
    <row r="653" spans="72:89" ht="16" hidden="1" x14ac:dyDescent="0.2">
      <c r="BT653"/>
      <c r="BU653"/>
      <c r="BV653"/>
      <c r="BW653"/>
      <c r="BX653"/>
      <c r="BY653"/>
      <c r="BZ653"/>
      <c r="CA653"/>
      <c r="CB653"/>
      <c r="CC653"/>
      <c r="CD653"/>
      <c r="CE653"/>
      <c r="CF653"/>
      <c r="CG653"/>
      <c r="CH653"/>
      <c r="CI653"/>
      <c r="CJ653"/>
      <c r="CK653"/>
    </row>
    <row r="654" spans="72:89" ht="16" hidden="1" x14ac:dyDescent="0.2">
      <c r="BT654"/>
      <c r="BU654"/>
      <c r="BV654"/>
      <c r="BW654"/>
      <c r="BX654"/>
      <c r="BY654"/>
      <c r="BZ654"/>
      <c r="CA654"/>
      <c r="CB654"/>
      <c r="CC654"/>
      <c r="CD654"/>
      <c r="CE654"/>
      <c r="CF654"/>
      <c r="CG654"/>
      <c r="CH654"/>
      <c r="CI654"/>
      <c r="CJ654"/>
      <c r="CK654"/>
    </row>
    <row r="655" spans="72:89" ht="16" hidden="1" x14ac:dyDescent="0.2">
      <c r="BT655"/>
      <c r="BU655"/>
      <c r="BV655"/>
      <c r="BW655"/>
      <c r="BX655"/>
      <c r="BY655"/>
      <c r="BZ655"/>
      <c r="CA655"/>
      <c r="CB655"/>
      <c r="CC655"/>
      <c r="CD655"/>
      <c r="CE655"/>
      <c r="CF655"/>
      <c r="CG655"/>
      <c r="CH655"/>
      <c r="CI655"/>
      <c r="CJ655"/>
      <c r="CK655"/>
    </row>
    <row r="656" spans="72:89" ht="16" hidden="1" x14ac:dyDescent="0.2">
      <c r="BT656"/>
      <c r="BU656"/>
      <c r="BV656"/>
      <c r="BW656"/>
      <c r="BX656"/>
      <c r="BY656"/>
      <c r="BZ656"/>
      <c r="CA656"/>
      <c r="CB656"/>
      <c r="CC656"/>
      <c r="CD656"/>
      <c r="CE656"/>
      <c r="CF656"/>
      <c r="CG656"/>
      <c r="CH656"/>
      <c r="CI656"/>
      <c r="CJ656"/>
      <c r="CK656"/>
    </row>
    <row r="657" spans="72:89" ht="16" hidden="1" x14ac:dyDescent="0.2">
      <c r="BT657"/>
      <c r="BU657"/>
      <c r="BV657"/>
      <c r="BW657"/>
      <c r="BX657"/>
      <c r="BY657"/>
      <c r="BZ657"/>
      <c r="CA657"/>
      <c r="CB657"/>
      <c r="CC657"/>
      <c r="CD657"/>
      <c r="CE657"/>
      <c r="CF657"/>
      <c r="CG657"/>
      <c r="CH657"/>
      <c r="CI657"/>
      <c r="CJ657"/>
      <c r="CK657"/>
    </row>
    <row r="658" spans="72:89" ht="16" hidden="1" x14ac:dyDescent="0.2">
      <c r="BT658"/>
      <c r="BU658"/>
      <c r="BV658"/>
      <c r="BW658"/>
      <c r="BX658"/>
      <c r="BY658"/>
      <c r="BZ658"/>
      <c r="CA658"/>
      <c r="CB658"/>
      <c r="CC658"/>
      <c r="CD658"/>
      <c r="CE658"/>
      <c r="CF658"/>
      <c r="CG658"/>
      <c r="CH658"/>
      <c r="CI658"/>
      <c r="CJ658"/>
      <c r="CK658"/>
    </row>
    <row r="659" spans="72:89" ht="16" hidden="1" x14ac:dyDescent="0.2">
      <c r="BT659"/>
      <c r="BU659"/>
      <c r="BV659"/>
      <c r="BW659"/>
      <c r="BX659"/>
      <c r="BY659"/>
      <c r="BZ659"/>
      <c r="CA659"/>
      <c r="CB659"/>
      <c r="CC659"/>
      <c r="CD659"/>
      <c r="CE659"/>
      <c r="CF659"/>
      <c r="CG659"/>
      <c r="CH659"/>
      <c r="CI659"/>
      <c r="CJ659"/>
      <c r="CK659"/>
    </row>
    <row r="660" spans="72:89" ht="16" hidden="1" x14ac:dyDescent="0.2">
      <c r="BT660"/>
      <c r="BU660"/>
      <c r="BV660"/>
      <c r="BW660"/>
      <c r="BX660"/>
      <c r="BY660"/>
      <c r="BZ660"/>
      <c r="CA660"/>
      <c r="CB660"/>
      <c r="CC660"/>
      <c r="CD660"/>
      <c r="CE660"/>
      <c r="CF660"/>
      <c r="CG660"/>
      <c r="CH660"/>
      <c r="CI660"/>
      <c r="CJ660"/>
      <c r="CK660"/>
    </row>
    <row r="661" spans="72:89" ht="16" hidden="1" x14ac:dyDescent="0.2">
      <c r="BT661"/>
      <c r="BU661"/>
      <c r="BV661"/>
      <c r="BW661"/>
      <c r="BX661"/>
      <c r="BY661"/>
      <c r="BZ661"/>
      <c r="CA661"/>
      <c r="CB661"/>
      <c r="CC661"/>
      <c r="CD661"/>
      <c r="CE661"/>
      <c r="CF661"/>
      <c r="CG661"/>
      <c r="CH661"/>
      <c r="CI661"/>
      <c r="CJ661"/>
      <c r="CK661"/>
    </row>
    <row r="662" spans="72:89" ht="16" hidden="1" x14ac:dyDescent="0.2">
      <c r="BT662"/>
      <c r="BU662"/>
      <c r="BV662"/>
      <c r="BW662"/>
      <c r="BX662"/>
      <c r="BY662"/>
      <c r="BZ662"/>
      <c r="CA662"/>
      <c r="CB662"/>
      <c r="CC662"/>
      <c r="CD662"/>
      <c r="CE662"/>
      <c r="CF662"/>
      <c r="CG662"/>
      <c r="CH662"/>
      <c r="CI662"/>
      <c r="CJ662"/>
      <c r="CK662"/>
    </row>
    <row r="663" spans="72:89" ht="16" hidden="1" x14ac:dyDescent="0.2">
      <c r="BT663"/>
      <c r="BU663"/>
      <c r="BV663"/>
      <c r="BW663"/>
      <c r="BX663"/>
      <c r="BY663"/>
      <c r="BZ663"/>
      <c r="CA663"/>
      <c r="CB663"/>
      <c r="CC663"/>
      <c r="CD663"/>
      <c r="CE663"/>
      <c r="CF663"/>
      <c r="CG663"/>
      <c r="CH663"/>
      <c r="CI663"/>
      <c r="CJ663"/>
      <c r="CK663"/>
    </row>
    <row r="664" spans="72:89" ht="16" hidden="1" x14ac:dyDescent="0.2">
      <c r="BT664"/>
      <c r="BU664"/>
      <c r="BV664"/>
      <c r="BW664"/>
      <c r="BX664"/>
      <c r="BY664"/>
      <c r="BZ664"/>
      <c r="CA664"/>
      <c r="CB664"/>
      <c r="CC664"/>
      <c r="CD664"/>
      <c r="CE664"/>
      <c r="CF664"/>
      <c r="CG664"/>
      <c r="CH664"/>
      <c r="CI664"/>
      <c r="CJ664"/>
      <c r="CK664"/>
    </row>
    <row r="665" spans="72:89" ht="16" hidden="1" x14ac:dyDescent="0.2">
      <c r="BT665"/>
      <c r="BU665"/>
      <c r="BV665"/>
      <c r="BW665"/>
      <c r="BX665"/>
      <c r="BY665"/>
      <c r="BZ665"/>
      <c r="CA665"/>
      <c r="CB665"/>
      <c r="CC665"/>
      <c r="CD665"/>
      <c r="CE665"/>
      <c r="CF665"/>
      <c r="CG665"/>
      <c r="CH665"/>
      <c r="CI665"/>
      <c r="CJ665"/>
      <c r="CK665"/>
    </row>
    <row r="666" spans="72:89" ht="16" hidden="1" x14ac:dyDescent="0.2">
      <c r="BT666"/>
      <c r="BU666"/>
      <c r="BV666"/>
      <c r="BW666"/>
      <c r="BX666"/>
      <c r="BY666"/>
      <c r="BZ666"/>
      <c r="CA666"/>
      <c r="CB666"/>
      <c r="CC666"/>
      <c r="CD666"/>
      <c r="CE666"/>
      <c r="CF666"/>
      <c r="CG666"/>
      <c r="CH666"/>
      <c r="CI666"/>
      <c r="CJ666"/>
      <c r="CK666"/>
    </row>
    <row r="667" spans="72:89" ht="16" hidden="1" x14ac:dyDescent="0.2">
      <c r="BT667"/>
      <c r="BU667"/>
      <c r="BV667"/>
      <c r="BW667"/>
      <c r="BX667"/>
      <c r="BY667"/>
      <c r="BZ667"/>
      <c r="CA667"/>
      <c r="CB667"/>
      <c r="CC667"/>
      <c r="CD667"/>
      <c r="CE667"/>
      <c r="CF667"/>
      <c r="CG667"/>
      <c r="CH667"/>
      <c r="CI667"/>
      <c r="CJ667"/>
      <c r="CK667"/>
    </row>
    <row r="668" spans="72:89" ht="16" hidden="1" x14ac:dyDescent="0.2">
      <c r="BT668"/>
      <c r="BU668"/>
      <c r="BV668"/>
      <c r="BW668"/>
      <c r="BX668"/>
      <c r="BY668"/>
      <c r="BZ668"/>
      <c r="CA668"/>
      <c r="CB668"/>
      <c r="CC668"/>
      <c r="CD668"/>
      <c r="CE668"/>
      <c r="CF668"/>
      <c r="CG668"/>
      <c r="CH668"/>
      <c r="CI668"/>
      <c r="CJ668"/>
      <c r="CK668"/>
    </row>
    <row r="669" spans="72:89" ht="16" hidden="1" x14ac:dyDescent="0.2">
      <c r="BT669"/>
      <c r="BU669"/>
      <c r="BV669"/>
      <c r="BW669"/>
      <c r="BX669"/>
      <c r="BY669"/>
      <c r="BZ669"/>
      <c r="CA669"/>
      <c r="CB669"/>
      <c r="CC669"/>
      <c r="CD669"/>
      <c r="CE669"/>
      <c r="CF669"/>
      <c r="CG669"/>
      <c r="CH669"/>
      <c r="CI669"/>
      <c r="CJ669"/>
      <c r="CK669"/>
    </row>
    <row r="670" spans="72:89" ht="16" hidden="1" x14ac:dyDescent="0.2">
      <c r="BT670"/>
      <c r="BU670"/>
      <c r="BV670"/>
      <c r="BW670"/>
      <c r="BX670"/>
      <c r="BY670"/>
      <c r="BZ670"/>
      <c r="CA670"/>
      <c r="CB670"/>
      <c r="CC670"/>
      <c r="CD670"/>
      <c r="CE670"/>
      <c r="CF670"/>
      <c r="CG670"/>
      <c r="CH670"/>
      <c r="CI670"/>
      <c r="CJ670"/>
      <c r="CK670"/>
    </row>
    <row r="671" spans="72:89" ht="16" hidden="1" x14ac:dyDescent="0.2">
      <c r="BT671"/>
      <c r="BU671"/>
      <c r="BV671"/>
      <c r="BW671"/>
      <c r="BX671"/>
      <c r="BY671"/>
      <c r="BZ671"/>
      <c r="CA671"/>
      <c r="CB671"/>
      <c r="CC671"/>
      <c r="CD671"/>
      <c r="CE671"/>
      <c r="CF671"/>
      <c r="CG671"/>
      <c r="CH671"/>
      <c r="CI671"/>
      <c r="CJ671"/>
      <c r="CK671"/>
    </row>
    <row r="672" spans="72:89" ht="16" hidden="1" x14ac:dyDescent="0.2">
      <c r="BT672"/>
      <c r="BU672"/>
      <c r="BV672"/>
      <c r="BW672"/>
      <c r="BX672"/>
      <c r="BY672"/>
      <c r="BZ672"/>
      <c r="CA672"/>
      <c r="CB672"/>
      <c r="CC672"/>
      <c r="CD672"/>
      <c r="CE672"/>
      <c r="CF672"/>
      <c r="CG672"/>
      <c r="CH672"/>
      <c r="CI672"/>
      <c r="CJ672"/>
      <c r="CK672"/>
    </row>
    <row r="673" spans="72:89" ht="16" hidden="1" x14ac:dyDescent="0.2">
      <c r="BT673"/>
      <c r="BU673"/>
      <c r="BV673"/>
      <c r="BW673"/>
      <c r="BX673"/>
      <c r="BY673"/>
      <c r="BZ673"/>
      <c r="CA673"/>
      <c r="CB673"/>
      <c r="CC673"/>
      <c r="CD673"/>
      <c r="CE673"/>
      <c r="CF673"/>
      <c r="CG673"/>
      <c r="CH673"/>
      <c r="CI673"/>
      <c r="CJ673"/>
      <c r="CK673"/>
    </row>
    <row r="674" spans="72:89" ht="16" hidden="1" x14ac:dyDescent="0.2">
      <c r="BT674"/>
      <c r="BU674"/>
      <c r="BV674"/>
      <c r="BW674"/>
      <c r="BX674"/>
      <c r="BY674"/>
      <c r="BZ674"/>
      <c r="CA674"/>
      <c r="CB674"/>
      <c r="CC674"/>
      <c r="CD674"/>
      <c r="CE674"/>
      <c r="CF674"/>
      <c r="CG674"/>
      <c r="CH674"/>
      <c r="CI674"/>
      <c r="CJ674"/>
      <c r="CK674"/>
    </row>
    <row r="675" spans="72:89" ht="16" hidden="1" x14ac:dyDescent="0.2">
      <c r="BT675"/>
      <c r="BU675"/>
      <c r="BV675"/>
      <c r="BW675"/>
      <c r="BX675"/>
      <c r="BY675"/>
      <c r="BZ675"/>
      <c r="CA675"/>
      <c r="CB675"/>
      <c r="CC675"/>
      <c r="CD675"/>
      <c r="CE675"/>
      <c r="CF675"/>
      <c r="CG675"/>
      <c r="CH675"/>
      <c r="CI675"/>
      <c r="CJ675"/>
      <c r="CK675"/>
    </row>
    <row r="676" spans="72:89" ht="16" hidden="1" x14ac:dyDescent="0.2">
      <c r="BT676"/>
      <c r="BU676"/>
      <c r="BV676"/>
      <c r="BW676"/>
      <c r="BX676"/>
      <c r="BY676"/>
      <c r="BZ676"/>
      <c r="CA676"/>
      <c r="CB676"/>
      <c r="CC676"/>
      <c r="CD676"/>
      <c r="CE676"/>
      <c r="CF676"/>
      <c r="CG676"/>
      <c r="CH676"/>
      <c r="CI676"/>
      <c r="CJ676"/>
      <c r="CK676"/>
    </row>
    <row r="677" spans="72:89" ht="16" hidden="1" x14ac:dyDescent="0.2">
      <c r="BT677"/>
      <c r="BU677"/>
      <c r="BV677"/>
      <c r="BW677"/>
      <c r="BX677"/>
      <c r="BY677"/>
      <c r="BZ677"/>
      <c r="CA677"/>
      <c r="CB677"/>
      <c r="CC677"/>
      <c r="CD677"/>
      <c r="CE677"/>
      <c r="CF677"/>
      <c r="CG677"/>
      <c r="CH677"/>
      <c r="CI677"/>
      <c r="CJ677"/>
      <c r="CK677"/>
    </row>
    <row r="678" spans="72:89" ht="16" hidden="1" x14ac:dyDescent="0.2">
      <c r="BT678"/>
      <c r="BU678"/>
      <c r="BV678"/>
      <c r="BW678"/>
      <c r="BX678"/>
      <c r="BY678"/>
      <c r="BZ678"/>
      <c r="CA678"/>
      <c r="CB678"/>
      <c r="CC678"/>
      <c r="CD678"/>
      <c r="CE678"/>
      <c r="CF678"/>
      <c r="CG678"/>
      <c r="CH678"/>
      <c r="CI678"/>
      <c r="CJ678"/>
      <c r="CK678"/>
    </row>
    <row r="679" spans="72:89" ht="16" hidden="1" x14ac:dyDescent="0.2">
      <c r="BT679"/>
      <c r="BU679"/>
      <c r="BV679"/>
      <c r="BW679"/>
      <c r="BX679"/>
      <c r="BY679"/>
      <c r="BZ679"/>
      <c r="CA679"/>
      <c r="CB679"/>
      <c r="CC679"/>
      <c r="CD679"/>
      <c r="CE679"/>
      <c r="CF679"/>
      <c r="CG679"/>
      <c r="CH679"/>
      <c r="CI679"/>
      <c r="CJ679"/>
      <c r="CK679"/>
    </row>
    <row r="680" spans="72:89" ht="16" hidden="1" x14ac:dyDescent="0.2">
      <c r="BT680"/>
      <c r="BU680"/>
      <c r="BV680"/>
      <c r="BW680"/>
      <c r="BX680"/>
      <c r="BY680"/>
      <c r="BZ680"/>
      <c r="CA680"/>
      <c r="CB680"/>
      <c r="CC680"/>
      <c r="CD680"/>
      <c r="CE680"/>
      <c r="CF680"/>
      <c r="CG680"/>
      <c r="CH680"/>
      <c r="CI680"/>
      <c r="CJ680"/>
      <c r="CK680"/>
    </row>
    <row r="681" spans="72:89" ht="16" hidden="1" x14ac:dyDescent="0.2">
      <c r="BT681"/>
      <c r="BU681"/>
      <c r="BV681"/>
      <c r="BW681"/>
      <c r="BX681"/>
      <c r="BY681"/>
      <c r="BZ681"/>
      <c r="CA681"/>
      <c r="CB681"/>
      <c r="CC681"/>
      <c r="CD681"/>
      <c r="CE681"/>
      <c r="CF681"/>
      <c r="CG681"/>
      <c r="CH681"/>
      <c r="CI681"/>
      <c r="CJ681"/>
      <c r="CK681"/>
    </row>
    <row r="682" spans="72:89" ht="16" hidden="1" x14ac:dyDescent="0.2">
      <c r="BT682"/>
      <c r="BU682"/>
      <c r="BV682"/>
      <c r="BW682"/>
      <c r="BX682"/>
      <c r="BY682"/>
      <c r="BZ682"/>
      <c r="CA682"/>
      <c r="CB682"/>
      <c r="CC682"/>
      <c r="CD682"/>
      <c r="CE682"/>
      <c r="CF682"/>
      <c r="CG682"/>
      <c r="CH682"/>
      <c r="CI682"/>
      <c r="CJ682"/>
      <c r="CK682"/>
    </row>
    <row r="683" spans="72:89" ht="16" hidden="1" x14ac:dyDescent="0.2">
      <c r="BT683"/>
      <c r="BU683"/>
      <c r="BV683"/>
      <c r="BW683"/>
      <c r="BX683"/>
      <c r="BY683"/>
      <c r="BZ683"/>
      <c r="CA683"/>
      <c r="CB683"/>
      <c r="CC683"/>
      <c r="CD683"/>
      <c r="CE683"/>
      <c r="CF683"/>
      <c r="CG683"/>
      <c r="CH683"/>
      <c r="CI683"/>
      <c r="CJ683"/>
      <c r="CK683"/>
    </row>
    <row r="684" spans="72:89" ht="16" hidden="1" x14ac:dyDescent="0.2">
      <c r="BT684"/>
      <c r="BU684"/>
      <c r="BV684"/>
      <c r="BW684"/>
      <c r="BX684"/>
      <c r="BY684"/>
      <c r="BZ684"/>
      <c r="CA684"/>
      <c r="CB684"/>
      <c r="CC684"/>
      <c r="CD684"/>
      <c r="CE684"/>
      <c r="CF684"/>
      <c r="CG684"/>
      <c r="CH684"/>
      <c r="CI684"/>
      <c r="CJ684"/>
      <c r="CK684"/>
    </row>
    <row r="685" spans="72:89" ht="16" hidden="1" x14ac:dyDescent="0.2">
      <c r="BT685"/>
      <c r="BU685"/>
      <c r="BV685"/>
      <c r="BW685"/>
      <c r="BX685"/>
      <c r="BY685"/>
      <c r="BZ685"/>
      <c r="CA685"/>
      <c r="CB685"/>
      <c r="CC685"/>
      <c r="CD685"/>
      <c r="CE685"/>
      <c r="CF685"/>
      <c r="CG685"/>
      <c r="CH685"/>
      <c r="CI685"/>
      <c r="CJ685"/>
      <c r="CK685"/>
    </row>
    <row r="686" spans="72:89" ht="16" hidden="1" x14ac:dyDescent="0.2">
      <c r="BT686"/>
      <c r="BU686"/>
      <c r="BV686"/>
      <c r="BW686"/>
      <c r="BX686"/>
      <c r="BY686"/>
      <c r="BZ686"/>
      <c r="CA686"/>
      <c r="CB686"/>
      <c r="CC686"/>
      <c r="CD686"/>
      <c r="CE686"/>
      <c r="CF686"/>
      <c r="CG686"/>
      <c r="CH686"/>
      <c r="CI686"/>
      <c r="CJ686"/>
      <c r="CK686"/>
    </row>
    <row r="687" spans="72:89" ht="16" hidden="1" x14ac:dyDescent="0.2">
      <c r="BT687"/>
      <c r="BU687"/>
      <c r="BV687"/>
      <c r="BW687"/>
      <c r="BX687"/>
      <c r="BY687"/>
      <c r="BZ687"/>
      <c r="CA687"/>
      <c r="CB687"/>
      <c r="CC687"/>
      <c r="CD687"/>
      <c r="CE687"/>
      <c r="CF687"/>
      <c r="CG687"/>
      <c r="CH687"/>
      <c r="CI687"/>
      <c r="CJ687"/>
      <c r="CK687"/>
    </row>
    <row r="688" spans="72:89" ht="16" hidden="1" x14ac:dyDescent="0.2">
      <c r="BT688"/>
      <c r="BU688"/>
      <c r="BV688"/>
      <c r="BW688"/>
      <c r="BX688"/>
      <c r="BY688"/>
      <c r="BZ688"/>
      <c r="CA688"/>
      <c r="CB688"/>
      <c r="CC688"/>
      <c r="CD688"/>
      <c r="CE688"/>
      <c r="CF688"/>
      <c r="CG688"/>
      <c r="CH688"/>
      <c r="CI688"/>
      <c r="CJ688"/>
      <c r="CK688"/>
    </row>
    <row r="689" spans="72:89" ht="16" hidden="1" x14ac:dyDescent="0.2">
      <c r="BT689"/>
      <c r="BU689"/>
      <c r="BV689"/>
      <c r="BW689"/>
      <c r="BX689"/>
      <c r="BY689"/>
      <c r="BZ689"/>
      <c r="CA689"/>
      <c r="CB689"/>
      <c r="CC689"/>
      <c r="CD689"/>
      <c r="CE689"/>
      <c r="CF689"/>
      <c r="CG689"/>
      <c r="CH689"/>
      <c r="CI689"/>
      <c r="CJ689"/>
      <c r="CK689"/>
    </row>
    <row r="690" spans="72:89" ht="16" hidden="1" x14ac:dyDescent="0.2">
      <c r="BT690"/>
      <c r="BU690"/>
      <c r="BV690"/>
      <c r="BW690"/>
      <c r="BX690"/>
      <c r="BY690"/>
      <c r="BZ690"/>
      <c r="CA690"/>
      <c r="CB690"/>
      <c r="CC690"/>
      <c r="CD690"/>
      <c r="CE690"/>
      <c r="CF690"/>
      <c r="CG690"/>
      <c r="CH690"/>
      <c r="CI690"/>
      <c r="CJ690"/>
      <c r="CK690"/>
    </row>
    <row r="691" spans="72:89" ht="16" hidden="1" x14ac:dyDescent="0.2">
      <c r="BT691"/>
      <c r="BU691"/>
      <c r="BV691"/>
      <c r="BW691"/>
      <c r="BX691"/>
      <c r="BY691"/>
      <c r="BZ691"/>
      <c r="CA691"/>
      <c r="CB691"/>
      <c r="CC691"/>
      <c r="CD691"/>
      <c r="CE691"/>
      <c r="CF691"/>
      <c r="CG691"/>
      <c r="CH691"/>
      <c r="CI691"/>
      <c r="CJ691"/>
      <c r="CK691"/>
    </row>
    <row r="692" spans="72:89" ht="16" hidden="1" x14ac:dyDescent="0.2">
      <c r="BT692"/>
      <c r="BU692"/>
      <c r="BV692"/>
      <c r="BW692"/>
      <c r="BX692"/>
      <c r="BY692"/>
      <c r="BZ692"/>
      <c r="CA692"/>
      <c r="CB692"/>
      <c r="CC692"/>
      <c r="CD692"/>
      <c r="CE692"/>
      <c r="CF692"/>
      <c r="CG692"/>
      <c r="CH692"/>
      <c r="CI692"/>
      <c r="CJ692"/>
      <c r="CK692"/>
    </row>
    <row r="693" spans="72:89" ht="16" hidden="1" x14ac:dyDescent="0.2">
      <c r="BT693"/>
      <c r="BU693"/>
      <c r="BV693"/>
      <c r="BW693"/>
      <c r="BX693"/>
      <c r="BY693"/>
      <c r="BZ693"/>
      <c r="CA693"/>
      <c r="CB693"/>
      <c r="CC693"/>
      <c r="CD693"/>
      <c r="CE693"/>
      <c r="CF693"/>
      <c r="CG693"/>
      <c r="CH693"/>
      <c r="CI693"/>
      <c r="CJ693"/>
      <c r="CK693"/>
    </row>
    <row r="694" spans="72:89" ht="16" hidden="1" x14ac:dyDescent="0.2">
      <c r="BT694"/>
      <c r="BU694"/>
      <c r="BV694"/>
      <c r="BW694"/>
      <c r="BX694"/>
      <c r="BY694"/>
      <c r="BZ694"/>
      <c r="CA694"/>
      <c r="CB694"/>
      <c r="CC694"/>
      <c r="CD694"/>
      <c r="CE694"/>
      <c r="CF694"/>
      <c r="CG694"/>
      <c r="CH694"/>
      <c r="CI694"/>
      <c r="CJ694"/>
      <c r="CK694"/>
    </row>
    <row r="695" spans="72:89" ht="16" hidden="1" x14ac:dyDescent="0.2">
      <c r="BT695"/>
      <c r="BU695"/>
      <c r="BV695"/>
      <c r="BW695"/>
      <c r="BX695"/>
      <c r="BY695"/>
      <c r="BZ695"/>
      <c r="CA695"/>
      <c r="CB695"/>
      <c r="CC695"/>
      <c r="CD695"/>
      <c r="CE695"/>
      <c r="CF695"/>
      <c r="CG695"/>
      <c r="CH695"/>
      <c r="CI695"/>
      <c r="CJ695"/>
      <c r="CK695"/>
    </row>
    <row r="696" spans="72:89" ht="16" hidden="1" x14ac:dyDescent="0.2">
      <c r="BT696"/>
      <c r="BU696"/>
      <c r="BV696"/>
      <c r="BW696"/>
      <c r="BX696"/>
      <c r="BY696"/>
      <c r="BZ696"/>
      <c r="CA696"/>
      <c r="CB696"/>
      <c r="CC696"/>
      <c r="CD696"/>
      <c r="CE696"/>
      <c r="CF696"/>
      <c r="CG696"/>
      <c r="CH696"/>
      <c r="CI696"/>
      <c r="CJ696"/>
      <c r="CK696"/>
    </row>
    <row r="697" spans="72:89" ht="16" hidden="1" x14ac:dyDescent="0.2">
      <c r="BT697"/>
      <c r="BU697"/>
      <c r="BV697"/>
      <c r="BW697"/>
      <c r="BX697"/>
      <c r="BY697"/>
      <c r="BZ697"/>
      <c r="CA697"/>
      <c r="CB697"/>
      <c r="CC697"/>
      <c r="CD697"/>
      <c r="CE697"/>
      <c r="CF697"/>
      <c r="CG697"/>
      <c r="CH697"/>
      <c r="CI697"/>
      <c r="CJ697"/>
      <c r="CK697"/>
    </row>
    <row r="698" spans="72:89" ht="16" hidden="1" x14ac:dyDescent="0.2">
      <c r="BT698"/>
      <c r="BU698"/>
      <c r="BV698"/>
      <c r="BW698"/>
      <c r="BX698"/>
      <c r="BY698"/>
      <c r="BZ698"/>
      <c r="CA698"/>
      <c r="CB698"/>
      <c r="CC698"/>
      <c r="CD698"/>
      <c r="CE698"/>
      <c r="CF698"/>
      <c r="CG698"/>
      <c r="CH698"/>
      <c r="CI698"/>
      <c r="CJ698"/>
      <c r="CK698"/>
    </row>
    <row r="699" spans="72:89" ht="16" hidden="1" x14ac:dyDescent="0.2">
      <c r="BT699"/>
      <c r="BU699"/>
      <c r="BV699"/>
      <c r="BW699"/>
      <c r="BX699"/>
      <c r="BY699"/>
      <c r="BZ699"/>
      <c r="CA699"/>
      <c r="CB699"/>
      <c r="CC699"/>
      <c r="CD699"/>
      <c r="CE699"/>
      <c r="CF699"/>
      <c r="CG699"/>
      <c r="CH699"/>
      <c r="CI699"/>
      <c r="CJ699"/>
      <c r="CK699"/>
    </row>
    <row r="700" spans="72:89" ht="16" hidden="1" x14ac:dyDescent="0.2">
      <c r="BT700"/>
      <c r="BU700"/>
      <c r="BV700"/>
      <c r="BW700"/>
      <c r="BX700"/>
      <c r="BY700"/>
      <c r="BZ700"/>
      <c r="CA700"/>
      <c r="CB700"/>
      <c r="CC700"/>
      <c r="CD700"/>
      <c r="CE700"/>
      <c r="CF700"/>
      <c r="CG700"/>
      <c r="CH700"/>
      <c r="CI700"/>
      <c r="CJ700"/>
      <c r="CK700"/>
    </row>
    <row r="701" spans="72:89" ht="16" hidden="1" x14ac:dyDescent="0.2">
      <c r="BT701"/>
      <c r="BU701"/>
      <c r="BV701"/>
      <c r="BW701"/>
      <c r="BX701"/>
      <c r="BY701"/>
      <c r="BZ701"/>
      <c r="CA701"/>
      <c r="CB701"/>
      <c r="CC701"/>
      <c r="CD701"/>
      <c r="CE701"/>
      <c r="CF701"/>
      <c r="CG701"/>
      <c r="CH701"/>
      <c r="CI701"/>
      <c r="CJ701"/>
      <c r="CK701"/>
    </row>
    <row r="702" spans="72:89" ht="16" hidden="1" x14ac:dyDescent="0.2">
      <c r="BT702"/>
      <c r="BU702"/>
      <c r="BV702"/>
      <c r="BW702"/>
      <c r="BX702"/>
      <c r="BY702"/>
      <c r="BZ702"/>
      <c r="CA702"/>
      <c r="CB702"/>
      <c r="CC702"/>
      <c r="CD702"/>
      <c r="CE702"/>
      <c r="CF702"/>
      <c r="CG702"/>
      <c r="CH702"/>
      <c r="CI702"/>
      <c r="CJ702"/>
      <c r="CK702"/>
    </row>
    <row r="703" spans="72:89" ht="16" hidden="1" x14ac:dyDescent="0.2">
      <c r="BT703"/>
      <c r="BU703"/>
      <c r="BV703"/>
      <c r="BW703"/>
      <c r="BX703"/>
      <c r="BY703"/>
      <c r="BZ703"/>
      <c r="CA703"/>
      <c r="CB703"/>
      <c r="CC703"/>
      <c r="CD703"/>
      <c r="CE703"/>
      <c r="CF703"/>
      <c r="CG703"/>
      <c r="CH703"/>
      <c r="CI703"/>
      <c r="CJ703"/>
      <c r="CK703"/>
    </row>
    <row r="704" spans="72:89" ht="16" hidden="1" x14ac:dyDescent="0.2">
      <c r="BT704"/>
      <c r="BU704"/>
      <c r="BV704"/>
      <c r="BW704"/>
      <c r="BX704"/>
      <c r="BY704"/>
      <c r="BZ704"/>
      <c r="CA704"/>
      <c r="CB704"/>
      <c r="CC704"/>
      <c r="CD704"/>
      <c r="CE704"/>
      <c r="CF704"/>
      <c r="CG704"/>
      <c r="CH704"/>
      <c r="CI704"/>
      <c r="CJ704"/>
      <c r="CK704"/>
    </row>
    <row r="705" spans="72:89" ht="16" hidden="1" x14ac:dyDescent="0.2">
      <c r="BT705"/>
      <c r="BU705"/>
      <c r="BV705"/>
      <c r="BW705"/>
      <c r="BX705"/>
      <c r="BY705"/>
      <c r="BZ705"/>
      <c r="CA705"/>
      <c r="CB705"/>
      <c r="CC705"/>
      <c r="CD705"/>
      <c r="CE705"/>
      <c r="CF705"/>
      <c r="CG705"/>
      <c r="CH705"/>
      <c r="CI705"/>
      <c r="CJ705"/>
      <c r="CK705"/>
    </row>
    <row r="706" spans="72:89" ht="16" hidden="1" x14ac:dyDescent="0.2">
      <c r="BT706"/>
      <c r="BU706"/>
      <c r="BV706"/>
      <c r="BW706"/>
      <c r="BX706"/>
      <c r="BY706"/>
      <c r="BZ706"/>
      <c r="CA706"/>
      <c r="CB706"/>
      <c r="CC706"/>
      <c r="CD706"/>
      <c r="CE706"/>
      <c r="CF706"/>
      <c r="CG706"/>
      <c r="CH706"/>
      <c r="CI706"/>
      <c r="CJ706"/>
      <c r="CK706"/>
    </row>
    <row r="707" spans="72:89" ht="16" hidden="1" x14ac:dyDescent="0.2">
      <c r="BT707"/>
      <c r="BU707"/>
      <c r="BV707"/>
      <c r="BW707"/>
      <c r="BX707"/>
      <c r="BY707"/>
      <c r="BZ707"/>
      <c r="CA707"/>
      <c r="CB707"/>
      <c r="CC707"/>
      <c r="CD707"/>
      <c r="CE707"/>
      <c r="CF707"/>
      <c r="CG707"/>
      <c r="CH707"/>
      <c r="CI707"/>
      <c r="CJ707"/>
      <c r="CK707"/>
    </row>
    <row r="708" spans="72:89" ht="16" hidden="1" x14ac:dyDescent="0.2">
      <c r="BT708"/>
      <c r="BU708"/>
      <c r="BV708"/>
      <c r="BW708"/>
      <c r="BX708"/>
      <c r="BY708"/>
      <c r="BZ708"/>
      <c r="CA708"/>
      <c r="CB708"/>
      <c r="CC708"/>
      <c r="CD708"/>
      <c r="CE708"/>
      <c r="CF708"/>
      <c r="CG708"/>
      <c r="CH708"/>
      <c r="CI708"/>
      <c r="CJ708"/>
      <c r="CK708"/>
    </row>
    <row r="709" spans="72:89" ht="16" hidden="1" x14ac:dyDescent="0.2">
      <c r="BT709"/>
      <c r="BU709"/>
      <c r="BV709"/>
      <c r="BW709"/>
      <c r="BX709"/>
      <c r="BY709"/>
      <c r="BZ709"/>
      <c r="CA709"/>
      <c r="CB709"/>
      <c r="CC709"/>
      <c r="CD709"/>
      <c r="CE709"/>
      <c r="CF709"/>
      <c r="CG709"/>
      <c r="CH709"/>
      <c r="CI709"/>
      <c r="CJ709"/>
      <c r="CK709"/>
    </row>
    <row r="710" spans="72:89" ht="16" hidden="1" x14ac:dyDescent="0.2">
      <c r="BT710"/>
      <c r="BU710"/>
      <c r="BV710"/>
      <c r="BW710"/>
      <c r="BX710"/>
      <c r="BY710"/>
      <c r="BZ710"/>
      <c r="CA710"/>
      <c r="CB710"/>
      <c r="CC710"/>
      <c r="CD710"/>
      <c r="CE710"/>
      <c r="CF710"/>
      <c r="CG710"/>
      <c r="CH710"/>
      <c r="CI710"/>
      <c r="CJ710"/>
      <c r="CK710"/>
    </row>
    <row r="711" spans="72:89" ht="16" hidden="1" x14ac:dyDescent="0.2">
      <c r="BT711"/>
      <c r="BU711"/>
      <c r="BV711"/>
      <c r="BW711"/>
      <c r="BX711"/>
      <c r="BY711"/>
      <c r="BZ711"/>
      <c r="CA711"/>
      <c r="CB711"/>
      <c r="CC711"/>
      <c r="CD711"/>
      <c r="CE711"/>
      <c r="CF711"/>
      <c r="CG711"/>
      <c r="CH711"/>
      <c r="CI711"/>
      <c r="CJ711"/>
      <c r="CK711"/>
    </row>
    <row r="712" spans="72:89" ht="16" hidden="1" x14ac:dyDescent="0.2">
      <c r="BT712"/>
      <c r="BU712"/>
      <c r="BV712"/>
      <c r="BW712"/>
      <c r="BX712"/>
      <c r="BY712"/>
      <c r="BZ712"/>
      <c r="CA712"/>
      <c r="CB712"/>
      <c r="CC712"/>
      <c r="CD712"/>
      <c r="CE712"/>
      <c r="CF712"/>
      <c r="CG712"/>
      <c r="CH712"/>
      <c r="CI712"/>
      <c r="CJ712"/>
      <c r="CK712"/>
    </row>
    <row r="713" spans="72:89" ht="16" hidden="1" x14ac:dyDescent="0.2">
      <c r="BT713"/>
      <c r="BU713"/>
      <c r="BV713"/>
      <c r="BW713"/>
      <c r="BX713"/>
      <c r="BY713"/>
      <c r="BZ713"/>
      <c r="CA713"/>
      <c r="CB713"/>
      <c r="CC713"/>
      <c r="CD713"/>
      <c r="CE713"/>
      <c r="CF713"/>
      <c r="CG713"/>
      <c r="CH713"/>
      <c r="CI713"/>
      <c r="CJ713"/>
      <c r="CK713"/>
    </row>
    <row r="714" spans="72:89" ht="16" hidden="1" x14ac:dyDescent="0.2">
      <c r="BT714"/>
      <c r="BU714"/>
      <c r="BV714"/>
      <c r="BW714"/>
      <c r="BX714"/>
      <c r="BY714"/>
      <c r="BZ714"/>
      <c r="CA714"/>
      <c r="CB714"/>
      <c r="CC714"/>
      <c r="CD714"/>
      <c r="CE714"/>
      <c r="CF714"/>
      <c r="CG714"/>
      <c r="CH714"/>
      <c r="CI714"/>
      <c r="CJ714"/>
      <c r="CK714"/>
    </row>
    <row r="715" spans="72:89" ht="16" hidden="1" x14ac:dyDescent="0.2">
      <c r="BT715"/>
      <c r="BU715"/>
      <c r="BV715"/>
      <c r="BW715"/>
      <c r="BX715"/>
      <c r="BY715"/>
      <c r="BZ715"/>
      <c r="CA715"/>
      <c r="CB715"/>
      <c r="CC715"/>
      <c r="CD715"/>
      <c r="CE715"/>
      <c r="CF715"/>
      <c r="CG715"/>
      <c r="CH715"/>
      <c r="CI715"/>
      <c r="CJ715"/>
      <c r="CK715"/>
    </row>
    <row r="716" spans="72:89" ht="16" hidden="1" x14ac:dyDescent="0.2">
      <c r="BT716"/>
      <c r="BU716"/>
      <c r="BV716"/>
      <c r="BW716"/>
      <c r="BX716"/>
      <c r="BY716"/>
      <c r="BZ716"/>
      <c r="CA716"/>
      <c r="CB716"/>
      <c r="CC716"/>
      <c r="CD716"/>
      <c r="CE716"/>
      <c r="CF716"/>
      <c r="CG716"/>
      <c r="CH716"/>
      <c r="CI716"/>
      <c r="CJ716"/>
      <c r="CK716"/>
    </row>
    <row r="717" spans="72:89" ht="16" hidden="1" x14ac:dyDescent="0.2">
      <c r="BT717"/>
      <c r="BU717"/>
      <c r="BV717"/>
      <c r="BW717"/>
      <c r="BX717"/>
      <c r="BY717"/>
      <c r="BZ717"/>
      <c r="CA717"/>
      <c r="CB717"/>
      <c r="CC717"/>
      <c r="CD717"/>
      <c r="CE717"/>
      <c r="CF717"/>
      <c r="CG717"/>
      <c r="CH717"/>
      <c r="CI717"/>
      <c r="CJ717"/>
      <c r="CK717"/>
    </row>
    <row r="718" spans="72:89" ht="16" hidden="1" x14ac:dyDescent="0.2">
      <c r="BT718"/>
      <c r="BU718"/>
      <c r="BV718"/>
      <c r="BW718"/>
      <c r="BX718"/>
      <c r="BY718"/>
      <c r="BZ718"/>
      <c r="CA718"/>
      <c r="CB718"/>
      <c r="CC718"/>
      <c r="CD718"/>
      <c r="CE718"/>
      <c r="CF718"/>
      <c r="CG718"/>
      <c r="CH718"/>
      <c r="CI718"/>
      <c r="CJ718"/>
      <c r="CK718"/>
    </row>
    <row r="719" spans="72:89" ht="16" hidden="1" x14ac:dyDescent="0.2">
      <c r="BT719"/>
      <c r="BU719"/>
      <c r="BV719"/>
      <c r="BW719"/>
      <c r="BX719"/>
      <c r="BY719"/>
      <c r="BZ719"/>
      <c r="CA719"/>
      <c r="CB719"/>
      <c r="CC719"/>
      <c r="CD719"/>
      <c r="CE719"/>
      <c r="CF719"/>
      <c r="CG719"/>
      <c r="CH719"/>
      <c r="CI719"/>
      <c r="CJ719"/>
      <c r="CK719"/>
    </row>
    <row r="720" spans="72:89" ht="16" hidden="1" x14ac:dyDescent="0.2">
      <c r="BT720"/>
      <c r="BU720"/>
      <c r="BV720"/>
      <c r="BW720"/>
      <c r="BX720"/>
      <c r="BY720"/>
      <c r="BZ720"/>
      <c r="CA720"/>
      <c r="CB720"/>
      <c r="CC720"/>
      <c r="CD720"/>
      <c r="CE720"/>
      <c r="CF720"/>
      <c r="CG720"/>
      <c r="CH720"/>
      <c r="CI720"/>
      <c r="CJ720"/>
      <c r="CK720"/>
    </row>
    <row r="721" spans="72:89" ht="16" hidden="1" x14ac:dyDescent="0.2">
      <c r="BT721"/>
      <c r="BU721"/>
      <c r="BV721"/>
      <c r="BW721"/>
      <c r="BX721"/>
      <c r="BY721"/>
      <c r="BZ721"/>
      <c r="CA721"/>
      <c r="CB721"/>
      <c r="CC721"/>
      <c r="CD721"/>
      <c r="CE721"/>
      <c r="CF721"/>
      <c r="CG721"/>
      <c r="CH721"/>
      <c r="CI721"/>
      <c r="CJ721"/>
      <c r="CK721"/>
    </row>
    <row r="722" spans="72:89" ht="16" hidden="1" x14ac:dyDescent="0.2">
      <c r="BT722"/>
      <c r="BU722"/>
      <c r="BV722"/>
      <c r="BW722"/>
      <c r="BX722"/>
      <c r="BY722"/>
      <c r="BZ722"/>
      <c r="CA722"/>
      <c r="CB722"/>
      <c r="CC722"/>
      <c r="CD722"/>
      <c r="CE722"/>
      <c r="CF722"/>
      <c r="CG722"/>
      <c r="CH722"/>
      <c r="CI722"/>
      <c r="CJ722"/>
      <c r="CK722"/>
    </row>
    <row r="723" spans="72:89" ht="16" hidden="1" x14ac:dyDescent="0.2">
      <c r="BT723"/>
      <c r="BU723"/>
      <c r="BV723"/>
      <c r="BW723"/>
      <c r="BX723"/>
      <c r="BY723"/>
      <c r="BZ723"/>
      <c r="CA723"/>
      <c r="CB723"/>
      <c r="CC723"/>
      <c r="CD723"/>
      <c r="CE723"/>
      <c r="CF723"/>
      <c r="CG723"/>
      <c r="CH723"/>
      <c r="CI723"/>
      <c r="CJ723"/>
      <c r="CK723"/>
    </row>
    <row r="724" spans="72:89" ht="16" hidden="1" x14ac:dyDescent="0.2">
      <c r="BT724"/>
      <c r="BU724"/>
      <c r="BV724"/>
      <c r="BW724"/>
      <c r="BX724"/>
      <c r="BY724"/>
      <c r="BZ724"/>
      <c r="CA724"/>
      <c r="CB724"/>
      <c r="CC724"/>
      <c r="CD724"/>
      <c r="CE724"/>
      <c r="CF724"/>
      <c r="CG724"/>
      <c r="CH724"/>
      <c r="CI724"/>
      <c r="CJ724"/>
      <c r="CK724"/>
    </row>
    <row r="725" spans="72:89" ht="16" hidden="1" x14ac:dyDescent="0.2">
      <c r="BT725"/>
      <c r="BU725"/>
      <c r="BV725"/>
      <c r="BW725"/>
      <c r="BX725"/>
      <c r="BY725"/>
      <c r="BZ725"/>
      <c r="CA725"/>
      <c r="CB725"/>
      <c r="CC725"/>
      <c r="CD725"/>
      <c r="CE725"/>
      <c r="CF725"/>
      <c r="CG725"/>
      <c r="CH725"/>
      <c r="CI725"/>
      <c r="CJ725"/>
      <c r="CK725"/>
    </row>
    <row r="726" spans="72:89" ht="16" hidden="1" x14ac:dyDescent="0.2">
      <c r="BT726"/>
      <c r="BU726"/>
      <c r="BV726"/>
      <c r="BW726"/>
      <c r="BX726"/>
      <c r="BY726"/>
      <c r="BZ726"/>
      <c r="CA726"/>
      <c r="CB726"/>
      <c r="CC726"/>
      <c r="CD726"/>
      <c r="CE726"/>
      <c r="CF726"/>
      <c r="CG726"/>
      <c r="CH726"/>
      <c r="CI726"/>
      <c r="CJ726"/>
      <c r="CK726"/>
    </row>
    <row r="727" spans="72:89" ht="16" hidden="1" x14ac:dyDescent="0.2">
      <c r="BT727"/>
      <c r="BU727"/>
      <c r="BV727"/>
      <c r="BW727"/>
      <c r="BX727"/>
      <c r="BY727"/>
      <c r="BZ727"/>
      <c r="CA727"/>
      <c r="CB727"/>
      <c r="CC727"/>
      <c r="CD727"/>
      <c r="CE727"/>
      <c r="CF727"/>
      <c r="CG727"/>
      <c r="CH727"/>
      <c r="CI727"/>
      <c r="CJ727"/>
      <c r="CK727"/>
    </row>
    <row r="728" spans="72:89" ht="16" hidden="1" x14ac:dyDescent="0.2">
      <c r="BT728"/>
      <c r="BU728"/>
      <c r="BV728"/>
      <c r="BW728"/>
      <c r="BX728"/>
      <c r="BY728"/>
      <c r="BZ728"/>
      <c r="CA728"/>
      <c r="CB728"/>
      <c r="CC728"/>
      <c r="CD728"/>
      <c r="CE728"/>
      <c r="CF728"/>
      <c r="CG728"/>
      <c r="CH728"/>
      <c r="CI728"/>
      <c r="CJ728"/>
      <c r="CK728"/>
    </row>
    <row r="729" spans="72:89" ht="16" hidden="1" x14ac:dyDescent="0.2">
      <c r="BT729"/>
      <c r="BU729"/>
      <c r="BV729"/>
      <c r="BW729"/>
      <c r="BX729"/>
      <c r="BY729"/>
      <c r="BZ729"/>
      <c r="CA729"/>
      <c r="CB729"/>
      <c r="CC729"/>
      <c r="CD729"/>
      <c r="CE729"/>
      <c r="CF729"/>
      <c r="CG729"/>
      <c r="CH729"/>
      <c r="CI729"/>
      <c r="CJ729"/>
      <c r="CK729"/>
    </row>
    <row r="730" spans="72:89" ht="16" hidden="1" x14ac:dyDescent="0.2">
      <c r="BT730"/>
      <c r="BU730"/>
      <c r="BV730"/>
      <c r="BW730"/>
      <c r="BX730"/>
      <c r="BY730"/>
      <c r="BZ730"/>
      <c r="CA730"/>
      <c r="CB730"/>
      <c r="CC730"/>
      <c r="CD730"/>
      <c r="CE730"/>
      <c r="CF730"/>
      <c r="CG730"/>
      <c r="CH730"/>
      <c r="CI730"/>
      <c r="CJ730"/>
      <c r="CK730"/>
    </row>
    <row r="731" spans="72:89" ht="16" hidden="1" x14ac:dyDescent="0.2">
      <c r="BT731"/>
      <c r="BU731"/>
      <c r="BV731"/>
      <c r="BW731"/>
      <c r="BX731"/>
      <c r="BY731"/>
      <c r="BZ731"/>
      <c r="CA731"/>
      <c r="CB731"/>
      <c r="CC731"/>
      <c r="CD731"/>
      <c r="CE731"/>
      <c r="CF731"/>
      <c r="CG731"/>
      <c r="CH731"/>
      <c r="CI731"/>
      <c r="CJ731"/>
      <c r="CK731"/>
    </row>
    <row r="732" spans="72:89" ht="16" hidden="1" x14ac:dyDescent="0.2">
      <c r="BT732"/>
      <c r="BU732"/>
      <c r="BV732"/>
      <c r="BW732"/>
      <c r="BX732"/>
      <c r="BY732"/>
      <c r="BZ732"/>
      <c r="CA732"/>
      <c r="CB732"/>
      <c r="CC732"/>
      <c r="CD732"/>
      <c r="CE732"/>
      <c r="CF732"/>
      <c r="CG732"/>
      <c r="CH732"/>
      <c r="CI732"/>
      <c r="CJ732"/>
      <c r="CK732"/>
    </row>
    <row r="733" spans="72:89" ht="16" hidden="1" x14ac:dyDescent="0.2">
      <c r="BT733"/>
      <c r="BU733"/>
      <c r="BV733"/>
      <c r="BW733"/>
      <c r="BX733"/>
      <c r="BY733"/>
      <c r="BZ733"/>
      <c r="CA733"/>
      <c r="CB733"/>
      <c r="CC733"/>
      <c r="CD733"/>
      <c r="CE733"/>
      <c r="CF733"/>
      <c r="CG733"/>
      <c r="CH733"/>
      <c r="CI733"/>
      <c r="CJ733"/>
      <c r="CK733"/>
    </row>
    <row r="734" spans="72:89" ht="16" hidden="1" x14ac:dyDescent="0.2">
      <c r="BT734"/>
      <c r="BU734"/>
      <c r="BV734"/>
      <c r="BW734"/>
      <c r="BX734"/>
      <c r="BY734"/>
      <c r="BZ734"/>
      <c r="CA734"/>
      <c r="CB734"/>
      <c r="CC734"/>
      <c r="CD734"/>
      <c r="CE734"/>
      <c r="CF734"/>
      <c r="CG734"/>
      <c r="CH734"/>
      <c r="CI734"/>
      <c r="CJ734"/>
      <c r="CK734"/>
    </row>
    <row r="735" spans="72:89" ht="16" hidden="1" x14ac:dyDescent="0.2">
      <c r="BT735"/>
      <c r="BU735"/>
      <c r="BV735"/>
      <c r="BW735"/>
      <c r="BX735"/>
      <c r="BY735"/>
      <c r="BZ735"/>
      <c r="CA735"/>
      <c r="CB735"/>
      <c r="CC735"/>
      <c r="CD735"/>
      <c r="CE735"/>
      <c r="CF735"/>
      <c r="CG735"/>
      <c r="CH735"/>
      <c r="CI735"/>
      <c r="CJ735"/>
      <c r="CK735"/>
    </row>
    <row r="736" spans="72:89" ht="16" hidden="1" x14ac:dyDescent="0.2">
      <c r="BT736"/>
      <c r="BU736"/>
      <c r="BV736"/>
      <c r="BW736"/>
      <c r="BX736"/>
      <c r="BY736"/>
      <c r="BZ736"/>
      <c r="CA736"/>
      <c r="CB736"/>
      <c r="CC736"/>
      <c r="CD736"/>
      <c r="CE736"/>
      <c r="CF736"/>
      <c r="CG736"/>
      <c r="CH736"/>
      <c r="CI736"/>
      <c r="CJ736"/>
      <c r="CK736"/>
    </row>
    <row r="737" spans="72:89" ht="16" hidden="1" x14ac:dyDescent="0.2">
      <c r="BT737"/>
      <c r="BU737"/>
      <c r="BV737"/>
      <c r="BW737"/>
      <c r="BX737"/>
      <c r="BY737"/>
      <c r="BZ737"/>
      <c r="CA737"/>
      <c r="CB737"/>
      <c r="CC737"/>
      <c r="CD737"/>
      <c r="CE737"/>
      <c r="CF737"/>
      <c r="CG737"/>
      <c r="CH737"/>
      <c r="CI737"/>
      <c r="CJ737"/>
      <c r="CK737"/>
    </row>
    <row r="738" spans="72:89" ht="16" hidden="1" x14ac:dyDescent="0.2">
      <c r="BT738"/>
      <c r="BU738"/>
      <c r="BV738"/>
      <c r="BW738"/>
      <c r="BX738"/>
      <c r="BY738"/>
      <c r="BZ738"/>
      <c r="CA738"/>
      <c r="CB738"/>
      <c r="CC738"/>
      <c r="CD738"/>
      <c r="CE738"/>
      <c r="CF738"/>
      <c r="CG738"/>
      <c r="CH738"/>
      <c r="CI738"/>
      <c r="CJ738"/>
      <c r="CK738"/>
    </row>
    <row r="739" spans="72:89" ht="16" hidden="1" x14ac:dyDescent="0.2">
      <c r="BT739"/>
      <c r="BU739"/>
      <c r="BV739"/>
      <c r="BW739"/>
      <c r="BX739"/>
      <c r="BY739"/>
      <c r="BZ739"/>
      <c r="CA739"/>
      <c r="CB739"/>
      <c r="CC739"/>
      <c r="CD739"/>
      <c r="CE739"/>
      <c r="CF739"/>
      <c r="CG739"/>
      <c r="CH739"/>
      <c r="CI739"/>
      <c r="CJ739"/>
      <c r="CK739"/>
    </row>
    <row r="740" spans="72:89" ht="16" hidden="1" x14ac:dyDescent="0.2">
      <c r="BT740"/>
      <c r="BU740"/>
      <c r="BV740"/>
      <c r="BW740"/>
      <c r="BX740"/>
      <c r="BY740"/>
      <c r="BZ740"/>
      <c r="CA740"/>
      <c r="CB740"/>
      <c r="CC740"/>
      <c r="CD740"/>
      <c r="CE740"/>
      <c r="CF740"/>
      <c r="CG740"/>
      <c r="CH740"/>
      <c r="CI740"/>
      <c r="CJ740"/>
      <c r="CK740"/>
    </row>
    <row r="741" spans="72:89" ht="16" hidden="1" x14ac:dyDescent="0.2">
      <c r="BT741"/>
      <c r="BU741"/>
      <c r="BV741"/>
      <c r="BW741"/>
      <c r="BX741"/>
      <c r="BY741"/>
      <c r="BZ741"/>
      <c r="CA741"/>
      <c r="CB741"/>
      <c r="CC741"/>
      <c r="CD741"/>
      <c r="CE741"/>
      <c r="CF741"/>
      <c r="CG741"/>
      <c r="CH741"/>
      <c r="CI741"/>
      <c r="CJ741"/>
      <c r="CK741"/>
    </row>
    <row r="742" spans="72:89" ht="16" hidden="1" x14ac:dyDescent="0.2">
      <c r="BT742"/>
      <c r="BU742"/>
      <c r="BV742"/>
      <c r="BW742"/>
      <c r="BX742"/>
      <c r="BY742"/>
      <c r="BZ742"/>
      <c r="CA742"/>
      <c r="CB742"/>
      <c r="CC742"/>
      <c r="CD742"/>
      <c r="CE742"/>
      <c r="CF742"/>
      <c r="CG742"/>
      <c r="CH742"/>
      <c r="CI742"/>
      <c r="CJ742"/>
      <c r="CK742"/>
    </row>
    <row r="743" spans="72:89" ht="16" hidden="1" x14ac:dyDescent="0.2">
      <c r="BT743"/>
      <c r="BU743"/>
      <c r="BV743"/>
      <c r="BW743"/>
      <c r="BX743"/>
      <c r="BY743"/>
      <c r="BZ743"/>
      <c r="CA743"/>
      <c r="CB743"/>
      <c r="CC743"/>
      <c r="CD743"/>
      <c r="CE743"/>
      <c r="CF743"/>
      <c r="CG743"/>
      <c r="CH743"/>
      <c r="CI743"/>
      <c r="CJ743"/>
      <c r="CK743"/>
    </row>
    <row r="744" spans="72:89" ht="16" hidden="1" x14ac:dyDescent="0.2">
      <c r="BT744"/>
      <c r="BU744"/>
      <c r="BV744"/>
      <c r="BW744"/>
      <c r="BX744"/>
      <c r="BY744"/>
      <c r="BZ744"/>
      <c r="CA744"/>
      <c r="CB744"/>
      <c r="CC744"/>
      <c r="CD744"/>
      <c r="CE744"/>
      <c r="CF744"/>
      <c r="CG744"/>
      <c r="CH744"/>
      <c r="CI744"/>
      <c r="CJ744"/>
      <c r="CK744"/>
    </row>
    <row r="745" spans="72:89" ht="16" hidden="1" x14ac:dyDescent="0.2">
      <c r="BT745"/>
      <c r="BU745"/>
      <c r="BV745"/>
      <c r="BW745"/>
      <c r="BX745"/>
      <c r="BY745"/>
      <c r="BZ745"/>
      <c r="CA745"/>
      <c r="CB745"/>
      <c r="CC745"/>
      <c r="CD745"/>
      <c r="CE745"/>
      <c r="CF745"/>
      <c r="CG745"/>
      <c r="CH745"/>
      <c r="CI745"/>
      <c r="CJ745"/>
      <c r="CK745"/>
    </row>
    <row r="746" spans="72:89" ht="16" hidden="1" x14ac:dyDescent="0.2">
      <c r="BT746"/>
      <c r="BU746"/>
      <c r="BV746"/>
      <c r="BW746"/>
      <c r="BX746"/>
      <c r="BY746"/>
      <c r="BZ746"/>
      <c r="CA746"/>
      <c r="CB746"/>
      <c r="CC746"/>
      <c r="CD746"/>
      <c r="CE746"/>
      <c r="CF746"/>
      <c r="CG746"/>
      <c r="CH746"/>
      <c r="CI746"/>
      <c r="CJ746"/>
      <c r="CK746"/>
    </row>
    <row r="747" spans="72:89" ht="16" hidden="1" x14ac:dyDescent="0.2">
      <c r="BT747"/>
      <c r="BU747"/>
      <c r="BV747"/>
      <c r="BW747"/>
      <c r="BX747"/>
      <c r="BY747"/>
      <c r="BZ747"/>
      <c r="CA747"/>
      <c r="CB747"/>
      <c r="CC747"/>
      <c r="CD747"/>
      <c r="CE747"/>
      <c r="CF747"/>
      <c r="CG747"/>
      <c r="CH747"/>
      <c r="CI747"/>
      <c r="CJ747"/>
      <c r="CK747"/>
    </row>
    <row r="748" spans="72:89" ht="16" hidden="1" x14ac:dyDescent="0.2">
      <c r="BT748"/>
      <c r="BU748"/>
      <c r="BV748"/>
      <c r="BW748"/>
      <c r="BX748"/>
      <c r="BY748"/>
      <c r="BZ748"/>
      <c r="CA748"/>
      <c r="CB748"/>
      <c r="CC748"/>
      <c r="CD748"/>
      <c r="CE748"/>
      <c r="CF748"/>
      <c r="CG748"/>
      <c r="CH748"/>
      <c r="CI748"/>
      <c r="CJ748"/>
      <c r="CK748"/>
    </row>
    <row r="749" spans="72:89" ht="16" hidden="1" x14ac:dyDescent="0.2">
      <c r="BT749"/>
      <c r="BU749"/>
      <c r="BV749"/>
      <c r="BW749"/>
      <c r="BX749"/>
      <c r="BY749"/>
      <c r="BZ749"/>
      <c r="CA749"/>
      <c r="CB749"/>
      <c r="CC749"/>
      <c r="CD749"/>
      <c r="CE749"/>
      <c r="CF749"/>
      <c r="CG749"/>
      <c r="CH749"/>
      <c r="CI749"/>
      <c r="CJ749"/>
      <c r="CK749"/>
    </row>
    <row r="750" spans="72:89" ht="16" hidden="1" x14ac:dyDescent="0.2">
      <c r="BT750"/>
      <c r="BU750"/>
      <c r="BV750"/>
      <c r="BW750"/>
      <c r="BX750"/>
      <c r="BY750"/>
      <c r="BZ750"/>
      <c r="CA750"/>
      <c r="CB750"/>
      <c r="CC750"/>
      <c r="CD750"/>
      <c r="CE750"/>
      <c r="CF750"/>
      <c r="CG750"/>
      <c r="CH750"/>
      <c r="CI750"/>
      <c r="CJ750"/>
      <c r="CK750"/>
    </row>
    <row r="751" spans="72:89" ht="16" hidden="1" x14ac:dyDescent="0.2">
      <c r="BT751"/>
      <c r="BU751"/>
      <c r="BV751"/>
      <c r="BW751"/>
      <c r="BX751"/>
      <c r="BY751"/>
      <c r="BZ751"/>
      <c r="CA751"/>
      <c r="CB751"/>
      <c r="CC751"/>
      <c r="CD751"/>
      <c r="CE751"/>
      <c r="CF751"/>
      <c r="CG751"/>
      <c r="CH751"/>
      <c r="CI751"/>
      <c r="CJ751"/>
      <c r="CK751"/>
    </row>
    <row r="752" spans="72:89" ht="16" hidden="1" x14ac:dyDescent="0.2">
      <c r="BT752"/>
      <c r="BU752"/>
      <c r="BV752"/>
      <c r="BW752"/>
      <c r="BX752"/>
      <c r="BY752"/>
      <c r="BZ752"/>
      <c r="CA752"/>
      <c r="CB752"/>
      <c r="CC752"/>
      <c r="CD752"/>
      <c r="CE752"/>
      <c r="CF752"/>
      <c r="CG752"/>
      <c r="CH752"/>
      <c r="CI752"/>
      <c r="CJ752"/>
      <c r="CK752"/>
    </row>
    <row r="753" spans="72:89" ht="16" hidden="1" x14ac:dyDescent="0.2">
      <c r="BT753"/>
      <c r="BU753"/>
      <c r="BV753"/>
      <c r="BW753"/>
      <c r="BX753"/>
      <c r="BY753"/>
      <c r="BZ753"/>
      <c r="CA753"/>
      <c r="CB753"/>
      <c r="CC753"/>
      <c r="CD753"/>
      <c r="CE753"/>
      <c r="CF753"/>
      <c r="CG753"/>
      <c r="CH753"/>
      <c r="CI753"/>
      <c r="CJ753"/>
      <c r="CK753"/>
    </row>
    <row r="754" spans="72:89" ht="16" hidden="1" x14ac:dyDescent="0.2">
      <c r="BT754"/>
      <c r="BU754"/>
      <c r="BV754"/>
      <c r="BW754"/>
      <c r="BX754"/>
      <c r="BY754"/>
      <c r="BZ754"/>
      <c r="CA754"/>
      <c r="CB754"/>
      <c r="CC754"/>
      <c r="CD754"/>
      <c r="CE754"/>
      <c r="CF754"/>
      <c r="CG754"/>
      <c r="CH754"/>
      <c r="CI754"/>
      <c r="CJ754"/>
      <c r="CK754"/>
    </row>
    <row r="755" spans="72:89" ht="16" hidden="1" x14ac:dyDescent="0.2">
      <c r="BT755"/>
      <c r="BU755"/>
      <c r="BV755"/>
      <c r="BW755"/>
      <c r="BX755"/>
      <c r="BY755"/>
      <c r="BZ755"/>
      <c r="CA755"/>
      <c r="CB755"/>
      <c r="CC755"/>
      <c r="CD755"/>
      <c r="CE755"/>
      <c r="CF755"/>
      <c r="CG755"/>
      <c r="CH755"/>
      <c r="CI755"/>
      <c r="CJ755"/>
      <c r="CK755"/>
    </row>
    <row r="756" spans="72:89" ht="16" hidden="1" x14ac:dyDescent="0.2">
      <c r="BT756"/>
      <c r="BU756"/>
      <c r="BV756"/>
      <c r="BW756"/>
      <c r="BX756"/>
      <c r="BY756"/>
      <c r="BZ756"/>
      <c r="CA756"/>
      <c r="CB756"/>
      <c r="CC756"/>
      <c r="CD756"/>
      <c r="CE756"/>
      <c r="CF756"/>
      <c r="CG756"/>
      <c r="CH756"/>
      <c r="CI756"/>
      <c r="CJ756"/>
      <c r="CK756"/>
    </row>
    <row r="757" spans="72:89" ht="16" hidden="1" x14ac:dyDescent="0.2">
      <c r="BT757"/>
      <c r="BU757"/>
      <c r="BV757"/>
      <c r="BW757"/>
      <c r="BX757"/>
      <c r="BY757"/>
      <c r="BZ757"/>
      <c r="CA757"/>
      <c r="CB757"/>
      <c r="CC757"/>
      <c r="CD757"/>
      <c r="CE757"/>
      <c r="CF757"/>
      <c r="CG757"/>
      <c r="CH757"/>
      <c r="CI757"/>
      <c r="CJ757"/>
      <c r="CK757"/>
    </row>
    <row r="758" spans="72:89" ht="16" hidden="1" x14ac:dyDescent="0.2">
      <c r="BT758"/>
      <c r="BU758"/>
      <c r="BV758"/>
      <c r="BW758"/>
      <c r="BX758"/>
      <c r="BY758"/>
      <c r="BZ758"/>
      <c r="CA758"/>
      <c r="CB758"/>
      <c r="CC758"/>
      <c r="CD758"/>
      <c r="CE758"/>
      <c r="CF758"/>
      <c r="CG758"/>
      <c r="CH758"/>
      <c r="CI758"/>
      <c r="CJ758"/>
      <c r="CK758"/>
    </row>
    <row r="759" spans="72:89" ht="16" hidden="1" x14ac:dyDescent="0.2">
      <c r="BT759"/>
      <c r="BU759"/>
      <c r="BV759"/>
      <c r="BW759"/>
      <c r="BX759"/>
      <c r="BY759"/>
      <c r="BZ759"/>
      <c r="CA759"/>
      <c r="CB759"/>
      <c r="CC759"/>
      <c r="CD759"/>
      <c r="CE759"/>
      <c r="CF759"/>
      <c r="CG759"/>
      <c r="CH759"/>
      <c r="CI759"/>
      <c r="CJ759"/>
      <c r="CK759"/>
    </row>
    <row r="760" spans="72:89" ht="16" hidden="1" x14ac:dyDescent="0.2">
      <c r="BT760"/>
      <c r="BU760"/>
      <c r="BV760"/>
      <c r="BW760"/>
      <c r="BX760"/>
      <c r="BY760"/>
      <c r="BZ760"/>
      <c r="CA760"/>
      <c r="CB760"/>
      <c r="CC760"/>
      <c r="CD760"/>
      <c r="CE760"/>
      <c r="CF760"/>
      <c r="CG760"/>
      <c r="CH760"/>
      <c r="CI760"/>
      <c r="CJ760"/>
      <c r="CK760"/>
    </row>
    <row r="761" spans="72:89" ht="16" hidden="1" x14ac:dyDescent="0.2">
      <c r="BT761"/>
      <c r="BU761"/>
      <c r="BV761"/>
      <c r="BW761"/>
      <c r="BX761"/>
      <c r="BY761"/>
      <c r="BZ761"/>
      <c r="CA761"/>
      <c r="CB761"/>
      <c r="CC761"/>
      <c r="CD761"/>
      <c r="CE761"/>
      <c r="CF761"/>
      <c r="CG761"/>
      <c r="CH761"/>
      <c r="CI761"/>
      <c r="CJ761"/>
      <c r="CK761"/>
    </row>
    <row r="762" spans="72:89" ht="16" hidden="1" x14ac:dyDescent="0.2">
      <c r="BT762"/>
      <c r="BU762"/>
      <c r="BV762"/>
      <c r="BW762"/>
      <c r="BX762"/>
      <c r="BY762"/>
      <c r="BZ762"/>
      <c r="CA762"/>
      <c r="CB762"/>
      <c r="CC762"/>
      <c r="CD762"/>
      <c r="CE762"/>
      <c r="CF762"/>
      <c r="CG762"/>
      <c r="CH762"/>
      <c r="CI762"/>
      <c r="CJ762"/>
      <c r="CK762"/>
    </row>
    <row r="763" spans="72:89" ht="16" hidden="1" x14ac:dyDescent="0.2">
      <c r="BT763"/>
      <c r="BU763"/>
      <c r="BV763"/>
      <c r="BW763"/>
      <c r="BX763"/>
      <c r="BY763"/>
      <c r="BZ763"/>
      <c r="CA763"/>
      <c r="CB763"/>
      <c r="CC763"/>
      <c r="CD763"/>
      <c r="CE763"/>
      <c r="CF763"/>
      <c r="CG763"/>
      <c r="CH763"/>
      <c r="CI763"/>
      <c r="CJ763"/>
      <c r="CK763"/>
    </row>
    <row r="764" spans="72:89" ht="16" hidden="1" x14ac:dyDescent="0.2">
      <c r="BT764"/>
      <c r="BU764"/>
      <c r="BV764"/>
      <c r="BW764"/>
      <c r="BX764"/>
      <c r="BY764"/>
      <c r="BZ764"/>
      <c r="CA764"/>
      <c r="CB764"/>
      <c r="CC764"/>
      <c r="CD764"/>
      <c r="CE764"/>
      <c r="CF764"/>
      <c r="CG764"/>
      <c r="CH764"/>
      <c r="CI764"/>
      <c r="CJ764"/>
      <c r="CK764"/>
    </row>
    <row r="765" spans="72:89" ht="16" hidden="1" x14ac:dyDescent="0.2">
      <c r="BT765"/>
      <c r="BU765"/>
      <c r="BV765"/>
      <c r="BW765"/>
      <c r="BX765"/>
      <c r="BY765"/>
      <c r="BZ765"/>
      <c r="CA765"/>
      <c r="CB765"/>
      <c r="CC765"/>
      <c r="CD765"/>
      <c r="CE765"/>
      <c r="CF765"/>
      <c r="CG765"/>
      <c r="CH765"/>
      <c r="CI765"/>
      <c r="CJ765"/>
      <c r="CK765"/>
    </row>
    <row r="766" spans="72:89" ht="16" hidden="1" x14ac:dyDescent="0.2">
      <c r="BT766"/>
      <c r="BU766"/>
      <c r="BV766"/>
      <c r="BW766"/>
      <c r="BX766"/>
      <c r="BY766"/>
      <c r="BZ766"/>
      <c r="CA766"/>
      <c r="CB766"/>
      <c r="CC766"/>
      <c r="CD766"/>
      <c r="CE766"/>
      <c r="CF766"/>
      <c r="CG766"/>
      <c r="CH766"/>
      <c r="CI766"/>
      <c r="CJ766"/>
      <c r="CK766"/>
    </row>
    <row r="767" spans="72:89" ht="16" hidden="1" x14ac:dyDescent="0.2">
      <c r="BT767"/>
      <c r="BU767"/>
      <c r="BV767"/>
      <c r="BW767"/>
      <c r="BX767"/>
      <c r="BY767"/>
      <c r="BZ767"/>
      <c r="CA767"/>
      <c r="CB767"/>
      <c r="CC767"/>
      <c r="CD767"/>
      <c r="CE767"/>
      <c r="CF767"/>
      <c r="CG767"/>
      <c r="CH767"/>
      <c r="CI767"/>
      <c r="CJ767"/>
      <c r="CK767"/>
    </row>
    <row r="768" spans="72:89" ht="16" hidden="1" x14ac:dyDescent="0.2">
      <c r="BT768"/>
      <c r="BU768"/>
      <c r="BV768"/>
      <c r="BW768"/>
      <c r="BX768"/>
      <c r="BY768"/>
      <c r="BZ768"/>
      <c r="CA768"/>
      <c r="CB768"/>
      <c r="CC768"/>
      <c r="CD768"/>
      <c r="CE768"/>
      <c r="CF768"/>
      <c r="CG768"/>
      <c r="CH768"/>
      <c r="CI768"/>
      <c r="CJ768"/>
      <c r="CK768"/>
    </row>
    <row r="769" spans="72:89" ht="16" hidden="1" x14ac:dyDescent="0.2">
      <c r="BT769"/>
      <c r="BU769"/>
      <c r="BV769"/>
      <c r="BW769"/>
      <c r="BX769"/>
      <c r="BY769"/>
      <c r="BZ769"/>
      <c r="CA769"/>
      <c r="CB769"/>
      <c r="CC769"/>
      <c r="CD769"/>
      <c r="CE769"/>
      <c r="CF769"/>
      <c r="CG769"/>
      <c r="CH769"/>
      <c r="CI769"/>
      <c r="CJ769"/>
      <c r="CK769"/>
    </row>
    <row r="770" spans="72:89" ht="16" hidden="1" x14ac:dyDescent="0.2">
      <c r="BT770"/>
      <c r="BU770"/>
      <c r="BV770"/>
      <c r="BW770"/>
      <c r="BX770"/>
      <c r="BY770"/>
      <c r="BZ770"/>
      <c r="CA770"/>
      <c r="CB770"/>
      <c r="CC770"/>
      <c r="CD770"/>
      <c r="CE770"/>
      <c r="CF770"/>
      <c r="CG770"/>
      <c r="CH770"/>
      <c r="CI770"/>
      <c r="CJ770"/>
      <c r="CK770"/>
    </row>
    <row r="771" spans="72:89" ht="16" hidden="1" x14ac:dyDescent="0.2">
      <c r="BT771"/>
      <c r="BU771"/>
      <c r="BV771"/>
      <c r="BW771"/>
      <c r="BX771"/>
      <c r="BY771"/>
      <c r="BZ771"/>
      <c r="CA771"/>
      <c r="CB771"/>
      <c r="CC771"/>
      <c r="CD771"/>
      <c r="CE771"/>
      <c r="CF771"/>
      <c r="CG771"/>
      <c r="CH771"/>
      <c r="CI771"/>
      <c r="CJ771"/>
      <c r="CK771"/>
    </row>
    <row r="772" spans="72:89" ht="16" hidden="1" x14ac:dyDescent="0.2">
      <c r="BT772"/>
      <c r="BU772"/>
      <c r="BV772"/>
      <c r="BW772"/>
      <c r="BX772"/>
      <c r="BY772"/>
      <c r="BZ772"/>
      <c r="CA772"/>
      <c r="CB772"/>
      <c r="CC772"/>
      <c r="CD772"/>
      <c r="CE772"/>
      <c r="CF772"/>
      <c r="CG772"/>
      <c r="CH772"/>
      <c r="CI772"/>
      <c r="CJ772"/>
      <c r="CK772"/>
    </row>
    <row r="773" spans="72:89" ht="16" hidden="1" x14ac:dyDescent="0.2">
      <c r="BT773"/>
      <c r="BU773"/>
      <c r="BV773"/>
      <c r="BW773"/>
      <c r="BX773"/>
      <c r="BY773"/>
      <c r="BZ773"/>
      <c r="CA773"/>
      <c r="CB773"/>
      <c r="CC773"/>
      <c r="CD773"/>
      <c r="CE773"/>
      <c r="CF773"/>
      <c r="CG773"/>
      <c r="CH773"/>
      <c r="CI773"/>
      <c r="CJ773"/>
      <c r="CK773"/>
    </row>
    <row r="774" spans="72:89" ht="16" hidden="1" x14ac:dyDescent="0.2">
      <c r="BT774"/>
      <c r="BU774"/>
      <c r="BV774"/>
      <c r="BW774"/>
      <c r="BX774"/>
      <c r="BY774"/>
      <c r="BZ774"/>
      <c r="CA774"/>
      <c r="CB774"/>
      <c r="CC774"/>
      <c r="CD774"/>
      <c r="CE774"/>
      <c r="CF774"/>
      <c r="CG774"/>
      <c r="CH774"/>
      <c r="CI774"/>
      <c r="CJ774"/>
      <c r="CK774"/>
    </row>
    <row r="775" spans="72:89" ht="16" hidden="1" x14ac:dyDescent="0.2">
      <c r="BT775"/>
      <c r="BU775"/>
      <c r="BV775"/>
      <c r="BW775"/>
      <c r="BX775"/>
      <c r="BY775"/>
      <c r="BZ775"/>
      <c r="CA775"/>
      <c r="CB775"/>
      <c r="CC775"/>
      <c r="CD775"/>
      <c r="CE775"/>
      <c r="CF775"/>
      <c r="CG775"/>
      <c r="CH775"/>
      <c r="CI775"/>
      <c r="CJ775"/>
      <c r="CK775"/>
    </row>
    <row r="776" spans="72:89" ht="16" hidden="1" x14ac:dyDescent="0.2">
      <c r="BT776"/>
      <c r="BU776"/>
      <c r="BV776"/>
      <c r="BW776"/>
      <c r="BX776"/>
      <c r="BY776"/>
      <c r="BZ776"/>
      <c r="CA776"/>
      <c r="CB776"/>
      <c r="CC776"/>
      <c r="CD776"/>
      <c r="CE776"/>
      <c r="CF776"/>
      <c r="CG776"/>
      <c r="CH776"/>
      <c r="CI776"/>
      <c r="CJ776"/>
      <c r="CK776"/>
    </row>
    <row r="777" spans="72:89" ht="16" hidden="1" x14ac:dyDescent="0.2">
      <c r="BT777"/>
      <c r="BU777"/>
      <c r="BV777"/>
      <c r="BW777"/>
      <c r="BX777"/>
      <c r="BY777"/>
      <c r="BZ777"/>
      <c r="CA777"/>
      <c r="CB777"/>
      <c r="CC777"/>
      <c r="CD777"/>
      <c r="CE777"/>
      <c r="CF777"/>
      <c r="CG777"/>
      <c r="CH777"/>
      <c r="CI777"/>
      <c r="CJ777"/>
      <c r="CK777"/>
    </row>
    <row r="778" spans="72:89" ht="16" hidden="1" x14ac:dyDescent="0.2">
      <c r="BT778"/>
      <c r="BU778"/>
      <c r="BV778"/>
      <c r="BW778"/>
      <c r="BX778"/>
      <c r="BY778"/>
      <c r="BZ778"/>
      <c r="CA778"/>
      <c r="CB778"/>
      <c r="CC778"/>
      <c r="CD778"/>
      <c r="CE778"/>
      <c r="CF778"/>
      <c r="CG778"/>
      <c r="CH778"/>
      <c r="CI778"/>
      <c r="CJ778"/>
      <c r="CK778"/>
    </row>
    <row r="779" spans="72:89" ht="16" hidden="1" x14ac:dyDescent="0.2">
      <c r="BT779"/>
      <c r="BU779"/>
      <c r="BV779"/>
      <c r="BW779"/>
      <c r="BX779"/>
      <c r="BY779"/>
      <c r="BZ779"/>
      <c r="CA779"/>
      <c r="CB779"/>
      <c r="CC779"/>
      <c r="CD779"/>
      <c r="CE779"/>
      <c r="CF779"/>
      <c r="CG779"/>
      <c r="CH779"/>
      <c r="CI779"/>
      <c r="CJ779"/>
      <c r="CK779"/>
    </row>
    <row r="780" spans="72:89" ht="16" hidden="1" x14ac:dyDescent="0.2">
      <c r="BT780"/>
      <c r="BU780"/>
      <c r="BV780"/>
      <c r="BW780"/>
      <c r="BX780"/>
      <c r="BY780"/>
      <c r="BZ780"/>
      <c r="CA780"/>
      <c r="CB780"/>
      <c r="CC780"/>
      <c r="CD780"/>
      <c r="CE780"/>
      <c r="CF780"/>
      <c r="CG780"/>
      <c r="CH780"/>
      <c r="CI780"/>
      <c r="CJ780"/>
      <c r="CK780"/>
    </row>
    <row r="781" spans="72:89" ht="16" hidden="1" x14ac:dyDescent="0.2">
      <c r="BT781"/>
      <c r="BU781"/>
      <c r="BV781"/>
      <c r="BW781"/>
      <c r="BX781"/>
      <c r="BY781"/>
      <c r="BZ781"/>
      <c r="CA781"/>
      <c r="CB781"/>
      <c r="CC781"/>
      <c r="CD781"/>
      <c r="CE781"/>
      <c r="CF781"/>
      <c r="CG781"/>
      <c r="CH781"/>
      <c r="CI781"/>
      <c r="CJ781"/>
      <c r="CK781"/>
    </row>
    <row r="782" spans="72:89" ht="16" hidden="1" x14ac:dyDescent="0.2">
      <c r="BT782"/>
      <c r="BU782"/>
      <c r="BV782"/>
      <c r="BW782"/>
      <c r="BX782"/>
      <c r="BY782"/>
      <c r="BZ782"/>
      <c r="CA782"/>
      <c r="CB782"/>
      <c r="CC782"/>
      <c r="CD782"/>
      <c r="CE782"/>
      <c r="CF782"/>
      <c r="CG782"/>
      <c r="CH782"/>
      <c r="CI782"/>
      <c r="CJ782"/>
      <c r="CK782"/>
    </row>
    <row r="783" spans="72:89" ht="16" hidden="1" x14ac:dyDescent="0.2">
      <c r="BT783"/>
      <c r="BU783"/>
      <c r="BV783"/>
      <c r="BW783"/>
      <c r="BX783"/>
      <c r="BY783"/>
      <c r="BZ783"/>
      <c r="CA783"/>
      <c r="CB783"/>
      <c r="CC783"/>
      <c r="CD783"/>
      <c r="CE783"/>
      <c r="CF783"/>
      <c r="CG783"/>
      <c r="CH783"/>
      <c r="CI783"/>
      <c r="CJ783"/>
      <c r="CK783"/>
    </row>
    <row r="784" spans="72:89" ht="16" hidden="1" x14ac:dyDescent="0.2">
      <c r="BT784"/>
      <c r="BU784"/>
      <c r="BV784"/>
      <c r="BW784"/>
      <c r="BX784"/>
      <c r="BY784"/>
      <c r="BZ784"/>
      <c r="CA784"/>
      <c r="CB784"/>
      <c r="CC784"/>
      <c r="CD784"/>
      <c r="CE784"/>
      <c r="CF784"/>
      <c r="CG784"/>
      <c r="CH784"/>
      <c r="CI784"/>
      <c r="CJ784"/>
      <c r="CK784"/>
    </row>
    <row r="785" spans="72:89" ht="16" hidden="1" x14ac:dyDescent="0.2">
      <c r="BT785"/>
      <c r="BU785"/>
      <c r="BV785"/>
      <c r="BW785"/>
      <c r="BX785"/>
      <c r="BY785"/>
      <c r="BZ785"/>
      <c r="CA785"/>
      <c r="CB785"/>
      <c r="CC785"/>
      <c r="CD785"/>
      <c r="CE785"/>
      <c r="CF785"/>
      <c r="CG785"/>
      <c r="CH785"/>
      <c r="CI785"/>
      <c r="CJ785"/>
      <c r="CK785"/>
    </row>
    <row r="786" spans="72:89" ht="16" hidden="1" x14ac:dyDescent="0.2">
      <c r="BT786"/>
      <c r="BU786"/>
      <c r="BV786"/>
      <c r="BW786"/>
      <c r="BX786"/>
      <c r="BY786"/>
      <c r="BZ786"/>
      <c r="CA786"/>
      <c r="CB786"/>
      <c r="CC786"/>
      <c r="CD786"/>
      <c r="CE786"/>
      <c r="CF786"/>
      <c r="CG786"/>
      <c r="CH786"/>
      <c r="CI786"/>
      <c r="CJ786"/>
      <c r="CK786"/>
    </row>
    <row r="787" spans="72:89" ht="16" hidden="1" x14ac:dyDescent="0.2">
      <c r="BT787"/>
      <c r="BU787"/>
      <c r="BV787"/>
      <c r="BW787"/>
      <c r="BX787"/>
      <c r="BY787"/>
      <c r="BZ787"/>
      <c r="CA787"/>
      <c r="CB787"/>
      <c r="CC787"/>
      <c r="CD787"/>
      <c r="CE787"/>
      <c r="CF787"/>
      <c r="CG787"/>
      <c r="CH787"/>
      <c r="CI787"/>
      <c r="CJ787"/>
      <c r="CK787"/>
    </row>
    <row r="788" spans="72:89" ht="16" hidden="1" x14ac:dyDescent="0.2">
      <c r="BT788"/>
      <c r="BU788"/>
      <c r="BV788"/>
      <c r="BW788"/>
      <c r="BX788"/>
      <c r="BY788"/>
      <c r="BZ788"/>
      <c r="CA788"/>
      <c r="CB788"/>
      <c r="CC788"/>
      <c r="CD788"/>
      <c r="CE788"/>
      <c r="CF788"/>
      <c r="CG788"/>
      <c r="CH788"/>
      <c r="CI788"/>
      <c r="CJ788"/>
      <c r="CK788"/>
    </row>
    <row r="789" spans="72:89" ht="16" hidden="1" x14ac:dyDescent="0.2">
      <c r="BT789"/>
      <c r="BU789"/>
      <c r="BV789"/>
      <c r="BW789"/>
      <c r="BX789"/>
      <c r="BY789"/>
      <c r="BZ789"/>
      <c r="CA789"/>
      <c r="CB789"/>
      <c r="CC789"/>
      <c r="CD789"/>
      <c r="CE789"/>
      <c r="CF789"/>
      <c r="CG789"/>
      <c r="CH789"/>
      <c r="CI789"/>
      <c r="CJ789"/>
      <c r="CK789"/>
    </row>
    <row r="790" spans="72:89" ht="16" hidden="1" x14ac:dyDescent="0.2">
      <c r="BT790"/>
      <c r="BU790"/>
      <c r="BV790"/>
      <c r="BW790"/>
      <c r="BX790"/>
      <c r="BY790"/>
      <c r="BZ790"/>
      <c r="CA790"/>
      <c r="CB790"/>
      <c r="CC790"/>
      <c r="CD790"/>
      <c r="CE790"/>
      <c r="CF790"/>
      <c r="CG790"/>
      <c r="CH790"/>
      <c r="CI790"/>
      <c r="CJ790"/>
      <c r="CK790"/>
    </row>
    <row r="791" spans="72:89" ht="16" hidden="1" x14ac:dyDescent="0.2">
      <c r="BT791"/>
      <c r="BU791"/>
      <c r="BV791"/>
      <c r="BW791"/>
      <c r="BX791"/>
      <c r="BY791"/>
      <c r="BZ791"/>
      <c r="CA791"/>
      <c r="CB791"/>
      <c r="CC791"/>
      <c r="CD791"/>
      <c r="CE791"/>
      <c r="CF791"/>
      <c r="CG791"/>
      <c r="CH791"/>
      <c r="CI791"/>
      <c r="CJ791"/>
      <c r="CK791"/>
    </row>
    <row r="792" spans="72:89" ht="16" hidden="1" x14ac:dyDescent="0.2">
      <c r="BT792"/>
      <c r="BU792"/>
      <c r="BV792"/>
      <c r="BW792"/>
      <c r="BX792"/>
      <c r="BY792"/>
      <c r="BZ792"/>
      <c r="CA792"/>
      <c r="CB792"/>
      <c r="CC792"/>
      <c r="CD792"/>
      <c r="CE792"/>
      <c r="CF792"/>
      <c r="CG792"/>
      <c r="CH792"/>
      <c r="CI792"/>
      <c r="CJ792"/>
      <c r="CK792"/>
    </row>
    <row r="793" spans="72:89" ht="16" hidden="1" x14ac:dyDescent="0.2">
      <c r="BT793"/>
      <c r="BU793"/>
      <c r="BV793"/>
      <c r="BW793"/>
      <c r="BX793"/>
      <c r="BY793"/>
      <c r="BZ793"/>
      <c r="CA793"/>
      <c r="CB793"/>
      <c r="CC793"/>
      <c r="CD793"/>
      <c r="CE793"/>
      <c r="CF793"/>
      <c r="CG793"/>
      <c r="CH793"/>
      <c r="CI793"/>
      <c r="CJ793"/>
      <c r="CK793"/>
    </row>
    <row r="794" spans="72:89" ht="16" hidden="1" x14ac:dyDescent="0.2">
      <c r="BT794"/>
      <c r="BU794"/>
      <c r="BV794"/>
      <c r="BW794"/>
      <c r="BX794"/>
      <c r="BY794"/>
      <c r="BZ794"/>
      <c r="CA794"/>
      <c r="CB794"/>
      <c r="CC794"/>
      <c r="CD794"/>
      <c r="CE794"/>
      <c r="CF794"/>
      <c r="CG794"/>
      <c r="CH794"/>
      <c r="CI794"/>
      <c r="CJ794"/>
      <c r="CK794"/>
    </row>
    <row r="795" spans="72:89" ht="16" hidden="1" x14ac:dyDescent="0.2">
      <c r="BT795"/>
      <c r="BU795"/>
      <c r="BV795"/>
      <c r="BW795"/>
      <c r="BX795"/>
      <c r="BY795"/>
      <c r="BZ795"/>
      <c r="CA795"/>
      <c r="CB795"/>
      <c r="CC795"/>
      <c r="CD795"/>
      <c r="CE795"/>
      <c r="CF795"/>
      <c r="CG795"/>
      <c r="CH795"/>
      <c r="CI795"/>
      <c r="CJ795"/>
      <c r="CK795"/>
    </row>
    <row r="796" spans="72:89" ht="16" hidden="1" x14ac:dyDescent="0.2">
      <c r="BT796"/>
      <c r="BU796"/>
      <c r="BV796"/>
      <c r="BW796"/>
      <c r="BX796"/>
      <c r="BY796"/>
      <c r="BZ796"/>
      <c r="CA796"/>
      <c r="CB796"/>
      <c r="CC796"/>
      <c r="CD796"/>
      <c r="CE796"/>
      <c r="CF796"/>
      <c r="CG796"/>
      <c r="CH796"/>
      <c r="CI796"/>
      <c r="CJ796"/>
      <c r="CK796"/>
    </row>
    <row r="797" spans="72:89" ht="16" hidden="1" x14ac:dyDescent="0.2">
      <c r="BT797"/>
      <c r="BU797"/>
      <c r="BV797"/>
      <c r="BW797"/>
      <c r="BX797"/>
      <c r="BY797"/>
      <c r="BZ797"/>
      <c r="CA797"/>
      <c r="CB797"/>
      <c r="CC797"/>
      <c r="CD797"/>
      <c r="CE797"/>
      <c r="CF797"/>
      <c r="CG797"/>
      <c r="CH797"/>
      <c r="CI797"/>
      <c r="CJ797"/>
      <c r="CK797"/>
    </row>
    <row r="798" spans="72:89" ht="16" hidden="1" x14ac:dyDescent="0.2">
      <c r="BT798"/>
      <c r="BU798"/>
      <c r="BV798"/>
      <c r="BW798"/>
      <c r="BX798"/>
      <c r="BY798"/>
      <c r="BZ798"/>
      <c r="CA798"/>
      <c r="CB798"/>
      <c r="CC798"/>
      <c r="CD798"/>
      <c r="CE798"/>
      <c r="CF798"/>
      <c r="CG798"/>
      <c r="CH798"/>
      <c r="CI798"/>
      <c r="CJ798"/>
      <c r="CK798"/>
    </row>
    <row r="799" spans="72:89" ht="16" hidden="1" x14ac:dyDescent="0.2">
      <c r="BT799"/>
      <c r="BU799"/>
      <c r="BV799"/>
      <c r="BW799"/>
      <c r="BX799"/>
      <c r="BY799"/>
      <c r="BZ799"/>
      <c r="CA799"/>
      <c r="CB799"/>
      <c r="CC799"/>
      <c r="CD799"/>
      <c r="CE799"/>
      <c r="CF799"/>
      <c r="CG799"/>
      <c r="CH799"/>
      <c r="CI799"/>
      <c r="CJ799"/>
      <c r="CK799"/>
    </row>
    <row r="800" spans="72:89" ht="16" hidden="1" x14ac:dyDescent="0.2">
      <c r="BT800"/>
      <c r="BU800"/>
      <c r="BV800"/>
      <c r="BW800"/>
      <c r="BX800"/>
      <c r="BY800"/>
      <c r="BZ800"/>
      <c r="CA800"/>
      <c r="CB800"/>
      <c r="CC800"/>
      <c r="CD800"/>
      <c r="CE800"/>
      <c r="CF800"/>
      <c r="CG800"/>
      <c r="CH800"/>
      <c r="CI800"/>
      <c r="CJ800"/>
      <c r="CK800"/>
    </row>
    <row r="801" spans="72:89" ht="16" hidden="1" x14ac:dyDescent="0.2">
      <c r="BT801"/>
      <c r="BU801"/>
      <c r="BV801"/>
      <c r="BW801"/>
      <c r="BX801"/>
      <c r="BY801"/>
      <c r="BZ801"/>
      <c r="CA801"/>
      <c r="CB801"/>
      <c r="CC801"/>
      <c r="CD801"/>
      <c r="CE801"/>
      <c r="CF801"/>
      <c r="CG801"/>
      <c r="CH801"/>
      <c r="CI801"/>
      <c r="CJ801"/>
      <c r="CK801"/>
    </row>
    <row r="802" spans="72:89" ht="16" hidden="1" x14ac:dyDescent="0.2">
      <c r="BT802"/>
      <c r="BU802"/>
      <c r="BV802"/>
      <c r="BW802"/>
      <c r="BX802"/>
      <c r="BY802"/>
      <c r="BZ802"/>
      <c r="CA802"/>
      <c r="CB802"/>
      <c r="CC802"/>
      <c r="CD802"/>
      <c r="CE802"/>
      <c r="CF802"/>
      <c r="CG802"/>
      <c r="CH802"/>
      <c r="CI802"/>
      <c r="CJ802"/>
      <c r="CK802"/>
    </row>
    <row r="803" spans="72:89" ht="16" hidden="1" x14ac:dyDescent="0.2">
      <c r="BT803"/>
      <c r="BU803"/>
      <c r="BV803"/>
      <c r="BW803"/>
      <c r="BX803"/>
      <c r="BY803"/>
      <c r="BZ803"/>
      <c r="CA803"/>
      <c r="CB803"/>
      <c r="CC803"/>
      <c r="CD803"/>
      <c r="CE803"/>
      <c r="CF803"/>
      <c r="CG803"/>
      <c r="CH803"/>
      <c r="CI803"/>
      <c r="CJ803"/>
      <c r="CK803"/>
    </row>
    <row r="804" spans="72:89" ht="16" hidden="1" x14ac:dyDescent="0.2">
      <c r="BT804"/>
      <c r="BU804"/>
      <c r="BV804"/>
      <c r="BW804"/>
      <c r="BX804"/>
      <c r="BY804"/>
      <c r="BZ804"/>
      <c r="CA804"/>
      <c r="CB804"/>
      <c r="CC804"/>
      <c r="CD804"/>
      <c r="CE804"/>
      <c r="CF804"/>
      <c r="CG804"/>
      <c r="CH804"/>
      <c r="CI804"/>
      <c r="CJ804"/>
      <c r="CK804"/>
    </row>
    <row r="805" spans="72:89" ht="16" hidden="1" x14ac:dyDescent="0.2">
      <c r="BT805"/>
      <c r="BU805"/>
      <c r="BV805"/>
      <c r="BW805"/>
      <c r="BX805"/>
      <c r="BY805"/>
      <c r="BZ805"/>
      <c r="CA805"/>
      <c r="CB805"/>
      <c r="CC805"/>
      <c r="CD805"/>
      <c r="CE805"/>
      <c r="CF805"/>
      <c r="CG805"/>
      <c r="CH805"/>
      <c r="CI805"/>
      <c r="CJ805"/>
      <c r="CK805"/>
    </row>
    <row r="806" spans="72:89" ht="16" hidden="1" x14ac:dyDescent="0.2">
      <c r="BT806"/>
      <c r="BU806"/>
      <c r="BV806"/>
      <c r="BW806"/>
      <c r="BX806"/>
      <c r="BY806"/>
      <c r="BZ806"/>
      <c r="CA806"/>
      <c r="CB806"/>
      <c r="CC806"/>
      <c r="CD806"/>
      <c r="CE806"/>
      <c r="CF806"/>
      <c r="CG806"/>
      <c r="CH806"/>
      <c r="CI806"/>
      <c r="CJ806"/>
      <c r="CK806"/>
    </row>
    <row r="807" spans="72:89" ht="16" hidden="1" x14ac:dyDescent="0.2">
      <c r="BT807"/>
      <c r="BU807"/>
      <c r="BV807"/>
      <c r="BW807"/>
      <c r="BX807"/>
      <c r="BY807"/>
      <c r="BZ807"/>
      <c r="CA807"/>
      <c r="CB807"/>
      <c r="CC807"/>
      <c r="CD807"/>
      <c r="CE807"/>
      <c r="CF807"/>
      <c r="CG807"/>
      <c r="CH807"/>
      <c r="CI807"/>
      <c r="CJ807"/>
      <c r="CK807"/>
    </row>
    <row r="808" spans="72:89" ht="16" hidden="1" x14ac:dyDescent="0.2">
      <c r="BT808"/>
      <c r="BU808"/>
      <c r="BV808"/>
      <c r="BW808"/>
      <c r="BX808"/>
      <c r="BY808"/>
      <c r="BZ808"/>
      <c r="CA808"/>
      <c r="CB808"/>
      <c r="CC808"/>
      <c r="CD808"/>
      <c r="CE808"/>
      <c r="CF808"/>
      <c r="CG808"/>
      <c r="CH808"/>
      <c r="CI808"/>
      <c r="CJ808"/>
      <c r="CK808"/>
    </row>
    <row r="809" spans="72:89" ht="16" hidden="1" x14ac:dyDescent="0.2">
      <c r="BT809"/>
      <c r="BU809"/>
      <c r="BV809"/>
      <c r="BW809"/>
      <c r="BX809"/>
      <c r="BY809"/>
      <c r="BZ809"/>
      <c r="CA809"/>
      <c r="CB809"/>
      <c r="CC809"/>
      <c r="CD809"/>
      <c r="CE809"/>
      <c r="CF809"/>
      <c r="CG809"/>
      <c r="CH809"/>
      <c r="CI809"/>
      <c r="CJ809"/>
      <c r="CK809"/>
    </row>
    <row r="810" spans="72:89" ht="16" hidden="1" x14ac:dyDescent="0.2">
      <c r="BT810"/>
      <c r="BU810"/>
      <c r="BV810"/>
      <c r="BW810"/>
      <c r="BX810"/>
      <c r="BY810"/>
      <c r="BZ810"/>
      <c r="CA810"/>
      <c r="CB810"/>
      <c r="CC810"/>
      <c r="CD810"/>
      <c r="CE810"/>
      <c r="CF810"/>
      <c r="CG810"/>
      <c r="CH810"/>
      <c r="CI810"/>
      <c r="CJ810"/>
      <c r="CK810"/>
    </row>
    <row r="811" spans="72:89" ht="16" hidden="1" x14ac:dyDescent="0.2">
      <c r="BT811"/>
      <c r="BU811"/>
      <c r="BV811"/>
      <c r="BW811"/>
      <c r="BX811"/>
      <c r="BY811"/>
      <c r="BZ811"/>
      <c r="CA811"/>
      <c r="CB811"/>
      <c r="CC811"/>
      <c r="CD811"/>
      <c r="CE811"/>
      <c r="CF811"/>
      <c r="CG811"/>
      <c r="CH811"/>
      <c r="CI811"/>
      <c r="CJ811"/>
      <c r="CK811"/>
    </row>
    <row r="812" spans="72:89" ht="16" hidden="1" x14ac:dyDescent="0.2">
      <c r="BT812"/>
      <c r="BU812"/>
      <c r="BV812"/>
      <c r="BW812"/>
      <c r="BX812"/>
      <c r="BY812"/>
      <c r="BZ812"/>
      <c r="CA812"/>
      <c r="CB812"/>
      <c r="CC812"/>
      <c r="CD812"/>
      <c r="CE812"/>
      <c r="CF812"/>
      <c r="CG812"/>
      <c r="CH812"/>
      <c r="CI812"/>
      <c r="CJ812"/>
      <c r="CK812"/>
    </row>
    <row r="813" spans="72:89" ht="16" hidden="1" x14ac:dyDescent="0.2">
      <c r="BT813"/>
      <c r="BU813"/>
      <c r="BV813"/>
      <c r="BW813"/>
      <c r="BX813"/>
      <c r="BY813"/>
      <c r="BZ813"/>
      <c r="CA813"/>
      <c r="CB813"/>
      <c r="CC813"/>
      <c r="CD813"/>
      <c r="CE813"/>
      <c r="CF813"/>
      <c r="CG813"/>
      <c r="CH813"/>
      <c r="CI813"/>
      <c r="CJ813"/>
      <c r="CK813"/>
    </row>
    <row r="814" spans="72:89" ht="16" hidden="1" x14ac:dyDescent="0.2">
      <c r="BT814"/>
      <c r="BU814"/>
      <c r="BV814"/>
      <c r="BW814"/>
      <c r="BX814"/>
      <c r="BY814"/>
      <c r="BZ814"/>
      <c r="CA814"/>
      <c r="CB814"/>
      <c r="CC814"/>
      <c r="CD814"/>
      <c r="CE814"/>
      <c r="CF814"/>
      <c r="CG814"/>
      <c r="CH814"/>
      <c r="CI814"/>
      <c r="CJ814"/>
      <c r="CK814"/>
    </row>
    <row r="815" spans="72:89" ht="16" hidden="1" x14ac:dyDescent="0.2">
      <c r="BT815"/>
      <c r="BU815"/>
      <c r="BV815"/>
      <c r="BW815"/>
      <c r="BX815"/>
      <c r="BY815"/>
      <c r="BZ815"/>
      <c r="CA815"/>
      <c r="CB815"/>
      <c r="CC815"/>
      <c r="CD815"/>
      <c r="CE815"/>
      <c r="CF815"/>
      <c r="CG815"/>
      <c r="CH815"/>
      <c r="CI815"/>
      <c r="CJ815"/>
      <c r="CK815"/>
    </row>
    <row r="816" spans="72:89" ht="16" hidden="1" x14ac:dyDescent="0.2">
      <c r="BT816"/>
      <c r="BU816"/>
      <c r="BV816"/>
      <c r="BW816"/>
      <c r="BX816"/>
      <c r="BY816"/>
      <c r="BZ816"/>
      <c r="CA816"/>
      <c r="CB816"/>
      <c r="CC816"/>
      <c r="CD816"/>
      <c r="CE816"/>
      <c r="CF816"/>
      <c r="CG816"/>
      <c r="CH816"/>
      <c r="CI816"/>
      <c r="CJ816"/>
      <c r="CK816"/>
    </row>
    <row r="817" spans="72:89" ht="16" hidden="1" x14ac:dyDescent="0.2">
      <c r="BT817"/>
      <c r="BU817"/>
      <c r="BV817"/>
      <c r="BW817"/>
      <c r="BX817"/>
      <c r="BY817"/>
      <c r="BZ817"/>
      <c r="CA817"/>
      <c r="CB817"/>
      <c r="CC817"/>
      <c r="CD817"/>
      <c r="CE817"/>
      <c r="CF817"/>
      <c r="CG817"/>
      <c r="CH817"/>
      <c r="CI817"/>
      <c r="CJ817"/>
      <c r="CK817"/>
    </row>
    <row r="818" spans="72:89" ht="16" hidden="1" x14ac:dyDescent="0.2">
      <c r="BT818"/>
      <c r="BU818"/>
      <c r="BV818"/>
      <c r="BW818"/>
      <c r="BX818"/>
      <c r="BY818"/>
      <c r="BZ818"/>
      <c r="CA818"/>
      <c r="CB818"/>
      <c r="CC818"/>
      <c r="CD818"/>
      <c r="CE818"/>
      <c r="CF818"/>
      <c r="CG818"/>
      <c r="CH818"/>
      <c r="CI818"/>
      <c r="CJ818"/>
      <c r="CK818"/>
    </row>
    <row r="819" spans="72:89" ht="16" hidden="1" x14ac:dyDescent="0.2">
      <c r="BT819"/>
      <c r="BU819"/>
      <c r="BV819"/>
      <c r="BW819"/>
      <c r="BX819"/>
      <c r="BY819"/>
      <c r="BZ819"/>
      <c r="CA819"/>
      <c r="CB819"/>
      <c r="CC819"/>
      <c r="CD819"/>
      <c r="CE819"/>
      <c r="CF819"/>
      <c r="CG819"/>
      <c r="CH819"/>
      <c r="CI819"/>
      <c r="CJ819"/>
      <c r="CK819"/>
    </row>
    <row r="820" spans="72:89" ht="16" hidden="1" x14ac:dyDescent="0.2">
      <c r="BT820"/>
      <c r="BU820"/>
      <c r="BV820"/>
      <c r="BW820"/>
      <c r="BX820"/>
      <c r="BY820"/>
      <c r="BZ820"/>
      <c r="CA820"/>
      <c r="CB820"/>
      <c r="CC820"/>
      <c r="CD820"/>
      <c r="CE820"/>
      <c r="CF820"/>
      <c r="CG820"/>
      <c r="CH820"/>
      <c r="CI820"/>
      <c r="CJ820"/>
      <c r="CK820"/>
    </row>
    <row r="821" spans="72:89" ht="16" hidden="1" x14ac:dyDescent="0.2">
      <c r="BT821"/>
      <c r="BU821"/>
      <c r="BV821"/>
      <c r="BW821"/>
      <c r="BX821"/>
      <c r="BY821"/>
      <c r="BZ821"/>
      <c r="CA821"/>
      <c r="CB821"/>
      <c r="CC821"/>
      <c r="CD821"/>
      <c r="CE821"/>
      <c r="CF821"/>
      <c r="CG821"/>
      <c r="CH821"/>
      <c r="CI821"/>
      <c r="CJ821"/>
      <c r="CK821"/>
    </row>
    <row r="822" spans="72:89" ht="16" hidden="1" x14ac:dyDescent="0.2">
      <c r="BT822"/>
      <c r="BU822"/>
      <c r="BV822"/>
      <c r="BW822"/>
      <c r="BX822"/>
      <c r="BY822"/>
      <c r="BZ822"/>
      <c r="CA822"/>
      <c r="CB822"/>
      <c r="CC822"/>
      <c r="CD822"/>
      <c r="CE822"/>
      <c r="CF822"/>
      <c r="CG822"/>
      <c r="CH822"/>
      <c r="CI822"/>
      <c r="CJ822"/>
      <c r="CK822"/>
    </row>
    <row r="823" spans="72:89" ht="16" hidden="1" x14ac:dyDescent="0.2">
      <c r="BT823"/>
      <c r="BU823"/>
      <c r="BV823"/>
      <c r="BW823"/>
      <c r="BX823"/>
      <c r="BY823"/>
      <c r="BZ823"/>
      <c r="CA823"/>
      <c r="CB823"/>
      <c r="CC823"/>
      <c r="CD823"/>
      <c r="CE823"/>
      <c r="CF823"/>
      <c r="CG823"/>
      <c r="CH823"/>
      <c r="CI823"/>
      <c r="CJ823"/>
      <c r="CK823"/>
    </row>
    <row r="824" spans="72:89" ht="16" hidden="1" x14ac:dyDescent="0.2">
      <c r="BT824"/>
      <c r="BU824"/>
      <c r="BV824"/>
      <c r="BW824"/>
      <c r="BX824"/>
      <c r="BY824"/>
      <c r="BZ824"/>
      <c r="CA824"/>
      <c r="CB824"/>
      <c r="CC824"/>
      <c r="CD824"/>
      <c r="CE824"/>
      <c r="CF824"/>
      <c r="CG824"/>
      <c r="CH824"/>
      <c r="CI824"/>
      <c r="CJ824"/>
      <c r="CK824"/>
    </row>
    <row r="825" spans="72:89" ht="16" hidden="1" x14ac:dyDescent="0.2">
      <c r="BT825"/>
      <c r="BU825"/>
      <c r="BV825"/>
      <c r="BW825"/>
      <c r="BX825"/>
      <c r="BY825"/>
      <c r="BZ825"/>
      <c r="CA825"/>
      <c r="CB825"/>
      <c r="CC825"/>
      <c r="CD825"/>
      <c r="CE825"/>
      <c r="CF825"/>
      <c r="CG825"/>
      <c r="CH825"/>
      <c r="CI825"/>
      <c r="CJ825"/>
      <c r="CK825"/>
    </row>
    <row r="826" spans="72:89" ht="16" hidden="1" x14ac:dyDescent="0.2">
      <c r="BT826"/>
      <c r="BU826"/>
      <c r="BV826"/>
      <c r="BW826"/>
      <c r="BX826"/>
      <c r="BY826"/>
      <c r="BZ826"/>
      <c r="CA826"/>
      <c r="CB826"/>
      <c r="CC826"/>
      <c r="CD826"/>
      <c r="CE826"/>
      <c r="CF826"/>
      <c r="CG826"/>
      <c r="CH826"/>
      <c r="CI826"/>
      <c r="CJ826"/>
      <c r="CK826"/>
    </row>
    <row r="827" spans="72:89" ht="16" hidden="1" x14ac:dyDescent="0.2">
      <c r="BT827"/>
      <c r="BU827"/>
      <c r="BV827"/>
      <c r="BW827"/>
      <c r="BX827"/>
      <c r="BY827"/>
      <c r="BZ827"/>
      <c r="CA827"/>
      <c r="CB827"/>
      <c r="CC827"/>
      <c r="CD827"/>
      <c r="CE827"/>
      <c r="CF827"/>
      <c r="CG827"/>
      <c r="CH827"/>
      <c r="CI827"/>
      <c r="CJ827"/>
      <c r="CK827"/>
    </row>
    <row r="828" spans="72:89" ht="16" hidden="1" x14ac:dyDescent="0.2">
      <c r="BT828"/>
      <c r="BU828"/>
      <c r="BV828"/>
      <c r="BW828"/>
      <c r="BX828"/>
      <c r="BY828"/>
      <c r="BZ828"/>
      <c r="CA828"/>
      <c r="CB828"/>
      <c r="CC828"/>
      <c r="CD828"/>
      <c r="CE828"/>
      <c r="CF828"/>
      <c r="CG828"/>
      <c r="CH828"/>
      <c r="CI828"/>
      <c r="CJ828"/>
      <c r="CK828"/>
    </row>
    <row r="829" spans="72:89" ht="16" hidden="1" x14ac:dyDescent="0.2">
      <c r="BT829"/>
      <c r="BU829"/>
      <c r="BV829"/>
      <c r="BW829"/>
      <c r="BX829"/>
      <c r="BY829"/>
      <c r="BZ829"/>
      <c r="CA829"/>
      <c r="CB829"/>
      <c r="CC829"/>
      <c r="CD829"/>
      <c r="CE829"/>
      <c r="CF829"/>
      <c r="CG829"/>
      <c r="CH829"/>
      <c r="CI829"/>
      <c r="CJ829"/>
      <c r="CK829"/>
    </row>
    <row r="830" spans="72:89" ht="16" hidden="1" x14ac:dyDescent="0.2">
      <c r="BT830"/>
      <c r="BU830"/>
      <c r="BV830"/>
      <c r="BW830"/>
      <c r="BX830"/>
      <c r="BY830"/>
      <c r="BZ830"/>
      <c r="CA830"/>
      <c r="CB830"/>
      <c r="CC830"/>
      <c r="CD830"/>
      <c r="CE830"/>
      <c r="CF830"/>
      <c r="CG830"/>
      <c r="CH830"/>
      <c r="CI830"/>
      <c r="CJ830"/>
      <c r="CK830"/>
    </row>
    <row r="831" spans="72:89" ht="16" hidden="1" x14ac:dyDescent="0.2">
      <c r="BT831"/>
      <c r="BU831"/>
      <c r="BV831"/>
      <c r="BW831"/>
      <c r="BX831"/>
      <c r="BY831"/>
      <c r="BZ831"/>
      <c r="CA831"/>
      <c r="CB831"/>
      <c r="CC831"/>
      <c r="CD831"/>
      <c r="CE831"/>
      <c r="CF831"/>
      <c r="CG831"/>
      <c r="CH831"/>
      <c r="CI831"/>
      <c r="CJ831"/>
      <c r="CK831"/>
    </row>
    <row r="832" spans="72:89" ht="16" hidden="1" x14ac:dyDescent="0.2">
      <c r="BT832"/>
      <c r="BU832"/>
      <c r="BV832"/>
      <c r="BW832"/>
      <c r="BX832"/>
      <c r="BY832"/>
      <c r="BZ832"/>
      <c r="CA832"/>
      <c r="CB832"/>
      <c r="CC832"/>
      <c r="CD832"/>
      <c r="CE832"/>
      <c r="CF832"/>
      <c r="CG832"/>
      <c r="CH832"/>
      <c r="CI832"/>
      <c r="CJ832"/>
      <c r="CK832"/>
    </row>
    <row r="833" spans="72:89" ht="16" hidden="1" x14ac:dyDescent="0.2">
      <c r="BT833"/>
      <c r="BU833"/>
      <c r="BV833"/>
      <c r="BW833"/>
      <c r="BX833"/>
      <c r="BY833"/>
      <c r="BZ833"/>
      <c r="CA833"/>
      <c r="CB833"/>
      <c r="CC833"/>
      <c r="CD833"/>
      <c r="CE833"/>
      <c r="CF833"/>
      <c r="CG833"/>
      <c r="CH833"/>
      <c r="CI833"/>
      <c r="CJ833"/>
      <c r="CK833"/>
    </row>
    <row r="834" spans="72:89" ht="16" hidden="1" x14ac:dyDescent="0.2">
      <c r="BT834"/>
      <c r="BU834"/>
      <c r="BV834"/>
      <c r="BW834"/>
      <c r="BX834"/>
      <c r="BY834"/>
      <c r="BZ834"/>
      <c r="CA834"/>
      <c r="CB834"/>
      <c r="CC834"/>
      <c r="CD834"/>
      <c r="CE834"/>
      <c r="CF834"/>
      <c r="CG834"/>
      <c r="CH834"/>
      <c r="CI834"/>
      <c r="CJ834"/>
      <c r="CK834"/>
    </row>
    <row r="835" spans="72:89" ht="16" hidden="1" x14ac:dyDescent="0.2">
      <c r="BT835"/>
      <c r="BU835"/>
      <c r="BV835"/>
      <c r="BW835"/>
      <c r="BX835"/>
      <c r="BY835"/>
      <c r="BZ835"/>
      <c r="CA835"/>
      <c r="CB835"/>
      <c r="CC835"/>
      <c r="CD835"/>
      <c r="CE835"/>
      <c r="CF835"/>
      <c r="CG835"/>
      <c r="CH835"/>
      <c r="CI835"/>
      <c r="CJ835"/>
      <c r="CK835"/>
    </row>
    <row r="836" spans="72:89" ht="16" hidden="1" x14ac:dyDescent="0.2">
      <c r="BT836"/>
      <c r="BU836"/>
      <c r="BV836"/>
      <c r="BW836"/>
      <c r="BX836"/>
      <c r="BY836"/>
      <c r="BZ836"/>
      <c r="CA836"/>
      <c r="CB836"/>
      <c r="CC836"/>
      <c r="CD836"/>
      <c r="CE836"/>
      <c r="CF836"/>
      <c r="CG836"/>
      <c r="CH836"/>
      <c r="CI836"/>
      <c r="CJ836"/>
      <c r="CK836"/>
    </row>
    <row r="837" spans="72:89" ht="16" hidden="1" x14ac:dyDescent="0.2">
      <c r="BT837"/>
      <c r="BU837"/>
      <c r="BV837"/>
      <c r="BW837"/>
      <c r="BX837"/>
      <c r="BY837"/>
      <c r="BZ837"/>
      <c r="CA837"/>
      <c r="CB837"/>
      <c r="CC837"/>
      <c r="CD837"/>
      <c r="CE837"/>
      <c r="CF837"/>
      <c r="CG837"/>
      <c r="CH837"/>
      <c r="CI837"/>
      <c r="CJ837"/>
      <c r="CK837"/>
    </row>
    <row r="838" spans="72:89" ht="16" hidden="1" x14ac:dyDescent="0.2">
      <c r="BT838"/>
      <c r="BU838"/>
      <c r="BV838"/>
      <c r="BW838"/>
      <c r="BX838"/>
      <c r="BY838"/>
      <c r="BZ838"/>
      <c r="CA838"/>
      <c r="CB838"/>
      <c r="CC838"/>
      <c r="CD838"/>
      <c r="CE838"/>
      <c r="CF838"/>
      <c r="CG838"/>
      <c r="CH838"/>
      <c r="CI838"/>
      <c r="CJ838"/>
      <c r="CK838"/>
    </row>
    <row r="839" spans="72:89" ht="16" hidden="1" x14ac:dyDescent="0.2">
      <c r="BT839"/>
      <c r="BU839"/>
      <c r="BV839"/>
      <c r="BW839"/>
      <c r="BX839"/>
      <c r="BY839"/>
      <c r="BZ839"/>
      <c r="CA839"/>
      <c r="CB839"/>
      <c r="CC839"/>
      <c r="CD839"/>
      <c r="CE839"/>
      <c r="CF839"/>
      <c r="CG839"/>
      <c r="CH839"/>
      <c r="CI839"/>
      <c r="CJ839"/>
      <c r="CK839"/>
    </row>
    <row r="840" spans="72:89" ht="16" hidden="1" x14ac:dyDescent="0.2">
      <c r="BT840"/>
      <c r="BU840"/>
      <c r="BV840"/>
      <c r="BW840"/>
      <c r="BX840"/>
      <c r="BY840"/>
      <c r="BZ840"/>
      <c r="CA840"/>
      <c r="CB840"/>
      <c r="CC840"/>
      <c r="CD840"/>
      <c r="CE840"/>
      <c r="CF840"/>
      <c r="CG840"/>
      <c r="CH840"/>
      <c r="CI840"/>
      <c r="CJ840"/>
      <c r="CK840"/>
    </row>
    <row r="841" spans="72:89" ht="16" hidden="1" x14ac:dyDescent="0.2">
      <c r="BT841"/>
      <c r="BU841"/>
      <c r="BV841"/>
      <c r="BW841"/>
      <c r="BX841"/>
      <c r="BY841"/>
      <c r="BZ841"/>
      <c r="CA841"/>
      <c r="CB841"/>
      <c r="CC841"/>
      <c r="CD841"/>
      <c r="CE841"/>
      <c r="CF841"/>
      <c r="CG841"/>
      <c r="CH841"/>
      <c r="CI841"/>
      <c r="CJ841"/>
      <c r="CK841"/>
    </row>
    <row r="842" spans="72:89" ht="16" hidden="1" x14ac:dyDescent="0.2">
      <c r="BT842"/>
      <c r="BU842"/>
      <c r="BV842"/>
      <c r="BW842"/>
      <c r="BX842"/>
      <c r="BY842"/>
      <c r="BZ842"/>
      <c r="CA842"/>
      <c r="CB842"/>
      <c r="CC842"/>
      <c r="CD842"/>
      <c r="CE842"/>
      <c r="CF842"/>
      <c r="CG842"/>
      <c r="CH842"/>
      <c r="CI842"/>
      <c r="CJ842"/>
      <c r="CK842"/>
    </row>
    <row r="843" spans="72:89" ht="16" hidden="1" x14ac:dyDescent="0.2">
      <c r="BT843"/>
      <c r="BU843"/>
      <c r="BV843"/>
      <c r="BW843"/>
      <c r="BX843"/>
      <c r="BY843"/>
      <c r="BZ843"/>
      <c r="CA843"/>
      <c r="CB843"/>
      <c r="CC843"/>
      <c r="CD843"/>
      <c r="CE843"/>
      <c r="CF843"/>
      <c r="CG843"/>
      <c r="CH843"/>
      <c r="CI843"/>
      <c r="CJ843"/>
      <c r="CK843"/>
    </row>
    <row r="844" spans="72:89" ht="16" hidden="1" x14ac:dyDescent="0.2">
      <c r="BT844"/>
      <c r="BU844"/>
      <c r="BV844"/>
      <c r="BW844"/>
      <c r="BX844"/>
      <c r="BY844"/>
      <c r="BZ844"/>
      <c r="CA844"/>
      <c r="CB844"/>
      <c r="CC844"/>
      <c r="CD844"/>
      <c r="CE844"/>
      <c r="CF844"/>
      <c r="CG844"/>
      <c r="CH844"/>
      <c r="CI844"/>
      <c r="CJ844"/>
      <c r="CK844"/>
    </row>
    <row r="845" spans="72:89" ht="16" hidden="1" x14ac:dyDescent="0.2">
      <c r="BT845"/>
      <c r="BU845"/>
      <c r="BV845"/>
      <c r="BW845"/>
      <c r="BX845"/>
      <c r="BY845"/>
      <c r="BZ845"/>
      <c r="CA845"/>
      <c r="CB845"/>
      <c r="CC845"/>
      <c r="CD845"/>
      <c r="CE845"/>
      <c r="CF845"/>
      <c r="CG845"/>
      <c r="CH845"/>
      <c r="CI845"/>
      <c r="CJ845"/>
      <c r="CK845"/>
    </row>
    <row r="846" spans="72:89" ht="16" hidden="1" x14ac:dyDescent="0.2">
      <c r="BT846"/>
      <c r="BU846"/>
      <c r="BV846"/>
      <c r="BW846"/>
      <c r="BX846"/>
      <c r="BY846"/>
      <c r="BZ846"/>
      <c r="CA846"/>
      <c r="CB846"/>
      <c r="CC846"/>
      <c r="CD846"/>
      <c r="CE846"/>
      <c r="CF846"/>
      <c r="CG846"/>
      <c r="CH846"/>
      <c r="CI846"/>
      <c r="CJ846"/>
      <c r="CK846"/>
    </row>
    <row r="847" spans="72:89" ht="16" hidden="1" x14ac:dyDescent="0.2">
      <c r="BT847"/>
      <c r="BU847"/>
      <c r="BV847"/>
      <c r="BW847"/>
      <c r="BX847"/>
      <c r="BY847"/>
      <c r="BZ847"/>
      <c r="CA847"/>
      <c r="CB847"/>
      <c r="CC847"/>
      <c r="CD847"/>
      <c r="CE847"/>
      <c r="CF847"/>
      <c r="CG847"/>
      <c r="CH847"/>
      <c r="CI847"/>
      <c r="CJ847"/>
      <c r="CK847"/>
    </row>
    <row r="848" spans="72:89" ht="16" hidden="1" x14ac:dyDescent="0.2">
      <c r="BT848"/>
      <c r="BU848"/>
      <c r="BV848"/>
      <c r="BW848"/>
      <c r="BX848"/>
      <c r="BY848"/>
      <c r="BZ848"/>
      <c r="CA848"/>
      <c r="CB848"/>
      <c r="CC848"/>
      <c r="CD848"/>
      <c r="CE848"/>
      <c r="CF848"/>
      <c r="CG848"/>
      <c r="CH848"/>
      <c r="CI848"/>
      <c r="CJ848"/>
      <c r="CK848"/>
    </row>
    <row r="849" spans="72:89" ht="16" hidden="1" x14ac:dyDescent="0.2">
      <c r="BT849"/>
      <c r="BU849"/>
      <c r="BV849"/>
      <c r="BW849"/>
      <c r="BX849"/>
      <c r="BY849"/>
      <c r="BZ849"/>
      <c r="CA849"/>
      <c r="CB849"/>
      <c r="CC849"/>
      <c r="CD849"/>
      <c r="CE849"/>
      <c r="CF849"/>
      <c r="CG849"/>
      <c r="CH849"/>
      <c r="CI849"/>
      <c r="CJ849"/>
      <c r="CK849"/>
    </row>
    <row r="850" spans="72:89" ht="16" hidden="1" x14ac:dyDescent="0.2">
      <c r="BT850"/>
      <c r="BU850"/>
      <c r="BV850"/>
      <c r="BW850"/>
      <c r="BX850"/>
      <c r="BY850"/>
      <c r="BZ850"/>
      <c r="CA850"/>
      <c r="CB850"/>
      <c r="CC850"/>
      <c r="CD850"/>
      <c r="CE850"/>
      <c r="CF850"/>
      <c r="CG850"/>
      <c r="CH850"/>
      <c r="CI850"/>
      <c r="CJ850"/>
      <c r="CK850"/>
    </row>
    <row r="851" spans="72:89" ht="16" hidden="1" x14ac:dyDescent="0.2">
      <c r="BT851"/>
      <c r="BU851"/>
      <c r="BV851"/>
      <c r="BW851"/>
      <c r="BX851"/>
      <c r="BY851"/>
      <c r="BZ851"/>
      <c r="CA851"/>
      <c r="CB851"/>
      <c r="CC851"/>
      <c r="CD851"/>
      <c r="CE851"/>
      <c r="CF851"/>
      <c r="CG851"/>
      <c r="CH851"/>
      <c r="CI851"/>
      <c r="CJ851"/>
      <c r="CK851"/>
    </row>
    <row r="852" spans="72:89" ht="16" hidden="1" x14ac:dyDescent="0.2">
      <c r="BT852"/>
      <c r="BU852"/>
      <c r="BV852"/>
      <c r="BW852"/>
      <c r="BX852"/>
      <c r="BY852"/>
      <c r="BZ852"/>
      <c r="CA852"/>
      <c r="CB852"/>
      <c r="CC852"/>
      <c r="CD852"/>
      <c r="CE852"/>
      <c r="CF852"/>
      <c r="CG852"/>
      <c r="CH852"/>
      <c r="CI852"/>
      <c r="CJ852"/>
      <c r="CK852"/>
    </row>
    <row r="853" spans="72:89" ht="16" hidden="1" x14ac:dyDescent="0.2">
      <c r="BT853"/>
      <c r="BU853"/>
      <c r="BV853"/>
      <c r="BW853"/>
      <c r="BX853"/>
      <c r="BY853"/>
      <c r="BZ853"/>
      <c r="CA853"/>
      <c r="CB853"/>
      <c r="CC853"/>
      <c r="CD853"/>
      <c r="CE853"/>
      <c r="CF853"/>
      <c r="CG853"/>
      <c r="CH853"/>
      <c r="CI853"/>
      <c r="CJ853"/>
      <c r="CK853"/>
    </row>
    <row r="854" spans="72:89" ht="16" hidden="1" x14ac:dyDescent="0.2">
      <c r="BT854"/>
      <c r="BU854"/>
      <c r="BV854"/>
      <c r="BW854"/>
      <c r="BX854"/>
      <c r="BY854"/>
      <c r="BZ854"/>
      <c r="CA854"/>
      <c r="CB854"/>
      <c r="CC854"/>
      <c r="CD854"/>
      <c r="CE854"/>
      <c r="CF854"/>
      <c r="CG854"/>
      <c r="CH854"/>
      <c r="CI854"/>
      <c r="CJ854"/>
      <c r="CK854"/>
    </row>
    <row r="855" spans="72:89" ht="16" hidden="1" x14ac:dyDescent="0.2">
      <c r="BT855"/>
      <c r="BU855"/>
      <c r="BV855"/>
      <c r="BW855"/>
      <c r="BX855"/>
      <c r="BY855"/>
      <c r="BZ855"/>
      <c r="CA855"/>
      <c r="CB855"/>
      <c r="CC855"/>
      <c r="CD855"/>
      <c r="CE855"/>
      <c r="CF855"/>
      <c r="CG855"/>
      <c r="CH855"/>
      <c r="CI855"/>
      <c r="CJ855"/>
      <c r="CK855"/>
    </row>
    <row r="856" spans="72:89" ht="16" hidden="1" x14ac:dyDescent="0.2">
      <c r="BT856"/>
      <c r="BU856"/>
      <c r="BV856"/>
      <c r="BW856"/>
      <c r="BX856"/>
      <c r="BY856"/>
      <c r="BZ856"/>
      <c r="CA856"/>
      <c r="CB856"/>
      <c r="CC856"/>
      <c r="CD856"/>
      <c r="CE856"/>
      <c r="CF856"/>
      <c r="CG856"/>
      <c r="CH856"/>
      <c r="CI856"/>
      <c r="CJ856"/>
      <c r="CK856"/>
    </row>
    <row r="857" spans="72:89" ht="16" hidden="1" x14ac:dyDescent="0.2">
      <c r="BT857"/>
      <c r="BU857"/>
      <c r="BV857"/>
      <c r="BW857"/>
      <c r="BX857"/>
      <c r="BY857"/>
      <c r="BZ857"/>
      <c r="CA857"/>
      <c r="CB857"/>
      <c r="CC857"/>
      <c r="CD857"/>
      <c r="CE857"/>
      <c r="CF857"/>
      <c r="CG857"/>
      <c r="CH857"/>
      <c r="CI857"/>
      <c r="CJ857"/>
      <c r="CK857"/>
    </row>
    <row r="858" spans="72:89" ht="16" hidden="1" x14ac:dyDescent="0.2">
      <c r="BT858"/>
      <c r="BU858"/>
      <c r="BV858"/>
      <c r="BW858"/>
      <c r="BX858"/>
      <c r="BY858"/>
      <c r="BZ858"/>
      <c r="CA858"/>
      <c r="CB858"/>
      <c r="CC858"/>
      <c r="CD858"/>
      <c r="CE858"/>
      <c r="CF858"/>
      <c r="CG858"/>
      <c r="CH858"/>
      <c r="CI858"/>
      <c r="CJ858"/>
      <c r="CK858"/>
    </row>
    <row r="859" spans="72:89" ht="16" hidden="1" x14ac:dyDescent="0.2">
      <c r="BT859"/>
      <c r="BU859"/>
      <c r="BV859"/>
      <c r="BW859"/>
      <c r="BX859"/>
      <c r="BY859"/>
      <c r="BZ859"/>
      <c r="CA859"/>
      <c r="CB859"/>
      <c r="CC859"/>
      <c r="CD859"/>
      <c r="CE859"/>
      <c r="CF859"/>
      <c r="CG859"/>
      <c r="CH859"/>
      <c r="CI859"/>
      <c r="CJ859"/>
      <c r="CK859"/>
    </row>
    <row r="860" spans="72:89" ht="16" hidden="1" x14ac:dyDescent="0.2">
      <c r="BT860"/>
      <c r="BU860"/>
      <c r="BV860"/>
      <c r="BW860"/>
      <c r="BX860"/>
      <c r="BY860"/>
      <c r="BZ860"/>
      <c r="CA860"/>
      <c r="CB860"/>
      <c r="CC860"/>
      <c r="CD860"/>
      <c r="CE860"/>
      <c r="CF860"/>
      <c r="CG860"/>
      <c r="CH860"/>
      <c r="CI860"/>
      <c r="CJ860"/>
      <c r="CK860"/>
    </row>
    <row r="861" spans="72:89" ht="16" hidden="1" x14ac:dyDescent="0.2">
      <c r="BT861"/>
      <c r="BU861"/>
      <c r="BV861"/>
      <c r="BW861"/>
      <c r="BX861"/>
      <c r="BY861"/>
      <c r="BZ861"/>
      <c r="CA861"/>
      <c r="CB861"/>
      <c r="CC861"/>
      <c r="CD861"/>
      <c r="CE861"/>
      <c r="CF861"/>
      <c r="CG861"/>
      <c r="CH861"/>
      <c r="CI861"/>
      <c r="CJ861"/>
      <c r="CK861"/>
    </row>
    <row r="862" spans="72:89" ht="16" hidden="1" x14ac:dyDescent="0.2">
      <c r="BT862"/>
      <c r="BU862"/>
      <c r="BV862"/>
      <c r="BW862"/>
      <c r="BX862"/>
      <c r="BY862"/>
      <c r="BZ862"/>
      <c r="CA862"/>
      <c r="CB862"/>
      <c r="CC862"/>
      <c r="CD862"/>
      <c r="CE862"/>
      <c r="CF862"/>
      <c r="CG862"/>
      <c r="CH862"/>
      <c r="CI862"/>
      <c r="CJ862"/>
      <c r="CK862"/>
    </row>
    <row r="863" spans="72:89" ht="16" hidden="1" x14ac:dyDescent="0.2">
      <c r="BT863"/>
      <c r="BU863"/>
      <c r="BV863"/>
      <c r="BW863"/>
      <c r="BX863"/>
      <c r="BY863"/>
      <c r="BZ863"/>
      <c r="CA863"/>
      <c r="CB863"/>
      <c r="CC863"/>
      <c r="CD863"/>
      <c r="CE863"/>
      <c r="CF863"/>
      <c r="CG863"/>
      <c r="CH863"/>
      <c r="CI863"/>
      <c r="CJ863"/>
      <c r="CK863"/>
    </row>
    <row r="864" spans="72:89" ht="16" hidden="1" x14ac:dyDescent="0.2">
      <c r="BT864"/>
      <c r="BU864"/>
      <c r="BV864"/>
      <c r="BW864"/>
      <c r="BX864"/>
      <c r="BY864"/>
      <c r="BZ864"/>
      <c r="CA864"/>
      <c r="CB864"/>
      <c r="CC864"/>
      <c r="CD864"/>
      <c r="CE864"/>
      <c r="CF864"/>
      <c r="CG864"/>
      <c r="CH864"/>
      <c r="CI864"/>
      <c r="CJ864"/>
      <c r="CK864"/>
    </row>
    <row r="865" spans="72:89" ht="16" hidden="1" x14ac:dyDescent="0.2">
      <c r="BT865"/>
      <c r="BU865"/>
      <c r="BV865"/>
      <c r="BW865"/>
      <c r="BX865"/>
      <c r="BY865"/>
      <c r="BZ865"/>
      <c r="CA865"/>
      <c r="CB865"/>
      <c r="CC865"/>
      <c r="CD865"/>
      <c r="CE865"/>
      <c r="CF865"/>
      <c r="CG865"/>
      <c r="CH865"/>
      <c r="CI865"/>
      <c r="CJ865"/>
      <c r="CK865"/>
    </row>
    <row r="866" spans="72:89" ht="16" hidden="1" x14ac:dyDescent="0.2">
      <c r="BT866"/>
      <c r="BU866"/>
      <c r="BV866"/>
      <c r="BW866"/>
      <c r="BX866"/>
      <c r="BY866"/>
      <c r="BZ866"/>
      <c r="CA866"/>
      <c r="CB866"/>
      <c r="CC866"/>
      <c r="CD866"/>
      <c r="CE866"/>
      <c r="CF866"/>
      <c r="CG866"/>
      <c r="CH866"/>
      <c r="CI866"/>
      <c r="CJ866"/>
      <c r="CK866"/>
    </row>
    <row r="867" spans="72:89" ht="16" hidden="1" x14ac:dyDescent="0.2">
      <c r="BT867"/>
      <c r="BU867"/>
      <c r="BV867"/>
      <c r="BW867"/>
      <c r="BX867"/>
      <c r="BY867"/>
      <c r="BZ867"/>
      <c r="CA867"/>
      <c r="CB867"/>
      <c r="CC867"/>
      <c r="CD867"/>
      <c r="CE867"/>
      <c r="CF867"/>
      <c r="CG867"/>
      <c r="CH867"/>
      <c r="CI867"/>
      <c r="CJ867"/>
      <c r="CK867"/>
    </row>
    <row r="868" spans="72:89" ht="16" hidden="1" x14ac:dyDescent="0.2">
      <c r="BT868"/>
      <c r="BU868"/>
      <c r="BV868"/>
      <c r="BW868"/>
      <c r="BX868"/>
      <c r="BY868"/>
      <c r="BZ868"/>
      <c r="CA868"/>
      <c r="CB868"/>
      <c r="CC868"/>
      <c r="CD868"/>
      <c r="CE868"/>
      <c r="CF868"/>
      <c r="CG868"/>
      <c r="CH868"/>
      <c r="CI868"/>
      <c r="CJ868"/>
      <c r="CK868"/>
    </row>
    <row r="869" spans="72:89" ht="16" hidden="1" x14ac:dyDescent="0.2">
      <c r="BT869"/>
      <c r="BU869"/>
      <c r="BV869"/>
      <c r="BW869"/>
      <c r="BX869"/>
      <c r="BY869"/>
      <c r="BZ869"/>
      <c r="CA869"/>
      <c r="CB869"/>
      <c r="CC869"/>
      <c r="CD869"/>
      <c r="CE869"/>
      <c r="CF869"/>
      <c r="CG869"/>
      <c r="CH869"/>
      <c r="CI869"/>
      <c r="CJ869"/>
      <c r="CK869"/>
    </row>
    <row r="870" spans="72:89" ht="16" hidden="1" x14ac:dyDescent="0.2">
      <c r="BT870"/>
      <c r="BU870"/>
      <c r="BV870"/>
      <c r="BW870"/>
      <c r="BX870"/>
      <c r="BY870"/>
      <c r="BZ870"/>
      <c r="CA870"/>
      <c r="CB870"/>
      <c r="CC870"/>
      <c r="CD870"/>
      <c r="CE870"/>
      <c r="CF870"/>
      <c r="CG870"/>
      <c r="CH870"/>
      <c r="CI870"/>
      <c r="CJ870"/>
      <c r="CK870"/>
    </row>
    <row r="871" spans="72:89" ht="16" hidden="1" x14ac:dyDescent="0.2">
      <c r="BT871"/>
      <c r="BU871"/>
      <c r="BV871"/>
      <c r="BW871"/>
      <c r="BX871"/>
      <c r="BY871"/>
      <c r="BZ871"/>
      <c r="CA871"/>
      <c r="CB871"/>
      <c r="CC871"/>
      <c r="CD871"/>
      <c r="CE871"/>
      <c r="CF871"/>
      <c r="CG871"/>
      <c r="CH871"/>
      <c r="CI871"/>
      <c r="CJ871"/>
      <c r="CK871"/>
    </row>
    <row r="872" spans="72:89" ht="16" hidden="1" x14ac:dyDescent="0.2">
      <c r="BT872"/>
      <c r="BU872"/>
      <c r="BV872"/>
      <c r="BW872"/>
      <c r="BX872"/>
      <c r="BY872"/>
      <c r="BZ872"/>
      <c r="CA872"/>
      <c r="CB872"/>
      <c r="CC872"/>
      <c r="CD872"/>
      <c r="CE872"/>
      <c r="CF872"/>
      <c r="CG872"/>
      <c r="CH872"/>
      <c r="CI872"/>
      <c r="CJ872"/>
      <c r="CK872"/>
    </row>
    <row r="873" spans="72:89" ht="16" hidden="1" x14ac:dyDescent="0.2">
      <c r="BT873"/>
      <c r="BU873"/>
      <c r="BV873"/>
      <c r="BW873"/>
      <c r="BX873"/>
      <c r="BY873"/>
      <c r="BZ873"/>
      <c r="CA873"/>
      <c r="CB873"/>
      <c r="CC873"/>
      <c r="CD873"/>
      <c r="CE873"/>
      <c r="CF873"/>
      <c r="CG873"/>
      <c r="CH873"/>
      <c r="CI873"/>
      <c r="CJ873"/>
      <c r="CK873"/>
    </row>
    <row r="874" spans="72:89" ht="16" hidden="1" x14ac:dyDescent="0.2">
      <c r="BT874"/>
      <c r="BU874"/>
      <c r="BV874"/>
      <c r="BW874"/>
      <c r="BX874"/>
      <c r="BY874"/>
      <c r="BZ874"/>
      <c r="CA874"/>
      <c r="CB874"/>
      <c r="CC874"/>
      <c r="CD874"/>
      <c r="CE874"/>
      <c r="CF874"/>
      <c r="CG874"/>
      <c r="CH874"/>
      <c r="CI874"/>
      <c r="CJ874"/>
      <c r="CK874"/>
    </row>
    <row r="875" spans="72:89" ht="16" hidden="1" x14ac:dyDescent="0.2">
      <c r="BT875"/>
      <c r="BU875"/>
      <c r="BV875"/>
      <c r="BW875"/>
      <c r="BX875"/>
      <c r="BY875"/>
      <c r="BZ875"/>
      <c r="CA875"/>
      <c r="CB875"/>
      <c r="CC875"/>
      <c r="CD875"/>
      <c r="CE875"/>
      <c r="CF875"/>
      <c r="CG875"/>
      <c r="CH875"/>
      <c r="CI875"/>
      <c r="CJ875"/>
      <c r="CK875"/>
    </row>
    <row r="876" spans="72:89" ht="16" hidden="1" x14ac:dyDescent="0.2">
      <c r="BT876"/>
      <c r="BU876"/>
      <c r="BV876"/>
      <c r="BW876"/>
      <c r="BX876"/>
      <c r="BY876"/>
      <c r="BZ876"/>
      <c r="CA876"/>
      <c r="CB876"/>
      <c r="CC876"/>
      <c r="CD876"/>
      <c r="CE876"/>
      <c r="CF876"/>
      <c r="CG876"/>
      <c r="CH876"/>
      <c r="CI876"/>
      <c r="CJ876"/>
      <c r="CK876"/>
    </row>
    <row r="877" spans="72:89" ht="16" hidden="1" x14ac:dyDescent="0.2">
      <c r="BT877"/>
      <c r="BU877"/>
      <c r="BV877"/>
      <c r="BW877"/>
      <c r="BX877"/>
      <c r="BY877"/>
      <c r="BZ877"/>
      <c r="CA877"/>
      <c r="CB877"/>
      <c r="CC877"/>
      <c r="CD877"/>
      <c r="CE877"/>
      <c r="CF877"/>
      <c r="CG877"/>
      <c r="CH877"/>
      <c r="CI877"/>
      <c r="CJ877"/>
      <c r="CK877"/>
    </row>
    <row r="878" spans="72:89" ht="16" hidden="1" x14ac:dyDescent="0.2">
      <c r="BT878"/>
      <c r="BU878"/>
      <c r="BV878"/>
      <c r="BW878"/>
      <c r="BX878"/>
      <c r="BY878"/>
      <c r="BZ878"/>
      <c r="CA878"/>
      <c r="CB878"/>
      <c r="CC878"/>
      <c r="CD878"/>
      <c r="CE878"/>
      <c r="CF878"/>
      <c r="CG878"/>
      <c r="CH878"/>
      <c r="CI878"/>
      <c r="CJ878"/>
      <c r="CK878"/>
    </row>
    <row r="879" spans="72:89" ht="16" hidden="1" x14ac:dyDescent="0.2">
      <c r="BT879"/>
      <c r="BU879"/>
      <c r="BV879"/>
      <c r="BW879"/>
      <c r="BX879"/>
      <c r="BY879"/>
      <c r="BZ879"/>
      <c r="CA879"/>
      <c r="CB879"/>
      <c r="CC879"/>
      <c r="CD879"/>
      <c r="CE879"/>
      <c r="CF879"/>
      <c r="CG879"/>
      <c r="CH879"/>
      <c r="CI879"/>
      <c r="CJ879"/>
      <c r="CK879"/>
    </row>
    <row r="880" spans="72:89" ht="16" hidden="1" x14ac:dyDescent="0.2">
      <c r="BT880"/>
      <c r="BU880"/>
      <c r="BV880"/>
      <c r="BW880"/>
      <c r="BX880"/>
      <c r="BY880"/>
      <c r="BZ880"/>
      <c r="CA880"/>
      <c r="CB880"/>
      <c r="CC880"/>
      <c r="CD880"/>
      <c r="CE880"/>
      <c r="CF880"/>
      <c r="CG880"/>
      <c r="CH880"/>
      <c r="CI880"/>
      <c r="CJ880"/>
      <c r="CK880"/>
    </row>
    <row r="881" spans="72:89" ht="16" hidden="1" x14ac:dyDescent="0.2">
      <c r="BT881"/>
      <c r="BU881"/>
      <c r="BV881"/>
      <c r="BW881"/>
      <c r="BX881"/>
      <c r="BY881"/>
      <c r="BZ881"/>
      <c r="CA881"/>
      <c r="CB881"/>
      <c r="CC881"/>
      <c r="CD881"/>
      <c r="CE881"/>
      <c r="CF881"/>
      <c r="CG881"/>
      <c r="CH881"/>
      <c r="CI881"/>
      <c r="CJ881"/>
      <c r="CK881"/>
    </row>
    <row r="882" spans="72:89" ht="16" hidden="1" x14ac:dyDescent="0.2">
      <c r="BT882"/>
      <c r="BU882"/>
      <c r="BV882"/>
      <c r="BW882"/>
      <c r="BX882"/>
      <c r="BY882"/>
      <c r="BZ882"/>
      <c r="CA882"/>
      <c r="CB882"/>
      <c r="CC882"/>
      <c r="CD882"/>
      <c r="CE882"/>
      <c r="CF882"/>
      <c r="CG882"/>
      <c r="CH882"/>
      <c r="CI882"/>
      <c r="CJ882"/>
      <c r="CK882"/>
    </row>
    <row r="883" spans="72:89" ht="16" hidden="1" x14ac:dyDescent="0.2">
      <c r="BT883"/>
      <c r="BU883"/>
      <c r="BV883"/>
      <c r="BW883"/>
      <c r="BX883"/>
      <c r="BY883"/>
      <c r="BZ883"/>
      <c r="CA883"/>
      <c r="CB883"/>
      <c r="CC883"/>
      <c r="CD883"/>
      <c r="CE883"/>
      <c r="CF883"/>
      <c r="CG883"/>
      <c r="CH883"/>
      <c r="CI883"/>
      <c r="CJ883"/>
      <c r="CK883"/>
    </row>
    <row r="884" spans="72:89" ht="16" hidden="1" x14ac:dyDescent="0.2">
      <c r="BT884"/>
      <c r="BU884"/>
      <c r="BV884"/>
      <c r="BW884"/>
      <c r="BX884"/>
      <c r="BY884"/>
      <c r="BZ884"/>
      <c r="CA884"/>
      <c r="CB884"/>
      <c r="CC884"/>
      <c r="CD884"/>
      <c r="CE884"/>
      <c r="CF884"/>
      <c r="CG884"/>
      <c r="CH884"/>
      <c r="CI884"/>
      <c r="CJ884"/>
      <c r="CK884"/>
    </row>
    <row r="885" spans="72:89" ht="16" hidden="1" x14ac:dyDescent="0.2">
      <c r="BT885"/>
      <c r="BU885"/>
      <c r="BV885"/>
      <c r="BW885"/>
      <c r="BX885"/>
      <c r="BY885"/>
      <c r="BZ885"/>
      <c r="CA885"/>
      <c r="CB885"/>
      <c r="CC885"/>
      <c r="CD885"/>
      <c r="CE885"/>
      <c r="CF885"/>
      <c r="CG885"/>
      <c r="CH885"/>
      <c r="CI885"/>
      <c r="CJ885"/>
      <c r="CK885"/>
    </row>
    <row r="886" spans="72:89" ht="16" hidden="1" x14ac:dyDescent="0.2">
      <c r="BT886"/>
      <c r="BU886"/>
      <c r="BV886"/>
      <c r="BW886"/>
      <c r="BX886"/>
      <c r="BY886"/>
      <c r="BZ886"/>
      <c r="CA886"/>
      <c r="CB886"/>
      <c r="CC886"/>
      <c r="CD886"/>
      <c r="CE886"/>
      <c r="CF886"/>
      <c r="CG886"/>
      <c r="CH886"/>
      <c r="CI886"/>
      <c r="CJ886"/>
      <c r="CK886"/>
    </row>
    <row r="887" spans="72:89" ht="16" hidden="1" x14ac:dyDescent="0.2">
      <c r="BT887"/>
      <c r="BU887"/>
      <c r="BV887"/>
      <c r="BW887"/>
      <c r="BX887"/>
      <c r="BY887"/>
      <c r="BZ887"/>
      <c r="CA887"/>
      <c r="CB887"/>
      <c r="CC887"/>
      <c r="CD887"/>
      <c r="CE887"/>
      <c r="CF887"/>
      <c r="CG887"/>
      <c r="CH887"/>
      <c r="CI887"/>
      <c r="CJ887"/>
      <c r="CK887"/>
    </row>
    <row r="888" spans="72:89" ht="16" hidden="1" x14ac:dyDescent="0.2">
      <c r="BT888"/>
      <c r="BU888"/>
      <c r="BV888"/>
      <c r="BW888"/>
      <c r="BX888"/>
      <c r="BY888"/>
      <c r="BZ888"/>
      <c r="CA888"/>
      <c r="CB888"/>
      <c r="CC888"/>
      <c r="CD888"/>
      <c r="CE888"/>
      <c r="CF888"/>
      <c r="CG888"/>
      <c r="CH888"/>
      <c r="CI888"/>
      <c r="CJ888"/>
      <c r="CK888"/>
    </row>
    <row r="889" spans="72:89" ht="16" hidden="1" x14ac:dyDescent="0.2">
      <c r="BT889"/>
      <c r="BU889"/>
      <c r="BV889"/>
      <c r="BW889"/>
      <c r="BX889"/>
      <c r="BY889"/>
      <c r="BZ889"/>
      <c r="CA889"/>
      <c r="CB889"/>
      <c r="CC889"/>
      <c r="CD889"/>
      <c r="CE889"/>
      <c r="CF889"/>
      <c r="CG889"/>
      <c r="CH889"/>
      <c r="CI889"/>
      <c r="CJ889"/>
      <c r="CK889"/>
    </row>
    <row r="890" spans="72:89" ht="16" hidden="1" x14ac:dyDescent="0.2">
      <c r="BT890"/>
      <c r="BU890"/>
      <c r="BV890"/>
      <c r="BW890"/>
      <c r="BX890"/>
      <c r="BY890"/>
      <c r="BZ890"/>
      <c r="CA890"/>
      <c r="CB890"/>
      <c r="CC890"/>
      <c r="CD890"/>
      <c r="CE890"/>
      <c r="CF890"/>
      <c r="CG890"/>
      <c r="CH890"/>
      <c r="CI890"/>
      <c r="CJ890"/>
      <c r="CK890"/>
    </row>
    <row r="891" spans="72:89" ht="16" hidden="1" x14ac:dyDescent="0.2">
      <c r="BT891"/>
      <c r="BU891"/>
      <c r="BV891"/>
      <c r="BW891"/>
      <c r="BX891"/>
      <c r="BY891"/>
      <c r="BZ891"/>
      <c r="CA891"/>
      <c r="CB891"/>
      <c r="CC891"/>
      <c r="CD891"/>
      <c r="CE891"/>
      <c r="CF891"/>
      <c r="CG891"/>
      <c r="CH891"/>
      <c r="CI891"/>
      <c r="CJ891"/>
      <c r="CK891"/>
    </row>
    <row r="892" spans="72:89" ht="16" hidden="1" x14ac:dyDescent="0.2">
      <c r="BT892"/>
      <c r="BU892"/>
      <c r="BV892"/>
      <c r="BW892"/>
      <c r="BX892"/>
      <c r="BY892"/>
      <c r="BZ892"/>
      <c r="CA892"/>
      <c r="CB892"/>
      <c r="CC892"/>
      <c r="CD892"/>
      <c r="CE892"/>
      <c r="CF892"/>
      <c r="CG892"/>
      <c r="CH892"/>
      <c r="CI892"/>
      <c r="CJ892"/>
      <c r="CK892"/>
    </row>
    <row r="893" spans="72:89" ht="16" hidden="1" x14ac:dyDescent="0.2">
      <c r="BT893"/>
      <c r="BU893"/>
      <c r="BV893"/>
      <c r="BW893"/>
      <c r="BX893"/>
      <c r="BY893"/>
      <c r="BZ893"/>
      <c r="CA893"/>
      <c r="CB893"/>
      <c r="CC893"/>
      <c r="CD893"/>
      <c r="CE893"/>
      <c r="CF893"/>
      <c r="CG893"/>
      <c r="CH893"/>
      <c r="CI893"/>
      <c r="CJ893"/>
      <c r="CK893"/>
    </row>
    <row r="894" spans="72:89" ht="16" hidden="1" x14ac:dyDescent="0.2">
      <c r="BT894"/>
      <c r="BU894"/>
      <c r="BV894"/>
      <c r="BW894"/>
      <c r="BX894"/>
      <c r="BY894"/>
      <c r="BZ894"/>
      <c r="CA894"/>
      <c r="CB894"/>
      <c r="CC894"/>
      <c r="CD894"/>
      <c r="CE894"/>
      <c r="CF894"/>
      <c r="CG894"/>
      <c r="CH894"/>
      <c r="CI894"/>
      <c r="CJ894"/>
      <c r="CK894"/>
    </row>
    <row r="895" spans="72:89" ht="16" hidden="1" x14ac:dyDescent="0.2">
      <c r="BT895"/>
      <c r="BU895"/>
      <c r="BV895"/>
      <c r="BW895"/>
      <c r="BX895"/>
      <c r="BY895"/>
      <c r="BZ895"/>
      <c r="CA895"/>
      <c r="CB895"/>
      <c r="CC895"/>
      <c r="CD895"/>
      <c r="CE895"/>
      <c r="CF895"/>
      <c r="CG895"/>
      <c r="CH895"/>
      <c r="CI895"/>
      <c r="CJ895"/>
      <c r="CK895"/>
    </row>
    <row r="896" spans="72:89" ht="16" hidden="1" x14ac:dyDescent="0.2">
      <c r="BT896"/>
      <c r="BU896"/>
      <c r="BV896"/>
      <c r="BW896"/>
      <c r="BX896"/>
      <c r="BY896"/>
      <c r="BZ896"/>
      <c r="CA896"/>
      <c r="CB896"/>
      <c r="CC896"/>
      <c r="CD896"/>
      <c r="CE896"/>
      <c r="CF896"/>
      <c r="CG896"/>
      <c r="CH896"/>
      <c r="CI896"/>
      <c r="CJ896"/>
      <c r="CK896"/>
    </row>
    <row r="897" spans="72:89" ht="16" hidden="1" x14ac:dyDescent="0.2">
      <c r="BT897"/>
      <c r="BU897"/>
      <c r="BV897"/>
      <c r="BW897"/>
      <c r="BX897"/>
      <c r="BY897"/>
      <c r="BZ897"/>
      <c r="CA897"/>
      <c r="CB897"/>
      <c r="CC897"/>
      <c r="CD897"/>
      <c r="CE897"/>
      <c r="CF897"/>
      <c r="CG897"/>
      <c r="CH897"/>
      <c r="CI897"/>
      <c r="CJ897"/>
      <c r="CK897"/>
    </row>
    <row r="898" spans="72:89" ht="16" hidden="1" x14ac:dyDescent="0.2">
      <c r="BT898"/>
      <c r="BU898"/>
      <c r="BV898"/>
      <c r="BW898"/>
      <c r="BX898"/>
      <c r="BY898"/>
      <c r="BZ898"/>
      <c r="CA898"/>
      <c r="CB898"/>
      <c r="CC898"/>
      <c r="CD898"/>
      <c r="CE898"/>
      <c r="CF898"/>
      <c r="CG898"/>
      <c r="CH898"/>
      <c r="CI898"/>
      <c r="CJ898"/>
      <c r="CK898"/>
    </row>
    <row r="899" spans="72:89" ht="16" hidden="1" x14ac:dyDescent="0.2">
      <c r="BT899"/>
      <c r="BU899"/>
      <c r="BV899"/>
      <c r="BW899"/>
      <c r="BX899"/>
      <c r="BY899"/>
      <c r="BZ899"/>
      <c r="CA899"/>
      <c r="CB899"/>
      <c r="CC899"/>
      <c r="CD899"/>
      <c r="CE899"/>
      <c r="CF899"/>
      <c r="CG899"/>
      <c r="CH899"/>
      <c r="CI899"/>
      <c r="CJ899"/>
      <c r="CK899"/>
    </row>
    <row r="900" spans="72:89" ht="16" hidden="1" x14ac:dyDescent="0.2">
      <c r="BT900"/>
      <c r="BU900"/>
      <c r="BV900"/>
      <c r="BW900"/>
      <c r="BX900"/>
      <c r="BY900"/>
      <c r="BZ900"/>
      <c r="CA900"/>
      <c r="CB900"/>
      <c r="CC900"/>
      <c r="CD900"/>
      <c r="CE900"/>
      <c r="CF900"/>
      <c r="CG900"/>
      <c r="CH900"/>
      <c r="CI900"/>
      <c r="CJ900"/>
      <c r="CK900"/>
    </row>
    <row r="901" spans="72:89" ht="16" hidden="1" x14ac:dyDescent="0.2">
      <c r="BT901"/>
      <c r="BU901"/>
      <c r="BV901"/>
      <c r="BW901"/>
      <c r="BX901"/>
      <c r="BY901"/>
      <c r="BZ901"/>
      <c r="CA901"/>
      <c r="CB901"/>
      <c r="CC901"/>
      <c r="CD901"/>
      <c r="CE901"/>
      <c r="CF901"/>
      <c r="CG901"/>
      <c r="CH901"/>
      <c r="CI901"/>
      <c r="CJ901"/>
      <c r="CK901"/>
    </row>
    <row r="902" spans="72:89" ht="16" hidden="1" x14ac:dyDescent="0.2">
      <c r="BT902"/>
      <c r="BU902"/>
      <c r="BV902"/>
      <c r="BW902"/>
      <c r="BX902"/>
      <c r="BY902"/>
      <c r="BZ902"/>
      <c r="CA902"/>
      <c r="CB902"/>
      <c r="CC902"/>
      <c r="CD902"/>
      <c r="CE902"/>
      <c r="CF902"/>
      <c r="CG902"/>
      <c r="CH902"/>
      <c r="CI902"/>
      <c r="CJ902"/>
      <c r="CK902"/>
    </row>
    <row r="903" spans="72:89" ht="16" hidden="1" x14ac:dyDescent="0.2">
      <c r="BT903"/>
      <c r="BU903"/>
      <c r="BV903"/>
      <c r="BW903"/>
      <c r="BX903"/>
      <c r="BY903"/>
      <c r="BZ903"/>
      <c r="CA903"/>
      <c r="CB903"/>
      <c r="CC903"/>
      <c r="CD903"/>
      <c r="CE903"/>
      <c r="CF903"/>
      <c r="CG903"/>
      <c r="CH903"/>
      <c r="CI903"/>
      <c r="CJ903"/>
      <c r="CK903"/>
    </row>
    <row r="904" spans="72:89" ht="16" hidden="1" x14ac:dyDescent="0.2">
      <c r="BT904"/>
      <c r="BU904"/>
      <c r="BV904"/>
      <c r="BW904"/>
      <c r="BX904"/>
      <c r="BY904"/>
      <c r="BZ904"/>
      <c r="CA904"/>
      <c r="CB904"/>
      <c r="CC904"/>
      <c r="CD904"/>
      <c r="CE904"/>
      <c r="CF904"/>
      <c r="CG904"/>
      <c r="CH904"/>
      <c r="CI904"/>
      <c r="CJ904"/>
      <c r="CK904"/>
    </row>
    <row r="905" spans="72:89" ht="16" hidden="1" x14ac:dyDescent="0.2">
      <c r="BT905"/>
      <c r="BU905"/>
      <c r="BV905"/>
      <c r="BW905"/>
      <c r="BX905"/>
      <c r="BY905"/>
      <c r="BZ905"/>
      <c r="CA905"/>
      <c r="CB905"/>
      <c r="CC905"/>
      <c r="CD905"/>
      <c r="CE905"/>
      <c r="CF905"/>
      <c r="CG905"/>
      <c r="CH905"/>
      <c r="CI905"/>
      <c r="CJ905"/>
      <c r="CK905"/>
    </row>
    <row r="906" spans="72:89" ht="16" hidden="1" x14ac:dyDescent="0.2">
      <c r="BT906"/>
      <c r="BU906"/>
      <c r="BV906"/>
      <c r="BW906"/>
      <c r="BX906"/>
      <c r="BY906"/>
      <c r="BZ906"/>
      <c r="CA906"/>
      <c r="CB906"/>
      <c r="CC906"/>
      <c r="CD906"/>
      <c r="CE906"/>
      <c r="CF906"/>
      <c r="CG906"/>
      <c r="CH906"/>
      <c r="CI906"/>
      <c r="CJ906"/>
      <c r="CK906"/>
    </row>
    <row r="907" spans="72:89" ht="16" hidden="1" x14ac:dyDescent="0.2">
      <c r="BT907"/>
      <c r="BU907"/>
      <c r="BV907"/>
      <c r="BW907"/>
      <c r="BX907"/>
      <c r="BY907"/>
      <c r="BZ907"/>
      <c r="CA907"/>
      <c r="CB907"/>
      <c r="CC907"/>
      <c r="CD907"/>
      <c r="CE907"/>
      <c r="CF907"/>
      <c r="CG907"/>
      <c r="CH907"/>
      <c r="CI907"/>
      <c r="CJ907"/>
      <c r="CK907"/>
    </row>
    <row r="908" spans="72:89" ht="16" hidden="1" x14ac:dyDescent="0.2">
      <c r="BT908"/>
      <c r="BU908"/>
      <c r="BV908"/>
      <c r="BW908"/>
      <c r="BX908"/>
      <c r="BY908"/>
      <c r="BZ908"/>
      <c r="CA908"/>
      <c r="CB908"/>
      <c r="CC908"/>
      <c r="CD908"/>
      <c r="CE908"/>
      <c r="CF908"/>
      <c r="CG908"/>
      <c r="CH908"/>
      <c r="CI908"/>
      <c r="CJ908"/>
      <c r="CK908"/>
    </row>
    <row r="909" spans="72:89" ht="16" hidden="1" x14ac:dyDescent="0.2">
      <c r="BT909"/>
      <c r="BU909"/>
      <c r="BV909"/>
      <c r="BW909"/>
      <c r="BX909"/>
      <c r="BY909"/>
      <c r="BZ909"/>
      <c r="CA909"/>
      <c r="CB909"/>
      <c r="CC909"/>
      <c r="CD909"/>
      <c r="CE909"/>
      <c r="CF909"/>
      <c r="CG909"/>
      <c r="CH909"/>
      <c r="CI909"/>
      <c r="CJ909"/>
      <c r="CK909"/>
    </row>
    <row r="910" spans="72:89" ht="16" hidden="1" x14ac:dyDescent="0.2">
      <c r="BT910"/>
      <c r="BU910"/>
      <c r="BV910"/>
      <c r="BW910"/>
      <c r="BX910"/>
      <c r="BY910"/>
      <c r="BZ910"/>
      <c r="CA910"/>
      <c r="CB910"/>
      <c r="CC910"/>
      <c r="CD910"/>
      <c r="CE910"/>
      <c r="CF910"/>
      <c r="CG910"/>
      <c r="CH910"/>
      <c r="CI910"/>
      <c r="CJ910"/>
      <c r="CK910"/>
    </row>
    <row r="911" spans="72:89" ht="16" hidden="1" x14ac:dyDescent="0.2">
      <c r="BT911"/>
      <c r="BU911"/>
      <c r="BV911"/>
      <c r="BW911"/>
      <c r="BX911"/>
      <c r="BY911"/>
      <c r="BZ911"/>
      <c r="CA911"/>
      <c r="CB911"/>
      <c r="CC911"/>
      <c r="CD911"/>
      <c r="CE911"/>
      <c r="CF911"/>
      <c r="CG911"/>
      <c r="CH911"/>
      <c r="CI911"/>
      <c r="CJ911"/>
      <c r="CK911"/>
    </row>
    <row r="912" spans="72:89" ht="16" hidden="1" x14ac:dyDescent="0.2">
      <c r="BT912"/>
      <c r="BU912"/>
      <c r="BV912"/>
      <c r="BW912"/>
      <c r="BX912"/>
      <c r="BY912"/>
      <c r="BZ912"/>
      <c r="CA912"/>
      <c r="CB912"/>
      <c r="CC912"/>
      <c r="CD912"/>
      <c r="CE912"/>
      <c r="CF912"/>
      <c r="CG912"/>
      <c r="CH912"/>
      <c r="CI912"/>
      <c r="CJ912"/>
      <c r="CK912"/>
    </row>
    <row r="913" spans="72:89" ht="16" hidden="1" x14ac:dyDescent="0.2">
      <c r="BT913"/>
      <c r="BU913"/>
      <c r="BV913"/>
      <c r="BW913"/>
      <c r="BX913"/>
      <c r="BY913"/>
      <c r="BZ913"/>
      <c r="CA913"/>
      <c r="CB913"/>
      <c r="CC913"/>
      <c r="CD913"/>
      <c r="CE913"/>
      <c r="CF913"/>
      <c r="CG913"/>
      <c r="CH913"/>
      <c r="CI913"/>
      <c r="CJ913"/>
      <c r="CK913"/>
    </row>
    <row r="914" spans="72:89" ht="16" hidden="1" x14ac:dyDescent="0.2">
      <c r="BT914"/>
      <c r="BU914"/>
      <c r="BV914"/>
      <c r="BW914"/>
      <c r="BX914"/>
      <c r="BY914"/>
      <c r="BZ914"/>
      <c r="CA914"/>
      <c r="CB914"/>
      <c r="CC914"/>
      <c r="CD914"/>
      <c r="CE914"/>
      <c r="CF914"/>
      <c r="CG914"/>
      <c r="CH914"/>
      <c r="CI914"/>
      <c r="CJ914"/>
      <c r="CK914"/>
    </row>
    <row r="915" spans="72:89" ht="16" hidden="1" x14ac:dyDescent="0.2">
      <c r="BT915"/>
      <c r="BU915"/>
      <c r="BV915"/>
      <c r="BW915"/>
      <c r="BX915"/>
      <c r="BY915"/>
      <c r="BZ915"/>
      <c r="CA915"/>
      <c r="CB915"/>
      <c r="CC915"/>
      <c r="CD915"/>
      <c r="CE915"/>
      <c r="CF915"/>
      <c r="CG915"/>
      <c r="CH915"/>
      <c r="CI915"/>
      <c r="CJ915"/>
      <c r="CK915"/>
    </row>
    <row r="916" spans="72:89" ht="16" hidden="1" x14ac:dyDescent="0.2">
      <c r="BT916"/>
      <c r="BU916"/>
      <c r="BV916"/>
      <c r="BW916"/>
      <c r="BX916"/>
      <c r="BY916"/>
      <c r="BZ916"/>
      <c r="CA916"/>
      <c r="CB916"/>
      <c r="CC916"/>
      <c r="CD916"/>
      <c r="CE916"/>
      <c r="CF916"/>
      <c r="CG916"/>
      <c r="CH916"/>
      <c r="CI916"/>
      <c r="CJ916"/>
      <c r="CK916"/>
    </row>
    <row r="917" spans="72:89" ht="16" hidden="1" x14ac:dyDescent="0.2">
      <c r="BT917"/>
      <c r="BU917"/>
      <c r="BV917"/>
      <c r="BW917"/>
      <c r="BX917"/>
      <c r="BY917"/>
      <c r="BZ917"/>
      <c r="CA917"/>
      <c r="CB917"/>
      <c r="CC917"/>
      <c r="CD917"/>
      <c r="CE917"/>
      <c r="CF917"/>
      <c r="CG917"/>
      <c r="CH917"/>
      <c r="CI917"/>
      <c r="CJ917"/>
      <c r="CK917"/>
    </row>
    <row r="918" spans="72:89" ht="16" hidden="1" x14ac:dyDescent="0.2">
      <c r="BT918"/>
      <c r="BU918"/>
      <c r="BV918"/>
      <c r="BW918"/>
      <c r="BX918"/>
      <c r="BY918"/>
      <c r="BZ918"/>
      <c r="CA918"/>
      <c r="CB918"/>
      <c r="CC918"/>
      <c r="CD918"/>
      <c r="CE918"/>
      <c r="CF918"/>
      <c r="CG918"/>
      <c r="CH918"/>
      <c r="CI918"/>
      <c r="CJ918"/>
      <c r="CK918"/>
    </row>
    <row r="919" spans="72:89" ht="16" hidden="1" x14ac:dyDescent="0.2">
      <c r="BT919"/>
      <c r="BU919"/>
      <c r="BV919"/>
      <c r="BW919"/>
      <c r="BX919"/>
      <c r="BY919"/>
      <c r="BZ919"/>
      <c r="CA919"/>
      <c r="CB919"/>
      <c r="CC919"/>
      <c r="CD919"/>
      <c r="CE919"/>
      <c r="CF919"/>
      <c r="CG919"/>
      <c r="CH919"/>
      <c r="CI919"/>
      <c r="CJ919"/>
      <c r="CK919"/>
    </row>
    <row r="920" spans="72:89" ht="16" hidden="1" x14ac:dyDescent="0.2">
      <c r="BT920"/>
      <c r="BU920"/>
      <c r="BV920"/>
      <c r="BW920"/>
      <c r="BX920"/>
      <c r="BY920"/>
      <c r="BZ920"/>
      <c r="CA920"/>
      <c r="CB920"/>
      <c r="CC920"/>
      <c r="CD920"/>
      <c r="CE920"/>
      <c r="CF920"/>
      <c r="CG920"/>
      <c r="CH920"/>
      <c r="CI920"/>
      <c r="CJ920"/>
      <c r="CK920"/>
    </row>
    <row r="921" spans="72:89" ht="16" hidden="1" x14ac:dyDescent="0.2">
      <c r="BT921"/>
      <c r="BU921"/>
      <c r="BV921"/>
      <c r="BW921"/>
      <c r="BX921"/>
      <c r="BY921"/>
      <c r="BZ921"/>
      <c r="CA921"/>
      <c r="CB921"/>
      <c r="CC921"/>
      <c r="CD921"/>
      <c r="CE921"/>
      <c r="CF921"/>
      <c r="CG921"/>
      <c r="CH921"/>
      <c r="CI921"/>
      <c r="CJ921"/>
      <c r="CK921"/>
    </row>
    <row r="922" spans="72:89" ht="16" hidden="1" x14ac:dyDescent="0.2">
      <c r="BT922"/>
      <c r="BU922"/>
      <c r="BV922"/>
      <c r="BW922"/>
      <c r="BX922"/>
      <c r="BY922"/>
      <c r="BZ922"/>
      <c r="CA922"/>
      <c r="CB922"/>
      <c r="CC922"/>
      <c r="CD922"/>
      <c r="CE922"/>
      <c r="CF922"/>
      <c r="CG922"/>
      <c r="CH922"/>
      <c r="CI922"/>
      <c r="CJ922"/>
      <c r="CK922"/>
    </row>
    <row r="923" spans="72:89" ht="16" hidden="1" x14ac:dyDescent="0.2">
      <c r="BT923"/>
      <c r="BU923"/>
      <c r="BV923"/>
      <c r="BW923"/>
      <c r="BX923"/>
      <c r="BY923"/>
      <c r="BZ923"/>
      <c r="CA923"/>
      <c r="CB923"/>
      <c r="CC923"/>
      <c r="CD923"/>
      <c r="CE923"/>
      <c r="CF923"/>
      <c r="CG923"/>
      <c r="CH923"/>
      <c r="CI923"/>
      <c r="CJ923"/>
      <c r="CK923"/>
    </row>
    <row r="924" spans="72:89" ht="16" hidden="1" x14ac:dyDescent="0.2">
      <c r="BT924"/>
      <c r="BU924"/>
      <c r="BV924"/>
      <c r="BW924"/>
      <c r="BX924"/>
      <c r="BY924"/>
      <c r="BZ924"/>
      <c r="CA924"/>
      <c r="CB924"/>
      <c r="CC924"/>
      <c r="CD924"/>
      <c r="CE924"/>
      <c r="CF924"/>
      <c r="CG924"/>
      <c r="CH924"/>
      <c r="CI924"/>
      <c r="CJ924"/>
      <c r="CK924"/>
    </row>
    <row r="925" spans="72:89" ht="16" hidden="1" x14ac:dyDescent="0.2">
      <c r="BT925"/>
      <c r="BU925"/>
      <c r="BV925"/>
      <c r="BW925"/>
      <c r="BX925"/>
      <c r="BY925"/>
      <c r="BZ925"/>
      <c r="CA925"/>
      <c r="CB925"/>
      <c r="CC925"/>
      <c r="CD925"/>
      <c r="CE925"/>
      <c r="CF925"/>
      <c r="CG925"/>
      <c r="CH925"/>
      <c r="CI925"/>
      <c r="CJ925"/>
      <c r="CK925"/>
    </row>
    <row r="926" spans="72:89" ht="16" hidden="1" x14ac:dyDescent="0.2">
      <c r="BT926"/>
      <c r="BU926"/>
      <c r="BV926"/>
      <c r="BW926"/>
      <c r="BX926"/>
      <c r="BY926"/>
      <c r="BZ926"/>
      <c r="CA926"/>
      <c r="CB926"/>
      <c r="CC926"/>
      <c r="CD926"/>
      <c r="CE926"/>
      <c r="CF926"/>
      <c r="CG926"/>
      <c r="CH926"/>
      <c r="CI926"/>
      <c r="CJ926"/>
      <c r="CK926"/>
    </row>
    <row r="927" spans="72:89" ht="16" hidden="1" x14ac:dyDescent="0.2">
      <c r="BT927"/>
      <c r="BU927"/>
      <c r="BV927"/>
      <c r="BW927"/>
      <c r="BX927"/>
      <c r="BY927"/>
      <c r="BZ927"/>
      <c r="CA927"/>
      <c r="CB927"/>
      <c r="CC927"/>
      <c r="CD927"/>
      <c r="CE927"/>
      <c r="CF927"/>
      <c r="CG927"/>
      <c r="CH927"/>
      <c r="CI927"/>
      <c r="CJ927"/>
      <c r="CK927"/>
    </row>
    <row r="928" spans="72:89" ht="16" hidden="1" x14ac:dyDescent="0.2">
      <c r="BT928"/>
      <c r="BU928"/>
      <c r="BV928"/>
      <c r="BW928"/>
      <c r="BX928"/>
      <c r="BY928"/>
      <c r="BZ928"/>
      <c r="CA928"/>
      <c r="CB928"/>
      <c r="CC928"/>
      <c r="CD928"/>
      <c r="CE928"/>
      <c r="CF928"/>
      <c r="CG928"/>
      <c r="CH928"/>
      <c r="CI928"/>
      <c r="CJ928"/>
      <c r="CK928"/>
    </row>
    <row r="929" spans="72:89" ht="16" hidden="1" x14ac:dyDescent="0.2">
      <c r="BT929"/>
      <c r="BU929"/>
      <c r="BV929"/>
      <c r="BW929"/>
      <c r="BX929"/>
      <c r="BY929"/>
      <c r="BZ929"/>
      <c r="CA929"/>
      <c r="CB929"/>
      <c r="CC929"/>
      <c r="CD929"/>
      <c r="CE929"/>
      <c r="CF929"/>
      <c r="CG929"/>
      <c r="CH929"/>
      <c r="CI929"/>
      <c r="CJ929"/>
      <c r="CK929"/>
    </row>
    <row r="930" spans="72:89" ht="16" hidden="1" x14ac:dyDescent="0.2">
      <c r="BT930"/>
      <c r="BU930"/>
      <c r="BV930"/>
      <c r="BW930"/>
      <c r="BX930"/>
      <c r="BY930"/>
      <c r="BZ930"/>
      <c r="CA930"/>
      <c r="CB930"/>
      <c r="CC930"/>
      <c r="CD930"/>
      <c r="CE930"/>
      <c r="CF930"/>
      <c r="CG930"/>
      <c r="CH930"/>
      <c r="CI930"/>
      <c r="CJ930"/>
      <c r="CK930"/>
    </row>
    <row r="931" spans="72:89" ht="16" hidden="1" x14ac:dyDescent="0.2">
      <c r="BT931"/>
      <c r="BU931"/>
      <c r="BV931"/>
      <c r="BW931"/>
      <c r="BX931"/>
      <c r="BY931"/>
      <c r="BZ931"/>
      <c r="CA931"/>
      <c r="CB931"/>
      <c r="CC931"/>
      <c r="CD931"/>
      <c r="CE931"/>
      <c r="CF931"/>
      <c r="CG931"/>
      <c r="CH931"/>
      <c r="CI931"/>
      <c r="CJ931"/>
      <c r="CK931"/>
    </row>
    <row r="932" spans="72:89" ht="16" hidden="1" x14ac:dyDescent="0.2">
      <c r="BT932"/>
      <c r="BU932"/>
      <c r="BV932"/>
      <c r="BW932"/>
      <c r="BX932"/>
      <c r="BY932"/>
      <c r="BZ932"/>
      <c r="CA932"/>
      <c r="CB932"/>
      <c r="CC932"/>
      <c r="CD932"/>
      <c r="CE932"/>
      <c r="CF932"/>
      <c r="CG932"/>
      <c r="CH932"/>
      <c r="CI932"/>
      <c r="CJ932"/>
      <c r="CK932"/>
    </row>
    <row r="933" spans="72:89" ht="16" hidden="1" x14ac:dyDescent="0.2">
      <c r="BT933"/>
      <c r="BU933"/>
      <c r="BV933"/>
      <c r="BW933"/>
      <c r="BX933"/>
      <c r="BY933"/>
      <c r="BZ933"/>
      <c r="CA933"/>
      <c r="CB933"/>
      <c r="CC933"/>
      <c r="CD933"/>
      <c r="CE933"/>
      <c r="CF933"/>
      <c r="CG933"/>
      <c r="CH933"/>
      <c r="CI933"/>
      <c r="CJ933"/>
      <c r="CK933"/>
    </row>
    <row r="934" spans="72:89" ht="16" hidden="1" x14ac:dyDescent="0.2">
      <c r="BT934"/>
      <c r="BU934"/>
      <c r="BV934"/>
      <c r="BW934"/>
      <c r="BX934"/>
      <c r="BY934"/>
      <c r="BZ934"/>
      <c r="CA934"/>
      <c r="CB934"/>
      <c r="CC934"/>
      <c r="CD934"/>
      <c r="CE934"/>
      <c r="CF934"/>
      <c r="CG934"/>
      <c r="CH934"/>
      <c r="CI934"/>
      <c r="CJ934"/>
      <c r="CK934"/>
    </row>
    <row r="935" spans="72:89" ht="16" hidden="1" x14ac:dyDescent="0.2">
      <c r="BT935"/>
      <c r="BU935"/>
      <c r="BV935"/>
      <c r="BW935"/>
      <c r="BX935"/>
      <c r="BY935"/>
      <c r="BZ935"/>
      <c r="CA935"/>
      <c r="CB935"/>
      <c r="CC935"/>
      <c r="CD935"/>
      <c r="CE935"/>
      <c r="CF935"/>
      <c r="CG935"/>
      <c r="CH935"/>
      <c r="CI935"/>
      <c r="CJ935"/>
      <c r="CK935"/>
    </row>
    <row r="936" spans="72:89" ht="16" hidden="1" x14ac:dyDescent="0.2">
      <c r="BT936"/>
      <c r="BU936"/>
      <c r="BV936"/>
      <c r="BW936"/>
      <c r="BX936"/>
      <c r="BY936"/>
      <c r="BZ936"/>
      <c r="CA936"/>
      <c r="CB936"/>
      <c r="CC936"/>
      <c r="CD936"/>
      <c r="CE936"/>
      <c r="CF936"/>
      <c r="CG936"/>
      <c r="CH936"/>
      <c r="CI936"/>
      <c r="CJ936"/>
      <c r="CK936"/>
    </row>
    <row r="937" spans="72:89" ht="16" hidden="1" x14ac:dyDescent="0.2">
      <c r="BT937"/>
      <c r="BU937"/>
      <c r="BV937"/>
      <c r="BW937"/>
      <c r="BX937"/>
      <c r="BY937"/>
      <c r="BZ937"/>
      <c r="CA937"/>
      <c r="CB937"/>
      <c r="CC937"/>
      <c r="CD937"/>
      <c r="CE937"/>
      <c r="CF937"/>
      <c r="CG937"/>
      <c r="CH937"/>
      <c r="CI937"/>
      <c r="CJ937"/>
      <c r="CK937"/>
    </row>
    <row r="938" spans="72:89" ht="16" hidden="1" x14ac:dyDescent="0.2">
      <c r="BT938"/>
      <c r="BU938"/>
      <c r="BV938"/>
      <c r="BW938"/>
      <c r="BX938"/>
      <c r="BY938"/>
      <c r="BZ938"/>
      <c r="CA938"/>
      <c r="CB938"/>
      <c r="CC938"/>
      <c r="CD938"/>
      <c r="CE938"/>
      <c r="CF938"/>
      <c r="CG938"/>
      <c r="CH938"/>
      <c r="CI938"/>
      <c r="CJ938"/>
      <c r="CK938"/>
    </row>
    <row r="939" spans="72:89" ht="16" hidden="1" x14ac:dyDescent="0.2">
      <c r="BT939"/>
      <c r="BU939"/>
      <c r="BV939"/>
      <c r="BW939"/>
      <c r="BX939"/>
      <c r="BY939"/>
      <c r="BZ939"/>
      <c r="CA939"/>
      <c r="CB939"/>
      <c r="CC939"/>
      <c r="CD939"/>
      <c r="CE939"/>
      <c r="CF939"/>
      <c r="CG939"/>
      <c r="CH939"/>
      <c r="CI939"/>
      <c r="CJ939"/>
      <c r="CK939"/>
    </row>
    <row r="940" spans="72:89" ht="16" hidden="1" x14ac:dyDescent="0.2">
      <c r="BT940"/>
      <c r="BU940"/>
      <c r="BV940"/>
      <c r="BW940"/>
      <c r="BX940"/>
      <c r="BY940"/>
      <c r="BZ940"/>
      <c r="CA940"/>
      <c r="CB940"/>
      <c r="CC940"/>
      <c r="CD940"/>
      <c r="CE940"/>
      <c r="CF940"/>
      <c r="CG940"/>
      <c r="CH940"/>
      <c r="CI940"/>
      <c r="CJ940"/>
      <c r="CK940"/>
    </row>
    <row r="941" spans="72:89" ht="16" hidden="1" x14ac:dyDescent="0.2">
      <c r="BT941"/>
      <c r="BU941"/>
      <c r="BV941"/>
      <c r="BW941"/>
      <c r="BX941"/>
      <c r="BY941"/>
      <c r="BZ941"/>
      <c r="CA941"/>
      <c r="CB941"/>
      <c r="CC941"/>
      <c r="CD941"/>
      <c r="CE941"/>
      <c r="CF941"/>
      <c r="CG941"/>
      <c r="CH941"/>
      <c r="CI941"/>
      <c r="CJ941"/>
      <c r="CK941"/>
    </row>
    <row r="942" spans="72:89" ht="16" hidden="1" x14ac:dyDescent="0.2">
      <c r="BT942"/>
      <c r="BU942"/>
      <c r="BV942"/>
      <c r="BW942"/>
      <c r="BX942"/>
      <c r="BY942"/>
      <c r="BZ942"/>
      <c r="CA942"/>
      <c r="CB942"/>
      <c r="CC942"/>
      <c r="CD942"/>
      <c r="CE942"/>
      <c r="CF942"/>
      <c r="CG942"/>
      <c r="CH942"/>
      <c r="CI942"/>
      <c r="CJ942"/>
      <c r="CK942"/>
    </row>
    <row r="943" spans="72:89" ht="16" hidden="1" x14ac:dyDescent="0.2">
      <c r="BT943"/>
      <c r="BU943"/>
      <c r="BV943"/>
      <c r="BW943"/>
      <c r="BX943"/>
      <c r="BY943"/>
      <c r="BZ943"/>
      <c r="CA943"/>
      <c r="CB943"/>
      <c r="CC943"/>
      <c r="CD943"/>
      <c r="CE943"/>
      <c r="CF943"/>
      <c r="CG943"/>
      <c r="CH943"/>
      <c r="CI943"/>
      <c r="CJ943"/>
      <c r="CK943"/>
    </row>
    <row r="944" spans="72:89" ht="16" hidden="1" x14ac:dyDescent="0.2">
      <c r="BT944"/>
      <c r="BU944"/>
      <c r="BV944"/>
      <c r="BW944"/>
      <c r="BX944"/>
      <c r="BY944"/>
      <c r="BZ944"/>
      <c r="CA944"/>
      <c r="CB944"/>
      <c r="CC944"/>
      <c r="CD944"/>
      <c r="CE944"/>
      <c r="CF944"/>
      <c r="CG944"/>
      <c r="CH944"/>
      <c r="CI944"/>
      <c r="CJ944"/>
      <c r="CK944"/>
    </row>
    <row r="945" spans="72:89" ht="16" hidden="1" x14ac:dyDescent="0.2">
      <c r="BT945"/>
      <c r="BU945"/>
      <c r="BV945"/>
      <c r="BW945"/>
      <c r="BX945"/>
      <c r="BY945"/>
      <c r="BZ945"/>
      <c r="CA945"/>
      <c r="CB945"/>
      <c r="CC945"/>
      <c r="CD945"/>
      <c r="CE945"/>
      <c r="CF945"/>
      <c r="CG945"/>
      <c r="CH945"/>
      <c r="CI945"/>
      <c r="CJ945"/>
      <c r="CK945"/>
    </row>
    <row r="946" spans="72:89" ht="16" hidden="1" x14ac:dyDescent="0.2">
      <c r="BT946"/>
      <c r="BU946"/>
      <c r="BV946"/>
      <c r="BW946"/>
      <c r="BX946"/>
      <c r="BY946"/>
      <c r="BZ946"/>
      <c r="CA946"/>
      <c r="CB946"/>
      <c r="CC946"/>
      <c r="CD946"/>
      <c r="CE946"/>
      <c r="CF946"/>
      <c r="CG946"/>
      <c r="CH946"/>
      <c r="CI946"/>
      <c r="CJ946"/>
      <c r="CK946"/>
    </row>
    <row r="947" spans="72:89" ht="16" hidden="1" x14ac:dyDescent="0.2">
      <c r="BT947"/>
      <c r="BU947"/>
      <c r="BV947"/>
      <c r="BW947"/>
      <c r="BX947"/>
      <c r="BY947"/>
      <c r="BZ947"/>
      <c r="CA947"/>
      <c r="CB947"/>
      <c r="CC947"/>
      <c r="CD947"/>
      <c r="CE947"/>
      <c r="CF947"/>
      <c r="CG947"/>
      <c r="CH947"/>
      <c r="CI947"/>
      <c r="CJ947"/>
      <c r="CK947"/>
    </row>
    <row r="948" spans="72:89" ht="16" hidden="1" x14ac:dyDescent="0.2">
      <c r="BT948"/>
      <c r="BU948"/>
      <c r="BV948"/>
      <c r="BW948"/>
      <c r="BX948"/>
      <c r="BY948"/>
      <c r="BZ948"/>
      <c r="CA948"/>
      <c r="CB948"/>
      <c r="CC948"/>
      <c r="CD948"/>
      <c r="CE948"/>
      <c r="CF948"/>
      <c r="CG948"/>
      <c r="CH948"/>
      <c r="CI948"/>
      <c r="CJ948"/>
      <c r="CK948"/>
    </row>
    <row r="949" spans="72:89" ht="16" hidden="1" x14ac:dyDescent="0.2">
      <c r="BT949"/>
      <c r="BU949"/>
      <c r="BV949"/>
      <c r="BW949"/>
      <c r="BX949"/>
      <c r="BY949"/>
      <c r="BZ949"/>
      <c r="CA949"/>
      <c r="CB949"/>
      <c r="CC949"/>
      <c r="CD949"/>
      <c r="CE949"/>
      <c r="CF949"/>
      <c r="CG949"/>
      <c r="CH949"/>
      <c r="CI949"/>
      <c r="CJ949"/>
      <c r="CK949"/>
    </row>
    <row r="950" spans="72:89" ht="16" hidden="1" x14ac:dyDescent="0.2">
      <c r="BT950"/>
      <c r="BU950"/>
      <c r="BV950"/>
      <c r="BW950"/>
      <c r="BX950"/>
      <c r="BY950"/>
      <c r="BZ950"/>
      <c r="CA950"/>
      <c r="CB950"/>
      <c r="CC950"/>
      <c r="CD950"/>
      <c r="CE950"/>
      <c r="CF950"/>
      <c r="CG950"/>
      <c r="CH950"/>
      <c r="CI950"/>
      <c r="CJ950"/>
      <c r="CK950"/>
    </row>
    <row r="951" spans="72:89" ht="16" hidden="1" x14ac:dyDescent="0.2">
      <c r="BT951"/>
      <c r="BU951"/>
      <c r="BV951"/>
      <c r="BW951"/>
      <c r="BX951"/>
      <c r="BY951"/>
      <c r="BZ951"/>
      <c r="CA951"/>
      <c r="CB951"/>
      <c r="CC951"/>
      <c r="CD951"/>
      <c r="CE951"/>
      <c r="CF951"/>
      <c r="CG951"/>
      <c r="CH951"/>
      <c r="CI951"/>
      <c r="CJ951"/>
      <c r="CK951"/>
    </row>
    <row r="952" spans="72:89" ht="16" hidden="1" x14ac:dyDescent="0.2">
      <c r="BT952"/>
      <c r="BU952"/>
      <c r="BV952"/>
      <c r="BW952"/>
      <c r="BX952"/>
      <c r="BY952"/>
      <c r="BZ952"/>
      <c r="CA952"/>
      <c r="CB952"/>
      <c r="CC952"/>
      <c r="CD952"/>
      <c r="CE952"/>
      <c r="CF952"/>
      <c r="CG952"/>
      <c r="CH952"/>
      <c r="CI952"/>
      <c r="CJ952"/>
      <c r="CK952"/>
    </row>
    <row r="953" spans="72:89" ht="16" hidden="1" x14ac:dyDescent="0.2">
      <c r="BT953"/>
      <c r="BU953"/>
      <c r="BV953"/>
      <c r="BW953"/>
      <c r="BX953"/>
      <c r="BY953"/>
      <c r="BZ953"/>
      <c r="CA953"/>
      <c r="CB953"/>
      <c r="CC953"/>
      <c r="CD953"/>
      <c r="CE953"/>
      <c r="CF953"/>
      <c r="CG953"/>
      <c r="CH953"/>
      <c r="CI953"/>
      <c r="CJ953"/>
      <c r="CK953"/>
    </row>
    <row r="954" spans="72:89" ht="16" hidden="1" x14ac:dyDescent="0.2">
      <c r="BT954"/>
      <c r="BU954"/>
      <c r="BV954"/>
      <c r="BW954"/>
      <c r="BX954"/>
      <c r="BY954"/>
      <c r="BZ954"/>
      <c r="CA954"/>
      <c r="CB954"/>
      <c r="CC954"/>
      <c r="CD954"/>
      <c r="CE954"/>
      <c r="CF954"/>
      <c r="CG954"/>
      <c r="CH954"/>
      <c r="CI954"/>
      <c r="CJ954"/>
      <c r="CK954"/>
    </row>
    <row r="955" spans="72:89" ht="16" hidden="1" x14ac:dyDescent="0.2">
      <c r="BT955"/>
      <c r="BU955"/>
      <c r="BV955"/>
      <c r="BW955"/>
      <c r="BX955"/>
      <c r="BY955"/>
      <c r="BZ955"/>
      <c r="CA955"/>
      <c r="CB955"/>
      <c r="CC955"/>
      <c r="CD955"/>
      <c r="CE955"/>
      <c r="CF955"/>
      <c r="CG955"/>
      <c r="CH955"/>
      <c r="CI955"/>
      <c r="CJ955"/>
      <c r="CK955"/>
    </row>
    <row r="956" spans="72:89" ht="16" hidden="1" x14ac:dyDescent="0.2">
      <c r="BT956"/>
      <c r="BU956"/>
      <c r="BV956"/>
      <c r="BW956"/>
      <c r="BX956"/>
      <c r="BY956"/>
      <c r="BZ956"/>
      <c r="CA956"/>
      <c r="CB956"/>
      <c r="CC956"/>
      <c r="CD956"/>
      <c r="CE956"/>
      <c r="CF956"/>
      <c r="CG956"/>
      <c r="CH956"/>
      <c r="CI956"/>
      <c r="CJ956"/>
      <c r="CK956"/>
    </row>
    <row r="957" spans="72:89" ht="16" hidden="1" x14ac:dyDescent="0.2">
      <c r="BT957"/>
      <c r="BU957"/>
      <c r="BV957"/>
      <c r="BW957"/>
      <c r="BX957"/>
      <c r="BY957"/>
      <c r="BZ957"/>
      <c r="CA957"/>
      <c r="CB957"/>
      <c r="CC957"/>
      <c r="CD957"/>
      <c r="CE957"/>
      <c r="CF957"/>
      <c r="CG957"/>
      <c r="CH957"/>
      <c r="CI957"/>
      <c r="CJ957"/>
      <c r="CK957"/>
    </row>
    <row r="958" spans="72:89" ht="16" hidden="1" x14ac:dyDescent="0.2">
      <c r="BT958"/>
      <c r="BU958"/>
      <c r="BV958"/>
      <c r="BW958"/>
      <c r="BX958"/>
      <c r="BY958"/>
      <c r="BZ958"/>
      <c r="CA958"/>
      <c r="CB958"/>
      <c r="CC958"/>
      <c r="CD958"/>
      <c r="CE958"/>
      <c r="CF958"/>
      <c r="CG958"/>
      <c r="CH958"/>
      <c r="CI958"/>
      <c r="CJ958"/>
      <c r="CK958"/>
    </row>
    <row r="959" spans="72:89" ht="16" hidden="1" x14ac:dyDescent="0.2">
      <c r="BT959"/>
      <c r="BU959"/>
      <c r="BV959"/>
      <c r="BW959"/>
      <c r="BX959"/>
      <c r="BY959"/>
      <c r="BZ959"/>
      <c r="CA959"/>
      <c r="CB959"/>
      <c r="CC959"/>
      <c r="CD959"/>
      <c r="CE959"/>
      <c r="CF959"/>
      <c r="CG959"/>
      <c r="CH959"/>
      <c r="CI959"/>
      <c r="CJ959"/>
      <c r="CK959"/>
    </row>
    <row r="960" spans="72:89" ht="16" hidden="1" x14ac:dyDescent="0.2">
      <c r="BT960"/>
      <c r="BU960"/>
      <c r="BV960"/>
      <c r="BW960"/>
      <c r="BX960"/>
      <c r="BY960"/>
      <c r="BZ960"/>
      <c r="CA960"/>
      <c r="CB960"/>
      <c r="CC960"/>
      <c r="CD960"/>
      <c r="CE960"/>
      <c r="CF960"/>
      <c r="CG960"/>
      <c r="CH960"/>
      <c r="CI960"/>
      <c r="CJ960"/>
      <c r="CK960"/>
    </row>
    <row r="961" spans="72:89" ht="16" hidden="1" x14ac:dyDescent="0.2">
      <c r="BT961"/>
      <c r="BU961"/>
      <c r="BV961"/>
      <c r="BW961"/>
      <c r="BX961"/>
      <c r="BY961"/>
      <c r="BZ961"/>
      <c r="CA961"/>
      <c r="CB961"/>
      <c r="CC961"/>
      <c r="CD961"/>
      <c r="CE961"/>
      <c r="CF961"/>
      <c r="CG961"/>
      <c r="CH961"/>
      <c r="CI961"/>
      <c r="CJ961"/>
      <c r="CK961"/>
    </row>
    <row r="962" spans="72:89" ht="16" hidden="1" x14ac:dyDescent="0.2">
      <c r="BT962"/>
      <c r="BU962"/>
      <c r="BV962"/>
      <c r="BW962"/>
      <c r="BX962"/>
      <c r="BY962"/>
      <c r="BZ962"/>
      <c r="CA962"/>
      <c r="CB962"/>
      <c r="CC962"/>
      <c r="CD962"/>
      <c r="CE962"/>
      <c r="CF962"/>
      <c r="CG962"/>
      <c r="CH962"/>
      <c r="CI962"/>
      <c r="CJ962"/>
      <c r="CK962"/>
    </row>
    <row r="963" spans="72:89" ht="16" hidden="1" x14ac:dyDescent="0.2">
      <c r="BT963"/>
      <c r="BU963"/>
      <c r="BV963"/>
      <c r="BW963"/>
      <c r="BX963"/>
      <c r="BY963"/>
      <c r="BZ963"/>
      <c r="CA963"/>
      <c r="CB963"/>
      <c r="CC963"/>
      <c r="CD963"/>
      <c r="CE963"/>
      <c r="CF963"/>
      <c r="CG963"/>
      <c r="CH963"/>
      <c r="CI963"/>
      <c r="CJ963"/>
      <c r="CK963"/>
    </row>
    <row r="964" spans="72:89" ht="16" hidden="1" x14ac:dyDescent="0.2">
      <c r="BT964"/>
      <c r="BU964"/>
      <c r="BV964"/>
      <c r="BW964"/>
      <c r="BX964"/>
      <c r="BY964"/>
      <c r="BZ964"/>
      <c r="CA964"/>
      <c r="CB964"/>
      <c r="CC964"/>
      <c r="CD964"/>
      <c r="CE964"/>
      <c r="CF964"/>
      <c r="CG964"/>
      <c r="CH964"/>
      <c r="CI964"/>
      <c r="CJ964"/>
      <c r="CK964"/>
    </row>
    <row r="965" spans="72:89" ht="16" hidden="1" x14ac:dyDescent="0.2">
      <c r="BT965"/>
      <c r="BU965"/>
      <c r="BV965"/>
      <c r="BW965"/>
      <c r="BX965"/>
      <c r="BY965"/>
      <c r="BZ965"/>
      <c r="CA965"/>
      <c r="CB965"/>
      <c r="CC965"/>
      <c r="CD965"/>
      <c r="CE965"/>
      <c r="CF965"/>
      <c r="CG965"/>
      <c r="CH965"/>
      <c r="CI965"/>
      <c r="CJ965"/>
      <c r="CK965"/>
    </row>
    <row r="966" spans="72:89" ht="16" hidden="1" x14ac:dyDescent="0.2">
      <c r="BT966"/>
      <c r="BU966"/>
      <c r="BV966"/>
      <c r="BW966"/>
      <c r="BX966"/>
      <c r="BY966"/>
      <c r="BZ966"/>
      <c r="CA966"/>
      <c r="CB966"/>
      <c r="CC966"/>
      <c r="CD966"/>
      <c r="CE966"/>
      <c r="CF966"/>
      <c r="CG966"/>
      <c r="CH966"/>
      <c r="CI966"/>
      <c r="CJ966"/>
      <c r="CK966"/>
    </row>
    <row r="967" spans="72:89" ht="16" hidden="1" x14ac:dyDescent="0.2">
      <c r="BT967"/>
      <c r="BU967"/>
      <c r="BV967"/>
      <c r="BW967"/>
      <c r="BX967"/>
      <c r="BY967"/>
      <c r="BZ967"/>
      <c r="CA967"/>
      <c r="CB967"/>
      <c r="CC967"/>
      <c r="CD967"/>
      <c r="CE967"/>
      <c r="CF967"/>
      <c r="CG967"/>
      <c r="CH967"/>
      <c r="CI967"/>
      <c r="CJ967"/>
      <c r="CK967"/>
    </row>
    <row r="968" spans="72:89" ht="16" hidden="1" x14ac:dyDescent="0.2">
      <c r="BT968"/>
      <c r="BU968"/>
      <c r="BV968"/>
      <c r="BW968"/>
      <c r="BX968"/>
      <c r="BY968"/>
      <c r="BZ968"/>
      <c r="CA968"/>
      <c r="CB968"/>
      <c r="CC968"/>
      <c r="CD968"/>
      <c r="CE968"/>
      <c r="CF968"/>
      <c r="CG968"/>
      <c r="CH968"/>
      <c r="CI968"/>
      <c r="CJ968"/>
      <c r="CK968"/>
    </row>
    <row r="969" spans="72:89" ht="16" hidden="1" x14ac:dyDescent="0.2">
      <c r="BT969"/>
      <c r="BU969"/>
      <c r="BV969"/>
      <c r="BW969"/>
      <c r="BX969"/>
      <c r="BY969"/>
      <c r="BZ969"/>
      <c r="CA969"/>
      <c r="CB969"/>
      <c r="CC969"/>
      <c r="CD969"/>
      <c r="CE969"/>
      <c r="CF969"/>
      <c r="CG969"/>
      <c r="CH969"/>
      <c r="CI969"/>
      <c r="CJ969"/>
      <c r="CK969"/>
    </row>
    <row r="970" spans="72:89" ht="16" hidden="1" x14ac:dyDescent="0.2">
      <c r="BT970"/>
      <c r="BU970"/>
      <c r="BV970"/>
      <c r="BW970"/>
      <c r="BX970"/>
      <c r="BY970"/>
      <c r="BZ970"/>
      <c r="CA970"/>
      <c r="CB970"/>
      <c r="CC970"/>
      <c r="CD970"/>
      <c r="CE970"/>
      <c r="CF970"/>
      <c r="CG970"/>
      <c r="CH970"/>
      <c r="CI970"/>
      <c r="CJ970"/>
      <c r="CK970"/>
    </row>
    <row r="971" spans="72:89" ht="16" hidden="1" x14ac:dyDescent="0.2">
      <c r="BT971"/>
      <c r="BU971"/>
      <c r="BV971"/>
      <c r="BW971"/>
      <c r="BX971"/>
      <c r="BY971"/>
      <c r="BZ971"/>
      <c r="CA971"/>
      <c r="CB971"/>
      <c r="CC971"/>
      <c r="CD971"/>
      <c r="CE971"/>
      <c r="CF971"/>
      <c r="CG971"/>
      <c r="CH971"/>
      <c r="CI971"/>
      <c r="CJ971"/>
      <c r="CK971"/>
    </row>
    <row r="972" spans="72:89" ht="16" hidden="1" x14ac:dyDescent="0.2">
      <c r="BT972"/>
      <c r="BU972"/>
      <c r="BV972"/>
      <c r="BW972"/>
      <c r="BX972"/>
      <c r="BY972"/>
      <c r="BZ972"/>
      <c r="CA972"/>
      <c r="CB972"/>
      <c r="CC972"/>
      <c r="CD972"/>
      <c r="CE972"/>
      <c r="CF972"/>
      <c r="CG972"/>
      <c r="CH972"/>
      <c r="CI972"/>
      <c r="CJ972"/>
      <c r="CK972"/>
    </row>
    <row r="973" spans="72:89" ht="16" hidden="1" x14ac:dyDescent="0.2">
      <c r="BT973"/>
      <c r="BU973"/>
      <c r="BV973"/>
      <c r="BW973"/>
      <c r="BX973"/>
      <c r="BY973"/>
      <c r="BZ973"/>
      <c r="CA973"/>
      <c r="CB973"/>
      <c r="CC973"/>
      <c r="CD973"/>
      <c r="CE973"/>
      <c r="CF973"/>
      <c r="CG973"/>
      <c r="CH973"/>
      <c r="CI973"/>
      <c r="CJ973"/>
      <c r="CK973"/>
    </row>
    <row r="974" spans="72:89" ht="16" hidden="1" x14ac:dyDescent="0.2">
      <c r="BT974"/>
      <c r="BU974"/>
      <c r="BV974"/>
      <c r="BW974"/>
      <c r="BX974"/>
      <c r="BY974"/>
      <c r="BZ974"/>
      <c r="CA974"/>
      <c r="CB974"/>
      <c r="CC974"/>
      <c r="CD974"/>
      <c r="CE974"/>
      <c r="CF974"/>
      <c r="CG974"/>
      <c r="CH974"/>
      <c r="CI974"/>
      <c r="CJ974"/>
      <c r="CK974"/>
    </row>
    <row r="975" spans="72:89" ht="16" hidden="1" x14ac:dyDescent="0.2">
      <c r="BT975"/>
      <c r="BU975"/>
      <c r="BV975"/>
      <c r="BW975"/>
      <c r="BX975"/>
      <c r="BY975"/>
      <c r="BZ975"/>
      <c r="CA975"/>
      <c r="CB975"/>
      <c r="CC975"/>
      <c r="CD975"/>
      <c r="CE975"/>
      <c r="CF975"/>
      <c r="CG975"/>
      <c r="CH975"/>
      <c r="CI975"/>
      <c r="CJ975"/>
      <c r="CK975"/>
    </row>
    <row r="976" spans="72:89" ht="16" hidden="1" x14ac:dyDescent="0.2">
      <c r="BT976"/>
      <c r="BU976"/>
      <c r="BV976"/>
      <c r="BW976"/>
      <c r="BX976"/>
      <c r="BY976"/>
      <c r="BZ976"/>
      <c r="CA976"/>
      <c r="CB976"/>
      <c r="CC976"/>
      <c r="CD976"/>
      <c r="CE976"/>
      <c r="CF976"/>
      <c r="CG976"/>
      <c r="CH976"/>
      <c r="CI976"/>
      <c r="CJ976"/>
      <c r="CK976"/>
    </row>
    <row r="977" spans="72:89" ht="16" hidden="1" x14ac:dyDescent="0.2">
      <c r="BT977"/>
      <c r="BU977"/>
      <c r="BV977"/>
      <c r="BW977"/>
      <c r="BX977"/>
      <c r="BY977"/>
      <c r="BZ977"/>
      <c r="CA977"/>
      <c r="CB977"/>
      <c r="CC977"/>
      <c r="CD977"/>
      <c r="CE977"/>
      <c r="CF977"/>
      <c r="CG977"/>
      <c r="CH977"/>
      <c r="CI977"/>
      <c r="CJ977"/>
      <c r="CK977"/>
    </row>
    <row r="978" spans="72:89" ht="16" hidden="1" x14ac:dyDescent="0.2">
      <c r="BT978"/>
      <c r="BU978"/>
      <c r="BV978"/>
      <c r="BW978"/>
      <c r="BX978"/>
      <c r="BY978"/>
      <c r="BZ978"/>
      <c r="CA978"/>
      <c r="CB978"/>
      <c r="CC978"/>
      <c r="CD978"/>
      <c r="CE978"/>
      <c r="CF978"/>
      <c r="CG978"/>
      <c r="CH978"/>
      <c r="CI978"/>
      <c r="CJ978"/>
      <c r="CK978"/>
    </row>
    <row r="979" spans="72:89" ht="16" hidden="1" x14ac:dyDescent="0.2">
      <c r="BT979"/>
      <c r="BU979"/>
      <c r="BV979"/>
      <c r="BW979"/>
      <c r="BX979"/>
      <c r="BY979"/>
      <c r="BZ979"/>
      <c r="CA979"/>
      <c r="CB979"/>
      <c r="CC979"/>
      <c r="CD979"/>
      <c r="CE979"/>
      <c r="CF979"/>
      <c r="CG979"/>
      <c r="CH979"/>
      <c r="CI979"/>
      <c r="CJ979"/>
      <c r="CK979"/>
    </row>
    <row r="980" spans="72:89" ht="16" hidden="1" x14ac:dyDescent="0.2">
      <c r="BT980"/>
      <c r="BU980"/>
      <c r="BV980"/>
      <c r="BW980"/>
      <c r="BX980"/>
      <c r="BY980"/>
      <c r="BZ980"/>
      <c r="CA980"/>
      <c r="CB980"/>
      <c r="CC980"/>
      <c r="CD980"/>
      <c r="CE980"/>
      <c r="CF980"/>
      <c r="CG980"/>
      <c r="CH980"/>
      <c r="CI980"/>
      <c r="CJ980"/>
      <c r="CK980"/>
    </row>
    <row r="981" spans="72:89" ht="16" hidden="1" x14ac:dyDescent="0.2">
      <c r="BT981"/>
      <c r="BU981"/>
      <c r="BV981"/>
      <c r="BW981"/>
      <c r="BX981"/>
      <c r="BY981"/>
      <c r="BZ981"/>
      <c r="CA981"/>
      <c r="CB981"/>
      <c r="CC981"/>
      <c r="CD981"/>
      <c r="CE981"/>
      <c r="CF981"/>
      <c r="CG981"/>
      <c r="CH981"/>
      <c r="CI981"/>
      <c r="CJ981"/>
      <c r="CK981"/>
    </row>
    <row r="982" spans="72:89" ht="16" hidden="1" x14ac:dyDescent="0.2">
      <c r="BT982"/>
      <c r="BU982"/>
      <c r="BV982"/>
      <c r="BW982"/>
      <c r="BX982"/>
      <c r="BY982"/>
      <c r="BZ982"/>
      <c r="CA982"/>
      <c r="CB982"/>
      <c r="CC982"/>
      <c r="CD982"/>
      <c r="CE982"/>
      <c r="CF982"/>
      <c r="CG982"/>
      <c r="CH982"/>
      <c r="CI982"/>
      <c r="CJ982"/>
      <c r="CK982"/>
    </row>
    <row r="983" spans="72:89" ht="16" hidden="1" x14ac:dyDescent="0.2">
      <c r="BT983"/>
      <c r="BU983"/>
      <c r="BV983"/>
      <c r="BW983"/>
      <c r="BX983"/>
      <c r="BY983"/>
      <c r="BZ983"/>
      <c r="CA983"/>
      <c r="CB983"/>
      <c r="CC983"/>
      <c r="CD983"/>
      <c r="CE983"/>
      <c r="CF983"/>
      <c r="CG983"/>
      <c r="CH983"/>
      <c r="CI983"/>
      <c r="CJ983"/>
      <c r="CK983"/>
    </row>
    <row r="984" spans="72:89" ht="16" hidden="1" x14ac:dyDescent="0.2">
      <c r="BT984"/>
      <c r="BU984"/>
      <c r="BV984"/>
      <c r="BW984"/>
      <c r="BX984"/>
      <c r="BY984"/>
      <c r="BZ984"/>
      <c r="CA984"/>
      <c r="CB984"/>
      <c r="CC984"/>
      <c r="CD984"/>
      <c r="CE984"/>
      <c r="CF984"/>
      <c r="CG984"/>
      <c r="CH984"/>
      <c r="CI984"/>
      <c r="CJ984"/>
      <c r="CK984"/>
    </row>
    <row r="985" spans="72:89" ht="16" hidden="1" x14ac:dyDescent="0.2">
      <c r="BT985"/>
      <c r="BU985"/>
      <c r="BV985"/>
      <c r="BW985"/>
      <c r="BX985"/>
      <c r="BY985"/>
      <c r="BZ985"/>
      <c r="CA985"/>
      <c r="CB985"/>
      <c r="CC985"/>
      <c r="CD985"/>
      <c r="CE985"/>
      <c r="CF985"/>
      <c r="CG985"/>
      <c r="CH985"/>
      <c r="CI985"/>
      <c r="CJ985"/>
      <c r="CK985"/>
    </row>
    <row r="986" spans="72:89" ht="16" hidden="1" x14ac:dyDescent="0.2">
      <c r="BT986"/>
      <c r="BU986"/>
      <c r="BV986"/>
      <c r="BW986"/>
      <c r="BX986"/>
      <c r="BY986"/>
      <c r="BZ986"/>
      <c r="CA986"/>
      <c r="CB986"/>
      <c r="CC986"/>
      <c r="CD986"/>
      <c r="CE986"/>
      <c r="CF986"/>
      <c r="CG986"/>
      <c r="CH986"/>
      <c r="CI986"/>
      <c r="CJ986"/>
      <c r="CK986"/>
    </row>
    <row r="987" spans="72:89" ht="16" hidden="1" x14ac:dyDescent="0.2">
      <c r="BT987"/>
      <c r="BU987"/>
      <c r="BV987"/>
      <c r="BW987"/>
      <c r="BX987"/>
      <c r="BY987"/>
      <c r="BZ987"/>
      <c r="CA987"/>
      <c r="CB987"/>
      <c r="CC987"/>
      <c r="CD987"/>
      <c r="CE987"/>
      <c r="CF987"/>
      <c r="CG987"/>
      <c r="CH987"/>
      <c r="CI987"/>
      <c r="CJ987"/>
      <c r="CK987"/>
    </row>
    <row r="988" spans="72:89" ht="16" hidden="1" x14ac:dyDescent="0.2">
      <c r="BT988"/>
      <c r="BU988"/>
      <c r="BV988"/>
      <c r="BW988"/>
      <c r="BX988"/>
      <c r="BY988"/>
      <c r="BZ988"/>
      <c r="CA988"/>
      <c r="CB988"/>
      <c r="CC988"/>
      <c r="CD988"/>
      <c r="CE988"/>
      <c r="CF988"/>
      <c r="CG988"/>
      <c r="CH988"/>
      <c r="CI988"/>
      <c r="CJ988"/>
      <c r="CK988"/>
    </row>
    <row r="989" spans="72:89" ht="16" hidden="1" x14ac:dyDescent="0.2">
      <c r="BT989"/>
      <c r="BU989"/>
      <c r="BV989"/>
      <c r="BW989"/>
      <c r="BX989"/>
      <c r="BY989"/>
      <c r="BZ989"/>
      <c r="CA989"/>
      <c r="CB989"/>
      <c r="CC989"/>
      <c r="CD989"/>
      <c r="CE989"/>
      <c r="CF989"/>
      <c r="CG989"/>
      <c r="CH989"/>
      <c r="CI989"/>
      <c r="CJ989"/>
      <c r="CK989"/>
    </row>
    <row r="990" spans="72:89" ht="16" hidden="1" x14ac:dyDescent="0.2">
      <c r="BT990"/>
      <c r="BU990"/>
      <c r="BV990"/>
      <c r="BW990"/>
      <c r="BX990"/>
      <c r="BY990"/>
      <c r="BZ990"/>
      <c r="CA990"/>
      <c r="CB990"/>
      <c r="CC990"/>
      <c r="CD990"/>
      <c r="CE990"/>
      <c r="CF990"/>
      <c r="CG990"/>
      <c r="CH990"/>
      <c r="CI990"/>
      <c r="CJ990"/>
      <c r="CK990"/>
    </row>
    <row r="991" spans="72:89" ht="16" hidden="1" x14ac:dyDescent="0.2">
      <c r="BT991"/>
      <c r="BU991"/>
      <c r="BV991"/>
      <c r="BW991"/>
      <c r="BX991"/>
      <c r="BY991"/>
      <c r="BZ991"/>
      <c r="CA991"/>
      <c r="CB991"/>
      <c r="CC991"/>
      <c r="CD991"/>
      <c r="CE991"/>
      <c r="CF991"/>
      <c r="CG991"/>
      <c r="CH991"/>
      <c r="CI991"/>
      <c r="CJ991"/>
      <c r="CK991"/>
    </row>
    <row r="992" spans="72:89" ht="16" hidden="1" x14ac:dyDescent="0.2">
      <c r="BT992"/>
      <c r="BU992"/>
      <c r="BV992"/>
      <c r="BW992"/>
      <c r="BX992"/>
      <c r="BY992"/>
      <c r="BZ992"/>
      <c r="CA992"/>
      <c r="CB992"/>
      <c r="CC992"/>
      <c r="CD992"/>
      <c r="CE992"/>
      <c r="CF992"/>
      <c r="CG992"/>
      <c r="CH992"/>
      <c r="CI992"/>
      <c r="CJ992"/>
      <c r="CK992"/>
    </row>
    <row r="993" spans="72:89" ht="16" hidden="1" x14ac:dyDescent="0.2">
      <c r="BT993"/>
      <c r="BU993"/>
      <c r="BV993"/>
      <c r="BW993"/>
      <c r="BX993"/>
      <c r="BY993"/>
      <c r="BZ993"/>
      <c r="CA993"/>
      <c r="CB993"/>
      <c r="CC993"/>
      <c r="CD993"/>
      <c r="CE993"/>
      <c r="CF993"/>
      <c r="CG993"/>
      <c r="CH993"/>
      <c r="CI993"/>
      <c r="CJ993"/>
      <c r="CK993"/>
    </row>
    <row r="994" spans="72:89" ht="16" hidden="1" x14ac:dyDescent="0.2">
      <c r="BT994"/>
      <c r="BU994"/>
      <c r="BV994"/>
      <c r="BW994"/>
      <c r="BX994"/>
      <c r="BY994"/>
      <c r="BZ994"/>
      <c r="CA994"/>
      <c r="CB994"/>
      <c r="CC994"/>
      <c r="CD994"/>
      <c r="CE994"/>
      <c r="CF994"/>
      <c r="CG994"/>
      <c r="CH994"/>
      <c r="CI994"/>
      <c r="CJ994"/>
      <c r="CK994"/>
    </row>
    <row r="995" spans="72:89" ht="16" hidden="1" x14ac:dyDescent="0.2">
      <c r="BT995"/>
      <c r="BU995"/>
      <c r="BV995"/>
      <c r="BW995"/>
      <c r="BX995"/>
      <c r="BY995"/>
      <c r="BZ995"/>
      <c r="CA995"/>
      <c r="CB995"/>
      <c r="CC995"/>
      <c r="CD995"/>
      <c r="CE995"/>
      <c r="CF995"/>
      <c r="CG995"/>
      <c r="CH995"/>
      <c r="CI995"/>
      <c r="CJ995"/>
      <c r="CK995"/>
    </row>
    <row r="996" spans="72:89" ht="16" hidden="1" x14ac:dyDescent="0.2">
      <c r="BT996"/>
      <c r="BU996"/>
      <c r="BV996"/>
      <c r="BW996"/>
      <c r="BX996"/>
      <c r="BY996"/>
      <c r="BZ996"/>
      <c r="CA996"/>
      <c r="CB996"/>
      <c r="CC996"/>
      <c r="CD996"/>
      <c r="CE996"/>
      <c r="CF996"/>
      <c r="CG996"/>
      <c r="CH996"/>
      <c r="CI996"/>
      <c r="CJ996"/>
      <c r="CK996"/>
    </row>
    <row r="997" spans="72:89" ht="16" hidden="1" x14ac:dyDescent="0.2">
      <c r="BT997"/>
      <c r="BU997"/>
      <c r="BV997"/>
      <c r="BW997"/>
      <c r="BX997"/>
      <c r="BY997"/>
      <c r="BZ997"/>
      <c r="CA997"/>
      <c r="CB997"/>
      <c r="CC997"/>
      <c r="CD997"/>
      <c r="CE997"/>
      <c r="CF997"/>
      <c r="CG997"/>
      <c r="CH997"/>
      <c r="CI997"/>
      <c r="CJ997"/>
      <c r="CK997"/>
    </row>
    <row r="998" spans="72:89" ht="16" hidden="1" x14ac:dyDescent="0.2">
      <c r="BT998"/>
      <c r="BU998"/>
      <c r="BV998"/>
      <c r="BW998"/>
      <c r="BX998"/>
      <c r="BY998"/>
      <c r="BZ998"/>
      <c r="CA998"/>
      <c r="CB998"/>
      <c r="CC998"/>
      <c r="CD998"/>
      <c r="CE998"/>
      <c r="CF998"/>
      <c r="CG998"/>
      <c r="CH998"/>
      <c r="CI998"/>
      <c r="CJ998"/>
      <c r="CK998"/>
    </row>
    <row r="999" spans="72:89" ht="16" hidden="1" x14ac:dyDescent="0.2">
      <c r="BT999"/>
      <c r="BU999"/>
      <c r="BV999"/>
      <c r="BW999"/>
      <c r="BX999"/>
      <c r="BY999"/>
      <c r="BZ999"/>
      <c r="CA999"/>
      <c r="CB999"/>
      <c r="CC999"/>
      <c r="CD999"/>
      <c r="CE999"/>
      <c r="CF999"/>
      <c r="CG999"/>
      <c r="CH999"/>
      <c r="CI999"/>
      <c r="CJ999"/>
      <c r="CK999"/>
    </row>
  </sheetData>
  <sheetProtection algorithmName="SHA-512" hashValue="+vF++F02WRRFOVJjJg3bBIDPfd3wCg7cZVu/O+liedbvGwJ0XKBq/IeXeUeLw4gYLgPTuG0ob+U5zkS1P3Cahg==" saltValue="e2CsOfTgshEPgo/TNinyAA==" spinCount="100000" sheet="1" objects="1" scenarios="1" formatColumns="0" autoFilter="0"/>
  <mergeCells count="16">
    <mergeCell ref="BG7:BG9"/>
    <mergeCell ref="BN7:BN8"/>
    <mergeCell ref="BO7:BO8"/>
    <mergeCell ref="F7:F8"/>
    <mergeCell ref="G7:G8"/>
    <mergeCell ref="H7:H8"/>
    <mergeCell ref="I7:I8"/>
    <mergeCell ref="J7:J8"/>
    <mergeCell ref="BH7:BH8"/>
    <mergeCell ref="AX7:AX8"/>
    <mergeCell ref="AY7:AY8"/>
    <mergeCell ref="AZ7:AZ8"/>
    <mergeCell ref="BA7:BA8"/>
    <mergeCell ref="BM7:BM8"/>
    <mergeCell ref="BF7:BF9"/>
    <mergeCell ref="AS7:AS8"/>
  </mergeCells>
  <phoneticPr fontId="16" type="noConversion"/>
  <conditionalFormatting sqref="D1:D2">
    <cfRule type="cellIs" dxfId="1502" priority="3" operator="equal">
      <formula>FALSE</formula>
    </cfRule>
    <cfRule type="cellIs" dxfId="1501" priority="4" operator="equal">
      <formula>TRUE</formula>
    </cfRule>
  </conditionalFormatting>
  <conditionalFormatting sqref="J1:J2">
    <cfRule type="cellIs" dxfId="1500" priority="5" operator="equal">
      <formula>FALSE</formula>
    </cfRule>
    <cfRule type="cellIs" dxfId="1499" priority="6" operator="equal">
      <formula>TRUE</formula>
    </cfRule>
  </conditionalFormatting>
  <conditionalFormatting sqref="AS1:AS2">
    <cfRule type="cellIs" dxfId="1498" priority="7" operator="equal">
      <formula>FALSE</formula>
    </cfRule>
    <cfRule type="cellIs" dxfId="1497" priority="8" operator="equal">
      <formula>TRUE</formula>
    </cfRule>
  </conditionalFormatting>
  <conditionalFormatting sqref="BA1:BA2">
    <cfRule type="cellIs" dxfId="1496" priority="9" operator="equal">
      <formula>FALSE</formula>
    </cfRule>
    <cfRule type="cellIs" dxfId="1495" priority="10" operator="equal">
      <formula>TRUE</formula>
    </cfRule>
  </conditionalFormatting>
  <conditionalFormatting sqref="BH1:BH2">
    <cfRule type="cellIs" dxfId="1494" priority="1" operator="equal">
      <formula>FALSE</formula>
    </cfRule>
    <cfRule type="cellIs" dxfId="1493" priority="2" operator="equal">
      <formula>TRUE</formula>
    </cfRule>
  </conditionalFormatting>
  <hyperlinks>
    <hyperlink ref="B4" location="Instructions!B3" display="Instructions" xr:uid="{55301FED-299F-4301-B2EC-781559FFF70D}"/>
  </hyperlinks>
  <printOptions horizontalCentered="1"/>
  <pageMargins left="0.19685039370078741" right="0.19685039370078741" top="0.39370078740157483" bottom="0.19685039370078741" header="0.19685039370078741" footer="0.19685039370078741"/>
  <pageSetup paperSize="9" scale="80" fitToWidth="4" fitToHeight="15" orientation="landscape" r:id="rId7"/>
  <headerFooter>
    <oddFooter>&amp;L&amp;F - &amp;A&amp;R| &amp;D | &amp;P/&amp;N</oddFooter>
  </headerFooter>
  <rowBreaks count="1" manualBreakCount="1">
    <brk id="50" min="3" max="67" man="1"/>
  </rowBreaks>
  <colBreaks count="4" manualBreakCount="4">
    <brk id="11" min="14" max="86" man="1"/>
    <brk id="46" min="14" max="86" man="1"/>
    <brk id="54" min="14" max="86" man="1"/>
    <brk id="61" min="14" max="86"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20C56-64B1-48B7-8638-9C00E21A59E1}">
  <sheetPr codeName="Sheet5">
    <tabColor rgb="FF92D050"/>
  </sheetPr>
  <dimension ref="A1:AK203"/>
  <sheetViews>
    <sheetView zoomScale="80" zoomScaleNormal="80" workbookViewId="0">
      <pane ySplit="8" topLeftCell="A9" activePane="bottomLeft" state="frozen"/>
      <selection activeCell="B1" sqref="B1:B5"/>
      <selection pane="bottomLeft" activeCell="B9" sqref="B9:D12"/>
    </sheetView>
  </sheetViews>
  <sheetFormatPr baseColWidth="10" defaultColWidth="0" defaultRowHeight="16" zeroHeight="1" outlineLevelCol="1" x14ac:dyDescent="0.2"/>
  <cols>
    <col min="1" max="1" width="2.7109375" style="163" customWidth="1"/>
    <col min="2" max="3" width="14.7109375" style="163" customWidth="1"/>
    <col min="4" max="4" width="20.7109375" style="163" customWidth="1"/>
    <col min="5" max="12" width="18.7109375" style="163" customWidth="1"/>
    <col min="13" max="36" width="18.7109375" style="163" hidden="1" customWidth="1" outlineLevel="1"/>
    <col min="37" max="37" width="2.7109375" style="163" customWidth="1" collapsed="1"/>
    <col min="38" max="16384" width="8.85546875" hidden="1"/>
  </cols>
  <sheetData>
    <row r="1" spans="1:37" x14ac:dyDescent="0.2">
      <c r="A1" s="297"/>
      <c r="B1" s="290" t="s">
        <v>153</v>
      </c>
      <c r="C1" s="297"/>
      <c r="D1" s="297"/>
      <c r="E1" s="297"/>
      <c r="F1" s="297"/>
      <c r="G1" s="297"/>
      <c r="H1" s="297"/>
      <c r="I1" s="297"/>
      <c r="J1" s="297"/>
      <c r="K1" s="297"/>
      <c r="L1" s="297"/>
      <c r="M1" s="297"/>
      <c r="N1" s="297"/>
      <c r="O1" s="297"/>
      <c r="P1" s="297"/>
      <c r="Q1" s="297"/>
      <c r="R1" s="297"/>
      <c r="S1" s="297"/>
      <c r="T1" s="297"/>
      <c r="U1" s="297"/>
      <c r="V1" s="297"/>
      <c r="W1" s="297"/>
      <c r="X1" s="297"/>
      <c r="Y1" s="297"/>
      <c r="Z1" s="297"/>
      <c r="AA1" s="297"/>
      <c r="AB1" s="297"/>
      <c r="AC1" s="297"/>
      <c r="AD1" s="297"/>
      <c r="AE1" s="297"/>
      <c r="AF1" s="297"/>
      <c r="AG1" s="297"/>
      <c r="AH1" s="297"/>
      <c r="AI1" s="297"/>
      <c r="AJ1" s="297"/>
      <c r="AK1" s="297"/>
    </row>
    <row r="2" spans="1:37" x14ac:dyDescent="0.2">
      <c r="A2" s="297"/>
      <c r="B2" s="297"/>
      <c r="C2" s="297"/>
      <c r="D2" s="302"/>
      <c r="E2" s="297"/>
      <c r="F2" s="297"/>
      <c r="G2" s="297"/>
      <c r="H2" s="297"/>
      <c r="I2" s="297"/>
      <c r="J2" s="297"/>
      <c r="K2" s="297"/>
      <c r="L2" s="297"/>
      <c r="M2" s="297"/>
      <c r="N2" s="297"/>
      <c r="O2" s="297"/>
      <c r="P2" s="297"/>
      <c r="Q2" s="297"/>
      <c r="R2" s="297"/>
      <c r="S2" s="297"/>
      <c r="T2" s="297"/>
      <c r="U2" s="297"/>
      <c r="V2" s="297"/>
      <c r="W2" s="297"/>
      <c r="X2" s="297"/>
      <c r="Y2" s="297"/>
      <c r="Z2" s="297"/>
      <c r="AA2" s="297"/>
      <c r="AB2" s="297"/>
      <c r="AC2" s="297"/>
      <c r="AD2" s="297"/>
      <c r="AE2" s="297"/>
      <c r="AF2" s="297"/>
      <c r="AG2" s="297"/>
      <c r="AH2" s="297"/>
      <c r="AI2" s="297"/>
      <c r="AJ2" s="297"/>
      <c r="AK2" s="297"/>
    </row>
    <row r="3" spans="1:37" x14ac:dyDescent="0.2">
      <c r="A3" s="297"/>
      <c r="B3" s="297"/>
      <c r="C3" s="297"/>
      <c r="D3" s="302"/>
      <c r="E3" s="297"/>
      <c r="F3" s="297"/>
      <c r="G3" s="297"/>
      <c r="H3" s="297"/>
      <c r="I3" s="297"/>
      <c r="J3" s="297"/>
      <c r="K3" s="297"/>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row>
    <row r="4" spans="1:37" x14ac:dyDescent="0.2">
      <c r="A4" s="297"/>
      <c r="B4" s="297"/>
      <c r="C4" s="297"/>
      <c r="D4" s="302"/>
      <c r="E4" s="297"/>
      <c r="F4" s="297"/>
      <c r="G4" s="297"/>
      <c r="H4" s="297"/>
      <c r="I4" s="297"/>
      <c r="J4" s="297"/>
      <c r="K4" s="297"/>
      <c r="L4" s="297"/>
      <c r="M4" s="297"/>
      <c r="N4" s="297"/>
      <c r="O4" s="297"/>
      <c r="P4" s="297"/>
      <c r="Q4" s="297"/>
      <c r="R4" s="297"/>
      <c r="S4" s="297"/>
      <c r="T4" s="297"/>
      <c r="U4" s="297"/>
      <c r="V4" s="297"/>
      <c r="W4" s="297"/>
      <c r="X4" s="297"/>
      <c r="Y4" s="297"/>
      <c r="Z4" s="297"/>
      <c r="AA4" s="297"/>
      <c r="AB4" s="297"/>
      <c r="AC4" s="297"/>
      <c r="AD4" s="297"/>
      <c r="AE4" s="297"/>
      <c r="AF4" s="297"/>
      <c r="AG4" s="297"/>
      <c r="AH4" s="297"/>
      <c r="AI4" s="297"/>
      <c r="AJ4" s="297"/>
      <c r="AK4" s="297"/>
    </row>
    <row r="5" spans="1:37" x14ac:dyDescent="0.2">
      <c r="A5" s="297"/>
      <c r="B5" s="297"/>
      <c r="C5" s="297"/>
      <c r="D5" s="302"/>
      <c r="E5" s="297"/>
      <c r="F5" s="297"/>
      <c r="G5" s="297"/>
      <c r="H5" s="297"/>
      <c r="I5" s="297"/>
      <c r="J5" s="297"/>
      <c r="K5" s="297"/>
      <c r="L5" s="297"/>
      <c r="M5" s="297"/>
      <c r="N5" s="297"/>
      <c r="O5" s="297"/>
      <c r="P5" s="297"/>
      <c r="Q5" s="297"/>
      <c r="R5" s="297"/>
      <c r="S5" s="297"/>
      <c r="T5" s="297"/>
      <c r="U5" s="297"/>
      <c r="V5" s="297"/>
      <c r="W5" s="297"/>
      <c r="X5" s="297"/>
      <c r="Y5" s="297"/>
      <c r="Z5" s="297"/>
      <c r="AA5" s="297"/>
      <c r="AB5" s="297"/>
      <c r="AC5" s="297"/>
      <c r="AD5" s="297"/>
      <c r="AE5" s="297"/>
      <c r="AF5" s="297"/>
      <c r="AG5" s="297"/>
      <c r="AH5" s="297"/>
      <c r="AI5" s="297"/>
      <c r="AJ5" s="297"/>
      <c r="AK5" s="297"/>
    </row>
    <row r="6" spans="1:37" x14ac:dyDescent="0.2">
      <c r="A6" s="297"/>
      <c r="B6" s="297"/>
      <c r="C6" s="297"/>
      <c r="D6" s="302"/>
      <c r="E6" s="297"/>
      <c r="F6" s="297"/>
      <c r="G6" s="297"/>
      <c r="H6" s="297"/>
      <c r="I6" s="297"/>
      <c r="J6" s="297"/>
      <c r="K6" s="297"/>
      <c r="L6" s="297"/>
      <c r="M6" s="297"/>
      <c r="N6" s="297"/>
      <c r="O6" s="297"/>
      <c r="P6" s="297"/>
      <c r="Q6" s="297"/>
      <c r="R6" s="297"/>
      <c r="S6" s="297"/>
      <c r="T6" s="297"/>
      <c r="U6" s="297"/>
      <c r="V6" s="297"/>
      <c r="W6" s="297"/>
      <c r="X6" s="297"/>
      <c r="Y6" s="297"/>
      <c r="Z6" s="297"/>
      <c r="AA6" s="297"/>
      <c r="AB6" s="297"/>
      <c r="AC6" s="297"/>
      <c r="AD6" s="297"/>
      <c r="AE6" s="297"/>
      <c r="AF6" s="297"/>
      <c r="AG6" s="297"/>
      <c r="AH6" s="297"/>
      <c r="AI6" s="297"/>
      <c r="AJ6" s="297"/>
      <c r="AK6" s="297"/>
    </row>
    <row r="7" spans="1:37" x14ac:dyDescent="0.2">
      <c r="A7" s="297"/>
      <c r="B7" s="297"/>
      <c r="C7" s="297"/>
      <c r="D7" s="302"/>
      <c r="E7" s="297"/>
      <c r="F7" s="297"/>
      <c r="G7" s="297"/>
      <c r="H7" s="297"/>
      <c r="I7" s="297"/>
      <c r="J7" s="297"/>
      <c r="K7" s="297"/>
      <c r="L7" s="297"/>
      <c r="M7" s="297"/>
      <c r="N7" s="297"/>
      <c r="O7" s="297"/>
      <c r="P7" s="297"/>
      <c r="Q7" s="297"/>
      <c r="R7" s="297"/>
      <c r="S7" s="297"/>
      <c r="T7" s="297"/>
      <c r="U7" s="297"/>
      <c r="V7" s="297"/>
      <c r="W7" s="297"/>
      <c r="X7" s="297"/>
      <c r="Y7" s="297"/>
      <c r="Z7" s="297"/>
      <c r="AA7" s="297"/>
      <c r="AB7" s="297"/>
      <c r="AC7" s="297"/>
      <c r="AD7" s="297"/>
      <c r="AE7" s="297"/>
      <c r="AF7" s="297"/>
      <c r="AG7" s="297"/>
      <c r="AH7" s="297"/>
      <c r="AI7" s="297"/>
      <c r="AJ7" s="297"/>
      <c r="AK7" s="297"/>
    </row>
    <row r="8" spans="1:37" x14ac:dyDescent="0.2">
      <c r="A8" s="297"/>
      <c r="B8" s="296" t="str">
        <f>InputsData!$J$1</f>
        <v>MONNAIE LOCALE : CFA</v>
      </c>
      <c r="C8" s="297"/>
      <c r="D8" s="297"/>
      <c r="E8" s="297"/>
      <c r="F8" s="297"/>
      <c r="G8" s="297"/>
      <c r="H8" s="297"/>
      <c r="I8" s="297"/>
      <c r="J8" s="297"/>
      <c r="K8" s="297"/>
      <c r="L8" s="295" t="str">
        <f>InputsData!$J$2</f>
        <v>STRICTEMENT CONFIDENTIEL | ABC CORPORATION</v>
      </c>
      <c r="M8" s="297"/>
      <c r="N8" s="297"/>
      <c r="O8" s="297"/>
      <c r="P8" s="297"/>
      <c r="Q8" s="297"/>
      <c r="R8" s="297"/>
      <c r="S8" s="297"/>
      <c r="T8" s="297"/>
      <c r="U8" s="297"/>
      <c r="V8" s="297"/>
      <c r="W8" s="297"/>
      <c r="X8" s="297"/>
      <c r="Y8" s="297"/>
      <c r="Z8" s="297"/>
      <c r="AA8" s="297"/>
      <c r="AB8" s="297"/>
      <c r="AC8" s="297"/>
      <c r="AD8" s="297"/>
      <c r="AE8" s="297"/>
      <c r="AF8" s="297"/>
      <c r="AG8" s="297"/>
      <c r="AH8" s="297"/>
      <c r="AI8" s="297"/>
      <c r="AJ8" s="297"/>
      <c r="AK8" s="297"/>
    </row>
    <row r="9" spans="1:37" ht="15" customHeight="1" x14ac:dyDescent="0.2">
      <c r="A9" s="297"/>
      <c r="B9" s="934" t="str">
        <f>VLOOKUP("REVENUE AND GROSS PROFIT PER PRODUCT / SERVICE",TableInputsData[],ReadMe!$M$3,FALSE)</f>
        <v>CA ET MARGE BRUTE PAR PRODUIT / SERVICE</v>
      </c>
      <c r="C9" s="934" t="str">
        <f>VLOOKUP("YEAR-2",TableInputsData[],ReadMe!$M$3,FALSE)</f>
        <v>ANNEE-2</v>
      </c>
      <c r="D9" s="934" t="str">
        <f>VLOOKUP("YEAR-2",TableInputsData[],ReadMe!$M$3,FALSE)</f>
        <v>ANNEE-2</v>
      </c>
      <c r="E9" s="235" t="str">
        <f>VLOOKUP(E10,TableInputsData[],ReadMe!$M$3,FALSE)</f>
        <v>ANNEE-2</v>
      </c>
      <c r="F9" s="235" t="str">
        <f>VLOOKUP(F10,TableInputsData[],ReadMe!$M$3,FALSE)</f>
        <v>ANNEE-1</v>
      </c>
      <c r="G9" s="235" t="str">
        <f>VLOOKUP(G10,TableInputsData[],ReadMe!$M$3,FALSE)</f>
        <v>ANNEE EN COURS</v>
      </c>
      <c r="H9" s="235" t="str">
        <f>VLOOKUP(H10,TableInputsData[],ReadMe!$M$3,FALSE)</f>
        <v>ANNEE2</v>
      </c>
      <c r="I9" s="235" t="str">
        <f>VLOOKUP(I10,TableInputsData[],ReadMe!$M$3,FALSE)</f>
        <v>ANNEE3</v>
      </c>
      <c r="J9" s="235" t="str">
        <f>VLOOKUP(J10,TableInputsData[],ReadMe!$M$3,FALSE)</f>
        <v>ANNEE4</v>
      </c>
      <c r="K9" s="235" t="str">
        <f>VLOOKUP(K10,TableInputsData[],ReadMe!$M$3,FALSE)</f>
        <v>ANNEE5</v>
      </c>
      <c r="L9" s="235" t="str">
        <f>VLOOKUP(L10,TableInputsData[],ReadMe!$M$3,FALSE)</f>
        <v>ANNEE6</v>
      </c>
      <c r="M9" s="297"/>
      <c r="N9" s="297"/>
      <c r="O9" s="297"/>
      <c r="P9" s="297"/>
      <c r="Q9" s="297"/>
      <c r="R9" s="297"/>
      <c r="S9" s="297"/>
      <c r="T9" s="297"/>
      <c r="U9" s="297"/>
      <c r="V9" s="297"/>
      <c r="W9" s="297"/>
      <c r="X9" s="297"/>
      <c r="Y9" s="297"/>
      <c r="Z9" s="297"/>
      <c r="AA9" s="297"/>
      <c r="AB9" s="297"/>
      <c r="AC9" s="297"/>
      <c r="AD9" s="297"/>
      <c r="AE9" s="297"/>
      <c r="AF9" s="297"/>
      <c r="AG9" s="297"/>
      <c r="AH9" s="297"/>
      <c r="AI9" s="297"/>
      <c r="AJ9" s="297"/>
      <c r="AK9" s="297"/>
    </row>
    <row r="10" spans="1:37" ht="2" customHeight="1" x14ac:dyDescent="0.2">
      <c r="A10" s="297"/>
      <c r="B10" s="935"/>
      <c r="C10" s="935"/>
      <c r="D10" s="935"/>
      <c r="E10" s="224" t="s">
        <v>392</v>
      </c>
      <c r="F10" s="224" t="s">
        <v>391</v>
      </c>
      <c r="G10" s="224" t="s">
        <v>393</v>
      </c>
      <c r="H10" s="224" t="s">
        <v>396</v>
      </c>
      <c r="I10" s="224" t="s">
        <v>397</v>
      </c>
      <c r="J10" s="224" t="s">
        <v>398</v>
      </c>
      <c r="K10" s="224" t="s">
        <v>399</v>
      </c>
      <c r="L10" s="224" t="s">
        <v>400</v>
      </c>
      <c r="M10" s="297"/>
      <c r="N10" s="297"/>
      <c r="O10" s="297"/>
      <c r="P10" s="297"/>
      <c r="Q10" s="297"/>
      <c r="R10" s="297"/>
      <c r="S10" s="297"/>
      <c r="T10" s="297"/>
      <c r="U10" s="297"/>
      <c r="V10" s="297"/>
      <c r="W10" s="297"/>
      <c r="X10" s="297"/>
      <c r="Y10" s="297"/>
      <c r="Z10" s="297"/>
      <c r="AA10" s="297"/>
      <c r="AB10" s="297"/>
      <c r="AC10" s="297"/>
      <c r="AD10" s="297"/>
      <c r="AE10" s="297"/>
      <c r="AF10" s="297"/>
      <c r="AG10" s="297"/>
      <c r="AH10" s="297"/>
      <c r="AI10" s="297"/>
      <c r="AJ10" s="297"/>
      <c r="AK10" s="297"/>
    </row>
    <row r="11" spans="1:37" ht="15" customHeight="1" x14ac:dyDescent="0.2">
      <c r="A11" s="297"/>
      <c r="B11" s="935" t="str">
        <f>VLOOKUP("YEAR-2",TableInputsData[],ReadMe!$M$3,FALSE)</f>
        <v>ANNEE-2</v>
      </c>
      <c r="C11" s="935" t="str">
        <f>VLOOKUP("YEAR-2",TableInputsData[],ReadMe!$M$3,FALSE)</f>
        <v>ANNEE-2</v>
      </c>
      <c r="D11" s="935" t="str">
        <f>VLOOKUP("YEAR-2",TableInputsData[],ReadMe!$M$3,FALSE)</f>
        <v>ANNEE-2</v>
      </c>
      <c r="E11" s="224" t="str">
        <f>VLOOKUP(E10,TableInputsData[],7,FALSE)</f>
        <v>ACTUAL</v>
      </c>
      <c r="F11" s="224" t="str">
        <f>VLOOKUP(F10,TableInputsData[],7,FALSE)</f>
        <v>ACTUAL</v>
      </c>
      <c r="G11" s="224" t="str">
        <f>VLOOKUP(G10,TableInputsData[],7,FALSE)</f>
        <v>FORECAST</v>
      </c>
      <c r="H11" s="224" t="str">
        <f>VLOOKUP(H10,TableInputsData[],7,FALSE)</f>
        <v>FORECAST</v>
      </c>
      <c r="I11" s="224" t="str">
        <f>VLOOKUP(I10,TableInputsData[],7,FALSE)</f>
        <v>FORECAST</v>
      </c>
      <c r="J11" s="224" t="str">
        <f>VLOOKUP(J10,TableInputsData[],7,FALSE)</f>
        <v>FORECAST</v>
      </c>
      <c r="K11" s="224" t="str">
        <f>VLOOKUP(K10,TableInputsData[],7,FALSE)</f>
        <v>FORECAST</v>
      </c>
      <c r="L11" s="224" t="str">
        <f>VLOOKUP(L10,TableInputsData[],7,FALSE)</f>
        <v>FORECAST</v>
      </c>
      <c r="M11" s="297"/>
      <c r="N11" s="297"/>
      <c r="O11" s="297"/>
      <c r="P11" s="297"/>
      <c r="Q11" s="297"/>
      <c r="R11" s="297"/>
      <c r="S11" s="297"/>
      <c r="T11" s="297"/>
      <c r="U11" s="297"/>
      <c r="V11" s="297"/>
      <c r="W11" s="297"/>
      <c r="X11" s="297"/>
      <c r="Y11" s="297"/>
      <c r="Z11" s="297"/>
      <c r="AA11" s="297"/>
      <c r="AB11" s="297"/>
      <c r="AC11" s="297"/>
      <c r="AD11" s="297"/>
      <c r="AE11" s="297"/>
      <c r="AF11" s="297"/>
      <c r="AG11" s="297"/>
      <c r="AH11" s="297"/>
      <c r="AI11" s="297"/>
      <c r="AJ11" s="297"/>
      <c r="AK11" s="297"/>
    </row>
    <row r="12" spans="1:37" x14ac:dyDescent="0.2">
      <c r="A12" s="297"/>
      <c r="B12" s="936" t="str">
        <f>VLOOKUP("YEAR-2",TableInputsData[],ReadMe!$M$3,FALSE)</f>
        <v>ANNEE-2</v>
      </c>
      <c r="C12" s="936" t="str">
        <f>VLOOKUP("YEAR-2",TableInputsData[],ReadMe!$M$3,FALSE)</f>
        <v>ANNEE-2</v>
      </c>
      <c r="D12" s="936" t="str">
        <f>VLOOKUP("YEAR-2",TableInputsData[],ReadMe!$M$3,FALSE)</f>
        <v>ANNEE-2</v>
      </c>
      <c r="E12" s="596">
        <f>VLOOKUP(E10,TableInputsData[],8,FALSE)</f>
        <v>2023</v>
      </c>
      <c r="F12" s="596">
        <f>VLOOKUP(F10,TableInputsData[],8,FALSE)</f>
        <v>2024</v>
      </c>
      <c r="G12" s="596">
        <f>VLOOKUP(G10,TableInputsData[],8,FALSE)</f>
        <v>2025</v>
      </c>
      <c r="H12" s="596">
        <f>VLOOKUP(H10,TableInputsData[],8,FALSE)</f>
        <v>2026</v>
      </c>
      <c r="I12" s="596">
        <f>VLOOKUP(I10,TableInputsData[],8,FALSE)</f>
        <v>2027</v>
      </c>
      <c r="J12" s="596">
        <f>VLOOKUP(J10,TableInputsData[],8,FALSE)</f>
        <v>2028</v>
      </c>
      <c r="K12" s="596">
        <f>VLOOKUP(K10,TableInputsData[],8,FALSE)</f>
        <v>2029</v>
      </c>
      <c r="L12" s="596">
        <f>VLOOKUP(L10,TableInputsData[],8,FALSE)</f>
        <v>2030</v>
      </c>
      <c r="M12" s="297"/>
      <c r="N12" s="297"/>
      <c r="O12" s="297"/>
      <c r="P12" s="297"/>
      <c r="Q12" s="297"/>
      <c r="R12" s="297"/>
      <c r="S12" s="297"/>
      <c r="T12" s="297"/>
      <c r="U12" s="297"/>
      <c r="V12" s="297"/>
      <c r="W12" s="297"/>
      <c r="X12" s="297"/>
      <c r="Y12" s="297"/>
      <c r="Z12" s="297"/>
      <c r="AA12" s="297"/>
      <c r="AB12" s="297"/>
      <c r="AC12" s="297"/>
      <c r="AD12" s="297"/>
      <c r="AE12" s="297"/>
      <c r="AF12" s="297"/>
      <c r="AG12" s="297"/>
      <c r="AH12" s="297"/>
      <c r="AI12" s="297"/>
      <c r="AJ12" s="297"/>
      <c r="AK12" s="297"/>
    </row>
    <row r="13" spans="1:37" x14ac:dyDescent="0.2">
      <c r="A13" s="297"/>
      <c r="B13" s="297"/>
      <c r="C13" s="297"/>
      <c r="D13" s="297"/>
      <c r="E13" s="297"/>
      <c r="F13" s="297"/>
      <c r="G13" s="297"/>
      <c r="H13" s="297"/>
      <c r="I13" s="297"/>
      <c r="J13" s="297"/>
      <c r="K13" s="297"/>
      <c r="L13" s="297"/>
      <c r="M13" s="297"/>
      <c r="N13" s="297"/>
      <c r="O13" s="297"/>
      <c r="P13" s="297"/>
      <c r="Q13" s="297"/>
      <c r="R13" s="297"/>
      <c r="S13" s="297"/>
      <c r="T13" s="297"/>
      <c r="U13" s="297"/>
      <c r="V13" s="297"/>
      <c r="W13" s="297"/>
      <c r="X13" s="297"/>
      <c r="Y13" s="297"/>
      <c r="Z13" s="297"/>
      <c r="AA13" s="297"/>
      <c r="AB13" s="297"/>
      <c r="AC13" s="297"/>
      <c r="AD13" s="297"/>
      <c r="AE13" s="297"/>
      <c r="AF13" s="297"/>
      <c r="AG13" s="297"/>
      <c r="AH13" s="297"/>
      <c r="AI13" s="297"/>
      <c r="AJ13" s="297"/>
      <c r="AK13" s="297"/>
    </row>
    <row r="14" spans="1:37" x14ac:dyDescent="0.2">
      <c r="A14" s="297"/>
      <c r="B14" s="297"/>
      <c r="C14" s="297"/>
      <c r="D14" s="301"/>
      <c r="E14" s="297"/>
      <c r="F14" s="654">
        <v>1</v>
      </c>
      <c r="G14" s="654">
        <f>F14+1</f>
        <v>2</v>
      </c>
      <c r="H14" s="654">
        <f t="shared" ref="H14:AI14" si="0">G14+1</f>
        <v>3</v>
      </c>
      <c r="I14" s="654">
        <f t="shared" si="0"/>
        <v>4</v>
      </c>
      <c r="J14" s="654">
        <f t="shared" si="0"/>
        <v>5</v>
      </c>
      <c r="K14" s="654">
        <f t="shared" si="0"/>
        <v>6</v>
      </c>
      <c r="L14" s="654">
        <f t="shared" si="0"/>
        <v>7</v>
      </c>
      <c r="M14" s="654">
        <f t="shared" si="0"/>
        <v>8</v>
      </c>
      <c r="N14" s="654">
        <f t="shared" si="0"/>
        <v>9</v>
      </c>
      <c r="O14" s="654">
        <f t="shared" si="0"/>
        <v>10</v>
      </c>
      <c r="P14" s="654">
        <f t="shared" si="0"/>
        <v>11</v>
      </c>
      <c r="Q14" s="654">
        <f t="shared" si="0"/>
        <v>12</v>
      </c>
      <c r="R14" s="654">
        <f t="shared" si="0"/>
        <v>13</v>
      </c>
      <c r="S14" s="654">
        <f t="shared" si="0"/>
        <v>14</v>
      </c>
      <c r="T14" s="654">
        <f t="shared" si="0"/>
        <v>15</v>
      </c>
      <c r="U14" s="654">
        <f t="shared" si="0"/>
        <v>16</v>
      </c>
      <c r="V14" s="654">
        <f t="shared" si="0"/>
        <v>17</v>
      </c>
      <c r="W14" s="654">
        <f t="shared" si="0"/>
        <v>18</v>
      </c>
      <c r="X14" s="654">
        <f t="shared" si="0"/>
        <v>19</v>
      </c>
      <c r="Y14" s="654">
        <f t="shared" si="0"/>
        <v>20</v>
      </c>
      <c r="Z14" s="654">
        <f t="shared" si="0"/>
        <v>21</v>
      </c>
      <c r="AA14" s="654">
        <f t="shared" si="0"/>
        <v>22</v>
      </c>
      <c r="AB14" s="654">
        <f t="shared" si="0"/>
        <v>23</v>
      </c>
      <c r="AC14" s="654">
        <f t="shared" si="0"/>
        <v>24</v>
      </c>
      <c r="AD14" s="654">
        <f t="shared" si="0"/>
        <v>25</v>
      </c>
      <c r="AE14" s="654">
        <f t="shared" si="0"/>
        <v>26</v>
      </c>
      <c r="AF14" s="654">
        <f t="shared" si="0"/>
        <v>27</v>
      </c>
      <c r="AG14" s="654">
        <f t="shared" si="0"/>
        <v>28</v>
      </c>
      <c r="AH14" s="654">
        <f t="shared" si="0"/>
        <v>29</v>
      </c>
      <c r="AI14" s="654">
        <f t="shared" si="0"/>
        <v>30</v>
      </c>
      <c r="AJ14" s="654">
        <f t="shared" ref="AJ14" si="1">AI14+1</f>
        <v>31</v>
      </c>
      <c r="AK14" s="297"/>
    </row>
    <row r="15" spans="1:37" x14ac:dyDescent="0.2">
      <c r="A15" s="297"/>
      <c r="B15" s="297"/>
      <c r="C15" s="297"/>
      <c r="D15" s="340" t="s">
        <v>536</v>
      </c>
      <c r="E15" s="297"/>
      <c r="F15" s="298" t="str">
        <f>IF(ISNA(VLOOKUP(F$19,TableInputsData[],ReadMe!$M$3,FALSE)),"",VLOOKUP(F$19,TableInputsData[],ReadMe!$M$3,FALSE))</f>
        <v>PRODUIT 01</v>
      </c>
      <c r="G15" s="298" t="str">
        <f>IF(ISNA(VLOOKUP(G$19,TableInputsData[],ReadMe!$M$3,FALSE)),"",VLOOKUP(G$19,TableInputsData[],ReadMe!$M$3,FALSE))</f>
        <v>PRODUIT 02</v>
      </c>
      <c r="H15" s="298" t="str">
        <f>IF(ISNA(VLOOKUP(H$19,TableInputsData[],ReadMe!$M$3,FALSE)),"",VLOOKUP(H$19,TableInputsData[],ReadMe!$M$3,FALSE))</f>
        <v/>
      </c>
      <c r="I15" s="298" t="str">
        <f>IF(ISNA(VLOOKUP(I$19,TableInputsData[],ReadMe!$M$3,FALSE)),"",VLOOKUP(I$19,TableInputsData[],ReadMe!$M$3,FALSE))</f>
        <v/>
      </c>
      <c r="J15" s="298" t="str">
        <f>IF(ISNA(VLOOKUP(J$19,TableInputsData[],ReadMe!$M$3,FALSE)),"",VLOOKUP(J$19,TableInputsData[],ReadMe!$M$3,FALSE))</f>
        <v/>
      </c>
      <c r="K15" s="298" t="str">
        <f>IF(ISNA(VLOOKUP(K$19,TableInputsData[],ReadMe!$M$3,FALSE)),"",VLOOKUP(K$19,TableInputsData[],ReadMe!$M$3,FALSE))</f>
        <v/>
      </c>
      <c r="L15" s="298" t="str">
        <f>IF(ISNA(VLOOKUP(L$19,TableInputsData[],ReadMe!$M$3,FALSE)),"",VLOOKUP(L$19,TableInputsData[],ReadMe!$M$3,FALSE))</f>
        <v/>
      </c>
      <c r="M15" s="298" t="str">
        <f>IF(ISNA(VLOOKUP(M$19,TableInputsData[],ReadMe!$M$3,FALSE)),"",VLOOKUP(M$19,TableInputsData[],ReadMe!$M$3,FALSE))</f>
        <v/>
      </c>
      <c r="N15" s="298" t="str">
        <f>IF(ISNA(VLOOKUP(N$19,TableInputsData[],ReadMe!$M$3,FALSE)),"",VLOOKUP(N$19,TableInputsData[],ReadMe!$M$3,FALSE))</f>
        <v/>
      </c>
      <c r="O15" s="298"/>
      <c r="P15" s="298"/>
      <c r="Q15" s="298"/>
      <c r="R15" s="298"/>
      <c r="S15" s="298"/>
      <c r="T15" s="298"/>
      <c r="U15" s="298"/>
      <c r="V15" s="298"/>
      <c r="W15" s="298"/>
      <c r="X15" s="298" t="str">
        <f>IF(ISNA(VLOOKUP(X$19,TableInputsData[],ReadMe!$M$3,FALSE)),"",VLOOKUP(X$19,TableInputsData[],ReadMe!$M$3,FALSE))</f>
        <v/>
      </c>
      <c r="Y15" s="298" t="str">
        <f>IF(ISNA(VLOOKUP(Y$19,TableInputsData[],ReadMe!$M$3,FALSE)),"",VLOOKUP(Y$19,TableInputsData[],ReadMe!$M$3,FALSE))</f>
        <v/>
      </c>
      <c r="Z15" s="298" t="str">
        <f>IF(ISNA(VLOOKUP(Z$19,TableInputsData[],ReadMe!$M$3,FALSE)),"",VLOOKUP(Z$19,TableInputsData[],ReadMe!$M$3,FALSE))</f>
        <v/>
      </c>
      <c r="AA15" s="298" t="str">
        <f>IF(ISNA(VLOOKUP(AA$19,TableInputsData[],ReadMe!$M$3,FALSE)),"",VLOOKUP(AA$19,TableInputsData[],ReadMe!$M$3,FALSE))</f>
        <v/>
      </c>
      <c r="AB15" s="298" t="str">
        <f>IF(ISNA(VLOOKUP(AB$19,TableInputsData[],ReadMe!$M$3,FALSE)),"",VLOOKUP(AB$19,TableInputsData[],ReadMe!$M$3,FALSE))</f>
        <v/>
      </c>
      <c r="AC15" s="298" t="str">
        <f>IF(ISNA(VLOOKUP(AC$19,TableInputsData[],ReadMe!$M$3,FALSE)),"",VLOOKUP(AC$19,TableInputsData[],ReadMe!$M$3,FALSE))</f>
        <v/>
      </c>
      <c r="AD15" s="298" t="str">
        <f>IF(ISNA(VLOOKUP(AD$19,TableInputsData[],ReadMe!$M$3,FALSE)),"",VLOOKUP(AD$19,TableInputsData[],ReadMe!$M$3,FALSE))</f>
        <v/>
      </c>
      <c r="AE15" s="298" t="str">
        <f>IF(ISNA(VLOOKUP(AE$19,TableInputsData[],ReadMe!$M$3,FALSE)),"",VLOOKUP(AE$19,TableInputsData[],ReadMe!$M$3,FALSE))</f>
        <v/>
      </c>
      <c r="AF15" s="298" t="str">
        <f>IF(ISNA(VLOOKUP(AF$19,TableInputsData[],ReadMe!$M$3,FALSE)),"",VLOOKUP(AF$19,TableInputsData[],ReadMe!$M$3,FALSE))</f>
        <v/>
      </c>
      <c r="AG15" s="298" t="str">
        <f>IF(ISNA(VLOOKUP(AG$19,TableInputsData[],ReadMe!$M$3,FALSE)),"",VLOOKUP(AG$19,TableInputsData[],ReadMe!$M$3,FALSE))</f>
        <v/>
      </c>
      <c r="AH15" s="298" t="str">
        <f>IF(ISNA(VLOOKUP(AH$19,TableInputsData[],ReadMe!$M$3,FALSE)),"",VLOOKUP(AH$19,TableInputsData[],ReadMe!$M$3,FALSE))</f>
        <v/>
      </c>
      <c r="AI15" s="298" t="str">
        <f>IF(ISNA(VLOOKUP(AI$19,TableInputsData[],ReadMe!$M$3,FALSE)),"",VLOOKUP(AI$19,TableInputsData[],ReadMe!$M$3,FALSE))</f>
        <v/>
      </c>
      <c r="AJ15" s="298" t="str">
        <f>IF(ISNA(VLOOKUP(AJ$19,TableInputsData[],ReadMe!$M$3,FALSE)),"",VLOOKUP(AJ$19,TableInputsData[],ReadMe!$M$3,FALSE))</f>
        <v/>
      </c>
      <c r="AK15" s="297"/>
    </row>
    <row r="16" spans="1:37" x14ac:dyDescent="0.2">
      <c r="A16" s="297"/>
      <c r="B16" s="297"/>
      <c r="C16" s="297"/>
      <c r="D16" s="363" t="s">
        <v>465</v>
      </c>
      <c r="E16" s="365" t="s">
        <v>114</v>
      </c>
      <c r="F16" s="298" t="str">
        <f>IF(ISNA(VLOOKUP(F$19,TableInputsData[],6,FALSE)),"",VLOOKUP(F$19,TableInputsData[],6,FALSE))</f>
        <v>XYZ</v>
      </c>
      <c r="G16" s="298" t="str">
        <f>IF(ISNA(VLOOKUP(G$19,TableInputsData[],6,FALSE)),"",VLOOKUP(G$19,TableInputsData[],6,FALSE))</f>
        <v>ABC</v>
      </c>
      <c r="H16" s="298" t="str">
        <f>IF(ISNA(VLOOKUP(H$19,TableInputsData[],6,FALSE)),"",VLOOKUP(H$19,TableInputsData[],6,FALSE))</f>
        <v/>
      </c>
      <c r="I16" s="298" t="str">
        <f>IF(ISNA(VLOOKUP(I$19,TableInputsData[],6,FALSE)),"",VLOOKUP(I$19,TableInputsData[],6,FALSE))</f>
        <v/>
      </c>
      <c r="J16" s="298" t="str">
        <f>IF(ISNA(VLOOKUP(J$19,TableInputsData[],6,FALSE)),"",VLOOKUP(J$19,TableInputsData[],6,FALSE))</f>
        <v/>
      </c>
      <c r="K16" s="298" t="str">
        <f>IF(ISNA(VLOOKUP(K$19,TableInputsData[],6,FALSE)),"",VLOOKUP(K$19,TableInputsData[],6,FALSE))</f>
        <v/>
      </c>
      <c r="L16" s="298" t="str">
        <f>IF(ISNA(VLOOKUP(L$19,TableInputsData[],6,FALSE)),"",VLOOKUP(L$19,TableInputsData[],6,FALSE))</f>
        <v/>
      </c>
      <c r="M16" s="298" t="str">
        <f>IF(ISNA(VLOOKUP(M$19,TableInputsData[],6,FALSE)),"",VLOOKUP(M$19,TableInputsData[],6,FALSE))</f>
        <v/>
      </c>
      <c r="N16" s="298" t="str">
        <f>IF(ISNA(VLOOKUP(N$19,TableInputsData[],6,FALSE)),"",VLOOKUP(N$19,TableInputsData[],6,FALSE))</f>
        <v/>
      </c>
      <c r="O16" s="298" t="str">
        <f>IF(ISNA(VLOOKUP(O$19,TableInputsData[],6,FALSE)),"",VLOOKUP(O$19,TableInputsData[],6,FALSE))</f>
        <v/>
      </c>
      <c r="P16" s="298" t="str">
        <f>IF(ISNA(VLOOKUP(P$19,TableInputsData[],6,FALSE)),"",VLOOKUP(P$19,TableInputsData[],6,FALSE))</f>
        <v/>
      </c>
      <c r="Q16" s="298" t="str">
        <f>IF(ISNA(VLOOKUP(Q$19,TableInputsData[],6,FALSE)),"",VLOOKUP(Q$19,TableInputsData[],6,FALSE))</f>
        <v/>
      </c>
      <c r="R16" s="298" t="str">
        <f>IF(ISNA(VLOOKUP(R$19,TableInputsData[],6,FALSE)),"",VLOOKUP(R$19,TableInputsData[],6,FALSE))</f>
        <v/>
      </c>
      <c r="S16" s="298" t="str">
        <f>IF(ISNA(VLOOKUP(S$19,TableInputsData[],6,FALSE)),"",VLOOKUP(S$19,TableInputsData[],6,FALSE))</f>
        <v/>
      </c>
      <c r="T16" s="298" t="str">
        <f>IF(ISNA(VLOOKUP(T$19,TableInputsData[],6,FALSE)),"",VLOOKUP(T$19,TableInputsData[],6,FALSE))</f>
        <v/>
      </c>
      <c r="U16" s="298" t="str">
        <f>IF(ISNA(VLOOKUP(U$19,TableInputsData[],6,FALSE)),"",VLOOKUP(U$19,TableInputsData[],6,FALSE))</f>
        <v/>
      </c>
      <c r="V16" s="298" t="str">
        <f>IF(ISNA(VLOOKUP(V$19,TableInputsData[],6,FALSE)),"",VLOOKUP(V$19,TableInputsData[],6,FALSE))</f>
        <v/>
      </c>
      <c r="W16" s="298" t="str">
        <f>IF(ISNA(VLOOKUP(W$19,TableInputsData[],6,FALSE)),"",VLOOKUP(W$19,TableInputsData[],6,FALSE))</f>
        <v/>
      </c>
      <c r="X16" s="298" t="str">
        <f>IF(ISNA(VLOOKUP(X$19,TableInputsData[],6,FALSE)),"",VLOOKUP(X$19,TableInputsData[],6,FALSE))</f>
        <v/>
      </c>
      <c r="Y16" s="298" t="str">
        <f>IF(ISNA(VLOOKUP(Y$19,TableInputsData[],6,FALSE)),"",VLOOKUP(Y$19,TableInputsData[],6,FALSE))</f>
        <v/>
      </c>
      <c r="Z16" s="298" t="str">
        <f>IF(ISNA(VLOOKUP(Z$19,TableInputsData[],6,FALSE)),"",VLOOKUP(Z$19,TableInputsData[],6,FALSE))</f>
        <v/>
      </c>
      <c r="AA16" s="298" t="str">
        <f>IF(ISNA(VLOOKUP(AA$19,TableInputsData[],6,FALSE)),"",VLOOKUP(AA$19,TableInputsData[],6,FALSE))</f>
        <v/>
      </c>
      <c r="AB16" s="298" t="str">
        <f>IF(ISNA(VLOOKUP(AB$19,TableInputsData[],6,FALSE)),"",VLOOKUP(AB$19,TableInputsData[],6,FALSE))</f>
        <v/>
      </c>
      <c r="AC16" s="298" t="str">
        <f>IF(ISNA(VLOOKUP(AC$19,TableInputsData[],6,FALSE)),"",VLOOKUP(AC$19,TableInputsData[],6,FALSE))</f>
        <v/>
      </c>
      <c r="AD16" s="298" t="str">
        <f>IF(ISNA(VLOOKUP(AD$19,TableInputsData[],6,FALSE)),"",VLOOKUP(AD$19,TableInputsData[],6,FALSE))</f>
        <v/>
      </c>
      <c r="AE16" s="298" t="str">
        <f>IF(ISNA(VLOOKUP(AE$19,TableInputsData[],6,FALSE)),"",VLOOKUP(AE$19,TableInputsData[],6,FALSE))</f>
        <v/>
      </c>
      <c r="AF16" s="298" t="str">
        <f>IF(ISNA(VLOOKUP(AF$19,TableInputsData[],6,FALSE)),"",VLOOKUP(AF$19,TableInputsData[],6,FALSE))</f>
        <v/>
      </c>
      <c r="AG16" s="298" t="str">
        <f>IF(ISNA(VLOOKUP(AG$19,TableInputsData[],6,FALSE)),"",VLOOKUP(AG$19,TableInputsData[],6,FALSE))</f>
        <v/>
      </c>
      <c r="AH16" s="298" t="str">
        <f>IF(ISNA(VLOOKUP(AH$19,TableInputsData[],6,FALSE)),"",VLOOKUP(AH$19,TableInputsData[],6,FALSE))</f>
        <v/>
      </c>
      <c r="AI16" s="298" t="str">
        <f>IF(ISNA(VLOOKUP(AI$19,TableInputsData[],6,FALSE)),"",VLOOKUP(AI$19,TableInputsData[],6,FALSE))</f>
        <v/>
      </c>
      <c r="AJ16" s="298" t="str">
        <f>IF(ISNA(VLOOKUP(AJ$19,TableInputsData[],6,FALSE)),"",VLOOKUP(AJ$19,TableInputsData[],6,FALSE))</f>
        <v/>
      </c>
      <c r="AK16" s="297"/>
    </row>
    <row r="17" spans="1:37" x14ac:dyDescent="0.2">
      <c r="A17" s="297"/>
      <c r="B17" s="297"/>
      <c r="C17" s="297"/>
      <c r="D17" s="297"/>
      <c r="E17" s="297"/>
      <c r="F17" s="297"/>
      <c r="G17" s="297"/>
      <c r="H17" s="297"/>
      <c r="I17" s="297"/>
      <c r="J17" s="297"/>
      <c r="K17" s="297"/>
      <c r="L17" s="297"/>
      <c r="M17" s="297"/>
      <c r="N17" s="297"/>
      <c r="O17" s="297"/>
      <c r="P17" s="297"/>
      <c r="Q17" s="297"/>
      <c r="R17" s="297"/>
      <c r="S17" s="297"/>
      <c r="T17" s="297"/>
      <c r="U17" s="297"/>
      <c r="V17" s="297"/>
      <c r="W17" s="297"/>
      <c r="X17" s="297"/>
      <c r="Y17" s="297"/>
      <c r="Z17" s="297"/>
      <c r="AA17" s="297"/>
      <c r="AB17" s="297"/>
      <c r="AC17" s="297"/>
      <c r="AD17" s="297"/>
      <c r="AE17" s="297"/>
      <c r="AF17" s="297"/>
      <c r="AG17" s="297"/>
      <c r="AH17" s="297"/>
      <c r="AI17" s="297"/>
      <c r="AJ17" s="297"/>
      <c r="AK17" s="297"/>
    </row>
    <row r="18" spans="1:37" x14ac:dyDescent="0.2">
      <c r="A18" s="297"/>
      <c r="B18" s="300" t="s">
        <v>1734</v>
      </c>
      <c r="C18" s="297"/>
      <c r="D18" s="364" t="s">
        <v>521</v>
      </c>
      <c r="E18" s="364"/>
      <c r="F18" s="363" t="s">
        <v>463</v>
      </c>
      <c r="G18" s="904"/>
      <c r="H18"/>
      <c r="I18"/>
      <c r="J18"/>
      <c r="K18"/>
      <c r="L18"/>
      <c r="M18"/>
      <c r="N18"/>
      <c r="O18"/>
      <c r="P18"/>
      <c r="Q18"/>
      <c r="R18"/>
      <c r="S18"/>
      <c r="T18"/>
      <c r="U18"/>
      <c r="V18"/>
      <c r="W18"/>
      <c r="X18"/>
      <c r="Y18"/>
      <c r="Z18"/>
      <c r="AA18"/>
      <c r="AB18"/>
      <c r="AC18"/>
      <c r="AD18"/>
      <c r="AE18"/>
      <c r="AF18"/>
      <c r="AG18"/>
      <c r="AH18"/>
      <c r="AI18"/>
      <c r="AJ18"/>
      <c r="AK18" s="313"/>
    </row>
    <row r="19" spans="1:37" x14ac:dyDescent="0.2">
      <c r="A19" s="623" t="s">
        <v>1506</v>
      </c>
      <c r="B19" s="364" t="s">
        <v>1493</v>
      </c>
      <c r="C19" s="364" t="s">
        <v>1494</v>
      </c>
      <c r="D19" s="152" t="s">
        <v>0</v>
      </c>
      <c r="E19" s="905" t="s">
        <v>462</v>
      </c>
      <c r="F19" s="905" t="s">
        <v>537</v>
      </c>
      <c r="G19" s="905" t="s">
        <v>538</v>
      </c>
      <c r="H19"/>
      <c r="I19"/>
      <c r="J19"/>
      <c r="K19"/>
      <c r="L19"/>
      <c r="M19"/>
      <c r="N19"/>
      <c r="O19"/>
      <c r="P19"/>
      <c r="Q19"/>
      <c r="R19"/>
      <c r="S19"/>
      <c r="T19"/>
      <c r="U19"/>
      <c r="V19"/>
      <c r="W19"/>
      <c r="X19"/>
      <c r="Y19"/>
      <c r="Z19"/>
      <c r="AA19"/>
      <c r="AB19"/>
      <c r="AC19"/>
      <c r="AD19"/>
      <c r="AE19"/>
      <c r="AF19"/>
      <c r="AG19"/>
      <c r="AH19"/>
      <c r="AI19"/>
      <c r="AJ19"/>
      <c r="AK19" s="313"/>
    </row>
    <row r="20" spans="1:37" x14ac:dyDescent="0.2">
      <c r="A20" s="623" t="s">
        <v>537</v>
      </c>
      <c r="B20" s="367" t="str">
        <f>VLOOKUP(A20,TableInputsData[],ReadMe!$M$3,FALSE)</f>
        <v>PRODUIT 01</v>
      </c>
      <c r="C20" s="367" t="str">
        <f>VLOOKUP(A20,TableInputsData[],6,FALSE)</f>
        <v>XYZ</v>
      </c>
      <c r="D20" s="163" t="s">
        <v>457</v>
      </c>
      <c r="E20" s="365">
        <v>2023</v>
      </c>
      <c r="F20" s="903">
        <v>0</v>
      </c>
      <c r="G20" s="903">
        <v>0</v>
      </c>
      <c r="H20"/>
      <c r="I20"/>
      <c r="J20"/>
      <c r="K20"/>
      <c r="L20"/>
      <c r="M20"/>
      <c r="N20"/>
      <c r="O20"/>
      <c r="P20"/>
      <c r="Q20"/>
      <c r="R20"/>
      <c r="S20"/>
      <c r="T20"/>
      <c r="U20"/>
      <c r="V20"/>
      <c r="W20"/>
      <c r="X20"/>
      <c r="Y20"/>
      <c r="Z20"/>
      <c r="AA20"/>
      <c r="AB20"/>
      <c r="AC20"/>
      <c r="AD20"/>
      <c r="AE20"/>
      <c r="AF20"/>
      <c r="AG20"/>
      <c r="AH20"/>
      <c r="AI20"/>
      <c r="AJ20"/>
      <c r="AK20" s="313"/>
    </row>
    <row r="21" spans="1:37" x14ac:dyDescent="0.2">
      <c r="A21" s="623" t="s">
        <v>538</v>
      </c>
      <c r="B21" s="367" t="str">
        <f>VLOOKUP(A21,TableInputsData[],ReadMe!$M$3,FALSE)</f>
        <v>PRODUIT 02</v>
      </c>
      <c r="C21" s="367" t="str">
        <f>VLOOKUP(A21,TableInputsData[],6,FALSE)</f>
        <v>ABC</v>
      </c>
      <c r="D21" s="163" t="s">
        <v>457</v>
      </c>
      <c r="E21" s="365">
        <v>2024</v>
      </c>
      <c r="F21" s="903">
        <v>0</v>
      </c>
      <c r="G21" s="903">
        <v>0</v>
      </c>
      <c r="H21"/>
      <c r="I21"/>
      <c r="J21"/>
      <c r="K21"/>
      <c r="L21"/>
      <c r="M21"/>
      <c r="N21"/>
      <c r="O21"/>
      <c r="P21"/>
      <c r="Q21"/>
      <c r="R21"/>
      <c r="S21"/>
      <c r="T21"/>
      <c r="U21"/>
      <c r="V21"/>
      <c r="W21"/>
      <c r="X21"/>
      <c r="Y21"/>
      <c r="Z21"/>
      <c r="AA21"/>
      <c r="AB21"/>
      <c r="AC21"/>
      <c r="AD21"/>
      <c r="AE21"/>
      <c r="AF21"/>
      <c r="AG21"/>
      <c r="AH21"/>
      <c r="AI21"/>
      <c r="AJ21"/>
      <c r="AK21" s="313"/>
    </row>
    <row r="22" spans="1:37" x14ac:dyDescent="0.2">
      <c r="A22" s="623" t="s">
        <v>539</v>
      </c>
      <c r="B22" s="367" t="str">
        <f>VLOOKUP(A22,TableInputsData[],ReadMe!$M$3,FALSE)</f>
        <v>PRODUIT 03</v>
      </c>
      <c r="C22" s="367" t="str">
        <f>VLOOKUP(A22,TableInputsData[],6,FALSE)</f>
        <v>-</v>
      </c>
      <c r="D22" s="163" t="s">
        <v>457</v>
      </c>
      <c r="E22" s="365">
        <v>2025</v>
      </c>
      <c r="F22" s="903">
        <v>0</v>
      </c>
      <c r="G22" s="903">
        <v>0</v>
      </c>
      <c r="H22"/>
      <c r="I22"/>
      <c r="J22"/>
      <c r="K22"/>
      <c r="L22"/>
      <c r="M22"/>
      <c r="N22"/>
      <c r="O22"/>
      <c r="P22"/>
      <c r="Q22"/>
      <c r="R22"/>
      <c r="S22"/>
      <c r="T22"/>
      <c r="U22"/>
      <c r="V22"/>
      <c r="W22"/>
      <c r="X22"/>
      <c r="Y22"/>
      <c r="Z22"/>
      <c r="AA22"/>
      <c r="AB22"/>
      <c r="AC22"/>
      <c r="AD22"/>
      <c r="AE22"/>
      <c r="AF22"/>
      <c r="AG22"/>
      <c r="AH22"/>
      <c r="AI22"/>
      <c r="AJ22"/>
      <c r="AK22" s="313"/>
    </row>
    <row r="23" spans="1:37" x14ac:dyDescent="0.2">
      <c r="A23" s="623" t="s">
        <v>540</v>
      </c>
      <c r="B23" s="367" t="str">
        <f>VLOOKUP(A23,TableInputsData[],ReadMe!$M$3,FALSE)</f>
        <v>PRODUIT 04</v>
      </c>
      <c r="C23" s="367" t="str">
        <f>VLOOKUP(A23,TableInputsData[],6,FALSE)</f>
        <v>-</v>
      </c>
      <c r="D23" s="163" t="s">
        <v>457</v>
      </c>
      <c r="E23" s="365">
        <v>2026</v>
      </c>
      <c r="F23" s="903">
        <v>0</v>
      </c>
      <c r="G23" s="903">
        <v>0</v>
      </c>
      <c r="H23"/>
      <c r="I23"/>
      <c r="J23"/>
      <c r="K23"/>
      <c r="L23"/>
      <c r="M23"/>
      <c r="N23"/>
      <c r="O23"/>
      <c r="P23"/>
      <c r="Q23"/>
      <c r="R23"/>
      <c r="S23"/>
      <c r="T23"/>
      <c r="U23"/>
      <c r="V23"/>
      <c r="W23"/>
      <c r="X23"/>
      <c r="Y23"/>
      <c r="Z23"/>
      <c r="AA23"/>
      <c r="AB23"/>
      <c r="AC23"/>
      <c r="AD23"/>
      <c r="AE23"/>
      <c r="AF23"/>
      <c r="AG23"/>
      <c r="AH23"/>
      <c r="AI23"/>
      <c r="AJ23"/>
      <c r="AK23" s="313"/>
    </row>
    <row r="24" spans="1:37" x14ac:dyDescent="0.2">
      <c r="A24" s="623" t="s">
        <v>541</v>
      </c>
      <c r="B24" s="367" t="str">
        <f>VLOOKUP(A24,TableInputsData[],ReadMe!$M$3,FALSE)</f>
        <v>PRODUIT 05</v>
      </c>
      <c r="C24" s="367" t="str">
        <f>VLOOKUP(A24,TableInputsData[],6,FALSE)</f>
        <v>-</v>
      </c>
      <c r="D24" s="163" t="s">
        <v>457</v>
      </c>
      <c r="E24" s="365">
        <v>2027</v>
      </c>
      <c r="F24" s="903">
        <v>0</v>
      </c>
      <c r="G24" s="903">
        <v>0</v>
      </c>
      <c r="H24"/>
      <c r="I24"/>
      <c r="J24"/>
      <c r="K24"/>
      <c r="L24"/>
      <c r="M24"/>
      <c r="N24"/>
      <c r="O24"/>
      <c r="P24"/>
      <c r="Q24"/>
      <c r="R24"/>
      <c r="S24"/>
      <c r="T24"/>
      <c r="U24"/>
      <c r="V24"/>
      <c r="W24"/>
      <c r="X24"/>
      <c r="Y24"/>
      <c r="Z24"/>
      <c r="AA24"/>
      <c r="AB24"/>
      <c r="AC24"/>
      <c r="AD24"/>
      <c r="AE24"/>
      <c r="AF24"/>
      <c r="AG24"/>
      <c r="AH24"/>
      <c r="AI24"/>
      <c r="AJ24"/>
      <c r="AK24" s="313"/>
    </row>
    <row r="25" spans="1:37" x14ac:dyDescent="0.2">
      <c r="A25" s="623" t="s">
        <v>542</v>
      </c>
      <c r="B25" s="367" t="str">
        <f>VLOOKUP(A25,TableInputsData[],ReadMe!$M$3,FALSE)</f>
        <v>PRODUIT 06</v>
      </c>
      <c r="C25" s="367" t="str">
        <f>VLOOKUP(A25,TableInputsData[],6,FALSE)</f>
        <v>-</v>
      </c>
      <c r="D25" s="163" t="s">
        <v>457</v>
      </c>
      <c r="E25" s="365">
        <v>2028</v>
      </c>
      <c r="F25" s="903">
        <v>0</v>
      </c>
      <c r="G25" s="903">
        <v>0</v>
      </c>
      <c r="H25"/>
      <c r="I25"/>
      <c r="J25"/>
      <c r="K25"/>
      <c r="L25"/>
      <c r="M25"/>
      <c r="N25"/>
      <c r="O25"/>
      <c r="P25"/>
      <c r="Q25"/>
      <c r="R25"/>
      <c r="S25"/>
      <c r="T25"/>
      <c r="U25"/>
      <c r="V25"/>
      <c r="W25"/>
      <c r="X25"/>
      <c r="Y25"/>
      <c r="Z25"/>
      <c r="AA25"/>
      <c r="AB25"/>
      <c r="AC25"/>
      <c r="AD25"/>
      <c r="AE25"/>
      <c r="AF25"/>
      <c r="AG25"/>
      <c r="AH25"/>
      <c r="AI25"/>
      <c r="AJ25"/>
      <c r="AK25" s="313"/>
    </row>
    <row r="26" spans="1:37" x14ac:dyDescent="0.2">
      <c r="A26" s="623" t="s">
        <v>543</v>
      </c>
      <c r="B26" s="367" t="str">
        <f>VLOOKUP(A26,TableInputsData[],ReadMe!$M$3,FALSE)</f>
        <v>PRODUIT 07</v>
      </c>
      <c r="C26" s="367" t="str">
        <f>VLOOKUP(A26,TableInputsData[],6,FALSE)</f>
        <v>-</v>
      </c>
      <c r="D26" s="163" t="s">
        <v>457</v>
      </c>
      <c r="E26" s="365">
        <v>2029</v>
      </c>
      <c r="F26" s="903">
        <v>0</v>
      </c>
      <c r="G26" s="903">
        <v>0</v>
      </c>
      <c r="H26"/>
      <c r="I26"/>
      <c r="J26"/>
      <c r="K26"/>
      <c r="L26"/>
      <c r="M26"/>
      <c r="N26"/>
      <c r="O26"/>
      <c r="P26"/>
      <c r="Q26"/>
      <c r="R26"/>
      <c r="S26"/>
      <c r="T26"/>
      <c r="U26"/>
      <c r="V26"/>
      <c r="W26"/>
      <c r="X26"/>
      <c r="Y26"/>
      <c r="Z26"/>
      <c r="AA26"/>
      <c r="AB26"/>
      <c r="AC26"/>
      <c r="AD26"/>
      <c r="AE26"/>
      <c r="AF26"/>
      <c r="AG26"/>
      <c r="AH26"/>
      <c r="AI26"/>
      <c r="AJ26"/>
      <c r="AK26" s="313"/>
    </row>
    <row r="27" spans="1:37" x14ac:dyDescent="0.2">
      <c r="A27" s="623" t="s">
        <v>544</v>
      </c>
      <c r="B27" s="367" t="str">
        <f>VLOOKUP(A27,TableInputsData[],ReadMe!$M$3,FALSE)</f>
        <v>PRODUIT 08</v>
      </c>
      <c r="C27" s="367" t="str">
        <f>VLOOKUP(A27,TableInputsData[],6,FALSE)</f>
        <v>-</v>
      </c>
      <c r="D27" s="163" t="s">
        <v>457</v>
      </c>
      <c r="E27" s="365">
        <v>2030</v>
      </c>
      <c r="F27" s="903">
        <v>0</v>
      </c>
      <c r="G27" s="903">
        <v>0</v>
      </c>
      <c r="H27"/>
      <c r="I27"/>
      <c r="J27"/>
      <c r="K27"/>
      <c r="L27"/>
      <c r="M27"/>
      <c r="N27"/>
      <c r="O27"/>
      <c r="P27"/>
      <c r="Q27"/>
      <c r="R27"/>
      <c r="S27"/>
      <c r="T27"/>
      <c r="U27"/>
      <c r="V27"/>
      <c r="W27"/>
      <c r="X27"/>
      <c r="Y27"/>
      <c r="Z27"/>
      <c r="AA27"/>
      <c r="AB27"/>
      <c r="AC27"/>
      <c r="AD27"/>
      <c r="AE27"/>
      <c r="AF27"/>
      <c r="AG27"/>
      <c r="AH27"/>
      <c r="AI27"/>
      <c r="AJ27"/>
      <c r="AK27" s="313"/>
    </row>
    <row r="28" spans="1:37" x14ac:dyDescent="0.2">
      <c r="A28" s="623" t="s">
        <v>545</v>
      </c>
      <c r="B28" s="367" t="str">
        <f>VLOOKUP(A28,TableInputsData[],ReadMe!$M$3,FALSE)</f>
        <v>PRODUIT 09</v>
      </c>
      <c r="C28" s="367" t="str">
        <f>VLOOKUP(A28,TableInputsData[],6,FALSE)</f>
        <v>-</v>
      </c>
      <c r="D28" s="163" t="s">
        <v>2075</v>
      </c>
      <c r="F28" s="903">
        <v>0</v>
      </c>
      <c r="G28" s="903">
        <v>0</v>
      </c>
      <c r="H28"/>
      <c r="I28"/>
      <c r="J28"/>
      <c r="K28"/>
      <c r="L28"/>
      <c r="M28"/>
      <c r="N28"/>
      <c r="O28"/>
      <c r="P28"/>
      <c r="Q28"/>
      <c r="R28"/>
      <c r="S28"/>
      <c r="T28"/>
      <c r="U28"/>
      <c r="V28"/>
      <c r="W28"/>
      <c r="X28"/>
      <c r="Y28"/>
      <c r="Z28"/>
      <c r="AA28"/>
      <c r="AB28"/>
      <c r="AC28"/>
      <c r="AD28"/>
      <c r="AE28"/>
      <c r="AF28"/>
      <c r="AG28"/>
      <c r="AH28"/>
      <c r="AI28"/>
      <c r="AJ28"/>
      <c r="AK28" s="313"/>
    </row>
    <row r="29" spans="1:37" x14ac:dyDescent="0.2">
      <c r="A29" s="623" t="s">
        <v>401</v>
      </c>
      <c r="B29" s="367" t="str">
        <f>VLOOKUP(A29,TableInputsData[],ReadMe!$M$3,FALSE)</f>
        <v>PRODUIT 10</v>
      </c>
      <c r="C29" s="367" t="str">
        <f>VLOOKUP(A29,TableInputsData[],6,FALSE)</f>
        <v>-</v>
      </c>
      <c r="D29" s="163" t="s">
        <v>522</v>
      </c>
      <c r="E29" s="365">
        <v>2023</v>
      </c>
      <c r="F29" s="903">
        <v>0</v>
      </c>
      <c r="G29" s="903">
        <v>0</v>
      </c>
      <c r="H29"/>
      <c r="I29"/>
      <c r="J29"/>
      <c r="K29"/>
      <c r="L29"/>
      <c r="M29"/>
      <c r="N29"/>
      <c r="O29"/>
      <c r="P29"/>
      <c r="Q29"/>
      <c r="R29"/>
      <c r="S29"/>
      <c r="T29"/>
      <c r="U29"/>
      <c r="V29"/>
      <c r="W29"/>
      <c r="X29"/>
      <c r="Y29"/>
      <c r="Z29"/>
      <c r="AA29"/>
      <c r="AB29"/>
      <c r="AC29"/>
      <c r="AD29"/>
      <c r="AE29"/>
      <c r="AF29"/>
      <c r="AG29"/>
      <c r="AH29"/>
      <c r="AI29"/>
      <c r="AJ29"/>
      <c r="AK29" s="313"/>
    </row>
    <row r="30" spans="1:37" x14ac:dyDescent="0.2">
      <c r="A30" s="623" t="s">
        <v>1710</v>
      </c>
      <c r="B30" s="367" t="str">
        <f>VLOOKUP(A30,TableInputsData[],ReadMe!$M$3,FALSE)</f>
        <v>PRODUIT 11</v>
      </c>
      <c r="C30" s="367" t="str">
        <f>VLOOKUP(A30,TableInputsData[],6,FALSE)</f>
        <v>-</v>
      </c>
      <c r="D30" s="163" t="s">
        <v>522</v>
      </c>
      <c r="E30" s="365">
        <v>2024</v>
      </c>
      <c r="F30" s="903">
        <v>0</v>
      </c>
      <c r="G30" s="903">
        <v>0</v>
      </c>
      <c r="H30"/>
      <c r="I30"/>
      <c r="J30"/>
      <c r="K30"/>
      <c r="L30"/>
      <c r="M30"/>
      <c r="N30"/>
      <c r="O30"/>
      <c r="P30"/>
      <c r="Q30"/>
      <c r="R30"/>
      <c r="S30"/>
      <c r="T30"/>
      <c r="U30"/>
      <c r="V30"/>
      <c r="W30"/>
      <c r="X30"/>
      <c r="Y30"/>
      <c r="Z30"/>
      <c r="AA30"/>
      <c r="AB30"/>
      <c r="AC30"/>
      <c r="AD30"/>
      <c r="AE30"/>
      <c r="AF30"/>
      <c r="AG30"/>
      <c r="AH30"/>
      <c r="AI30"/>
      <c r="AJ30"/>
      <c r="AK30" s="313"/>
    </row>
    <row r="31" spans="1:37" x14ac:dyDescent="0.2">
      <c r="A31" s="623" t="s">
        <v>1712</v>
      </c>
      <c r="B31" s="367" t="str">
        <f>VLOOKUP(A31,TableInputsData[],ReadMe!$M$3,FALSE)</f>
        <v>PRODUIT 12</v>
      </c>
      <c r="C31" s="367" t="str">
        <f>VLOOKUP(A31,TableInputsData[],6,FALSE)</f>
        <v>-</v>
      </c>
      <c r="D31" s="163" t="s">
        <v>522</v>
      </c>
      <c r="E31" s="365">
        <v>2025</v>
      </c>
      <c r="F31" s="903">
        <v>0</v>
      </c>
      <c r="G31" s="903">
        <v>0</v>
      </c>
      <c r="H31"/>
      <c r="I31"/>
      <c r="J31"/>
      <c r="K31"/>
      <c r="L31"/>
      <c r="M31"/>
      <c r="N31"/>
      <c r="O31"/>
      <c r="P31"/>
      <c r="Q31"/>
      <c r="R31"/>
      <c r="S31"/>
      <c r="T31"/>
      <c r="U31"/>
      <c r="V31"/>
      <c r="W31"/>
      <c r="X31"/>
      <c r="Y31"/>
      <c r="Z31"/>
      <c r="AA31"/>
      <c r="AB31"/>
      <c r="AC31"/>
      <c r="AD31"/>
      <c r="AE31"/>
      <c r="AF31"/>
      <c r="AG31"/>
      <c r="AH31"/>
      <c r="AI31"/>
      <c r="AJ31"/>
      <c r="AK31" s="313"/>
    </row>
    <row r="32" spans="1:37" x14ac:dyDescent="0.2">
      <c r="A32" s="623" t="s">
        <v>1714</v>
      </c>
      <c r="B32" s="367" t="str">
        <f>VLOOKUP(A32,TableInputsData[],ReadMe!$M$3,FALSE)</f>
        <v>PRODUIT 13</v>
      </c>
      <c r="C32" s="367" t="str">
        <f>VLOOKUP(A32,TableInputsData[],6,FALSE)</f>
        <v>-</v>
      </c>
      <c r="D32" s="163" t="s">
        <v>522</v>
      </c>
      <c r="E32" s="365">
        <v>2026</v>
      </c>
      <c r="F32" s="903">
        <v>0</v>
      </c>
      <c r="G32" s="903">
        <v>0</v>
      </c>
      <c r="H32"/>
      <c r="I32"/>
      <c r="J32"/>
      <c r="K32"/>
      <c r="L32"/>
      <c r="M32"/>
      <c r="N32"/>
      <c r="O32"/>
      <c r="P32"/>
      <c r="Q32"/>
      <c r="R32"/>
      <c r="S32"/>
      <c r="T32"/>
      <c r="U32"/>
      <c r="V32"/>
      <c r="W32"/>
      <c r="X32"/>
      <c r="Y32"/>
      <c r="Z32"/>
      <c r="AA32"/>
      <c r="AB32"/>
      <c r="AC32"/>
      <c r="AD32"/>
      <c r="AE32"/>
      <c r="AF32"/>
      <c r="AG32"/>
      <c r="AH32"/>
      <c r="AI32"/>
      <c r="AJ32"/>
      <c r="AK32" s="313"/>
    </row>
    <row r="33" spans="1:37" x14ac:dyDescent="0.2">
      <c r="A33" s="623" t="s">
        <v>1716</v>
      </c>
      <c r="B33" s="367" t="str">
        <f>VLOOKUP(A33,TableInputsData[],ReadMe!$M$3,FALSE)</f>
        <v>PRODUIT 14</v>
      </c>
      <c r="C33" s="367" t="str">
        <f>VLOOKUP(A33,TableInputsData[],6,FALSE)</f>
        <v>-</v>
      </c>
      <c r="D33" s="163" t="s">
        <v>522</v>
      </c>
      <c r="E33" s="365">
        <v>2027</v>
      </c>
      <c r="F33" s="903">
        <v>0</v>
      </c>
      <c r="G33" s="903">
        <v>0</v>
      </c>
      <c r="H33"/>
      <c r="I33"/>
      <c r="J33"/>
      <c r="K33"/>
      <c r="L33"/>
      <c r="M33"/>
      <c r="N33"/>
      <c r="O33"/>
      <c r="P33"/>
      <c r="Q33"/>
      <c r="R33"/>
      <c r="S33"/>
      <c r="T33"/>
      <c r="U33"/>
      <c r="V33"/>
      <c r="W33"/>
      <c r="X33"/>
      <c r="Y33"/>
      <c r="Z33"/>
      <c r="AA33"/>
      <c r="AB33"/>
      <c r="AC33"/>
      <c r="AD33"/>
      <c r="AE33"/>
      <c r="AF33"/>
      <c r="AG33"/>
      <c r="AH33"/>
      <c r="AI33"/>
      <c r="AJ33"/>
      <c r="AK33" s="313"/>
    </row>
    <row r="34" spans="1:37" x14ac:dyDescent="0.2">
      <c r="A34" s="623" t="s">
        <v>1718</v>
      </c>
      <c r="B34" s="367" t="str">
        <f>VLOOKUP(A34,TableInputsData[],ReadMe!$M$3,FALSE)</f>
        <v>PRODUIT 15</v>
      </c>
      <c r="C34" s="367" t="str">
        <f>VLOOKUP(A34,TableInputsData[],6,FALSE)</f>
        <v>-</v>
      </c>
      <c r="D34" s="163" t="s">
        <v>522</v>
      </c>
      <c r="E34" s="365">
        <v>2028</v>
      </c>
      <c r="F34" s="903">
        <v>0</v>
      </c>
      <c r="G34" s="903">
        <v>0</v>
      </c>
      <c r="H34"/>
      <c r="I34"/>
      <c r="J34"/>
      <c r="K34"/>
      <c r="L34"/>
      <c r="M34"/>
      <c r="N34"/>
      <c r="O34"/>
      <c r="P34"/>
      <c r="Q34"/>
      <c r="R34"/>
      <c r="S34"/>
      <c r="T34"/>
      <c r="U34"/>
      <c r="V34"/>
      <c r="W34"/>
      <c r="X34"/>
      <c r="Y34"/>
      <c r="Z34"/>
      <c r="AA34"/>
      <c r="AB34"/>
      <c r="AC34"/>
      <c r="AD34"/>
      <c r="AE34"/>
      <c r="AF34"/>
      <c r="AG34"/>
      <c r="AH34"/>
      <c r="AI34"/>
      <c r="AJ34"/>
      <c r="AK34" s="313"/>
    </row>
    <row r="35" spans="1:37" x14ac:dyDescent="0.2">
      <c r="A35" s="623" t="s">
        <v>1720</v>
      </c>
      <c r="B35" s="367" t="str">
        <f>VLOOKUP(A35,TableInputsData[],ReadMe!$M$3,FALSE)</f>
        <v>PRODUIT 16</v>
      </c>
      <c r="C35" s="367" t="str">
        <f>VLOOKUP(A35,TableInputsData[],6,FALSE)</f>
        <v>-</v>
      </c>
      <c r="D35" s="163" t="s">
        <v>522</v>
      </c>
      <c r="E35" s="365">
        <v>2029</v>
      </c>
      <c r="F35" s="903">
        <v>0</v>
      </c>
      <c r="G35" s="903">
        <v>0</v>
      </c>
      <c r="H35"/>
      <c r="I35"/>
      <c r="J35"/>
      <c r="K35"/>
      <c r="L35"/>
      <c r="M35"/>
      <c r="N35"/>
      <c r="O35"/>
      <c r="P35"/>
      <c r="Q35"/>
      <c r="R35"/>
      <c r="S35"/>
      <c r="T35"/>
      <c r="U35"/>
      <c r="V35"/>
      <c r="W35"/>
      <c r="X35"/>
      <c r="Y35"/>
      <c r="Z35"/>
      <c r="AA35"/>
      <c r="AB35"/>
      <c r="AC35"/>
      <c r="AD35"/>
      <c r="AE35"/>
      <c r="AF35"/>
      <c r="AG35"/>
      <c r="AH35"/>
      <c r="AI35"/>
      <c r="AJ35"/>
      <c r="AK35" s="313"/>
    </row>
    <row r="36" spans="1:37" x14ac:dyDescent="0.2">
      <c r="A36" s="623" t="s">
        <v>1722</v>
      </c>
      <c r="B36" s="367" t="str">
        <f>VLOOKUP(A36,TableInputsData[],ReadMe!$M$3,FALSE)</f>
        <v>PRODUIT 17</v>
      </c>
      <c r="C36" s="367" t="str">
        <f>VLOOKUP(A36,TableInputsData[],6,FALSE)</f>
        <v>-</v>
      </c>
      <c r="D36" s="163" t="s">
        <v>522</v>
      </c>
      <c r="E36" s="365">
        <v>2030</v>
      </c>
      <c r="F36" s="903">
        <v>0</v>
      </c>
      <c r="G36" s="903">
        <v>0</v>
      </c>
      <c r="H36"/>
      <c r="I36"/>
      <c r="J36"/>
      <c r="K36"/>
      <c r="L36"/>
      <c r="M36"/>
      <c r="N36"/>
      <c r="O36"/>
      <c r="P36"/>
      <c r="Q36"/>
      <c r="R36"/>
      <c r="S36"/>
      <c r="T36"/>
      <c r="U36"/>
      <c r="V36"/>
      <c r="W36"/>
      <c r="X36"/>
      <c r="Y36"/>
      <c r="Z36"/>
      <c r="AA36"/>
      <c r="AB36"/>
      <c r="AC36"/>
      <c r="AD36"/>
      <c r="AE36"/>
      <c r="AF36"/>
      <c r="AG36"/>
      <c r="AH36"/>
      <c r="AI36"/>
      <c r="AJ36"/>
      <c r="AK36" s="313"/>
    </row>
    <row r="37" spans="1:37" x14ac:dyDescent="0.2">
      <c r="A37" s="623" t="s">
        <v>1724</v>
      </c>
      <c r="B37" s="367" t="str">
        <f>VLOOKUP(A37,TableInputsData[],ReadMe!$M$3,FALSE)</f>
        <v>PRODUIT 18</v>
      </c>
      <c r="C37" s="367" t="str">
        <f>VLOOKUP(A37,TableInputsData[],6,FALSE)</f>
        <v>-</v>
      </c>
      <c r="D37" s="163" t="s">
        <v>523</v>
      </c>
      <c r="F37" s="903">
        <v>0</v>
      </c>
      <c r="G37" s="903">
        <v>0</v>
      </c>
      <c r="H37"/>
      <c r="I37"/>
      <c r="J37"/>
      <c r="K37"/>
      <c r="L37"/>
      <c r="M37"/>
      <c r="N37"/>
      <c r="O37"/>
      <c r="P37"/>
      <c r="Q37"/>
      <c r="R37"/>
      <c r="S37"/>
      <c r="T37"/>
      <c r="U37"/>
      <c r="V37"/>
      <c r="W37"/>
      <c r="X37"/>
      <c r="Y37"/>
      <c r="Z37"/>
      <c r="AA37"/>
      <c r="AB37"/>
      <c r="AC37"/>
      <c r="AD37"/>
      <c r="AE37"/>
      <c r="AF37"/>
      <c r="AG37"/>
      <c r="AH37"/>
      <c r="AI37"/>
      <c r="AJ37"/>
      <c r="AK37" s="313"/>
    </row>
    <row r="38" spans="1:37" x14ac:dyDescent="0.2">
      <c r="A38" s="623" t="s">
        <v>1726</v>
      </c>
      <c r="B38" s="367" t="str">
        <f>VLOOKUP(A38,TableInputsData[],ReadMe!$M$3,FALSE)</f>
        <v>PRODUIT 19</v>
      </c>
      <c r="C38" s="367" t="str">
        <f>VLOOKUP(A38,TableInputsData[],6,FALSE)</f>
        <v>-</v>
      </c>
      <c r="D38" s="297"/>
      <c r="E38" s="297"/>
      <c r="F38" s="297"/>
      <c r="G38" s="297"/>
      <c r="H38" s="297"/>
      <c r="I38" s="297"/>
      <c r="J38" s="297"/>
      <c r="K38" s="297"/>
      <c r="L38" s="297"/>
      <c r="M38" s="297"/>
      <c r="N38" s="297"/>
      <c r="O38" s="297"/>
      <c r="P38" s="297"/>
      <c r="Q38" s="297"/>
      <c r="R38" s="297"/>
      <c r="S38" s="297"/>
      <c r="T38" s="297"/>
      <c r="U38" s="297"/>
      <c r="V38" s="297"/>
      <c r="W38" s="297"/>
      <c r="X38" s="297"/>
      <c r="Y38" s="297"/>
      <c r="Z38" s="297"/>
      <c r="AA38" s="297"/>
      <c r="AB38" s="297"/>
      <c r="AC38" s="297"/>
      <c r="AD38" s="297"/>
      <c r="AE38" s="297"/>
      <c r="AF38" s="297"/>
      <c r="AG38" s="297"/>
      <c r="AH38" s="297"/>
      <c r="AI38" s="297"/>
      <c r="AJ38" s="297"/>
      <c r="AK38" s="297"/>
    </row>
    <row r="39" spans="1:37" x14ac:dyDescent="0.2">
      <c r="A39" s="623" t="s">
        <v>1728</v>
      </c>
      <c r="B39" s="367" t="str">
        <f>VLOOKUP(A39,TableInputsData[],ReadMe!$M$3,FALSE)</f>
        <v>PRODUIT 20</v>
      </c>
      <c r="C39" s="367" t="str">
        <f>VLOOKUP(A39,TableInputsData[],6,FALSE)</f>
        <v>-</v>
      </c>
      <c r="D39" s="297"/>
      <c r="E39" s="297"/>
      <c r="F39" s="297"/>
      <c r="G39" s="297"/>
      <c r="H39" s="297"/>
      <c r="I39" s="297"/>
      <c r="J39" s="297"/>
      <c r="K39" s="297"/>
      <c r="L39" s="297"/>
      <c r="M39" s="297"/>
      <c r="N39" s="297"/>
      <c r="O39" s="297"/>
      <c r="P39" s="297"/>
      <c r="Q39" s="297"/>
      <c r="R39" s="297"/>
      <c r="S39" s="297"/>
      <c r="T39" s="297"/>
      <c r="U39" s="297"/>
      <c r="V39" s="297"/>
      <c r="W39" s="297"/>
      <c r="X39" s="297"/>
      <c r="Y39" s="297"/>
      <c r="Z39" s="297"/>
      <c r="AA39" s="297"/>
      <c r="AB39" s="297"/>
      <c r="AC39" s="297"/>
      <c r="AD39" s="297"/>
      <c r="AE39" s="297"/>
      <c r="AF39" s="297"/>
      <c r="AG39" s="297"/>
      <c r="AH39" s="297"/>
      <c r="AI39" s="297"/>
      <c r="AJ39" s="297"/>
      <c r="AK39" s="297"/>
    </row>
    <row r="40" spans="1:37" x14ac:dyDescent="0.2">
      <c r="A40" s="623" t="s">
        <v>546</v>
      </c>
      <c r="B40" s="367" t="str">
        <f>VLOOKUP(A40,TableInputsData[],ReadMe!$M$3,FALSE)</f>
        <v>SERVICE 01</v>
      </c>
      <c r="C40" s="367" t="str">
        <f>VLOOKUP(A40,TableInputsData[],6,FALSE)</f>
        <v>-</v>
      </c>
      <c r="D40" s="297"/>
      <c r="E40" s="297"/>
      <c r="F40" s="297"/>
      <c r="G40" s="297"/>
      <c r="H40" s="297"/>
      <c r="I40" s="297"/>
      <c r="J40" s="297"/>
      <c r="K40" s="297"/>
      <c r="L40" s="297"/>
      <c r="M40" s="297"/>
      <c r="N40" s="297"/>
      <c r="O40" s="297"/>
      <c r="P40" s="297"/>
      <c r="Q40" s="297"/>
      <c r="R40" s="297"/>
      <c r="S40" s="297"/>
      <c r="T40" s="297"/>
      <c r="U40" s="297"/>
      <c r="V40" s="297"/>
      <c r="W40" s="297"/>
      <c r="X40" s="297"/>
      <c r="Y40" s="297"/>
      <c r="Z40" s="297"/>
      <c r="AA40" s="297"/>
      <c r="AB40" s="297"/>
      <c r="AC40" s="297"/>
      <c r="AD40" s="297"/>
      <c r="AE40" s="297"/>
      <c r="AF40" s="297"/>
      <c r="AG40" s="297"/>
      <c r="AH40" s="297"/>
      <c r="AI40" s="297"/>
      <c r="AJ40" s="297"/>
      <c r="AK40" s="297"/>
    </row>
    <row r="41" spans="1:37" x14ac:dyDescent="0.2">
      <c r="A41" s="623" t="s">
        <v>547</v>
      </c>
      <c r="B41" s="367" t="str">
        <f>VLOOKUP(A41,TableInputsData[],ReadMe!$M$3,FALSE)</f>
        <v>SERVICE 02</v>
      </c>
      <c r="C41" s="367" t="str">
        <f>VLOOKUP(A41,TableInputsData[],6,FALSE)</f>
        <v>-</v>
      </c>
      <c r="D41" s="297"/>
      <c r="E41" s="297"/>
      <c r="F41" s="297"/>
      <c r="G41" s="297"/>
      <c r="H41" s="297"/>
      <c r="I41" s="297"/>
      <c r="J41" s="297"/>
      <c r="K41" s="297"/>
      <c r="L41" s="297"/>
      <c r="M41" s="297"/>
      <c r="N41" s="297"/>
      <c r="O41" s="297"/>
      <c r="P41" s="297"/>
      <c r="Q41" s="297"/>
      <c r="R41" s="297"/>
      <c r="S41" s="297"/>
      <c r="T41" s="297"/>
      <c r="U41" s="297"/>
      <c r="V41" s="297"/>
      <c r="W41" s="297"/>
      <c r="X41" s="297"/>
      <c r="Y41" s="297"/>
      <c r="Z41" s="297"/>
      <c r="AA41" s="297"/>
      <c r="AB41" s="297"/>
      <c r="AC41" s="297"/>
      <c r="AD41" s="297"/>
      <c r="AE41" s="297"/>
      <c r="AF41" s="297"/>
      <c r="AG41" s="297"/>
      <c r="AH41" s="297"/>
      <c r="AI41" s="297"/>
      <c r="AJ41" s="297"/>
      <c r="AK41" s="297"/>
    </row>
    <row r="42" spans="1:37" x14ac:dyDescent="0.2">
      <c r="A42" s="623" t="s">
        <v>548</v>
      </c>
      <c r="B42" s="367" t="str">
        <f>VLOOKUP(A42,TableInputsData[],ReadMe!$M$3,FALSE)</f>
        <v>SERVICE 03</v>
      </c>
      <c r="C42" s="367" t="str">
        <f>VLOOKUP(A42,TableInputsData[],6,FALSE)</f>
        <v>-</v>
      </c>
      <c r="D42" s="297"/>
      <c r="E42" s="297"/>
      <c r="F42" s="297"/>
      <c r="G42" s="297"/>
      <c r="H42" s="297"/>
      <c r="I42" s="297"/>
      <c r="J42" s="297"/>
      <c r="K42" s="297"/>
      <c r="L42" s="297"/>
      <c r="M42" s="297"/>
      <c r="N42" s="297"/>
      <c r="O42" s="297"/>
      <c r="P42" s="297"/>
      <c r="Q42" s="297"/>
      <c r="R42" s="297"/>
      <c r="S42" s="297"/>
      <c r="T42" s="297"/>
      <c r="U42" s="297"/>
      <c r="V42" s="297"/>
      <c r="W42" s="297"/>
      <c r="X42" s="297"/>
      <c r="Y42" s="297"/>
      <c r="Z42" s="297"/>
      <c r="AA42" s="297"/>
      <c r="AB42" s="297"/>
      <c r="AC42" s="297"/>
      <c r="AD42" s="297"/>
      <c r="AE42" s="297"/>
      <c r="AF42" s="297"/>
      <c r="AG42" s="297"/>
      <c r="AH42" s="297"/>
      <c r="AI42" s="297"/>
      <c r="AJ42" s="297"/>
      <c r="AK42" s="297"/>
    </row>
    <row r="43" spans="1:37" x14ac:dyDescent="0.2">
      <c r="A43" s="623" t="s">
        <v>549</v>
      </c>
      <c r="B43" s="367" t="str">
        <f>VLOOKUP(A43,TableInputsData[],ReadMe!$M$3,FALSE)</f>
        <v>SERVICE 04</v>
      </c>
      <c r="C43" s="367" t="str">
        <f>VLOOKUP(A43,TableInputsData[],6,FALSE)</f>
        <v>-</v>
      </c>
      <c r="D43" s="297"/>
      <c r="E43" s="297"/>
      <c r="F43" s="297"/>
      <c r="G43" s="297"/>
      <c r="H43" s="297"/>
      <c r="I43" s="297"/>
      <c r="J43" s="297"/>
      <c r="K43" s="297"/>
      <c r="L43" s="297"/>
      <c r="M43" s="297"/>
      <c r="N43" s="297"/>
      <c r="O43" s="297"/>
      <c r="P43" s="297"/>
      <c r="Q43" s="297"/>
      <c r="R43" s="297"/>
      <c r="S43" s="297"/>
      <c r="T43" s="297"/>
      <c r="U43" s="297"/>
      <c r="V43" s="297"/>
      <c r="W43" s="297"/>
      <c r="X43" s="297"/>
      <c r="Y43" s="297"/>
      <c r="Z43" s="297"/>
      <c r="AA43" s="297"/>
      <c r="AB43" s="297"/>
      <c r="AC43" s="297"/>
      <c r="AD43" s="297"/>
      <c r="AE43" s="297"/>
      <c r="AF43" s="297"/>
      <c r="AG43" s="297"/>
      <c r="AH43" s="297"/>
      <c r="AI43" s="297"/>
      <c r="AJ43" s="297"/>
      <c r="AK43" s="297"/>
    </row>
    <row r="44" spans="1:37" x14ac:dyDescent="0.2">
      <c r="A44" s="623" t="s">
        <v>550</v>
      </c>
      <c r="B44" s="367" t="str">
        <f>VLOOKUP(A44,TableInputsData[],ReadMe!$M$3,FALSE)</f>
        <v>SERVICE 05</v>
      </c>
      <c r="C44" s="367" t="str">
        <f>VLOOKUP(A44,TableInputsData[],6,FALSE)</f>
        <v>-</v>
      </c>
      <c r="D44" s="297"/>
      <c r="E44" s="297"/>
      <c r="F44" s="297"/>
      <c r="G44" s="297"/>
      <c r="H44" s="297"/>
      <c r="I44" s="297"/>
      <c r="J44" s="297"/>
      <c r="K44" s="297"/>
      <c r="L44" s="297"/>
      <c r="M44" s="297"/>
      <c r="N44" s="297"/>
      <c r="O44" s="297"/>
      <c r="P44" s="297"/>
      <c r="Q44" s="297"/>
      <c r="R44" s="297"/>
      <c r="S44" s="297"/>
      <c r="T44" s="297"/>
      <c r="U44" s="297"/>
      <c r="V44" s="297"/>
      <c r="W44" s="297"/>
      <c r="X44" s="297"/>
      <c r="Y44" s="297"/>
      <c r="Z44" s="297"/>
      <c r="AA44" s="297"/>
      <c r="AB44" s="297"/>
      <c r="AC44" s="297"/>
      <c r="AD44" s="297"/>
      <c r="AE44" s="297"/>
      <c r="AF44" s="297"/>
      <c r="AG44" s="297"/>
      <c r="AH44" s="297"/>
      <c r="AI44" s="297"/>
      <c r="AJ44" s="297"/>
      <c r="AK44" s="297"/>
    </row>
    <row r="45" spans="1:37" x14ac:dyDescent="0.2">
      <c r="A45" s="623" t="s">
        <v>551</v>
      </c>
      <c r="B45" s="367" t="str">
        <f>VLOOKUP(A45,TableInputsData[],ReadMe!$M$3,FALSE)</f>
        <v>SERVICE 06</v>
      </c>
      <c r="C45" s="367" t="str">
        <f>VLOOKUP(A45,TableInputsData[],6,FALSE)</f>
        <v>-</v>
      </c>
      <c r="D45" s="297"/>
      <c r="E45" s="297"/>
      <c r="F45" s="297"/>
      <c r="G45" s="297"/>
      <c r="H45" s="297"/>
      <c r="I45" s="297"/>
      <c r="J45" s="297"/>
      <c r="K45" s="297"/>
      <c r="L45" s="297"/>
      <c r="M45" s="297"/>
      <c r="N45" s="297"/>
      <c r="O45" s="297"/>
      <c r="P45" s="297"/>
      <c r="Q45" s="297"/>
      <c r="R45" s="297"/>
      <c r="S45" s="297"/>
      <c r="T45" s="297"/>
      <c r="U45" s="297"/>
      <c r="V45" s="297"/>
      <c r="W45" s="297"/>
      <c r="X45" s="297"/>
      <c r="Y45" s="297"/>
      <c r="Z45" s="297"/>
      <c r="AA45" s="297"/>
      <c r="AB45" s="297"/>
      <c r="AC45" s="297"/>
      <c r="AD45" s="297"/>
      <c r="AE45" s="297"/>
      <c r="AF45" s="297"/>
      <c r="AG45" s="297"/>
      <c r="AH45" s="297"/>
      <c r="AI45" s="297"/>
      <c r="AJ45" s="297"/>
      <c r="AK45" s="297"/>
    </row>
    <row r="46" spans="1:37" x14ac:dyDescent="0.2">
      <c r="A46" s="623" t="s">
        <v>552</v>
      </c>
      <c r="B46" s="367" t="str">
        <f>VLOOKUP(A46,TableInputsData[],ReadMe!$M$3,FALSE)</f>
        <v>SERVICE 07</v>
      </c>
      <c r="C46" s="367" t="str">
        <f>VLOOKUP(A46,TableInputsData[],6,FALSE)</f>
        <v>-</v>
      </c>
      <c r="D46" s="297"/>
      <c r="E46" s="297"/>
      <c r="F46" s="297"/>
      <c r="G46" s="297"/>
      <c r="H46" s="297"/>
      <c r="I46" s="297"/>
      <c r="J46" s="297"/>
      <c r="K46" s="297"/>
      <c r="L46" s="297"/>
      <c r="M46" s="297"/>
      <c r="N46" s="297"/>
      <c r="O46" s="297"/>
      <c r="P46" s="297"/>
      <c r="Q46" s="297"/>
      <c r="R46" s="297"/>
      <c r="S46" s="297"/>
      <c r="T46" s="297"/>
      <c r="U46" s="297"/>
      <c r="V46" s="297"/>
      <c r="W46" s="297"/>
      <c r="X46" s="297"/>
      <c r="Y46" s="297"/>
      <c r="Z46" s="297"/>
      <c r="AA46" s="297"/>
      <c r="AB46" s="297"/>
      <c r="AC46" s="297"/>
      <c r="AD46" s="297"/>
      <c r="AE46" s="297"/>
      <c r="AF46" s="297"/>
      <c r="AG46" s="297"/>
      <c r="AH46" s="297"/>
      <c r="AI46" s="297"/>
      <c r="AJ46" s="297"/>
      <c r="AK46" s="297"/>
    </row>
    <row r="47" spans="1:37" x14ac:dyDescent="0.2">
      <c r="A47" s="623" t="s">
        <v>553</v>
      </c>
      <c r="B47" s="367" t="str">
        <f>VLOOKUP(A47,TableInputsData[],ReadMe!$M$3,FALSE)</f>
        <v>SERVICE 08</v>
      </c>
      <c r="C47" s="367" t="str">
        <f>VLOOKUP(A47,TableInputsData[],6,FALSE)</f>
        <v>-</v>
      </c>
      <c r="D47" s="297"/>
      <c r="E47" s="297"/>
      <c r="F47" s="297"/>
      <c r="G47" s="297"/>
      <c r="H47" s="297"/>
      <c r="I47" s="297"/>
      <c r="J47" s="297"/>
      <c r="K47" s="297"/>
      <c r="L47" s="297"/>
      <c r="M47" s="297"/>
      <c r="N47" s="297"/>
      <c r="O47" s="297"/>
      <c r="P47" s="297"/>
      <c r="Q47" s="297"/>
      <c r="R47" s="297"/>
      <c r="S47" s="297"/>
      <c r="T47" s="297"/>
      <c r="U47" s="297"/>
      <c r="V47" s="297"/>
      <c r="W47" s="297"/>
      <c r="X47" s="297"/>
      <c r="Y47" s="297"/>
      <c r="Z47" s="297"/>
      <c r="AA47" s="297"/>
      <c r="AB47" s="297"/>
      <c r="AC47" s="297"/>
      <c r="AD47" s="297"/>
      <c r="AE47" s="297"/>
      <c r="AF47" s="297"/>
      <c r="AG47" s="297"/>
      <c r="AH47" s="297"/>
      <c r="AI47" s="297"/>
      <c r="AJ47" s="297"/>
      <c r="AK47" s="297"/>
    </row>
    <row r="48" spans="1:37" x14ac:dyDescent="0.2">
      <c r="A48" s="623" t="s">
        <v>554</v>
      </c>
      <c r="B48" s="367" t="str">
        <f>VLOOKUP(A48,TableInputsData[],ReadMe!$M$3,FALSE)</f>
        <v>SERVICE 09</v>
      </c>
      <c r="C48" s="367" t="str">
        <f>VLOOKUP(A48,TableInputsData[],6,FALSE)</f>
        <v>-</v>
      </c>
      <c r="D48" s="297"/>
      <c r="E48" s="297"/>
      <c r="F48" s="297"/>
      <c r="G48" s="297"/>
      <c r="H48" s="297"/>
      <c r="I48" s="297"/>
      <c r="J48" s="297"/>
      <c r="K48" s="297"/>
      <c r="L48" s="297"/>
      <c r="M48" s="297"/>
      <c r="N48" s="297"/>
      <c r="O48" s="297"/>
      <c r="P48" s="297"/>
      <c r="Q48" s="297"/>
      <c r="R48" s="297"/>
      <c r="S48" s="297"/>
      <c r="T48" s="297"/>
      <c r="U48" s="297"/>
      <c r="V48" s="297"/>
      <c r="W48" s="297"/>
      <c r="X48" s="297"/>
      <c r="Y48" s="297"/>
      <c r="Z48" s="297"/>
      <c r="AA48" s="297"/>
      <c r="AB48" s="297"/>
      <c r="AC48" s="297"/>
      <c r="AD48" s="297"/>
      <c r="AE48" s="297"/>
      <c r="AF48" s="297"/>
      <c r="AG48" s="297"/>
      <c r="AH48" s="297"/>
      <c r="AI48" s="297"/>
      <c r="AJ48" s="297"/>
      <c r="AK48" s="297"/>
    </row>
    <row r="49" spans="1:37" x14ac:dyDescent="0.2">
      <c r="A49" s="623" t="s">
        <v>115</v>
      </c>
      <c r="B49" s="367" t="str">
        <f>VLOOKUP(A49,TableInputsData[],ReadMe!$M$3,FALSE)</f>
        <v>SERVICE 10</v>
      </c>
      <c r="C49" s="367" t="str">
        <f>VLOOKUP(A49,TableInputsData[],6,FALSE)</f>
        <v>-</v>
      </c>
      <c r="D49" s="297"/>
      <c r="E49" s="297"/>
      <c r="F49" s="297"/>
      <c r="G49" s="297"/>
      <c r="H49" s="297"/>
      <c r="I49" s="297"/>
      <c r="J49" s="297"/>
      <c r="K49" s="297"/>
      <c r="L49" s="297"/>
      <c r="M49" s="297"/>
      <c r="N49" s="297"/>
      <c r="O49" s="297"/>
      <c r="P49" s="297"/>
      <c r="Q49" s="297"/>
      <c r="R49" s="297"/>
      <c r="S49" s="297"/>
      <c r="T49" s="297"/>
      <c r="U49" s="297"/>
      <c r="V49" s="297"/>
      <c r="W49" s="297"/>
      <c r="X49" s="297"/>
      <c r="Y49" s="297"/>
      <c r="Z49" s="297"/>
      <c r="AA49" s="297"/>
      <c r="AB49" s="297"/>
      <c r="AC49" s="297"/>
      <c r="AD49" s="297"/>
      <c r="AE49" s="297"/>
      <c r="AF49" s="297"/>
      <c r="AG49" s="297"/>
      <c r="AH49" s="297"/>
      <c r="AI49" s="297"/>
      <c r="AJ49" s="297"/>
      <c r="AK49" s="297"/>
    </row>
    <row r="50" spans="1:37" x14ac:dyDescent="0.2">
      <c r="A50" s="297"/>
      <c r="B50" s="297"/>
      <c r="C50" s="297"/>
      <c r="D50" s="297"/>
      <c r="E50" s="297"/>
      <c r="F50" s="297"/>
      <c r="G50" s="297"/>
      <c r="H50" s="297"/>
      <c r="I50" s="297"/>
      <c r="J50" s="297"/>
      <c r="K50" s="297"/>
      <c r="L50" s="297"/>
      <c r="M50" s="297"/>
      <c r="N50" s="297"/>
      <c r="O50" s="297"/>
      <c r="P50" s="297"/>
      <c r="Q50" s="297"/>
      <c r="R50" s="297"/>
      <c r="S50" s="297"/>
      <c r="T50" s="297"/>
      <c r="U50" s="297"/>
      <c r="V50" s="297"/>
      <c r="W50" s="297"/>
      <c r="X50" s="297"/>
      <c r="Y50" s="297"/>
      <c r="Z50" s="297"/>
      <c r="AA50" s="297"/>
      <c r="AB50" s="297"/>
      <c r="AC50" s="297"/>
      <c r="AD50" s="297"/>
      <c r="AE50" s="297"/>
      <c r="AF50" s="297"/>
      <c r="AG50" s="297"/>
      <c r="AH50" s="297"/>
      <c r="AI50" s="297"/>
      <c r="AJ50" s="297"/>
      <c r="AK50" s="297"/>
    </row>
    <row r="51" spans="1:37" x14ac:dyDescent="0.2">
      <c r="A51" s="297"/>
      <c r="B51" s="297"/>
      <c r="C51" s="297"/>
      <c r="D51" s="297"/>
      <c r="E51" s="297"/>
      <c r="F51" s="297"/>
      <c r="G51" s="297"/>
      <c r="H51" s="297"/>
      <c r="I51" s="297"/>
      <c r="J51" s="297"/>
      <c r="K51" s="297"/>
      <c r="L51" s="297"/>
      <c r="M51" s="297"/>
      <c r="N51" s="297"/>
      <c r="O51" s="297"/>
      <c r="P51" s="297"/>
      <c r="Q51" s="297"/>
      <c r="R51" s="297"/>
      <c r="S51" s="297"/>
      <c r="T51" s="297"/>
      <c r="U51" s="297"/>
      <c r="V51" s="297"/>
      <c r="W51" s="297"/>
      <c r="X51" s="297"/>
      <c r="Y51" s="297"/>
      <c r="Z51" s="297"/>
      <c r="AA51" s="297"/>
      <c r="AB51" s="297"/>
      <c r="AC51" s="297"/>
      <c r="AD51" s="297"/>
      <c r="AE51" s="297"/>
      <c r="AF51" s="297"/>
      <c r="AG51" s="297"/>
      <c r="AH51" s="297"/>
      <c r="AI51" s="297"/>
      <c r="AJ51" s="297"/>
      <c r="AK51" s="297"/>
    </row>
    <row r="52" spans="1:37" x14ac:dyDescent="0.2">
      <c r="A52" s="297"/>
      <c r="B52" s="297"/>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row>
    <row r="53" spans="1:37" x14ac:dyDescent="0.2">
      <c r="A53" s="297"/>
      <c r="B53" s="297"/>
      <c r="C53" s="297"/>
      <c r="D53" s="297"/>
      <c r="E53" s="297"/>
      <c r="F53" s="297"/>
      <c r="G53" s="297"/>
      <c r="H53" s="297"/>
      <c r="I53" s="297"/>
      <c r="J53" s="297"/>
      <c r="K53" s="297"/>
      <c r="L53" s="297"/>
      <c r="M53" s="297"/>
      <c r="N53" s="297"/>
      <c r="O53" s="297"/>
      <c r="P53" s="297"/>
      <c r="Q53" s="297"/>
      <c r="R53" s="297"/>
      <c r="S53" s="297"/>
      <c r="T53" s="297"/>
      <c r="U53" s="297"/>
      <c r="V53" s="297"/>
      <c r="W53" s="297"/>
      <c r="X53" s="297"/>
      <c r="Y53" s="297"/>
      <c r="Z53" s="297"/>
      <c r="AA53" s="297"/>
      <c r="AB53" s="297"/>
      <c r="AC53" s="297"/>
      <c r="AD53" s="297"/>
      <c r="AE53" s="297"/>
      <c r="AF53" s="297"/>
      <c r="AG53" s="297"/>
      <c r="AH53" s="297"/>
      <c r="AI53" s="297"/>
      <c r="AJ53" s="297"/>
      <c r="AK53" s="297"/>
    </row>
    <row r="54" spans="1:37" x14ac:dyDescent="0.2">
      <c r="A54" s="297"/>
      <c r="B54" s="297"/>
      <c r="C54" s="297"/>
      <c r="D54" s="297"/>
      <c r="E54" s="297"/>
      <c r="F54" s="297"/>
      <c r="G54" s="297"/>
      <c r="H54" s="297"/>
      <c r="I54" s="297"/>
      <c r="J54" s="297"/>
      <c r="K54" s="297"/>
      <c r="L54" s="297"/>
      <c r="M54" s="297"/>
      <c r="N54" s="297"/>
      <c r="O54" s="297"/>
      <c r="P54" s="297"/>
      <c r="Q54" s="297"/>
      <c r="R54" s="297"/>
      <c r="S54" s="297"/>
      <c r="T54" s="297"/>
      <c r="U54" s="297"/>
      <c r="V54" s="297"/>
      <c r="W54" s="297"/>
      <c r="X54" s="297"/>
      <c r="Y54" s="297"/>
      <c r="Z54" s="297"/>
      <c r="AA54" s="297"/>
      <c r="AB54" s="297"/>
      <c r="AC54" s="297"/>
      <c r="AD54" s="297"/>
      <c r="AE54" s="297"/>
      <c r="AF54" s="297"/>
      <c r="AG54" s="297"/>
      <c r="AH54" s="297"/>
      <c r="AI54" s="297"/>
      <c r="AJ54" s="297"/>
      <c r="AK54" s="297"/>
    </row>
    <row r="55" spans="1:37" x14ac:dyDescent="0.2">
      <c r="A55" s="297"/>
      <c r="B55" s="297"/>
      <c r="C55" s="297"/>
      <c r="D55" s="297"/>
      <c r="E55" s="297"/>
      <c r="F55" s="297"/>
      <c r="G55" s="297"/>
      <c r="H55" s="297"/>
      <c r="I55" s="297"/>
      <c r="J55" s="297"/>
      <c r="K55" s="297"/>
      <c r="L55" s="297"/>
      <c r="M55" s="297"/>
      <c r="N55" s="297"/>
      <c r="O55" s="297"/>
      <c r="P55" s="297"/>
      <c r="Q55" s="297"/>
      <c r="R55" s="297"/>
      <c r="S55" s="297"/>
      <c r="T55" s="297"/>
      <c r="U55" s="297"/>
      <c r="V55" s="297"/>
      <c r="W55" s="297"/>
      <c r="X55" s="297"/>
      <c r="Y55" s="297"/>
      <c r="Z55" s="297"/>
      <c r="AA55" s="297"/>
      <c r="AB55" s="297"/>
      <c r="AC55" s="297"/>
      <c r="AD55" s="297"/>
      <c r="AE55" s="297"/>
      <c r="AF55" s="297"/>
      <c r="AG55" s="297"/>
      <c r="AH55" s="297"/>
      <c r="AI55" s="297"/>
      <c r="AJ55" s="297"/>
      <c r="AK55" s="297"/>
    </row>
    <row r="56" spans="1:37" x14ac:dyDescent="0.2">
      <c r="A56" s="297"/>
      <c r="B56" s="296" t="str">
        <f>InputsData!$J$1</f>
        <v>MONNAIE LOCALE : CFA</v>
      </c>
      <c r="C56" s="297"/>
      <c r="D56" s="297"/>
      <c r="E56" s="297"/>
      <c r="F56" s="297"/>
      <c r="G56" s="297"/>
      <c r="H56" s="297"/>
      <c r="I56" s="297"/>
      <c r="J56" s="297"/>
      <c r="K56" s="297"/>
      <c r="L56" s="295" t="str">
        <f>InputsData!$J$2</f>
        <v>STRICTEMENT CONFIDENTIEL | ABC CORPORATION</v>
      </c>
      <c r="M56" s="297"/>
      <c r="N56" s="297"/>
      <c r="O56" s="297"/>
      <c r="P56" s="297"/>
      <c r="Q56" s="297"/>
      <c r="R56" s="297"/>
      <c r="S56" s="297"/>
      <c r="T56" s="297"/>
      <c r="U56" s="297"/>
      <c r="V56" s="297"/>
      <c r="W56" s="297"/>
      <c r="X56" s="297"/>
      <c r="Y56" s="297"/>
      <c r="Z56" s="297"/>
      <c r="AA56" s="297"/>
      <c r="AB56" s="297"/>
      <c r="AC56" s="297"/>
      <c r="AD56" s="297"/>
      <c r="AE56" s="297"/>
      <c r="AF56" s="297"/>
      <c r="AG56" s="297"/>
      <c r="AH56" s="297"/>
      <c r="AI56" s="297"/>
      <c r="AJ56" s="297"/>
      <c r="AK56" s="297"/>
    </row>
    <row r="57" spans="1:37" ht="15" customHeight="1" x14ac:dyDescent="0.2">
      <c r="A57" s="297"/>
      <c r="B57" s="934" t="str">
        <f>VLOOKUP("REVENUE AND GROSS PROFIT PER PRODUCT / SERVICE TYPE",TableInputsData[],ReadMe!$M$3,FALSE)</f>
        <v>CA ET MARGE BRUTE PAR TYPE DE PRODUIT / SERVICE</v>
      </c>
      <c r="C57" s="934" t="str">
        <f>VLOOKUP("YEAR-2",TableInputsData[],ReadMe!$M$3,FALSE)</f>
        <v>ANNEE-2</v>
      </c>
      <c r="D57" s="934" t="str">
        <f>VLOOKUP("YEAR-2",TableInputsData[],ReadMe!$M$3,FALSE)</f>
        <v>ANNEE-2</v>
      </c>
      <c r="E57" s="235" t="str">
        <f>VLOOKUP(E58,TableInputsData[],ReadMe!$M$3,FALSE)</f>
        <v>ANNEE-2</v>
      </c>
      <c r="F57" s="235" t="str">
        <f>VLOOKUP(F58,TableInputsData[],ReadMe!$M$3,FALSE)</f>
        <v>ANNEE-1</v>
      </c>
      <c r="G57" s="235" t="str">
        <f>VLOOKUP(G58,TableInputsData[],ReadMe!$M$3,FALSE)</f>
        <v>ANNEE EN COURS</v>
      </c>
      <c r="H57" s="235" t="str">
        <f>VLOOKUP(H58,TableInputsData[],ReadMe!$M$3,FALSE)</f>
        <v>ANNEE2</v>
      </c>
      <c r="I57" s="235" t="str">
        <f>VLOOKUP(I58,TableInputsData[],ReadMe!$M$3,FALSE)</f>
        <v>ANNEE3</v>
      </c>
      <c r="J57" s="235" t="str">
        <f>VLOOKUP(J58,TableInputsData[],ReadMe!$M$3,FALSE)</f>
        <v>ANNEE4</v>
      </c>
      <c r="K57" s="235" t="str">
        <f>VLOOKUP(K58,TableInputsData[],ReadMe!$M$3,FALSE)</f>
        <v>ANNEE5</v>
      </c>
      <c r="L57" s="235" t="str">
        <f>VLOOKUP(L58,TableInputsData[],ReadMe!$M$3,FALSE)</f>
        <v>ANNEE6</v>
      </c>
      <c r="M57" s="297"/>
      <c r="N57" s="297"/>
      <c r="O57" s="297"/>
      <c r="P57" s="297"/>
      <c r="Q57" s="297"/>
      <c r="R57" s="297"/>
      <c r="S57" s="297"/>
      <c r="T57" s="297"/>
      <c r="U57" s="297"/>
      <c r="V57" s="297"/>
      <c r="W57" s="297"/>
      <c r="X57" s="297"/>
      <c r="Y57" s="297"/>
      <c r="Z57" s="297"/>
      <c r="AA57" s="297"/>
      <c r="AB57" s="297"/>
      <c r="AC57" s="297"/>
      <c r="AD57" s="297"/>
      <c r="AE57" s="297"/>
      <c r="AF57" s="297"/>
      <c r="AG57" s="297"/>
      <c r="AH57" s="297"/>
      <c r="AI57" s="297"/>
      <c r="AJ57" s="297"/>
      <c r="AK57" s="297"/>
    </row>
    <row r="58" spans="1:37" ht="15" hidden="1" customHeight="1" x14ac:dyDescent="0.2">
      <c r="A58" s="297"/>
      <c r="B58" s="935"/>
      <c r="C58" s="935"/>
      <c r="D58" s="935"/>
      <c r="E58" s="224" t="s">
        <v>392</v>
      </c>
      <c r="F58" s="224" t="s">
        <v>391</v>
      </c>
      <c r="G58" s="224" t="s">
        <v>393</v>
      </c>
      <c r="H58" s="224" t="s">
        <v>396</v>
      </c>
      <c r="I58" s="224" t="s">
        <v>397</v>
      </c>
      <c r="J58" s="224" t="s">
        <v>398</v>
      </c>
      <c r="K58" s="224" t="s">
        <v>399</v>
      </c>
      <c r="L58" s="224" t="s">
        <v>400</v>
      </c>
      <c r="M58" s="297"/>
      <c r="N58" s="297"/>
      <c r="O58" s="297"/>
      <c r="P58" s="297"/>
      <c r="Q58" s="297"/>
      <c r="R58" s="297"/>
      <c r="S58" s="297"/>
      <c r="T58" s="297"/>
      <c r="U58" s="297"/>
      <c r="V58" s="297"/>
      <c r="W58" s="297"/>
      <c r="X58" s="297"/>
      <c r="Y58" s="297"/>
      <c r="Z58" s="297"/>
      <c r="AA58" s="297"/>
      <c r="AB58" s="297"/>
      <c r="AC58" s="297"/>
      <c r="AD58" s="297"/>
      <c r="AE58" s="297"/>
      <c r="AF58" s="297"/>
      <c r="AG58" s="297"/>
      <c r="AH58" s="297"/>
      <c r="AI58" s="297"/>
      <c r="AJ58" s="297"/>
      <c r="AK58" s="297"/>
    </row>
    <row r="59" spans="1:37" ht="15" customHeight="1" x14ac:dyDescent="0.2">
      <c r="A59" s="297"/>
      <c r="B59" s="935" t="str">
        <f>VLOOKUP("YEAR-2",TableInputsData[],ReadMe!$M$3,FALSE)</f>
        <v>ANNEE-2</v>
      </c>
      <c r="C59" s="935" t="str">
        <f>VLOOKUP("YEAR-2",TableInputsData[],ReadMe!$M$3,FALSE)</f>
        <v>ANNEE-2</v>
      </c>
      <c r="D59" s="935" t="str">
        <f>VLOOKUP("YEAR-2",TableInputsData[],ReadMe!$M$3,FALSE)</f>
        <v>ANNEE-2</v>
      </c>
      <c r="E59" s="224" t="str">
        <f>VLOOKUP(E58,TableInputsData[],7,FALSE)</f>
        <v>ACTUAL</v>
      </c>
      <c r="F59" s="224" t="str">
        <f>VLOOKUP(F58,TableInputsData[],7,FALSE)</f>
        <v>ACTUAL</v>
      </c>
      <c r="G59" s="224" t="str">
        <f>VLOOKUP(G58,TableInputsData[],7,FALSE)</f>
        <v>FORECAST</v>
      </c>
      <c r="H59" s="224" t="str">
        <f>VLOOKUP(H58,TableInputsData[],7,FALSE)</f>
        <v>FORECAST</v>
      </c>
      <c r="I59" s="224" t="str">
        <f>VLOOKUP(I58,TableInputsData[],7,FALSE)</f>
        <v>FORECAST</v>
      </c>
      <c r="J59" s="224" t="str">
        <f>VLOOKUP(J58,TableInputsData[],7,FALSE)</f>
        <v>FORECAST</v>
      </c>
      <c r="K59" s="224" t="str">
        <f>VLOOKUP(K58,TableInputsData[],7,FALSE)</f>
        <v>FORECAST</v>
      </c>
      <c r="L59" s="224" t="str">
        <f>VLOOKUP(L58,TableInputsData[],7,FALSE)</f>
        <v>FORECAST</v>
      </c>
      <c r="M59" s="297"/>
      <c r="N59" s="297"/>
      <c r="O59" s="297"/>
      <c r="P59" s="297"/>
      <c r="Q59" s="297"/>
      <c r="R59" s="297"/>
      <c r="S59" s="297"/>
      <c r="T59" s="297"/>
      <c r="U59" s="297"/>
      <c r="V59" s="297"/>
      <c r="W59" s="297"/>
      <c r="X59" s="297"/>
      <c r="Y59" s="297"/>
      <c r="Z59" s="297"/>
      <c r="AA59" s="297"/>
      <c r="AB59" s="297"/>
      <c r="AC59" s="297"/>
      <c r="AD59" s="297"/>
      <c r="AE59" s="297"/>
      <c r="AF59" s="297"/>
      <c r="AG59" s="297"/>
      <c r="AH59" s="297"/>
      <c r="AI59" s="297"/>
      <c r="AJ59" s="297"/>
      <c r="AK59" s="297"/>
    </row>
    <row r="60" spans="1:37" x14ac:dyDescent="0.2">
      <c r="A60" s="297"/>
      <c r="B60" s="936" t="str">
        <f>VLOOKUP("YEAR-2",TableInputsData[],ReadMe!$M$3,FALSE)</f>
        <v>ANNEE-2</v>
      </c>
      <c r="C60" s="936" t="str">
        <f>VLOOKUP("YEAR-2",TableInputsData[],ReadMe!$M$3,FALSE)</f>
        <v>ANNEE-2</v>
      </c>
      <c r="D60" s="936" t="str">
        <f>VLOOKUP("YEAR-2",TableInputsData[],ReadMe!$M$3,FALSE)</f>
        <v>ANNEE-2</v>
      </c>
      <c r="E60" s="596">
        <f>VLOOKUP(E58,TableInputsData[],8,FALSE)</f>
        <v>2023</v>
      </c>
      <c r="F60" s="596">
        <f>VLOOKUP(F58,TableInputsData[],8,FALSE)</f>
        <v>2024</v>
      </c>
      <c r="G60" s="596">
        <f>VLOOKUP(G58,TableInputsData[],8,FALSE)</f>
        <v>2025</v>
      </c>
      <c r="H60" s="596">
        <f>VLOOKUP(H58,TableInputsData[],8,FALSE)</f>
        <v>2026</v>
      </c>
      <c r="I60" s="596">
        <f>VLOOKUP(I58,TableInputsData[],8,FALSE)</f>
        <v>2027</v>
      </c>
      <c r="J60" s="596">
        <f>VLOOKUP(J58,TableInputsData[],8,FALSE)</f>
        <v>2028</v>
      </c>
      <c r="K60" s="596">
        <f>VLOOKUP(K58,TableInputsData[],8,FALSE)</f>
        <v>2029</v>
      </c>
      <c r="L60" s="596">
        <f>VLOOKUP(L58,TableInputsData[],8,FALSE)</f>
        <v>2030</v>
      </c>
      <c r="M60" s="297"/>
      <c r="N60" s="297"/>
      <c r="O60" s="297"/>
      <c r="P60" s="297"/>
      <c r="Q60" s="297"/>
      <c r="R60" s="297"/>
      <c r="S60" s="297"/>
      <c r="T60" s="297"/>
      <c r="U60" s="297"/>
      <c r="V60" s="297"/>
      <c r="W60" s="297"/>
      <c r="X60" s="297"/>
      <c r="Y60" s="297"/>
      <c r="Z60" s="297"/>
      <c r="AA60" s="297"/>
      <c r="AB60" s="297"/>
      <c r="AC60" s="297"/>
      <c r="AD60" s="297"/>
      <c r="AE60" s="297"/>
      <c r="AF60" s="297"/>
      <c r="AG60" s="297"/>
      <c r="AH60" s="297"/>
      <c r="AI60" s="297"/>
      <c r="AJ60" s="297"/>
      <c r="AK60" s="297"/>
    </row>
    <row r="61" spans="1:37" x14ac:dyDescent="0.2">
      <c r="A61" s="297"/>
      <c r="B61" s="297"/>
      <c r="C61" s="297"/>
      <c r="D61" s="297"/>
      <c r="E61" s="297"/>
      <c r="F61" s="297"/>
      <c r="G61" s="297"/>
      <c r="H61" s="297"/>
      <c r="I61" s="297"/>
      <c r="J61" s="297"/>
      <c r="K61" s="297"/>
      <c r="L61" s="297"/>
      <c r="M61" s="297"/>
      <c r="N61" s="297"/>
      <c r="O61" s="297"/>
      <c r="P61" s="297"/>
      <c r="Q61" s="297"/>
      <c r="R61" s="297"/>
      <c r="S61" s="297"/>
      <c r="T61" s="297"/>
      <c r="U61" s="297"/>
      <c r="V61" s="297"/>
      <c r="W61" s="297"/>
      <c r="X61" s="297"/>
      <c r="Y61" s="297"/>
      <c r="Z61" s="297"/>
      <c r="AA61" s="297"/>
      <c r="AB61" s="297"/>
      <c r="AC61" s="297"/>
      <c r="AD61" s="297"/>
      <c r="AE61" s="297"/>
      <c r="AF61" s="297"/>
      <c r="AG61" s="297"/>
      <c r="AH61" s="297"/>
      <c r="AI61" s="297"/>
      <c r="AJ61" s="297"/>
      <c r="AK61" s="297"/>
    </row>
    <row r="62" spans="1:37" x14ac:dyDescent="0.2">
      <c r="A62" s="297"/>
      <c r="B62" s="297"/>
      <c r="C62" s="297"/>
      <c r="D62" s="301"/>
      <c r="E62" s="297"/>
      <c r="F62" s="297"/>
      <c r="G62" s="297"/>
      <c r="H62" s="297"/>
      <c r="I62" s="297"/>
      <c r="J62" s="297"/>
      <c r="K62" s="297"/>
      <c r="L62" s="297"/>
      <c r="M62" s="297"/>
      <c r="N62" s="297"/>
      <c r="O62" s="297"/>
      <c r="P62" s="297"/>
      <c r="Q62" s="297"/>
      <c r="R62" s="297"/>
      <c r="S62" s="297"/>
      <c r="T62" s="297"/>
      <c r="U62" s="297"/>
      <c r="V62" s="297"/>
      <c r="W62" s="297"/>
      <c r="X62" s="297"/>
      <c r="Y62" s="297"/>
      <c r="Z62" s="297"/>
      <c r="AA62" s="297"/>
      <c r="AB62" s="297"/>
      <c r="AC62" s="297"/>
      <c r="AD62" s="297"/>
      <c r="AE62" s="297"/>
      <c r="AF62" s="297"/>
      <c r="AG62" s="297"/>
      <c r="AH62" s="297"/>
      <c r="AI62" s="297"/>
      <c r="AJ62" s="297"/>
      <c r="AK62" s="297"/>
    </row>
    <row r="63" spans="1:37" x14ac:dyDescent="0.2">
      <c r="A63" s="297"/>
      <c r="B63" s="297"/>
      <c r="C63" s="297"/>
      <c r="D63" s="340" t="s">
        <v>1730</v>
      </c>
      <c r="E63" s="297"/>
      <c r="F63" s="297"/>
      <c r="G63" s="297"/>
      <c r="H63" s="297"/>
      <c r="I63" s="297"/>
      <c r="J63" s="297"/>
      <c r="K63" s="297"/>
      <c r="L63" s="297"/>
      <c r="M63" s="297"/>
      <c r="N63" s="297"/>
      <c r="O63" s="297"/>
      <c r="P63" s="297"/>
      <c r="Q63" s="297"/>
      <c r="R63" s="297"/>
      <c r="S63" s="297"/>
      <c r="T63" s="297"/>
      <c r="U63" s="297"/>
      <c r="V63" s="297"/>
      <c r="W63" s="297"/>
      <c r="X63" s="297"/>
      <c r="Y63" s="297"/>
      <c r="Z63" s="297"/>
      <c r="AA63" s="297"/>
      <c r="AB63" s="297"/>
      <c r="AC63" s="297"/>
      <c r="AD63" s="297"/>
      <c r="AE63" s="297"/>
      <c r="AF63" s="297"/>
      <c r="AG63" s="297"/>
      <c r="AH63" s="297"/>
      <c r="AI63" s="297"/>
      <c r="AJ63" s="297"/>
      <c r="AK63" s="297"/>
    </row>
    <row r="64" spans="1:37" x14ac:dyDescent="0.2">
      <c r="A64" s="297"/>
      <c r="B64" s="297"/>
      <c r="C64" s="297"/>
      <c r="D64" s="363" t="s">
        <v>465</v>
      </c>
      <c r="E64" s="365" t="s">
        <v>114</v>
      </c>
      <c r="F64" s="933" t="str">
        <f>IF(ISNA(VLOOKUP(F67,TableInputsData[],ReadMe!$M$3,FALSE)),"",VLOOKUP(F67,TableInputsData[],ReadMe!$M$3,FALSE))</f>
        <v>PRODUIT</v>
      </c>
      <c r="G64" s="933" t="str">
        <f>IF(ISNA(VLOOKUP(G67,TableInputsData[],ReadMe!$M$3,FALSE)),"",VLOOKUP(G67,TableInputsData[],ReadMe!$M$3,FALSE))</f>
        <v>SERVICE</v>
      </c>
      <c r="H64" s="297"/>
      <c r="I64" s="297"/>
      <c r="J64" s="297"/>
      <c r="K64" s="297"/>
      <c r="L64" s="297"/>
      <c r="M64" s="297"/>
      <c r="N64" s="297"/>
      <c r="O64" s="297"/>
      <c r="P64" s="297"/>
      <c r="Q64" s="297"/>
      <c r="R64" s="297"/>
      <c r="S64" s="297"/>
      <c r="T64" s="297"/>
      <c r="U64" s="297"/>
      <c r="V64" s="297"/>
      <c r="W64" s="297"/>
      <c r="X64" s="297"/>
      <c r="Y64" s="297"/>
      <c r="Z64" s="297"/>
      <c r="AA64" s="297"/>
      <c r="AB64" s="297"/>
      <c r="AC64" s="297"/>
      <c r="AD64" s="297"/>
      <c r="AE64" s="297"/>
      <c r="AF64" s="297"/>
      <c r="AG64" s="297"/>
      <c r="AH64" s="297"/>
      <c r="AI64" s="297"/>
      <c r="AJ64" s="297"/>
      <c r="AK64" s="297"/>
    </row>
    <row r="65" spans="1:37" x14ac:dyDescent="0.2">
      <c r="A65" s="297"/>
      <c r="B65" s="300" t="s">
        <v>1735</v>
      </c>
      <c r="C65" s="297"/>
      <c r="D65" s="297"/>
      <c r="E65" s="297"/>
      <c r="F65" s="933"/>
      <c r="G65" s="933"/>
      <c r="H65" s="297"/>
      <c r="I65" s="297"/>
      <c r="J65" s="297"/>
      <c r="K65" s="297"/>
      <c r="L65" s="297"/>
      <c r="M65" s="297"/>
      <c r="N65" s="297"/>
      <c r="O65" s="297"/>
      <c r="P65" s="297"/>
      <c r="Q65" s="297"/>
      <c r="R65" s="297"/>
      <c r="S65" s="297"/>
      <c r="T65" s="297"/>
      <c r="U65" s="297"/>
      <c r="V65" s="297"/>
      <c r="W65" s="297"/>
      <c r="X65" s="297"/>
      <c r="Y65" s="297"/>
      <c r="Z65" s="297"/>
      <c r="AA65" s="297"/>
      <c r="AB65" s="297"/>
      <c r="AC65" s="297"/>
      <c r="AD65" s="297"/>
      <c r="AE65" s="297"/>
      <c r="AF65" s="297"/>
      <c r="AG65" s="297"/>
      <c r="AH65" s="297"/>
      <c r="AI65" s="297"/>
      <c r="AJ65" s="297"/>
      <c r="AK65" s="297"/>
    </row>
    <row r="66" spans="1:37" x14ac:dyDescent="0.2">
      <c r="A66" s="623" t="s">
        <v>1506</v>
      </c>
      <c r="B66" s="364" t="s">
        <v>1493</v>
      </c>
      <c r="C66" s="364" t="s">
        <v>1494</v>
      </c>
      <c r="D66" s="364" t="s">
        <v>521</v>
      </c>
      <c r="E66" s="364"/>
      <c r="F66" s="363" t="s">
        <v>624</v>
      </c>
      <c r="G66" s="904"/>
      <c r="H66" s="297"/>
      <c r="I66" s="297"/>
      <c r="J66" s="297"/>
      <c r="K66" s="297"/>
      <c r="L66" s="297"/>
      <c r="M66" s="297"/>
      <c r="N66" s="297"/>
      <c r="O66" s="297"/>
      <c r="P66" s="297"/>
      <c r="Q66" s="297"/>
      <c r="R66" s="297"/>
      <c r="S66" s="297"/>
      <c r="T66" s="297"/>
      <c r="U66" s="297"/>
      <c r="V66" s="297"/>
      <c r="W66" s="297"/>
      <c r="X66" s="297"/>
      <c r="Y66" s="297"/>
      <c r="Z66" s="297"/>
      <c r="AA66" s="297"/>
      <c r="AB66" s="297"/>
      <c r="AC66" s="297"/>
      <c r="AD66" s="297"/>
      <c r="AE66" s="297"/>
      <c r="AF66" s="297"/>
      <c r="AG66" s="297"/>
      <c r="AH66" s="297"/>
      <c r="AI66" s="297"/>
      <c r="AJ66" s="297"/>
      <c r="AK66" s="297"/>
    </row>
    <row r="67" spans="1:37" x14ac:dyDescent="0.2">
      <c r="A67" s="653" t="s">
        <v>588</v>
      </c>
      <c r="B67" s="655" t="str">
        <f>VLOOKUP(A67,TableInputsData[],ReadMe!$M$3,FALSE)</f>
        <v>PRODUIT</v>
      </c>
      <c r="C67" s="367" t="s">
        <v>370</v>
      </c>
      <c r="D67" s="152" t="s">
        <v>0</v>
      </c>
      <c r="E67" s="152" t="s">
        <v>462</v>
      </c>
      <c r="F67" s="905" t="s">
        <v>588</v>
      </c>
      <c r="G67" s="905" t="s">
        <v>121</v>
      </c>
      <c r="H67" s="297"/>
      <c r="I67" s="297"/>
      <c r="J67" s="297"/>
      <c r="K67" s="297"/>
      <c r="L67" s="297"/>
      <c r="M67" s="297"/>
      <c r="N67" s="297"/>
      <c r="O67" s="297"/>
      <c r="P67" s="297"/>
      <c r="Q67" s="297"/>
      <c r="R67" s="297"/>
      <c r="S67" s="297"/>
      <c r="T67" s="297"/>
      <c r="U67" s="297"/>
      <c r="V67" s="297"/>
      <c r="W67" s="297"/>
      <c r="X67" s="297"/>
      <c r="Y67" s="297"/>
      <c r="Z67" s="297"/>
      <c r="AA67" s="297"/>
      <c r="AB67" s="297"/>
      <c r="AC67" s="297"/>
      <c r="AD67" s="297"/>
      <c r="AE67" s="297"/>
      <c r="AF67" s="297"/>
      <c r="AG67" s="297"/>
      <c r="AH67" s="297"/>
      <c r="AI67" s="297"/>
      <c r="AJ67" s="297"/>
      <c r="AK67" s="297"/>
    </row>
    <row r="68" spans="1:37" x14ac:dyDescent="0.2">
      <c r="A68" s="653" t="s">
        <v>121</v>
      </c>
      <c r="B68" s="655" t="str">
        <f>VLOOKUP(A68,TableInputsData[],ReadMe!$M$3,FALSE)</f>
        <v>SERVICE</v>
      </c>
      <c r="C68" s="367" t="s">
        <v>370</v>
      </c>
      <c r="D68" s="163" t="s">
        <v>457</v>
      </c>
      <c r="E68" s="163">
        <v>2023</v>
      </c>
      <c r="F68" s="903">
        <v>0</v>
      </c>
      <c r="G68" s="903">
        <v>0</v>
      </c>
      <c r="H68" s="297"/>
      <c r="I68" s="297"/>
      <c r="J68" s="297"/>
      <c r="K68" s="297"/>
      <c r="L68" s="297"/>
      <c r="M68" s="297"/>
      <c r="N68" s="297"/>
      <c r="O68" s="297"/>
      <c r="P68" s="297"/>
      <c r="Q68" s="297"/>
      <c r="R68" s="297"/>
      <c r="S68" s="297"/>
      <c r="T68" s="297"/>
      <c r="U68" s="297"/>
      <c r="V68" s="297"/>
      <c r="W68" s="297"/>
      <c r="X68" s="297"/>
      <c r="Y68" s="297"/>
      <c r="Z68" s="297"/>
      <c r="AA68" s="297"/>
      <c r="AB68" s="297"/>
      <c r="AC68" s="297"/>
      <c r="AD68" s="297"/>
      <c r="AE68" s="297"/>
      <c r="AF68" s="297"/>
      <c r="AG68" s="297"/>
      <c r="AH68" s="297"/>
      <c r="AI68" s="297"/>
      <c r="AJ68" s="297"/>
      <c r="AK68" s="297"/>
    </row>
    <row r="69" spans="1:37" x14ac:dyDescent="0.2">
      <c r="A69" s="297"/>
      <c r="B69" s="297"/>
      <c r="C69" s="297"/>
      <c r="D69" s="163" t="s">
        <v>457</v>
      </c>
      <c r="E69" s="163">
        <v>2024</v>
      </c>
      <c r="F69" s="903">
        <v>0</v>
      </c>
      <c r="G69" s="903">
        <v>0</v>
      </c>
      <c r="H69" s="297"/>
      <c r="I69" s="297"/>
      <c r="J69" s="297"/>
      <c r="K69" s="297"/>
      <c r="L69" s="297"/>
      <c r="M69" s="297"/>
      <c r="N69" s="297"/>
      <c r="O69" s="297"/>
      <c r="P69" s="297"/>
      <c r="Q69" s="297"/>
      <c r="R69" s="297"/>
      <c r="S69" s="297"/>
      <c r="T69" s="297"/>
      <c r="U69" s="297"/>
      <c r="V69" s="297"/>
      <c r="W69" s="297"/>
      <c r="X69" s="297"/>
      <c r="Y69" s="297"/>
      <c r="Z69" s="297"/>
      <c r="AA69" s="297"/>
      <c r="AB69" s="297"/>
      <c r="AC69" s="297"/>
      <c r="AD69" s="297"/>
      <c r="AE69" s="297"/>
      <c r="AF69" s="297"/>
      <c r="AG69" s="297"/>
      <c r="AH69" s="297"/>
      <c r="AI69" s="297"/>
      <c r="AJ69" s="297"/>
      <c r="AK69" s="297"/>
    </row>
    <row r="70" spans="1:37" x14ac:dyDescent="0.2">
      <c r="A70" s="297"/>
      <c r="B70" s="297"/>
      <c r="C70" s="297"/>
      <c r="D70" s="163" t="s">
        <v>457</v>
      </c>
      <c r="E70" s="163">
        <v>2025</v>
      </c>
      <c r="F70" s="903">
        <v>0</v>
      </c>
      <c r="G70" s="903">
        <v>0</v>
      </c>
      <c r="H70" s="297"/>
      <c r="I70" s="297"/>
      <c r="J70" s="297"/>
      <c r="K70" s="297"/>
      <c r="L70" s="297"/>
      <c r="M70" s="297"/>
      <c r="N70" s="297"/>
      <c r="O70" s="297"/>
      <c r="P70" s="297"/>
      <c r="Q70" s="297"/>
      <c r="R70" s="297"/>
      <c r="S70" s="297"/>
      <c r="T70" s="297"/>
      <c r="U70" s="297"/>
      <c r="V70" s="297"/>
      <c r="W70" s="297"/>
      <c r="X70" s="297"/>
      <c r="Y70" s="297"/>
      <c r="Z70" s="297"/>
      <c r="AA70" s="297"/>
      <c r="AB70" s="297"/>
      <c r="AC70" s="297"/>
      <c r="AD70" s="297"/>
      <c r="AE70" s="297"/>
      <c r="AF70" s="297"/>
      <c r="AG70" s="297"/>
      <c r="AH70" s="297"/>
      <c r="AI70" s="297"/>
      <c r="AJ70" s="297"/>
      <c r="AK70" s="297"/>
    </row>
    <row r="71" spans="1:37" x14ac:dyDescent="0.2">
      <c r="A71" s="297"/>
      <c r="B71" s="297"/>
      <c r="C71" s="297"/>
      <c r="D71" s="163" t="s">
        <v>457</v>
      </c>
      <c r="E71" s="163">
        <v>2026</v>
      </c>
      <c r="F71" s="903">
        <v>0</v>
      </c>
      <c r="G71" s="903">
        <v>0</v>
      </c>
      <c r="H71" s="297"/>
      <c r="I71" s="297"/>
      <c r="J71" s="297"/>
      <c r="K71" s="297"/>
      <c r="L71" s="297"/>
      <c r="M71" s="297"/>
      <c r="N71" s="297"/>
      <c r="O71" s="297"/>
      <c r="P71" s="297"/>
      <c r="Q71" s="297"/>
      <c r="R71" s="297"/>
      <c r="S71" s="297"/>
      <c r="T71" s="297"/>
      <c r="U71" s="297"/>
      <c r="V71" s="297"/>
      <c r="W71" s="297"/>
      <c r="X71" s="297"/>
      <c r="Y71" s="297"/>
      <c r="Z71" s="297"/>
      <c r="AA71" s="297"/>
      <c r="AB71" s="297"/>
      <c r="AC71" s="297"/>
      <c r="AD71" s="297"/>
      <c r="AE71" s="297"/>
      <c r="AF71" s="297"/>
      <c r="AG71" s="297"/>
      <c r="AH71" s="297"/>
      <c r="AI71" s="297"/>
      <c r="AJ71" s="297"/>
      <c r="AK71" s="297"/>
    </row>
    <row r="72" spans="1:37" x14ac:dyDescent="0.2">
      <c r="A72" s="297"/>
      <c r="B72" s="297"/>
      <c r="C72" s="297"/>
      <c r="D72" s="163" t="s">
        <v>457</v>
      </c>
      <c r="E72" s="163">
        <v>2027</v>
      </c>
      <c r="F72" s="903">
        <v>0</v>
      </c>
      <c r="G72" s="903">
        <v>0</v>
      </c>
      <c r="H72" s="297"/>
      <c r="I72" s="297"/>
      <c r="J72" s="297"/>
      <c r="K72" s="297"/>
      <c r="L72" s="297"/>
      <c r="M72" s="297"/>
      <c r="N72" s="297"/>
      <c r="O72" s="297"/>
      <c r="P72" s="297"/>
      <c r="Q72" s="297"/>
      <c r="R72" s="297"/>
      <c r="S72" s="297"/>
      <c r="T72" s="297"/>
      <c r="U72" s="297"/>
      <c r="V72" s="297"/>
      <c r="W72" s="297"/>
      <c r="X72" s="297"/>
      <c r="Y72" s="297"/>
      <c r="Z72" s="297"/>
      <c r="AA72" s="297"/>
      <c r="AB72" s="297"/>
      <c r="AC72" s="297"/>
      <c r="AD72" s="297"/>
      <c r="AE72" s="297"/>
      <c r="AF72" s="297"/>
      <c r="AG72" s="297"/>
      <c r="AH72" s="297"/>
      <c r="AI72" s="297"/>
      <c r="AJ72" s="297"/>
      <c r="AK72" s="297"/>
    </row>
    <row r="73" spans="1:37" x14ac:dyDescent="0.2">
      <c r="A73" s="297"/>
      <c r="B73" s="297"/>
      <c r="C73" s="297"/>
      <c r="D73" s="163" t="s">
        <v>457</v>
      </c>
      <c r="E73" s="163">
        <v>2028</v>
      </c>
      <c r="F73" s="903">
        <v>0</v>
      </c>
      <c r="G73" s="903">
        <v>0</v>
      </c>
      <c r="H73" s="297"/>
      <c r="I73" s="297"/>
      <c r="J73" s="297"/>
      <c r="K73" s="297"/>
      <c r="L73" s="297"/>
      <c r="M73" s="297"/>
      <c r="N73" s="297"/>
      <c r="O73" s="297"/>
      <c r="P73" s="297"/>
      <c r="Q73" s="297"/>
      <c r="R73" s="297"/>
      <c r="S73" s="297"/>
      <c r="T73" s="297"/>
      <c r="U73" s="297"/>
      <c r="V73" s="297"/>
      <c r="W73" s="297"/>
      <c r="X73" s="297"/>
      <c r="Y73" s="297"/>
      <c r="Z73" s="297"/>
      <c r="AA73" s="297"/>
      <c r="AB73" s="297"/>
      <c r="AC73" s="297"/>
      <c r="AD73" s="297"/>
      <c r="AE73" s="297"/>
      <c r="AF73" s="297"/>
      <c r="AG73" s="297"/>
      <c r="AH73" s="297"/>
      <c r="AI73" s="297"/>
      <c r="AJ73" s="297"/>
      <c r="AK73" s="297"/>
    </row>
    <row r="74" spans="1:37" x14ac:dyDescent="0.2">
      <c r="A74" s="297"/>
      <c r="B74" s="297"/>
      <c r="C74" s="297"/>
      <c r="D74" s="163" t="s">
        <v>457</v>
      </c>
      <c r="E74" s="163">
        <v>2029</v>
      </c>
      <c r="F74" s="903">
        <v>0</v>
      </c>
      <c r="G74" s="903">
        <v>0</v>
      </c>
      <c r="H74" s="297"/>
      <c r="I74" s="297"/>
      <c r="J74" s="297"/>
      <c r="K74" s="297"/>
      <c r="L74" s="297"/>
      <c r="M74" s="297"/>
      <c r="N74" s="297"/>
      <c r="O74" s="297"/>
      <c r="P74" s="297"/>
      <c r="Q74" s="297"/>
      <c r="R74" s="297"/>
      <c r="S74" s="297"/>
      <c r="T74" s="297"/>
      <c r="U74" s="297"/>
      <c r="V74" s="297"/>
      <c r="W74" s="297"/>
      <c r="X74" s="297"/>
      <c r="Y74" s="297"/>
      <c r="Z74" s="297"/>
      <c r="AA74" s="297"/>
      <c r="AB74" s="297"/>
      <c r="AC74" s="297"/>
      <c r="AD74" s="297"/>
      <c r="AE74" s="297"/>
      <c r="AF74" s="297"/>
      <c r="AG74" s="297"/>
      <c r="AH74" s="297"/>
      <c r="AI74" s="297"/>
      <c r="AJ74" s="297"/>
      <c r="AK74" s="297"/>
    </row>
    <row r="75" spans="1:37" x14ac:dyDescent="0.2">
      <c r="A75" s="297"/>
      <c r="B75" s="297"/>
      <c r="C75" s="297"/>
      <c r="D75" s="163" t="s">
        <v>457</v>
      </c>
      <c r="E75" s="163">
        <v>2030</v>
      </c>
      <c r="F75" s="903">
        <v>0</v>
      </c>
      <c r="G75" s="903">
        <v>0</v>
      </c>
      <c r="H75" s="297"/>
      <c r="I75" s="297"/>
      <c r="J75" s="297"/>
      <c r="K75" s="297"/>
      <c r="L75" s="297"/>
      <c r="M75" s="297"/>
      <c r="N75" s="297"/>
      <c r="O75" s="297"/>
      <c r="P75" s="297"/>
      <c r="Q75" s="297"/>
      <c r="R75" s="297"/>
      <c r="S75" s="297"/>
      <c r="T75" s="297"/>
      <c r="U75" s="297"/>
      <c r="V75" s="297"/>
      <c r="W75" s="297"/>
      <c r="X75" s="297"/>
      <c r="Y75" s="297"/>
      <c r="Z75" s="297"/>
      <c r="AA75" s="297"/>
      <c r="AB75" s="297"/>
      <c r="AC75" s="297"/>
      <c r="AD75" s="297"/>
      <c r="AE75" s="297"/>
      <c r="AF75" s="297"/>
      <c r="AG75" s="297"/>
      <c r="AH75" s="297"/>
      <c r="AI75" s="297"/>
      <c r="AJ75" s="297"/>
      <c r="AK75" s="297"/>
    </row>
    <row r="76" spans="1:37" x14ac:dyDescent="0.2">
      <c r="A76" s="297"/>
      <c r="B76" s="297"/>
      <c r="C76" s="297"/>
      <c r="D76" s="163" t="s">
        <v>2075</v>
      </c>
      <c r="F76" s="903">
        <v>0</v>
      </c>
      <c r="G76" s="903">
        <v>0</v>
      </c>
      <c r="H76" s="297"/>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7"/>
      <c r="AG76" s="297"/>
      <c r="AH76" s="297"/>
      <c r="AI76" s="297"/>
      <c r="AJ76" s="297"/>
      <c r="AK76" s="297"/>
    </row>
    <row r="77" spans="1:37" x14ac:dyDescent="0.2">
      <c r="A77" s="297"/>
      <c r="B77" s="297"/>
      <c r="C77" s="297"/>
      <c r="D77" s="163" t="s">
        <v>522</v>
      </c>
      <c r="E77" s="163">
        <v>2023</v>
      </c>
      <c r="F77" s="903">
        <v>0</v>
      </c>
      <c r="G77" s="903">
        <v>0</v>
      </c>
      <c r="H77" s="297"/>
      <c r="I77" s="297"/>
      <c r="J77" s="297"/>
      <c r="K77" s="297"/>
      <c r="L77" s="297"/>
      <c r="M77" s="297"/>
      <c r="N77" s="297"/>
      <c r="O77" s="297"/>
      <c r="P77" s="297"/>
      <c r="Q77" s="297"/>
      <c r="R77" s="297"/>
      <c r="S77" s="297"/>
      <c r="T77" s="297"/>
      <c r="U77" s="297"/>
      <c r="V77" s="297"/>
      <c r="W77" s="297"/>
      <c r="X77" s="297"/>
      <c r="Y77" s="297"/>
      <c r="Z77" s="297"/>
      <c r="AA77" s="297"/>
      <c r="AB77" s="297"/>
      <c r="AC77" s="297"/>
      <c r="AD77" s="297"/>
      <c r="AE77" s="297"/>
      <c r="AF77" s="297"/>
      <c r="AG77" s="297"/>
      <c r="AH77" s="297"/>
      <c r="AI77" s="297"/>
      <c r="AJ77" s="297"/>
      <c r="AK77" s="297"/>
    </row>
    <row r="78" spans="1:37" x14ac:dyDescent="0.2">
      <c r="A78" s="297"/>
      <c r="B78" s="297"/>
      <c r="C78" s="297"/>
      <c r="D78" s="163" t="s">
        <v>522</v>
      </c>
      <c r="E78" s="163">
        <v>2024</v>
      </c>
      <c r="F78" s="903">
        <v>0</v>
      </c>
      <c r="G78" s="903">
        <v>0</v>
      </c>
      <c r="H78" s="297"/>
      <c r="I78" s="297"/>
      <c r="J78" s="297"/>
      <c r="K78" s="297"/>
      <c r="L78" s="297"/>
      <c r="M78" s="297"/>
      <c r="N78" s="297"/>
      <c r="O78" s="297"/>
      <c r="P78" s="297"/>
      <c r="Q78" s="297"/>
      <c r="R78" s="297"/>
      <c r="S78" s="297"/>
      <c r="T78" s="297"/>
      <c r="U78" s="297"/>
      <c r="V78" s="297"/>
      <c r="W78" s="297"/>
      <c r="X78" s="297"/>
      <c r="Y78" s="297"/>
      <c r="Z78" s="297"/>
      <c r="AA78" s="297"/>
      <c r="AB78" s="297"/>
      <c r="AC78" s="297"/>
      <c r="AD78" s="297"/>
      <c r="AE78" s="297"/>
      <c r="AF78" s="297"/>
      <c r="AG78" s="297"/>
      <c r="AH78" s="297"/>
      <c r="AI78" s="297"/>
      <c r="AJ78" s="297"/>
      <c r="AK78" s="297"/>
    </row>
    <row r="79" spans="1:37" x14ac:dyDescent="0.2">
      <c r="A79" s="297"/>
      <c r="B79" s="297"/>
      <c r="C79" s="297"/>
      <c r="D79" s="163" t="s">
        <v>522</v>
      </c>
      <c r="E79" s="163">
        <v>2025</v>
      </c>
      <c r="F79" s="903">
        <v>0</v>
      </c>
      <c r="G79" s="903">
        <v>0</v>
      </c>
      <c r="H79" s="297"/>
      <c r="I79" s="297"/>
      <c r="J79" s="297"/>
      <c r="K79" s="297"/>
      <c r="L79" s="297"/>
      <c r="M79" s="297"/>
      <c r="N79" s="297"/>
      <c r="O79" s="297"/>
      <c r="P79" s="297"/>
      <c r="Q79" s="297"/>
      <c r="R79" s="297"/>
      <c r="S79" s="297"/>
      <c r="T79" s="297"/>
      <c r="U79" s="297"/>
      <c r="V79" s="297"/>
      <c r="W79" s="297"/>
      <c r="X79" s="297"/>
      <c r="Y79" s="297"/>
      <c r="Z79" s="297"/>
      <c r="AA79" s="297"/>
      <c r="AB79" s="297"/>
      <c r="AC79" s="297"/>
      <c r="AD79" s="297"/>
      <c r="AE79" s="297"/>
      <c r="AF79" s="297"/>
      <c r="AG79" s="297"/>
      <c r="AH79" s="297"/>
      <c r="AI79" s="297"/>
      <c r="AJ79" s="297"/>
      <c r="AK79" s="297"/>
    </row>
    <row r="80" spans="1:37" x14ac:dyDescent="0.2">
      <c r="A80" s="297"/>
      <c r="B80" s="297"/>
      <c r="C80" s="297"/>
      <c r="D80" s="163" t="s">
        <v>522</v>
      </c>
      <c r="E80" s="163">
        <v>2026</v>
      </c>
      <c r="F80" s="903">
        <v>0</v>
      </c>
      <c r="G80" s="903">
        <v>0</v>
      </c>
      <c r="H80" s="297"/>
      <c r="I80" s="297"/>
      <c r="J80" s="297"/>
      <c r="K80" s="297"/>
      <c r="L80" s="297"/>
      <c r="M80" s="297"/>
      <c r="N80" s="297"/>
      <c r="O80" s="297"/>
      <c r="P80" s="297"/>
      <c r="Q80" s="297"/>
      <c r="R80" s="297"/>
      <c r="S80" s="297"/>
      <c r="T80" s="297"/>
      <c r="U80" s="297"/>
      <c r="V80" s="297"/>
      <c r="W80" s="297"/>
      <c r="X80" s="297"/>
      <c r="Y80" s="297"/>
      <c r="Z80" s="297"/>
      <c r="AA80" s="297"/>
      <c r="AB80" s="297"/>
      <c r="AC80" s="297"/>
      <c r="AD80" s="297"/>
      <c r="AE80" s="297"/>
      <c r="AF80" s="297"/>
      <c r="AG80" s="297"/>
      <c r="AH80" s="297"/>
      <c r="AI80" s="297"/>
      <c r="AJ80" s="297"/>
      <c r="AK80" s="297"/>
    </row>
    <row r="81" spans="1:37" x14ac:dyDescent="0.2">
      <c r="A81" s="297"/>
      <c r="B81" s="297"/>
      <c r="C81" s="297"/>
      <c r="D81" s="163" t="s">
        <v>522</v>
      </c>
      <c r="E81" s="163">
        <v>2027</v>
      </c>
      <c r="F81" s="903">
        <v>0</v>
      </c>
      <c r="G81" s="903">
        <v>0</v>
      </c>
      <c r="H81" s="297"/>
      <c r="I81" s="297"/>
      <c r="J81" s="297"/>
      <c r="K81" s="297"/>
      <c r="L81" s="297"/>
      <c r="M81" s="297"/>
      <c r="N81" s="297"/>
      <c r="O81" s="297"/>
      <c r="P81" s="297"/>
      <c r="Q81" s="297"/>
      <c r="R81" s="297"/>
      <c r="S81" s="297"/>
      <c r="T81" s="297"/>
      <c r="U81" s="297"/>
      <c r="V81" s="297"/>
      <c r="W81" s="297"/>
      <c r="X81" s="297"/>
      <c r="Y81" s="297"/>
      <c r="Z81" s="297"/>
      <c r="AA81" s="297"/>
      <c r="AB81" s="297"/>
      <c r="AC81" s="297"/>
      <c r="AD81" s="297"/>
      <c r="AE81" s="297"/>
      <c r="AF81" s="297"/>
      <c r="AG81" s="297"/>
      <c r="AH81" s="297"/>
      <c r="AI81" s="297"/>
      <c r="AJ81" s="297"/>
      <c r="AK81" s="297"/>
    </row>
    <row r="82" spans="1:37" x14ac:dyDescent="0.2">
      <c r="A82" s="297"/>
      <c r="B82" s="297"/>
      <c r="C82" s="297"/>
      <c r="D82" s="163" t="s">
        <v>522</v>
      </c>
      <c r="E82" s="163">
        <v>2028</v>
      </c>
      <c r="F82" s="903">
        <v>0</v>
      </c>
      <c r="G82" s="903">
        <v>0</v>
      </c>
      <c r="H82" s="297"/>
      <c r="I82" s="297"/>
      <c r="J82" s="297"/>
      <c r="K82" s="297"/>
      <c r="L82" s="297"/>
      <c r="M82" s="297"/>
      <c r="N82" s="297"/>
      <c r="O82" s="297"/>
      <c r="P82" s="297"/>
      <c r="Q82" s="297"/>
      <c r="R82" s="297"/>
      <c r="S82" s="297"/>
      <c r="T82" s="297"/>
      <c r="U82" s="297"/>
      <c r="V82" s="297"/>
      <c r="W82" s="297"/>
      <c r="X82" s="297"/>
      <c r="Y82" s="297"/>
      <c r="Z82" s="297"/>
      <c r="AA82" s="297"/>
      <c r="AB82" s="297"/>
      <c r="AC82" s="297"/>
      <c r="AD82" s="297"/>
      <c r="AE82" s="297"/>
      <c r="AF82" s="297"/>
      <c r="AG82" s="297"/>
      <c r="AH82" s="297"/>
      <c r="AI82" s="297"/>
      <c r="AJ82" s="297"/>
      <c r="AK82" s="297"/>
    </row>
    <row r="83" spans="1:37" x14ac:dyDescent="0.2">
      <c r="A83" s="297"/>
      <c r="B83" s="297"/>
      <c r="C83" s="297"/>
      <c r="D83" s="163" t="s">
        <v>522</v>
      </c>
      <c r="E83" s="163">
        <v>2029</v>
      </c>
      <c r="F83" s="903">
        <v>0</v>
      </c>
      <c r="G83" s="903">
        <v>0</v>
      </c>
      <c r="H83" s="297"/>
      <c r="I83" s="297"/>
      <c r="J83" s="297"/>
      <c r="K83" s="297"/>
      <c r="L83" s="297"/>
      <c r="M83" s="297"/>
      <c r="N83" s="297"/>
      <c r="O83" s="297"/>
      <c r="P83" s="297"/>
      <c r="Q83" s="297"/>
      <c r="R83" s="297"/>
      <c r="S83" s="297"/>
      <c r="T83" s="297"/>
      <c r="U83" s="297"/>
      <c r="V83" s="297"/>
      <c r="W83" s="297"/>
      <c r="X83" s="297"/>
      <c r="Y83" s="297"/>
      <c r="Z83" s="297"/>
      <c r="AA83" s="297"/>
      <c r="AB83" s="297"/>
      <c r="AC83" s="297"/>
      <c r="AD83" s="297"/>
      <c r="AE83" s="297"/>
      <c r="AF83" s="297"/>
      <c r="AG83" s="297"/>
      <c r="AH83" s="297"/>
      <c r="AI83" s="297"/>
      <c r="AJ83" s="297"/>
      <c r="AK83" s="297"/>
    </row>
    <row r="84" spans="1:37" x14ac:dyDescent="0.2">
      <c r="A84" s="297"/>
      <c r="B84" s="297"/>
      <c r="C84" s="297"/>
      <c r="D84" s="163" t="s">
        <v>522</v>
      </c>
      <c r="E84" s="163">
        <v>2030</v>
      </c>
      <c r="F84" s="903">
        <v>0</v>
      </c>
      <c r="G84" s="903">
        <v>0</v>
      </c>
      <c r="H84" s="297"/>
      <c r="I84" s="297"/>
      <c r="J84" s="297"/>
      <c r="K84" s="297"/>
      <c r="L84" s="297"/>
      <c r="M84" s="297"/>
      <c r="N84" s="297"/>
      <c r="O84" s="297"/>
      <c r="P84" s="297"/>
      <c r="Q84" s="297"/>
      <c r="R84" s="297"/>
      <c r="S84" s="297"/>
      <c r="T84" s="297"/>
      <c r="U84" s="297"/>
      <c r="V84" s="297"/>
      <c r="W84" s="297"/>
      <c r="X84" s="297"/>
      <c r="Y84" s="297"/>
      <c r="Z84" s="297"/>
      <c r="AA84" s="297"/>
      <c r="AB84" s="297"/>
      <c r="AC84" s="297"/>
      <c r="AD84" s="297"/>
      <c r="AE84" s="297"/>
      <c r="AF84" s="297"/>
      <c r="AG84" s="297"/>
      <c r="AH84" s="297"/>
      <c r="AI84" s="297"/>
      <c r="AJ84" s="297"/>
      <c r="AK84" s="297"/>
    </row>
    <row r="85" spans="1:37" x14ac:dyDescent="0.2">
      <c r="A85" s="297"/>
      <c r="B85" s="297"/>
      <c r="C85" s="297"/>
      <c r="D85" s="163" t="s">
        <v>523</v>
      </c>
      <c r="F85" s="903">
        <v>0</v>
      </c>
      <c r="G85" s="903">
        <v>0</v>
      </c>
      <c r="H85" s="297"/>
      <c r="I85" s="297"/>
      <c r="J85" s="297"/>
      <c r="K85" s="297"/>
      <c r="L85" s="297"/>
      <c r="M85" s="297"/>
      <c r="N85" s="297"/>
      <c r="O85" s="297"/>
      <c r="P85" s="297"/>
      <c r="Q85" s="297"/>
      <c r="R85" s="297"/>
      <c r="S85" s="297"/>
      <c r="T85" s="297"/>
      <c r="U85" s="297"/>
      <c r="V85" s="297"/>
      <c r="W85" s="297"/>
      <c r="X85" s="297"/>
      <c r="Y85" s="297"/>
      <c r="Z85" s="297"/>
      <c r="AA85" s="297"/>
      <c r="AB85" s="297"/>
      <c r="AC85" s="297"/>
      <c r="AD85" s="297"/>
      <c r="AE85" s="297"/>
      <c r="AF85" s="297"/>
      <c r="AG85" s="297"/>
      <c r="AH85" s="297"/>
      <c r="AI85" s="297"/>
      <c r="AJ85" s="297"/>
      <c r="AK85" s="297"/>
    </row>
    <row r="86" spans="1:37" x14ac:dyDescent="0.2">
      <c r="A86" s="297"/>
      <c r="B86" s="297"/>
      <c r="C86" s="297"/>
      <c r="D86" s="313"/>
      <c r="E86" s="313"/>
      <c r="F86" s="313"/>
      <c r="G86" s="313"/>
      <c r="H86" s="297"/>
      <c r="I86" s="297"/>
      <c r="J86" s="297"/>
      <c r="K86" s="297"/>
      <c r="L86" s="297"/>
      <c r="M86" s="297"/>
      <c r="N86" s="297"/>
      <c r="O86" s="297"/>
      <c r="P86" s="297"/>
      <c r="Q86" s="297"/>
      <c r="R86" s="297"/>
      <c r="S86" s="297"/>
      <c r="T86" s="297"/>
      <c r="U86" s="297"/>
      <c r="V86" s="297"/>
      <c r="W86" s="297"/>
      <c r="X86" s="297"/>
      <c r="Y86" s="297"/>
      <c r="Z86" s="297"/>
      <c r="AA86" s="297"/>
      <c r="AB86" s="297"/>
      <c r="AC86" s="297"/>
      <c r="AD86" s="297"/>
      <c r="AE86" s="297"/>
      <c r="AF86" s="297"/>
      <c r="AG86" s="297"/>
      <c r="AH86" s="297"/>
      <c r="AI86" s="297"/>
      <c r="AJ86" s="297"/>
      <c r="AK86" s="297"/>
    </row>
    <row r="87" spans="1:37" x14ac:dyDescent="0.2">
      <c r="A87" s="297"/>
      <c r="B87" s="297"/>
      <c r="C87" s="297"/>
      <c r="D87" s="297"/>
      <c r="E87" s="297"/>
      <c r="F87" s="297"/>
      <c r="G87" s="297"/>
      <c r="H87" s="297"/>
      <c r="I87" s="297"/>
      <c r="J87" s="297"/>
      <c r="K87" s="297"/>
      <c r="L87" s="297"/>
      <c r="M87" s="297"/>
      <c r="N87" s="297"/>
      <c r="O87" s="297"/>
      <c r="P87" s="297"/>
      <c r="Q87" s="297"/>
      <c r="R87" s="297"/>
      <c r="S87" s="297"/>
      <c r="T87" s="297"/>
      <c r="U87" s="297"/>
      <c r="V87" s="297"/>
      <c r="W87" s="297"/>
      <c r="X87" s="297"/>
      <c r="Y87" s="297"/>
      <c r="Z87" s="297"/>
      <c r="AA87" s="297"/>
      <c r="AB87" s="297"/>
      <c r="AC87" s="297"/>
      <c r="AD87" s="297"/>
      <c r="AE87" s="297"/>
      <c r="AF87" s="297"/>
      <c r="AG87" s="297"/>
      <c r="AH87" s="297"/>
      <c r="AI87" s="297"/>
      <c r="AJ87" s="297"/>
      <c r="AK87" s="297"/>
    </row>
    <row r="88" spans="1:37" x14ac:dyDescent="0.2">
      <c r="A88" s="297"/>
      <c r="B88" s="297"/>
      <c r="C88" s="297"/>
      <c r="D88" s="297"/>
      <c r="E88" s="297"/>
      <c r="F88" s="297"/>
      <c r="G88" s="297"/>
      <c r="H88" s="297"/>
      <c r="I88" s="297"/>
      <c r="J88" s="297"/>
      <c r="K88" s="297"/>
      <c r="L88" s="297"/>
      <c r="M88" s="297"/>
      <c r="N88" s="297"/>
      <c r="O88" s="297"/>
      <c r="P88" s="297"/>
      <c r="Q88" s="297"/>
      <c r="R88" s="297"/>
      <c r="S88" s="297"/>
      <c r="T88" s="297"/>
      <c r="U88" s="297"/>
      <c r="V88" s="297"/>
      <c r="W88" s="297"/>
      <c r="X88" s="297"/>
      <c r="Y88" s="297"/>
      <c r="Z88" s="297"/>
      <c r="AA88" s="297"/>
      <c r="AB88" s="297"/>
      <c r="AC88" s="297"/>
      <c r="AD88" s="297"/>
      <c r="AE88" s="297"/>
      <c r="AF88" s="297"/>
      <c r="AG88" s="297"/>
      <c r="AH88" s="297"/>
      <c r="AI88" s="297"/>
      <c r="AJ88" s="297"/>
      <c r="AK88" s="297"/>
    </row>
    <row r="89" spans="1:37" x14ac:dyDescent="0.2">
      <c r="A89" s="297"/>
      <c r="B89" s="297"/>
      <c r="C89" s="297"/>
      <c r="D89" s="297"/>
      <c r="E89" s="297"/>
      <c r="F89" s="297"/>
      <c r="G89" s="297"/>
      <c r="H89" s="297"/>
      <c r="I89" s="297"/>
      <c r="J89" s="297"/>
      <c r="K89" s="297"/>
      <c r="L89" s="297"/>
      <c r="M89" s="297"/>
      <c r="N89" s="297"/>
      <c r="O89" s="297"/>
      <c r="P89" s="297"/>
      <c r="Q89" s="297"/>
      <c r="R89" s="297"/>
      <c r="S89" s="297"/>
      <c r="T89" s="297"/>
      <c r="U89" s="297"/>
      <c r="V89" s="297"/>
      <c r="W89" s="297"/>
      <c r="X89" s="297"/>
      <c r="Y89" s="297"/>
      <c r="Z89" s="297"/>
      <c r="AA89" s="297"/>
      <c r="AB89" s="297"/>
      <c r="AC89" s="297"/>
      <c r="AD89" s="297"/>
      <c r="AE89" s="297"/>
      <c r="AF89" s="297"/>
      <c r="AG89" s="297"/>
      <c r="AH89" s="297"/>
      <c r="AI89" s="297"/>
      <c r="AJ89" s="297"/>
      <c r="AK89" s="297"/>
    </row>
    <row r="90" spans="1:37" x14ac:dyDescent="0.2">
      <c r="A90" s="297"/>
      <c r="B90" s="297"/>
      <c r="C90" s="297"/>
      <c r="D90" s="297"/>
      <c r="E90" s="297"/>
      <c r="F90" s="297"/>
      <c r="G90" s="297"/>
      <c r="H90" s="297"/>
      <c r="I90" s="297"/>
      <c r="J90" s="297"/>
      <c r="K90" s="297"/>
      <c r="L90" s="297"/>
      <c r="M90" s="297"/>
      <c r="N90" s="297"/>
      <c r="O90" s="297"/>
      <c r="P90" s="297"/>
      <c r="Q90" s="297"/>
      <c r="R90" s="297"/>
      <c r="S90" s="297"/>
      <c r="T90" s="297"/>
      <c r="U90" s="297"/>
      <c r="V90" s="297"/>
      <c r="W90" s="297"/>
      <c r="X90" s="297"/>
      <c r="Y90" s="297"/>
      <c r="Z90" s="297"/>
      <c r="AA90" s="297"/>
      <c r="AB90" s="297"/>
      <c r="AC90" s="297"/>
      <c r="AD90" s="297"/>
      <c r="AE90" s="297"/>
      <c r="AF90" s="297"/>
      <c r="AG90" s="297"/>
      <c r="AH90" s="297"/>
      <c r="AI90" s="297"/>
      <c r="AJ90" s="297"/>
      <c r="AK90" s="297"/>
    </row>
    <row r="91" spans="1:37" x14ac:dyDescent="0.2">
      <c r="A91" s="297"/>
      <c r="B91" s="297"/>
      <c r="C91" s="297"/>
      <c r="D91" s="297"/>
      <c r="E91" s="297"/>
      <c r="F91" s="297"/>
      <c r="G91" s="297"/>
      <c r="H91" s="297"/>
      <c r="I91" s="297"/>
      <c r="J91" s="297"/>
      <c r="K91" s="297"/>
      <c r="L91" s="297"/>
      <c r="M91" s="297"/>
      <c r="N91" s="297"/>
      <c r="O91" s="297"/>
      <c r="P91" s="297"/>
      <c r="Q91" s="297"/>
      <c r="R91" s="297"/>
      <c r="S91" s="297"/>
      <c r="T91" s="297"/>
      <c r="U91" s="297"/>
      <c r="V91" s="297"/>
      <c r="W91" s="297"/>
      <c r="X91" s="297"/>
      <c r="Y91" s="297"/>
      <c r="Z91" s="297"/>
      <c r="AA91" s="297"/>
      <c r="AB91" s="297"/>
      <c r="AC91" s="297"/>
      <c r="AD91" s="297"/>
      <c r="AE91" s="297"/>
      <c r="AF91" s="297"/>
      <c r="AG91" s="297"/>
      <c r="AH91" s="297"/>
      <c r="AI91" s="297"/>
      <c r="AJ91" s="297"/>
      <c r="AK91" s="297"/>
    </row>
    <row r="92" spans="1:37" x14ac:dyDescent="0.2">
      <c r="A92" s="297"/>
      <c r="B92" s="297"/>
      <c r="C92" s="297"/>
      <c r="D92" s="297"/>
      <c r="E92" s="297"/>
      <c r="F92" s="297"/>
      <c r="G92" s="297"/>
      <c r="H92" s="297"/>
      <c r="I92" s="297"/>
      <c r="J92" s="297"/>
      <c r="K92" s="297"/>
      <c r="L92" s="297"/>
      <c r="M92" s="297"/>
      <c r="N92" s="297"/>
      <c r="O92" s="297"/>
      <c r="P92" s="297"/>
      <c r="Q92" s="297"/>
      <c r="R92" s="297"/>
      <c r="S92" s="297"/>
      <c r="T92" s="297"/>
      <c r="U92" s="297"/>
      <c r="V92" s="297"/>
      <c r="W92" s="297"/>
      <c r="X92" s="297"/>
      <c r="Y92" s="297"/>
      <c r="Z92" s="297"/>
      <c r="AA92" s="297"/>
      <c r="AB92" s="297"/>
      <c r="AC92" s="297"/>
      <c r="AD92" s="297"/>
      <c r="AE92" s="297"/>
      <c r="AF92" s="297"/>
      <c r="AG92" s="297"/>
      <c r="AH92" s="297"/>
      <c r="AI92" s="297"/>
      <c r="AJ92" s="297"/>
      <c r="AK92" s="297"/>
    </row>
    <row r="93" spans="1:37" x14ac:dyDescent="0.2">
      <c r="A93" s="297"/>
      <c r="B93" s="297"/>
      <c r="C93" s="297"/>
      <c r="D93" s="297"/>
      <c r="E93" s="297"/>
      <c r="F93" s="297"/>
      <c r="G93" s="297"/>
      <c r="H93" s="297"/>
      <c r="I93" s="297"/>
      <c r="J93" s="297"/>
      <c r="K93" s="297"/>
      <c r="L93" s="297"/>
      <c r="M93" s="297"/>
      <c r="N93" s="297"/>
      <c r="O93" s="297"/>
      <c r="P93" s="297"/>
      <c r="Q93" s="297"/>
      <c r="R93" s="297"/>
      <c r="S93" s="297"/>
      <c r="T93" s="297"/>
      <c r="U93" s="297"/>
      <c r="V93" s="297"/>
      <c r="W93" s="297"/>
      <c r="X93" s="297"/>
      <c r="Y93" s="297"/>
      <c r="Z93" s="297"/>
      <c r="AA93" s="297"/>
      <c r="AB93" s="297"/>
      <c r="AC93" s="297"/>
      <c r="AD93" s="297"/>
      <c r="AE93" s="297"/>
      <c r="AF93" s="297"/>
      <c r="AG93" s="297"/>
      <c r="AH93" s="297"/>
      <c r="AI93" s="297"/>
      <c r="AJ93" s="297"/>
      <c r="AK93" s="297"/>
    </row>
    <row r="94" spans="1:37" x14ac:dyDescent="0.2">
      <c r="A94" s="297"/>
      <c r="B94" s="297"/>
      <c r="C94" s="297"/>
      <c r="D94" s="297"/>
      <c r="E94" s="297"/>
      <c r="F94" s="297"/>
      <c r="G94" s="297"/>
      <c r="H94" s="297"/>
      <c r="I94" s="297"/>
      <c r="J94" s="297"/>
      <c r="K94" s="297"/>
      <c r="L94" s="297"/>
      <c r="M94" s="297"/>
      <c r="N94" s="297"/>
      <c r="O94" s="297"/>
      <c r="P94" s="297"/>
      <c r="Q94" s="297"/>
      <c r="R94" s="297"/>
      <c r="S94" s="297"/>
      <c r="T94" s="297"/>
      <c r="U94" s="297"/>
      <c r="V94" s="297"/>
      <c r="W94" s="297"/>
      <c r="X94" s="297"/>
      <c r="Y94" s="297"/>
      <c r="Z94" s="297"/>
      <c r="AA94" s="297"/>
      <c r="AB94" s="297"/>
      <c r="AC94" s="297"/>
      <c r="AD94" s="297"/>
      <c r="AE94" s="297"/>
      <c r="AF94" s="297"/>
      <c r="AG94" s="297"/>
      <c r="AH94" s="297"/>
      <c r="AI94" s="297"/>
      <c r="AJ94" s="297"/>
      <c r="AK94" s="297"/>
    </row>
    <row r="95" spans="1:37" x14ac:dyDescent="0.2">
      <c r="A95" s="297"/>
      <c r="B95" s="297"/>
      <c r="C95" s="297"/>
      <c r="D95" s="297"/>
      <c r="E95" s="297"/>
      <c r="F95" s="297"/>
      <c r="G95" s="297"/>
      <c r="H95" s="297"/>
      <c r="I95" s="297"/>
      <c r="J95" s="297"/>
      <c r="K95" s="297"/>
      <c r="L95" s="297"/>
      <c r="M95" s="297"/>
      <c r="N95" s="297"/>
      <c r="O95" s="297"/>
      <c r="P95" s="297"/>
      <c r="Q95" s="297"/>
      <c r="R95" s="297"/>
      <c r="S95" s="297"/>
      <c r="T95" s="297"/>
      <c r="U95" s="297"/>
      <c r="V95" s="297"/>
      <c r="W95" s="297"/>
      <c r="X95" s="297"/>
      <c r="Y95" s="297"/>
      <c r="Z95" s="297"/>
      <c r="AA95" s="297"/>
      <c r="AB95" s="297"/>
      <c r="AC95" s="297"/>
      <c r="AD95" s="297"/>
      <c r="AE95" s="297"/>
      <c r="AF95" s="297"/>
      <c r="AG95" s="297"/>
      <c r="AH95" s="297"/>
      <c r="AI95" s="297"/>
      <c r="AJ95" s="297"/>
      <c r="AK95" s="297"/>
    </row>
    <row r="96" spans="1:37" x14ac:dyDescent="0.2">
      <c r="A96" s="297"/>
      <c r="B96" s="297"/>
      <c r="C96" s="297"/>
      <c r="D96" s="297"/>
      <c r="E96" s="297"/>
      <c r="F96" s="297"/>
      <c r="G96" s="297"/>
      <c r="H96" s="297"/>
      <c r="I96" s="297"/>
      <c r="J96" s="297"/>
      <c r="K96" s="297"/>
      <c r="L96" s="297"/>
      <c r="M96" s="297"/>
      <c r="N96" s="297"/>
      <c r="O96" s="297"/>
      <c r="P96" s="297"/>
      <c r="Q96" s="297"/>
      <c r="R96" s="297"/>
      <c r="S96" s="297"/>
      <c r="T96" s="297"/>
      <c r="U96" s="297"/>
      <c r="V96" s="297"/>
      <c r="W96" s="297"/>
      <c r="X96" s="297"/>
      <c r="Y96" s="297"/>
      <c r="Z96" s="297"/>
      <c r="AA96" s="297"/>
      <c r="AB96" s="297"/>
      <c r="AC96" s="297"/>
      <c r="AD96" s="297"/>
      <c r="AE96" s="297"/>
      <c r="AF96" s="297"/>
      <c r="AG96" s="297"/>
      <c r="AH96" s="297"/>
      <c r="AI96" s="297"/>
      <c r="AJ96" s="297"/>
      <c r="AK96" s="297"/>
    </row>
    <row r="97" spans="1:37" x14ac:dyDescent="0.2">
      <c r="A97" s="297"/>
      <c r="B97" s="297"/>
      <c r="C97" s="297"/>
      <c r="D97" s="297"/>
      <c r="E97" s="297"/>
      <c r="F97" s="297"/>
      <c r="G97" s="297"/>
      <c r="H97" s="297"/>
      <c r="I97" s="297"/>
      <c r="J97" s="297"/>
      <c r="K97" s="297"/>
      <c r="L97" s="297"/>
      <c r="M97" s="297"/>
      <c r="N97" s="297"/>
      <c r="O97" s="297"/>
      <c r="P97" s="297"/>
      <c r="Q97" s="297"/>
      <c r="R97" s="297"/>
      <c r="S97" s="297"/>
      <c r="T97" s="297"/>
      <c r="U97" s="297"/>
      <c r="V97" s="297"/>
      <c r="W97" s="297"/>
      <c r="X97" s="297"/>
      <c r="Y97" s="297"/>
      <c r="Z97" s="297"/>
      <c r="AA97" s="297"/>
      <c r="AB97" s="297"/>
      <c r="AC97" s="297"/>
      <c r="AD97" s="297"/>
      <c r="AE97" s="297"/>
      <c r="AF97" s="297"/>
      <c r="AG97" s="297"/>
      <c r="AH97" s="297"/>
      <c r="AI97" s="297"/>
      <c r="AJ97" s="297"/>
      <c r="AK97" s="297"/>
    </row>
    <row r="98" spans="1:37" x14ac:dyDescent="0.2">
      <c r="A98" s="297"/>
      <c r="B98" s="297"/>
      <c r="C98" s="297"/>
      <c r="D98" s="297"/>
      <c r="E98" s="297"/>
      <c r="F98" s="297"/>
      <c r="G98" s="297"/>
      <c r="H98" s="297"/>
      <c r="I98" s="297"/>
      <c r="J98" s="297"/>
      <c r="K98" s="297"/>
      <c r="L98" s="297"/>
      <c r="M98" s="297"/>
      <c r="N98" s="297"/>
      <c r="O98" s="297"/>
      <c r="P98" s="297"/>
      <c r="Q98" s="297"/>
      <c r="R98" s="297"/>
      <c r="S98" s="297"/>
      <c r="T98" s="297"/>
      <c r="U98" s="297"/>
      <c r="V98" s="297"/>
      <c r="W98" s="297"/>
      <c r="X98" s="297"/>
      <c r="Y98" s="297"/>
      <c r="Z98" s="297"/>
      <c r="AA98" s="297"/>
      <c r="AB98" s="297"/>
      <c r="AC98" s="297"/>
      <c r="AD98" s="297"/>
      <c r="AE98" s="297"/>
      <c r="AF98" s="297"/>
      <c r="AG98" s="297"/>
      <c r="AH98" s="297"/>
      <c r="AI98" s="297"/>
      <c r="AJ98" s="297"/>
      <c r="AK98" s="297"/>
    </row>
    <row r="99" spans="1:37" x14ac:dyDescent="0.2">
      <c r="A99" s="297"/>
      <c r="B99" s="297"/>
      <c r="C99" s="297"/>
      <c r="D99" s="297"/>
      <c r="E99" s="297"/>
      <c r="F99" s="297"/>
      <c r="G99" s="297"/>
      <c r="H99" s="297"/>
      <c r="I99" s="297"/>
      <c r="J99" s="297"/>
      <c r="K99" s="297"/>
      <c r="L99" s="297"/>
      <c r="M99" s="297"/>
      <c r="N99" s="297"/>
      <c r="O99" s="297"/>
      <c r="P99" s="297"/>
      <c r="Q99" s="297"/>
      <c r="R99" s="297"/>
      <c r="S99" s="297"/>
      <c r="T99" s="297"/>
      <c r="U99" s="297"/>
      <c r="V99" s="297"/>
      <c r="W99" s="297"/>
      <c r="X99" s="297"/>
      <c r="Y99" s="297"/>
      <c r="Z99" s="297"/>
      <c r="AA99" s="297"/>
      <c r="AB99" s="297"/>
      <c r="AC99" s="297"/>
      <c r="AD99" s="297"/>
      <c r="AE99" s="297"/>
      <c r="AF99" s="297"/>
      <c r="AG99" s="297"/>
      <c r="AH99" s="297"/>
      <c r="AI99" s="297"/>
      <c r="AJ99" s="297"/>
      <c r="AK99" s="297"/>
    </row>
    <row r="100" spans="1:37" x14ac:dyDescent="0.2">
      <c r="A100" s="297"/>
      <c r="B100" s="297"/>
      <c r="C100" s="297"/>
      <c r="D100" s="297"/>
      <c r="E100" s="297"/>
      <c r="F100" s="297"/>
      <c r="G100" s="297"/>
      <c r="H100" s="297"/>
      <c r="I100" s="297"/>
      <c r="J100" s="297"/>
      <c r="K100" s="297"/>
      <c r="L100" s="297"/>
      <c r="M100" s="297"/>
      <c r="N100" s="297"/>
      <c r="O100" s="297"/>
      <c r="P100" s="297"/>
      <c r="Q100" s="297"/>
      <c r="R100" s="297"/>
      <c r="S100" s="297"/>
      <c r="T100" s="297"/>
      <c r="U100" s="297"/>
      <c r="V100" s="297"/>
      <c r="W100" s="297"/>
      <c r="X100" s="297"/>
      <c r="Y100" s="297"/>
      <c r="Z100" s="297"/>
      <c r="AA100" s="297"/>
      <c r="AB100" s="297"/>
      <c r="AC100" s="297"/>
      <c r="AD100" s="297"/>
      <c r="AE100" s="297"/>
      <c r="AF100" s="297"/>
      <c r="AG100" s="297"/>
      <c r="AH100" s="297"/>
      <c r="AI100" s="297"/>
      <c r="AJ100" s="297"/>
      <c r="AK100" s="297"/>
    </row>
    <row r="101" spans="1:37" x14ac:dyDescent="0.2">
      <c r="A101" s="297"/>
      <c r="B101" s="297"/>
      <c r="C101" s="297"/>
      <c r="D101" s="297"/>
      <c r="E101" s="297"/>
      <c r="F101" s="297"/>
      <c r="G101" s="297"/>
      <c r="H101" s="297"/>
      <c r="I101" s="297"/>
      <c r="J101" s="297"/>
      <c r="K101" s="297"/>
      <c r="L101" s="297"/>
      <c r="M101" s="297"/>
      <c r="N101" s="297"/>
      <c r="O101" s="297"/>
      <c r="P101" s="297"/>
      <c r="Q101" s="297"/>
      <c r="R101" s="297"/>
      <c r="S101" s="297"/>
      <c r="T101" s="297"/>
      <c r="U101" s="297"/>
      <c r="V101" s="297"/>
      <c r="W101" s="297"/>
      <c r="X101" s="297"/>
      <c r="Y101" s="297"/>
      <c r="Z101" s="297"/>
      <c r="AA101" s="297"/>
      <c r="AB101" s="297"/>
      <c r="AC101" s="297"/>
      <c r="AD101" s="297"/>
      <c r="AE101" s="297"/>
      <c r="AF101" s="297"/>
      <c r="AG101" s="297"/>
      <c r="AH101" s="297"/>
      <c r="AI101" s="297"/>
      <c r="AJ101" s="297"/>
      <c r="AK101" s="297"/>
    </row>
    <row r="102" spans="1:37" x14ac:dyDescent="0.2">
      <c r="A102" s="297"/>
      <c r="B102" s="297"/>
      <c r="C102" s="297"/>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c r="AJ102" s="297"/>
      <c r="AK102" s="297"/>
    </row>
    <row r="103" spans="1:37" x14ac:dyDescent="0.2">
      <c r="A103" s="297"/>
      <c r="B103" s="297"/>
      <c r="C103" s="297"/>
      <c r="D103" s="297"/>
      <c r="E103" s="297"/>
      <c r="F103" s="297"/>
      <c r="G103" s="297"/>
      <c r="H103" s="297"/>
      <c r="I103" s="297"/>
      <c r="J103" s="297"/>
      <c r="K103" s="297"/>
      <c r="L103" s="297"/>
      <c r="M103" s="297"/>
      <c r="N103" s="297"/>
      <c r="O103" s="297"/>
      <c r="P103" s="297"/>
      <c r="Q103" s="297"/>
      <c r="R103" s="297"/>
      <c r="S103" s="297"/>
      <c r="T103" s="297"/>
      <c r="U103" s="297"/>
      <c r="V103" s="297"/>
      <c r="W103" s="297"/>
      <c r="X103" s="297"/>
      <c r="Y103" s="297"/>
      <c r="Z103" s="297"/>
      <c r="AA103" s="297"/>
      <c r="AB103" s="297"/>
      <c r="AC103" s="297"/>
      <c r="AD103" s="297"/>
      <c r="AE103" s="297"/>
      <c r="AF103" s="297"/>
      <c r="AG103" s="297"/>
      <c r="AH103" s="297"/>
      <c r="AI103" s="297"/>
      <c r="AJ103" s="297"/>
      <c r="AK103" s="297"/>
    </row>
    <row r="104" spans="1:37" x14ac:dyDescent="0.2">
      <c r="A104" s="297"/>
      <c r="B104" s="297"/>
      <c r="C104" s="297"/>
      <c r="D104" s="297"/>
      <c r="E104" s="297"/>
      <c r="F104" s="297"/>
      <c r="G104" s="297"/>
      <c r="H104" s="297"/>
      <c r="I104" s="297"/>
      <c r="J104" s="297"/>
      <c r="K104" s="297"/>
      <c r="L104" s="297"/>
      <c r="M104" s="297"/>
      <c r="N104" s="297"/>
      <c r="O104" s="297"/>
      <c r="P104" s="297"/>
      <c r="Q104" s="297"/>
      <c r="R104" s="297"/>
      <c r="S104" s="297"/>
      <c r="T104" s="297"/>
      <c r="U104" s="297"/>
      <c r="V104" s="297"/>
      <c r="W104" s="297"/>
      <c r="X104" s="297"/>
      <c r="Y104" s="297"/>
      <c r="Z104" s="297"/>
      <c r="AA104" s="297"/>
      <c r="AB104" s="297"/>
      <c r="AC104" s="297"/>
      <c r="AD104" s="297"/>
      <c r="AE104" s="297"/>
      <c r="AF104" s="297"/>
      <c r="AG104" s="297"/>
      <c r="AH104" s="297"/>
      <c r="AI104" s="297"/>
      <c r="AJ104" s="297"/>
      <c r="AK104" s="297"/>
    </row>
    <row r="105" spans="1:37" x14ac:dyDescent="0.2">
      <c r="A105" s="297"/>
      <c r="B105" s="297"/>
      <c r="C105" s="297"/>
      <c r="D105" s="297"/>
      <c r="E105" s="297"/>
      <c r="F105" s="297"/>
      <c r="G105" s="297"/>
      <c r="H105" s="297"/>
      <c r="I105" s="297"/>
      <c r="J105" s="297"/>
      <c r="K105" s="297"/>
      <c r="L105" s="297"/>
      <c r="M105" s="297"/>
      <c r="N105" s="297"/>
      <c r="O105" s="297"/>
      <c r="P105" s="297"/>
      <c r="Q105" s="297"/>
      <c r="R105" s="297"/>
      <c r="S105" s="297"/>
      <c r="T105" s="297"/>
      <c r="U105" s="297"/>
      <c r="V105" s="297"/>
      <c r="W105" s="297"/>
      <c r="X105" s="297"/>
      <c r="Y105" s="297"/>
      <c r="Z105" s="297"/>
      <c r="AA105" s="297"/>
      <c r="AB105" s="297"/>
      <c r="AC105" s="297"/>
      <c r="AD105" s="297"/>
      <c r="AE105" s="297"/>
      <c r="AF105" s="297"/>
      <c r="AG105" s="297"/>
      <c r="AH105" s="297"/>
      <c r="AI105" s="297"/>
      <c r="AJ105" s="297"/>
      <c r="AK105" s="297"/>
    </row>
    <row r="106" spans="1:37" x14ac:dyDescent="0.2">
      <c r="A106" s="297"/>
      <c r="B106" s="296" t="str">
        <f>InputsData!$J$1</f>
        <v>MONNAIE LOCALE : CFA</v>
      </c>
      <c r="C106" s="297"/>
      <c r="D106" s="297"/>
      <c r="E106" s="297"/>
      <c r="F106" s="297"/>
      <c r="G106" s="297"/>
      <c r="H106" s="297"/>
      <c r="I106" s="297"/>
      <c r="J106" s="297"/>
      <c r="K106" s="297"/>
      <c r="L106" s="295" t="str">
        <f>InputsData!$J$2</f>
        <v>STRICTEMENT CONFIDENTIEL | ABC CORPORATION</v>
      </c>
      <c r="M106" s="297"/>
      <c r="N106" s="297"/>
      <c r="O106" s="297"/>
      <c r="P106" s="297"/>
      <c r="Q106" s="297"/>
      <c r="R106" s="297"/>
      <c r="S106" s="297"/>
      <c r="T106" s="297"/>
      <c r="U106" s="297"/>
      <c r="V106" s="297"/>
      <c r="W106" s="297"/>
      <c r="X106" s="297"/>
      <c r="Y106" s="297"/>
      <c r="Z106" s="297"/>
      <c r="AA106" s="297"/>
      <c r="AB106" s="297"/>
      <c r="AC106" s="297"/>
      <c r="AD106" s="297"/>
      <c r="AE106" s="297"/>
      <c r="AF106" s="297"/>
      <c r="AG106" s="297"/>
      <c r="AH106" s="297"/>
      <c r="AI106" s="297"/>
      <c r="AJ106" s="297"/>
      <c r="AK106" s="297"/>
    </row>
    <row r="107" spans="1:37" ht="15" customHeight="1" x14ac:dyDescent="0.2">
      <c r="A107" s="297"/>
      <c r="B107" s="934" t="str">
        <f>VLOOKUP("REVENUE AND GROSS PROFIT PER PRODUCT / SERVICE FAMILY",TableInputsData[],ReadMe!$M$3,FALSE)</f>
        <v>CA ET MARGE BRUTE PAR GAMME DE PRODUIT / SERVICE</v>
      </c>
      <c r="C107" s="934" t="str">
        <f>VLOOKUP("YEAR-2",TableInputsData[],ReadMe!$M$3,FALSE)</f>
        <v>ANNEE-2</v>
      </c>
      <c r="D107" s="934" t="str">
        <f>VLOOKUP("YEAR-2",TableInputsData[],ReadMe!$M$3,FALSE)</f>
        <v>ANNEE-2</v>
      </c>
      <c r="E107" s="235" t="str">
        <f>VLOOKUP(E108,TableInputsData[],ReadMe!$M$3,FALSE)</f>
        <v>ANNEE-2</v>
      </c>
      <c r="F107" s="235" t="str">
        <f>VLOOKUP(F108,TableInputsData[],ReadMe!$M$3,FALSE)</f>
        <v>ANNEE-1</v>
      </c>
      <c r="G107" s="235" t="str">
        <f>VLOOKUP(G108,TableInputsData[],ReadMe!$M$3,FALSE)</f>
        <v>ANNEE EN COURS</v>
      </c>
      <c r="H107" s="235" t="str">
        <f>VLOOKUP(H108,TableInputsData[],ReadMe!$M$3,FALSE)</f>
        <v>ANNEE2</v>
      </c>
      <c r="I107" s="235" t="str">
        <f>VLOOKUP(I108,TableInputsData[],ReadMe!$M$3,FALSE)</f>
        <v>ANNEE3</v>
      </c>
      <c r="J107" s="235" t="str">
        <f>VLOOKUP(J108,TableInputsData[],ReadMe!$M$3,FALSE)</f>
        <v>ANNEE4</v>
      </c>
      <c r="K107" s="235" t="str">
        <f>VLOOKUP(K108,TableInputsData[],ReadMe!$M$3,FALSE)</f>
        <v>ANNEE5</v>
      </c>
      <c r="L107" s="235" t="str">
        <f>VLOOKUP(L108,TableInputsData[],ReadMe!$M$3,FALSE)</f>
        <v>ANNEE6</v>
      </c>
      <c r="M107" s="297"/>
      <c r="N107" s="297"/>
      <c r="O107" s="297"/>
      <c r="P107" s="297"/>
      <c r="Q107" s="297"/>
      <c r="R107" s="297"/>
      <c r="S107" s="297"/>
      <c r="T107" s="297"/>
      <c r="U107" s="297"/>
      <c r="V107" s="297"/>
      <c r="W107" s="297"/>
      <c r="X107" s="297"/>
      <c r="Y107" s="297"/>
      <c r="Z107" s="297"/>
      <c r="AA107" s="297"/>
      <c r="AB107" s="297"/>
      <c r="AC107" s="297"/>
      <c r="AD107" s="297"/>
      <c r="AE107" s="297"/>
      <c r="AF107" s="297"/>
      <c r="AG107" s="297"/>
      <c r="AH107" s="297"/>
      <c r="AI107" s="297"/>
      <c r="AJ107" s="297"/>
      <c r="AK107" s="297"/>
    </row>
    <row r="108" spans="1:37" ht="15" hidden="1" customHeight="1" x14ac:dyDescent="0.2">
      <c r="A108" s="297"/>
      <c r="B108" s="935"/>
      <c r="C108" s="935"/>
      <c r="D108" s="935"/>
      <c r="E108" s="224" t="s">
        <v>392</v>
      </c>
      <c r="F108" s="224" t="s">
        <v>391</v>
      </c>
      <c r="G108" s="224" t="s">
        <v>393</v>
      </c>
      <c r="H108" s="224" t="s">
        <v>396</v>
      </c>
      <c r="I108" s="224" t="s">
        <v>397</v>
      </c>
      <c r="J108" s="224" t="s">
        <v>398</v>
      </c>
      <c r="K108" s="224" t="s">
        <v>399</v>
      </c>
      <c r="L108" s="224" t="s">
        <v>400</v>
      </c>
      <c r="M108" s="297"/>
      <c r="N108" s="297"/>
      <c r="O108" s="297"/>
      <c r="P108" s="297"/>
      <c r="Q108" s="297"/>
      <c r="R108" s="297"/>
      <c r="S108" s="297"/>
      <c r="T108" s="297"/>
      <c r="U108" s="297"/>
      <c r="V108" s="297"/>
      <c r="W108" s="297"/>
      <c r="X108" s="297"/>
      <c r="Y108" s="297"/>
      <c r="Z108" s="297"/>
      <c r="AA108" s="297"/>
      <c r="AB108" s="297"/>
      <c r="AC108" s="297"/>
      <c r="AD108" s="297"/>
      <c r="AE108" s="297"/>
      <c r="AF108" s="297"/>
      <c r="AG108" s="297"/>
      <c r="AH108" s="297"/>
      <c r="AI108" s="297"/>
      <c r="AJ108" s="297"/>
      <c r="AK108" s="297"/>
    </row>
    <row r="109" spans="1:37" ht="15" customHeight="1" x14ac:dyDescent="0.2">
      <c r="A109" s="297"/>
      <c r="B109" s="935" t="str">
        <f>VLOOKUP("YEAR-2",TableInputsData[],ReadMe!$M$3,FALSE)</f>
        <v>ANNEE-2</v>
      </c>
      <c r="C109" s="935" t="str">
        <f>VLOOKUP("YEAR-2",TableInputsData[],ReadMe!$M$3,FALSE)</f>
        <v>ANNEE-2</v>
      </c>
      <c r="D109" s="935" t="str">
        <f>VLOOKUP("YEAR-2",TableInputsData[],ReadMe!$M$3,FALSE)</f>
        <v>ANNEE-2</v>
      </c>
      <c r="E109" s="224" t="str">
        <f>VLOOKUP(E108,TableInputsData[],7,FALSE)</f>
        <v>ACTUAL</v>
      </c>
      <c r="F109" s="224" t="str">
        <f>VLOOKUP(F108,TableInputsData[],7,FALSE)</f>
        <v>ACTUAL</v>
      </c>
      <c r="G109" s="224" t="str">
        <f>VLOOKUP(G108,TableInputsData[],7,FALSE)</f>
        <v>FORECAST</v>
      </c>
      <c r="H109" s="224" t="str">
        <f>VLOOKUP(H108,TableInputsData[],7,FALSE)</f>
        <v>FORECAST</v>
      </c>
      <c r="I109" s="224" t="str">
        <f>VLOOKUP(I108,TableInputsData[],7,FALSE)</f>
        <v>FORECAST</v>
      </c>
      <c r="J109" s="224" t="str">
        <f>VLOOKUP(J108,TableInputsData[],7,FALSE)</f>
        <v>FORECAST</v>
      </c>
      <c r="K109" s="224" t="str">
        <f>VLOOKUP(K108,TableInputsData[],7,FALSE)</f>
        <v>FORECAST</v>
      </c>
      <c r="L109" s="224" t="str">
        <f>VLOOKUP(L108,TableInputsData[],7,FALSE)</f>
        <v>FORECAST</v>
      </c>
      <c r="M109" s="297"/>
      <c r="N109" s="297"/>
      <c r="O109" s="297"/>
      <c r="P109" s="297"/>
      <c r="Q109" s="297"/>
      <c r="R109" s="297"/>
      <c r="S109" s="297"/>
      <c r="T109" s="297"/>
      <c r="U109" s="297"/>
      <c r="V109" s="297"/>
      <c r="W109" s="297"/>
      <c r="X109" s="297"/>
      <c r="Y109" s="297"/>
      <c r="Z109" s="297"/>
      <c r="AA109" s="297"/>
      <c r="AB109" s="297"/>
      <c r="AC109" s="297"/>
      <c r="AD109" s="297"/>
      <c r="AE109" s="297"/>
      <c r="AF109" s="297"/>
      <c r="AG109" s="297"/>
      <c r="AH109" s="297"/>
      <c r="AI109" s="297"/>
      <c r="AJ109" s="297"/>
      <c r="AK109" s="297"/>
    </row>
    <row r="110" spans="1:37" x14ac:dyDescent="0.2">
      <c r="A110" s="297"/>
      <c r="B110" s="936" t="str">
        <f>VLOOKUP("YEAR-2",TableInputsData[],ReadMe!$M$3,FALSE)</f>
        <v>ANNEE-2</v>
      </c>
      <c r="C110" s="936" t="str">
        <f>VLOOKUP("YEAR-2",TableInputsData[],ReadMe!$M$3,FALSE)</f>
        <v>ANNEE-2</v>
      </c>
      <c r="D110" s="936" t="str">
        <f>VLOOKUP("YEAR-2",TableInputsData[],ReadMe!$M$3,FALSE)</f>
        <v>ANNEE-2</v>
      </c>
      <c r="E110" s="596">
        <f>VLOOKUP(E108,TableInputsData[],8,FALSE)</f>
        <v>2023</v>
      </c>
      <c r="F110" s="596">
        <f>VLOOKUP(F108,TableInputsData[],8,FALSE)</f>
        <v>2024</v>
      </c>
      <c r="G110" s="596">
        <f>VLOOKUP(G108,TableInputsData[],8,FALSE)</f>
        <v>2025</v>
      </c>
      <c r="H110" s="596">
        <f>VLOOKUP(H108,TableInputsData[],8,FALSE)</f>
        <v>2026</v>
      </c>
      <c r="I110" s="596">
        <f>VLOOKUP(I108,TableInputsData[],8,FALSE)</f>
        <v>2027</v>
      </c>
      <c r="J110" s="596">
        <f>VLOOKUP(J108,TableInputsData[],8,FALSE)</f>
        <v>2028</v>
      </c>
      <c r="K110" s="596">
        <f>VLOOKUP(K108,TableInputsData[],8,FALSE)</f>
        <v>2029</v>
      </c>
      <c r="L110" s="596">
        <f>VLOOKUP(L108,TableInputsData[],8,FALSE)</f>
        <v>2030</v>
      </c>
      <c r="M110" s="297"/>
      <c r="N110" s="297"/>
      <c r="O110" s="297"/>
      <c r="P110" s="297"/>
      <c r="Q110" s="297"/>
      <c r="R110" s="297"/>
      <c r="S110" s="297"/>
      <c r="T110" s="297"/>
      <c r="U110" s="297"/>
      <c r="V110" s="297"/>
      <c r="W110" s="297"/>
      <c r="X110" s="297"/>
      <c r="Y110" s="297"/>
      <c r="Z110" s="297"/>
      <c r="AA110" s="297"/>
      <c r="AB110" s="297"/>
      <c r="AC110" s="297"/>
      <c r="AD110" s="297"/>
      <c r="AE110" s="297"/>
      <c r="AF110" s="297"/>
      <c r="AG110" s="297"/>
      <c r="AH110" s="297"/>
      <c r="AI110" s="297"/>
      <c r="AJ110" s="297"/>
      <c r="AK110" s="297"/>
    </row>
    <row r="111" spans="1:37" x14ac:dyDescent="0.2">
      <c r="A111" s="297"/>
      <c r="B111" s="297"/>
      <c r="C111" s="297"/>
      <c r="D111" s="297"/>
      <c r="E111" s="297"/>
      <c r="F111" s="297"/>
      <c r="G111" s="297"/>
      <c r="H111" s="297"/>
      <c r="I111" s="297"/>
      <c r="J111" s="297"/>
      <c r="K111" s="297"/>
      <c r="L111" s="297"/>
      <c r="M111" s="297"/>
      <c r="N111" s="297"/>
      <c r="O111" s="297"/>
      <c r="P111" s="297"/>
      <c r="Q111" s="297"/>
      <c r="R111" s="297"/>
      <c r="S111" s="297"/>
      <c r="T111" s="297"/>
      <c r="U111" s="297"/>
      <c r="V111" s="297"/>
      <c r="W111" s="297"/>
      <c r="X111" s="297"/>
      <c r="Y111" s="297"/>
      <c r="Z111" s="297"/>
      <c r="AA111" s="297"/>
      <c r="AB111" s="297"/>
      <c r="AC111" s="297"/>
      <c r="AD111" s="297"/>
      <c r="AE111" s="297"/>
      <c r="AF111" s="297"/>
      <c r="AG111" s="297"/>
      <c r="AH111" s="297"/>
      <c r="AI111" s="297"/>
      <c r="AJ111" s="297"/>
      <c r="AK111" s="297"/>
    </row>
    <row r="112" spans="1:37" x14ac:dyDescent="0.2">
      <c r="A112" s="297"/>
      <c r="B112" s="297"/>
      <c r="C112" s="297"/>
      <c r="D112" s="301"/>
      <c r="E112" s="297"/>
      <c r="F112" s="297"/>
      <c r="G112" s="297"/>
      <c r="H112" s="297"/>
      <c r="I112" s="297"/>
      <c r="J112" s="297"/>
      <c r="K112" s="297"/>
      <c r="L112" s="297"/>
      <c r="M112" s="297"/>
      <c r="N112" s="297"/>
      <c r="O112" s="297"/>
      <c r="P112" s="297"/>
      <c r="Q112" s="297"/>
      <c r="R112" s="297"/>
      <c r="S112" s="297"/>
      <c r="T112" s="297"/>
      <c r="U112" s="297"/>
      <c r="V112" s="297"/>
      <c r="W112" s="297"/>
      <c r="X112" s="297"/>
      <c r="Y112" s="297"/>
      <c r="Z112" s="297"/>
      <c r="AA112" s="297"/>
      <c r="AB112" s="297"/>
      <c r="AC112" s="297"/>
      <c r="AD112" s="297"/>
      <c r="AE112" s="297"/>
      <c r="AF112" s="297"/>
      <c r="AG112" s="297"/>
      <c r="AH112" s="297"/>
      <c r="AI112" s="297"/>
      <c r="AJ112" s="297"/>
      <c r="AK112" s="297"/>
    </row>
    <row r="113" spans="1:37" x14ac:dyDescent="0.2">
      <c r="A113" s="297"/>
      <c r="B113" s="297"/>
      <c r="C113" s="297"/>
      <c r="D113" s="340" t="s">
        <v>586</v>
      </c>
      <c r="E113" s="297"/>
      <c r="F113" s="298" t="str">
        <f>VLOOKUP(RIGHT(F116,LEN(F116)-13),TableInputsData[],ReadMe!$M$3,FALSE)</f>
        <v>GAMME 1</v>
      </c>
      <c r="G113" s="298" t="str">
        <f>VLOOKUP(RIGHT(G116,LEN(G116)-13),TableInputsData[],ReadMe!$M$3,FALSE)</f>
        <v>GAMME 2</v>
      </c>
      <c r="H113" s="298" t="str">
        <f>VLOOKUP(RIGHT(H116,LEN(H116)-13),TableInputsData[],ReadMe!$M$3,FALSE)</f>
        <v>GAMME 3</v>
      </c>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row>
    <row r="114" spans="1:37" x14ac:dyDescent="0.2">
      <c r="A114" s="297"/>
      <c r="B114" s="297"/>
      <c r="C114" s="297"/>
      <c r="D114" s="363" t="s">
        <v>465</v>
      </c>
      <c r="E114" s="365" t="s">
        <v>114</v>
      </c>
      <c r="F114" s="298" t="str">
        <f>VLOOKUP(RIGHT(F116,LEN(F116)-13),TableInputsData[],6,FALSE)</f>
        <v>LOW END</v>
      </c>
      <c r="G114" s="298" t="str">
        <f>VLOOKUP(RIGHT(G116,LEN(G116)-13),TableInputsData[],6,FALSE)</f>
        <v>MEDIUM END</v>
      </c>
      <c r="H114" s="298" t="str">
        <f>VLOOKUP(RIGHT(H116,LEN(H116)-13),TableInputsData[],6,FALSE)</f>
        <v>HIGH END</v>
      </c>
      <c r="I114" s="297"/>
      <c r="J114" s="297"/>
      <c r="K114" s="297"/>
      <c r="L114" s="297"/>
      <c r="M114" s="297"/>
      <c r="N114" s="297"/>
      <c r="O114" s="297"/>
      <c r="P114" s="297"/>
      <c r="Q114" s="297"/>
      <c r="R114" s="297"/>
      <c r="S114" s="297"/>
      <c r="T114" s="297"/>
      <c r="U114" s="297"/>
      <c r="V114" s="297"/>
      <c r="W114" s="297"/>
      <c r="X114" s="297"/>
      <c r="Y114" s="297"/>
      <c r="Z114" s="297"/>
      <c r="AA114" s="297"/>
      <c r="AB114" s="297"/>
      <c r="AC114" s="297"/>
      <c r="AD114" s="297"/>
      <c r="AE114" s="297"/>
      <c r="AF114" s="297"/>
      <c r="AG114" s="297"/>
      <c r="AH114" s="297"/>
      <c r="AI114" s="297"/>
      <c r="AJ114" s="297"/>
      <c r="AK114" s="297"/>
    </row>
    <row r="115" spans="1:37" x14ac:dyDescent="0.2">
      <c r="A115" s="297"/>
      <c r="B115" s="297"/>
      <c r="C115" s="297"/>
      <c r="D115" s="297"/>
      <c r="E115" s="297"/>
      <c r="F115" s="297"/>
      <c r="G115" s="297"/>
      <c r="H115" s="297"/>
      <c r="I115" s="297"/>
      <c r="J115" s="297"/>
      <c r="K115" s="297"/>
      <c r="L115" s="297"/>
      <c r="M115" s="297"/>
      <c r="N115" s="297"/>
      <c r="O115" s="297"/>
      <c r="P115" s="297"/>
      <c r="Q115" s="297"/>
      <c r="R115" s="297"/>
      <c r="S115" s="297"/>
      <c r="T115" s="297"/>
      <c r="U115" s="297"/>
      <c r="V115" s="297"/>
      <c r="W115" s="297"/>
      <c r="X115" s="297"/>
      <c r="Y115" s="297"/>
      <c r="Z115" s="297"/>
      <c r="AA115" s="297"/>
      <c r="AB115" s="297"/>
      <c r="AC115" s="297"/>
      <c r="AD115" s="297"/>
      <c r="AE115" s="297"/>
      <c r="AF115" s="297"/>
      <c r="AG115" s="297"/>
      <c r="AH115" s="297"/>
      <c r="AI115" s="297"/>
      <c r="AJ115" s="297"/>
      <c r="AK115" s="297"/>
    </row>
    <row r="116" spans="1:37" x14ac:dyDescent="0.2">
      <c r="A116" s="297"/>
      <c r="B116" s="300" t="s">
        <v>1705</v>
      </c>
      <c r="C116" s="297"/>
      <c r="D116" s="152" t="s">
        <v>0</v>
      </c>
      <c r="E116" s="152" t="s">
        <v>462</v>
      </c>
      <c r="F116" s="152" t="s">
        <v>1700</v>
      </c>
      <c r="G116" s="152" t="s">
        <v>1701</v>
      </c>
      <c r="H116" s="152" t="s">
        <v>1702</v>
      </c>
      <c r="I116" s="297"/>
      <c r="J116" s="297"/>
      <c r="K116" s="297"/>
      <c r="L116" s="297"/>
      <c r="M116" s="297"/>
      <c r="N116" s="297"/>
      <c r="O116" s="297"/>
      <c r="P116" s="297"/>
      <c r="Q116" s="297"/>
      <c r="R116" s="297"/>
      <c r="S116" s="297"/>
      <c r="T116" s="297"/>
      <c r="U116" s="297"/>
      <c r="V116" s="297"/>
      <c r="W116" s="297"/>
      <c r="X116" s="297"/>
      <c r="Y116" s="297"/>
      <c r="Z116" s="297"/>
      <c r="AA116" s="297"/>
      <c r="AB116" s="297"/>
      <c r="AC116" s="297"/>
      <c r="AD116" s="297"/>
      <c r="AE116" s="297"/>
      <c r="AF116" s="297"/>
      <c r="AG116" s="297"/>
      <c r="AH116" s="297"/>
      <c r="AI116" s="297"/>
      <c r="AJ116" s="297"/>
      <c r="AK116" s="297"/>
    </row>
    <row r="117" spans="1:37" x14ac:dyDescent="0.2">
      <c r="A117" s="623" t="s">
        <v>1506</v>
      </c>
      <c r="B117" s="364" t="s">
        <v>1493</v>
      </c>
      <c r="C117" s="364" t="s">
        <v>1494</v>
      </c>
      <c r="D117" s="163" t="s">
        <v>457</v>
      </c>
      <c r="E117" s="163">
        <v>2023</v>
      </c>
      <c r="F117" s="903">
        <v>0</v>
      </c>
      <c r="G117" s="903">
        <v>0</v>
      </c>
      <c r="H117" s="903">
        <v>0</v>
      </c>
      <c r="I117" s="297"/>
      <c r="J117" s="297"/>
      <c r="K117" s="297"/>
      <c r="L117" s="297"/>
      <c r="M117" s="297"/>
      <c r="N117" s="297"/>
      <c r="O117" s="297"/>
      <c r="P117" s="297"/>
      <c r="Q117" s="297"/>
      <c r="R117" s="297"/>
      <c r="S117" s="297"/>
      <c r="T117" s="297"/>
      <c r="U117" s="297"/>
      <c r="V117" s="297"/>
      <c r="W117" s="297"/>
      <c r="X117" s="297"/>
      <c r="Y117" s="297"/>
      <c r="Z117" s="297"/>
      <c r="AA117" s="297"/>
      <c r="AB117" s="297"/>
      <c r="AC117" s="297"/>
      <c r="AD117" s="297"/>
      <c r="AE117" s="297"/>
      <c r="AF117" s="297"/>
      <c r="AG117" s="297"/>
      <c r="AH117" s="297"/>
      <c r="AI117" s="297"/>
      <c r="AJ117" s="297"/>
      <c r="AK117" s="297"/>
    </row>
    <row r="118" spans="1:37" x14ac:dyDescent="0.2">
      <c r="A118" s="653" t="s">
        <v>1680</v>
      </c>
      <c r="B118" s="367" t="str">
        <f>VLOOKUP(A118,TableInputsData[],ReadMe!$M$3,FALSE)</f>
        <v>GAMME 1</v>
      </c>
      <c r="C118" s="367" t="str">
        <f>VLOOKUP(A118,TableInputsData[],6,FALSE)</f>
        <v>LOW END</v>
      </c>
      <c r="D118" s="163" t="s">
        <v>457</v>
      </c>
      <c r="E118" s="163">
        <v>2024</v>
      </c>
      <c r="F118" s="903">
        <v>0</v>
      </c>
      <c r="G118" s="903">
        <v>0</v>
      </c>
      <c r="H118" s="903">
        <v>0</v>
      </c>
      <c r="I118" s="297"/>
      <c r="J118" s="297"/>
      <c r="K118" s="297"/>
      <c r="L118" s="297"/>
      <c r="M118" s="297"/>
      <c r="N118" s="297"/>
      <c r="O118" s="297"/>
      <c r="P118" s="297"/>
      <c r="Q118" s="297"/>
      <c r="R118" s="297"/>
      <c r="S118" s="297"/>
      <c r="T118" s="297"/>
      <c r="U118" s="297"/>
      <c r="V118" s="297"/>
      <c r="W118" s="297"/>
      <c r="X118" s="297"/>
      <c r="Y118" s="297"/>
      <c r="Z118" s="297"/>
      <c r="AA118" s="297"/>
      <c r="AB118" s="297"/>
      <c r="AC118" s="297"/>
      <c r="AD118" s="297"/>
      <c r="AE118" s="297"/>
      <c r="AF118" s="297"/>
      <c r="AG118" s="297"/>
      <c r="AH118" s="297"/>
      <c r="AI118" s="297"/>
      <c r="AJ118" s="297"/>
      <c r="AK118" s="297"/>
    </row>
    <row r="119" spans="1:37" x14ac:dyDescent="0.2">
      <c r="A119" s="653" t="s">
        <v>1681</v>
      </c>
      <c r="B119" s="367" t="str">
        <f>VLOOKUP(A119,TableInputsData[],ReadMe!$M$3,FALSE)</f>
        <v>GAMME 2</v>
      </c>
      <c r="C119" s="367" t="str">
        <f>VLOOKUP(A119,TableInputsData[],6,FALSE)</f>
        <v>MEDIUM END</v>
      </c>
      <c r="D119" s="163" t="s">
        <v>457</v>
      </c>
      <c r="E119" s="163">
        <v>2025</v>
      </c>
      <c r="F119" s="903">
        <v>0</v>
      </c>
      <c r="G119" s="903">
        <v>0</v>
      </c>
      <c r="H119" s="903">
        <v>0</v>
      </c>
      <c r="I119" s="297"/>
      <c r="J119" s="297"/>
      <c r="K119" s="297"/>
      <c r="L119" s="297"/>
      <c r="M119" s="297"/>
      <c r="N119" s="297"/>
      <c r="O119" s="297"/>
      <c r="P119" s="297"/>
      <c r="Q119" s="297"/>
      <c r="R119" s="297"/>
      <c r="S119" s="297"/>
      <c r="T119" s="297"/>
      <c r="U119" s="297"/>
      <c r="V119" s="297"/>
      <c r="W119" s="297"/>
      <c r="X119" s="297"/>
      <c r="Y119" s="297"/>
      <c r="Z119" s="297"/>
      <c r="AA119" s="297"/>
      <c r="AB119" s="297"/>
      <c r="AC119" s="297"/>
      <c r="AD119" s="297"/>
      <c r="AE119" s="297"/>
      <c r="AF119" s="297"/>
      <c r="AG119" s="297"/>
      <c r="AH119" s="297"/>
      <c r="AI119" s="297"/>
      <c r="AJ119" s="297"/>
      <c r="AK119" s="297"/>
    </row>
    <row r="120" spans="1:37" x14ac:dyDescent="0.2">
      <c r="A120" s="653" t="s">
        <v>1682</v>
      </c>
      <c r="B120" s="367" t="str">
        <f>VLOOKUP(A120,TableInputsData[],ReadMe!$M$3,FALSE)</f>
        <v>GAMME 3</v>
      </c>
      <c r="C120" s="367" t="str">
        <f>VLOOKUP(A120,TableInputsData[],6,FALSE)</f>
        <v>HIGH END</v>
      </c>
      <c r="D120" s="163" t="s">
        <v>457</v>
      </c>
      <c r="E120" s="163">
        <v>2026</v>
      </c>
      <c r="F120" s="903">
        <v>0</v>
      </c>
      <c r="G120" s="903">
        <v>0</v>
      </c>
      <c r="H120" s="903">
        <v>0</v>
      </c>
      <c r="I120" s="297"/>
      <c r="J120" s="297"/>
      <c r="K120" s="297"/>
      <c r="L120" s="297"/>
      <c r="M120" s="297"/>
      <c r="N120" s="297"/>
      <c r="O120" s="297"/>
      <c r="P120" s="297"/>
      <c r="Q120" s="297"/>
      <c r="R120" s="297"/>
      <c r="S120" s="297"/>
      <c r="T120" s="297"/>
      <c r="U120" s="297"/>
      <c r="V120" s="297"/>
      <c r="W120" s="297"/>
      <c r="X120" s="297"/>
      <c r="Y120" s="297"/>
      <c r="Z120" s="297"/>
      <c r="AA120" s="297"/>
      <c r="AB120" s="297"/>
      <c r="AC120" s="297"/>
      <c r="AD120" s="297"/>
      <c r="AE120" s="297"/>
      <c r="AF120" s="297"/>
      <c r="AG120" s="297"/>
      <c r="AH120" s="297"/>
      <c r="AI120" s="297"/>
      <c r="AJ120" s="297"/>
      <c r="AK120" s="297"/>
    </row>
    <row r="121" spans="1:37" x14ac:dyDescent="0.2">
      <c r="A121" s="297"/>
      <c r="B121" s="297"/>
      <c r="C121" s="297"/>
      <c r="D121" s="163" t="s">
        <v>457</v>
      </c>
      <c r="E121" s="163">
        <v>2027</v>
      </c>
      <c r="F121" s="903">
        <v>0</v>
      </c>
      <c r="G121" s="903">
        <v>0</v>
      </c>
      <c r="H121" s="903">
        <v>0</v>
      </c>
      <c r="I121" s="297"/>
      <c r="J121" s="297"/>
      <c r="K121" s="297"/>
      <c r="L121" s="297"/>
      <c r="M121" s="297"/>
      <c r="N121" s="297"/>
      <c r="O121" s="297"/>
      <c r="P121" s="297"/>
      <c r="Q121" s="297"/>
      <c r="R121" s="297"/>
      <c r="S121" s="297"/>
      <c r="T121" s="297"/>
      <c r="U121" s="297"/>
      <c r="V121" s="297"/>
      <c r="W121" s="297"/>
      <c r="X121" s="297"/>
      <c r="Y121" s="297"/>
      <c r="Z121" s="297"/>
      <c r="AA121" s="297"/>
      <c r="AB121" s="297"/>
      <c r="AC121" s="297"/>
      <c r="AD121" s="297"/>
      <c r="AE121" s="297"/>
      <c r="AF121" s="297"/>
      <c r="AG121" s="297"/>
      <c r="AH121" s="297"/>
      <c r="AI121" s="297"/>
      <c r="AJ121" s="297"/>
      <c r="AK121" s="297"/>
    </row>
    <row r="122" spans="1:37" x14ac:dyDescent="0.2">
      <c r="A122" s="297"/>
      <c r="B122" s="297"/>
      <c r="C122" s="297"/>
      <c r="D122" s="163" t="s">
        <v>457</v>
      </c>
      <c r="E122" s="163">
        <v>2028</v>
      </c>
      <c r="F122" s="903">
        <v>0</v>
      </c>
      <c r="G122" s="903">
        <v>0</v>
      </c>
      <c r="H122" s="903">
        <v>0</v>
      </c>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row>
    <row r="123" spans="1:37" x14ac:dyDescent="0.2">
      <c r="A123" s="297"/>
      <c r="B123" s="297"/>
      <c r="C123" s="297"/>
      <c r="D123" s="163" t="s">
        <v>457</v>
      </c>
      <c r="E123" s="163">
        <v>2029</v>
      </c>
      <c r="F123" s="903">
        <v>0</v>
      </c>
      <c r="G123" s="903">
        <v>0</v>
      </c>
      <c r="H123" s="903">
        <v>0</v>
      </c>
      <c r="I123" s="297"/>
      <c r="J123" s="297"/>
      <c r="K123" s="297"/>
      <c r="L123" s="297"/>
      <c r="M123" s="297"/>
      <c r="N123" s="297"/>
      <c r="O123" s="297"/>
      <c r="P123" s="297"/>
      <c r="Q123" s="297"/>
      <c r="R123" s="297"/>
      <c r="S123" s="297"/>
      <c r="T123" s="297"/>
      <c r="U123" s="297"/>
      <c r="V123" s="297"/>
      <c r="W123" s="297"/>
      <c r="X123" s="297"/>
      <c r="Y123" s="297"/>
      <c r="Z123" s="297"/>
      <c r="AA123" s="297"/>
      <c r="AB123" s="297"/>
      <c r="AC123" s="297"/>
      <c r="AD123" s="297"/>
      <c r="AE123" s="297"/>
      <c r="AF123" s="297"/>
      <c r="AG123" s="297"/>
      <c r="AH123" s="297"/>
      <c r="AI123" s="297"/>
      <c r="AJ123" s="297"/>
      <c r="AK123" s="297"/>
    </row>
    <row r="124" spans="1:37" x14ac:dyDescent="0.2">
      <c r="A124" s="297"/>
      <c r="B124" s="297"/>
      <c r="C124" s="297"/>
      <c r="D124" s="163" t="s">
        <v>457</v>
      </c>
      <c r="E124" s="163">
        <v>2030</v>
      </c>
      <c r="F124" s="903">
        <v>0</v>
      </c>
      <c r="G124" s="903">
        <v>0</v>
      </c>
      <c r="H124" s="903">
        <v>0</v>
      </c>
      <c r="I124" s="297"/>
      <c r="J124" s="297"/>
      <c r="K124" s="297"/>
      <c r="L124" s="297"/>
      <c r="M124" s="297"/>
      <c r="N124" s="297"/>
      <c r="O124" s="297"/>
      <c r="P124" s="297"/>
      <c r="Q124" s="297"/>
      <c r="R124" s="297"/>
      <c r="S124" s="297"/>
      <c r="T124" s="297"/>
      <c r="U124" s="297"/>
      <c r="V124" s="297"/>
      <c r="W124" s="297"/>
      <c r="X124" s="297"/>
      <c r="Y124" s="297"/>
      <c r="Z124" s="297"/>
      <c r="AA124" s="297"/>
      <c r="AB124" s="297"/>
      <c r="AC124" s="297"/>
      <c r="AD124" s="297"/>
      <c r="AE124" s="297"/>
      <c r="AF124" s="297"/>
      <c r="AG124" s="297"/>
      <c r="AH124" s="297"/>
      <c r="AI124" s="297"/>
      <c r="AJ124" s="297"/>
      <c r="AK124" s="297"/>
    </row>
    <row r="125" spans="1:37" x14ac:dyDescent="0.2">
      <c r="A125" s="297"/>
      <c r="B125" s="297"/>
      <c r="C125" s="297"/>
      <c r="D125" s="163" t="s">
        <v>2075</v>
      </c>
      <c r="F125" s="903">
        <v>0</v>
      </c>
      <c r="G125" s="903">
        <v>0</v>
      </c>
      <c r="H125" s="903">
        <v>0</v>
      </c>
      <c r="I125" s="297"/>
      <c r="J125" s="297"/>
      <c r="K125" s="297"/>
      <c r="L125" s="297"/>
      <c r="M125" s="297"/>
      <c r="N125" s="297"/>
      <c r="O125" s="297"/>
      <c r="P125" s="297"/>
      <c r="Q125" s="297"/>
      <c r="R125" s="297"/>
      <c r="S125" s="297"/>
      <c r="T125" s="297"/>
      <c r="U125" s="297"/>
      <c r="V125" s="297"/>
      <c r="W125" s="297"/>
      <c r="X125" s="297"/>
      <c r="Y125" s="297"/>
      <c r="Z125" s="297"/>
      <c r="AA125" s="297"/>
      <c r="AB125" s="297"/>
      <c r="AC125" s="297"/>
      <c r="AD125" s="297"/>
      <c r="AE125" s="297"/>
      <c r="AF125" s="297"/>
      <c r="AG125" s="297"/>
      <c r="AH125" s="297"/>
      <c r="AI125" s="297"/>
      <c r="AJ125" s="297"/>
      <c r="AK125" s="297"/>
    </row>
    <row r="126" spans="1:37" x14ac:dyDescent="0.2">
      <c r="A126" s="297"/>
      <c r="B126" s="297"/>
      <c r="C126" s="297"/>
      <c r="D126" s="163" t="s">
        <v>522</v>
      </c>
      <c r="E126" s="163">
        <v>2023</v>
      </c>
      <c r="F126" s="903">
        <v>0</v>
      </c>
      <c r="G126" s="903">
        <v>0</v>
      </c>
      <c r="H126" s="903">
        <v>0</v>
      </c>
      <c r="I126" s="297"/>
      <c r="J126" s="297"/>
      <c r="K126" s="297"/>
      <c r="L126" s="297"/>
      <c r="M126" s="297"/>
      <c r="N126" s="297"/>
      <c r="O126" s="297"/>
      <c r="P126" s="297"/>
      <c r="Q126" s="297"/>
      <c r="R126" s="297"/>
      <c r="S126" s="297"/>
      <c r="T126" s="297"/>
      <c r="U126" s="297"/>
      <c r="V126" s="297"/>
      <c r="W126" s="297"/>
      <c r="X126" s="297"/>
      <c r="Y126" s="297"/>
      <c r="Z126" s="297"/>
      <c r="AA126" s="297"/>
      <c r="AB126" s="297"/>
      <c r="AC126" s="297"/>
      <c r="AD126" s="297"/>
      <c r="AE126" s="297"/>
      <c r="AF126" s="297"/>
      <c r="AG126" s="297"/>
      <c r="AH126" s="297"/>
      <c r="AI126" s="297"/>
      <c r="AJ126" s="297"/>
      <c r="AK126" s="297"/>
    </row>
    <row r="127" spans="1:37" x14ac:dyDescent="0.2">
      <c r="A127" s="297"/>
      <c r="B127" s="297"/>
      <c r="C127" s="297"/>
      <c r="D127" s="163" t="s">
        <v>522</v>
      </c>
      <c r="E127" s="163">
        <v>2024</v>
      </c>
      <c r="F127" s="903">
        <v>0</v>
      </c>
      <c r="G127" s="903">
        <v>0</v>
      </c>
      <c r="H127" s="903">
        <v>0</v>
      </c>
      <c r="I127" s="297"/>
      <c r="J127" s="297"/>
      <c r="K127" s="297"/>
      <c r="L127" s="297"/>
      <c r="M127" s="297"/>
      <c r="N127" s="297"/>
      <c r="O127" s="297"/>
      <c r="P127" s="297"/>
      <c r="Q127" s="297"/>
      <c r="R127" s="297"/>
      <c r="S127" s="297"/>
      <c r="T127" s="297"/>
      <c r="U127" s="297"/>
      <c r="V127" s="297"/>
      <c r="W127" s="297"/>
      <c r="X127" s="297"/>
      <c r="Y127" s="297"/>
      <c r="Z127" s="297"/>
      <c r="AA127" s="297"/>
      <c r="AB127" s="297"/>
      <c r="AC127" s="297"/>
      <c r="AD127" s="297"/>
      <c r="AE127" s="297"/>
      <c r="AF127" s="297"/>
      <c r="AG127" s="297"/>
      <c r="AH127" s="297"/>
      <c r="AI127" s="297"/>
      <c r="AJ127" s="297"/>
      <c r="AK127" s="297"/>
    </row>
    <row r="128" spans="1:37" x14ac:dyDescent="0.2">
      <c r="A128" s="297"/>
      <c r="B128" s="297"/>
      <c r="C128" s="297"/>
      <c r="D128" s="163" t="s">
        <v>522</v>
      </c>
      <c r="E128" s="163">
        <v>2025</v>
      </c>
      <c r="F128" s="903">
        <v>0</v>
      </c>
      <c r="G128" s="903">
        <v>0</v>
      </c>
      <c r="H128" s="903">
        <v>0</v>
      </c>
      <c r="I128" s="297"/>
      <c r="J128" s="297"/>
      <c r="K128" s="297"/>
      <c r="L128" s="297"/>
      <c r="M128" s="297"/>
      <c r="N128" s="297"/>
      <c r="O128" s="297"/>
      <c r="P128" s="297"/>
      <c r="Q128" s="297"/>
      <c r="R128" s="297"/>
      <c r="S128" s="297"/>
      <c r="T128" s="297"/>
      <c r="U128" s="297"/>
      <c r="V128" s="297"/>
      <c r="W128" s="297"/>
      <c r="X128" s="297"/>
      <c r="Y128" s="297"/>
      <c r="Z128" s="297"/>
      <c r="AA128" s="297"/>
      <c r="AB128" s="297"/>
      <c r="AC128" s="297"/>
      <c r="AD128" s="297"/>
      <c r="AE128" s="297"/>
      <c r="AF128" s="297"/>
      <c r="AG128" s="297"/>
      <c r="AH128" s="297"/>
      <c r="AI128" s="297"/>
      <c r="AJ128" s="297"/>
      <c r="AK128" s="297"/>
    </row>
    <row r="129" spans="1:37" x14ac:dyDescent="0.2">
      <c r="A129" s="297"/>
      <c r="B129" s="297"/>
      <c r="C129" s="297"/>
      <c r="D129" s="163" t="s">
        <v>522</v>
      </c>
      <c r="E129" s="163">
        <v>2026</v>
      </c>
      <c r="F129" s="903">
        <v>0</v>
      </c>
      <c r="G129" s="903">
        <v>0</v>
      </c>
      <c r="H129" s="903">
        <v>0</v>
      </c>
      <c r="I129" s="297"/>
      <c r="J129" s="297"/>
      <c r="K129" s="297"/>
      <c r="L129" s="297"/>
      <c r="M129" s="297"/>
      <c r="N129" s="297"/>
      <c r="O129" s="297"/>
      <c r="P129" s="297"/>
      <c r="Q129" s="297"/>
      <c r="R129" s="297"/>
      <c r="S129" s="297"/>
      <c r="T129" s="297"/>
      <c r="U129" s="297"/>
      <c r="V129" s="297"/>
      <c r="W129" s="297"/>
      <c r="X129" s="297"/>
      <c r="Y129" s="297"/>
      <c r="Z129" s="297"/>
      <c r="AA129" s="297"/>
      <c r="AB129" s="297"/>
      <c r="AC129" s="297"/>
      <c r="AD129" s="297"/>
      <c r="AE129" s="297"/>
      <c r="AF129" s="297"/>
      <c r="AG129" s="297"/>
      <c r="AH129" s="297"/>
      <c r="AI129" s="297"/>
      <c r="AJ129" s="297"/>
      <c r="AK129" s="297"/>
    </row>
    <row r="130" spans="1:37" x14ac:dyDescent="0.2">
      <c r="A130" s="297"/>
      <c r="B130" s="297"/>
      <c r="C130" s="297"/>
      <c r="D130" s="163" t="s">
        <v>522</v>
      </c>
      <c r="E130" s="163">
        <v>2027</v>
      </c>
      <c r="F130" s="903">
        <v>0</v>
      </c>
      <c r="G130" s="903">
        <v>0</v>
      </c>
      <c r="H130" s="903">
        <v>0</v>
      </c>
      <c r="I130" s="297"/>
      <c r="J130" s="297"/>
      <c r="K130" s="297"/>
      <c r="L130" s="297"/>
      <c r="M130" s="297"/>
      <c r="N130" s="297"/>
      <c r="O130" s="297"/>
      <c r="P130" s="297"/>
      <c r="Q130" s="297"/>
      <c r="R130" s="297"/>
      <c r="S130" s="297"/>
      <c r="T130" s="297"/>
      <c r="U130" s="297"/>
      <c r="V130" s="297"/>
      <c r="W130" s="297"/>
      <c r="X130" s="297"/>
      <c r="Y130" s="297"/>
      <c r="Z130" s="297"/>
      <c r="AA130" s="297"/>
      <c r="AB130" s="297"/>
      <c r="AC130" s="297"/>
      <c r="AD130" s="297"/>
      <c r="AE130" s="297"/>
      <c r="AF130" s="297"/>
      <c r="AG130" s="297"/>
      <c r="AH130" s="297"/>
      <c r="AI130" s="297"/>
      <c r="AJ130" s="297"/>
      <c r="AK130" s="297"/>
    </row>
    <row r="131" spans="1:37" x14ac:dyDescent="0.2">
      <c r="A131" s="297"/>
      <c r="B131" s="297"/>
      <c r="C131" s="297"/>
      <c r="D131" s="163" t="s">
        <v>522</v>
      </c>
      <c r="E131" s="163">
        <v>2028</v>
      </c>
      <c r="F131" s="903">
        <v>0</v>
      </c>
      <c r="G131" s="903">
        <v>0</v>
      </c>
      <c r="H131" s="903">
        <v>0</v>
      </c>
      <c r="I131" s="297"/>
      <c r="J131" s="297"/>
      <c r="K131" s="297"/>
      <c r="L131" s="297"/>
      <c r="M131" s="297"/>
      <c r="N131" s="297"/>
      <c r="O131" s="297"/>
      <c r="P131" s="297"/>
      <c r="Q131" s="297"/>
      <c r="R131" s="297"/>
      <c r="S131" s="297"/>
      <c r="T131" s="297"/>
      <c r="U131" s="297"/>
      <c r="V131" s="297"/>
      <c r="W131" s="297"/>
      <c r="X131" s="297"/>
      <c r="Y131" s="297"/>
      <c r="Z131" s="297"/>
      <c r="AA131" s="297"/>
      <c r="AB131" s="297"/>
      <c r="AC131" s="297"/>
      <c r="AD131" s="297"/>
      <c r="AE131" s="297"/>
      <c r="AF131" s="297"/>
      <c r="AG131" s="297"/>
      <c r="AH131" s="297"/>
      <c r="AI131" s="297"/>
      <c r="AJ131" s="297"/>
      <c r="AK131" s="297"/>
    </row>
    <row r="132" spans="1:37" x14ac:dyDescent="0.2">
      <c r="A132" s="297"/>
      <c r="B132" s="297"/>
      <c r="C132" s="297"/>
      <c r="D132" s="163" t="s">
        <v>522</v>
      </c>
      <c r="E132" s="163">
        <v>2029</v>
      </c>
      <c r="F132" s="903">
        <v>0</v>
      </c>
      <c r="G132" s="903">
        <v>0</v>
      </c>
      <c r="H132" s="903">
        <v>0</v>
      </c>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row>
    <row r="133" spans="1:37" x14ac:dyDescent="0.2">
      <c r="A133" s="297"/>
      <c r="B133" s="297"/>
      <c r="C133" s="297"/>
      <c r="D133" s="163" t="s">
        <v>522</v>
      </c>
      <c r="E133" s="163">
        <v>2030</v>
      </c>
      <c r="F133" s="903">
        <v>0</v>
      </c>
      <c r="G133" s="903">
        <v>0</v>
      </c>
      <c r="H133" s="903">
        <v>0</v>
      </c>
      <c r="I133" s="297"/>
      <c r="J133" s="297"/>
      <c r="K133" s="297"/>
      <c r="L133" s="297"/>
      <c r="M133" s="297"/>
      <c r="N133" s="297"/>
      <c r="O133" s="297"/>
      <c r="P133" s="297"/>
      <c r="Q133" s="297"/>
      <c r="R133" s="297"/>
      <c r="S133" s="297"/>
      <c r="T133" s="297"/>
      <c r="U133" s="297"/>
      <c r="V133" s="297"/>
      <c r="W133" s="297"/>
      <c r="X133" s="297"/>
      <c r="Y133" s="297"/>
      <c r="Z133" s="297"/>
      <c r="AA133" s="297"/>
      <c r="AB133" s="297"/>
      <c r="AC133" s="297"/>
      <c r="AD133" s="297"/>
      <c r="AE133" s="297"/>
      <c r="AF133" s="297"/>
      <c r="AG133" s="297"/>
      <c r="AH133" s="297"/>
      <c r="AI133" s="297"/>
      <c r="AJ133" s="297"/>
      <c r="AK133" s="297"/>
    </row>
    <row r="134" spans="1:37" x14ac:dyDescent="0.2">
      <c r="A134" s="297"/>
      <c r="B134" s="297"/>
      <c r="C134" s="297"/>
      <c r="D134" s="163" t="s">
        <v>523</v>
      </c>
      <c r="F134" s="903">
        <v>0</v>
      </c>
      <c r="G134" s="903">
        <v>0</v>
      </c>
      <c r="H134" s="903">
        <v>0</v>
      </c>
      <c r="I134" s="297"/>
      <c r="J134" s="297"/>
      <c r="K134" s="297"/>
      <c r="L134" s="297"/>
      <c r="M134" s="297"/>
      <c r="N134" s="297"/>
      <c r="O134" s="297"/>
      <c r="P134" s="297"/>
      <c r="Q134" s="297"/>
      <c r="R134" s="297"/>
      <c r="S134" s="297"/>
      <c r="T134" s="297"/>
      <c r="U134" s="297"/>
      <c r="V134" s="297"/>
      <c r="W134" s="297"/>
      <c r="X134" s="297"/>
      <c r="Y134" s="297"/>
      <c r="Z134" s="297"/>
      <c r="AA134" s="297"/>
      <c r="AB134" s="297"/>
      <c r="AC134" s="297"/>
      <c r="AD134" s="297"/>
      <c r="AE134" s="297"/>
      <c r="AF134" s="297"/>
      <c r="AG134" s="297"/>
      <c r="AH134" s="297"/>
      <c r="AI134" s="297"/>
      <c r="AJ134" s="297"/>
      <c r="AK134" s="297"/>
    </row>
    <row r="135" spans="1:37" x14ac:dyDescent="0.2">
      <c r="A135" s="297"/>
      <c r="B135" s="297"/>
      <c r="C135" s="297"/>
      <c r="D135" s="313"/>
      <c r="E135" s="313"/>
      <c r="F135" s="313"/>
      <c r="G135" s="313"/>
      <c r="H135" s="313"/>
      <c r="I135" s="297"/>
      <c r="J135" s="297"/>
      <c r="K135" s="297"/>
      <c r="L135" s="297"/>
      <c r="M135" s="297"/>
      <c r="N135" s="297"/>
      <c r="O135" s="297"/>
      <c r="P135" s="297"/>
      <c r="Q135" s="297"/>
      <c r="R135" s="297"/>
      <c r="S135" s="297"/>
      <c r="T135" s="297"/>
      <c r="U135" s="297"/>
      <c r="V135" s="297"/>
      <c r="W135" s="297"/>
      <c r="X135" s="297"/>
      <c r="Y135" s="297"/>
      <c r="Z135" s="297"/>
      <c r="AA135" s="297"/>
      <c r="AB135" s="297"/>
      <c r="AC135" s="297"/>
      <c r="AD135" s="297"/>
      <c r="AE135" s="297"/>
      <c r="AF135" s="297"/>
      <c r="AG135" s="297"/>
      <c r="AH135" s="297"/>
      <c r="AI135" s="297"/>
      <c r="AJ135" s="297"/>
      <c r="AK135" s="297"/>
    </row>
    <row r="136" spans="1:37" x14ac:dyDescent="0.2">
      <c r="A136" s="297"/>
      <c r="B136" s="297"/>
      <c r="C136" s="297"/>
      <c r="D136" s="297"/>
      <c r="E136" s="297"/>
      <c r="F136" s="297"/>
      <c r="G136" s="297"/>
      <c r="H136" s="297"/>
      <c r="I136" s="297"/>
      <c r="J136" s="297"/>
      <c r="K136" s="297"/>
      <c r="L136" s="297"/>
      <c r="M136" s="297"/>
      <c r="N136" s="297"/>
      <c r="O136" s="297"/>
      <c r="P136" s="297"/>
      <c r="Q136" s="297"/>
      <c r="R136" s="297"/>
      <c r="S136" s="297"/>
      <c r="T136" s="297"/>
      <c r="U136" s="297"/>
      <c r="V136" s="297"/>
      <c r="W136" s="297"/>
      <c r="X136" s="297"/>
      <c r="Y136" s="297"/>
      <c r="Z136" s="297"/>
      <c r="AA136" s="297"/>
      <c r="AB136" s="297"/>
      <c r="AC136" s="297"/>
      <c r="AD136" s="297"/>
      <c r="AE136" s="297"/>
      <c r="AF136" s="297"/>
      <c r="AG136" s="297"/>
      <c r="AH136" s="297"/>
      <c r="AI136" s="297"/>
      <c r="AJ136" s="297"/>
      <c r="AK136" s="297"/>
    </row>
    <row r="137" spans="1:37" x14ac:dyDescent="0.2">
      <c r="A137" s="297"/>
      <c r="B137" s="297"/>
      <c r="C137" s="297"/>
      <c r="D137" s="297"/>
      <c r="E137" s="297"/>
      <c r="F137" s="297"/>
      <c r="G137" s="297"/>
      <c r="H137" s="297"/>
      <c r="I137" s="297"/>
      <c r="J137" s="297"/>
      <c r="K137" s="297"/>
      <c r="L137" s="297"/>
      <c r="M137" s="297"/>
      <c r="N137" s="297"/>
      <c r="O137" s="297"/>
      <c r="P137" s="297"/>
      <c r="Q137" s="297"/>
      <c r="R137" s="297"/>
      <c r="S137" s="297"/>
      <c r="T137" s="297"/>
      <c r="U137" s="297"/>
      <c r="V137" s="297"/>
      <c r="W137" s="297"/>
      <c r="X137" s="297"/>
      <c r="Y137" s="297"/>
      <c r="Z137" s="297"/>
      <c r="AA137" s="297"/>
      <c r="AB137" s="297"/>
      <c r="AC137" s="297"/>
      <c r="AD137" s="297"/>
      <c r="AE137" s="297"/>
      <c r="AF137" s="297"/>
      <c r="AG137" s="297"/>
      <c r="AH137" s="297"/>
      <c r="AI137" s="297"/>
      <c r="AJ137" s="297"/>
      <c r="AK137" s="297"/>
    </row>
    <row r="138" spans="1:37" x14ac:dyDescent="0.2">
      <c r="A138" s="297"/>
      <c r="B138" s="297"/>
      <c r="C138" s="297"/>
      <c r="D138" s="297"/>
      <c r="E138" s="297"/>
      <c r="F138" s="297"/>
      <c r="G138" s="297"/>
      <c r="H138" s="297"/>
      <c r="I138" s="297"/>
      <c r="J138" s="297"/>
      <c r="K138" s="297"/>
      <c r="L138" s="297"/>
      <c r="M138" s="297"/>
      <c r="N138" s="297"/>
      <c r="O138" s="297"/>
      <c r="P138" s="297"/>
      <c r="Q138" s="297"/>
      <c r="R138" s="297"/>
      <c r="S138" s="297"/>
      <c r="T138" s="297"/>
      <c r="U138" s="297"/>
      <c r="V138" s="297"/>
      <c r="W138" s="297"/>
      <c r="X138" s="297"/>
      <c r="Y138" s="297"/>
      <c r="Z138" s="297"/>
      <c r="AA138" s="297"/>
      <c r="AB138" s="297"/>
      <c r="AC138" s="297"/>
      <c r="AD138" s="297"/>
      <c r="AE138" s="297"/>
      <c r="AF138" s="297"/>
      <c r="AG138" s="297"/>
      <c r="AH138" s="297"/>
      <c r="AI138" s="297"/>
      <c r="AJ138" s="297"/>
      <c r="AK138" s="297"/>
    </row>
    <row r="139" spans="1:37" x14ac:dyDescent="0.2">
      <c r="A139" s="297"/>
      <c r="B139" s="297"/>
      <c r="C139" s="297"/>
      <c r="D139" s="297"/>
      <c r="E139" s="297"/>
      <c r="F139" s="297"/>
      <c r="G139" s="297"/>
      <c r="H139" s="297"/>
      <c r="I139" s="297"/>
      <c r="J139" s="297"/>
      <c r="K139" s="297"/>
      <c r="L139" s="297"/>
      <c r="M139" s="297"/>
      <c r="N139" s="297"/>
      <c r="O139" s="297"/>
      <c r="P139" s="297"/>
      <c r="Q139" s="297"/>
      <c r="R139" s="297"/>
      <c r="S139" s="297"/>
      <c r="T139" s="297"/>
      <c r="U139" s="297"/>
      <c r="V139" s="297"/>
      <c r="W139" s="297"/>
      <c r="X139" s="297"/>
      <c r="Y139" s="297"/>
      <c r="Z139" s="297"/>
      <c r="AA139" s="297"/>
      <c r="AB139" s="297"/>
      <c r="AC139" s="297"/>
      <c r="AD139" s="297"/>
      <c r="AE139" s="297"/>
      <c r="AF139" s="297"/>
      <c r="AG139" s="297"/>
      <c r="AH139" s="297"/>
      <c r="AI139" s="297"/>
      <c r="AJ139" s="297"/>
      <c r="AK139" s="297"/>
    </row>
    <row r="140" spans="1:37" x14ac:dyDescent="0.2">
      <c r="A140" s="297"/>
      <c r="B140" s="297"/>
      <c r="C140" s="297"/>
      <c r="D140" s="297"/>
      <c r="E140" s="297"/>
      <c r="F140" s="297"/>
      <c r="G140" s="297"/>
      <c r="H140" s="297"/>
      <c r="I140" s="297"/>
      <c r="J140" s="297"/>
      <c r="K140" s="297"/>
      <c r="L140" s="297"/>
      <c r="M140" s="297"/>
      <c r="N140" s="297"/>
      <c r="O140" s="297"/>
      <c r="P140" s="297"/>
      <c r="Q140" s="297"/>
      <c r="R140" s="297"/>
      <c r="S140" s="297"/>
      <c r="T140" s="297"/>
      <c r="U140" s="297"/>
      <c r="V140" s="297"/>
      <c r="W140" s="297"/>
      <c r="X140" s="297"/>
      <c r="Y140" s="297"/>
      <c r="Z140" s="297"/>
      <c r="AA140" s="297"/>
      <c r="AB140" s="297"/>
      <c r="AC140" s="297"/>
      <c r="AD140" s="297"/>
      <c r="AE140" s="297"/>
      <c r="AF140" s="297"/>
      <c r="AG140" s="297"/>
      <c r="AH140" s="297"/>
      <c r="AI140" s="297"/>
      <c r="AJ140" s="297"/>
      <c r="AK140" s="297"/>
    </row>
    <row r="141" spans="1:37" x14ac:dyDescent="0.2">
      <c r="A141" s="297"/>
      <c r="B141" s="297"/>
      <c r="C141" s="297"/>
      <c r="D141" s="297"/>
      <c r="E141" s="297"/>
      <c r="F141" s="297"/>
      <c r="G141" s="297"/>
      <c r="H141" s="297"/>
      <c r="I141" s="297"/>
      <c r="J141" s="297"/>
      <c r="K141" s="297"/>
      <c r="L141" s="297"/>
      <c r="M141" s="297"/>
      <c r="N141" s="297"/>
      <c r="O141" s="297"/>
      <c r="P141" s="297"/>
      <c r="Q141" s="297"/>
      <c r="R141" s="297"/>
      <c r="S141" s="297"/>
      <c r="T141" s="297"/>
      <c r="U141" s="297"/>
      <c r="V141" s="297"/>
      <c r="W141" s="297"/>
      <c r="X141" s="297"/>
      <c r="Y141" s="297"/>
      <c r="Z141" s="297"/>
      <c r="AA141" s="297"/>
      <c r="AB141" s="297"/>
      <c r="AC141" s="297"/>
      <c r="AD141" s="297"/>
      <c r="AE141" s="297"/>
      <c r="AF141" s="297"/>
      <c r="AG141" s="297"/>
      <c r="AH141" s="297"/>
      <c r="AI141" s="297"/>
      <c r="AJ141" s="297"/>
      <c r="AK141" s="297"/>
    </row>
    <row r="142" spans="1:37" x14ac:dyDescent="0.2">
      <c r="A142" s="297"/>
      <c r="B142" s="297"/>
      <c r="C142" s="297"/>
      <c r="D142" s="297"/>
      <c r="E142" s="297"/>
      <c r="F142" s="297"/>
      <c r="G142" s="297"/>
      <c r="H142" s="297"/>
      <c r="I142" s="297"/>
      <c r="J142" s="297"/>
      <c r="K142" s="297"/>
      <c r="L142" s="297"/>
      <c r="M142" s="297"/>
      <c r="N142" s="297"/>
      <c r="O142" s="297"/>
      <c r="P142" s="297"/>
      <c r="Q142" s="297"/>
      <c r="R142" s="297"/>
      <c r="S142" s="297"/>
      <c r="T142" s="297"/>
      <c r="U142" s="297"/>
      <c r="V142" s="297"/>
      <c r="W142" s="297"/>
      <c r="X142" s="297"/>
      <c r="Y142" s="297"/>
      <c r="Z142" s="297"/>
      <c r="AA142" s="297"/>
      <c r="AB142" s="297"/>
      <c r="AC142" s="297"/>
      <c r="AD142" s="297"/>
      <c r="AE142" s="297"/>
      <c r="AF142" s="297"/>
      <c r="AG142" s="297"/>
      <c r="AH142" s="297"/>
      <c r="AI142" s="297"/>
      <c r="AJ142" s="297"/>
      <c r="AK142" s="297"/>
    </row>
    <row r="143" spans="1:37" x14ac:dyDescent="0.2">
      <c r="A143" s="297"/>
      <c r="B143" s="297"/>
      <c r="C143" s="297"/>
      <c r="D143" s="297"/>
      <c r="E143" s="297"/>
      <c r="F143" s="297"/>
      <c r="G143" s="297"/>
      <c r="H143" s="297"/>
      <c r="I143" s="297"/>
      <c r="J143" s="297"/>
      <c r="K143" s="297"/>
      <c r="L143" s="297"/>
      <c r="M143" s="297"/>
      <c r="N143" s="297"/>
      <c r="O143" s="297"/>
      <c r="P143" s="297"/>
      <c r="Q143" s="297"/>
      <c r="R143" s="297"/>
      <c r="S143" s="297"/>
      <c r="T143" s="297"/>
      <c r="U143" s="297"/>
      <c r="V143" s="297"/>
      <c r="W143" s="297"/>
      <c r="X143" s="297"/>
      <c r="Y143" s="297"/>
      <c r="Z143" s="297"/>
      <c r="AA143" s="297"/>
      <c r="AB143" s="297"/>
      <c r="AC143" s="297"/>
      <c r="AD143" s="297"/>
      <c r="AE143" s="297"/>
      <c r="AF143" s="297"/>
      <c r="AG143" s="297"/>
      <c r="AH143" s="297"/>
      <c r="AI143" s="297"/>
      <c r="AJ143" s="297"/>
      <c r="AK143" s="297"/>
    </row>
    <row r="144" spans="1:37" x14ac:dyDescent="0.2">
      <c r="A144" s="297"/>
      <c r="B144" s="297"/>
      <c r="C144" s="297"/>
      <c r="D144" s="297"/>
      <c r="E144" s="297"/>
      <c r="F144" s="297"/>
      <c r="G144" s="297"/>
      <c r="H144" s="297"/>
      <c r="I144" s="297"/>
      <c r="J144" s="297"/>
      <c r="K144" s="297"/>
      <c r="L144" s="297"/>
      <c r="M144" s="297"/>
      <c r="N144" s="297"/>
      <c r="O144" s="297"/>
      <c r="P144" s="297"/>
      <c r="Q144" s="297"/>
      <c r="R144" s="297"/>
      <c r="S144" s="297"/>
      <c r="T144" s="297"/>
      <c r="U144" s="297"/>
      <c r="V144" s="297"/>
      <c r="W144" s="297"/>
      <c r="X144" s="297"/>
      <c r="Y144" s="297"/>
      <c r="Z144" s="297"/>
      <c r="AA144" s="297"/>
      <c r="AB144" s="297"/>
      <c r="AC144" s="297"/>
      <c r="AD144" s="297"/>
      <c r="AE144" s="297"/>
      <c r="AF144" s="297"/>
      <c r="AG144" s="297"/>
      <c r="AH144" s="297"/>
      <c r="AI144" s="297"/>
      <c r="AJ144" s="297"/>
      <c r="AK144" s="297"/>
    </row>
    <row r="145" spans="1:37" x14ac:dyDescent="0.2">
      <c r="A145" s="297"/>
      <c r="B145" s="297"/>
      <c r="C145" s="297"/>
      <c r="D145" s="297"/>
      <c r="E145" s="297"/>
      <c r="F145" s="297"/>
      <c r="G145" s="297"/>
      <c r="H145" s="297"/>
      <c r="I145" s="297"/>
      <c r="J145" s="297"/>
      <c r="K145" s="297"/>
      <c r="L145" s="297"/>
      <c r="M145" s="297"/>
      <c r="N145" s="297"/>
      <c r="O145" s="297"/>
      <c r="P145" s="297"/>
      <c r="Q145" s="297"/>
      <c r="R145" s="297"/>
      <c r="S145" s="297"/>
      <c r="T145" s="297"/>
      <c r="U145" s="297"/>
      <c r="V145" s="297"/>
      <c r="W145" s="297"/>
      <c r="X145" s="297"/>
      <c r="Y145" s="297"/>
      <c r="Z145" s="297"/>
      <c r="AA145" s="297"/>
      <c r="AB145" s="297"/>
      <c r="AC145" s="297"/>
      <c r="AD145" s="297"/>
      <c r="AE145" s="297"/>
      <c r="AF145" s="297"/>
      <c r="AG145" s="297"/>
      <c r="AH145" s="297"/>
      <c r="AI145" s="297"/>
      <c r="AJ145" s="297"/>
      <c r="AK145" s="297"/>
    </row>
    <row r="146" spans="1:37" x14ac:dyDescent="0.2">
      <c r="A146" s="297"/>
      <c r="B146" s="297"/>
      <c r="C146" s="297"/>
      <c r="D146" s="297"/>
      <c r="E146" s="297"/>
      <c r="F146" s="297"/>
      <c r="G146" s="297"/>
      <c r="H146" s="297"/>
      <c r="I146" s="297"/>
      <c r="J146" s="297"/>
      <c r="K146" s="297"/>
      <c r="L146" s="297"/>
      <c r="M146" s="297"/>
      <c r="N146" s="297"/>
      <c r="O146" s="297"/>
      <c r="P146" s="297"/>
      <c r="Q146" s="297"/>
      <c r="R146" s="297"/>
      <c r="S146" s="297"/>
      <c r="T146" s="297"/>
      <c r="U146" s="297"/>
      <c r="V146" s="297"/>
      <c r="W146" s="297"/>
      <c r="X146" s="297"/>
      <c r="Y146" s="297"/>
      <c r="Z146" s="297"/>
      <c r="AA146" s="297"/>
      <c r="AB146" s="297"/>
      <c r="AC146" s="297"/>
      <c r="AD146" s="297"/>
      <c r="AE146" s="297"/>
      <c r="AF146" s="297"/>
      <c r="AG146" s="297"/>
      <c r="AH146" s="297"/>
      <c r="AI146" s="297"/>
      <c r="AJ146" s="297"/>
      <c r="AK146" s="297"/>
    </row>
    <row r="147" spans="1:37" x14ac:dyDescent="0.2">
      <c r="A147" s="297"/>
      <c r="B147" s="297"/>
      <c r="C147" s="297"/>
      <c r="D147" s="297"/>
      <c r="E147" s="297"/>
      <c r="F147" s="297"/>
      <c r="G147" s="297"/>
      <c r="H147" s="297"/>
      <c r="I147" s="297"/>
      <c r="J147" s="297"/>
      <c r="K147" s="297"/>
      <c r="L147" s="297"/>
      <c r="M147" s="297"/>
      <c r="N147" s="297"/>
      <c r="O147" s="297"/>
      <c r="P147" s="297"/>
      <c r="Q147" s="297"/>
      <c r="R147" s="297"/>
      <c r="S147" s="297"/>
      <c r="T147" s="297"/>
      <c r="U147" s="297"/>
      <c r="V147" s="297"/>
      <c r="W147" s="297"/>
      <c r="X147" s="297"/>
      <c r="Y147" s="297"/>
      <c r="Z147" s="297"/>
      <c r="AA147" s="297"/>
      <c r="AB147" s="297"/>
      <c r="AC147" s="297"/>
      <c r="AD147" s="297"/>
      <c r="AE147" s="297"/>
      <c r="AF147" s="297"/>
      <c r="AG147" s="297"/>
      <c r="AH147" s="297"/>
      <c r="AI147" s="297"/>
      <c r="AJ147" s="297"/>
      <c r="AK147" s="297"/>
    </row>
    <row r="148" spans="1:37" x14ac:dyDescent="0.2">
      <c r="A148" s="297"/>
      <c r="B148" s="297"/>
      <c r="C148" s="297"/>
      <c r="D148" s="297"/>
      <c r="E148" s="297"/>
      <c r="F148" s="297"/>
      <c r="G148" s="297"/>
      <c r="H148" s="297"/>
      <c r="I148" s="297"/>
      <c r="J148" s="297"/>
      <c r="K148" s="297"/>
      <c r="L148" s="297"/>
      <c r="M148" s="297"/>
      <c r="N148" s="297"/>
      <c r="O148" s="297"/>
      <c r="P148" s="297"/>
      <c r="Q148" s="297"/>
      <c r="R148" s="297"/>
      <c r="S148" s="297"/>
      <c r="T148" s="297"/>
      <c r="U148" s="297"/>
      <c r="V148" s="297"/>
      <c r="W148" s="297"/>
      <c r="X148" s="297"/>
      <c r="Y148" s="297"/>
      <c r="Z148" s="297"/>
      <c r="AA148" s="297"/>
      <c r="AB148" s="297"/>
      <c r="AC148" s="297"/>
      <c r="AD148" s="297"/>
      <c r="AE148" s="297"/>
      <c r="AF148" s="297"/>
      <c r="AG148" s="297"/>
      <c r="AH148" s="297"/>
      <c r="AI148" s="297"/>
      <c r="AJ148" s="297"/>
      <c r="AK148" s="297"/>
    </row>
    <row r="149" spans="1:37" x14ac:dyDescent="0.2">
      <c r="A149" s="297"/>
      <c r="B149" s="297"/>
      <c r="C149" s="297"/>
      <c r="D149" s="297"/>
      <c r="E149" s="297"/>
      <c r="F149" s="297"/>
      <c r="G149" s="297"/>
      <c r="H149" s="297"/>
      <c r="I149" s="297"/>
      <c r="J149" s="297"/>
      <c r="K149" s="297"/>
      <c r="L149" s="297"/>
      <c r="M149" s="297"/>
      <c r="N149" s="297"/>
      <c r="O149" s="297"/>
      <c r="P149" s="297"/>
      <c r="Q149" s="297"/>
      <c r="R149" s="297"/>
      <c r="S149" s="297"/>
      <c r="T149" s="297"/>
      <c r="U149" s="297"/>
      <c r="V149" s="297"/>
      <c r="W149" s="297"/>
      <c r="X149" s="297"/>
      <c r="Y149" s="297"/>
      <c r="Z149" s="297"/>
      <c r="AA149" s="297"/>
      <c r="AB149" s="297"/>
      <c r="AC149" s="297"/>
      <c r="AD149" s="297"/>
      <c r="AE149" s="297"/>
      <c r="AF149" s="297"/>
      <c r="AG149" s="297"/>
      <c r="AH149" s="297"/>
      <c r="AI149" s="297"/>
      <c r="AJ149" s="297"/>
      <c r="AK149" s="297"/>
    </row>
    <row r="150" spans="1:37" x14ac:dyDescent="0.2">
      <c r="A150" s="297"/>
      <c r="B150" s="297"/>
      <c r="C150" s="297"/>
      <c r="D150" s="297"/>
      <c r="E150" s="297"/>
      <c r="F150" s="297"/>
      <c r="G150" s="297"/>
      <c r="H150" s="297"/>
      <c r="I150" s="297"/>
      <c r="J150" s="297"/>
      <c r="K150" s="297"/>
      <c r="L150" s="297"/>
      <c r="M150" s="297"/>
      <c r="N150" s="297"/>
      <c r="O150" s="297"/>
      <c r="P150" s="297"/>
      <c r="Q150" s="297"/>
      <c r="R150" s="297"/>
      <c r="S150" s="297"/>
      <c r="T150" s="297"/>
      <c r="U150" s="297"/>
      <c r="V150" s="297"/>
      <c r="W150" s="297"/>
      <c r="X150" s="297"/>
      <c r="Y150" s="297"/>
      <c r="Z150" s="297"/>
      <c r="AA150" s="297"/>
      <c r="AB150" s="297"/>
      <c r="AC150" s="297"/>
      <c r="AD150" s="297"/>
      <c r="AE150" s="297"/>
      <c r="AF150" s="297"/>
      <c r="AG150" s="297"/>
      <c r="AH150" s="297"/>
      <c r="AI150" s="297"/>
      <c r="AJ150" s="297"/>
      <c r="AK150" s="297"/>
    </row>
    <row r="151" spans="1:37" x14ac:dyDescent="0.2">
      <c r="A151" s="297"/>
      <c r="B151" s="297"/>
      <c r="C151" s="297"/>
      <c r="D151" s="297"/>
      <c r="E151" s="297"/>
      <c r="F151" s="297"/>
      <c r="G151" s="297"/>
      <c r="H151" s="297"/>
      <c r="I151" s="297"/>
      <c r="J151" s="297"/>
      <c r="K151" s="297"/>
      <c r="L151" s="297"/>
      <c r="M151" s="297"/>
      <c r="N151" s="297"/>
      <c r="O151" s="297"/>
      <c r="P151" s="297"/>
      <c r="Q151" s="297"/>
      <c r="R151" s="297"/>
      <c r="S151" s="297"/>
      <c r="T151" s="297"/>
      <c r="U151" s="297"/>
      <c r="V151" s="297"/>
      <c r="W151" s="297"/>
      <c r="X151" s="297"/>
      <c r="Y151" s="297"/>
      <c r="Z151" s="297"/>
      <c r="AA151" s="297"/>
      <c r="AB151" s="297"/>
      <c r="AC151" s="297"/>
      <c r="AD151" s="297"/>
      <c r="AE151" s="297"/>
      <c r="AF151" s="297"/>
      <c r="AG151" s="297"/>
      <c r="AH151" s="297"/>
      <c r="AI151" s="297"/>
      <c r="AJ151" s="297"/>
      <c r="AK151" s="297"/>
    </row>
    <row r="152" spans="1:37" x14ac:dyDescent="0.2">
      <c r="A152" s="297"/>
      <c r="B152" s="297"/>
      <c r="C152" s="297"/>
      <c r="D152" s="297"/>
      <c r="E152" s="297"/>
      <c r="F152" s="297"/>
      <c r="G152" s="297"/>
      <c r="H152" s="297"/>
      <c r="I152" s="297"/>
      <c r="J152" s="297"/>
      <c r="K152" s="297"/>
      <c r="L152" s="297"/>
      <c r="M152" s="297"/>
      <c r="N152" s="297"/>
      <c r="O152" s="297"/>
      <c r="P152" s="297"/>
      <c r="Q152" s="297"/>
      <c r="R152" s="297"/>
      <c r="S152" s="297"/>
      <c r="T152" s="297"/>
      <c r="U152" s="297"/>
      <c r="V152" s="297"/>
      <c r="W152" s="297"/>
      <c r="X152" s="297"/>
      <c r="Y152" s="297"/>
      <c r="Z152" s="297"/>
      <c r="AA152" s="297"/>
      <c r="AB152" s="297"/>
      <c r="AC152" s="297"/>
      <c r="AD152" s="297"/>
      <c r="AE152" s="297"/>
      <c r="AF152" s="297"/>
      <c r="AG152" s="297"/>
      <c r="AH152" s="297"/>
      <c r="AI152" s="297"/>
      <c r="AJ152" s="297"/>
      <c r="AK152" s="297"/>
    </row>
    <row r="153" spans="1:37" x14ac:dyDescent="0.2">
      <c r="A153" s="297"/>
      <c r="B153" s="297"/>
      <c r="C153" s="297"/>
      <c r="D153" s="297"/>
      <c r="E153" s="297"/>
      <c r="F153" s="297"/>
      <c r="G153" s="297"/>
      <c r="H153" s="297"/>
      <c r="I153" s="297"/>
      <c r="J153" s="297"/>
      <c r="K153" s="297"/>
      <c r="L153" s="297"/>
      <c r="M153" s="297"/>
      <c r="N153" s="297"/>
      <c r="O153" s="297"/>
      <c r="P153" s="297"/>
      <c r="Q153" s="297"/>
      <c r="R153" s="297"/>
      <c r="S153" s="297"/>
      <c r="T153" s="297"/>
      <c r="U153" s="297"/>
      <c r="V153" s="297"/>
      <c r="W153" s="297"/>
      <c r="X153" s="297"/>
      <c r="Y153" s="297"/>
      <c r="Z153" s="297"/>
      <c r="AA153" s="297"/>
      <c r="AB153" s="297"/>
      <c r="AC153" s="297"/>
      <c r="AD153" s="297"/>
      <c r="AE153" s="297"/>
      <c r="AF153" s="297"/>
      <c r="AG153" s="297"/>
      <c r="AH153" s="297"/>
      <c r="AI153" s="297"/>
      <c r="AJ153" s="297"/>
      <c r="AK153" s="297"/>
    </row>
    <row r="154" spans="1:37" x14ac:dyDescent="0.2">
      <c r="A154" s="297"/>
      <c r="B154" s="297"/>
      <c r="C154" s="297"/>
      <c r="D154" s="297"/>
      <c r="E154" s="297"/>
      <c r="F154" s="297"/>
      <c r="G154" s="297"/>
      <c r="H154" s="297"/>
      <c r="I154" s="297"/>
      <c r="J154" s="297"/>
      <c r="K154" s="297"/>
      <c r="L154" s="297"/>
      <c r="M154" s="297"/>
      <c r="N154" s="297"/>
      <c r="O154" s="297"/>
      <c r="P154" s="297"/>
      <c r="Q154" s="297"/>
      <c r="R154" s="297"/>
      <c r="S154" s="297"/>
      <c r="T154" s="297"/>
      <c r="U154" s="297"/>
      <c r="V154" s="297"/>
      <c r="W154" s="297"/>
      <c r="X154" s="297"/>
      <c r="Y154" s="297"/>
      <c r="Z154" s="297"/>
      <c r="AA154" s="297"/>
      <c r="AB154" s="297"/>
      <c r="AC154" s="297"/>
      <c r="AD154" s="297"/>
      <c r="AE154" s="297"/>
      <c r="AF154" s="297"/>
      <c r="AG154" s="297"/>
      <c r="AH154" s="297"/>
      <c r="AI154" s="297"/>
      <c r="AJ154" s="297"/>
      <c r="AK154" s="297"/>
    </row>
    <row r="155" spans="1:37" x14ac:dyDescent="0.2">
      <c r="A155" s="297"/>
      <c r="B155" s="297"/>
      <c r="C155" s="297"/>
      <c r="D155" s="297"/>
      <c r="E155" s="297"/>
      <c r="F155" s="297"/>
      <c r="G155" s="297"/>
      <c r="H155" s="297"/>
      <c r="I155" s="297"/>
      <c r="J155" s="297"/>
      <c r="K155" s="297"/>
      <c r="L155" s="297"/>
      <c r="M155" s="297"/>
      <c r="N155" s="297"/>
      <c r="O155" s="297"/>
      <c r="P155" s="297"/>
      <c r="Q155" s="297"/>
      <c r="R155" s="297"/>
      <c r="S155" s="297"/>
      <c r="T155" s="297"/>
      <c r="U155" s="297"/>
      <c r="V155" s="297"/>
      <c r="W155" s="297"/>
      <c r="X155" s="297"/>
      <c r="Y155" s="297"/>
      <c r="Z155" s="297"/>
      <c r="AA155" s="297"/>
      <c r="AB155" s="297"/>
      <c r="AC155" s="297"/>
      <c r="AD155" s="297"/>
      <c r="AE155" s="297"/>
      <c r="AF155" s="297"/>
      <c r="AG155" s="297"/>
      <c r="AH155" s="297"/>
      <c r="AI155" s="297"/>
      <c r="AJ155" s="297"/>
      <c r="AK155" s="297"/>
    </row>
    <row r="156" spans="1:37" x14ac:dyDescent="0.2">
      <c r="A156" s="297"/>
      <c r="B156" s="296" t="str">
        <f>InputsData!$J$1</f>
        <v>MONNAIE LOCALE : CFA</v>
      </c>
      <c r="C156" s="297"/>
      <c r="D156" s="297"/>
      <c r="E156" s="297"/>
      <c r="F156" s="297"/>
      <c r="G156" s="297"/>
      <c r="H156" s="297"/>
      <c r="I156" s="297"/>
      <c r="J156" s="297"/>
      <c r="K156" s="297"/>
      <c r="L156" s="295" t="str">
        <f>InputsData!$J$2</f>
        <v>STRICTEMENT CONFIDENTIEL | ABC CORPORATION</v>
      </c>
      <c r="M156" s="297"/>
      <c r="N156" s="297"/>
      <c r="O156" s="297"/>
      <c r="P156" s="297"/>
      <c r="Q156" s="297"/>
      <c r="R156" s="297"/>
      <c r="S156" s="297"/>
      <c r="T156" s="297"/>
      <c r="U156" s="297"/>
      <c r="V156" s="297"/>
      <c r="W156" s="297"/>
      <c r="X156" s="297"/>
      <c r="Y156" s="297"/>
      <c r="Z156" s="297"/>
      <c r="AA156" s="297"/>
      <c r="AB156" s="297"/>
      <c r="AC156" s="297"/>
      <c r="AD156" s="297"/>
      <c r="AE156" s="297"/>
      <c r="AF156" s="297"/>
      <c r="AG156" s="297"/>
      <c r="AH156" s="297"/>
      <c r="AI156" s="297"/>
      <c r="AJ156" s="297"/>
      <c r="AK156" s="297"/>
    </row>
    <row r="157" spans="1:37" x14ac:dyDescent="0.2">
      <c r="A157" s="297"/>
      <c r="B157" s="934" t="str">
        <f>VLOOKUP("REVENUE AND GROSS PROFIT PER DISTRIBUTION CHANNEL",TableInputsData[],ReadMe!$M$3,FALSE)</f>
        <v>CA ET MARGE BRUTE PAR CANAL DE DISTRIBUTION</v>
      </c>
      <c r="C157" s="934" t="str">
        <f>VLOOKUP("YEAR-2",TableInputsData[],ReadMe!$M$3,FALSE)</f>
        <v>ANNEE-2</v>
      </c>
      <c r="D157" s="934" t="str">
        <f>VLOOKUP("YEAR-2",TableInputsData[],ReadMe!$M$3,FALSE)</f>
        <v>ANNEE-2</v>
      </c>
      <c r="E157" s="235" t="str">
        <f>VLOOKUP(E158,TableInputsData[],ReadMe!$M$3,FALSE)</f>
        <v>ANNEE-2</v>
      </c>
      <c r="F157" s="235" t="str">
        <f>VLOOKUP(F158,TableInputsData[],ReadMe!$M$3,FALSE)</f>
        <v>ANNEE-1</v>
      </c>
      <c r="G157" s="235" t="str">
        <f>VLOOKUP(G158,TableInputsData[],ReadMe!$M$3,FALSE)</f>
        <v>ANNEE EN COURS</v>
      </c>
      <c r="H157" s="235" t="str">
        <f>VLOOKUP(H158,TableInputsData[],ReadMe!$M$3,FALSE)</f>
        <v>ANNEE2</v>
      </c>
      <c r="I157" s="235" t="str">
        <f>VLOOKUP(I158,TableInputsData[],ReadMe!$M$3,FALSE)</f>
        <v>ANNEE3</v>
      </c>
      <c r="J157" s="235" t="str">
        <f>VLOOKUP(J158,TableInputsData[],ReadMe!$M$3,FALSE)</f>
        <v>ANNEE4</v>
      </c>
      <c r="K157" s="235" t="str">
        <f>VLOOKUP(K158,TableInputsData[],ReadMe!$M$3,FALSE)</f>
        <v>ANNEE5</v>
      </c>
      <c r="L157" s="235" t="str">
        <f>VLOOKUP(L158,TableInputsData[],ReadMe!$M$3,FALSE)</f>
        <v>ANNEE6</v>
      </c>
      <c r="M157" s="297"/>
      <c r="N157" s="297"/>
      <c r="O157" s="297"/>
      <c r="P157" s="297"/>
      <c r="Q157" s="297"/>
      <c r="R157" s="297"/>
      <c r="S157" s="297"/>
      <c r="T157" s="297"/>
      <c r="U157" s="297"/>
      <c r="V157" s="297"/>
      <c r="W157" s="297"/>
      <c r="X157" s="297"/>
      <c r="Y157" s="297"/>
      <c r="Z157" s="297"/>
      <c r="AA157" s="297"/>
      <c r="AB157" s="297"/>
      <c r="AC157" s="297"/>
      <c r="AD157" s="297"/>
      <c r="AE157" s="297"/>
      <c r="AF157" s="297"/>
      <c r="AG157" s="297"/>
      <c r="AH157" s="297"/>
      <c r="AI157" s="297"/>
      <c r="AJ157" s="297"/>
      <c r="AK157" s="297"/>
    </row>
    <row r="158" spans="1:37" hidden="1" x14ac:dyDescent="0.2">
      <c r="A158" s="297"/>
      <c r="B158" s="935"/>
      <c r="C158" s="935"/>
      <c r="D158" s="935"/>
      <c r="E158" s="224" t="s">
        <v>392</v>
      </c>
      <c r="F158" s="224" t="s">
        <v>391</v>
      </c>
      <c r="G158" s="224" t="s">
        <v>393</v>
      </c>
      <c r="H158" s="224" t="s">
        <v>396</v>
      </c>
      <c r="I158" s="224" t="s">
        <v>397</v>
      </c>
      <c r="J158" s="224" t="s">
        <v>398</v>
      </c>
      <c r="K158" s="224" t="s">
        <v>399</v>
      </c>
      <c r="L158" s="224" t="s">
        <v>400</v>
      </c>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row>
    <row r="159" spans="1:37" x14ac:dyDescent="0.2">
      <c r="A159" s="297"/>
      <c r="B159" s="935" t="str">
        <f>VLOOKUP("YEAR-2",TableInputsData[],ReadMe!$M$3,FALSE)</f>
        <v>ANNEE-2</v>
      </c>
      <c r="C159" s="935" t="str">
        <f>VLOOKUP("YEAR-2",TableInputsData[],ReadMe!$M$3,FALSE)</f>
        <v>ANNEE-2</v>
      </c>
      <c r="D159" s="935" t="str">
        <f>VLOOKUP("YEAR-2",TableInputsData[],ReadMe!$M$3,FALSE)</f>
        <v>ANNEE-2</v>
      </c>
      <c r="E159" s="224" t="str">
        <f>VLOOKUP(E158,TableInputsData[],7,FALSE)</f>
        <v>ACTUAL</v>
      </c>
      <c r="F159" s="224" t="str">
        <f>VLOOKUP(F158,TableInputsData[],7,FALSE)</f>
        <v>ACTUAL</v>
      </c>
      <c r="G159" s="224" t="str">
        <f>VLOOKUP(G158,TableInputsData[],7,FALSE)</f>
        <v>FORECAST</v>
      </c>
      <c r="H159" s="224" t="str">
        <f>VLOOKUP(H158,TableInputsData[],7,FALSE)</f>
        <v>FORECAST</v>
      </c>
      <c r="I159" s="224" t="str">
        <f>VLOOKUP(I158,TableInputsData[],7,FALSE)</f>
        <v>FORECAST</v>
      </c>
      <c r="J159" s="224" t="str">
        <f>VLOOKUP(J158,TableInputsData[],7,FALSE)</f>
        <v>FORECAST</v>
      </c>
      <c r="K159" s="224" t="str">
        <f>VLOOKUP(K158,TableInputsData[],7,FALSE)</f>
        <v>FORECAST</v>
      </c>
      <c r="L159" s="224" t="str">
        <f>VLOOKUP(L158,TableInputsData[],7,FALSE)</f>
        <v>FORECAST</v>
      </c>
      <c r="M159" s="297"/>
      <c r="N159" s="297"/>
      <c r="O159" s="297"/>
      <c r="P159" s="297"/>
      <c r="Q159" s="297"/>
      <c r="R159" s="297"/>
      <c r="S159" s="297"/>
      <c r="T159" s="297"/>
      <c r="U159" s="297"/>
      <c r="V159" s="297"/>
      <c r="W159" s="297"/>
      <c r="X159" s="297"/>
      <c r="Y159" s="297"/>
      <c r="Z159" s="297"/>
      <c r="AA159" s="297"/>
      <c r="AB159" s="297"/>
      <c r="AC159" s="297"/>
      <c r="AD159" s="297"/>
      <c r="AE159" s="297"/>
      <c r="AF159" s="297"/>
      <c r="AG159" s="297"/>
      <c r="AH159" s="297"/>
      <c r="AI159" s="297"/>
      <c r="AJ159" s="297"/>
      <c r="AK159" s="297"/>
    </row>
    <row r="160" spans="1:37" x14ac:dyDescent="0.2">
      <c r="A160" s="297"/>
      <c r="B160" s="936" t="str">
        <f>VLOOKUP("YEAR-2",TableInputsData[],ReadMe!$M$3,FALSE)</f>
        <v>ANNEE-2</v>
      </c>
      <c r="C160" s="936" t="str">
        <f>VLOOKUP("YEAR-2",TableInputsData[],ReadMe!$M$3,FALSE)</f>
        <v>ANNEE-2</v>
      </c>
      <c r="D160" s="936" t="str">
        <f>VLOOKUP("YEAR-2",TableInputsData[],ReadMe!$M$3,FALSE)</f>
        <v>ANNEE-2</v>
      </c>
      <c r="E160" s="596">
        <f>VLOOKUP(E158,TableInputsData[],8,FALSE)</f>
        <v>2023</v>
      </c>
      <c r="F160" s="596">
        <f>VLOOKUP(F158,TableInputsData[],8,FALSE)</f>
        <v>2024</v>
      </c>
      <c r="G160" s="596">
        <f>VLOOKUP(G158,TableInputsData[],8,FALSE)</f>
        <v>2025</v>
      </c>
      <c r="H160" s="596">
        <f>VLOOKUP(H158,TableInputsData[],8,FALSE)</f>
        <v>2026</v>
      </c>
      <c r="I160" s="596">
        <f>VLOOKUP(I158,TableInputsData[],8,FALSE)</f>
        <v>2027</v>
      </c>
      <c r="J160" s="596">
        <f>VLOOKUP(J158,TableInputsData[],8,FALSE)</f>
        <v>2028</v>
      </c>
      <c r="K160" s="596">
        <f>VLOOKUP(K158,TableInputsData[],8,FALSE)</f>
        <v>2029</v>
      </c>
      <c r="L160" s="596">
        <f>VLOOKUP(L158,TableInputsData[],8,FALSE)</f>
        <v>2030</v>
      </c>
      <c r="M160" s="297"/>
      <c r="N160" s="297"/>
      <c r="O160" s="297"/>
      <c r="P160" s="297"/>
      <c r="Q160" s="297"/>
      <c r="R160" s="297"/>
      <c r="S160" s="297"/>
      <c r="T160" s="297"/>
      <c r="U160" s="297"/>
      <c r="V160" s="297"/>
      <c r="W160" s="297"/>
      <c r="X160" s="297"/>
      <c r="Y160" s="297"/>
      <c r="Z160" s="297"/>
      <c r="AA160" s="297"/>
      <c r="AB160" s="297"/>
      <c r="AC160" s="297"/>
      <c r="AD160" s="297"/>
      <c r="AE160" s="297"/>
      <c r="AF160" s="297"/>
      <c r="AG160" s="297"/>
      <c r="AH160" s="297"/>
      <c r="AI160" s="297"/>
      <c r="AJ160" s="297"/>
      <c r="AK160" s="297"/>
    </row>
    <row r="161" spans="1:37" x14ac:dyDescent="0.2">
      <c r="A161" s="297"/>
      <c r="B161" s="297"/>
      <c r="C161" s="297"/>
      <c r="D161" s="297"/>
      <c r="E161" s="297"/>
      <c r="F161" s="297"/>
      <c r="G161" s="297"/>
      <c r="H161" s="297"/>
      <c r="I161" s="297"/>
      <c r="J161" s="297"/>
      <c r="K161" s="297"/>
      <c r="L161" s="297"/>
      <c r="M161" s="297"/>
      <c r="N161" s="297"/>
      <c r="O161" s="297"/>
      <c r="P161" s="297"/>
      <c r="Q161" s="297"/>
      <c r="R161" s="297"/>
      <c r="S161" s="297"/>
      <c r="T161" s="297"/>
      <c r="U161" s="297"/>
      <c r="V161" s="297"/>
      <c r="W161" s="297"/>
      <c r="X161" s="297"/>
      <c r="Y161" s="297"/>
      <c r="Z161" s="297"/>
      <c r="AA161" s="297"/>
      <c r="AB161" s="297"/>
      <c r="AC161" s="297"/>
      <c r="AD161" s="297"/>
      <c r="AE161" s="297"/>
      <c r="AF161" s="297"/>
      <c r="AG161" s="297"/>
      <c r="AH161" s="297"/>
      <c r="AI161" s="297"/>
      <c r="AJ161" s="297"/>
      <c r="AK161" s="297"/>
    </row>
    <row r="162" spans="1:37" x14ac:dyDescent="0.2">
      <c r="A162" s="297"/>
      <c r="B162" s="297"/>
      <c r="C162" s="297"/>
      <c r="D162" s="301"/>
      <c r="E162" s="297"/>
      <c r="F162" s="297"/>
      <c r="G162" s="297"/>
      <c r="H162" s="297"/>
      <c r="I162" s="297"/>
      <c r="J162" s="297"/>
      <c r="K162" s="297"/>
      <c r="L162" s="297"/>
      <c r="M162" s="297"/>
      <c r="N162" s="297"/>
      <c r="O162" s="297"/>
      <c r="P162" s="297"/>
      <c r="Q162" s="297"/>
      <c r="R162" s="297"/>
      <c r="S162" s="297"/>
      <c r="T162" s="297"/>
      <c r="U162" s="297"/>
      <c r="V162" s="297"/>
      <c r="W162" s="297"/>
      <c r="X162" s="297"/>
      <c r="Y162" s="297"/>
      <c r="Z162" s="297"/>
      <c r="AA162" s="297"/>
      <c r="AB162" s="297"/>
      <c r="AC162" s="297"/>
      <c r="AD162" s="297"/>
      <c r="AE162" s="297"/>
      <c r="AF162" s="297"/>
      <c r="AG162" s="297"/>
      <c r="AH162" s="297"/>
      <c r="AI162" s="297"/>
      <c r="AJ162" s="297"/>
      <c r="AK162" s="297"/>
    </row>
    <row r="163" spans="1:37" ht="29" x14ac:dyDescent="0.2">
      <c r="A163" s="297"/>
      <c r="B163" s="297"/>
      <c r="C163" s="297"/>
      <c r="D163" s="340" t="s">
        <v>587</v>
      </c>
      <c r="E163" s="297"/>
      <c r="F163" s="909" t="str">
        <f>VLOOKUP(RIGHT(F166,LEN(F166)-13),TableInputsData[],ReadMe!$M$3,FALSE)</f>
        <v>CANAL DE DISTRIBUTION 1</v>
      </c>
      <c r="G163" s="909" t="str">
        <f>VLOOKUP(RIGHT(G166,LEN(G166)-13),TableInputsData[],ReadMe!$M$3,FALSE)</f>
        <v>CANAL DE DISTRIBUTION 2</v>
      </c>
      <c r="H163" s="297"/>
      <c r="I163" s="297"/>
      <c r="J163" s="297"/>
      <c r="K163" s="297"/>
      <c r="L163" s="297"/>
      <c r="M163" s="297"/>
      <c r="N163" s="297"/>
      <c r="O163" s="297"/>
      <c r="P163" s="297"/>
      <c r="Q163" s="297"/>
      <c r="R163" s="297"/>
      <c r="S163" s="297"/>
      <c r="T163" s="297"/>
      <c r="U163" s="297"/>
      <c r="V163" s="297"/>
      <c r="W163" s="297"/>
      <c r="X163" s="297"/>
      <c r="Y163" s="297"/>
      <c r="Z163" s="297"/>
      <c r="AA163" s="297"/>
      <c r="AB163" s="297"/>
      <c r="AC163" s="297"/>
      <c r="AD163" s="297"/>
      <c r="AE163" s="297"/>
      <c r="AF163" s="297"/>
      <c r="AG163" s="297"/>
      <c r="AH163" s="297"/>
      <c r="AI163" s="297"/>
      <c r="AJ163" s="297"/>
      <c r="AK163" s="297"/>
    </row>
    <row r="164" spans="1:37" x14ac:dyDescent="0.2">
      <c r="A164" s="297"/>
      <c r="B164" s="297"/>
      <c r="C164" s="297"/>
      <c r="D164" s="363" t="s">
        <v>465</v>
      </c>
      <c r="E164" s="365" t="s">
        <v>114</v>
      </c>
      <c r="F164" s="298" t="str">
        <f>VLOOKUP(RIGHT(F166,LEN(F166)-13),TableInputsData[],6,FALSE)</f>
        <v>B2B</v>
      </c>
      <c r="G164" s="298" t="str">
        <f>VLOOKUP(RIGHT(G166,LEN(G166)-13),TableInputsData[],6,FALSE)</f>
        <v>B2C</v>
      </c>
      <c r="H164" s="297"/>
      <c r="I164" s="297"/>
      <c r="J164" s="297"/>
      <c r="K164" s="297"/>
      <c r="L164" s="297"/>
      <c r="M164" s="297"/>
      <c r="N164" s="297"/>
      <c r="O164" s="297"/>
      <c r="P164" s="297"/>
      <c r="Q164" s="297"/>
      <c r="R164" s="297"/>
      <c r="S164" s="297"/>
      <c r="T164" s="297"/>
      <c r="U164" s="297"/>
      <c r="V164" s="297"/>
      <c r="W164" s="297"/>
      <c r="X164" s="297"/>
      <c r="Y164" s="297"/>
      <c r="Z164" s="297"/>
      <c r="AA164" s="297"/>
      <c r="AB164" s="297"/>
      <c r="AC164" s="297"/>
      <c r="AD164" s="297"/>
      <c r="AE164" s="297"/>
      <c r="AF164" s="297"/>
      <c r="AG164" s="297"/>
      <c r="AH164" s="297"/>
      <c r="AI164" s="297"/>
      <c r="AJ164" s="297"/>
      <c r="AK164" s="297"/>
    </row>
    <row r="165" spans="1:37" x14ac:dyDescent="0.2">
      <c r="A165" s="297"/>
      <c r="B165" s="297"/>
      <c r="C165" s="297"/>
      <c r="D165" s="297"/>
      <c r="E165" s="297"/>
      <c r="F165" s="297"/>
      <c r="G165" s="297"/>
      <c r="H165" s="297"/>
      <c r="I165" s="297"/>
      <c r="J165" s="297"/>
      <c r="K165" s="297"/>
      <c r="L165" s="297"/>
      <c r="M165" s="297"/>
      <c r="N165" s="297"/>
      <c r="O165" s="297"/>
      <c r="P165" s="297"/>
      <c r="Q165" s="297"/>
      <c r="R165" s="297"/>
      <c r="S165" s="297"/>
      <c r="T165" s="297"/>
      <c r="U165" s="297"/>
      <c r="V165" s="297"/>
      <c r="W165" s="297"/>
      <c r="X165" s="297"/>
      <c r="Y165" s="297"/>
      <c r="Z165" s="297"/>
      <c r="AA165" s="297"/>
      <c r="AB165" s="297"/>
      <c r="AC165" s="297"/>
      <c r="AD165" s="297"/>
      <c r="AE165" s="297"/>
      <c r="AF165" s="297"/>
      <c r="AG165" s="297"/>
      <c r="AH165" s="297"/>
      <c r="AI165" s="297"/>
      <c r="AJ165" s="297"/>
      <c r="AK165" s="297"/>
    </row>
    <row r="166" spans="1:37" ht="42" x14ac:dyDescent="0.2">
      <c r="A166" s="297"/>
      <c r="B166" s="300" t="s">
        <v>1706</v>
      </c>
      <c r="C166" s="297"/>
      <c r="D166" s="152" t="s">
        <v>0</v>
      </c>
      <c r="E166" s="360" t="s">
        <v>462</v>
      </c>
      <c r="F166" s="360" t="s">
        <v>1703</v>
      </c>
      <c r="G166" s="360" t="s">
        <v>1704</v>
      </c>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row>
    <row r="167" spans="1:37" x14ac:dyDescent="0.2">
      <c r="A167" s="623" t="s">
        <v>1506</v>
      </c>
      <c r="B167" s="364" t="s">
        <v>1493</v>
      </c>
      <c r="C167" s="364" t="s">
        <v>1494</v>
      </c>
      <c r="D167" s="163" t="s">
        <v>457</v>
      </c>
      <c r="E167" s="365">
        <v>2023</v>
      </c>
      <c r="F167" s="903">
        <v>0</v>
      </c>
      <c r="G167" s="903">
        <v>0</v>
      </c>
      <c r="H167" s="297"/>
      <c r="I167" s="297"/>
      <c r="J167" s="297"/>
      <c r="K167" s="297"/>
      <c r="L167" s="297"/>
      <c r="M167" s="297"/>
      <c r="N167" s="297"/>
      <c r="O167" s="297"/>
      <c r="P167" s="297"/>
      <c r="Q167" s="297"/>
      <c r="R167" s="297"/>
      <c r="S167" s="297"/>
      <c r="T167" s="297"/>
      <c r="U167" s="297"/>
      <c r="V167" s="297"/>
      <c r="W167" s="297"/>
      <c r="X167" s="297"/>
      <c r="Y167" s="297"/>
      <c r="Z167" s="297"/>
      <c r="AA167" s="297"/>
      <c r="AB167" s="297"/>
      <c r="AC167" s="297"/>
      <c r="AD167" s="297"/>
      <c r="AE167" s="297"/>
      <c r="AF167" s="297"/>
      <c r="AG167" s="297"/>
      <c r="AH167" s="297"/>
      <c r="AI167" s="297"/>
      <c r="AJ167" s="297"/>
      <c r="AK167" s="297"/>
    </row>
    <row r="168" spans="1:37" ht="29" x14ac:dyDescent="0.2">
      <c r="A168" s="653" t="s">
        <v>1678</v>
      </c>
      <c r="B168" s="907" t="str">
        <f>VLOOKUP(A168,TableInputsData[],ReadMe!$M$3,FALSE)</f>
        <v>CANAL DE DISTRIBUTION 1</v>
      </c>
      <c r="C168" s="296" t="str">
        <f>VLOOKUP(A168,TableInputsData[],6,FALSE)</f>
        <v>B2B</v>
      </c>
      <c r="D168" s="163" t="s">
        <v>457</v>
      </c>
      <c r="E168" s="365">
        <v>2024</v>
      </c>
      <c r="F168" s="903">
        <v>0</v>
      </c>
      <c r="G168" s="903">
        <v>0</v>
      </c>
      <c r="H168" s="297"/>
      <c r="I168" s="297"/>
      <c r="J168" s="297"/>
      <c r="K168" s="297"/>
      <c r="L168" s="297"/>
      <c r="M168" s="297"/>
      <c r="N168" s="297"/>
      <c r="O168" s="297"/>
      <c r="P168" s="297"/>
      <c r="Q168" s="297"/>
      <c r="R168" s="297"/>
      <c r="S168" s="297"/>
      <c r="T168" s="297"/>
      <c r="U168" s="297"/>
      <c r="V168" s="297"/>
      <c r="W168" s="297"/>
      <c r="X168" s="297"/>
      <c r="Y168" s="297"/>
      <c r="Z168" s="297"/>
      <c r="AA168" s="297"/>
      <c r="AB168" s="297"/>
      <c r="AC168" s="297"/>
      <c r="AD168" s="297"/>
      <c r="AE168" s="297"/>
      <c r="AF168" s="297"/>
      <c r="AG168" s="297"/>
      <c r="AH168" s="297"/>
      <c r="AI168" s="297"/>
      <c r="AJ168" s="297"/>
      <c r="AK168" s="297"/>
    </row>
    <row r="169" spans="1:37" ht="28" x14ac:dyDescent="0.2">
      <c r="A169" s="653" t="s">
        <v>1679</v>
      </c>
      <c r="B169" s="908" t="str">
        <f>VLOOKUP(A169,TableInputsData[],ReadMe!$M$3,FALSE)</f>
        <v>CANAL DE DISTRIBUTION 2</v>
      </c>
      <c r="C169" s="296" t="str">
        <f>VLOOKUP(A169,TableInputsData[],6,FALSE)</f>
        <v>B2C</v>
      </c>
      <c r="D169" s="163" t="s">
        <v>457</v>
      </c>
      <c r="E169" s="365">
        <v>2025</v>
      </c>
      <c r="F169" s="903">
        <v>0</v>
      </c>
      <c r="G169" s="903">
        <v>0</v>
      </c>
      <c r="H169" s="297"/>
      <c r="I169" s="297"/>
      <c r="J169" s="297"/>
      <c r="K169" s="297"/>
      <c r="L169" s="297"/>
      <c r="M169" s="297"/>
      <c r="N169" s="297"/>
      <c r="O169" s="297"/>
      <c r="P169" s="297"/>
      <c r="Q169" s="297"/>
      <c r="R169" s="297"/>
      <c r="S169" s="297"/>
      <c r="T169" s="297"/>
      <c r="U169" s="297"/>
      <c r="V169" s="297"/>
      <c r="W169" s="297"/>
      <c r="X169" s="297"/>
      <c r="Y169" s="297"/>
      <c r="Z169" s="297"/>
      <c r="AA169" s="297"/>
      <c r="AB169" s="297"/>
      <c r="AC169" s="297"/>
      <c r="AD169" s="297"/>
      <c r="AE169" s="297"/>
      <c r="AF169" s="297"/>
      <c r="AG169" s="297"/>
      <c r="AH169" s="297"/>
      <c r="AI169" s="297"/>
      <c r="AJ169" s="297"/>
      <c r="AK169" s="297"/>
    </row>
    <row r="170" spans="1:37" x14ac:dyDescent="0.2">
      <c r="A170" s="297"/>
      <c r="B170" s="297"/>
      <c r="C170" s="297"/>
      <c r="D170" s="163" t="s">
        <v>457</v>
      </c>
      <c r="E170" s="365">
        <v>2026</v>
      </c>
      <c r="F170" s="903">
        <v>0</v>
      </c>
      <c r="G170" s="903">
        <v>0</v>
      </c>
      <c r="H170" s="297"/>
      <c r="I170" s="297"/>
      <c r="J170" s="297"/>
      <c r="K170" s="297"/>
      <c r="L170" s="297"/>
      <c r="M170" s="297"/>
      <c r="N170" s="297"/>
      <c r="O170" s="297"/>
      <c r="P170" s="297"/>
      <c r="Q170" s="297"/>
      <c r="R170" s="297"/>
      <c r="S170" s="297"/>
      <c r="T170" s="297"/>
      <c r="U170" s="297"/>
      <c r="V170" s="297"/>
      <c r="W170" s="297"/>
      <c r="X170" s="297"/>
      <c r="Y170" s="297"/>
      <c r="Z170" s="297"/>
      <c r="AA170" s="297"/>
      <c r="AB170" s="297"/>
      <c r="AC170" s="297"/>
      <c r="AD170" s="297"/>
      <c r="AE170" s="297"/>
      <c r="AF170" s="297"/>
      <c r="AG170" s="297"/>
      <c r="AH170" s="297"/>
      <c r="AI170" s="297"/>
      <c r="AJ170" s="297"/>
      <c r="AK170" s="297"/>
    </row>
    <row r="171" spans="1:37" x14ac:dyDescent="0.2">
      <c r="A171" s="297"/>
      <c r="B171" s="297"/>
      <c r="C171" s="297"/>
      <c r="D171" s="163" t="s">
        <v>457</v>
      </c>
      <c r="E171" s="365">
        <v>2027</v>
      </c>
      <c r="F171" s="903">
        <v>0</v>
      </c>
      <c r="G171" s="903">
        <v>0</v>
      </c>
      <c r="H171" s="297"/>
      <c r="I171" s="297"/>
      <c r="J171" s="297"/>
      <c r="K171" s="297"/>
      <c r="L171" s="297"/>
      <c r="M171" s="297"/>
      <c r="N171" s="297"/>
      <c r="O171" s="297"/>
      <c r="P171" s="297"/>
      <c r="Q171" s="297"/>
      <c r="R171" s="297"/>
      <c r="S171" s="297"/>
      <c r="T171" s="297"/>
      <c r="U171" s="297"/>
      <c r="V171" s="297"/>
      <c r="W171" s="297"/>
      <c r="X171" s="297"/>
      <c r="Y171" s="297"/>
      <c r="Z171" s="297"/>
      <c r="AA171" s="297"/>
      <c r="AB171" s="297"/>
      <c r="AC171" s="297"/>
      <c r="AD171" s="297"/>
      <c r="AE171" s="297"/>
      <c r="AF171" s="297"/>
      <c r="AG171" s="297"/>
      <c r="AH171" s="297"/>
      <c r="AI171" s="297"/>
      <c r="AJ171" s="297"/>
      <c r="AK171" s="297"/>
    </row>
    <row r="172" spans="1:37" x14ac:dyDescent="0.2">
      <c r="A172" s="297"/>
      <c r="B172" s="297"/>
      <c r="C172" s="297"/>
      <c r="D172" s="163" t="s">
        <v>457</v>
      </c>
      <c r="E172" s="365">
        <v>2028</v>
      </c>
      <c r="F172" s="903">
        <v>0</v>
      </c>
      <c r="G172" s="903">
        <v>0</v>
      </c>
      <c r="H172" s="297"/>
      <c r="I172" s="297"/>
      <c r="J172" s="297"/>
      <c r="K172" s="297"/>
      <c r="L172" s="297"/>
      <c r="M172" s="297"/>
      <c r="N172" s="297"/>
      <c r="O172" s="297"/>
      <c r="P172" s="297"/>
      <c r="Q172" s="297"/>
      <c r="R172" s="297"/>
      <c r="S172" s="297"/>
      <c r="T172" s="297"/>
      <c r="U172" s="297"/>
      <c r="V172" s="297"/>
      <c r="W172" s="297"/>
      <c r="X172" s="297"/>
      <c r="Y172" s="297"/>
      <c r="Z172" s="297"/>
      <c r="AA172" s="297"/>
      <c r="AB172" s="297"/>
      <c r="AC172" s="297"/>
      <c r="AD172" s="297"/>
      <c r="AE172" s="297"/>
      <c r="AF172" s="297"/>
      <c r="AG172" s="297"/>
      <c r="AH172" s="297"/>
      <c r="AI172" s="297"/>
      <c r="AJ172" s="297"/>
      <c r="AK172" s="297"/>
    </row>
    <row r="173" spans="1:37" x14ac:dyDescent="0.2">
      <c r="A173" s="297"/>
      <c r="B173" s="297"/>
      <c r="C173" s="297"/>
      <c r="D173" s="163" t="s">
        <v>457</v>
      </c>
      <c r="E173" s="365">
        <v>2029</v>
      </c>
      <c r="F173" s="903">
        <v>0</v>
      </c>
      <c r="G173" s="903">
        <v>0</v>
      </c>
      <c r="H173" s="297"/>
      <c r="I173" s="297"/>
      <c r="J173" s="297"/>
      <c r="K173" s="297"/>
      <c r="L173" s="297"/>
      <c r="M173" s="297"/>
      <c r="N173" s="297"/>
      <c r="O173" s="297"/>
      <c r="P173" s="297"/>
      <c r="Q173" s="297"/>
      <c r="R173" s="297"/>
      <c r="S173" s="297"/>
      <c r="T173" s="297"/>
      <c r="U173" s="297"/>
      <c r="V173" s="297"/>
      <c r="W173" s="297"/>
      <c r="X173" s="297"/>
      <c r="Y173" s="297"/>
      <c r="Z173" s="297"/>
      <c r="AA173" s="297"/>
      <c r="AB173" s="297"/>
      <c r="AC173" s="297"/>
      <c r="AD173" s="297"/>
      <c r="AE173" s="297"/>
      <c r="AF173" s="297"/>
      <c r="AG173" s="297"/>
      <c r="AH173" s="297"/>
      <c r="AI173" s="297"/>
      <c r="AJ173" s="297"/>
      <c r="AK173" s="297"/>
    </row>
    <row r="174" spans="1:37" x14ac:dyDescent="0.2">
      <c r="A174" s="297"/>
      <c r="B174" s="297"/>
      <c r="C174" s="297"/>
      <c r="D174" s="163" t="s">
        <v>457</v>
      </c>
      <c r="E174" s="365">
        <v>2030</v>
      </c>
      <c r="F174" s="903">
        <v>0</v>
      </c>
      <c r="G174" s="903">
        <v>0</v>
      </c>
      <c r="H174" s="297"/>
      <c r="I174" s="297"/>
      <c r="J174" s="297"/>
      <c r="K174" s="297"/>
      <c r="L174" s="297"/>
      <c r="M174" s="297"/>
      <c r="N174" s="297"/>
      <c r="O174" s="297"/>
      <c r="P174" s="297"/>
      <c r="Q174" s="297"/>
      <c r="R174" s="297"/>
      <c r="S174" s="297"/>
      <c r="T174" s="297"/>
      <c r="U174" s="297"/>
      <c r="V174" s="297"/>
      <c r="W174" s="297"/>
      <c r="X174" s="297"/>
      <c r="Y174" s="297"/>
      <c r="Z174" s="297"/>
      <c r="AA174" s="297"/>
      <c r="AB174" s="297"/>
      <c r="AC174" s="297"/>
      <c r="AD174" s="297"/>
      <c r="AE174" s="297"/>
      <c r="AF174" s="297"/>
      <c r="AG174" s="297"/>
      <c r="AH174" s="297"/>
      <c r="AI174" s="297"/>
      <c r="AJ174" s="297"/>
      <c r="AK174" s="297"/>
    </row>
    <row r="175" spans="1:37" x14ac:dyDescent="0.2">
      <c r="A175" s="297"/>
      <c r="B175" s="297"/>
      <c r="C175" s="297"/>
      <c r="D175" s="163" t="s">
        <v>2075</v>
      </c>
      <c r="F175" s="903">
        <v>0</v>
      </c>
      <c r="G175" s="903">
        <v>0</v>
      </c>
      <c r="H175" s="297"/>
      <c r="I175" s="297"/>
      <c r="J175" s="297"/>
      <c r="K175" s="297"/>
      <c r="L175" s="297"/>
      <c r="M175" s="297"/>
      <c r="N175" s="297"/>
      <c r="O175" s="297"/>
      <c r="P175" s="297"/>
      <c r="Q175" s="297"/>
      <c r="R175" s="297"/>
      <c r="S175" s="297"/>
      <c r="T175" s="297"/>
      <c r="U175" s="297"/>
      <c r="V175" s="297"/>
      <c r="W175" s="297"/>
      <c r="X175" s="297"/>
      <c r="Y175" s="297"/>
      <c r="Z175" s="297"/>
      <c r="AA175" s="297"/>
      <c r="AB175" s="297"/>
      <c r="AC175" s="297"/>
      <c r="AD175" s="297"/>
      <c r="AE175" s="297"/>
      <c r="AF175" s="297"/>
      <c r="AG175" s="297"/>
      <c r="AH175" s="297"/>
      <c r="AI175" s="297"/>
      <c r="AJ175" s="297"/>
      <c r="AK175" s="297"/>
    </row>
    <row r="176" spans="1:37" x14ac:dyDescent="0.2">
      <c r="A176" s="297"/>
      <c r="B176" s="297"/>
      <c r="C176" s="297"/>
      <c r="D176" s="163" t="s">
        <v>522</v>
      </c>
      <c r="E176" s="365">
        <v>2023</v>
      </c>
      <c r="F176" s="903">
        <v>0</v>
      </c>
      <c r="G176" s="903">
        <v>0</v>
      </c>
      <c r="H176" s="297"/>
      <c r="I176" s="297"/>
      <c r="J176" s="297"/>
      <c r="K176" s="297"/>
      <c r="L176" s="297"/>
      <c r="M176" s="297"/>
      <c r="N176" s="297"/>
      <c r="O176" s="297"/>
      <c r="P176" s="297"/>
      <c r="Q176" s="297"/>
      <c r="R176" s="297"/>
      <c r="S176" s="297"/>
      <c r="T176" s="297"/>
      <c r="U176" s="297"/>
      <c r="V176" s="297"/>
      <c r="W176" s="297"/>
      <c r="X176" s="297"/>
      <c r="Y176" s="297"/>
      <c r="Z176" s="297"/>
      <c r="AA176" s="297"/>
      <c r="AB176" s="297"/>
      <c r="AC176" s="297"/>
      <c r="AD176" s="297"/>
      <c r="AE176" s="297"/>
      <c r="AF176" s="297"/>
      <c r="AG176" s="297"/>
      <c r="AH176" s="297"/>
      <c r="AI176" s="297"/>
      <c r="AJ176" s="297"/>
      <c r="AK176" s="297"/>
    </row>
    <row r="177" spans="1:37" x14ac:dyDescent="0.2">
      <c r="A177" s="297"/>
      <c r="B177" s="297"/>
      <c r="C177" s="297"/>
      <c r="D177" s="163" t="s">
        <v>522</v>
      </c>
      <c r="E177" s="365">
        <v>2024</v>
      </c>
      <c r="F177" s="903">
        <v>0</v>
      </c>
      <c r="G177" s="903">
        <v>0</v>
      </c>
      <c r="H177" s="297"/>
      <c r="I177" s="297"/>
      <c r="J177" s="297"/>
      <c r="K177" s="297"/>
      <c r="L177" s="297"/>
      <c r="M177" s="297"/>
      <c r="N177" s="297"/>
      <c r="O177" s="297"/>
      <c r="P177" s="297"/>
      <c r="Q177" s="297"/>
      <c r="R177" s="297"/>
      <c r="S177" s="297"/>
      <c r="T177" s="297"/>
      <c r="U177" s="297"/>
      <c r="V177" s="297"/>
      <c r="W177" s="297"/>
      <c r="X177" s="297"/>
      <c r="Y177" s="297"/>
      <c r="Z177" s="297"/>
      <c r="AA177" s="297"/>
      <c r="AB177" s="297"/>
      <c r="AC177" s="297"/>
      <c r="AD177" s="297"/>
      <c r="AE177" s="297"/>
      <c r="AF177" s="297"/>
      <c r="AG177" s="297"/>
      <c r="AH177" s="297"/>
      <c r="AI177" s="297"/>
      <c r="AJ177" s="297"/>
      <c r="AK177" s="297"/>
    </row>
    <row r="178" spans="1:37" x14ac:dyDescent="0.2">
      <c r="A178" s="297"/>
      <c r="B178" s="297"/>
      <c r="C178" s="297"/>
      <c r="D178" s="163" t="s">
        <v>522</v>
      </c>
      <c r="E178" s="365">
        <v>2025</v>
      </c>
      <c r="F178" s="903">
        <v>0</v>
      </c>
      <c r="G178" s="903">
        <v>0</v>
      </c>
      <c r="H178" s="297"/>
      <c r="I178" s="297"/>
      <c r="J178" s="297"/>
      <c r="K178" s="297"/>
      <c r="L178" s="297"/>
      <c r="M178" s="297"/>
      <c r="N178" s="297"/>
      <c r="O178" s="297"/>
      <c r="P178" s="297"/>
      <c r="Q178" s="297"/>
      <c r="R178" s="297"/>
      <c r="S178" s="297"/>
      <c r="T178" s="297"/>
      <c r="U178" s="297"/>
      <c r="V178" s="297"/>
      <c r="W178" s="297"/>
      <c r="X178" s="297"/>
      <c r="Y178" s="297"/>
      <c r="Z178" s="297"/>
      <c r="AA178" s="297"/>
      <c r="AB178" s="297"/>
      <c r="AC178" s="297"/>
      <c r="AD178" s="297"/>
      <c r="AE178" s="297"/>
      <c r="AF178" s="297"/>
      <c r="AG178" s="297"/>
      <c r="AH178" s="297"/>
      <c r="AI178" s="297"/>
      <c r="AJ178" s="297"/>
      <c r="AK178" s="297"/>
    </row>
    <row r="179" spans="1:37" x14ac:dyDescent="0.2">
      <c r="A179" s="297"/>
      <c r="B179" s="297"/>
      <c r="C179" s="297"/>
      <c r="D179" s="163" t="s">
        <v>522</v>
      </c>
      <c r="E179" s="365">
        <v>2026</v>
      </c>
      <c r="F179" s="903">
        <v>0</v>
      </c>
      <c r="G179" s="903">
        <v>0</v>
      </c>
      <c r="H179" s="297"/>
      <c r="I179" s="297"/>
      <c r="J179" s="297"/>
      <c r="K179" s="297"/>
      <c r="L179" s="297"/>
      <c r="M179" s="297"/>
      <c r="N179" s="297"/>
      <c r="O179" s="297"/>
      <c r="P179" s="297"/>
      <c r="Q179" s="297"/>
      <c r="R179" s="297"/>
      <c r="S179" s="297"/>
      <c r="T179" s="297"/>
      <c r="U179" s="297"/>
      <c r="V179" s="297"/>
      <c r="W179" s="297"/>
      <c r="X179" s="297"/>
      <c r="Y179" s="297"/>
      <c r="Z179" s="297"/>
      <c r="AA179" s="297"/>
      <c r="AB179" s="297"/>
      <c r="AC179" s="297"/>
      <c r="AD179" s="297"/>
      <c r="AE179" s="297"/>
      <c r="AF179" s="297"/>
      <c r="AG179" s="297"/>
      <c r="AH179" s="297"/>
      <c r="AI179" s="297"/>
      <c r="AJ179" s="297"/>
      <c r="AK179" s="297"/>
    </row>
    <row r="180" spans="1:37" x14ac:dyDescent="0.2">
      <c r="A180" s="297"/>
      <c r="B180" s="297"/>
      <c r="C180" s="297"/>
      <c r="D180" s="163" t="s">
        <v>522</v>
      </c>
      <c r="E180" s="365">
        <v>2027</v>
      </c>
      <c r="F180" s="903">
        <v>0</v>
      </c>
      <c r="G180" s="903">
        <v>0</v>
      </c>
      <c r="H180" s="297"/>
      <c r="I180" s="297"/>
      <c r="J180" s="297"/>
      <c r="K180" s="297"/>
      <c r="L180" s="297"/>
      <c r="M180" s="297"/>
      <c r="N180" s="297"/>
      <c r="O180" s="297"/>
      <c r="P180" s="297"/>
      <c r="Q180" s="297"/>
      <c r="R180" s="297"/>
      <c r="S180" s="297"/>
      <c r="T180" s="297"/>
      <c r="U180" s="297"/>
      <c r="V180" s="297"/>
      <c r="W180" s="297"/>
      <c r="X180" s="297"/>
      <c r="Y180" s="297"/>
      <c r="Z180" s="297"/>
      <c r="AA180" s="297"/>
      <c r="AB180" s="297"/>
      <c r="AC180" s="297"/>
      <c r="AD180" s="297"/>
      <c r="AE180" s="297"/>
      <c r="AF180" s="297"/>
      <c r="AG180" s="297"/>
      <c r="AH180" s="297"/>
      <c r="AI180" s="297"/>
      <c r="AJ180" s="297"/>
      <c r="AK180" s="297"/>
    </row>
    <row r="181" spans="1:37" x14ac:dyDescent="0.2">
      <c r="A181" s="297"/>
      <c r="B181" s="297"/>
      <c r="C181" s="297"/>
      <c r="D181" s="163" t="s">
        <v>522</v>
      </c>
      <c r="E181" s="365">
        <v>2028</v>
      </c>
      <c r="F181" s="903">
        <v>0</v>
      </c>
      <c r="G181" s="903">
        <v>0</v>
      </c>
      <c r="H181" s="297"/>
      <c r="I181" s="297"/>
      <c r="J181" s="297"/>
      <c r="K181" s="297"/>
      <c r="L181" s="297"/>
      <c r="M181" s="297"/>
      <c r="N181" s="297"/>
      <c r="O181" s="297"/>
      <c r="P181" s="297"/>
      <c r="Q181" s="297"/>
      <c r="R181" s="297"/>
      <c r="S181" s="297"/>
      <c r="T181" s="297"/>
      <c r="U181" s="297"/>
      <c r="V181" s="297"/>
      <c r="W181" s="297"/>
      <c r="X181" s="297"/>
      <c r="Y181" s="297"/>
      <c r="Z181" s="297"/>
      <c r="AA181" s="297"/>
      <c r="AB181" s="297"/>
      <c r="AC181" s="297"/>
      <c r="AD181" s="297"/>
      <c r="AE181" s="297"/>
      <c r="AF181" s="297"/>
      <c r="AG181" s="297"/>
      <c r="AH181" s="297"/>
      <c r="AI181" s="297"/>
      <c r="AJ181" s="297"/>
      <c r="AK181" s="297"/>
    </row>
    <row r="182" spans="1:37" x14ac:dyDescent="0.2">
      <c r="A182" s="297"/>
      <c r="B182" s="297"/>
      <c r="C182" s="297"/>
      <c r="D182" s="163" t="s">
        <v>522</v>
      </c>
      <c r="E182" s="365">
        <v>2029</v>
      </c>
      <c r="F182" s="903">
        <v>0</v>
      </c>
      <c r="G182" s="903">
        <v>0</v>
      </c>
      <c r="H182" s="297"/>
      <c r="I182" s="297"/>
      <c r="J182" s="297"/>
      <c r="K182" s="297"/>
      <c r="L182" s="297"/>
      <c r="M182" s="297"/>
      <c r="N182" s="297"/>
      <c r="O182" s="297"/>
      <c r="P182" s="297"/>
      <c r="Q182" s="297"/>
      <c r="R182" s="297"/>
      <c r="S182" s="297"/>
      <c r="T182" s="297"/>
      <c r="U182" s="297"/>
      <c r="V182" s="297"/>
      <c r="W182" s="297"/>
      <c r="X182" s="297"/>
      <c r="Y182" s="297"/>
      <c r="Z182" s="297"/>
      <c r="AA182" s="297"/>
      <c r="AB182" s="297"/>
      <c r="AC182" s="297"/>
      <c r="AD182" s="297"/>
      <c r="AE182" s="297"/>
      <c r="AF182" s="297"/>
      <c r="AG182" s="297"/>
      <c r="AH182" s="297"/>
      <c r="AI182" s="297"/>
      <c r="AJ182" s="297"/>
      <c r="AK182" s="297"/>
    </row>
    <row r="183" spans="1:37" x14ac:dyDescent="0.2">
      <c r="A183" s="297"/>
      <c r="B183" s="297"/>
      <c r="C183" s="297"/>
      <c r="D183" s="163" t="s">
        <v>522</v>
      </c>
      <c r="E183" s="365">
        <v>2030</v>
      </c>
      <c r="F183" s="903">
        <v>0</v>
      </c>
      <c r="G183" s="903">
        <v>0</v>
      </c>
      <c r="H183" s="297"/>
      <c r="I183" s="297"/>
      <c r="J183" s="297"/>
      <c r="K183" s="297"/>
      <c r="L183" s="297"/>
      <c r="M183" s="297"/>
      <c r="N183" s="297"/>
      <c r="O183" s="297"/>
      <c r="P183" s="297"/>
      <c r="Q183" s="297"/>
      <c r="R183" s="297"/>
      <c r="S183" s="297"/>
      <c r="T183" s="297"/>
      <c r="U183" s="297"/>
      <c r="V183" s="297"/>
      <c r="W183" s="297"/>
      <c r="X183" s="297"/>
      <c r="Y183" s="297"/>
      <c r="Z183" s="297"/>
      <c r="AA183" s="297"/>
      <c r="AB183" s="297"/>
      <c r="AC183" s="297"/>
      <c r="AD183" s="297"/>
      <c r="AE183" s="297"/>
      <c r="AF183" s="297"/>
      <c r="AG183" s="297"/>
      <c r="AH183" s="297"/>
      <c r="AI183" s="297"/>
      <c r="AJ183" s="297"/>
      <c r="AK183" s="297"/>
    </row>
    <row r="184" spans="1:37" x14ac:dyDescent="0.2">
      <c r="A184" s="297"/>
      <c r="B184" s="297"/>
      <c r="C184" s="297"/>
      <c r="D184" s="163" t="s">
        <v>523</v>
      </c>
      <c r="F184" s="903">
        <v>0</v>
      </c>
      <c r="G184" s="903">
        <v>0</v>
      </c>
      <c r="H184" s="297"/>
      <c r="I184" s="297"/>
      <c r="J184" s="297"/>
      <c r="K184" s="297"/>
      <c r="L184" s="297"/>
      <c r="M184" s="297"/>
      <c r="N184" s="297"/>
      <c r="O184" s="297"/>
      <c r="P184" s="297"/>
      <c r="Q184" s="297"/>
      <c r="R184" s="297"/>
      <c r="S184" s="297"/>
      <c r="T184" s="297"/>
      <c r="U184" s="297"/>
      <c r="V184" s="297"/>
      <c r="W184" s="297"/>
      <c r="X184" s="297"/>
      <c r="Y184" s="297"/>
      <c r="Z184" s="297"/>
      <c r="AA184" s="297"/>
      <c r="AB184" s="297"/>
      <c r="AC184" s="297"/>
      <c r="AD184" s="297"/>
      <c r="AE184" s="297"/>
      <c r="AF184" s="297"/>
      <c r="AG184" s="297"/>
      <c r="AH184" s="297"/>
      <c r="AI184" s="297"/>
      <c r="AJ184" s="297"/>
      <c r="AK184" s="297"/>
    </row>
    <row r="185" spans="1:37" x14ac:dyDescent="0.2">
      <c r="A185" s="297"/>
      <c r="B185" s="297"/>
      <c r="C185" s="297"/>
      <c r="D185" s="313"/>
      <c r="E185" s="313"/>
      <c r="F185" s="313"/>
      <c r="G185" s="313"/>
      <c r="H185" s="297"/>
      <c r="I185" s="297"/>
      <c r="J185" s="297"/>
      <c r="K185" s="297"/>
      <c r="L185" s="297"/>
      <c r="M185" s="297"/>
      <c r="N185" s="297"/>
      <c r="O185" s="297"/>
      <c r="P185" s="297"/>
      <c r="Q185" s="297"/>
      <c r="R185" s="297"/>
      <c r="S185" s="297"/>
      <c r="T185" s="297"/>
      <c r="U185" s="297"/>
      <c r="V185" s="297"/>
      <c r="W185" s="297"/>
      <c r="X185" s="297"/>
      <c r="Y185" s="297"/>
      <c r="Z185" s="297"/>
      <c r="AA185" s="297"/>
      <c r="AB185" s="297"/>
      <c r="AC185" s="297"/>
      <c r="AD185" s="297"/>
      <c r="AE185" s="297"/>
      <c r="AF185" s="297"/>
      <c r="AG185" s="297"/>
      <c r="AH185" s="297"/>
      <c r="AI185" s="297"/>
      <c r="AJ185" s="297"/>
      <c r="AK185" s="297"/>
    </row>
    <row r="186" spans="1:37" x14ac:dyDescent="0.2">
      <c r="A186" s="297"/>
      <c r="B186" s="297"/>
      <c r="C186" s="297"/>
      <c r="D186" s="297"/>
      <c r="E186" s="297"/>
      <c r="F186" s="297"/>
      <c r="G186" s="297"/>
      <c r="H186" s="297"/>
      <c r="I186" s="297"/>
      <c r="J186" s="297"/>
      <c r="K186" s="297"/>
      <c r="L186" s="297"/>
      <c r="M186" s="297"/>
      <c r="N186" s="297"/>
      <c r="O186" s="297"/>
      <c r="P186" s="297"/>
      <c r="Q186" s="297"/>
      <c r="R186" s="297"/>
      <c r="S186" s="297"/>
      <c r="T186" s="297"/>
      <c r="U186" s="297"/>
      <c r="V186" s="297"/>
      <c r="W186" s="297"/>
      <c r="X186" s="297"/>
      <c r="Y186" s="297"/>
      <c r="Z186" s="297"/>
      <c r="AA186" s="297"/>
      <c r="AB186" s="297"/>
      <c r="AC186" s="297"/>
      <c r="AD186" s="297"/>
      <c r="AE186" s="297"/>
      <c r="AF186" s="297"/>
      <c r="AG186" s="297"/>
      <c r="AH186" s="297"/>
      <c r="AI186" s="297"/>
      <c r="AJ186" s="297"/>
      <c r="AK186" s="297"/>
    </row>
    <row r="187" spans="1:37" x14ac:dyDescent="0.2">
      <c r="A187" s="297"/>
      <c r="B187" s="297"/>
      <c r="C187" s="297"/>
      <c r="D187" s="297"/>
      <c r="E187" s="297"/>
      <c r="F187" s="297"/>
      <c r="G187" s="297"/>
      <c r="H187" s="297"/>
      <c r="I187" s="297"/>
      <c r="J187" s="297"/>
      <c r="K187" s="297"/>
      <c r="L187" s="297"/>
      <c r="M187" s="297"/>
      <c r="N187" s="297"/>
      <c r="O187" s="297"/>
      <c r="P187" s="297"/>
      <c r="Q187" s="297"/>
      <c r="R187" s="297"/>
      <c r="S187" s="297"/>
      <c r="T187" s="297"/>
      <c r="U187" s="297"/>
      <c r="V187" s="297"/>
      <c r="W187" s="297"/>
      <c r="X187" s="297"/>
      <c r="Y187" s="297"/>
      <c r="Z187" s="297"/>
      <c r="AA187" s="297"/>
      <c r="AB187" s="297"/>
      <c r="AC187" s="297"/>
      <c r="AD187" s="297"/>
      <c r="AE187" s="297"/>
      <c r="AF187" s="297"/>
      <c r="AG187" s="297"/>
      <c r="AH187" s="297"/>
      <c r="AI187" s="297"/>
      <c r="AJ187" s="297"/>
      <c r="AK187" s="297"/>
    </row>
    <row r="188" spans="1:37" x14ac:dyDescent="0.2">
      <c r="A188" s="297"/>
      <c r="B188" s="297"/>
      <c r="C188" s="297"/>
      <c r="D188" s="297"/>
      <c r="E188" s="297"/>
      <c r="F188" s="297"/>
      <c r="G188" s="297"/>
      <c r="H188" s="297"/>
      <c r="I188" s="297"/>
      <c r="J188" s="297"/>
      <c r="K188" s="297"/>
      <c r="L188" s="297"/>
      <c r="M188" s="297"/>
      <c r="N188" s="297"/>
      <c r="O188" s="297"/>
      <c r="P188" s="297"/>
      <c r="Q188" s="297"/>
      <c r="R188" s="297"/>
      <c r="S188" s="297"/>
      <c r="T188" s="297"/>
      <c r="U188" s="297"/>
      <c r="V188" s="297"/>
      <c r="W188" s="297"/>
      <c r="X188" s="297"/>
      <c r="Y188" s="297"/>
      <c r="Z188" s="297"/>
      <c r="AA188" s="297"/>
      <c r="AB188" s="297"/>
      <c r="AC188" s="297"/>
      <c r="AD188" s="297"/>
      <c r="AE188" s="297"/>
      <c r="AF188" s="297"/>
      <c r="AG188" s="297"/>
      <c r="AH188" s="297"/>
      <c r="AI188" s="297"/>
      <c r="AJ188" s="297"/>
      <c r="AK188" s="297"/>
    </row>
    <row r="189" spans="1:37" x14ac:dyDescent="0.2">
      <c r="A189" s="297"/>
      <c r="B189" s="297"/>
      <c r="C189" s="297"/>
      <c r="D189" s="297"/>
      <c r="E189" s="297"/>
      <c r="F189" s="297"/>
      <c r="G189" s="297"/>
      <c r="H189" s="297"/>
      <c r="I189" s="297"/>
      <c r="J189" s="297"/>
      <c r="K189" s="297"/>
      <c r="L189" s="297"/>
      <c r="M189" s="297"/>
      <c r="N189" s="297"/>
      <c r="O189" s="297"/>
      <c r="P189" s="297"/>
      <c r="Q189" s="297"/>
      <c r="R189" s="297"/>
      <c r="S189" s="297"/>
      <c r="T189" s="297"/>
      <c r="U189" s="297"/>
      <c r="V189" s="297"/>
      <c r="W189" s="297"/>
      <c r="X189" s="297"/>
      <c r="Y189" s="297"/>
      <c r="Z189" s="297"/>
      <c r="AA189" s="297"/>
      <c r="AB189" s="297"/>
      <c r="AC189" s="297"/>
      <c r="AD189" s="297"/>
      <c r="AE189" s="297"/>
      <c r="AF189" s="297"/>
      <c r="AG189" s="297"/>
      <c r="AH189" s="297"/>
      <c r="AI189" s="297"/>
      <c r="AJ189" s="297"/>
      <c r="AK189" s="297"/>
    </row>
    <row r="190" spans="1:37" x14ac:dyDescent="0.2">
      <c r="A190" s="297"/>
      <c r="B190" s="297"/>
      <c r="C190" s="297"/>
      <c r="D190" s="297"/>
      <c r="E190" s="297"/>
      <c r="F190" s="297"/>
      <c r="G190" s="297"/>
      <c r="H190" s="297"/>
      <c r="I190" s="297"/>
      <c r="J190" s="297"/>
      <c r="K190" s="297"/>
      <c r="L190" s="297"/>
      <c r="M190" s="297"/>
      <c r="N190" s="297"/>
      <c r="O190" s="297"/>
      <c r="P190" s="297"/>
      <c r="Q190" s="297"/>
      <c r="R190" s="297"/>
      <c r="S190" s="297"/>
      <c r="T190" s="297"/>
      <c r="U190" s="297"/>
      <c r="V190" s="297"/>
      <c r="W190" s="297"/>
      <c r="X190" s="297"/>
      <c r="Y190" s="297"/>
      <c r="Z190" s="297"/>
      <c r="AA190" s="297"/>
      <c r="AB190" s="297"/>
      <c r="AC190" s="297"/>
      <c r="AD190" s="297"/>
      <c r="AE190" s="297"/>
      <c r="AF190" s="297"/>
      <c r="AG190" s="297"/>
      <c r="AH190" s="297"/>
      <c r="AI190" s="297"/>
      <c r="AJ190" s="297"/>
      <c r="AK190" s="297"/>
    </row>
    <row r="191" spans="1:37" x14ac:dyDescent="0.2">
      <c r="A191" s="297"/>
      <c r="B191" s="297"/>
      <c r="C191" s="297"/>
      <c r="D191" s="297"/>
      <c r="E191" s="297"/>
      <c r="F191" s="297"/>
      <c r="G191" s="297"/>
      <c r="H191" s="297"/>
      <c r="I191" s="297"/>
      <c r="J191" s="297"/>
      <c r="K191" s="297"/>
      <c r="L191" s="297"/>
      <c r="M191" s="297"/>
      <c r="N191" s="297"/>
      <c r="O191" s="297"/>
      <c r="P191" s="297"/>
      <c r="Q191" s="297"/>
      <c r="R191" s="297"/>
      <c r="S191" s="297"/>
      <c r="T191" s="297"/>
      <c r="U191" s="297"/>
      <c r="V191" s="297"/>
      <c r="W191" s="297"/>
      <c r="X191" s="297"/>
      <c r="Y191" s="297"/>
      <c r="Z191" s="297"/>
      <c r="AA191" s="297"/>
      <c r="AB191" s="297"/>
      <c r="AC191" s="297"/>
      <c r="AD191" s="297"/>
      <c r="AE191" s="297"/>
      <c r="AF191" s="297"/>
      <c r="AG191" s="297"/>
      <c r="AH191" s="297"/>
      <c r="AI191" s="297"/>
      <c r="AJ191" s="297"/>
      <c r="AK191" s="297"/>
    </row>
    <row r="192" spans="1:37" x14ac:dyDescent="0.2">
      <c r="A192" s="297"/>
      <c r="B192" s="297"/>
      <c r="C192" s="297"/>
      <c r="D192" s="297"/>
      <c r="E192" s="297"/>
      <c r="F192" s="297"/>
      <c r="G192" s="297"/>
      <c r="H192" s="297"/>
      <c r="I192" s="297"/>
      <c r="J192" s="297"/>
      <c r="K192" s="297"/>
      <c r="L192" s="297"/>
      <c r="M192" s="297"/>
      <c r="N192" s="297"/>
      <c r="O192" s="297"/>
      <c r="P192" s="297"/>
      <c r="Q192" s="297"/>
      <c r="R192" s="297"/>
      <c r="S192" s="297"/>
      <c r="T192" s="297"/>
      <c r="U192" s="297"/>
      <c r="V192" s="297"/>
      <c r="W192" s="297"/>
      <c r="X192" s="297"/>
      <c r="Y192" s="297"/>
      <c r="Z192" s="297"/>
      <c r="AA192" s="297"/>
      <c r="AB192" s="297"/>
      <c r="AC192" s="297"/>
      <c r="AD192" s="297"/>
      <c r="AE192" s="297"/>
      <c r="AF192" s="297"/>
      <c r="AG192" s="297"/>
      <c r="AH192" s="297"/>
      <c r="AI192" s="297"/>
      <c r="AJ192" s="297"/>
      <c r="AK192" s="297"/>
    </row>
    <row r="193" spans="1:37" x14ac:dyDescent="0.2">
      <c r="A193" s="297"/>
      <c r="B193" s="297"/>
      <c r="C193" s="297"/>
      <c r="D193" s="297"/>
      <c r="E193" s="297"/>
      <c r="F193" s="297"/>
      <c r="G193" s="297"/>
      <c r="H193" s="297"/>
      <c r="I193" s="297"/>
      <c r="J193" s="297"/>
      <c r="K193" s="297"/>
      <c r="L193" s="297"/>
      <c r="M193" s="297"/>
      <c r="N193" s="297"/>
      <c r="O193" s="297"/>
      <c r="P193" s="297"/>
      <c r="Q193" s="297"/>
      <c r="R193" s="297"/>
      <c r="S193" s="297"/>
      <c r="T193" s="297"/>
      <c r="U193" s="297"/>
      <c r="V193" s="297"/>
      <c r="W193" s="297"/>
      <c r="X193" s="297"/>
      <c r="Y193" s="297"/>
      <c r="Z193" s="297"/>
      <c r="AA193" s="297"/>
      <c r="AB193" s="297"/>
      <c r="AC193" s="297"/>
      <c r="AD193" s="297"/>
      <c r="AE193" s="297"/>
      <c r="AF193" s="297"/>
      <c r="AG193" s="297"/>
      <c r="AH193" s="297"/>
      <c r="AI193" s="297"/>
      <c r="AJ193" s="297"/>
      <c r="AK193" s="297"/>
    </row>
    <row r="194" spans="1:37" x14ac:dyDescent="0.2">
      <c r="A194" s="297"/>
      <c r="B194" s="297"/>
      <c r="C194" s="297"/>
      <c r="D194" s="297"/>
      <c r="E194" s="297"/>
      <c r="F194" s="297"/>
      <c r="G194" s="297"/>
      <c r="H194" s="297"/>
      <c r="I194" s="297"/>
      <c r="J194" s="297"/>
      <c r="K194" s="297"/>
      <c r="L194" s="297"/>
      <c r="M194" s="297"/>
      <c r="N194" s="297"/>
      <c r="O194" s="297"/>
      <c r="P194" s="297"/>
      <c r="Q194" s="297"/>
      <c r="R194" s="297"/>
      <c r="S194" s="297"/>
      <c r="T194" s="297"/>
      <c r="U194" s="297"/>
      <c r="V194" s="297"/>
      <c r="W194" s="297"/>
      <c r="X194" s="297"/>
      <c r="Y194" s="297"/>
      <c r="Z194" s="297"/>
      <c r="AA194" s="297"/>
      <c r="AB194" s="297"/>
      <c r="AC194" s="297"/>
      <c r="AD194" s="297"/>
      <c r="AE194" s="297"/>
      <c r="AF194" s="297"/>
      <c r="AG194" s="297"/>
      <c r="AH194" s="297"/>
      <c r="AI194" s="297"/>
      <c r="AJ194" s="297"/>
      <c r="AK194" s="297"/>
    </row>
    <row r="195" spans="1:37" x14ac:dyDescent="0.2">
      <c r="A195" s="297"/>
      <c r="B195" s="297"/>
      <c r="C195" s="297"/>
      <c r="D195" s="297"/>
      <c r="E195" s="297"/>
      <c r="F195" s="297"/>
      <c r="G195" s="297"/>
      <c r="H195" s="297"/>
      <c r="I195" s="297"/>
      <c r="J195" s="297"/>
      <c r="K195" s="297"/>
      <c r="L195" s="297"/>
      <c r="M195" s="297"/>
      <c r="N195" s="297"/>
      <c r="O195" s="297"/>
      <c r="P195" s="297"/>
      <c r="Q195" s="297"/>
      <c r="R195" s="297"/>
      <c r="S195" s="297"/>
      <c r="T195" s="297"/>
      <c r="U195" s="297"/>
      <c r="V195" s="297"/>
      <c r="W195" s="297"/>
      <c r="X195" s="297"/>
      <c r="Y195" s="297"/>
      <c r="Z195" s="297"/>
      <c r="AA195" s="297"/>
      <c r="AB195" s="297"/>
      <c r="AC195" s="297"/>
      <c r="AD195" s="297"/>
      <c r="AE195" s="297"/>
      <c r="AF195" s="297"/>
      <c r="AG195" s="297"/>
      <c r="AH195" s="297"/>
      <c r="AI195" s="297"/>
      <c r="AJ195" s="297"/>
      <c r="AK195" s="297"/>
    </row>
    <row r="196" spans="1:37" x14ac:dyDescent="0.2">
      <c r="A196" s="297"/>
      <c r="B196" s="297"/>
      <c r="C196" s="297"/>
      <c r="D196" s="297"/>
      <c r="E196" s="297"/>
      <c r="F196" s="297"/>
      <c r="G196" s="297"/>
      <c r="H196" s="297"/>
      <c r="I196" s="297"/>
      <c r="J196" s="297"/>
      <c r="K196" s="297"/>
      <c r="L196" s="297"/>
      <c r="M196" s="297"/>
      <c r="N196" s="297"/>
      <c r="O196" s="297"/>
      <c r="P196" s="297"/>
      <c r="Q196" s="297"/>
      <c r="R196" s="297"/>
      <c r="S196" s="297"/>
      <c r="T196" s="297"/>
      <c r="U196" s="297"/>
      <c r="V196" s="297"/>
      <c r="W196" s="297"/>
      <c r="X196" s="297"/>
      <c r="Y196" s="297"/>
      <c r="Z196" s="297"/>
      <c r="AA196" s="297"/>
      <c r="AB196" s="297"/>
      <c r="AC196" s="297"/>
      <c r="AD196" s="297"/>
      <c r="AE196" s="297"/>
      <c r="AF196" s="297"/>
      <c r="AG196" s="297"/>
      <c r="AH196" s="297"/>
      <c r="AI196" s="297"/>
      <c r="AJ196" s="297"/>
      <c r="AK196" s="297"/>
    </row>
    <row r="197" spans="1:37" x14ac:dyDescent="0.2">
      <c r="A197" s="297"/>
      <c r="B197" s="297"/>
      <c r="C197" s="297"/>
      <c r="D197" s="297"/>
      <c r="E197" s="297"/>
      <c r="F197" s="297"/>
      <c r="G197" s="297"/>
      <c r="H197" s="297"/>
      <c r="I197" s="297"/>
      <c r="J197" s="297"/>
      <c r="K197" s="297"/>
      <c r="L197" s="297"/>
      <c r="M197" s="297"/>
      <c r="N197" s="297"/>
      <c r="O197" s="297"/>
      <c r="P197" s="297"/>
      <c r="Q197" s="297"/>
      <c r="R197" s="297"/>
      <c r="S197" s="297"/>
      <c r="T197" s="297"/>
      <c r="U197" s="297"/>
      <c r="V197" s="297"/>
      <c r="W197" s="297"/>
      <c r="X197" s="297"/>
      <c r="Y197" s="297"/>
      <c r="Z197" s="297"/>
      <c r="AA197" s="297"/>
      <c r="AB197" s="297"/>
      <c r="AC197" s="297"/>
      <c r="AD197" s="297"/>
      <c r="AE197" s="297"/>
      <c r="AF197" s="297"/>
      <c r="AG197" s="297"/>
      <c r="AH197" s="297"/>
      <c r="AI197" s="297"/>
      <c r="AJ197" s="297"/>
      <c r="AK197" s="297"/>
    </row>
    <row r="198" spans="1:37" x14ac:dyDescent="0.2">
      <c r="A198" s="297"/>
      <c r="B198" s="297"/>
      <c r="C198" s="297"/>
      <c r="D198" s="297"/>
      <c r="E198" s="297"/>
      <c r="F198" s="297"/>
      <c r="G198" s="297"/>
      <c r="H198" s="297"/>
      <c r="I198" s="297"/>
      <c r="J198" s="297"/>
      <c r="K198" s="297"/>
      <c r="L198" s="297"/>
      <c r="M198" s="297"/>
      <c r="N198" s="297"/>
      <c r="O198" s="297"/>
      <c r="P198" s="297"/>
      <c r="Q198" s="297"/>
      <c r="R198" s="297"/>
      <c r="S198" s="297"/>
      <c r="T198" s="297"/>
      <c r="U198" s="297"/>
      <c r="V198" s="297"/>
      <c r="W198" s="297"/>
      <c r="X198" s="297"/>
      <c r="Y198" s="297"/>
      <c r="Z198" s="297"/>
      <c r="AA198" s="297"/>
      <c r="AB198" s="297"/>
      <c r="AC198" s="297"/>
      <c r="AD198" s="297"/>
      <c r="AE198" s="297"/>
      <c r="AF198" s="297"/>
      <c r="AG198" s="297"/>
      <c r="AH198" s="297"/>
      <c r="AI198" s="297"/>
      <c r="AJ198" s="297"/>
      <c r="AK198" s="297"/>
    </row>
    <row r="199" spans="1:37" x14ac:dyDescent="0.2">
      <c r="A199" s="297"/>
      <c r="B199" s="297"/>
      <c r="C199" s="297"/>
      <c r="D199" s="297"/>
      <c r="E199" s="297"/>
      <c r="F199" s="297"/>
      <c r="G199" s="297"/>
      <c r="H199" s="297"/>
      <c r="I199" s="297"/>
      <c r="J199" s="297"/>
      <c r="K199" s="297"/>
      <c r="L199" s="297"/>
      <c r="M199" s="297"/>
      <c r="N199" s="297"/>
      <c r="O199" s="297"/>
      <c r="P199" s="297"/>
      <c r="Q199" s="297"/>
      <c r="R199" s="297"/>
      <c r="S199" s="297"/>
      <c r="T199" s="297"/>
      <c r="U199" s="297"/>
      <c r="V199" s="297"/>
      <c r="W199" s="297"/>
      <c r="X199" s="297"/>
      <c r="Y199" s="297"/>
      <c r="Z199" s="297"/>
      <c r="AA199" s="297"/>
      <c r="AB199" s="297"/>
      <c r="AC199" s="297"/>
      <c r="AD199" s="297"/>
      <c r="AE199" s="297"/>
      <c r="AF199" s="297"/>
      <c r="AG199" s="297"/>
      <c r="AH199" s="297"/>
      <c r="AI199" s="297"/>
      <c r="AJ199" s="297"/>
      <c r="AK199" s="297"/>
    </row>
    <row r="200" spans="1:37" x14ac:dyDescent="0.2">
      <c r="A200" s="297"/>
      <c r="B200" s="297"/>
      <c r="C200" s="297"/>
      <c r="D200" s="297"/>
      <c r="E200" s="297"/>
      <c r="F200" s="297"/>
      <c r="G200" s="297"/>
      <c r="H200" s="297"/>
      <c r="I200" s="297"/>
      <c r="J200" s="297"/>
      <c r="K200" s="297"/>
      <c r="L200" s="297"/>
      <c r="M200" s="297"/>
      <c r="N200" s="297"/>
      <c r="O200" s="297"/>
      <c r="P200" s="297"/>
      <c r="Q200" s="297"/>
      <c r="R200" s="297"/>
      <c r="S200" s="297"/>
      <c r="T200" s="297"/>
      <c r="U200" s="297"/>
      <c r="V200" s="297"/>
      <c r="W200" s="297"/>
      <c r="X200" s="297"/>
      <c r="Y200" s="297"/>
      <c r="Z200" s="297"/>
      <c r="AA200" s="297"/>
      <c r="AB200" s="297"/>
      <c r="AC200" s="297"/>
      <c r="AD200" s="297"/>
      <c r="AE200" s="297"/>
      <c r="AF200" s="297"/>
      <c r="AG200" s="297"/>
      <c r="AH200" s="297"/>
      <c r="AI200" s="297"/>
      <c r="AJ200" s="297"/>
      <c r="AK200" s="297"/>
    </row>
    <row r="201" spans="1:37" x14ac:dyDescent="0.2">
      <c r="A201" s="297"/>
      <c r="B201" s="297"/>
      <c r="C201" s="297"/>
      <c r="D201" s="297"/>
      <c r="E201" s="297"/>
      <c r="F201" s="297"/>
      <c r="G201" s="297"/>
      <c r="H201" s="297"/>
      <c r="I201" s="297"/>
      <c r="J201" s="297"/>
      <c r="K201" s="297"/>
      <c r="L201" s="297"/>
      <c r="M201" s="297"/>
      <c r="N201" s="297"/>
      <c r="O201" s="297"/>
      <c r="P201" s="297"/>
      <c r="Q201" s="297"/>
      <c r="R201" s="297"/>
      <c r="S201" s="297"/>
      <c r="T201" s="297"/>
      <c r="U201" s="297"/>
      <c r="V201" s="297"/>
      <c r="W201" s="297"/>
      <c r="X201" s="297"/>
      <c r="Y201" s="297"/>
      <c r="Z201" s="297"/>
      <c r="AA201" s="297"/>
      <c r="AB201" s="297"/>
      <c r="AC201" s="297"/>
      <c r="AD201" s="297"/>
      <c r="AE201" s="297"/>
      <c r="AF201" s="297"/>
      <c r="AG201" s="297"/>
      <c r="AH201" s="297"/>
      <c r="AI201" s="297"/>
      <c r="AJ201" s="297"/>
      <c r="AK201" s="297"/>
    </row>
    <row r="202" spans="1:37" x14ac:dyDescent="0.2">
      <c r="A202" s="297"/>
      <c r="B202" s="297"/>
      <c r="C202" s="297"/>
      <c r="D202" s="297"/>
      <c r="E202" s="297"/>
      <c r="F202" s="297"/>
      <c r="G202" s="297"/>
      <c r="H202" s="297"/>
      <c r="I202" s="297"/>
      <c r="J202" s="297"/>
      <c r="K202" s="297"/>
      <c r="L202" s="297"/>
      <c r="M202" s="297"/>
      <c r="N202" s="297"/>
      <c r="O202" s="297"/>
      <c r="P202" s="297"/>
      <c r="Q202" s="297"/>
      <c r="R202" s="297"/>
      <c r="S202" s="297"/>
      <c r="T202" s="297"/>
      <c r="U202" s="297"/>
      <c r="V202" s="297"/>
      <c r="W202" s="297"/>
      <c r="X202" s="297"/>
      <c r="Y202" s="297"/>
      <c r="Z202" s="297"/>
      <c r="AA202" s="297"/>
      <c r="AB202" s="297"/>
      <c r="AC202" s="297"/>
      <c r="AD202" s="297"/>
      <c r="AE202" s="297"/>
      <c r="AF202" s="297"/>
      <c r="AG202" s="297"/>
      <c r="AH202" s="297"/>
      <c r="AI202" s="297"/>
      <c r="AJ202" s="297"/>
      <c r="AK202" s="297"/>
    </row>
    <row r="203" spans="1:37" x14ac:dyDescent="0.2">
      <c r="A203" s="297"/>
      <c r="B203" s="297"/>
      <c r="C203" s="297"/>
      <c r="D203" s="297"/>
      <c r="E203" s="297"/>
      <c r="F203" s="297"/>
      <c r="G203" s="297"/>
      <c r="H203" s="297"/>
      <c r="I203" s="297"/>
      <c r="J203" s="297"/>
      <c r="K203" s="297"/>
      <c r="L203" s="297"/>
      <c r="M203" s="297"/>
      <c r="N203" s="297"/>
      <c r="O203" s="297"/>
      <c r="P203" s="297"/>
      <c r="Q203" s="297"/>
      <c r="R203" s="297"/>
      <c r="S203" s="297"/>
      <c r="T203" s="297"/>
      <c r="U203" s="297"/>
      <c r="V203" s="297"/>
      <c r="W203" s="297"/>
      <c r="X203" s="297"/>
      <c r="Y203" s="297"/>
      <c r="Z203" s="297"/>
      <c r="AA203" s="297"/>
      <c r="AB203" s="297"/>
      <c r="AC203" s="297"/>
      <c r="AD203" s="297"/>
      <c r="AE203" s="297"/>
      <c r="AF203" s="297"/>
      <c r="AG203" s="297"/>
      <c r="AH203" s="297"/>
      <c r="AI203" s="297"/>
      <c r="AJ203" s="297"/>
      <c r="AK203" s="297"/>
    </row>
  </sheetData>
  <sheetProtection algorithmName="SHA-512" hashValue="A9twGOCAMXgydyhgfZM54aIahGAdpZMCNvAlt6tPSgB1ROFWZi2/FNwpWc2pi7VZsWHQlshnlvg+ffZ27TH3tA==" saltValue="KIsfdSewO4Lf6c2+RNyN/w==" spinCount="100000" sheet="1" objects="1" scenarios="1" formatColumns="0" autoFilter="0"/>
  <mergeCells count="6">
    <mergeCell ref="F64:F65"/>
    <mergeCell ref="G64:G65"/>
    <mergeCell ref="B9:D12"/>
    <mergeCell ref="B107:D110"/>
    <mergeCell ref="B157:D160"/>
    <mergeCell ref="B57:D60"/>
  </mergeCells>
  <phoneticPr fontId="16" type="noConversion"/>
  <hyperlinks>
    <hyperlink ref="B1" location="Instructions!B3" display="Instructions" xr:uid="{18C90B55-6899-469C-BD87-3054EC8B527E}"/>
  </hyperlinks>
  <printOptions horizontalCentered="1"/>
  <pageMargins left="0.19685039370078741" right="0.19685039370078741" top="0.39370078740157483" bottom="0.19685039370078741" header="0.19685039370078741" footer="0.19685039370078741"/>
  <pageSetup paperSize="9" scale="58" fitToHeight="3" orientation="landscape" r:id="rId5"/>
  <headerFooter>
    <oddFooter>&amp;L&amp;F - &amp;A&amp;R| &amp;D | &amp;P/&amp;N</oddFooter>
  </headerFooter>
  <rowBreaks count="3" manualBreakCount="3">
    <brk id="55" max="36" man="1"/>
    <brk id="105" max="26" man="1"/>
    <brk id="155" max="26" man="1"/>
  </rowBreaks>
  <drawing r:id="rId6"/>
  <tableParts count="4">
    <tablePart r:id="rId7"/>
    <tablePart r:id="rId8"/>
    <tablePart r:id="rId9"/>
    <tablePart r:id="rId10"/>
  </tableParts>
  <extLst>
    <ext xmlns:x14="http://schemas.microsoft.com/office/spreadsheetml/2009/9/main" uri="{A8765BA9-456A-4dab-B4F3-ACF838C121DE}">
      <x14:slicerList>
        <x14:slicer r:id="rId11"/>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FE868-660D-4B5B-89B4-D28EEBE03FD3}">
  <sheetPr codeName="Sheet6">
    <tabColor rgb="FFFFFF00"/>
    <pageSetUpPr fitToPage="1"/>
  </sheetPr>
  <dimension ref="A1:AI840"/>
  <sheetViews>
    <sheetView zoomScale="70" zoomScaleNormal="70" workbookViewId="0">
      <pane xSplit="14" ySplit="3" topLeftCell="O199" activePane="bottomRight" state="frozen"/>
      <selection pane="topRight" activeCell="N1" sqref="N1"/>
      <selection pane="bottomLeft" activeCell="A4" sqref="A4"/>
      <selection pane="bottomRight" activeCell="C3" sqref="C3"/>
    </sheetView>
  </sheetViews>
  <sheetFormatPr baseColWidth="10" defaultColWidth="0" defaultRowHeight="13" zeroHeight="1" outlineLevelCol="1" x14ac:dyDescent="0.2"/>
  <cols>
    <col min="1" max="1" width="2.7109375" style="1" customWidth="1"/>
    <col min="2" max="2" width="4.7109375" style="25" customWidth="1"/>
    <col min="3" max="3" width="7.85546875" style="1" customWidth="1"/>
    <col min="4" max="4" width="24.7109375" style="1" customWidth="1"/>
    <col min="5" max="5" width="30.7109375" style="1" customWidth="1"/>
    <col min="6" max="6" width="8.7109375" style="1" customWidth="1"/>
    <col min="7" max="7" width="15.7109375" style="1" hidden="1" customWidth="1" outlineLevel="1"/>
    <col min="8" max="8" width="50.7109375" style="1" customWidth="1" collapsed="1"/>
    <col min="9" max="9" width="25.7109375" style="2" customWidth="1"/>
    <col min="10" max="10" width="10.7109375" style="2" customWidth="1"/>
    <col min="11" max="11" width="10.7109375" style="86" customWidth="1" outlineLevel="1"/>
    <col min="12" max="12" width="10.7109375" style="93" customWidth="1" outlineLevel="1"/>
    <col min="13" max="13" width="10.7109375" style="108" customWidth="1" outlineLevel="1"/>
    <col min="14" max="14" width="10.7109375" style="126" customWidth="1" outlineLevel="1"/>
    <col min="15" max="23" width="10.7109375" style="2" customWidth="1"/>
    <col min="24" max="24" width="10.7109375" style="1" customWidth="1"/>
    <col min="25" max="25" width="50.7109375" style="1" customWidth="1"/>
    <col min="26" max="26" width="103.5703125" style="1" customWidth="1"/>
    <col min="27" max="28" width="6.7109375" style="25" customWidth="1"/>
    <col min="29" max="34" width="6.7109375" style="1" customWidth="1"/>
    <col min="35" max="35" width="2.7109375" style="1" customWidth="1"/>
    <col min="36" max="16384" width="8.85546875" style="1" hidden="1"/>
  </cols>
  <sheetData>
    <row r="1" spans="1:35" ht="15" customHeight="1" x14ac:dyDescent="0.2">
      <c r="A1" s="294"/>
      <c r="B1" s="931" t="str">
        <f>"Instructions"&amp;"___"</f>
        <v>Instructions___</v>
      </c>
      <c r="C1" s="296" t="str">
        <f>InputsData!$J$1</f>
        <v>MONNAIE LOCALE : CFA</v>
      </c>
      <c r="D1" s="294"/>
      <c r="E1" s="295" t="str">
        <f>InputsData!$J$2</f>
        <v>STRICTEMENT CONFIDENTIEL | ABC CORPORATION</v>
      </c>
      <c r="F1" s="294"/>
      <c r="G1" s="294"/>
      <c r="H1" s="303" t="str">
        <f>VLOOKUP("SIMULATION SCENARIO",TableInputsData[],ReadMe!$M$3,FALSE)</f>
        <v>SCENARIO DE SIMULATION</v>
      </c>
      <c r="I1" s="304"/>
      <c r="J1" s="305"/>
      <c r="K1" s="946" t="str">
        <f>VLOOKUP("FOR SECTION 3 COLUMNS ONLY",TableInputsData[],ReadMe!$M$3,FALSE)</f>
        <v>POUR COLONNES SECTION 3 SEULEMENT</v>
      </c>
      <c r="L1" s="947" t="e">
        <f>VLOOKUP(#REF!,TableInputsData[],5,FALSE)</f>
        <v>#REF!</v>
      </c>
      <c r="M1" s="947" t="e">
        <f>VLOOKUP(#REF!,TableInputsData[],5,FALSE)</f>
        <v>#REF!</v>
      </c>
      <c r="N1" s="948" t="e">
        <f>VLOOKUP(#REF!,TableInputsData[],5,FALSE)</f>
        <v>#REF!</v>
      </c>
      <c r="O1" s="304"/>
      <c r="P1" s="304"/>
      <c r="Q1" s="304"/>
      <c r="R1" s="304"/>
      <c r="S1" s="304"/>
      <c r="T1" s="304"/>
      <c r="U1" s="304"/>
      <c r="V1" s="304"/>
      <c r="W1" s="304"/>
      <c r="X1" s="294"/>
      <c r="Y1" s="294"/>
      <c r="Z1" s="294"/>
      <c r="AA1" s="38" t="b">
        <f>AND(TableFinanceData[CHECK])</f>
        <v>1</v>
      </c>
      <c r="AB1" s="309"/>
      <c r="AC1" s="294"/>
      <c r="AD1" s="294"/>
      <c r="AE1" s="294"/>
      <c r="AF1" s="294"/>
      <c r="AG1" s="294"/>
      <c r="AH1" s="294"/>
      <c r="AI1" s="294"/>
    </row>
    <row r="2" spans="1:35" ht="43.5" customHeight="1" x14ac:dyDescent="0.2">
      <c r="A2" s="294"/>
      <c r="B2" s="931"/>
      <c r="C2" s="479" t="s">
        <v>378</v>
      </c>
      <c r="D2" s="294"/>
      <c r="E2" s="518"/>
      <c r="F2" s="657" t="b">
        <f>AA1</f>
        <v>1</v>
      </c>
      <c r="G2" s="294"/>
      <c r="H2" s="656" t="s">
        <v>1420</v>
      </c>
      <c r="I2" s="304"/>
      <c r="J2" s="478" t="str">
        <f>VLOOKUP(J$3,TableInputsData[],ReadMe!$M$3,FALSE)</f>
        <v>PARAMETRE</v>
      </c>
      <c r="K2" s="477" t="str">
        <f>VLOOKUP(K$3,TableInputsData[],ReadMe!$M$3,FALSE)</f>
        <v>ANNEE D'ACQUISITION</v>
      </c>
      <c r="L2" s="477" t="str">
        <f>VLOOKUP(L$3,TableInputsData[],ReadMe!$M$3,FALSE)</f>
        <v>VALEUR D'ACQUISITION</v>
      </c>
      <c r="M2" s="477" t="str">
        <f>VLOOKUP(M$3,TableInputsData[],ReadMe!$M$3,FALSE)</f>
        <v>% AMORTISSEMENT ANNUEL</v>
      </c>
      <c r="N2" s="477" t="str">
        <f>VLOOKUP(N$3,TableInputsData[],ReadMe!$M$3,FALSE)</f>
        <v>VALEUR D'AMORTISSEMENT ACCUMULEE</v>
      </c>
      <c r="O2" s="478" t="str">
        <f>VLOOKUP(O$3,TableInputsData[],ReadMe!$M$3,FALSE)&amp;CHAR(10)&amp;O5</f>
        <v>ANNEE-2
2023</v>
      </c>
      <c r="P2" s="478" t="str">
        <f>VLOOKUP(P$3,TableInputsData[],ReadMe!$M$3,FALSE)&amp;CHAR(10)&amp;P5</f>
        <v>ANNEE-1
2024</v>
      </c>
      <c r="Q2" s="478" t="str">
        <f>VLOOKUP(Q$3,TableInputsData[],ReadMe!$M$3,FALSE)&amp;CHAR(10)&amp;Q5</f>
        <v>ANNEE EN COURS H1
2025</v>
      </c>
      <c r="R2" s="478" t="str">
        <f>VLOOKUP(R$3,TableInputsData[],ReadMe!$M$3,FALSE)&amp;CHAR(10)&amp;R5</f>
        <v>ANNEE EN COURS H2
2025</v>
      </c>
      <c r="S2" s="478" t="str">
        <f>VLOOKUP(S$3,TableInputsData[],ReadMe!$M$3,FALSE)&amp;CHAR(10)&amp;S5</f>
        <v>ANNEE EN COURS
2025</v>
      </c>
      <c r="T2" s="478" t="str">
        <f>VLOOKUP(T$3,TableInputsData[],ReadMe!$M$3,FALSE)&amp;CHAR(10)&amp;T5</f>
        <v>ANNEE2
2026</v>
      </c>
      <c r="U2" s="478" t="str">
        <f>VLOOKUP(U$3,TableInputsData[],ReadMe!$M$3,FALSE)&amp;CHAR(10)&amp;U5</f>
        <v>ANNEE3
2027</v>
      </c>
      <c r="V2" s="478" t="str">
        <f>VLOOKUP(V$3,TableInputsData[],ReadMe!$M$3,FALSE)&amp;CHAR(10)&amp;V5</f>
        <v>ANNEE4
2028</v>
      </c>
      <c r="W2" s="478" t="str">
        <f>VLOOKUP(W$3,TableInputsData[],ReadMe!$M$3,FALSE)&amp;CHAR(10)&amp;W5</f>
        <v>ANNEE5
2029</v>
      </c>
      <c r="X2" s="478" t="str">
        <f>VLOOKUP(X$3,TableInputsData[],ReadMe!$M$3,FALSE)&amp;CHAR(10)&amp;X5</f>
        <v>ANNEE6
2030</v>
      </c>
      <c r="Y2" s="478" t="str">
        <f>VLOOKUP(Y$3,TableInputsData[],ReadMe!$M$3,FALSE)</f>
        <v>COMMENTAIRE</v>
      </c>
      <c r="Z2" s="478" t="str">
        <f>VLOOKUP(Z$3,TableInputsData[],ReadMe!$M$3,FALSE)</f>
        <v>NOTE DE TRADUCTION</v>
      </c>
      <c r="AA2" s="309"/>
      <c r="AB2" s="309"/>
      <c r="AC2" s="294"/>
      <c r="AD2" s="294"/>
      <c r="AE2" s="294"/>
      <c r="AF2" s="294"/>
      <c r="AG2" s="652">
        <v>7</v>
      </c>
      <c r="AH2" s="565">
        <f>IF($H$2="BEST CASE",8,IF($H$2="WORST CASE",6,7))</f>
        <v>7</v>
      </c>
      <c r="AI2" s="294"/>
    </row>
    <row r="3" spans="1:35" ht="53.25" customHeight="1" x14ac:dyDescent="0.2">
      <c r="A3" s="294"/>
      <c r="B3" s="931"/>
      <c r="C3" s="873" t="s">
        <v>122</v>
      </c>
      <c r="D3" s="61" t="s">
        <v>0</v>
      </c>
      <c r="E3" s="61" t="s">
        <v>1</v>
      </c>
      <c r="F3" s="61" t="s">
        <v>2</v>
      </c>
      <c r="G3" s="61" t="s">
        <v>3</v>
      </c>
      <c r="H3" s="61" t="s">
        <v>30</v>
      </c>
      <c r="I3" s="61" t="s">
        <v>31</v>
      </c>
      <c r="J3" s="61" t="s">
        <v>1736</v>
      </c>
      <c r="K3" s="472" t="s">
        <v>595</v>
      </c>
      <c r="L3" s="473" t="s">
        <v>596</v>
      </c>
      <c r="M3" s="474" t="s">
        <v>602</v>
      </c>
      <c r="N3" s="475" t="s">
        <v>601</v>
      </c>
      <c r="O3" s="62" t="s">
        <v>392</v>
      </c>
      <c r="P3" s="62" t="s">
        <v>391</v>
      </c>
      <c r="Q3" s="62" t="s">
        <v>394</v>
      </c>
      <c r="R3" s="62" t="s">
        <v>395</v>
      </c>
      <c r="S3" s="62" t="s">
        <v>393</v>
      </c>
      <c r="T3" s="62" t="s">
        <v>396</v>
      </c>
      <c r="U3" s="62" t="s">
        <v>397</v>
      </c>
      <c r="V3" s="62" t="s">
        <v>398</v>
      </c>
      <c r="W3" s="62" t="s">
        <v>399</v>
      </c>
      <c r="X3" s="62" t="s">
        <v>400</v>
      </c>
      <c r="Y3" s="62" t="s">
        <v>1250</v>
      </c>
      <c r="Z3" s="61" t="s">
        <v>1243</v>
      </c>
      <c r="AA3" s="61" t="s">
        <v>111</v>
      </c>
      <c r="AB3" s="61" t="s">
        <v>590</v>
      </c>
      <c r="AC3" s="61" t="s">
        <v>591</v>
      </c>
      <c r="AD3" s="61" t="s">
        <v>592</v>
      </c>
      <c r="AE3" s="61" t="s">
        <v>593</v>
      </c>
      <c r="AF3" s="61" t="s">
        <v>1204</v>
      </c>
      <c r="AG3" s="61" t="s">
        <v>1495</v>
      </c>
      <c r="AH3" s="61" t="s">
        <v>1424</v>
      </c>
      <c r="AI3" s="294"/>
    </row>
    <row r="4" spans="1:35" ht="14" x14ac:dyDescent="0.2">
      <c r="A4" s="294"/>
      <c r="B4" s="931"/>
      <c r="C4" s="64">
        <v>0</v>
      </c>
      <c r="D4" s="39" t="s">
        <v>594</v>
      </c>
      <c r="E4" s="39"/>
      <c r="F4" s="39"/>
      <c r="G4" s="39"/>
      <c r="H4" s="39"/>
      <c r="I4" s="47" t="s">
        <v>594</v>
      </c>
      <c r="J4" s="39"/>
      <c r="K4" s="39"/>
      <c r="L4" s="94"/>
      <c r="M4" s="109"/>
      <c r="N4" s="844"/>
      <c r="O4" s="39" t="str">
        <f>VLOOKUP(O3,TableInputsData[],7,FALSE)</f>
        <v>ACTUAL</v>
      </c>
      <c r="P4" s="39" t="str">
        <f>VLOOKUP(P3,TableInputsData[],7,FALSE)</f>
        <v>ACTUAL</v>
      </c>
      <c r="Q4" s="39" t="str">
        <f>VLOOKUP(Q3,TableInputsData[],7,FALSE)</f>
        <v>ACTUAL</v>
      </c>
      <c r="R4" s="39" t="str">
        <f>VLOOKUP(R3,TableInputsData[],7,FALSE)</f>
        <v>FORECAST</v>
      </c>
      <c r="S4" s="39" t="str">
        <f>VLOOKUP(S3,TableInputsData[],7,FALSE)</f>
        <v>FORECAST</v>
      </c>
      <c r="T4" s="39" t="str">
        <f>VLOOKUP(T3,TableInputsData[],7,FALSE)</f>
        <v>FORECAST</v>
      </c>
      <c r="U4" s="39" t="str">
        <f>VLOOKUP(U3,TableInputsData[],7,FALSE)</f>
        <v>FORECAST</v>
      </c>
      <c r="V4" s="39" t="str">
        <f>VLOOKUP(V3,TableInputsData[],7,FALSE)</f>
        <v>FORECAST</v>
      </c>
      <c r="W4" s="39" t="str">
        <f>VLOOKUP(W3,TableInputsData[],7,FALSE)</f>
        <v>FORECAST</v>
      </c>
      <c r="X4" s="39" t="str">
        <f>VLOOKUP(X3,TableInputsData[],7,FALSE)</f>
        <v>FORECAST</v>
      </c>
      <c r="Y4" s="39"/>
      <c r="Z4" s="39"/>
      <c r="AA4" s="39"/>
      <c r="AB4" s="39"/>
      <c r="AC4" s="39"/>
      <c r="AD4" s="39"/>
      <c r="AE4" s="39"/>
      <c r="AF4" s="39"/>
      <c r="AG4" s="39"/>
      <c r="AH4" s="527"/>
      <c r="AI4" s="294"/>
    </row>
    <row r="5" spans="1:35" ht="14" x14ac:dyDescent="0.2">
      <c r="A5" s="294"/>
      <c r="B5" s="932"/>
      <c r="C5" s="65">
        <v>0</v>
      </c>
      <c r="D5" s="59" t="s">
        <v>462</v>
      </c>
      <c r="E5" s="59"/>
      <c r="F5" s="59"/>
      <c r="G5" s="59"/>
      <c r="H5" s="40"/>
      <c r="I5" s="40" t="s">
        <v>462</v>
      </c>
      <c r="J5" s="59"/>
      <c r="K5" s="59"/>
      <c r="L5" s="95"/>
      <c r="M5" s="110"/>
      <c r="N5" s="845" t="str">
        <f>"&lt;= "&amp;O5-1</f>
        <v>&lt;= 2022</v>
      </c>
      <c r="O5" s="59">
        <f>VLOOKUP(O3,TableInputsData[],8,FALSE)</f>
        <v>2023</v>
      </c>
      <c r="P5" s="59">
        <f>VLOOKUP(P3,TableInputsData[],8,FALSE)</f>
        <v>2024</v>
      </c>
      <c r="Q5" s="59">
        <f>VLOOKUP(Q3,TableInputsData[],8,FALSE)</f>
        <v>2025</v>
      </c>
      <c r="R5" s="59">
        <f>VLOOKUP(R3,TableInputsData[],8,FALSE)</f>
        <v>2025</v>
      </c>
      <c r="S5" s="59">
        <f>VLOOKUP(S3,TableInputsData[],8,FALSE)</f>
        <v>2025</v>
      </c>
      <c r="T5" s="59">
        <f>VLOOKUP(T3,TableInputsData[],8,FALSE)</f>
        <v>2026</v>
      </c>
      <c r="U5" s="59">
        <f>VLOOKUP(U3,TableInputsData[],8,FALSE)</f>
        <v>2027</v>
      </c>
      <c r="V5" s="59">
        <f>VLOOKUP(V3,TableInputsData[],8,FALSE)</f>
        <v>2028</v>
      </c>
      <c r="W5" s="59">
        <f>VLOOKUP(W3,TableInputsData[],8,FALSE)</f>
        <v>2029</v>
      </c>
      <c r="X5" s="59">
        <f>VLOOKUP(X3,TableInputsData[],8,FALSE)</f>
        <v>2030</v>
      </c>
      <c r="Y5" s="59"/>
      <c r="Z5" s="59"/>
      <c r="AA5" s="59"/>
      <c r="AB5" s="59"/>
      <c r="AC5" s="59"/>
      <c r="AD5" s="59"/>
      <c r="AE5" s="59"/>
      <c r="AF5" s="59"/>
      <c r="AG5" s="59"/>
      <c r="AH5" s="528"/>
      <c r="AI5" s="294"/>
    </row>
    <row r="6" spans="1:35" ht="15" customHeight="1" x14ac:dyDescent="0.2">
      <c r="A6" s="294"/>
      <c r="B6" s="943" t="s">
        <v>891</v>
      </c>
      <c r="C6" s="73">
        <v>1</v>
      </c>
      <c r="D6" s="128"/>
      <c r="E6" s="128"/>
      <c r="F6" s="128"/>
      <c r="G6" s="128"/>
      <c r="H6" s="129"/>
      <c r="I6" s="129"/>
      <c r="J6" s="128"/>
      <c r="K6" s="128"/>
      <c r="L6" s="130"/>
      <c r="M6" s="131"/>
      <c r="N6" s="846"/>
      <c r="O6" s="132"/>
      <c r="P6" s="132"/>
      <c r="Q6" s="132"/>
      <c r="R6" s="132"/>
      <c r="S6" s="132"/>
      <c r="T6" s="132"/>
      <c r="U6" s="132"/>
      <c r="V6" s="132"/>
      <c r="W6" s="132"/>
      <c r="X6" s="132"/>
      <c r="Y6" s="132"/>
      <c r="Z6" s="128"/>
      <c r="AA6" s="128"/>
      <c r="AB6" s="128"/>
      <c r="AC6" s="128"/>
      <c r="AD6" s="128"/>
      <c r="AE6" s="128"/>
      <c r="AF6" s="128"/>
      <c r="AG6" s="128"/>
      <c r="AH6" s="529"/>
      <c r="AI6" s="294"/>
    </row>
    <row r="7" spans="1:35" ht="15" customHeight="1" x14ac:dyDescent="0.2">
      <c r="A7" s="294"/>
      <c r="B7" s="944"/>
      <c r="C7" s="71">
        <v>1</v>
      </c>
      <c r="D7" s="8"/>
      <c r="E7" s="8"/>
      <c r="F7" s="8"/>
      <c r="G7" s="8"/>
      <c r="H7" s="9"/>
      <c r="I7" s="9"/>
      <c r="J7" s="87"/>
      <c r="K7" s="87"/>
      <c r="L7" s="98"/>
      <c r="M7" s="113"/>
      <c r="N7" s="10"/>
      <c r="O7" s="10"/>
      <c r="P7" s="10"/>
      <c r="Q7" s="10"/>
      <c r="R7" s="10"/>
      <c r="S7" s="10"/>
      <c r="T7" s="10"/>
      <c r="U7" s="10"/>
      <c r="V7" s="10"/>
      <c r="W7" s="10"/>
      <c r="X7" s="10"/>
      <c r="Y7" s="10"/>
      <c r="Z7" s="8"/>
      <c r="AA7" s="8"/>
      <c r="AB7" s="35"/>
      <c r="AC7" s="35"/>
      <c r="AD7" s="35"/>
      <c r="AE7" s="87"/>
      <c r="AF7" s="35"/>
      <c r="AG7" s="35"/>
      <c r="AH7" s="534"/>
      <c r="AI7" s="294"/>
    </row>
    <row r="8" spans="1:35" ht="12.75" customHeight="1" x14ac:dyDescent="0.2">
      <c r="A8" s="294"/>
      <c r="B8" s="944"/>
      <c r="C8" s="66">
        <v>1</v>
      </c>
      <c r="D8" s="3" t="s">
        <v>618</v>
      </c>
      <c r="E8" s="3" t="s">
        <v>261</v>
      </c>
      <c r="F8" s="3" t="s">
        <v>633</v>
      </c>
      <c r="G8" s="3" t="s">
        <v>537</v>
      </c>
      <c r="H8" s="5" t="str">
        <f>VLOOKUP($G8,TableInputsData[],6,FALSE)</f>
        <v>XYZ</v>
      </c>
      <c r="I8" s="5" t="str">
        <f>VLOOKUP("SEE InputsData SHEET",TableInputsData[],ReadMe!$M$3,FALSE)</f>
        <v>VOIR FEUILLE InputData</v>
      </c>
      <c r="J8" s="26"/>
      <c r="K8" s="135"/>
      <c r="L8" s="127"/>
      <c r="M8" s="134"/>
      <c r="N8" s="60"/>
      <c r="O8" s="4">
        <f>$AG8*GETPIVOTDATA("Sum of TOTAL YEAR",RevenuePivot!$BT$12,"YEAR",O$5,"REFERENCE PRODUCT / SERVICE",$G8,"ITEM","VOLUME")</f>
        <v>0</v>
      </c>
      <c r="P8" s="4">
        <f>$AG8*GETPIVOTDATA("Sum of TOTAL YEAR",RevenuePivot!$BT$12,"YEAR",P$5,"REFERENCE PRODUCT / SERVICE",$G8,"ITEM","VOLUME")</f>
        <v>0</v>
      </c>
      <c r="Q8" s="4">
        <f>$AG8*GETPIVOTDATA("Sum of SEMESTRE 1",RevenuePivot!$BT$12,"YEAR",Q$5,"REFERENCE PRODUCT / SERVICE",$G8,"ITEM","VOLUME")</f>
        <v>0</v>
      </c>
      <c r="R8" s="4">
        <f>$AG8*GETPIVOTDATA("Sum of SEMESTRE 2",RevenuePivot!$BT$12,"YEAR",R$5,"REFERENCE PRODUCT / SERVICE",$G8,"ITEM","VOLUME")</f>
        <v>0</v>
      </c>
      <c r="S8" s="4">
        <f>Q8+R8</f>
        <v>0</v>
      </c>
      <c r="T8" s="4">
        <f>$AG8*GETPIVOTDATA("Sum of TOTAL YEAR",RevenuePivot!$BT$12,"YEAR",T$5,"REFERENCE PRODUCT / SERVICE",$G8,"ITEM","VOLUME")</f>
        <v>0</v>
      </c>
      <c r="U8" s="4">
        <f>$AG8*GETPIVOTDATA("Sum of TOTAL YEAR",RevenuePivot!$BT$12,"YEAR",U$5,"REFERENCE PRODUCT / SERVICE",$G8,"ITEM","VOLUME")</f>
        <v>0</v>
      </c>
      <c r="V8" s="4">
        <f>$AG8*GETPIVOTDATA("Sum of TOTAL YEAR",RevenuePivot!$BT$12,"YEAR",V$5,"REFERENCE PRODUCT / SERVICE",$G8,"ITEM","VOLUME")</f>
        <v>0</v>
      </c>
      <c r="W8" s="4">
        <f>$AG8*GETPIVOTDATA("Sum of TOTAL YEAR",RevenuePivot!$BT$12,"YEAR",W$5,"REFERENCE PRODUCT / SERVICE",$G8,"ITEM","VOLUME")</f>
        <v>0</v>
      </c>
      <c r="X8" s="4">
        <f>$AG8*GETPIVOTDATA("Sum of TOTAL YEAR",RevenuePivot!$BT$12,"YEAR",X$5,"REFERENCE PRODUCT / SERVICE",$G8,"ITEM","VOLUME")</f>
        <v>0</v>
      </c>
      <c r="Y8" s="604"/>
      <c r="Z8" s="3" t="str">
        <f>VLOOKUP($D8,TableInputsData[],ReadMe!$M$3,FALSE)&amp;"  |  "&amp;VLOOKUP($E8,TableInputsData[],ReadMe!$M$3,FALSE)&amp;"  |  "&amp;VLOOKUP($G8,TableInputsData[],ReadMe!$M$3,FALSE)</f>
        <v>CA ET MARGE BRUTE  |  VOLUME  |  PRODUIT 01</v>
      </c>
      <c r="AA8" s="3"/>
      <c r="AB8" s="34">
        <f>IF(AND(SUM(O8:X8)=0,H8=""),0,1)</f>
        <v>1</v>
      </c>
      <c r="AC8" s="34"/>
      <c r="AD8" s="34"/>
      <c r="AE8" s="26"/>
      <c r="AF8" s="34">
        <v>1</v>
      </c>
      <c r="AG8" s="34">
        <f>VLOOKUP($G8,TableInputsData[],$AG$2,FALSE)</f>
        <v>1</v>
      </c>
      <c r="AH8" s="535"/>
      <c r="AI8" s="294"/>
    </row>
    <row r="9" spans="1:35" x14ac:dyDescent="0.2">
      <c r="A9" s="294"/>
      <c r="B9" s="944"/>
      <c r="C9" s="66">
        <v>1</v>
      </c>
      <c r="D9" s="3" t="s">
        <v>618</v>
      </c>
      <c r="E9" s="3" t="s">
        <v>261</v>
      </c>
      <c r="F9" s="3" t="s">
        <v>633</v>
      </c>
      <c r="G9" s="3" t="s">
        <v>538</v>
      </c>
      <c r="H9" s="5" t="str">
        <f>VLOOKUP($G9,TableInputsData[],6,FALSE)</f>
        <v>ABC</v>
      </c>
      <c r="I9" s="5" t="str">
        <f>VLOOKUP("SEE InputsData SHEET",TableInputsData[],ReadMe!$M$3,FALSE)</f>
        <v>VOIR FEUILLE InputData</v>
      </c>
      <c r="J9" s="26"/>
      <c r="K9" s="135"/>
      <c r="L9" s="127"/>
      <c r="M9" s="134"/>
      <c r="N9" s="60"/>
      <c r="O9" s="4">
        <f>$AG9*GETPIVOTDATA("Sum of TOTAL YEAR",RevenuePivot!$BT$12,"YEAR",O$5,"REFERENCE PRODUCT / SERVICE",$G9,"ITEM","VOLUME")</f>
        <v>0</v>
      </c>
      <c r="P9" s="4">
        <f>$AG9*GETPIVOTDATA("Sum of TOTAL YEAR",RevenuePivot!$BT$12,"YEAR",P$5,"REFERENCE PRODUCT / SERVICE",$G9,"ITEM","VOLUME")</f>
        <v>0</v>
      </c>
      <c r="Q9" s="4">
        <f>$AG9*GETPIVOTDATA("Sum of SEMESTRE 1",RevenuePivot!$BT$12,"YEAR",Q$5,"REFERENCE PRODUCT / SERVICE",$G9,"ITEM","VOLUME")</f>
        <v>0</v>
      </c>
      <c r="R9" s="4">
        <f>$AG9*GETPIVOTDATA("Sum of SEMESTRE 2",RevenuePivot!$BT$12,"YEAR",R$5,"REFERENCE PRODUCT / SERVICE",$G9,"ITEM","VOLUME")</f>
        <v>0</v>
      </c>
      <c r="S9" s="4">
        <f t="shared" ref="S9:S17" si="0">Q9+R9</f>
        <v>0</v>
      </c>
      <c r="T9" s="4">
        <f>$AG9*GETPIVOTDATA("Sum of TOTAL YEAR",RevenuePivot!$BT$12,"YEAR",T$5,"REFERENCE PRODUCT / SERVICE",$G9,"ITEM","VOLUME")</f>
        <v>0</v>
      </c>
      <c r="U9" s="4">
        <f>$AG9*GETPIVOTDATA("Sum of TOTAL YEAR",RevenuePivot!$BT$12,"YEAR",U$5,"REFERENCE PRODUCT / SERVICE",$G9,"ITEM","VOLUME")</f>
        <v>0</v>
      </c>
      <c r="V9" s="4">
        <f>$AG9*GETPIVOTDATA("Sum of TOTAL YEAR",RevenuePivot!$BT$12,"YEAR",V$5,"REFERENCE PRODUCT / SERVICE",$G9,"ITEM","VOLUME")</f>
        <v>0</v>
      </c>
      <c r="W9" s="4">
        <f>$AG9*GETPIVOTDATA("Sum of TOTAL YEAR",RevenuePivot!$BT$12,"YEAR",W$5,"REFERENCE PRODUCT / SERVICE",$G9,"ITEM","VOLUME")</f>
        <v>0</v>
      </c>
      <c r="X9" s="4">
        <f>$AG9*GETPIVOTDATA("Sum of TOTAL YEAR",RevenuePivot!$BT$12,"YEAR",X$5,"REFERENCE PRODUCT / SERVICE",$G9,"ITEM","VOLUME")</f>
        <v>0</v>
      </c>
      <c r="Y9" s="604"/>
      <c r="Z9" s="3" t="str">
        <f>VLOOKUP($D9,TableInputsData[],ReadMe!$M$3,FALSE)&amp;"  |  "&amp;VLOOKUP($E9,TableInputsData[],ReadMe!$M$3,FALSE)&amp;"  |  "&amp;VLOOKUP($G9,TableInputsData[],ReadMe!$M$3,FALSE)</f>
        <v>CA ET MARGE BRUTE  |  VOLUME  |  PRODUIT 02</v>
      </c>
      <c r="AA9" s="3"/>
      <c r="AB9" s="34">
        <f t="shared" ref="AB9:AB17" si="1">IF(AND(SUM(O9:X9)=0,H9=""),0,1)</f>
        <v>1</v>
      </c>
      <c r="AC9" s="34"/>
      <c r="AD9" s="34"/>
      <c r="AE9" s="26"/>
      <c r="AF9" s="34">
        <v>1</v>
      </c>
      <c r="AG9" s="34">
        <f>VLOOKUP($G9,TableInputsData[],$AG$2,FALSE)</f>
        <v>1</v>
      </c>
      <c r="AH9" s="535"/>
      <c r="AI9" s="294"/>
    </row>
    <row r="10" spans="1:35" x14ac:dyDescent="0.2">
      <c r="A10" s="294"/>
      <c r="B10" s="944"/>
      <c r="C10" s="66">
        <v>1</v>
      </c>
      <c r="D10" s="3" t="s">
        <v>618</v>
      </c>
      <c r="E10" s="3" t="s">
        <v>261</v>
      </c>
      <c r="F10" s="3" t="s">
        <v>633</v>
      </c>
      <c r="G10" s="3" t="s">
        <v>539</v>
      </c>
      <c r="H10" s="5" t="str">
        <f>VLOOKUP($G10,TableInputsData[],6,FALSE)</f>
        <v>-</v>
      </c>
      <c r="I10" s="5" t="str">
        <f>VLOOKUP("SEE InputsData SHEET",TableInputsData[],ReadMe!$M$3,FALSE)</f>
        <v>VOIR FEUILLE InputData</v>
      </c>
      <c r="J10" s="26"/>
      <c r="K10" s="135"/>
      <c r="L10" s="127"/>
      <c r="M10" s="134"/>
      <c r="N10" s="60"/>
      <c r="O10" s="4">
        <f>$AG10*GETPIVOTDATA("Sum of TOTAL YEAR",RevenuePivot!$BT$12,"YEAR",O$5,"REFERENCE PRODUCT / SERVICE",$G10,"ITEM","VOLUME")</f>
        <v>0</v>
      </c>
      <c r="P10" s="4">
        <f>$AG10*GETPIVOTDATA("Sum of TOTAL YEAR",RevenuePivot!$BT$12,"YEAR",P$5,"REFERENCE PRODUCT / SERVICE",$G10,"ITEM","VOLUME")</f>
        <v>0</v>
      </c>
      <c r="Q10" s="4">
        <f>$AG10*GETPIVOTDATA("Sum of SEMESTRE 1",RevenuePivot!$BT$12,"YEAR",Q$5,"REFERENCE PRODUCT / SERVICE",$G10,"ITEM","VOLUME")</f>
        <v>0</v>
      </c>
      <c r="R10" s="4">
        <f>$AG10*GETPIVOTDATA("Sum of SEMESTRE 2",RevenuePivot!$BT$12,"YEAR",R$5,"REFERENCE PRODUCT / SERVICE",$G10,"ITEM","VOLUME")</f>
        <v>0</v>
      </c>
      <c r="S10" s="4">
        <f t="shared" si="0"/>
        <v>0</v>
      </c>
      <c r="T10" s="4">
        <f>$AG10*GETPIVOTDATA("Sum of TOTAL YEAR",RevenuePivot!$BT$12,"YEAR",T$5,"REFERENCE PRODUCT / SERVICE",$G10,"ITEM","VOLUME")</f>
        <v>0</v>
      </c>
      <c r="U10" s="4">
        <f>$AG10*GETPIVOTDATA("Sum of TOTAL YEAR",RevenuePivot!$BT$12,"YEAR",U$5,"REFERENCE PRODUCT / SERVICE",$G10,"ITEM","VOLUME")</f>
        <v>0</v>
      </c>
      <c r="V10" s="4">
        <f>$AG10*GETPIVOTDATA("Sum of TOTAL YEAR",RevenuePivot!$BT$12,"YEAR",V$5,"REFERENCE PRODUCT / SERVICE",$G10,"ITEM","VOLUME")</f>
        <v>0</v>
      </c>
      <c r="W10" s="4">
        <f>$AG10*GETPIVOTDATA("Sum of TOTAL YEAR",RevenuePivot!$BT$12,"YEAR",W$5,"REFERENCE PRODUCT / SERVICE",$G10,"ITEM","VOLUME")</f>
        <v>0</v>
      </c>
      <c r="X10" s="4">
        <f>$AG10*GETPIVOTDATA("Sum of TOTAL YEAR",RevenuePivot!$BT$12,"YEAR",X$5,"REFERENCE PRODUCT / SERVICE",$G10,"ITEM","VOLUME")</f>
        <v>0</v>
      </c>
      <c r="Y10" s="604"/>
      <c r="Z10" s="3" t="str">
        <f>VLOOKUP($D10,TableInputsData[],ReadMe!$M$3,FALSE)&amp;"  |  "&amp;VLOOKUP($E10,TableInputsData[],ReadMe!$M$3,FALSE)&amp;"  |  "&amp;VLOOKUP($G10,TableInputsData[],ReadMe!$M$3,FALSE)</f>
        <v>CA ET MARGE BRUTE  |  VOLUME  |  PRODUIT 03</v>
      </c>
      <c r="AA10" s="3"/>
      <c r="AB10" s="34">
        <f t="shared" si="1"/>
        <v>1</v>
      </c>
      <c r="AC10" s="34"/>
      <c r="AD10" s="34"/>
      <c r="AE10" s="26"/>
      <c r="AF10" s="34">
        <v>1</v>
      </c>
      <c r="AG10" s="34">
        <f>VLOOKUP($G10,TableInputsData[],$AG$2,FALSE)</f>
        <v>0</v>
      </c>
      <c r="AH10" s="535"/>
      <c r="AI10" s="294"/>
    </row>
    <row r="11" spans="1:35" x14ac:dyDescent="0.2">
      <c r="A11" s="294"/>
      <c r="B11" s="944"/>
      <c r="C11" s="66">
        <v>1</v>
      </c>
      <c r="D11" s="3" t="s">
        <v>618</v>
      </c>
      <c r="E11" s="3" t="s">
        <v>261</v>
      </c>
      <c r="F11" s="3" t="s">
        <v>633</v>
      </c>
      <c r="G11" s="3" t="s">
        <v>540</v>
      </c>
      <c r="H11" s="5" t="str">
        <f>VLOOKUP($G11,TableInputsData[],6,FALSE)</f>
        <v>-</v>
      </c>
      <c r="I11" s="5" t="str">
        <f>VLOOKUP("SEE InputsData SHEET",TableInputsData[],ReadMe!$M$3,FALSE)</f>
        <v>VOIR FEUILLE InputData</v>
      </c>
      <c r="J11" s="26"/>
      <c r="K11" s="135"/>
      <c r="L11" s="127"/>
      <c r="M11" s="134"/>
      <c r="N11" s="60"/>
      <c r="O11" s="4">
        <f>$AG11*GETPIVOTDATA("Sum of TOTAL YEAR",RevenuePivot!$BT$12,"YEAR",O$5,"REFERENCE PRODUCT / SERVICE",$G11,"ITEM","VOLUME")</f>
        <v>0</v>
      </c>
      <c r="P11" s="4">
        <f>$AG11*GETPIVOTDATA("Sum of TOTAL YEAR",RevenuePivot!$BT$12,"YEAR",P$5,"REFERENCE PRODUCT / SERVICE",$G11,"ITEM","VOLUME")</f>
        <v>0</v>
      </c>
      <c r="Q11" s="4">
        <f>$AG11*GETPIVOTDATA("Sum of SEMESTRE 1",RevenuePivot!$BT$12,"YEAR",Q$5,"REFERENCE PRODUCT / SERVICE",$G11,"ITEM","VOLUME")</f>
        <v>0</v>
      </c>
      <c r="R11" s="4">
        <f>$AG11*GETPIVOTDATA("Sum of SEMESTRE 2",RevenuePivot!$BT$12,"YEAR",R$5,"REFERENCE PRODUCT / SERVICE",$G11,"ITEM","VOLUME")</f>
        <v>0</v>
      </c>
      <c r="S11" s="4">
        <f t="shared" si="0"/>
        <v>0</v>
      </c>
      <c r="T11" s="4">
        <f>$AG11*GETPIVOTDATA("Sum of TOTAL YEAR",RevenuePivot!$BT$12,"YEAR",T$5,"REFERENCE PRODUCT / SERVICE",$G11,"ITEM","VOLUME")</f>
        <v>0</v>
      </c>
      <c r="U11" s="4">
        <f>$AG11*GETPIVOTDATA("Sum of TOTAL YEAR",RevenuePivot!$BT$12,"YEAR",U$5,"REFERENCE PRODUCT / SERVICE",$G11,"ITEM","VOLUME")</f>
        <v>0</v>
      </c>
      <c r="V11" s="4">
        <f>$AG11*GETPIVOTDATA("Sum of TOTAL YEAR",RevenuePivot!$BT$12,"YEAR",V$5,"REFERENCE PRODUCT / SERVICE",$G11,"ITEM","VOLUME")</f>
        <v>0</v>
      </c>
      <c r="W11" s="4">
        <f>$AG11*GETPIVOTDATA("Sum of TOTAL YEAR",RevenuePivot!$BT$12,"YEAR",W$5,"REFERENCE PRODUCT / SERVICE",$G11,"ITEM","VOLUME")</f>
        <v>0</v>
      </c>
      <c r="X11" s="4">
        <f>$AG11*GETPIVOTDATA("Sum of TOTAL YEAR",RevenuePivot!$BT$12,"YEAR",X$5,"REFERENCE PRODUCT / SERVICE",$G11,"ITEM","VOLUME")</f>
        <v>0</v>
      </c>
      <c r="Y11" s="604"/>
      <c r="Z11" s="3" t="str">
        <f>VLOOKUP($D11,TableInputsData[],ReadMe!$M$3,FALSE)&amp;"  |  "&amp;VLOOKUP($E11,TableInputsData[],ReadMe!$M$3,FALSE)&amp;"  |  "&amp;VLOOKUP($G11,TableInputsData[],ReadMe!$M$3,FALSE)</f>
        <v>CA ET MARGE BRUTE  |  VOLUME  |  PRODUIT 04</v>
      </c>
      <c r="AA11" s="3"/>
      <c r="AB11" s="34">
        <f t="shared" si="1"/>
        <v>1</v>
      </c>
      <c r="AC11" s="34"/>
      <c r="AD11" s="34"/>
      <c r="AE11" s="26"/>
      <c r="AF11" s="34">
        <v>1</v>
      </c>
      <c r="AG11" s="34">
        <f>VLOOKUP($G11,TableInputsData[],$AG$2,FALSE)</f>
        <v>0</v>
      </c>
      <c r="AH11" s="535"/>
      <c r="AI11" s="294"/>
    </row>
    <row r="12" spans="1:35" x14ac:dyDescent="0.2">
      <c r="A12" s="294"/>
      <c r="B12" s="944"/>
      <c r="C12" s="66">
        <v>1</v>
      </c>
      <c r="D12" s="3" t="s">
        <v>618</v>
      </c>
      <c r="E12" s="3" t="s">
        <v>261</v>
      </c>
      <c r="F12" s="3" t="s">
        <v>633</v>
      </c>
      <c r="G12" s="3" t="s">
        <v>541</v>
      </c>
      <c r="H12" s="5" t="str">
        <f>VLOOKUP($G12,TableInputsData[],6,FALSE)</f>
        <v>-</v>
      </c>
      <c r="I12" s="5" t="str">
        <f>VLOOKUP("SEE InputsData SHEET",TableInputsData[],ReadMe!$M$3,FALSE)</f>
        <v>VOIR FEUILLE InputData</v>
      </c>
      <c r="J12" s="26"/>
      <c r="K12" s="135"/>
      <c r="L12" s="127"/>
      <c r="M12" s="134"/>
      <c r="N12" s="60"/>
      <c r="O12" s="4">
        <f>$AG12*GETPIVOTDATA("Sum of TOTAL YEAR",RevenuePivot!$BT$12,"YEAR",O$5,"REFERENCE PRODUCT / SERVICE",$G12,"ITEM","VOLUME")</f>
        <v>0</v>
      </c>
      <c r="P12" s="4">
        <f>$AG12*GETPIVOTDATA("Sum of TOTAL YEAR",RevenuePivot!$BT$12,"YEAR",P$5,"REFERENCE PRODUCT / SERVICE",$G12,"ITEM","VOLUME")</f>
        <v>0</v>
      </c>
      <c r="Q12" s="4">
        <f>$AG12*GETPIVOTDATA("Sum of SEMESTRE 1",RevenuePivot!$BT$12,"YEAR",Q$5,"REFERENCE PRODUCT / SERVICE",$G12,"ITEM","VOLUME")</f>
        <v>0</v>
      </c>
      <c r="R12" s="4">
        <f>$AG12*GETPIVOTDATA("Sum of SEMESTRE 2",RevenuePivot!$BT$12,"YEAR",R$5,"REFERENCE PRODUCT / SERVICE",$G12,"ITEM","VOLUME")</f>
        <v>0</v>
      </c>
      <c r="S12" s="4">
        <f t="shared" si="0"/>
        <v>0</v>
      </c>
      <c r="T12" s="4">
        <f>$AG12*GETPIVOTDATA("Sum of TOTAL YEAR",RevenuePivot!$BT$12,"YEAR",T$5,"REFERENCE PRODUCT / SERVICE",$G12,"ITEM","VOLUME")</f>
        <v>0</v>
      </c>
      <c r="U12" s="4">
        <f>$AG12*GETPIVOTDATA("Sum of TOTAL YEAR",RevenuePivot!$BT$12,"YEAR",U$5,"REFERENCE PRODUCT / SERVICE",$G12,"ITEM","VOLUME")</f>
        <v>0</v>
      </c>
      <c r="V12" s="4">
        <f>$AG12*GETPIVOTDATA("Sum of TOTAL YEAR",RevenuePivot!$BT$12,"YEAR",V$5,"REFERENCE PRODUCT / SERVICE",$G12,"ITEM","VOLUME")</f>
        <v>0</v>
      </c>
      <c r="W12" s="4">
        <f>$AG12*GETPIVOTDATA("Sum of TOTAL YEAR",RevenuePivot!$BT$12,"YEAR",W$5,"REFERENCE PRODUCT / SERVICE",$G12,"ITEM","VOLUME")</f>
        <v>0</v>
      </c>
      <c r="X12" s="4">
        <f>$AG12*GETPIVOTDATA("Sum of TOTAL YEAR",RevenuePivot!$BT$12,"YEAR",X$5,"REFERENCE PRODUCT / SERVICE",$G12,"ITEM","VOLUME")</f>
        <v>0</v>
      </c>
      <c r="Y12" s="604"/>
      <c r="Z12" s="3" t="str">
        <f>VLOOKUP($D12,TableInputsData[],ReadMe!$M$3,FALSE)&amp;"  |  "&amp;VLOOKUP($E12,TableInputsData[],ReadMe!$M$3,FALSE)&amp;"  |  "&amp;VLOOKUP($G12,TableInputsData[],ReadMe!$M$3,FALSE)</f>
        <v>CA ET MARGE BRUTE  |  VOLUME  |  PRODUIT 05</v>
      </c>
      <c r="AA12" s="3"/>
      <c r="AB12" s="34">
        <f t="shared" si="1"/>
        <v>1</v>
      </c>
      <c r="AC12" s="34"/>
      <c r="AD12" s="34"/>
      <c r="AE12" s="26"/>
      <c r="AF12" s="34">
        <v>1</v>
      </c>
      <c r="AG12" s="34">
        <f>VLOOKUP($G12,TableInputsData[],$AG$2,FALSE)</f>
        <v>0</v>
      </c>
      <c r="AH12" s="535"/>
      <c r="AI12" s="294"/>
    </row>
    <row r="13" spans="1:35" x14ac:dyDescent="0.2">
      <c r="A13" s="294"/>
      <c r="B13" s="944"/>
      <c r="C13" s="66">
        <v>1</v>
      </c>
      <c r="D13" s="3" t="s">
        <v>618</v>
      </c>
      <c r="E13" s="3" t="s">
        <v>261</v>
      </c>
      <c r="F13" s="3" t="s">
        <v>633</v>
      </c>
      <c r="G13" s="3" t="s">
        <v>542</v>
      </c>
      <c r="H13" s="5" t="str">
        <f>VLOOKUP($G13,TableInputsData[],6,FALSE)</f>
        <v>-</v>
      </c>
      <c r="I13" s="5" t="str">
        <f>VLOOKUP("SEE InputsData SHEET",TableInputsData[],ReadMe!$M$3,FALSE)</f>
        <v>VOIR FEUILLE InputData</v>
      </c>
      <c r="J13" s="26"/>
      <c r="K13" s="135"/>
      <c r="L13" s="127"/>
      <c r="M13" s="134"/>
      <c r="N13" s="60"/>
      <c r="O13" s="4">
        <f>$AG13*GETPIVOTDATA("Sum of TOTAL YEAR",RevenuePivot!$BT$12,"YEAR",O$5,"REFERENCE PRODUCT / SERVICE",$G13,"ITEM","VOLUME")</f>
        <v>0</v>
      </c>
      <c r="P13" s="4">
        <f>$AG13*GETPIVOTDATA("Sum of TOTAL YEAR",RevenuePivot!$BT$12,"YEAR",P$5,"REFERENCE PRODUCT / SERVICE",$G13,"ITEM","VOLUME")</f>
        <v>0</v>
      </c>
      <c r="Q13" s="4">
        <f>$AG13*GETPIVOTDATA("Sum of SEMESTRE 1",RevenuePivot!$BT$12,"YEAR",Q$5,"REFERENCE PRODUCT / SERVICE",$G13,"ITEM","VOLUME")</f>
        <v>0</v>
      </c>
      <c r="R13" s="4">
        <f>$AG13*GETPIVOTDATA("Sum of SEMESTRE 2",RevenuePivot!$BT$12,"YEAR",R$5,"REFERENCE PRODUCT / SERVICE",$G13,"ITEM","VOLUME")</f>
        <v>0</v>
      </c>
      <c r="S13" s="4">
        <f t="shared" si="0"/>
        <v>0</v>
      </c>
      <c r="T13" s="4">
        <f>$AG13*GETPIVOTDATA("Sum of TOTAL YEAR",RevenuePivot!$BT$12,"YEAR",T$5,"REFERENCE PRODUCT / SERVICE",$G13,"ITEM","VOLUME")</f>
        <v>0</v>
      </c>
      <c r="U13" s="4">
        <f>$AG13*GETPIVOTDATA("Sum of TOTAL YEAR",RevenuePivot!$BT$12,"YEAR",U$5,"REFERENCE PRODUCT / SERVICE",$G13,"ITEM","VOLUME")</f>
        <v>0</v>
      </c>
      <c r="V13" s="4">
        <f>$AG13*GETPIVOTDATA("Sum of TOTAL YEAR",RevenuePivot!$BT$12,"YEAR",V$5,"REFERENCE PRODUCT / SERVICE",$G13,"ITEM","VOLUME")</f>
        <v>0</v>
      </c>
      <c r="W13" s="4">
        <f>$AG13*GETPIVOTDATA("Sum of TOTAL YEAR",RevenuePivot!$BT$12,"YEAR",W$5,"REFERENCE PRODUCT / SERVICE",$G13,"ITEM","VOLUME")</f>
        <v>0</v>
      </c>
      <c r="X13" s="4">
        <f>$AG13*GETPIVOTDATA("Sum of TOTAL YEAR",RevenuePivot!$BT$12,"YEAR",X$5,"REFERENCE PRODUCT / SERVICE",$G13,"ITEM","VOLUME")</f>
        <v>0</v>
      </c>
      <c r="Y13" s="604"/>
      <c r="Z13" s="3" t="str">
        <f>VLOOKUP($D13,TableInputsData[],ReadMe!$M$3,FALSE)&amp;"  |  "&amp;VLOOKUP($E13,TableInputsData[],ReadMe!$M$3,FALSE)&amp;"  |  "&amp;VLOOKUP($G13,TableInputsData[],ReadMe!$M$3,FALSE)</f>
        <v>CA ET MARGE BRUTE  |  VOLUME  |  PRODUIT 06</v>
      </c>
      <c r="AA13" s="3"/>
      <c r="AB13" s="34">
        <f t="shared" si="1"/>
        <v>1</v>
      </c>
      <c r="AC13" s="34"/>
      <c r="AD13" s="34"/>
      <c r="AE13" s="26"/>
      <c r="AF13" s="34">
        <v>1</v>
      </c>
      <c r="AG13" s="34">
        <f>VLOOKUP($G13,TableInputsData[],$AG$2,FALSE)</f>
        <v>0</v>
      </c>
      <c r="AH13" s="535"/>
      <c r="AI13" s="294"/>
    </row>
    <row r="14" spans="1:35" x14ac:dyDescent="0.2">
      <c r="A14" s="294"/>
      <c r="B14" s="944"/>
      <c r="C14" s="66">
        <v>1</v>
      </c>
      <c r="D14" s="3" t="s">
        <v>618</v>
      </c>
      <c r="E14" s="3" t="s">
        <v>261</v>
      </c>
      <c r="F14" s="3" t="s">
        <v>633</v>
      </c>
      <c r="G14" s="3" t="s">
        <v>543</v>
      </c>
      <c r="H14" s="5" t="str">
        <f>VLOOKUP($G14,TableInputsData[],6,FALSE)</f>
        <v>-</v>
      </c>
      <c r="I14" s="5" t="str">
        <f>VLOOKUP("SEE InputsData SHEET",TableInputsData[],ReadMe!$M$3,FALSE)</f>
        <v>VOIR FEUILLE InputData</v>
      </c>
      <c r="J14" s="26"/>
      <c r="K14" s="135"/>
      <c r="L14" s="127"/>
      <c r="M14" s="134"/>
      <c r="N14" s="60"/>
      <c r="O14" s="4">
        <f>$AG14*GETPIVOTDATA("Sum of TOTAL YEAR",RevenuePivot!$BT$12,"YEAR",O$5,"REFERENCE PRODUCT / SERVICE",$G14,"ITEM","VOLUME")</f>
        <v>0</v>
      </c>
      <c r="P14" s="4">
        <f>$AG14*GETPIVOTDATA("Sum of TOTAL YEAR",RevenuePivot!$BT$12,"YEAR",P$5,"REFERENCE PRODUCT / SERVICE",$G14,"ITEM","VOLUME")</f>
        <v>0</v>
      </c>
      <c r="Q14" s="4">
        <f>$AG14*GETPIVOTDATA("Sum of SEMESTRE 1",RevenuePivot!$BT$12,"YEAR",Q$5,"REFERENCE PRODUCT / SERVICE",$G14,"ITEM","VOLUME")</f>
        <v>0</v>
      </c>
      <c r="R14" s="4">
        <f>$AG14*GETPIVOTDATA("Sum of SEMESTRE 2",RevenuePivot!$BT$12,"YEAR",R$5,"REFERENCE PRODUCT / SERVICE",$G14,"ITEM","VOLUME")</f>
        <v>0</v>
      </c>
      <c r="S14" s="4">
        <f t="shared" si="0"/>
        <v>0</v>
      </c>
      <c r="T14" s="4">
        <f>$AG14*GETPIVOTDATA("Sum of TOTAL YEAR",RevenuePivot!$BT$12,"YEAR",T$5,"REFERENCE PRODUCT / SERVICE",$G14,"ITEM","VOLUME")</f>
        <v>0</v>
      </c>
      <c r="U14" s="4">
        <f>$AG14*GETPIVOTDATA("Sum of TOTAL YEAR",RevenuePivot!$BT$12,"YEAR",U$5,"REFERENCE PRODUCT / SERVICE",$G14,"ITEM","VOLUME")</f>
        <v>0</v>
      </c>
      <c r="V14" s="4">
        <f>$AG14*GETPIVOTDATA("Sum of TOTAL YEAR",RevenuePivot!$BT$12,"YEAR",V$5,"REFERENCE PRODUCT / SERVICE",$G14,"ITEM","VOLUME")</f>
        <v>0</v>
      </c>
      <c r="W14" s="4">
        <f>$AG14*GETPIVOTDATA("Sum of TOTAL YEAR",RevenuePivot!$BT$12,"YEAR",W$5,"REFERENCE PRODUCT / SERVICE",$G14,"ITEM","VOLUME")</f>
        <v>0</v>
      </c>
      <c r="X14" s="4">
        <f>$AG14*GETPIVOTDATA("Sum of TOTAL YEAR",RevenuePivot!$BT$12,"YEAR",X$5,"REFERENCE PRODUCT / SERVICE",$G14,"ITEM","VOLUME")</f>
        <v>0</v>
      </c>
      <c r="Y14" s="604"/>
      <c r="Z14" s="3" t="str">
        <f>VLOOKUP($D14,TableInputsData[],ReadMe!$M$3,FALSE)&amp;"  |  "&amp;VLOOKUP($E14,TableInputsData[],ReadMe!$M$3,FALSE)&amp;"  |  "&amp;VLOOKUP($G14,TableInputsData[],ReadMe!$M$3,FALSE)</f>
        <v>CA ET MARGE BRUTE  |  VOLUME  |  PRODUIT 07</v>
      </c>
      <c r="AA14" s="3"/>
      <c r="AB14" s="34">
        <f t="shared" si="1"/>
        <v>1</v>
      </c>
      <c r="AC14" s="34"/>
      <c r="AD14" s="34"/>
      <c r="AE14" s="26"/>
      <c r="AF14" s="34">
        <v>1</v>
      </c>
      <c r="AG14" s="34">
        <f>VLOOKUP($G14,TableInputsData[],$AG$2,FALSE)</f>
        <v>0</v>
      </c>
      <c r="AH14" s="535"/>
      <c r="AI14" s="294"/>
    </row>
    <row r="15" spans="1:35" x14ac:dyDescent="0.2">
      <c r="A15" s="294"/>
      <c r="B15" s="944"/>
      <c r="C15" s="66">
        <v>1</v>
      </c>
      <c r="D15" s="3" t="s">
        <v>618</v>
      </c>
      <c r="E15" s="3" t="s">
        <v>261</v>
      </c>
      <c r="F15" s="3" t="s">
        <v>633</v>
      </c>
      <c r="G15" s="3" t="s">
        <v>544</v>
      </c>
      <c r="H15" s="5" t="str">
        <f>VLOOKUP($G15,TableInputsData[],6,FALSE)</f>
        <v>-</v>
      </c>
      <c r="I15" s="5" t="str">
        <f>VLOOKUP("SEE InputsData SHEET",TableInputsData[],ReadMe!$M$3,FALSE)</f>
        <v>VOIR FEUILLE InputData</v>
      </c>
      <c r="J15" s="26"/>
      <c r="K15" s="135"/>
      <c r="L15" s="127"/>
      <c r="M15" s="134"/>
      <c r="N15" s="60"/>
      <c r="O15" s="4">
        <f>$AG15*GETPIVOTDATA("Sum of TOTAL YEAR",RevenuePivot!$BT$12,"YEAR",O$5,"REFERENCE PRODUCT / SERVICE",$G15,"ITEM","VOLUME")</f>
        <v>0</v>
      </c>
      <c r="P15" s="4">
        <f>$AG15*GETPIVOTDATA("Sum of TOTAL YEAR",RevenuePivot!$BT$12,"YEAR",P$5,"REFERENCE PRODUCT / SERVICE",$G15,"ITEM","VOLUME")</f>
        <v>0</v>
      </c>
      <c r="Q15" s="4">
        <f>$AG15*GETPIVOTDATA("Sum of SEMESTRE 1",RevenuePivot!$BT$12,"YEAR",Q$5,"REFERENCE PRODUCT / SERVICE",$G15,"ITEM","VOLUME")</f>
        <v>0</v>
      </c>
      <c r="R15" s="4">
        <f>$AG15*GETPIVOTDATA("Sum of SEMESTRE 2",RevenuePivot!$BT$12,"YEAR",R$5,"REFERENCE PRODUCT / SERVICE",$G15,"ITEM","VOLUME")</f>
        <v>0</v>
      </c>
      <c r="S15" s="4">
        <f t="shared" si="0"/>
        <v>0</v>
      </c>
      <c r="T15" s="4">
        <f>$AG15*GETPIVOTDATA("Sum of TOTAL YEAR",RevenuePivot!$BT$12,"YEAR",T$5,"REFERENCE PRODUCT / SERVICE",$G15,"ITEM","VOLUME")</f>
        <v>0</v>
      </c>
      <c r="U15" s="4">
        <f>$AG15*GETPIVOTDATA("Sum of TOTAL YEAR",RevenuePivot!$BT$12,"YEAR",U$5,"REFERENCE PRODUCT / SERVICE",$G15,"ITEM","VOLUME")</f>
        <v>0</v>
      </c>
      <c r="V15" s="4">
        <f>$AG15*GETPIVOTDATA("Sum of TOTAL YEAR",RevenuePivot!$BT$12,"YEAR",V$5,"REFERENCE PRODUCT / SERVICE",$G15,"ITEM","VOLUME")</f>
        <v>0</v>
      </c>
      <c r="W15" s="4">
        <f>$AG15*GETPIVOTDATA("Sum of TOTAL YEAR",RevenuePivot!$BT$12,"YEAR",W$5,"REFERENCE PRODUCT / SERVICE",$G15,"ITEM","VOLUME")</f>
        <v>0</v>
      </c>
      <c r="X15" s="4">
        <f>$AG15*GETPIVOTDATA("Sum of TOTAL YEAR",RevenuePivot!$BT$12,"YEAR",X$5,"REFERENCE PRODUCT / SERVICE",$G15,"ITEM","VOLUME")</f>
        <v>0</v>
      </c>
      <c r="Y15" s="604"/>
      <c r="Z15" s="3" t="str">
        <f>VLOOKUP($D15,TableInputsData[],ReadMe!$M$3,FALSE)&amp;"  |  "&amp;VLOOKUP($E15,TableInputsData[],ReadMe!$M$3,FALSE)&amp;"  |  "&amp;VLOOKUP($G15,TableInputsData[],ReadMe!$M$3,FALSE)</f>
        <v>CA ET MARGE BRUTE  |  VOLUME  |  PRODUIT 08</v>
      </c>
      <c r="AA15" s="3"/>
      <c r="AB15" s="34">
        <f t="shared" si="1"/>
        <v>1</v>
      </c>
      <c r="AC15" s="34"/>
      <c r="AD15" s="34"/>
      <c r="AE15" s="26"/>
      <c r="AF15" s="34">
        <v>1</v>
      </c>
      <c r="AG15" s="34">
        <f>VLOOKUP($G15,TableInputsData[],$AG$2,FALSE)</f>
        <v>0</v>
      </c>
      <c r="AH15" s="535"/>
      <c r="AI15" s="294"/>
    </row>
    <row r="16" spans="1:35" x14ac:dyDescent="0.2">
      <c r="A16" s="294"/>
      <c r="B16" s="944"/>
      <c r="C16" s="66">
        <v>1</v>
      </c>
      <c r="D16" s="3" t="s">
        <v>618</v>
      </c>
      <c r="E16" s="3" t="s">
        <v>261</v>
      </c>
      <c r="F16" s="3" t="s">
        <v>633</v>
      </c>
      <c r="G16" s="3" t="s">
        <v>545</v>
      </c>
      <c r="H16" s="5" t="str">
        <f>VLOOKUP($G16,TableInputsData[],6,FALSE)</f>
        <v>-</v>
      </c>
      <c r="I16" s="5" t="str">
        <f>VLOOKUP("SEE InputsData SHEET",TableInputsData[],ReadMe!$M$3,FALSE)</f>
        <v>VOIR FEUILLE InputData</v>
      </c>
      <c r="J16" s="26"/>
      <c r="K16" s="135"/>
      <c r="L16" s="127"/>
      <c r="M16" s="134"/>
      <c r="N16" s="60"/>
      <c r="O16" s="4">
        <f>$AG16*GETPIVOTDATA("Sum of TOTAL YEAR",RevenuePivot!$BT$12,"YEAR",O$5,"REFERENCE PRODUCT / SERVICE",$G16,"ITEM","VOLUME")</f>
        <v>0</v>
      </c>
      <c r="P16" s="4">
        <f>$AG16*GETPIVOTDATA("Sum of TOTAL YEAR",RevenuePivot!$BT$12,"YEAR",P$5,"REFERENCE PRODUCT / SERVICE",$G16,"ITEM","VOLUME")</f>
        <v>0</v>
      </c>
      <c r="Q16" s="4">
        <f>$AG16*GETPIVOTDATA("Sum of SEMESTRE 1",RevenuePivot!$BT$12,"YEAR",Q$5,"REFERENCE PRODUCT / SERVICE",$G16,"ITEM","VOLUME")</f>
        <v>0</v>
      </c>
      <c r="R16" s="4">
        <f>$AG16*GETPIVOTDATA("Sum of SEMESTRE 2",RevenuePivot!$BT$12,"YEAR",R$5,"REFERENCE PRODUCT / SERVICE",$G16,"ITEM","VOLUME")</f>
        <v>0</v>
      </c>
      <c r="S16" s="4">
        <f t="shared" si="0"/>
        <v>0</v>
      </c>
      <c r="T16" s="4">
        <f>$AG16*GETPIVOTDATA("Sum of TOTAL YEAR",RevenuePivot!$BT$12,"YEAR",T$5,"REFERENCE PRODUCT / SERVICE",$G16,"ITEM","VOLUME")</f>
        <v>0</v>
      </c>
      <c r="U16" s="4">
        <f>$AG16*GETPIVOTDATA("Sum of TOTAL YEAR",RevenuePivot!$BT$12,"YEAR",U$5,"REFERENCE PRODUCT / SERVICE",$G16,"ITEM","VOLUME")</f>
        <v>0</v>
      </c>
      <c r="V16" s="4">
        <f>$AG16*GETPIVOTDATA("Sum of TOTAL YEAR",RevenuePivot!$BT$12,"YEAR",V$5,"REFERENCE PRODUCT / SERVICE",$G16,"ITEM","VOLUME")</f>
        <v>0</v>
      </c>
      <c r="W16" s="4">
        <f>$AG16*GETPIVOTDATA("Sum of TOTAL YEAR",RevenuePivot!$BT$12,"YEAR",W$5,"REFERENCE PRODUCT / SERVICE",$G16,"ITEM","VOLUME")</f>
        <v>0</v>
      </c>
      <c r="X16" s="4">
        <f>$AG16*GETPIVOTDATA("Sum of TOTAL YEAR",RevenuePivot!$BT$12,"YEAR",X$5,"REFERENCE PRODUCT / SERVICE",$G16,"ITEM","VOLUME")</f>
        <v>0</v>
      </c>
      <c r="Y16" s="604"/>
      <c r="Z16" s="3" t="str">
        <f>VLOOKUP($D16,TableInputsData[],ReadMe!$M$3,FALSE)&amp;"  |  "&amp;VLOOKUP($E16,TableInputsData[],ReadMe!$M$3,FALSE)&amp;"  |  "&amp;VLOOKUP($G16,TableInputsData[],ReadMe!$M$3,FALSE)</f>
        <v>CA ET MARGE BRUTE  |  VOLUME  |  PRODUIT 09</v>
      </c>
      <c r="AA16" s="3"/>
      <c r="AB16" s="34">
        <f t="shared" si="1"/>
        <v>1</v>
      </c>
      <c r="AC16" s="34"/>
      <c r="AD16" s="34"/>
      <c r="AE16" s="26"/>
      <c r="AF16" s="34">
        <v>1</v>
      </c>
      <c r="AG16" s="34">
        <f>VLOOKUP($G16,TableInputsData[],$AG$2,FALSE)</f>
        <v>0</v>
      </c>
      <c r="AH16" s="535"/>
      <c r="AI16" s="294"/>
    </row>
    <row r="17" spans="1:35" x14ac:dyDescent="0.2">
      <c r="A17" s="294"/>
      <c r="B17" s="944"/>
      <c r="C17" s="70">
        <v>1</v>
      </c>
      <c r="D17" s="3" t="s">
        <v>618</v>
      </c>
      <c r="E17" s="3" t="s">
        <v>261</v>
      </c>
      <c r="F17" s="3" t="s">
        <v>633</v>
      </c>
      <c r="G17" s="3" t="s">
        <v>401</v>
      </c>
      <c r="H17" s="5" t="str">
        <f>VLOOKUP($G17,TableInputsData[],6,FALSE)</f>
        <v>-</v>
      </c>
      <c r="I17" s="5" t="str">
        <f>VLOOKUP("SEE InputsData SHEET",TableInputsData[],ReadMe!$M$3,FALSE)</f>
        <v>VOIR FEUILLE InputData</v>
      </c>
      <c r="J17" s="26"/>
      <c r="K17" s="135"/>
      <c r="L17" s="127"/>
      <c r="M17" s="134"/>
      <c r="N17" s="60"/>
      <c r="O17" s="4">
        <f>$AG17*GETPIVOTDATA("Sum of TOTAL YEAR",RevenuePivot!$BT$12,"YEAR",O$5,"REFERENCE PRODUCT / SERVICE",$G17,"ITEM","VOLUME")</f>
        <v>0</v>
      </c>
      <c r="P17" s="4">
        <f>$AG17*GETPIVOTDATA("Sum of TOTAL YEAR",RevenuePivot!$BT$12,"YEAR",P$5,"REFERENCE PRODUCT / SERVICE",$G17,"ITEM","VOLUME")</f>
        <v>0</v>
      </c>
      <c r="Q17" s="4">
        <f>$AG17*GETPIVOTDATA("Sum of SEMESTRE 1",RevenuePivot!$BT$12,"YEAR",Q$5,"REFERENCE PRODUCT / SERVICE",$G17,"ITEM","VOLUME")</f>
        <v>0</v>
      </c>
      <c r="R17" s="4">
        <f>$AG17*GETPIVOTDATA("Sum of SEMESTRE 2",RevenuePivot!$BT$12,"YEAR",R$5,"REFERENCE PRODUCT / SERVICE",$G17,"ITEM","VOLUME")</f>
        <v>0</v>
      </c>
      <c r="S17" s="4">
        <f t="shared" si="0"/>
        <v>0</v>
      </c>
      <c r="T17" s="4">
        <f>$AG17*GETPIVOTDATA("Sum of TOTAL YEAR",RevenuePivot!$BT$12,"YEAR",T$5,"REFERENCE PRODUCT / SERVICE",$G17,"ITEM","VOLUME")</f>
        <v>0</v>
      </c>
      <c r="U17" s="4">
        <f>$AG17*GETPIVOTDATA("Sum of TOTAL YEAR",RevenuePivot!$BT$12,"YEAR",U$5,"REFERENCE PRODUCT / SERVICE",$G17,"ITEM","VOLUME")</f>
        <v>0</v>
      </c>
      <c r="V17" s="4">
        <f>$AG17*GETPIVOTDATA("Sum of TOTAL YEAR",RevenuePivot!$BT$12,"YEAR",V$5,"REFERENCE PRODUCT / SERVICE",$G17,"ITEM","VOLUME")</f>
        <v>0</v>
      </c>
      <c r="W17" s="4">
        <f>$AG17*GETPIVOTDATA("Sum of TOTAL YEAR",RevenuePivot!$BT$12,"YEAR",W$5,"REFERENCE PRODUCT / SERVICE",$G17,"ITEM","VOLUME")</f>
        <v>0</v>
      </c>
      <c r="X17" s="4">
        <f>$AG17*GETPIVOTDATA("Sum of TOTAL YEAR",RevenuePivot!$BT$12,"YEAR",X$5,"REFERENCE PRODUCT / SERVICE",$G17,"ITEM","VOLUME")</f>
        <v>0</v>
      </c>
      <c r="Y17" s="604"/>
      <c r="Z17" s="3" t="str">
        <f>VLOOKUP($D17,TableInputsData[],ReadMe!$M$3,FALSE)&amp;"  |  "&amp;VLOOKUP($E17,TableInputsData[],ReadMe!$M$3,FALSE)&amp;"  |  "&amp;VLOOKUP($G17,TableInputsData[],ReadMe!$M$3,FALSE)</f>
        <v>CA ET MARGE BRUTE  |  VOLUME  |  PRODUIT 10</v>
      </c>
      <c r="AA17" s="6"/>
      <c r="AB17" s="36">
        <f t="shared" si="1"/>
        <v>1</v>
      </c>
      <c r="AC17" s="36"/>
      <c r="AD17" s="36"/>
      <c r="AE17" s="91"/>
      <c r="AF17" s="36">
        <v>1</v>
      </c>
      <c r="AG17" s="34">
        <f>VLOOKUP($G17,TableInputsData[],$AG$2,FALSE)</f>
        <v>0</v>
      </c>
      <c r="AH17" s="536"/>
      <c r="AI17" s="294"/>
    </row>
    <row r="18" spans="1:35" x14ac:dyDescent="0.2">
      <c r="A18" s="294"/>
      <c r="B18" s="944"/>
      <c r="C18" s="70">
        <v>1</v>
      </c>
      <c r="D18" s="3" t="s">
        <v>618</v>
      </c>
      <c r="E18" s="3" t="s">
        <v>261</v>
      </c>
      <c r="F18" s="3" t="s">
        <v>633</v>
      </c>
      <c r="G18" s="3" t="s">
        <v>1710</v>
      </c>
      <c r="H18" s="5" t="str">
        <f>VLOOKUP($G18,TableInputsData[],6,FALSE)</f>
        <v>-</v>
      </c>
      <c r="I18" s="5" t="str">
        <f>VLOOKUP("SEE InputsData SHEET",TableInputsData[],ReadMe!$M$3,FALSE)</f>
        <v>VOIR FEUILLE InputData</v>
      </c>
      <c r="J18" s="26"/>
      <c r="K18" s="135"/>
      <c r="L18" s="127"/>
      <c r="M18" s="134"/>
      <c r="N18" s="60"/>
      <c r="O18" s="4">
        <f>$AG18*GETPIVOTDATA("Sum of TOTAL YEAR",RevenuePivot!$BT$12,"YEAR",O$5,"REFERENCE PRODUCT / SERVICE",$G18,"ITEM","VOLUME")</f>
        <v>0</v>
      </c>
      <c r="P18" s="4">
        <f>$AG18*GETPIVOTDATA("Sum of TOTAL YEAR",RevenuePivot!$BT$12,"YEAR",P$5,"REFERENCE PRODUCT / SERVICE",$G18,"ITEM","VOLUME")</f>
        <v>0</v>
      </c>
      <c r="Q18" s="4">
        <f>$AG18*GETPIVOTDATA("Sum of SEMESTRE 1",RevenuePivot!$BT$12,"YEAR",Q$5,"REFERENCE PRODUCT / SERVICE",$G18,"ITEM","VOLUME")</f>
        <v>0</v>
      </c>
      <c r="R18" s="4">
        <f>$AG18*GETPIVOTDATA("Sum of SEMESTRE 2",RevenuePivot!$BT$12,"YEAR",R$5,"REFERENCE PRODUCT / SERVICE",$G18,"ITEM","VOLUME")</f>
        <v>0</v>
      </c>
      <c r="S18" s="4">
        <f t="shared" ref="S18:S27" si="2">Q18+R18</f>
        <v>0</v>
      </c>
      <c r="T18" s="4">
        <f>$AG18*GETPIVOTDATA("Sum of TOTAL YEAR",RevenuePivot!$BT$12,"YEAR",T$5,"REFERENCE PRODUCT / SERVICE",$G18,"ITEM","VOLUME")</f>
        <v>0</v>
      </c>
      <c r="U18" s="4">
        <f>$AG18*GETPIVOTDATA("Sum of TOTAL YEAR",RevenuePivot!$BT$12,"YEAR",U$5,"REFERENCE PRODUCT / SERVICE",$G18,"ITEM","VOLUME")</f>
        <v>0</v>
      </c>
      <c r="V18" s="4">
        <f>$AG18*GETPIVOTDATA("Sum of TOTAL YEAR",RevenuePivot!$BT$12,"YEAR",V$5,"REFERENCE PRODUCT / SERVICE",$G18,"ITEM","VOLUME")</f>
        <v>0</v>
      </c>
      <c r="W18" s="4">
        <f>$AG18*GETPIVOTDATA("Sum of TOTAL YEAR",RevenuePivot!$BT$12,"YEAR",W$5,"REFERENCE PRODUCT / SERVICE",$G18,"ITEM","VOLUME")</f>
        <v>0</v>
      </c>
      <c r="X18" s="4">
        <f>$AG18*GETPIVOTDATA("Sum of TOTAL YEAR",RevenuePivot!$BT$12,"YEAR",X$5,"REFERENCE PRODUCT / SERVICE",$G18,"ITEM","VOLUME")</f>
        <v>0</v>
      </c>
      <c r="Y18" s="604"/>
      <c r="Z18" s="3" t="str">
        <f>VLOOKUP($D18,TableInputsData[],ReadMe!$M$3,FALSE)&amp;"  |  "&amp;VLOOKUP($E18,TableInputsData[],ReadMe!$M$3,FALSE)&amp;"  |  "&amp;VLOOKUP($G18,TableInputsData[],ReadMe!$M$3,FALSE)</f>
        <v>CA ET MARGE BRUTE  |  VOLUME  |  PRODUIT 11</v>
      </c>
      <c r="AA18" s="6"/>
      <c r="AB18" s="36">
        <f t="shared" ref="AB18:AB27" si="3">IF(AND(SUM(O18:X18)=0,H18=""),0,1)</f>
        <v>1</v>
      </c>
      <c r="AC18" s="36"/>
      <c r="AD18" s="36"/>
      <c r="AE18" s="91"/>
      <c r="AF18" s="36">
        <v>1</v>
      </c>
      <c r="AG18" s="34">
        <f>VLOOKUP($G18,TableInputsData[],$AG$2,FALSE)</f>
        <v>0</v>
      </c>
      <c r="AH18" s="536"/>
      <c r="AI18" s="294"/>
    </row>
    <row r="19" spans="1:35" x14ac:dyDescent="0.2">
      <c r="A19" s="294"/>
      <c r="B19" s="944"/>
      <c r="C19" s="70">
        <v>1</v>
      </c>
      <c r="D19" s="3" t="s">
        <v>618</v>
      </c>
      <c r="E19" s="3" t="s">
        <v>261</v>
      </c>
      <c r="F19" s="3" t="s">
        <v>633</v>
      </c>
      <c r="G19" s="3" t="s">
        <v>1712</v>
      </c>
      <c r="H19" s="5" t="str">
        <f>VLOOKUP($G19,TableInputsData[],6,FALSE)</f>
        <v>-</v>
      </c>
      <c r="I19" s="5" t="str">
        <f>VLOOKUP("SEE InputsData SHEET",TableInputsData[],ReadMe!$M$3,FALSE)</f>
        <v>VOIR FEUILLE InputData</v>
      </c>
      <c r="J19" s="26"/>
      <c r="K19" s="135"/>
      <c r="L19" s="127"/>
      <c r="M19" s="134"/>
      <c r="N19" s="60"/>
      <c r="O19" s="4">
        <f>$AG19*GETPIVOTDATA("Sum of TOTAL YEAR",RevenuePivot!$BT$12,"YEAR",O$5,"REFERENCE PRODUCT / SERVICE",$G19,"ITEM","VOLUME")</f>
        <v>0</v>
      </c>
      <c r="P19" s="4">
        <f>$AG19*GETPIVOTDATA("Sum of TOTAL YEAR",RevenuePivot!$BT$12,"YEAR",P$5,"REFERENCE PRODUCT / SERVICE",$G19,"ITEM","VOLUME")</f>
        <v>0</v>
      </c>
      <c r="Q19" s="4">
        <f>$AG19*GETPIVOTDATA("Sum of SEMESTRE 1",RevenuePivot!$BT$12,"YEAR",Q$5,"REFERENCE PRODUCT / SERVICE",$G19,"ITEM","VOLUME")</f>
        <v>0</v>
      </c>
      <c r="R19" s="4">
        <f>$AG19*GETPIVOTDATA("Sum of SEMESTRE 2",RevenuePivot!$BT$12,"YEAR",R$5,"REFERENCE PRODUCT / SERVICE",$G19,"ITEM","VOLUME")</f>
        <v>0</v>
      </c>
      <c r="S19" s="4">
        <f t="shared" si="2"/>
        <v>0</v>
      </c>
      <c r="T19" s="4">
        <f>$AG19*GETPIVOTDATA("Sum of TOTAL YEAR",RevenuePivot!$BT$12,"YEAR",T$5,"REFERENCE PRODUCT / SERVICE",$G19,"ITEM","VOLUME")</f>
        <v>0</v>
      </c>
      <c r="U19" s="4">
        <f>$AG19*GETPIVOTDATA("Sum of TOTAL YEAR",RevenuePivot!$BT$12,"YEAR",U$5,"REFERENCE PRODUCT / SERVICE",$G19,"ITEM","VOLUME")</f>
        <v>0</v>
      </c>
      <c r="V19" s="4">
        <f>$AG19*GETPIVOTDATA("Sum of TOTAL YEAR",RevenuePivot!$BT$12,"YEAR",V$5,"REFERENCE PRODUCT / SERVICE",$G19,"ITEM","VOLUME")</f>
        <v>0</v>
      </c>
      <c r="W19" s="4">
        <f>$AG19*GETPIVOTDATA("Sum of TOTAL YEAR",RevenuePivot!$BT$12,"YEAR",W$5,"REFERENCE PRODUCT / SERVICE",$G19,"ITEM","VOLUME")</f>
        <v>0</v>
      </c>
      <c r="X19" s="4">
        <f>$AG19*GETPIVOTDATA("Sum of TOTAL YEAR",RevenuePivot!$BT$12,"YEAR",X$5,"REFERENCE PRODUCT / SERVICE",$G19,"ITEM","VOLUME")</f>
        <v>0</v>
      </c>
      <c r="Y19" s="604"/>
      <c r="Z19" s="3" t="str">
        <f>VLOOKUP($D19,TableInputsData[],ReadMe!$M$3,FALSE)&amp;"  |  "&amp;VLOOKUP($E19,TableInputsData[],ReadMe!$M$3,FALSE)&amp;"  |  "&amp;VLOOKUP($G19,TableInputsData[],ReadMe!$M$3,FALSE)</f>
        <v>CA ET MARGE BRUTE  |  VOLUME  |  PRODUIT 12</v>
      </c>
      <c r="AA19" s="6"/>
      <c r="AB19" s="36">
        <f t="shared" si="3"/>
        <v>1</v>
      </c>
      <c r="AC19" s="36"/>
      <c r="AD19" s="36"/>
      <c r="AE19" s="91"/>
      <c r="AF19" s="36">
        <v>1</v>
      </c>
      <c r="AG19" s="34">
        <f>VLOOKUP($G19,TableInputsData[],$AG$2,FALSE)</f>
        <v>0</v>
      </c>
      <c r="AH19" s="536"/>
      <c r="AI19" s="294"/>
    </row>
    <row r="20" spans="1:35" x14ac:dyDescent="0.2">
      <c r="A20" s="294"/>
      <c r="B20" s="944"/>
      <c r="C20" s="70">
        <v>1</v>
      </c>
      <c r="D20" s="3" t="s">
        <v>618</v>
      </c>
      <c r="E20" s="3" t="s">
        <v>261</v>
      </c>
      <c r="F20" s="3" t="s">
        <v>633</v>
      </c>
      <c r="G20" s="3" t="s">
        <v>1714</v>
      </c>
      <c r="H20" s="5" t="str">
        <f>VLOOKUP($G20,TableInputsData[],6,FALSE)</f>
        <v>-</v>
      </c>
      <c r="I20" s="5" t="str">
        <f>VLOOKUP("SEE InputsData SHEET",TableInputsData[],ReadMe!$M$3,FALSE)</f>
        <v>VOIR FEUILLE InputData</v>
      </c>
      <c r="J20" s="26"/>
      <c r="K20" s="135"/>
      <c r="L20" s="127"/>
      <c r="M20" s="134"/>
      <c r="N20" s="60"/>
      <c r="O20" s="4">
        <f>$AG20*GETPIVOTDATA("Sum of TOTAL YEAR",RevenuePivot!$BT$12,"YEAR",O$5,"REFERENCE PRODUCT / SERVICE",$G20,"ITEM","VOLUME")</f>
        <v>0</v>
      </c>
      <c r="P20" s="4">
        <f>$AG20*GETPIVOTDATA("Sum of TOTAL YEAR",RevenuePivot!$BT$12,"YEAR",P$5,"REFERENCE PRODUCT / SERVICE",$G20,"ITEM","VOLUME")</f>
        <v>0</v>
      </c>
      <c r="Q20" s="4">
        <f>$AG20*GETPIVOTDATA("Sum of SEMESTRE 1",RevenuePivot!$BT$12,"YEAR",Q$5,"REFERENCE PRODUCT / SERVICE",$G20,"ITEM","VOLUME")</f>
        <v>0</v>
      </c>
      <c r="R20" s="4">
        <f>$AG20*GETPIVOTDATA("Sum of SEMESTRE 2",RevenuePivot!$BT$12,"YEAR",R$5,"REFERENCE PRODUCT / SERVICE",$G20,"ITEM","VOLUME")</f>
        <v>0</v>
      </c>
      <c r="S20" s="4">
        <f t="shared" si="2"/>
        <v>0</v>
      </c>
      <c r="T20" s="4">
        <f>$AG20*GETPIVOTDATA("Sum of TOTAL YEAR",RevenuePivot!$BT$12,"YEAR",T$5,"REFERENCE PRODUCT / SERVICE",$G20,"ITEM","VOLUME")</f>
        <v>0</v>
      </c>
      <c r="U20" s="4">
        <f>$AG20*GETPIVOTDATA("Sum of TOTAL YEAR",RevenuePivot!$BT$12,"YEAR",U$5,"REFERENCE PRODUCT / SERVICE",$G20,"ITEM","VOLUME")</f>
        <v>0</v>
      </c>
      <c r="V20" s="4">
        <f>$AG20*GETPIVOTDATA("Sum of TOTAL YEAR",RevenuePivot!$BT$12,"YEAR",V$5,"REFERENCE PRODUCT / SERVICE",$G20,"ITEM","VOLUME")</f>
        <v>0</v>
      </c>
      <c r="W20" s="4">
        <f>$AG20*GETPIVOTDATA("Sum of TOTAL YEAR",RevenuePivot!$BT$12,"YEAR",W$5,"REFERENCE PRODUCT / SERVICE",$G20,"ITEM","VOLUME")</f>
        <v>0</v>
      </c>
      <c r="X20" s="4">
        <f>$AG20*GETPIVOTDATA("Sum of TOTAL YEAR",RevenuePivot!$BT$12,"YEAR",X$5,"REFERENCE PRODUCT / SERVICE",$G20,"ITEM","VOLUME")</f>
        <v>0</v>
      </c>
      <c r="Y20" s="604"/>
      <c r="Z20" s="3" t="str">
        <f>VLOOKUP($D20,TableInputsData[],ReadMe!$M$3,FALSE)&amp;"  |  "&amp;VLOOKUP($E20,TableInputsData[],ReadMe!$M$3,FALSE)&amp;"  |  "&amp;VLOOKUP($G20,TableInputsData[],ReadMe!$M$3,FALSE)</f>
        <v>CA ET MARGE BRUTE  |  VOLUME  |  PRODUIT 13</v>
      </c>
      <c r="AA20" s="6"/>
      <c r="AB20" s="36">
        <f t="shared" si="3"/>
        <v>1</v>
      </c>
      <c r="AC20" s="36"/>
      <c r="AD20" s="36"/>
      <c r="AE20" s="91"/>
      <c r="AF20" s="36">
        <v>1</v>
      </c>
      <c r="AG20" s="34">
        <f>VLOOKUP($G20,TableInputsData[],$AG$2,FALSE)</f>
        <v>0</v>
      </c>
      <c r="AH20" s="536"/>
      <c r="AI20" s="294"/>
    </row>
    <row r="21" spans="1:35" x14ac:dyDescent="0.2">
      <c r="A21" s="294"/>
      <c r="B21" s="944"/>
      <c r="C21" s="70">
        <v>1</v>
      </c>
      <c r="D21" s="3" t="s">
        <v>618</v>
      </c>
      <c r="E21" s="3" t="s">
        <v>261</v>
      </c>
      <c r="F21" s="3" t="s">
        <v>633</v>
      </c>
      <c r="G21" s="3" t="s">
        <v>1716</v>
      </c>
      <c r="H21" s="5" t="str">
        <f>VLOOKUP($G21,TableInputsData[],6,FALSE)</f>
        <v>-</v>
      </c>
      <c r="I21" s="5" t="str">
        <f>VLOOKUP("SEE InputsData SHEET",TableInputsData[],ReadMe!$M$3,FALSE)</f>
        <v>VOIR FEUILLE InputData</v>
      </c>
      <c r="J21" s="26"/>
      <c r="K21" s="135"/>
      <c r="L21" s="127"/>
      <c r="M21" s="134"/>
      <c r="N21" s="60"/>
      <c r="O21" s="4">
        <f>$AG21*GETPIVOTDATA("Sum of TOTAL YEAR",RevenuePivot!$BT$12,"YEAR",O$5,"REFERENCE PRODUCT / SERVICE",$G21,"ITEM","VOLUME")</f>
        <v>0</v>
      </c>
      <c r="P21" s="4">
        <f>$AG21*GETPIVOTDATA("Sum of TOTAL YEAR",RevenuePivot!$BT$12,"YEAR",P$5,"REFERENCE PRODUCT / SERVICE",$G21,"ITEM","VOLUME")</f>
        <v>0</v>
      </c>
      <c r="Q21" s="4">
        <f>$AG21*GETPIVOTDATA("Sum of SEMESTRE 1",RevenuePivot!$BT$12,"YEAR",Q$5,"REFERENCE PRODUCT / SERVICE",$G21,"ITEM","VOLUME")</f>
        <v>0</v>
      </c>
      <c r="R21" s="4">
        <f>$AG21*GETPIVOTDATA("Sum of SEMESTRE 2",RevenuePivot!$BT$12,"YEAR",R$5,"REFERENCE PRODUCT / SERVICE",$G21,"ITEM","VOLUME")</f>
        <v>0</v>
      </c>
      <c r="S21" s="4">
        <f t="shared" si="2"/>
        <v>0</v>
      </c>
      <c r="T21" s="4">
        <f>$AG21*GETPIVOTDATA("Sum of TOTAL YEAR",RevenuePivot!$BT$12,"YEAR",T$5,"REFERENCE PRODUCT / SERVICE",$G21,"ITEM","VOLUME")</f>
        <v>0</v>
      </c>
      <c r="U21" s="4">
        <f>$AG21*GETPIVOTDATA("Sum of TOTAL YEAR",RevenuePivot!$BT$12,"YEAR",U$5,"REFERENCE PRODUCT / SERVICE",$G21,"ITEM","VOLUME")</f>
        <v>0</v>
      </c>
      <c r="V21" s="4">
        <f>$AG21*GETPIVOTDATA("Sum of TOTAL YEAR",RevenuePivot!$BT$12,"YEAR",V$5,"REFERENCE PRODUCT / SERVICE",$G21,"ITEM","VOLUME")</f>
        <v>0</v>
      </c>
      <c r="W21" s="4">
        <f>$AG21*GETPIVOTDATA("Sum of TOTAL YEAR",RevenuePivot!$BT$12,"YEAR",W$5,"REFERENCE PRODUCT / SERVICE",$G21,"ITEM","VOLUME")</f>
        <v>0</v>
      </c>
      <c r="X21" s="4">
        <f>$AG21*GETPIVOTDATA("Sum of TOTAL YEAR",RevenuePivot!$BT$12,"YEAR",X$5,"REFERENCE PRODUCT / SERVICE",$G21,"ITEM","VOLUME")</f>
        <v>0</v>
      </c>
      <c r="Y21" s="604"/>
      <c r="Z21" s="3" t="str">
        <f>VLOOKUP($D21,TableInputsData[],ReadMe!$M$3,FALSE)&amp;"  |  "&amp;VLOOKUP($E21,TableInputsData[],ReadMe!$M$3,FALSE)&amp;"  |  "&amp;VLOOKUP($G21,TableInputsData[],ReadMe!$M$3,FALSE)</f>
        <v>CA ET MARGE BRUTE  |  VOLUME  |  PRODUIT 14</v>
      </c>
      <c r="AA21" s="6"/>
      <c r="AB21" s="36">
        <f t="shared" si="3"/>
        <v>1</v>
      </c>
      <c r="AC21" s="36"/>
      <c r="AD21" s="36"/>
      <c r="AE21" s="91"/>
      <c r="AF21" s="36">
        <v>1</v>
      </c>
      <c r="AG21" s="34">
        <f>VLOOKUP($G21,TableInputsData[],$AG$2,FALSE)</f>
        <v>0</v>
      </c>
      <c r="AH21" s="536"/>
      <c r="AI21" s="294"/>
    </row>
    <row r="22" spans="1:35" x14ac:dyDescent="0.2">
      <c r="A22" s="294"/>
      <c r="B22" s="944"/>
      <c r="C22" s="70">
        <v>1</v>
      </c>
      <c r="D22" s="3" t="s">
        <v>618</v>
      </c>
      <c r="E22" s="3" t="s">
        <v>261</v>
      </c>
      <c r="F22" s="3" t="s">
        <v>633</v>
      </c>
      <c r="G22" s="3" t="s">
        <v>1718</v>
      </c>
      <c r="H22" s="5" t="str">
        <f>VLOOKUP($G22,TableInputsData[],6,FALSE)</f>
        <v>-</v>
      </c>
      <c r="I22" s="5" t="str">
        <f>VLOOKUP("SEE InputsData SHEET",TableInputsData[],ReadMe!$M$3,FALSE)</f>
        <v>VOIR FEUILLE InputData</v>
      </c>
      <c r="J22" s="26"/>
      <c r="K22" s="135"/>
      <c r="L22" s="127"/>
      <c r="M22" s="134"/>
      <c r="N22" s="60"/>
      <c r="O22" s="4">
        <f>$AG22*GETPIVOTDATA("Sum of TOTAL YEAR",RevenuePivot!$BT$12,"YEAR",O$5,"REFERENCE PRODUCT / SERVICE",$G22,"ITEM","VOLUME")</f>
        <v>0</v>
      </c>
      <c r="P22" s="4">
        <f>$AG22*GETPIVOTDATA("Sum of TOTAL YEAR",RevenuePivot!$BT$12,"YEAR",P$5,"REFERENCE PRODUCT / SERVICE",$G22,"ITEM","VOLUME")</f>
        <v>0</v>
      </c>
      <c r="Q22" s="4">
        <f>$AG22*GETPIVOTDATA("Sum of SEMESTRE 1",RevenuePivot!$BT$12,"YEAR",Q$5,"REFERENCE PRODUCT / SERVICE",$G22,"ITEM","VOLUME")</f>
        <v>0</v>
      </c>
      <c r="R22" s="4">
        <f>$AG22*GETPIVOTDATA("Sum of SEMESTRE 2",RevenuePivot!$BT$12,"YEAR",R$5,"REFERENCE PRODUCT / SERVICE",$G22,"ITEM","VOLUME")</f>
        <v>0</v>
      </c>
      <c r="S22" s="4">
        <f t="shared" si="2"/>
        <v>0</v>
      </c>
      <c r="T22" s="4">
        <f>$AG22*GETPIVOTDATA("Sum of TOTAL YEAR",RevenuePivot!$BT$12,"YEAR",T$5,"REFERENCE PRODUCT / SERVICE",$G22,"ITEM","VOLUME")</f>
        <v>0</v>
      </c>
      <c r="U22" s="4">
        <f>$AG22*GETPIVOTDATA("Sum of TOTAL YEAR",RevenuePivot!$BT$12,"YEAR",U$5,"REFERENCE PRODUCT / SERVICE",$G22,"ITEM","VOLUME")</f>
        <v>0</v>
      </c>
      <c r="V22" s="4">
        <f>$AG22*GETPIVOTDATA("Sum of TOTAL YEAR",RevenuePivot!$BT$12,"YEAR",V$5,"REFERENCE PRODUCT / SERVICE",$G22,"ITEM","VOLUME")</f>
        <v>0</v>
      </c>
      <c r="W22" s="4">
        <f>$AG22*GETPIVOTDATA("Sum of TOTAL YEAR",RevenuePivot!$BT$12,"YEAR",W$5,"REFERENCE PRODUCT / SERVICE",$G22,"ITEM","VOLUME")</f>
        <v>0</v>
      </c>
      <c r="X22" s="4">
        <f>$AG22*GETPIVOTDATA("Sum of TOTAL YEAR",RevenuePivot!$BT$12,"YEAR",X$5,"REFERENCE PRODUCT / SERVICE",$G22,"ITEM","VOLUME")</f>
        <v>0</v>
      </c>
      <c r="Y22" s="604"/>
      <c r="Z22" s="3" t="str">
        <f>VLOOKUP($D22,TableInputsData[],ReadMe!$M$3,FALSE)&amp;"  |  "&amp;VLOOKUP($E22,TableInputsData[],ReadMe!$M$3,FALSE)&amp;"  |  "&amp;VLOOKUP($G22,TableInputsData[],ReadMe!$M$3,FALSE)</f>
        <v>CA ET MARGE BRUTE  |  VOLUME  |  PRODUIT 15</v>
      </c>
      <c r="AA22" s="6"/>
      <c r="AB22" s="36">
        <f t="shared" si="3"/>
        <v>1</v>
      </c>
      <c r="AC22" s="36"/>
      <c r="AD22" s="36"/>
      <c r="AE22" s="91"/>
      <c r="AF22" s="36">
        <v>1</v>
      </c>
      <c r="AG22" s="34">
        <f>VLOOKUP($G22,TableInputsData[],$AG$2,FALSE)</f>
        <v>0</v>
      </c>
      <c r="AH22" s="536"/>
      <c r="AI22" s="294"/>
    </row>
    <row r="23" spans="1:35" x14ac:dyDescent="0.2">
      <c r="A23" s="294"/>
      <c r="B23" s="944"/>
      <c r="C23" s="70">
        <v>1</v>
      </c>
      <c r="D23" s="3" t="s">
        <v>618</v>
      </c>
      <c r="E23" s="3" t="s">
        <v>261</v>
      </c>
      <c r="F23" s="3" t="s">
        <v>633</v>
      </c>
      <c r="G23" s="3" t="s">
        <v>1720</v>
      </c>
      <c r="H23" s="5" t="str">
        <f>VLOOKUP($G23,TableInputsData[],6,FALSE)</f>
        <v>-</v>
      </c>
      <c r="I23" s="5" t="str">
        <f>VLOOKUP("SEE InputsData SHEET",TableInputsData[],ReadMe!$M$3,FALSE)</f>
        <v>VOIR FEUILLE InputData</v>
      </c>
      <c r="J23" s="26"/>
      <c r="K23" s="135"/>
      <c r="L23" s="127"/>
      <c r="M23" s="134"/>
      <c r="N23" s="60"/>
      <c r="O23" s="4">
        <f>$AG23*GETPIVOTDATA("Sum of TOTAL YEAR",RevenuePivot!$BT$12,"YEAR",O$5,"REFERENCE PRODUCT / SERVICE",$G23,"ITEM","VOLUME")</f>
        <v>0</v>
      </c>
      <c r="P23" s="4">
        <f>$AG23*GETPIVOTDATA("Sum of TOTAL YEAR",RevenuePivot!$BT$12,"YEAR",P$5,"REFERENCE PRODUCT / SERVICE",$G23,"ITEM","VOLUME")</f>
        <v>0</v>
      </c>
      <c r="Q23" s="4">
        <f>$AG23*GETPIVOTDATA("Sum of SEMESTRE 1",RevenuePivot!$BT$12,"YEAR",Q$5,"REFERENCE PRODUCT / SERVICE",$G23,"ITEM","VOLUME")</f>
        <v>0</v>
      </c>
      <c r="R23" s="4">
        <f>$AG23*GETPIVOTDATA("Sum of SEMESTRE 2",RevenuePivot!$BT$12,"YEAR",R$5,"REFERENCE PRODUCT / SERVICE",$G23,"ITEM","VOLUME")</f>
        <v>0</v>
      </c>
      <c r="S23" s="4">
        <f t="shared" si="2"/>
        <v>0</v>
      </c>
      <c r="T23" s="4">
        <f>$AG23*GETPIVOTDATA("Sum of TOTAL YEAR",RevenuePivot!$BT$12,"YEAR",T$5,"REFERENCE PRODUCT / SERVICE",$G23,"ITEM","VOLUME")</f>
        <v>0</v>
      </c>
      <c r="U23" s="4">
        <f>$AG23*GETPIVOTDATA("Sum of TOTAL YEAR",RevenuePivot!$BT$12,"YEAR",U$5,"REFERENCE PRODUCT / SERVICE",$G23,"ITEM","VOLUME")</f>
        <v>0</v>
      </c>
      <c r="V23" s="4">
        <f>$AG23*GETPIVOTDATA("Sum of TOTAL YEAR",RevenuePivot!$BT$12,"YEAR",V$5,"REFERENCE PRODUCT / SERVICE",$G23,"ITEM","VOLUME")</f>
        <v>0</v>
      </c>
      <c r="W23" s="4">
        <f>$AG23*GETPIVOTDATA("Sum of TOTAL YEAR",RevenuePivot!$BT$12,"YEAR",W$5,"REFERENCE PRODUCT / SERVICE",$G23,"ITEM","VOLUME")</f>
        <v>0</v>
      </c>
      <c r="X23" s="4">
        <f>$AG23*GETPIVOTDATA("Sum of TOTAL YEAR",RevenuePivot!$BT$12,"YEAR",X$5,"REFERENCE PRODUCT / SERVICE",$G23,"ITEM","VOLUME")</f>
        <v>0</v>
      </c>
      <c r="Y23" s="604"/>
      <c r="Z23" s="3" t="str">
        <f>VLOOKUP($D23,TableInputsData[],ReadMe!$M$3,FALSE)&amp;"  |  "&amp;VLOOKUP($E23,TableInputsData[],ReadMe!$M$3,FALSE)&amp;"  |  "&amp;VLOOKUP($G23,TableInputsData[],ReadMe!$M$3,FALSE)</f>
        <v>CA ET MARGE BRUTE  |  VOLUME  |  PRODUIT 16</v>
      </c>
      <c r="AA23" s="6"/>
      <c r="AB23" s="36">
        <f t="shared" si="3"/>
        <v>1</v>
      </c>
      <c r="AC23" s="36"/>
      <c r="AD23" s="36"/>
      <c r="AE23" s="91"/>
      <c r="AF23" s="36">
        <v>1</v>
      </c>
      <c r="AG23" s="34">
        <f>VLOOKUP($G23,TableInputsData[],$AG$2,FALSE)</f>
        <v>0</v>
      </c>
      <c r="AH23" s="536"/>
      <c r="AI23" s="294"/>
    </row>
    <row r="24" spans="1:35" x14ac:dyDescent="0.2">
      <c r="A24" s="294"/>
      <c r="B24" s="944"/>
      <c r="C24" s="70">
        <v>1</v>
      </c>
      <c r="D24" s="3" t="s">
        <v>618</v>
      </c>
      <c r="E24" s="3" t="s">
        <v>261</v>
      </c>
      <c r="F24" s="3" t="s">
        <v>633</v>
      </c>
      <c r="G24" s="3" t="s">
        <v>1722</v>
      </c>
      <c r="H24" s="5" t="str">
        <f>VLOOKUP($G24,TableInputsData[],6,FALSE)</f>
        <v>-</v>
      </c>
      <c r="I24" s="5" t="str">
        <f>VLOOKUP("SEE InputsData SHEET",TableInputsData[],ReadMe!$M$3,FALSE)</f>
        <v>VOIR FEUILLE InputData</v>
      </c>
      <c r="J24" s="26"/>
      <c r="K24" s="135"/>
      <c r="L24" s="127"/>
      <c r="M24" s="134"/>
      <c r="N24" s="60"/>
      <c r="O24" s="4">
        <f>$AG24*GETPIVOTDATA("Sum of TOTAL YEAR",RevenuePivot!$BT$12,"YEAR",O$5,"REFERENCE PRODUCT / SERVICE",$G24,"ITEM","VOLUME")</f>
        <v>0</v>
      </c>
      <c r="P24" s="4">
        <f>$AG24*GETPIVOTDATA("Sum of TOTAL YEAR",RevenuePivot!$BT$12,"YEAR",P$5,"REFERENCE PRODUCT / SERVICE",$G24,"ITEM","VOLUME")</f>
        <v>0</v>
      </c>
      <c r="Q24" s="4">
        <f>$AG24*GETPIVOTDATA("Sum of SEMESTRE 1",RevenuePivot!$BT$12,"YEAR",Q$5,"REFERENCE PRODUCT / SERVICE",$G24,"ITEM","VOLUME")</f>
        <v>0</v>
      </c>
      <c r="R24" s="4">
        <f>$AG24*GETPIVOTDATA("Sum of SEMESTRE 2",RevenuePivot!$BT$12,"YEAR",R$5,"REFERENCE PRODUCT / SERVICE",$G24,"ITEM","VOLUME")</f>
        <v>0</v>
      </c>
      <c r="S24" s="4">
        <f t="shared" si="2"/>
        <v>0</v>
      </c>
      <c r="T24" s="4">
        <f>$AG24*GETPIVOTDATA("Sum of TOTAL YEAR",RevenuePivot!$BT$12,"YEAR",T$5,"REFERENCE PRODUCT / SERVICE",$G24,"ITEM","VOLUME")</f>
        <v>0</v>
      </c>
      <c r="U24" s="4">
        <f>$AG24*GETPIVOTDATA("Sum of TOTAL YEAR",RevenuePivot!$BT$12,"YEAR",U$5,"REFERENCE PRODUCT / SERVICE",$G24,"ITEM","VOLUME")</f>
        <v>0</v>
      </c>
      <c r="V24" s="4">
        <f>$AG24*GETPIVOTDATA("Sum of TOTAL YEAR",RevenuePivot!$BT$12,"YEAR",V$5,"REFERENCE PRODUCT / SERVICE",$G24,"ITEM","VOLUME")</f>
        <v>0</v>
      </c>
      <c r="W24" s="4">
        <f>$AG24*GETPIVOTDATA("Sum of TOTAL YEAR",RevenuePivot!$BT$12,"YEAR",W$5,"REFERENCE PRODUCT / SERVICE",$G24,"ITEM","VOLUME")</f>
        <v>0</v>
      </c>
      <c r="X24" s="4">
        <f>$AG24*GETPIVOTDATA("Sum of TOTAL YEAR",RevenuePivot!$BT$12,"YEAR",X$5,"REFERENCE PRODUCT / SERVICE",$G24,"ITEM","VOLUME")</f>
        <v>0</v>
      </c>
      <c r="Y24" s="604"/>
      <c r="Z24" s="3" t="str">
        <f>VLOOKUP($D24,TableInputsData[],ReadMe!$M$3,FALSE)&amp;"  |  "&amp;VLOOKUP($E24,TableInputsData[],ReadMe!$M$3,FALSE)&amp;"  |  "&amp;VLOOKUP($G24,TableInputsData[],ReadMe!$M$3,FALSE)</f>
        <v>CA ET MARGE BRUTE  |  VOLUME  |  PRODUIT 17</v>
      </c>
      <c r="AA24" s="6"/>
      <c r="AB24" s="36">
        <f t="shared" si="3"/>
        <v>1</v>
      </c>
      <c r="AC24" s="36"/>
      <c r="AD24" s="36"/>
      <c r="AE24" s="91"/>
      <c r="AF24" s="36">
        <v>1</v>
      </c>
      <c r="AG24" s="34">
        <f>VLOOKUP($G24,TableInputsData[],$AG$2,FALSE)</f>
        <v>0</v>
      </c>
      <c r="AH24" s="536"/>
      <c r="AI24" s="294"/>
    </row>
    <row r="25" spans="1:35" x14ac:dyDescent="0.2">
      <c r="A25" s="294"/>
      <c r="B25" s="944"/>
      <c r="C25" s="70">
        <v>1</v>
      </c>
      <c r="D25" s="3" t="s">
        <v>618</v>
      </c>
      <c r="E25" s="3" t="s">
        <v>261</v>
      </c>
      <c r="F25" s="3" t="s">
        <v>633</v>
      </c>
      <c r="G25" s="3" t="s">
        <v>1724</v>
      </c>
      <c r="H25" s="5" t="str">
        <f>VLOOKUP($G25,TableInputsData[],6,FALSE)</f>
        <v>-</v>
      </c>
      <c r="I25" s="5" t="str">
        <f>VLOOKUP("SEE InputsData SHEET",TableInputsData[],ReadMe!$M$3,FALSE)</f>
        <v>VOIR FEUILLE InputData</v>
      </c>
      <c r="J25" s="26"/>
      <c r="K25" s="135"/>
      <c r="L25" s="127"/>
      <c r="M25" s="134"/>
      <c r="N25" s="60"/>
      <c r="O25" s="4">
        <f>$AG25*GETPIVOTDATA("Sum of TOTAL YEAR",RevenuePivot!$BT$12,"YEAR",O$5,"REFERENCE PRODUCT / SERVICE",$G25,"ITEM","VOLUME")</f>
        <v>0</v>
      </c>
      <c r="P25" s="4">
        <f>$AG25*GETPIVOTDATA("Sum of TOTAL YEAR",RevenuePivot!$BT$12,"YEAR",P$5,"REFERENCE PRODUCT / SERVICE",$G25,"ITEM","VOLUME")</f>
        <v>0</v>
      </c>
      <c r="Q25" s="4">
        <f>$AG25*GETPIVOTDATA("Sum of SEMESTRE 1",RevenuePivot!$BT$12,"YEAR",Q$5,"REFERENCE PRODUCT / SERVICE",$G25,"ITEM","VOLUME")</f>
        <v>0</v>
      </c>
      <c r="R25" s="4">
        <f>$AG25*GETPIVOTDATA("Sum of SEMESTRE 2",RevenuePivot!$BT$12,"YEAR",R$5,"REFERENCE PRODUCT / SERVICE",$G25,"ITEM","VOLUME")</f>
        <v>0</v>
      </c>
      <c r="S25" s="4">
        <f t="shared" si="2"/>
        <v>0</v>
      </c>
      <c r="T25" s="4">
        <f>$AG25*GETPIVOTDATA("Sum of TOTAL YEAR",RevenuePivot!$BT$12,"YEAR",T$5,"REFERENCE PRODUCT / SERVICE",$G25,"ITEM","VOLUME")</f>
        <v>0</v>
      </c>
      <c r="U25" s="4">
        <f>$AG25*GETPIVOTDATA("Sum of TOTAL YEAR",RevenuePivot!$BT$12,"YEAR",U$5,"REFERENCE PRODUCT / SERVICE",$G25,"ITEM","VOLUME")</f>
        <v>0</v>
      </c>
      <c r="V25" s="4">
        <f>$AG25*GETPIVOTDATA("Sum of TOTAL YEAR",RevenuePivot!$BT$12,"YEAR",V$5,"REFERENCE PRODUCT / SERVICE",$G25,"ITEM","VOLUME")</f>
        <v>0</v>
      </c>
      <c r="W25" s="4">
        <f>$AG25*GETPIVOTDATA("Sum of TOTAL YEAR",RevenuePivot!$BT$12,"YEAR",W$5,"REFERENCE PRODUCT / SERVICE",$G25,"ITEM","VOLUME")</f>
        <v>0</v>
      </c>
      <c r="X25" s="4">
        <f>$AG25*GETPIVOTDATA("Sum of TOTAL YEAR",RevenuePivot!$BT$12,"YEAR",X$5,"REFERENCE PRODUCT / SERVICE",$G25,"ITEM","VOLUME")</f>
        <v>0</v>
      </c>
      <c r="Y25" s="604"/>
      <c r="Z25" s="3" t="str">
        <f>VLOOKUP($D25,TableInputsData[],ReadMe!$M$3,FALSE)&amp;"  |  "&amp;VLOOKUP($E25,TableInputsData[],ReadMe!$M$3,FALSE)&amp;"  |  "&amp;VLOOKUP($G25,TableInputsData[],ReadMe!$M$3,FALSE)</f>
        <v>CA ET MARGE BRUTE  |  VOLUME  |  PRODUIT 18</v>
      </c>
      <c r="AA25" s="6"/>
      <c r="AB25" s="36">
        <f t="shared" si="3"/>
        <v>1</v>
      </c>
      <c r="AC25" s="36"/>
      <c r="AD25" s="36"/>
      <c r="AE25" s="91"/>
      <c r="AF25" s="36">
        <v>1</v>
      </c>
      <c r="AG25" s="34">
        <f>VLOOKUP($G25,TableInputsData[],$AG$2,FALSE)</f>
        <v>0</v>
      </c>
      <c r="AH25" s="536"/>
      <c r="AI25" s="294"/>
    </row>
    <row r="26" spans="1:35" x14ac:dyDescent="0.2">
      <c r="A26" s="294"/>
      <c r="B26" s="944"/>
      <c r="C26" s="70">
        <v>1</v>
      </c>
      <c r="D26" s="3" t="s">
        <v>618</v>
      </c>
      <c r="E26" s="3" t="s">
        <v>261</v>
      </c>
      <c r="F26" s="3" t="s">
        <v>633</v>
      </c>
      <c r="G26" s="3" t="s">
        <v>1726</v>
      </c>
      <c r="H26" s="5" t="str">
        <f>VLOOKUP($G26,TableInputsData[],6,FALSE)</f>
        <v>-</v>
      </c>
      <c r="I26" s="5" t="str">
        <f>VLOOKUP("SEE InputsData SHEET",TableInputsData[],ReadMe!$M$3,FALSE)</f>
        <v>VOIR FEUILLE InputData</v>
      </c>
      <c r="J26" s="26"/>
      <c r="K26" s="135"/>
      <c r="L26" s="127"/>
      <c r="M26" s="134"/>
      <c r="N26" s="60"/>
      <c r="O26" s="4">
        <f>$AG26*GETPIVOTDATA("Sum of TOTAL YEAR",RevenuePivot!$BT$12,"YEAR",O$5,"REFERENCE PRODUCT / SERVICE",$G26,"ITEM","VOLUME")</f>
        <v>0</v>
      </c>
      <c r="P26" s="4">
        <f>$AG26*GETPIVOTDATA("Sum of TOTAL YEAR",RevenuePivot!$BT$12,"YEAR",P$5,"REFERENCE PRODUCT / SERVICE",$G26,"ITEM","VOLUME")</f>
        <v>0</v>
      </c>
      <c r="Q26" s="4">
        <f>$AG26*GETPIVOTDATA("Sum of SEMESTRE 1",RevenuePivot!$BT$12,"YEAR",Q$5,"REFERENCE PRODUCT / SERVICE",$G26,"ITEM","VOLUME")</f>
        <v>0</v>
      </c>
      <c r="R26" s="4">
        <f>$AG26*GETPIVOTDATA("Sum of SEMESTRE 2",RevenuePivot!$BT$12,"YEAR",R$5,"REFERENCE PRODUCT / SERVICE",$G26,"ITEM","VOLUME")</f>
        <v>0</v>
      </c>
      <c r="S26" s="4">
        <f t="shared" si="2"/>
        <v>0</v>
      </c>
      <c r="T26" s="4">
        <f>$AG26*GETPIVOTDATA("Sum of TOTAL YEAR",RevenuePivot!$BT$12,"YEAR",T$5,"REFERENCE PRODUCT / SERVICE",$G26,"ITEM","VOLUME")</f>
        <v>0</v>
      </c>
      <c r="U26" s="4">
        <f>$AG26*GETPIVOTDATA("Sum of TOTAL YEAR",RevenuePivot!$BT$12,"YEAR",U$5,"REFERENCE PRODUCT / SERVICE",$G26,"ITEM","VOLUME")</f>
        <v>0</v>
      </c>
      <c r="V26" s="4">
        <f>$AG26*GETPIVOTDATA("Sum of TOTAL YEAR",RevenuePivot!$BT$12,"YEAR",V$5,"REFERENCE PRODUCT / SERVICE",$G26,"ITEM","VOLUME")</f>
        <v>0</v>
      </c>
      <c r="W26" s="4">
        <f>$AG26*GETPIVOTDATA("Sum of TOTAL YEAR",RevenuePivot!$BT$12,"YEAR",W$5,"REFERENCE PRODUCT / SERVICE",$G26,"ITEM","VOLUME")</f>
        <v>0</v>
      </c>
      <c r="X26" s="4">
        <f>$AG26*GETPIVOTDATA("Sum of TOTAL YEAR",RevenuePivot!$BT$12,"YEAR",X$5,"REFERENCE PRODUCT / SERVICE",$G26,"ITEM","VOLUME")</f>
        <v>0</v>
      </c>
      <c r="Y26" s="604"/>
      <c r="Z26" s="3" t="str">
        <f>VLOOKUP($D26,TableInputsData[],ReadMe!$M$3,FALSE)&amp;"  |  "&amp;VLOOKUP($E26,TableInputsData[],ReadMe!$M$3,FALSE)&amp;"  |  "&amp;VLOOKUP($G26,TableInputsData[],ReadMe!$M$3,FALSE)</f>
        <v>CA ET MARGE BRUTE  |  VOLUME  |  PRODUIT 19</v>
      </c>
      <c r="AA26" s="6"/>
      <c r="AB26" s="36">
        <f t="shared" si="3"/>
        <v>1</v>
      </c>
      <c r="AC26" s="36"/>
      <c r="AD26" s="36"/>
      <c r="AE26" s="91"/>
      <c r="AF26" s="36">
        <v>1</v>
      </c>
      <c r="AG26" s="34">
        <f>VLOOKUP($G26,TableInputsData[],$AG$2,FALSE)</f>
        <v>0</v>
      </c>
      <c r="AH26" s="536"/>
      <c r="AI26" s="294"/>
    </row>
    <row r="27" spans="1:35" x14ac:dyDescent="0.2">
      <c r="A27" s="294"/>
      <c r="B27" s="944"/>
      <c r="C27" s="70">
        <v>1</v>
      </c>
      <c r="D27" s="3" t="s">
        <v>618</v>
      </c>
      <c r="E27" s="3" t="s">
        <v>261</v>
      </c>
      <c r="F27" s="3" t="s">
        <v>633</v>
      </c>
      <c r="G27" s="3" t="s">
        <v>1728</v>
      </c>
      <c r="H27" s="5" t="str">
        <f>VLOOKUP($G27,TableInputsData[],6,FALSE)</f>
        <v>-</v>
      </c>
      <c r="I27" s="5" t="str">
        <f>VLOOKUP("SEE InputsData SHEET",TableInputsData[],ReadMe!$M$3,FALSE)</f>
        <v>VOIR FEUILLE InputData</v>
      </c>
      <c r="J27" s="26"/>
      <c r="K27" s="135"/>
      <c r="L27" s="127"/>
      <c r="M27" s="134"/>
      <c r="N27" s="60"/>
      <c r="O27" s="4">
        <f>$AG27*GETPIVOTDATA("Sum of TOTAL YEAR",RevenuePivot!$BT$12,"YEAR",O$5,"REFERENCE PRODUCT / SERVICE",$G27,"ITEM","VOLUME")</f>
        <v>0</v>
      </c>
      <c r="P27" s="4">
        <f>$AG27*GETPIVOTDATA("Sum of TOTAL YEAR",RevenuePivot!$BT$12,"YEAR",P$5,"REFERENCE PRODUCT / SERVICE",$G27,"ITEM","VOLUME")</f>
        <v>0</v>
      </c>
      <c r="Q27" s="4">
        <f>$AG27*GETPIVOTDATA("Sum of SEMESTRE 1",RevenuePivot!$BT$12,"YEAR",Q$5,"REFERENCE PRODUCT / SERVICE",$G27,"ITEM","VOLUME")</f>
        <v>0</v>
      </c>
      <c r="R27" s="4">
        <f>$AG27*GETPIVOTDATA("Sum of SEMESTRE 2",RevenuePivot!$BT$12,"YEAR",R$5,"REFERENCE PRODUCT / SERVICE",$G27,"ITEM","VOLUME")</f>
        <v>0</v>
      </c>
      <c r="S27" s="4">
        <f t="shared" si="2"/>
        <v>0</v>
      </c>
      <c r="T27" s="4">
        <f>$AG27*GETPIVOTDATA("Sum of TOTAL YEAR",RevenuePivot!$BT$12,"YEAR",T$5,"REFERENCE PRODUCT / SERVICE",$G27,"ITEM","VOLUME")</f>
        <v>0</v>
      </c>
      <c r="U27" s="4">
        <f>$AG27*GETPIVOTDATA("Sum of TOTAL YEAR",RevenuePivot!$BT$12,"YEAR",U$5,"REFERENCE PRODUCT / SERVICE",$G27,"ITEM","VOLUME")</f>
        <v>0</v>
      </c>
      <c r="V27" s="4">
        <f>$AG27*GETPIVOTDATA("Sum of TOTAL YEAR",RevenuePivot!$BT$12,"YEAR",V$5,"REFERENCE PRODUCT / SERVICE",$G27,"ITEM","VOLUME")</f>
        <v>0</v>
      </c>
      <c r="W27" s="4">
        <f>$AG27*GETPIVOTDATA("Sum of TOTAL YEAR",RevenuePivot!$BT$12,"YEAR",W$5,"REFERENCE PRODUCT / SERVICE",$G27,"ITEM","VOLUME")</f>
        <v>0</v>
      </c>
      <c r="X27" s="4">
        <f>$AG27*GETPIVOTDATA("Sum of TOTAL YEAR",RevenuePivot!$BT$12,"YEAR",X$5,"REFERENCE PRODUCT / SERVICE",$G27,"ITEM","VOLUME")</f>
        <v>0</v>
      </c>
      <c r="Y27" s="604"/>
      <c r="Z27" s="3" t="str">
        <f>VLOOKUP($D27,TableInputsData[],ReadMe!$M$3,FALSE)&amp;"  |  "&amp;VLOOKUP($E27,TableInputsData[],ReadMe!$M$3,FALSE)&amp;"  |  "&amp;VLOOKUP($G27,TableInputsData[],ReadMe!$M$3,FALSE)</f>
        <v>CA ET MARGE BRUTE  |  VOLUME  |  PRODUIT 20</v>
      </c>
      <c r="AA27" s="6"/>
      <c r="AB27" s="36">
        <f t="shared" si="3"/>
        <v>1</v>
      </c>
      <c r="AC27" s="36"/>
      <c r="AD27" s="36"/>
      <c r="AE27" s="91"/>
      <c r="AF27" s="36">
        <v>1</v>
      </c>
      <c r="AG27" s="34">
        <f>VLOOKUP($G27,TableInputsData[],$AG$2,FALSE)</f>
        <v>0</v>
      </c>
      <c r="AH27" s="536"/>
      <c r="AI27" s="294"/>
    </row>
    <row r="28" spans="1:35" x14ac:dyDescent="0.2">
      <c r="A28" s="294"/>
      <c r="B28" s="944"/>
      <c r="C28" s="67">
        <v>1</v>
      </c>
      <c r="D28" s="16" t="s">
        <v>618</v>
      </c>
      <c r="E28" s="16" t="s">
        <v>261</v>
      </c>
      <c r="F28" s="16" t="s">
        <v>633</v>
      </c>
      <c r="G28" s="16" t="s">
        <v>588</v>
      </c>
      <c r="H28" s="17" t="s">
        <v>29</v>
      </c>
      <c r="I28" s="17"/>
      <c r="J28" s="27"/>
      <c r="K28" s="27"/>
      <c r="L28" s="97"/>
      <c r="M28" s="112"/>
      <c r="N28" s="18"/>
      <c r="O28" s="18">
        <f>SUM(O8:O27)</f>
        <v>0</v>
      </c>
      <c r="P28" s="18">
        <f t="shared" ref="P28:X28" si="4">SUM(P8:P27)</f>
        <v>0</v>
      </c>
      <c r="Q28" s="18">
        <f t="shared" si="4"/>
        <v>0</v>
      </c>
      <c r="R28" s="18">
        <f t="shared" si="4"/>
        <v>0</v>
      </c>
      <c r="S28" s="18">
        <f t="shared" si="4"/>
        <v>0</v>
      </c>
      <c r="T28" s="18">
        <f t="shared" si="4"/>
        <v>0</v>
      </c>
      <c r="U28" s="18">
        <f t="shared" si="4"/>
        <v>0</v>
      </c>
      <c r="V28" s="18">
        <f t="shared" si="4"/>
        <v>0</v>
      </c>
      <c r="W28" s="18">
        <f t="shared" si="4"/>
        <v>0</v>
      </c>
      <c r="X28" s="18">
        <f t="shared" si="4"/>
        <v>0</v>
      </c>
      <c r="Y28" s="18"/>
      <c r="Z28" s="16" t="str">
        <f>VLOOKUP($D28,TableInputsData[],ReadMe!$M$3,FALSE)&amp;"  |  "&amp;VLOOKUP($E28,TableInputsData[],ReadMe!$M$3,FALSE)&amp;"  |  "&amp;VLOOKUP($G28,TableInputsData[],ReadMe!$M$3,FALSE)</f>
        <v>CA ET MARGE BRUTE  |  VOLUME  |  PRODUIT</v>
      </c>
      <c r="AA28" s="371" t="b">
        <f>EXACT(ROUND(SUM(TableFinanceData[[#This Row],[YEAR-2]:[YEAR6]])-TableFinanceData[[#This Row],[CURRENT YEAR]],2),IF(ISBLANK(GETPIVOTDATA("TOTAL YEAR",RevenuePivot!$BK$13,"TYPE PRODUCT / SERVICE","PRODUCT","ITEM","VOLUME")),0,ROUND(GETPIVOTDATA("TOTAL YEAR",RevenuePivot!$BK$13,"TYPE PRODUCT / SERVICE","PRODUCT","ITEM","VOLUME"),2)))</f>
        <v>1</v>
      </c>
      <c r="AB28" s="27">
        <v>1</v>
      </c>
      <c r="AC28" s="27">
        <v>3</v>
      </c>
      <c r="AD28" s="27"/>
      <c r="AE28" s="27"/>
      <c r="AF28" s="27">
        <v>1</v>
      </c>
      <c r="AG28" s="27"/>
      <c r="AH28" s="533"/>
      <c r="AI28" s="294"/>
    </row>
    <row r="29" spans="1:35" x14ac:dyDescent="0.2">
      <c r="A29" s="294"/>
      <c r="B29" s="944"/>
      <c r="C29" s="71">
        <v>1</v>
      </c>
      <c r="D29" s="8"/>
      <c r="E29" s="8"/>
      <c r="F29" s="8"/>
      <c r="G29" s="8"/>
      <c r="H29" s="9"/>
      <c r="I29" s="9"/>
      <c r="J29" s="87"/>
      <c r="K29" s="87"/>
      <c r="L29" s="98"/>
      <c r="M29" s="113"/>
      <c r="N29" s="10"/>
      <c r="O29" s="10"/>
      <c r="P29" s="10"/>
      <c r="Q29" s="10"/>
      <c r="R29" s="10"/>
      <c r="S29" s="10"/>
      <c r="T29" s="10"/>
      <c r="U29" s="10"/>
      <c r="V29" s="10"/>
      <c r="W29" s="10"/>
      <c r="X29" s="10"/>
      <c r="Y29" s="10"/>
      <c r="Z29" s="8"/>
      <c r="AA29" s="8"/>
      <c r="AB29" s="35"/>
      <c r="AC29" s="35"/>
      <c r="AD29" s="35"/>
      <c r="AE29" s="87"/>
      <c r="AF29" s="35"/>
      <c r="AG29" s="35"/>
      <c r="AH29" s="534"/>
      <c r="AI29" s="294"/>
    </row>
    <row r="30" spans="1:35" ht="12.75" customHeight="1" x14ac:dyDescent="0.2">
      <c r="A30" s="294"/>
      <c r="B30" s="944"/>
      <c r="C30" s="66">
        <v>1</v>
      </c>
      <c r="D30" s="3" t="s">
        <v>618</v>
      </c>
      <c r="E30" s="3" t="s">
        <v>456</v>
      </c>
      <c r="F30" s="3" t="s">
        <v>21</v>
      </c>
      <c r="G30" s="3" t="s">
        <v>537</v>
      </c>
      <c r="H30" s="5" t="str">
        <f>VLOOKUP($G30,TableInputsData[],6,FALSE)</f>
        <v>XYZ</v>
      </c>
      <c r="I30" s="5" t="str">
        <f>VLOOKUP("SEE InputsData SHEET",TableInputsData[],ReadMe!$M$3,FALSE)</f>
        <v>VOIR FEUILLE InputData</v>
      </c>
      <c r="J30" s="26"/>
      <c r="K30" s="135"/>
      <c r="L30" s="127"/>
      <c r="M30" s="134"/>
      <c r="N30" s="60"/>
      <c r="O30" s="4">
        <f>IF(O8=0,0,O52/O8)</f>
        <v>0</v>
      </c>
      <c r="P30" s="4">
        <f t="shared" ref="P30:X30" si="5">IF(P8=0,0,P52/P8)</f>
        <v>0</v>
      </c>
      <c r="Q30" s="4">
        <f t="shared" si="5"/>
        <v>0</v>
      </c>
      <c r="R30" s="4">
        <f t="shared" si="5"/>
        <v>0</v>
      </c>
      <c r="S30" s="4">
        <f t="shared" si="5"/>
        <v>0</v>
      </c>
      <c r="T30" s="4">
        <f t="shared" si="5"/>
        <v>0</v>
      </c>
      <c r="U30" s="4">
        <f t="shared" si="5"/>
        <v>0</v>
      </c>
      <c r="V30" s="4">
        <f t="shared" si="5"/>
        <v>0</v>
      </c>
      <c r="W30" s="4">
        <f t="shared" si="5"/>
        <v>0</v>
      </c>
      <c r="X30" s="4">
        <f t="shared" si="5"/>
        <v>0</v>
      </c>
      <c r="Y30" s="604"/>
      <c r="Z30" s="3" t="str">
        <f>VLOOKUP($D30,TableInputsData[],ReadMe!$M$3,FALSE)&amp;"  |  "&amp;VLOOKUP($E30,TableInputsData[],ReadMe!$M$3,FALSE)&amp;"  |  "&amp;VLOOKUP($G30,TableInputsData[],ReadMe!$M$3,FALSE)</f>
        <v>CA ET MARGE BRUTE  |  PRIX MOYEN DE VENTE PAR PRODUIT/SERVICE  |  PRODUIT 01</v>
      </c>
      <c r="AA30" s="3"/>
      <c r="AB30" s="34">
        <f>IF(AND(SUM(O30:X30)=0,H30=""),0,1)</f>
        <v>1</v>
      </c>
      <c r="AC30" s="34"/>
      <c r="AD30" s="34"/>
      <c r="AE30" s="26"/>
      <c r="AF30" s="34">
        <v>1</v>
      </c>
      <c r="AG30" s="34">
        <f>VLOOKUP($G30,TableInputsData[],$AG$2,FALSE)</f>
        <v>1</v>
      </c>
      <c r="AH30" s="535"/>
      <c r="AI30" s="294"/>
    </row>
    <row r="31" spans="1:35" x14ac:dyDescent="0.2">
      <c r="A31" s="294"/>
      <c r="B31" s="944"/>
      <c r="C31" s="66">
        <v>1</v>
      </c>
      <c r="D31" s="3" t="s">
        <v>618</v>
      </c>
      <c r="E31" s="3" t="s">
        <v>456</v>
      </c>
      <c r="F31" s="3" t="s">
        <v>21</v>
      </c>
      <c r="G31" s="3" t="s">
        <v>538</v>
      </c>
      <c r="H31" s="5" t="str">
        <f>VLOOKUP($G31,TableInputsData[],6,FALSE)</f>
        <v>ABC</v>
      </c>
      <c r="I31" s="5" t="str">
        <f>VLOOKUP("SEE InputsData SHEET",TableInputsData[],ReadMe!$M$3,FALSE)</f>
        <v>VOIR FEUILLE InputData</v>
      </c>
      <c r="J31" s="26"/>
      <c r="K31" s="135"/>
      <c r="L31" s="127"/>
      <c r="M31" s="134"/>
      <c r="N31" s="60"/>
      <c r="O31" s="4">
        <f t="shared" ref="O31:X31" si="6">IF(O9=0,0,O53/O9)</f>
        <v>0</v>
      </c>
      <c r="P31" s="4">
        <f t="shared" si="6"/>
        <v>0</v>
      </c>
      <c r="Q31" s="4">
        <f t="shared" si="6"/>
        <v>0</v>
      </c>
      <c r="R31" s="4">
        <f t="shared" si="6"/>
        <v>0</v>
      </c>
      <c r="S31" s="4">
        <f t="shared" si="6"/>
        <v>0</v>
      </c>
      <c r="T31" s="4">
        <f t="shared" si="6"/>
        <v>0</v>
      </c>
      <c r="U31" s="4">
        <f t="shared" si="6"/>
        <v>0</v>
      </c>
      <c r="V31" s="4">
        <f t="shared" si="6"/>
        <v>0</v>
      </c>
      <c r="W31" s="4">
        <f t="shared" si="6"/>
        <v>0</v>
      </c>
      <c r="X31" s="4">
        <f t="shared" si="6"/>
        <v>0</v>
      </c>
      <c r="Y31" s="604"/>
      <c r="Z31" s="3" t="str">
        <f>VLOOKUP($D31,TableInputsData[],ReadMe!$M$3,FALSE)&amp;"  |  "&amp;VLOOKUP($E31,TableInputsData[],ReadMe!$M$3,FALSE)&amp;"  |  "&amp;VLOOKUP($G31,TableInputsData[],ReadMe!$M$3,FALSE)</f>
        <v>CA ET MARGE BRUTE  |  PRIX MOYEN DE VENTE PAR PRODUIT/SERVICE  |  PRODUIT 02</v>
      </c>
      <c r="AA31" s="3"/>
      <c r="AB31" s="34">
        <f t="shared" ref="AB31:AB39" si="7">IF(AND(SUM(O31:X31)=0,H31=""),0,1)</f>
        <v>1</v>
      </c>
      <c r="AC31" s="34"/>
      <c r="AD31" s="34"/>
      <c r="AE31" s="26"/>
      <c r="AF31" s="34">
        <v>1</v>
      </c>
      <c r="AG31" s="34">
        <f>VLOOKUP($G31,TableInputsData[],$AG$2,FALSE)</f>
        <v>1</v>
      </c>
      <c r="AH31" s="535"/>
      <c r="AI31" s="294"/>
    </row>
    <row r="32" spans="1:35" x14ac:dyDescent="0.2">
      <c r="A32" s="294"/>
      <c r="B32" s="944"/>
      <c r="C32" s="66">
        <v>1</v>
      </c>
      <c r="D32" s="3" t="s">
        <v>618</v>
      </c>
      <c r="E32" s="3" t="s">
        <v>456</v>
      </c>
      <c r="F32" s="3" t="s">
        <v>21</v>
      </c>
      <c r="G32" s="3" t="s">
        <v>539</v>
      </c>
      <c r="H32" s="5" t="str">
        <f>VLOOKUP($G32,TableInputsData[],6,FALSE)</f>
        <v>-</v>
      </c>
      <c r="I32" s="5" t="str">
        <f>VLOOKUP("SEE InputsData SHEET",TableInputsData[],ReadMe!$M$3,FALSE)</f>
        <v>VOIR FEUILLE InputData</v>
      </c>
      <c r="J32" s="26"/>
      <c r="K32" s="135"/>
      <c r="L32" s="127"/>
      <c r="M32" s="134"/>
      <c r="N32" s="60"/>
      <c r="O32" s="4">
        <f t="shared" ref="O32:X32" si="8">IF(O10=0,0,O54/O10)</f>
        <v>0</v>
      </c>
      <c r="P32" s="4">
        <f t="shared" si="8"/>
        <v>0</v>
      </c>
      <c r="Q32" s="4">
        <f t="shared" si="8"/>
        <v>0</v>
      </c>
      <c r="R32" s="4">
        <f t="shared" si="8"/>
        <v>0</v>
      </c>
      <c r="S32" s="4">
        <f t="shared" si="8"/>
        <v>0</v>
      </c>
      <c r="T32" s="4">
        <f t="shared" si="8"/>
        <v>0</v>
      </c>
      <c r="U32" s="4">
        <f t="shared" si="8"/>
        <v>0</v>
      </c>
      <c r="V32" s="4">
        <f t="shared" si="8"/>
        <v>0</v>
      </c>
      <c r="W32" s="4">
        <f t="shared" si="8"/>
        <v>0</v>
      </c>
      <c r="X32" s="4">
        <f t="shared" si="8"/>
        <v>0</v>
      </c>
      <c r="Y32" s="604"/>
      <c r="Z32" s="3" t="str">
        <f>VLOOKUP($D32,TableInputsData[],ReadMe!$M$3,FALSE)&amp;"  |  "&amp;VLOOKUP($E32,TableInputsData[],ReadMe!$M$3,FALSE)&amp;"  |  "&amp;VLOOKUP($G32,TableInputsData[],ReadMe!$M$3,FALSE)</f>
        <v>CA ET MARGE BRUTE  |  PRIX MOYEN DE VENTE PAR PRODUIT/SERVICE  |  PRODUIT 03</v>
      </c>
      <c r="AA32" s="3"/>
      <c r="AB32" s="34">
        <f t="shared" si="7"/>
        <v>1</v>
      </c>
      <c r="AC32" s="34"/>
      <c r="AD32" s="34"/>
      <c r="AE32" s="26"/>
      <c r="AF32" s="34">
        <v>1</v>
      </c>
      <c r="AG32" s="34">
        <f>VLOOKUP($G32,TableInputsData[],$AG$2,FALSE)</f>
        <v>0</v>
      </c>
      <c r="AH32" s="535"/>
      <c r="AI32" s="294"/>
    </row>
    <row r="33" spans="1:35" x14ac:dyDescent="0.2">
      <c r="A33" s="294"/>
      <c r="B33" s="944"/>
      <c r="C33" s="66">
        <v>1</v>
      </c>
      <c r="D33" s="3" t="s">
        <v>618</v>
      </c>
      <c r="E33" s="3" t="s">
        <v>456</v>
      </c>
      <c r="F33" s="3" t="s">
        <v>21</v>
      </c>
      <c r="G33" s="3" t="s">
        <v>540</v>
      </c>
      <c r="H33" s="5" t="str">
        <f>VLOOKUP($G33,TableInputsData[],6,FALSE)</f>
        <v>-</v>
      </c>
      <c r="I33" s="5" t="str">
        <f>VLOOKUP("SEE InputsData SHEET",TableInputsData[],ReadMe!$M$3,FALSE)</f>
        <v>VOIR FEUILLE InputData</v>
      </c>
      <c r="J33" s="26"/>
      <c r="K33" s="135"/>
      <c r="L33" s="127"/>
      <c r="M33" s="134"/>
      <c r="N33" s="60"/>
      <c r="O33" s="4">
        <f t="shared" ref="O33:X33" si="9">IF(O11=0,0,O55/O11)</f>
        <v>0</v>
      </c>
      <c r="P33" s="4">
        <f t="shared" si="9"/>
        <v>0</v>
      </c>
      <c r="Q33" s="4">
        <f t="shared" si="9"/>
        <v>0</v>
      </c>
      <c r="R33" s="4">
        <f t="shared" si="9"/>
        <v>0</v>
      </c>
      <c r="S33" s="4">
        <f t="shared" si="9"/>
        <v>0</v>
      </c>
      <c r="T33" s="4">
        <f t="shared" si="9"/>
        <v>0</v>
      </c>
      <c r="U33" s="4">
        <f t="shared" si="9"/>
        <v>0</v>
      </c>
      <c r="V33" s="4">
        <f t="shared" si="9"/>
        <v>0</v>
      </c>
      <c r="W33" s="4">
        <f t="shared" si="9"/>
        <v>0</v>
      </c>
      <c r="X33" s="4">
        <f t="shared" si="9"/>
        <v>0</v>
      </c>
      <c r="Y33" s="604"/>
      <c r="Z33" s="3" t="str">
        <f>VLOOKUP($D33,TableInputsData[],ReadMe!$M$3,FALSE)&amp;"  |  "&amp;VLOOKUP($E33,TableInputsData[],ReadMe!$M$3,FALSE)&amp;"  |  "&amp;VLOOKUP($G33,TableInputsData[],ReadMe!$M$3,FALSE)</f>
        <v>CA ET MARGE BRUTE  |  PRIX MOYEN DE VENTE PAR PRODUIT/SERVICE  |  PRODUIT 04</v>
      </c>
      <c r="AA33" s="3"/>
      <c r="AB33" s="34">
        <f t="shared" si="7"/>
        <v>1</v>
      </c>
      <c r="AC33" s="34"/>
      <c r="AD33" s="34"/>
      <c r="AE33" s="26"/>
      <c r="AF33" s="34">
        <v>1</v>
      </c>
      <c r="AG33" s="34">
        <f>VLOOKUP($G33,TableInputsData[],$AG$2,FALSE)</f>
        <v>0</v>
      </c>
      <c r="AH33" s="535"/>
      <c r="AI33" s="294"/>
    </row>
    <row r="34" spans="1:35" x14ac:dyDescent="0.2">
      <c r="A34" s="294"/>
      <c r="B34" s="944"/>
      <c r="C34" s="66">
        <v>1</v>
      </c>
      <c r="D34" s="3" t="s">
        <v>618</v>
      </c>
      <c r="E34" s="3" t="s">
        <v>456</v>
      </c>
      <c r="F34" s="3" t="s">
        <v>21</v>
      </c>
      <c r="G34" s="3" t="s">
        <v>541</v>
      </c>
      <c r="H34" s="5" t="str">
        <f>VLOOKUP($G34,TableInputsData[],6,FALSE)</f>
        <v>-</v>
      </c>
      <c r="I34" s="5" t="str">
        <f>VLOOKUP("SEE InputsData SHEET",TableInputsData[],ReadMe!$M$3,FALSE)</f>
        <v>VOIR FEUILLE InputData</v>
      </c>
      <c r="J34" s="26"/>
      <c r="K34" s="135"/>
      <c r="L34" s="127"/>
      <c r="M34" s="134"/>
      <c r="N34" s="60"/>
      <c r="O34" s="4">
        <f t="shared" ref="O34:X34" si="10">IF(O12=0,0,O56/O12)</f>
        <v>0</v>
      </c>
      <c r="P34" s="4">
        <f t="shared" si="10"/>
        <v>0</v>
      </c>
      <c r="Q34" s="4">
        <f t="shared" si="10"/>
        <v>0</v>
      </c>
      <c r="R34" s="4">
        <f t="shared" si="10"/>
        <v>0</v>
      </c>
      <c r="S34" s="4">
        <f t="shared" si="10"/>
        <v>0</v>
      </c>
      <c r="T34" s="4">
        <f t="shared" si="10"/>
        <v>0</v>
      </c>
      <c r="U34" s="4">
        <f t="shared" si="10"/>
        <v>0</v>
      </c>
      <c r="V34" s="4">
        <f t="shared" si="10"/>
        <v>0</v>
      </c>
      <c r="W34" s="4">
        <f t="shared" si="10"/>
        <v>0</v>
      </c>
      <c r="X34" s="4">
        <f t="shared" si="10"/>
        <v>0</v>
      </c>
      <c r="Y34" s="604"/>
      <c r="Z34" s="3" t="str">
        <f>VLOOKUP($D34,TableInputsData[],ReadMe!$M$3,FALSE)&amp;"  |  "&amp;VLOOKUP($E34,TableInputsData[],ReadMe!$M$3,FALSE)&amp;"  |  "&amp;VLOOKUP($G34,TableInputsData[],ReadMe!$M$3,FALSE)</f>
        <v>CA ET MARGE BRUTE  |  PRIX MOYEN DE VENTE PAR PRODUIT/SERVICE  |  PRODUIT 05</v>
      </c>
      <c r="AA34" s="3"/>
      <c r="AB34" s="34">
        <f t="shared" si="7"/>
        <v>1</v>
      </c>
      <c r="AC34" s="34"/>
      <c r="AD34" s="34"/>
      <c r="AE34" s="26"/>
      <c r="AF34" s="34">
        <v>1</v>
      </c>
      <c r="AG34" s="34">
        <f>VLOOKUP($G34,TableInputsData[],$AG$2,FALSE)</f>
        <v>0</v>
      </c>
      <c r="AH34" s="535"/>
      <c r="AI34" s="294"/>
    </row>
    <row r="35" spans="1:35" x14ac:dyDescent="0.2">
      <c r="A35" s="294"/>
      <c r="B35" s="944"/>
      <c r="C35" s="66">
        <v>1</v>
      </c>
      <c r="D35" s="3" t="s">
        <v>618</v>
      </c>
      <c r="E35" s="3" t="s">
        <v>456</v>
      </c>
      <c r="F35" s="3" t="s">
        <v>21</v>
      </c>
      <c r="G35" s="3" t="s">
        <v>542</v>
      </c>
      <c r="H35" s="5" t="str">
        <f>VLOOKUP($G35,TableInputsData[],6,FALSE)</f>
        <v>-</v>
      </c>
      <c r="I35" s="5" t="str">
        <f>VLOOKUP("SEE InputsData SHEET",TableInputsData[],ReadMe!$M$3,FALSE)</f>
        <v>VOIR FEUILLE InputData</v>
      </c>
      <c r="J35" s="26"/>
      <c r="K35" s="135"/>
      <c r="L35" s="127"/>
      <c r="M35" s="134"/>
      <c r="N35" s="60"/>
      <c r="O35" s="4">
        <f t="shared" ref="O35:X35" si="11">IF(O13=0,0,O57/O13)</f>
        <v>0</v>
      </c>
      <c r="P35" s="4">
        <f t="shared" si="11"/>
        <v>0</v>
      </c>
      <c r="Q35" s="4">
        <f t="shared" si="11"/>
        <v>0</v>
      </c>
      <c r="R35" s="4">
        <f t="shared" si="11"/>
        <v>0</v>
      </c>
      <c r="S35" s="4">
        <f t="shared" si="11"/>
        <v>0</v>
      </c>
      <c r="T35" s="4">
        <f t="shared" si="11"/>
        <v>0</v>
      </c>
      <c r="U35" s="4">
        <f t="shared" si="11"/>
        <v>0</v>
      </c>
      <c r="V35" s="4">
        <f t="shared" si="11"/>
        <v>0</v>
      </c>
      <c r="W35" s="4">
        <f t="shared" si="11"/>
        <v>0</v>
      </c>
      <c r="X35" s="4">
        <f t="shared" si="11"/>
        <v>0</v>
      </c>
      <c r="Y35" s="604"/>
      <c r="Z35" s="3" t="str">
        <f>VLOOKUP($D35,TableInputsData[],ReadMe!$M$3,FALSE)&amp;"  |  "&amp;VLOOKUP($E35,TableInputsData[],ReadMe!$M$3,FALSE)&amp;"  |  "&amp;VLOOKUP($G35,TableInputsData[],ReadMe!$M$3,FALSE)</f>
        <v>CA ET MARGE BRUTE  |  PRIX MOYEN DE VENTE PAR PRODUIT/SERVICE  |  PRODUIT 06</v>
      </c>
      <c r="AA35" s="3"/>
      <c r="AB35" s="34">
        <f t="shared" si="7"/>
        <v>1</v>
      </c>
      <c r="AC35" s="34"/>
      <c r="AD35" s="34"/>
      <c r="AE35" s="26"/>
      <c r="AF35" s="34">
        <v>1</v>
      </c>
      <c r="AG35" s="34">
        <f>VLOOKUP($G35,TableInputsData[],$AG$2,FALSE)</f>
        <v>0</v>
      </c>
      <c r="AH35" s="535"/>
      <c r="AI35" s="294"/>
    </row>
    <row r="36" spans="1:35" x14ac:dyDescent="0.2">
      <c r="A36" s="294"/>
      <c r="B36" s="944"/>
      <c r="C36" s="66">
        <v>1</v>
      </c>
      <c r="D36" s="3" t="s">
        <v>618</v>
      </c>
      <c r="E36" s="3" t="s">
        <v>456</v>
      </c>
      <c r="F36" s="3" t="s">
        <v>21</v>
      </c>
      <c r="G36" s="3" t="s">
        <v>543</v>
      </c>
      <c r="H36" s="5" t="str">
        <f>VLOOKUP($G36,TableInputsData[],6,FALSE)</f>
        <v>-</v>
      </c>
      <c r="I36" s="5" t="str">
        <f>VLOOKUP("SEE InputsData SHEET",TableInputsData[],ReadMe!$M$3,FALSE)</f>
        <v>VOIR FEUILLE InputData</v>
      </c>
      <c r="J36" s="26"/>
      <c r="K36" s="135"/>
      <c r="L36" s="127"/>
      <c r="M36" s="134"/>
      <c r="N36" s="60"/>
      <c r="O36" s="4">
        <f t="shared" ref="O36:X36" si="12">IF(O14=0,0,O58/O14)</f>
        <v>0</v>
      </c>
      <c r="P36" s="4">
        <f t="shared" si="12"/>
        <v>0</v>
      </c>
      <c r="Q36" s="4">
        <f t="shared" si="12"/>
        <v>0</v>
      </c>
      <c r="R36" s="4">
        <f t="shared" si="12"/>
        <v>0</v>
      </c>
      <c r="S36" s="4">
        <f t="shared" si="12"/>
        <v>0</v>
      </c>
      <c r="T36" s="4">
        <f t="shared" si="12"/>
        <v>0</v>
      </c>
      <c r="U36" s="4">
        <f t="shared" si="12"/>
        <v>0</v>
      </c>
      <c r="V36" s="4">
        <f t="shared" si="12"/>
        <v>0</v>
      </c>
      <c r="W36" s="4">
        <f t="shared" si="12"/>
        <v>0</v>
      </c>
      <c r="X36" s="4">
        <f t="shared" si="12"/>
        <v>0</v>
      </c>
      <c r="Y36" s="604"/>
      <c r="Z36" s="3" t="str">
        <f>VLOOKUP($D36,TableInputsData[],ReadMe!$M$3,FALSE)&amp;"  |  "&amp;VLOOKUP($E36,TableInputsData[],ReadMe!$M$3,FALSE)&amp;"  |  "&amp;VLOOKUP($G36,TableInputsData[],ReadMe!$M$3,FALSE)</f>
        <v>CA ET MARGE BRUTE  |  PRIX MOYEN DE VENTE PAR PRODUIT/SERVICE  |  PRODUIT 07</v>
      </c>
      <c r="AA36" s="3"/>
      <c r="AB36" s="34">
        <f t="shared" si="7"/>
        <v>1</v>
      </c>
      <c r="AC36" s="34"/>
      <c r="AD36" s="34"/>
      <c r="AE36" s="26"/>
      <c r="AF36" s="34">
        <v>1</v>
      </c>
      <c r="AG36" s="34">
        <f>VLOOKUP($G36,TableInputsData[],$AG$2,FALSE)</f>
        <v>0</v>
      </c>
      <c r="AH36" s="535"/>
      <c r="AI36" s="294"/>
    </row>
    <row r="37" spans="1:35" x14ac:dyDescent="0.2">
      <c r="A37" s="294"/>
      <c r="B37" s="944"/>
      <c r="C37" s="66">
        <v>1</v>
      </c>
      <c r="D37" s="3" t="s">
        <v>618</v>
      </c>
      <c r="E37" s="3" t="s">
        <v>456</v>
      </c>
      <c r="F37" s="3" t="s">
        <v>21</v>
      </c>
      <c r="G37" s="3" t="s">
        <v>544</v>
      </c>
      <c r="H37" s="5" t="str">
        <f>VLOOKUP($G37,TableInputsData[],6,FALSE)</f>
        <v>-</v>
      </c>
      <c r="I37" s="5" t="str">
        <f>VLOOKUP("SEE InputsData SHEET",TableInputsData[],ReadMe!$M$3,FALSE)</f>
        <v>VOIR FEUILLE InputData</v>
      </c>
      <c r="J37" s="26"/>
      <c r="K37" s="135"/>
      <c r="L37" s="127"/>
      <c r="M37" s="134"/>
      <c r="N37" s="60"/>
      <c r="O37" s="4">
        <f t="shared" ref="O37:X37" si="13">IF(O15=0,0,O59/O15)</f>
        <v>0</v>
      </c>
      <c r="P37" s="4">
        <f t="shared" si="13"/>
        <v>0</v>
      </c>
      <c r="Q37" s="4">
        <f t="shared" si="13"/>
        <v>0</v>
      </c>
      <c r="R37" s="4">
        <f t="shared" si="13"/>
        <v>0</v>
      </c>
      <c r="S37" s="4">
        <f t="shared" si="13"/>
        <v>0</v>
      </c>
      <c r="T37" s="4">
        <f t="shared" si="13"/>
        <v>0</v>
      </c>
      <c r="U37" s="4">
        <f t="shared" si="13"/>
        <v>0</v>
      </c>
      <c r="V37" s="4">
        <f t="shared" si="13"/>
        <v>0</v>
      </c>
      <c r="W37" s="4">
        <f t="shared" si="13"/>
        <v>0</v>
      </c>
      <c r="X37" s="4">
        <f t="shared" si="13"/>
        <v>0</v>
      </c>
      <c r="Y37" s="604"/>
      <c r="Z37" s="3" t="str">
        <f>VLOOKUP($D37,TableInputsData[],ReadMe!$M$3,FALSE)&amp;"  |  "&amp;VLOOKUP($E37,TableInputsData[],ReadMe!$M$3,FALSE)&amp;"  |  "&amp;VLOOKUP($G37,TableInputsData[],ReadMe!$M$3,FALSE)</f>
        <v>CA ET MARGE BRUTE  |  PRIX MOYEN DE VENTE PAR PRODUIT/SERVICE  |  PRODUIT 08</v>
      </c>
      <c r="AA37" s="3"/>
      <c r="AB37" s="34">
        <f t="shared" si="7"/>
        <v>1</v>
      </c>
      <c r="AC37" s="34"/>
      <c r="AD37" s="34"/>
      <c r="AE37" s="26"/>
      <c r="AF37" s="34">
        <v>1</v>
      </c>
      <c r="AG37" s="34">
        <f>VLOOKUP($G37,TableInputsData[],$AG$2,FALSE)</f>
        <v>0</v>
      </c>
      <c r="AH37" s="535"/>
      <c r="AI37" s="294"/>
    </row>
    <row r="38" spans="1:35" x14ac:dyDescent="0.2">
      <c r="A38" s="294"/>
      <c r="B38" s="944"/>
      <c r="C38" s="66">
        <v>1</v>
      </c>
      <c r="D38" s="3" t="s">
        <v>618</v>
      </c>
      <c r="E38" s="3" t="s">
        <v>456</v>
      </c>
      <c r="F38" s="3" t="s">
        <v>21</v>
      </c>
      <c r="G38" s="3" t="s">
        <v>545</v>
      </c>
      <c r="H38" s="5" t="str">
        <f>VLOOKUP($G38,TableInputsData[],6,FALSE)</f>
        <v>-</v>
      </c>
      <c r="I38" s="5" t="str">
        <f>VLOOKUP("SEE InputsData SHEET",TableInputsData[],ReadMe!$M$3,FALSE)</f>
        <v>VOIR FEUILLE InputData</v>
      </c>
      <c r="J38" s="26"/>
      <c r="K38" s="135"/>
      <c r="L38" s="127"/>
      <c r="M38" s="134"/>
      <c r="N38" s="60"/>
      <c r="O38" s="4">
        <f t="shared" ref="O38:X38" si="14">IF(O16=0,0,O60/O16)</f>
        <v>0</v>
      </c>
      <c r="P38" s="4">
        <f t="shared" si="14"/>
        <v>0</v>
      </c>
      <c r="Q38" s="4">
        <f t="shared" si="14"/>
        <v>0</v>
      </c>
      <c r="R38" s="4">
        <f t="shared" si="14"/>
        <v>0</v>
      </c>
      <c r="S38" s="4">
        <f t="shared" si="14"/>
        <v>0</v>
      </c>
      <c r="T38" s="4">
        <f t="shared" si="14"/>
        <v>0</v>
      </c>
      <c r="U38" s="4">
        <f t="shared" si="14"/>
        <v>0</v>
      </c>
      <c r="V38" s="4">
        <f t="shared" si="14"/>
        <v>0</v>
      </c>
      <c r="W38" s="4">
        <f t="shared" si="14"/>
        <v>0</v>
      </c>
      <c r="X38" s="4">
        <f t="shared" si="14"/>
        <v>0</v>
      </c>
      <c r="Y38" s="604"/>
      <c r="Z38" s="3" t="str">
        <f>VLOOKUP($D38,TableInputsData[],ReadMe!$M$3,FALSE)&amp;"  |  "&amp;VLOOKUP($E38,TableInputsData[],ReadMe!$M$3,FALSE)&amp;"  |  "&amp;VLOOKUP($G38,TableInputsData[],ReadMe!$M$3,FALSE)</f>
        <v>CA ET MARGE BRUTE  |  PRIX MOYEN DE VENTE PAR PRODUIT/SERVICE  |  PRODUIT 09</v>
      </c>
      <c r="AA38" s="3"/>
      <c r="AB38" s="34">
        <f t="shared" si="7"/>
        <v>1</v>
      </c>
      <c r="AC38" s="34"/>
      <c r="AD38" s="34"/>
      <c r="AE38" s="26"/>
      <c r="AF38" s="34">
        <v>1</v>
      </c>
      <c r="AG38" s="34">
        <f>VLOOKUP($G38,TableInputsData[],$AG$2,FALSE)</f>
        <v>0</v>
      </c>
      <c r="AH38" s="535"/>
      <c r="AI38" s="294"/>
    </row>
    <row r="39" spans="1:35" x14ac:dyDescent="0.2">
      <c r="A39" s="294"/>
      <c r="B39" s="944"/>
      <c r="C39" s="70">
        <v>1</v>
      </c>
      <c r="D39" s="3" t="s">
        <v>618</v>
      </c>
      <c r="E39" s="3" t="s">
        <v>456</v>
      </c>
      <c r="F39" s="3" t="s">
        <v>21</v>
      </c>
      <c r="G39" s="3" t="s">
        <v>401</v>
      </c>
      <c r="H39" s="5" t="str">
        <f>VLOOKUP($G39,TableInputsData[],6,FALSE)</f>
        <v>-</v>
      </c>
      <c r="I39" s="5" t="str">
        <f>VLOOKUP("SEE InputsData SHEET",TableInputsData[],ReadMe!$M$3,FALSE)</f>
        <v>VOIR FEUILLE InputData</v>
      </c>
      <c r="J39" s="26"/>
      <c r="K39" s="135"/>
      <c r="L39" s="127"/>
      <c r="M39" s="134"/>
      <c r="N39" s="60"/>
      <c r="O39" s="4">
        <f t="shared" ref="O39:X39" si="15">IF(O17=0,0,O61/O17)</f>
        <v>0</v>
      </c>
      <c r="P39" s="4">
        <f t="shared" si="15"/>
        <v>0</v>
      </c>
      <c r="Q39" s="4">
        <f t="shared" si="15"/>
        <v>0</v>
      </c>
      <c r="R39" s="4">
        <f t="shared" si="15"/>
        <v>0</v>
      </c>
      <c r="S39" s="4">
        <f t="shared" si="15"/>
        <v>0</v>
      </c>
      <c r="T39" s="4">
        <f t="shared" si="15"/>
        <v>0</v>
      </c>
      <c r="U39" s="4">
        <f t="shared" si="15"/>
        <v>0</v>
      </c>
      <c r="V39" s="4">
        <f t="shared" si="15"/>
        <v>0</v>
      </c>
      <c r="W39" s="4">
        <f t="shared" si="15"/>
        <v>0</v>
      </c>
      <c r="X39" s="4">
        <f t="shared" si="15"/>
        <v>0</v>
      </c>
      <c r="Y39" s="604"/>
      <c r="Z39" s="3" t="str">
        <f>VLOOKUP($D39,TableInputsData[],ReadMe!$M$3,FALSE)&amp;"  |  "&amp;VLOOKUP($E39,TableInputsData[],ReadMe!$M$3,FALSE)&amp;"  |  "&amp;VLOOKUP($G39,TableInputsData[],ReadMe!$M$3,FALSE)</f>
        <v>CA ET MARGE BRUTE  |  PRIX MOYEN DE VENTE PAR PRODUIT/SERVICE  |  PRODUIT 10</v>
      </c>
      <c r="AA39" s="6"/>
      <c r="AB39" s="36">
        <f t="shared" si="7"/>
        <v>1</v>
      </c>
      <c r="AC39" s="36"/>
      <c r="AD39" s="36"/>
      <c r="AE39" s="91"/>
      <c r="AF39" s="36">
        <v>1</v>
      </c>
      <c r="AG39" s="34">
        <f>VLOOKUP($G39,TableInputsData[],$AG$2,FALSE)</f>
        <v>0</v>
      </c>
      <c r="AH39" s="536"/>
      <c r="AI39" s="294"/>
    </row>
    <row r="40" spans="1:35" x14ac:dyDescent="0.2">
      <c r="A40" s="294"/>
      <c r="B40" s="944"/>
      <c r="C40" s="70">
        <v>1</v>
      </c>
      <c r="D40" s="3" t="s">
        <v>618</v>
      </c>
      <c r="E40" s="3" t="s">
        <v>456</v>
      </c>
      <c r="F40" s="3" t="s">
        <v>21</v>
      </c>
      <c r="G40" s="3" t="s">
        <v>1710</v>
      </c>
      <c r="H40" s="5" t="str">
        <f>VLOOKUP($G40,TableInputsData[],6,FALSE)</f>
        <v>-</v>
      </c>
      <c r="I40" s="5" t="str">
        <f>VLOOKUP("SEE InputsData SHEET",TableInputsData[],ReadMe!$M$3,FALSE)</f>
        <v>VOIR FEUILLE InputData</v>
      </c>
      <c r="J40" s="26"/>
      <c r="K40" s="135"/>
      <c r="L40" s="127"/>
      <c r="M40" s="134"/>
      <c r="N40" s="60"/>
      <c r="O40" s="4">
        <f t="shared" ref="O40:X40" si="16">IF(O18=0,0,O72/O18)</f>
        <v>0</v>
      </c>
      <c r="P40" s="4">
        <f t="shared" si="16"/>
        <v>0</v>
      </c>
      <c r="Q40" s="4">
        <f t="shared" si="16"/>
        <v>0</v>
      </c>
      <c r="R40" s="4">
        <f t="shared" si="16"/>
        <v>0</v>
      </c>
      <c r="S40" s="4">
        <f t="shared" si="16"/>
        <v>0</v>
      </c>
      <c r="T40" s="4">
        <f t="shared" si="16"/>
        <v>0</v>
      </c>
      <c r="U40" s="4">
        <f t="shared" si="16"/>
        <v>0</v>
      </c>
      <c r="V40" s="4">
        <f t="shared" si="16"/>
        <v>0</v>
      </c>
      <c r="W40" s="4">
        <f t="shared" si="16"/>
        <v>0</v>
      </c>
      <c r="X40" s="4">
        <f t="shared" si="16"/>
        <v>0</v>
      </c>
      <c r="Y40" s="604"/>
      <c r="Z40" s="3" t="str">
        <f>VLOOKUP($D40,TableInputsData[],ReadMe!$M$3,FALSE)&amp;"  |  "&amp;VLOOKUP($E40,TableInputsData[],ReadMe!$M$3,FALSE)&amp;"  |  "&amp;VLOOKUP($G40,TableInputsData[],ReadMe!$M$3,FALSE)</f>
        <v>CA ET MARGE BRUTE  |  PRIX MOYEN DE VENTE PAR PRODUIT/SERVICE  |  PRODUIT 11</v>
      </c>
      <c r="AA40" s="6"/>
      <c r="AB40" s="36">
        <f t="shared" ref="AB40:AB49" si="17">IF(AND(SUM(O40:X40)=0,H40=""),0,1)</f>
        <v>1</v>
      </c>
      <c r="AC40" s="36"/>
      <c r="AD40" s="36"/>
      <c r="AE40" s="91"/>
      <c r="AF40" s="36">
        <v>1</v>
      </c>
      <c r="AG40" s="34">
        <f>VLOOKUP($G40,TableInputsData[],$AG$2,FALSE)</f>
        <v>0</v>
      </c>
      <c r="AH40" s="536"/>
      <c r="AI40" s="294"/>
    </row>
    <row r="41" spans="1:35" x14ac:dyDescent="0.2">
      <c r="A41" s="294"/>
      <c r="B41" s="944"/>
      <c r="C41" s="70">
        <v>1</v>
      </c>
      <c r="D41" s="3" t="s">
        <v>618</v>
      </c>
      <c r="E41" s="3" t="s">
        <v>456</v>
      </c>
      <c r="F41" s="3" t="s">
        <v>21</v>
      </c>
      <c r="G41" s="3" t="s">
        <v>1712</v>
      </c>
      <c r="H41" s="5" t="str">
        <f>VLOOKUP($G41,TableInputsData[],6,FALSE)</f>
        <v>-</v>
      </c>
      <c r="I41" s="5" t="str">
        <f>VLOOKUP("SEE InputsData SHEET",TableInputsData[],ReadMe!$M$3,FALSE)</f>
        <v>VOIR FEUILLE InputData</v>
      </c>
      <c r="J41" s="26"/>
      <c r="K41" s="135"/>
      <c r="L41" s="127"/>
      <c r="M41" s="134"/>
      <c r="N41" s="60"/>
      <c r="O41" s="4">
        <f t="shared" ref="O41:X41" si="18">IF(O19=0,0,O73/O19)</f>
        <v>0</v>
      </c>
      <c r="P41" s="4">
        <f t="shared" si="18"/>
        <v>0</v>
      </c>
      <c r="Q41" s="4">
        <f t="shared" si="18"/>
        <v>0</v>
      </c>
      <c r="R41" s="4">
        <f t="shared" si="18"/>
        <v>0</v>
      </c>
      <c r="S41" s="4">
        <f t="shared" si="18"/>
        <v>0</v>
      </c>
      <c r="T41" s="4">
        <f t="shared" si="18"/>
        <v>0</v>
      </c>
      <c r="U41" s="4">
        <f t="shared" si="18"/>
        <v>0</v>
      </c>
      <c r="V41" s="4">
        <f t="shared" si="18"/>
        <v>0</v>
      </c>
      <c r="W41" s="4">
        <f t="shared" si="18"/>
        <v>0</v>
      </c>
      <c r="X41" s="4">
        <f t="shared" si="18"/>
        <v>0</v>
      </c>
      <c r="Y41" s="604"/>
      <c r="Z41" s="3" t="str">
        <f>VLOOKUP($D41,TableInputsData[],ReadMe!$M$3,FALSE)&amp;"  |  "&amp;VLOOKUP($E41,TableInputsData[],ReadMe!$M$3,FALSE)&amp;"  |  "&amp;VLOOKUP($G41,TableInputsData[],ReadMe!$M$3,FALSE)</f>
        <v>CA ET MARGE BRUTE  |  PRIX MOYEN DE VENTE PAR PRODUIT/SERVICE  |  PRODUIT 12</v>
      </c>
      <c r="AA41" s="6"/>
      <c r="AB41" s="36">
        <f t="shared" si="17"/>
        <v>1</v>
      </c>
      <c r="AC41" s="36"/>
      <c r="AD41" s="36"/>
      <c r="AE41" s="91"/>
      <c r="AF41" s="36">
        <v>1</v>
      </c>
      <c r="AG41" s="34">
        <f>VLOOKUP($G41,TableInputsData[],$AG$2,FALSE)</f>
        <v>0</v>
      </c>
      <c r="AH41" s="536"/>
      <c r="AI41" s="294"/>
    </row>
    <row r="42" spans="1:35" x14ac:dyDescent="0.2">
      <c r="A42" s="294"/>
      <c r="B42" s="944"/>
      <c r="C42" s="70">
        <v>1</v>
      </c>
      <c r="D42" s="3" t="s">
        <v>618</v>
      </c>
      <c r="E42" s="3" t="s">
        <v>456</v>
      </c>
      <c r="F42" s="3" t="s">
        <v>21</v>
      </c>
      <c r="G42" s="3" t="s">
        <v>1714</v>
      </c>
      <c r="H42" s="5" t="str">
        <f>VLOOKUP($G42,TableInputsData[],6,FALSE)</f>
        <v>-</v>
      </c>
      <c r="I42" s="5" t="str">
        <f>VLOOKUP("SEE InputsData SHEET",TableInputsData[],ReadMe!$M$3,FALSE)</f>
        <v>VOIR FEUILLE InputData</v>
      </c>
      <c r="J42" s="26"/>
      <c r="K42" s="135"/>
      <c r="L42" s="127"/>
      <c r="M42" s="134"/>
      <c r="N42" s="60"/>
      <c r="O42" s="4">
        <f t="shared" ref="O42:X42" si="19">IF(O20=0,0,O74/O20)</f>
        <v>0</v>
      </c>
      <c r="P42" s="4">
        <f t="shared" si="19"/>
        <v>0</v>
      </c>
      <c r="Q42" s="4">
        <f t="shared" si="19"/>
        <v>0</v>
      </c>
      <c r="R42" s="4">
        <f t="shared" si="19"/>
        <v>0</v>
      </c>
      <c r="S42" s="4">
        <f t="shared" si="19"/>
        <v>0</v>
      </c>
      <c r="T42" s="4">
        <f t="shared" si="19"/>
        <v>0</v>
      </c>
      <c r="U42" s="4">
        <f t="shared" si="19"/>
        <v>0</v>
      </c>
      <c r="V42" s="4">
        <f t="shared" si="19"/>
        <v>0</v>
      </c>
      <c r="W42" s="4">
        <f t="shared" si="19"/>
        <v>0</v>
      </c>
      <c r="X42" s="4">
        <f t="shared" si="19"/>
        <v>0</v>
      </c>
      <c r="Y42" s="604"/>
      <c r="Z42" s="3" t="str">
        <f>VLOOKUP($D42,TableInputsData[],ReadMe!$M$3,FALSE)&amp;"  |  "&amp;VLOOKUP($E42,TableInputsData[],ReadMe!$M$3,FALSE)&amp;"  |  "&amp;VLOOKUP($G42,TableInputsData[],ReadMe!$M$3,FALSE)</f>
        <v>CA ET MARGE BRUTE  |  PRIX MOYEN DE VENTE PAR PRODUIT/SERVICE  |  PRODUIT 13</v>
      </c>
      <c r="AA42" s="6"/>
      <c r="AB42" s="36">
        <f t="shared" si="17"/>
        <v>1</v>
      </c>
      <c r="AC42" s="36"/>
      <c r="AD42" s="36"/>
      <c r="AE42" s="91"/>
      <c r="AF42" s="36">
        <v>1</v>
      </c>
      <c r="AG42" s="34">
        <f>VLOOKUP($G42,TableInputsData[],$AG$2,FALSE)</f>
        <v>0</v>
      </c>
      <c r="AH42" s="536"/>
      <c r="AI42" s="294"/>
    </row>
    <row r="43" spans="1:35" x14ac:dyDescent="0.2">
      <c r="A43" s="294"/>
      <c r="B43" s="944"/>
      <c r="C43" s="70">
        <v>1</v>
      </c>
      <c r="D43" s="3" t="s">
        <v>618</v>
      </c>
      <c r="E43" s="3" t="s">
        <v>456</v>
      </c>
      <c r="F43" s="3" t="s">
        <v>21</v>
      </c>
      <c r="G43" s="3" t="s">
        <v>1716</v>
      </c>
      <c r="H43" s="5" t="str">
        <f>VLOOKUP($G43,TableInputsData[],6,FALSE)</f>
        <v>-</v>
      </c>
      <c r="I43" s="5" t="str">
        <f>VLOOKUP("SEE InputsData SHEET",TableInputsData[],ReadMe!$M$3,FALSE)</f>
        <v>VOIR FEUILLE InputData</v>
      </c>
      <c r="J43" s="26"/>
      <c r="K43" s="135"/>
      <c r="L43" s="127"/>
      <c r="M43" s="134"/>
      <c r="N43" s="60"/>
      <c r="O43" s="4">
        <f t="shared" ref="O43:X43" si="20">IF(O21=0,0,O75/O21)</f>
        <v>0</v>
      </c>
      <c r="P43" s="4">
        <f t="shared" si="20"/>
        <v>0</v>
      </c>
      <c r="Q43" s="4">
        <f t="shared" si="20"/>
        <v>0</v>
      </c>
      <c r="R43" s="4">
        <f t="shared" si="20"/>
        <v>0</v>
      </c>
      <c r="S43" s="4">
        <f t="shared" si="20"/>
        <v>0</v>
      </c>
      <c r="T43" s="4">
        <f t="shared" si="20"/>
        <v>0</v>
      </c>
      <c r="U43" s="4">
        <f t="shared" si="20"/>
        <v>0</v>
      </c>
      <c r="V43" s="4">
        <f t="shared" si="20"/>
        <v>0</v>
      </c>
      <c r="W43" s="4">
        <f t="shared" si="20"/>
        <v>0</v>
      </c>
      <c r="X43" s="4">
        <f t="shared" si="20"/>
        <v>0</v>
      </c>
      <c r="Y43" s="604"/>
      <c r="Z43" s="3" t="str">
        <f>VLOOKUP($D43,TableInputsData[],ReadMe!$M$3,FALSE)&amp;"  |  "&amp;VLOOKUP($E43,TableInputsData[],ReadMe!$M$3,FALSE)&amp;"  |  "&amp;VLOOKUP($G43,TableInputsData[],ReadMe!$M$3,FALSE)</f>
        <v>CA ET MARGE BRUTE  |  PRIX MOYEN DE VENTE PAR PRODUIT/SERVICE  |  PRODUIT 14</v>
      </c>
      <c r="AA43" s="6"/>
      <c r="AB43" s="36">
        <f t="shared" si="17"/>
        <v>1</v>
      </c>
      <c r="AC43" s="36"/>
      <c r="AD43" s="36"/>
      <c r="AE43" s="91"/>
      <c r="AF43" s="36">
        <v>1</v>
      </c>
      <c r="AG43" s="34">
        <f>VLOOKUP($G43,TableInputsData[],$AG$2,FALSE)</f>
        <v>0</v>
      </c>
      <c r="AH43" s="536"/>
      <c r="AI43" s="294"/>
    </row>
    <row r="44" spans="1:35" x14ac:dyDescent="0.2">
      <c r="A44" s="294"/>
      <c r="B44" s="944"/>
      <c r="C44" s="70">
        <v>1</v>
      </c>
      <c r="D44" s="3" t="s">
        <v>618</v>
      </c>
      <c r="E44" s="3" t="s">
        <v>456</v>
      </c>
      <c r="F44" s="3" t="s">
        <v>21</v>
      </c>
      <c r="G44" s="3" t="s">
        <v>1718</v>
      </c>
      <c r="H44" s="5" t="str">
        <f>VLOOKUP($G44,TableInputsData[],6,FALSE)</f>
        <v>-</v>
      </c>
      <c r="I44" s="5" t="str">
        <f>VLOOKUP("SEE InputsData SHEET",TableInputsData[],ReadMe!$M$3,FALSE)</f>
        <v>VOIR FEUILLE InputData</v>
      </c>
      <c r="J44" s="26"/>
      <c r="K44" s="135"/>
      <c r="L44" s="127"/>
      <c r="M44" s="134"/>
      <c r="N44" s="60"/>
      <c r="O44" s="4">
        <f t="shared" ref="O44:X44" si="21">IF(O22=0,0,O76/O22)</f>
        <v>0</v>
      </c>
      <c r="P44" s="4">
        <f t="shared" si="21"/>
        <v>0</v>
      </c>
      <c r="Q44" s="4">
        <f t="shared" si="21"/>
        <v>0</v>
      </c>
      <c r="R44" s="4">
        <f t="shared" si="21"/>
        <v>0</v>
      </c>
      <c r="S44" s="4">
        <f t="shared" si="21"/>
        <v>0</v>
      </c>
      <c r="T44" s="4">
        <f t="shared" si="21"/>
        <v>0</v>
      </c>
      <c r="U44" s="4">
        <f t="shared" si="21"/>
        <v>0</v>
      </c>
      <c r="V44" s="4">
        <f t="shared" si="21"/>
        <v>0</v>
      </c>
      <c r="W44" s="4">
        <f t="shared" si="21"/>
        <v>0</v>
      </c>
      <c r="X44" s="4">
        <f t="shared" si="21"/>
        <v>0</v>
      </c>
      <c r="Y44" s="604"/>
      <c r="Z44" s="3" t="str">
        <f>VLOOKUP($D44,TableInputsData[],ReadMe!$M$3,FALSE)&amp;"  |  "&amp;VLOOKUP($E44,TableInputsData[],ReadMe!$M$3,FALSE)&amp;"  |  "&amp;VLOOKUP($G44,TableInputsData[],ReadMe!$M$3,FALSE)</f>
        <v>CA ET MARGE BRUTE  |  PRIX MOYEN DE VENTE PAR PRODUIT/SERVICE  |  PRODUIT 15</v>
      </c>
      <c r="AA44" s="6"/>
      <c r="AB44" s="36">
        <f t="shared" si="17"/>
        <v>1</v>
      </c>
      <c r="AC44" s="36"/>
      <c r="AD44" s="36"/>
      <c r="AE44" s="91"/>
      <c r="AF44" s="36">
        <v>1</v>
      </c>
      <c r="AG44" s="34">
        <f>VLOOKUP($G44,TableInputsData[],$AG$2,FALSE)</f>
        <v>0</v>
      </c>
      <c r="AH44" s="536"/>
      <c r="AI44" s="294"/>
    </row>
    <row r="45" spans="1:35" x14ac:dyDescent="0.2">
      <c r="A45" s="294"/>
      <c r="B45" s="944"/>
      <c r="C45" s="70">
        <v>1</v>
      </c>
      <c r="D45" s="3" t="s">
        <v>618</v>
      </c>
      <c r="E45" s="3" t="s">
        <v>456</v>
      </c>
      <c r="F45" s="3" t="s">
        <v>21</v>
      </c>
      <c r="G45" s="3" t="s">
        <v>1720</v>
      </c>
      <c r="H45" s="5" t="str">
        <f>VLOOKUP($G45,TableInputsData[],6,FALSE)</f>
        <v>-</v>
      </c>
      <c r="I45" s="5" t="str">
        <f>VLOOKUP("SEE InputsData SHEET",TableInputsData[],ReadMe!$M$3,FALSE)</f>
        <v>VOIR FEUILLE InputData</v>
      </c>
      <c r="J45" s="26"/>
      <c r="K45" s="135"/>
      <c r="L45" s="127"/>
      <c r="M45" s="134"/>
      <c r="N45" s="60"/>
      <c r="O45" s="4">
        <f t="shared" ref="O45:X45" si="22">IF(O23=0,0,O77/O23)</f>
        <v>0</v>
      </c>
      <c r="P45" s="4">
        <f t="shared" si="22"/>
        <v>0</v>
      </c>
      <c r="Q45" s="4">
        <f t="shared" si="22"/>
        <v>0</v>
      </c>
      <c r="R45" s="4">
        <f t="shared" si="22"/>
        <v>0</v>
      </c>
      <c r="S45" s="4">
        <f t="shared" si="22"/>
        <v>0</v>
      </c>
      <c r="T45" s="4">
        <f t="shared" si="22"/>
        <v>0</v>
      </c>
      <c r="U45" s="4">
        <f t="shared" si="22"/>
        <v>0</v>
      </c>
      <c r="V45" s="4">
        <f t="shared" si="22"/>
        <v>0</v>
      </c>
      <c r="W45" s="4">
        <f t="shared" si="22"/>
        <v>0</v>
      </c>
      <c r="X45" s="4">
        <f t="shared" si="22"/>
        <v>0</v>
      </c>
      <c r="Y45" s="604"/>
      <c r="Z45" s="3" t="str">
        <f>VLOOKUP($D45,TableInputsData[],ReadMe!$M$3,FALSE)&amp;"  |  "&amp;VLOOKUP($E45,TableInputsData[],ReadMe!$M$3,FALSE)&amp;"  |  "&amp;VLOOKUP($G45,TableInputsData[],ReadMe!$M$3,FALSE)</f>
        <v>CA ET MARGE BRUTE  |  PRIX MOYEN DE VENTE PAR PRODUIT/SERVICE  |  PRODUIT 16</v>
      </c>
      <c r="AA45" s="6"/>
      <c r="AB45" s="36">
        <f t="shared" si="17"/>
        <v>1</v>
      </c>
      <c r="AC45" s="36"/>
      <c r="AD45" s="36"/>
      <c r="AE45" s="91"/>
      <c r="AF45" s="36">
        <v>1</v>
      </c>
      <c r="AG45" s="34">
        <f>VLOOKUP($G45,TableInputsData[],$AG$2,FALSE)</f>
        <v>0</v>
      </c>
      <c r="AH45" s="536"/>
      <c r="AI45" s="294"/>
    </row>
    <row r="46" spans="1:35" x14ac:dyDescent="0.2">
      <c r="A46" s="294"/>
      <c r="B46" s="944"/>
      <c r="C46" s="70">
        <v>1</v>
      </c>
      <c r="D46" s="3" t="s">
        <v>618</v>
      </c>
      <c r="E46" s="3" t="s">
        <v>456</v>
      </c>
      <c r="F46" s="3" t="s">
        <v>21</v>
      </c>
      <c r="G46" s="3" t="s">
        <v>1722</v>
      </c>
      <c r="H46" s="5" t="str">
        <f>VLOOKUP($G46,TableInputsData[],6,FALSE)</f>
        <v>-</v>
      </c>
      <c r="I46" s="5" t="str">
        <f>VLOOKUP("SEE InputsData SHEET",TableInputsData[],ReadMe!$M$3,FALSE)</f>
        <v>VOIR FEUILLE InputData</v>
      </c>
      <c r="J46" s="26"/>
      <c r="K46" s="135"/>
      <c r="L46" s="127"/>
      <c r="M46" s="134"/>
      <c r="N46" s="60"/>
      <c r="O46" s="4">
        <f t="shared" ref="O46:X46" si="23">IF(O24=0,0,O78/O24)</f>
        <v>0</v>
      </c>
      <c r="P46" s="4">
        <f t="shared" si="23"/>
        <v>0</v>
      </c>
      <c r="Q46" s="4">
        <f t="shared" si="23"/>
        <v>0</v>
      </c>
      <c r="R46" s="4">
        <f t="shared" si="23"/>
        <v>0</v>
      </c>
      <c r="S46" s="4">
        <f t="shared" si="23"/>
        <v>0</v>
      </c>
      <c r="T46" s="4">
        <f t="shared" si="23"/>
        <v>0</v>
      </c>
      <c r="U46" s="4">
        <f t="shared" si="23"/>
        <v>0</v>
      </c>
      <c r="V46" s="4">
        <f t="shared" si="23"/>
        <v>0</v>
      </c>
      <c r="W46" s="4">
        <f t="shared" si="23"/>
        <v>0</v>
      </c>
      <c r="X46" s="4">
        <f t="shared" si="23"/>
        <v>0</v>
      </c>
      <c r="Y46" s="604"/>
      <c r="Z46" s="3" t="str">
        <f>VLOOKUP($D46,TableInputsData[],ReadMe!$M$3,FALSE)&amp;"  |  "&amp;VLOOKUP($E46,TableInputsData[],ReadMe!$M$3,FALSE)&amp;"  |  "&amp;VLOOKUP($G46,TableInputsData[],ReadMe!$M$3,FALSE)</f>
        <v>CA ET MARGE BRUTE  |  PRIX MOYEN DE VENTE PAR PRODUIT/SERVICE  |  PRODUIT 17</v>
      </c>
      <c r="AA46" s="6"/>
      <c r="AB46" s="36">
        <f t="shared" si="17"/>
        <v>1</v>
      </c>
      <c r="AC46" s="36"/>
      <c r="AD46" s="36"/>
      <c r="AE46" s="91"/>
      <c r="AF46" s="36">
        <v>1</v>
      </c>
      <c r="AG46" s="34">
        <f>VLOOKUP($G46,TableInputsData[],$AG$2,FALSE)</f>
        <v>0</v>
      </c>
      <c r="AH46" s="536"/>
      <c r="AI46" s="294"/>
    </row>
    <row r="47" spans="1:35" x14ac:dyDescent="0.2">
      <c r="A47" s="294"/>
      <c r="B47" s="944"/>
      <c r="C47" s="70">
        <v>1</v>
      </c>
      <c r="D47" s="3" t="s">
        <v>618</v>
      </c>
      <c r="E47" s="3" t="s">
        <v>456</v>
      </c>
      <c r="F47" s="3" t="s">
        <v>21</v>
      </c>
      <c r="G47" s="3" t="s">
        <v>1724</v>
      </c>
      <c r="H47" s="5" t="str">
        <f>VLOOKUP($G47,TableInputsData[],6,FALSE)</f>
        <v>-</v>
      </c>
      <c r="I47" s="5" t="str">
        <f>VLOOKUP("SEE InputsData SHEET",TableInputsData[],ReadMe!$M$3,FALSE)</f>
        <v>VOIR FEUILLE InputData</v>
      </c>
      <c r="J47" s="26"/>
      <c r="K47" s="135"/>
      <c r="L47" s="127"/>
      <c r="M47" s="134"/>
      <c r="N47" s="60"/>
      <c r="O47" s="4">
        <f t="shared" ref="O47:X47" si="24">IF(O25=0,0,O79/O25)</f>
        <v>0</v>
      </c>
      <c r="P47" s="4">
        <f t="shared" si="24"/>
        <v>0</v>
      </c>
      <c r="Q47" s="4">
        <f t="shared" si="24"/>
        <v>0</v>
      </c>
      <c r="R47" s="4">
        <f t="shared" si="24"/>
        <v>0</v>
      </c>
      <c r="S47" s="4">
        <f t="shared" si="24"/>
        <v>0</v>
      </c>
      <c r="T47" s="4">
        <f t="shared" si="24"/>
        <v>0</v>
      </c>
      <c r="U47" s="4">
        <f t="shared" si="24"/>
        <v>0</v>
      </c>
      <c r="V47" s="4">
        <f t="shared" si="24"/>
        <v>0</v>
      </c>
      <c r="W47" s="4">
        <f t="shared" si="24"/>
        <v>0</v>
      </c>
      <c r="X47" s="4">
        <f t="shared" si="24"/>
        <v>0</v>
      </c>
      <c r="Y47" s="604"/>
      <c r="Z47" s="3" t="str">
        <f>VLOOKUP($D47,TableInputsData[],ReadMe!$M$3,FALSE)&amp;"  |  "&amp;VLOOKUP($E47,TableInputsData[],ReadMe!$M$3,FALSE)&amp;"  |  "&amp;VLOOKUP($G47,TableInputsData[],ReadMe!$M$3,FALSE)</f>
        <v>CA ET MARGE BRUTE  |  PRIX MOYEN DE VENTE PAR PRODUIT/SERVICE  |  PRODUIT 18</v>
      </c>
      <c r="AA47" s="6"/>
      <c r="AB47" s="36">
        <f t="shared" si="17"/>
        <v>1</v>
      </c>
      <c r="AC47" s="36"/>
      <c r="AD47" s="36"/>
      <c r="AE47" s="91"/>
      <c r="AF47" s="36">
        <v>1</v>
      </c>
      <c r="AG47" s="34">
        <f>VLOOKUP($G47,TableInputsData[],$AG$2,FALSE)</f>
        <v>0</v>
      </c>
      <c r="AH47" s="536"/>
      <c r="AI47" s="294"/>
    </row>
    <row r="48" spans="1:35" x14ac:dyDescent="0.2">
      <c r="A48" s="294"/>
      <c r="B48" s="944"/>
      <c r="C48" s="70">
        <v>1</v>
      </c>
      <c r="D48" s="3" t="s">
        <v>618</v>
      </c>
      <c r="E48" s="3" t="s">
        <v>456</v>
      </c>
      <c r="F48" s="3" t="s">
        <v>21</v>
      </c>
      <c r="G48" s="3" t="s">
        <v>1726</v>
      </c>
      <c r="H48" s="5" t="str">
        <f>VLOOKUP($G48,TableInputsData[],6,FALSE)</f>
        <v>-</v>
      </c>
      <c r="I48" s="5" t="str">
        <f>VLOOKUP("SEE InputsData SHEET",TableInputsData[],ReadMe!$M$3,FALSE)</f>
        <v>VOIR FEUILLE InputData</v>
      </c>
      <c r="J48" s="26"/>
      <c r="K48" s="135"/>
      <c r="L48" s="127"/>
      <c r="M48" s="134"/>
      <c r="N48" s="60"/>
      <c r="O48" s="4">
        <f t="shared" ref="O48:X48" si="25">IF(O26=0,0,O80/O26)</f>
        <v>0</v>
      </c>
      <c r="P48" s="4">
        <f t="shared" si="25"/>
        <v>0</v>
      </c>
      <c r="Q48" s="4">
        <f t="shared" si="25"/>
        <v>0</v>
      </c>
      <c r="R48" s="4">
        <f t="shared" si="25"/>
        <v>0</v>
      </c>
      <c r="S48" s="4">
        <f t="shared" si="25"/>
        <v>0</v>
      </c>
      <c r="T48" s="4">
        <f t="shared" si="25"/>
        <v>0</v>
      </c>
      <c r="U48" s="4">
        <f t="shared" si="25"/>
        <v>0</v>
      </c>
      <c r="V48" s="4">
        <f t="shared" si="25"/>
        <v>0</v>
      </c>
      <c r="W48" s="4">
        <f t="shared" si="25"/>
        <v>0</v>
      </c>
      <c r="X48" s="4">
        <f t="shared" si="25"/>
        <v>0</v>
      </c>
      <c r="Y48" s="604"/>
      <c r="Z48" s="3" t="str">
        <f>VLOOKUP($D48,TableInputsData[],ReadMe!$M$3,FALSE)&amp;"  |  "&amp;VLOOKUP($E48,TableInputsData[],ReadMe!$M$3,FALSE)&amp;"  |  "&amp;VLOOKUP($G48,TableInputsData[],ReadMe!$M$3,FALSE)</f>
        <v>CA ET MARGE BRUTE  |  PRIX MOYEN DE VENTE PAR PRODUIT/SERVICE  |  PRODUIT 19</v>
      </c>
      <c r="AA48" s="6"/>
      <c r="AB48" s="36">
        <f t="shared" si="17"/>
        <v>1</v>
      </c>
      <c r="AC48" s="36"/>
      <c r="AD48" s="36"/>
      <c r="AE48" s="91"/>
      <c r="AF48" s="36">
        <v>1</v>
      </c>
      <c r="AG48" s="34">
        <f>VLOOKUP($G48,TableInputsData[],$AG$2,FALSE)</f>
        <v>0</v>
      </c>
      <c r="AH48" s="536"/>
      <c r="AI48" s="294"/>
    </row>
    <row r="49" spans="1:35" x14ac:dyDescent="0.2">
      <c r="A49" s="294"/>
      <c r="B49" s="944"/>
      <c r="C49" s="70">
        <v>1</v>
      </c>
      <c r="D49" s="3" t="s">
        <v>618</v>
      </c>
      <c r="E49" s="3" t="s">
        <v>456</v>
      </c>
      <c r="F49" s="3" t="s">
        <v>21</v>
      </c>
      <c r="G49" s="3" t="s">
        <v>1728</v>
      </c>
      <c r="H49" s="5" t="str">
        <f>VLOOKUP($G49,TableInputsData[],6,FALSE)</f>
        <v>-</v>
      </c>
      <c r="I49" s="5" t="str">
        <f>VLOOKUP("SEE InputsData SHEET",TableInputsData[],ReadMe!$M$3,FALSE)</f>
        <v>VOIR FEUILLE InputData</v>
      </c>
      <c r="J49" s="26"/>
      <c r="K49" s="135"/>
      <c r="L49" s="127"/>
      <c r="M49" s="134"/>
      <c r="N49" s="60"/>
      <c r="O49" s="4">
        <f t="shared" ref="O49:X49" si="26">IF(O27=0,0,O81/O27)</f>
        <v>0</v>
      </c>
      <c r="P49" s="4">
        <f t="shared" si="26"/>
        <v>0</v>
      </c>
      <c r="Q49" s="4">
        <f t="shared" si="26"/>
        <v>0</v>
      </c>
      <c r="R49" s="4">
        <f t="shared" si="26"/>
        <v>0</v>
      </c>
      <c r="S49" s="4">
        <f t="shared" si="26"/>
        <v>0</v>
      </c>
      <c r="T49" s="4">
        <f t="shared" si="26"/>
        <v>0</v>
      </c>
      <c r="U49" s="4">
        <f t="shared" si="26"/>
        <v>0</v>
      </c>
      <c r="V49" s="4">
        <f t="shared" si="26"/>
        <v>0</v>
      </c>
      <c r="W49" s="4">
        <f t="shared" si="26"/>
        <v>0</v>
      </c>
      <c r="X49" s="4">
        <f t="shared" si="26"/>
        <v>0</v>
      </c>
      <c r="Y49" s="604"/>
      <c r="Z49" s="3" t="str">
        <f>VLOOKUP($D49,TableInputsData[],ReadMe!$M$3,FALSE)&amp;"  |  "&amp;VLOOKUP($E49,TableInputsData[],ReadMe!$M$3,FALSE)&amp;"  |  "&amp;VLOOKUP($G49,TableInputsData[],ReadMe!$M$3,FALSE)</f>
        <v>CA ET MARGE BRUTE  |  PRIX MOYEN DE VENTE PAR PRODUIT/SERVICE  |  PRODUIT 20</v>
      </c>
      <c r="AA49" s="6"/>
      <c r="AB49" s="36">
        <f t="shared" si="17"/>
        <v>1</v>
      </c>
      <c r="AC49" s="36"/>
      <c r="AD49" s="36"/>
      <c r="AE49" s="91"/>
      <c r="AF49" s="36">
        <v>1</v>
      </c>
      <c r="AG49" s="34">
        <f>VLOOKUP($G49,TableInputsData[],$AG$2,FALSE)</f>
        <v>0</v>
      </c>
      <c r="AH49" s="536"/>
      <c r="AI49" s="294"/>
    </row>
    <row r="50" spans="1:35" x14ac:dyDescent="0.2">
      <c r="A50" s="294"/>
      <c r="B50" s="944"/>
      <c r="C50" s="67">
        <v>1</v>
      </c>
      <c r="D50" s="16" t="s">
        <v>618</v>
      </c>
      <c r="E50" s="16" t="s">
        <v>456</v>
      </c>
      <c r="F50" s="16" t="s">
        <v>21</v>
      </c>
      <c r="G50" s="16" t="s">
        <v>588</v>
      </c>
      <c r="H50" s="17" t="s">
        <v>617</v>
      </c>
      <c r="I50" s="17"/>
      <c r="J50" s="27"/>
      <c r="K50" s="27"/>
      <c r="L50" s="97"/>
      <c r="M50" s="112"/>
      <c r="N50" s="18"/>
      <c r="O50" s="18">
        <f>IF(O$28=0,0,SUMPRODUCT(O$8:O$27,O30:O49)/O$28)</f>
        <v>0</v>
      </c>
      <c r="P50" s="18">
        <f t="shared" ref="P50:X50" si="27">IF(P$28=0,0,SUMPRODUCT(P$8:P$27,P30:P49)/P$28)</f>
        <v>0</v>
      </c>
      <c r="Q50" s="18">
        <f t="shared" si="27"/>
        <v>0</v>
      </c>
      <c r="R50" s="18">
        <f t="shared" si="27"/>
        <v>0</v>
      </c>
      <c r="S50" s="18">
        <f t="shared" si="27"/>
        <v>0</v>
      </c>
      <c r="T50" s="18">
        <f t="shared" si="27"/>
        <v>0</v>
      </c>
      <c r="U50" s="18">
        <f t="shared" si="27"/>
        <v>0</v>
      </c>
      <c r="V50" s="18">
        <f t="shared" si="27"/>
        <v>0</v>
      </c>
      <c r="W50" s="18">
        <f t="shared" si="27"/>
        <v>0</v>
      </c>
      <c r="X50" s="18">
        <f t="shared" si="27"/>
        <v>0</v>
      </c>
      <c r="Y50" s="18"/>
      <c r="Z50" s="16" t="str">
        <f>VLOOKUP($D50,TableInputsData[],ReadMe!$M$3,FALSE)&amp;"  |  "&amp;VLOOKUP($E50,TableInputsData[],ReadMe!$M$3,FALSE)&amp;"  |  "&amp;VLOOKUP($G50,TableInputsData[],ReadMe!$M$3,FALSE)</f>
        <v>CA ET MARGE BRUTE  |  PRIX MOYEN DE VENTE PAR PRODUIT/SERVICE  |  PRODUIT</v>
      </c>
      <c r="AA50" s="16"/>
      <c r="AB50" s="27">
        <v>1</v>
      </c>
      <c r="AC50" s="27">
        <v>3</v>
      </c>
      <c r="AD50" s="27"/>
      <c r="AE50" s="27"/>
      <c r="AF50" s="27">
        <v>1</v>
      </c>
      <c r="AG50" s="27"/>
      <c r="AH50" s="533"/>
      <c r="AI50" s="294"/>
    </row>
    <row r="51" spans="1:35" x14ac:dyDescent="0.2">
      <c r="A51" s="294"/>
      <c r="B51" s="944"/>
      <c r="C51" s="71">
        <v>1</v>
      </c>
      <c r="D51" s="8"/>
      <c r="E51" s="8"/>
      <c r="F51" s="8"/>
      <c r="G51" s="8"/>
      <c r="H51" s="9"/>
      <c r="I51" s="9"/>
      <c r="J51" s="87"/>
      <c r="K51" s="87"/>
      <c r="L51" s="98"/>
      <c r="M51" s="113"/>
      <c r="N51" s="10"/>
      <c r="O51" s="10"/>
      <c r="P51" s="10"/>
      <c r="Q51" s="10"/>
      <c r="R51" s="10"/>
      <c r="S51" s="10"/>
      <c r="T51" s="10"/>
      <c r="U51" s="10"/>
      <c r="V51" s="10"/>
      <c r="W51" s="10"/>
      <c r="X51" s="10"/>
      <c r="Y51" s="10"/>
      <c r="Z51" s="8"/>
      <c r="AA51" s="8"/>
      <c r="AB51" s="35"/>
      <c r="AC51" s="35"/>
      <c r="AD51" s="35"/>
      <c r="AE51" s="87"/>
      <c r="AF51" s="35"/>
      <c r="AG51" s="35"/>
      <c r="AH51" s="534"/>
      <c r="AI51" s="294"/>
    </row>
    <row r="52" spans="1:35" x14ac:dyDescent="0.2">
      <c r="A52" s="294"/>
      <c r="B52" s="944"/>
      <c r="C52" s="66">
        <v>1</v>
      </c>
      <c r="D52" s="3" t="s">
        <v>618</v>
      </c>
      <c r="E52" s="3" t="s">
        <v>616</v>
      </c>
      <c r="F52" s="3" t="s">
        <v>21</v>
      </c>
      <c r="G52" s="3" t="s">
        <v>537</v>
      </c>
      <c r="H52" s="5" t="str">
        <f>VLOOKUP($G52,TableInputsData[],6,FALSE)</f>
        <v>XYZ</v>
      </c>
      <c r="I52" s="5" t="str">
        <f>VLOOKUP("SEE InputsData SHEET",TableInputsData[],ReadMe!$M$3,FALSE)</f>
        <v>VOIR FEUILLE InputData</v>
      </c>
      <c r="J52" s="26"/>
      <c r="K52" s="135"/>
      <c r="L52" s="127"/>
      <c r="M52" s="134"/>
      <c r="N52" s="60"/>
      <c r="O52" s="4">
        <f>$AG52*GETPIVOTDATA("Sum of TOTAL YEAR",RevenuePivot!$BT$12,"YEAR",O$5,"REFERENCE PRODUCT / SERVICE",$G52,"ITEM","REVENUE")</f>
        <v>0</v>
      </c>
      <c r="P52" s="4">
        <f>$AG52*GETPIVOTDATA("Sum of TOTAL YEAR",RevenuePivot!$BT$12,"YEAR",P$5,"REFERENCE PRODUCT / SERVICE",$G52,"ITEM","REVENUE")</f>
        <v>0</v>
      </c>
      <c r="Q52" s="4">
        <f>$AG52*GETPIVOTDATA("Sum of SEMESTRE 1",RevenuePivot!$BT$12,"YEAR",Q$5,"REFERENCE PRODUCT / SERVICE",$G52,"ITEM","REVENUE")</f>
        <v>0</v>
      </c>
      <c r="R52" s="4">
        <f>$AG52*GETPIVOTDATA("Sum of SEMESTRE 2",RevenuePivot!$BT$12,"YEAR",R$5,"REFERENCE PRODUCT / SERVICE",$G52,"ITEM","REVENUE")</f>
        <v>0</v>
      </c>
      <c r="S52" s="4">
        <f>Q52+R52</f>
        <v>0</v>
      </c>
      <c r="T52" s="4">
        <f>$AG52*GETPIVOTDATA("Sum of TOTAL YEAR",RevenuePivot!$BT$12,"YEAR",T$5,"REFERENCE PRODUCT / SERVICE",$G52,"ITEM","REVENUE")</f>
        <v>0</v>
      </c>
      <c r="U52" s="4">
        <f>$AG52*GETPIVOTDATA("Sum of TOTAL YEAR",RevenuePivot!$BT$12,"YEAR",U$5,"REFERENCE PRODUCT / SERVICE",$G52,"ITEM","REVENUE")</f>
        <v>0</v>
      </c>
      <c r="V52" s="4">
        <f>$AG52*GETPIVOTDATA("Sum of TOTAL YEAR",RevenuePivot!$BT$12,"YEAR",V$5,"REFERENCE PRODUCT / SERVICE",$G52,"ITEM","REVENUE")</f>
        <v>0</v>
      </c>
      <c r="W52" s="4">
        <f>$AG52*GETPIVOTDATA("Sum of TOTAL YEAR",RevenuePivot!$BT$12,"YEAR",W$5,"REFERENCE PRODUCT / SERVICE",$G52,"ITEM","REVENUE")</f>
        <v>0</v>
      </c>
      <c r="X52" s="4">
        <f>$AG52*GETPIVOTDATA("Sum of TOTAL YEAR",RevenuePivot!$BT$12,"YEAR",X$5,"REFERENCE PRODUCT / SERVICE",$G52,"ITEM","REVENUE")</f>
        <v>0</v>
      </c>
      <c r="Y52" s="604"/>
      <c r="Z52" s="3" t="str">
        <f>VLOOKUP($D52,TableInputsData[],ReadMe!$M$3,FALSE)&amp;"  |  "&amp;VLOOKUP($E52,TableInputsData[],ReadMe!$M$3,FALSE)&amp;"  |  "&amp;VLOOKUP($G52,TableInputsData[],ReadMe!$M$3,FALSE)</f>
        <v>CA ET MARGE BRUTE  |  REVENUS PRODUITS  |  PRODUIT 01</v>
      </c>
      <c r="AA52" s="3"/>
      <c r="AB52" s="34">
        <f>IF(AND(SUM(O52:X52)=0,H52=""),0,1)</f>
        <v>1</v>
      </c>
      <c r="AC52" s="34"/>
      <c r="AD52" s="34"/>
      <c r="AE52" s="26"/>
      <c r="AF52" s="34">
        <v>1</v>
      </c>
      <c r="AG52" s="34">
        <f>VLOOKUP($G52,TableInputsData[],$AG$2,FALSE)</f>
        <v>1</v>
      </c>
      <c r="AH52" s="535"/>
      <c r="AI52" s="294"/>
    </row>
    <row r="53" spans="1:35" x14ac:dyDescent="0.2">
      <c r="A53" s="294"/>
      <c r="B53" s="944"/>
      <c r="C53" s="66">
        <v>1</v>
      </c>
      <c r="D53" s="3" t="s">
        <v>618</v>
      </c>
      <c r="E53" s="3" t="s">
        <v>616</v>
      </c>
      <c r="F53" s="3" t="s">
        <v>21</v>
      </c>
      <c r="G53" s="3" t="s">
        <v>538</v>
      </c>
      <c r="H53" s="5" t="str">
        <f>VLOOKUP($G53,TableInputsData[],6,FALSE)</f>
        <v>ABC</v>
      </c>
      <c r="I53" s="5" t="str">
        <f>VLOOKUP("SEE InputsData SHEET",TableInputsData[],ReadMe!$M$3,FALSE)</f>
        <v>VOIR FEUILLE InputData</v>
      </c>
      <c r="J53" s="26"/>
      <c r="K53" s="135"/>
      <c r="L53" s="127"/>
      <c r="M53" s="134"/>
      <c r="N53" s="60"/>
      <c r="O53" s="4">
        <f>$AG53*GETPIVOTDATA("Sum of TOTAL YEAR",RevenuePivot!$BT$12,"YEAR",O$5,"REFERENCE PRODUCT / SERVICE",$G53,"ITEM","REVENUE")</f>
        <v>0</v>
      </c>
      <c r="P53" s="4">
        <f>$AG53*GETPIVOTDATA("Sum of TOTAL YEAR",RevenuePivot!$BT$12,"YEAR",P$5,"REFERENCE PRODUCT / SERVICE",$G53,"ITEM","REVENUE")</f>
        <v>0</v>
      </c>
      <c r="Q53" s="4">
        <f>$AG53*GETPIVOTDATA("Sum of SEMESTRE 1",RevenuePivot!$BT$12,"YEAR",Q$5,"REFERENCE PRODUCT / SERVICE",$G53,"ITEM","REVENUE")</f>
        <v>0</v>
      </c>
      <c r="R53" s="4">
        <f>$AG53*GETPIVOTDATA("Sum of SEMESTRE 2",RevenuePivot!$BT$12,"YEAR",R$5,"REFERENCE PRODUCT / SERVICE",$G53,"ITEM","REVENUE")</f>
        <v>0</v>
      </c>
      <c r="S53" s="4">
        <f t="shared" ref="S53:S61" si="28">Q53+R53</f>
        <v>0</v>
      </c>
      <c r="T53" s="4">
        <f>$AG53*GETPIVOTDATA("Sum of TOTAL YEAR",RevenuePivot!$BT$12,"YEAR",T$5,"REFERENCE PRODUCT / SERVICE",$G53,"ITEM","REVENUE")</f>
        <v>0</v>
      </c>
      <c r="U53" s="4">
        <f>$AG53*GETPIVOTDATA("Sum of TOTAL YEAR",RevenuePivot!$BT$12,"YEAR",U$5,"REFERENCE PRODUCT / SERVICE",$G53,"ITEM","REVENUE")</f>
        <v>0</v>
      </c>
      <c r="V53" s="4">
        <f>$AG53*GETPIVOTDATA("Sum of TOTAL YEAR",RevenuePivot!$BT$12,"YEAR",V$5,"REFERENCE PRODUCT / SERVICE",$G53,"ITEM","REVENUE")</f>
        <v>0</v>
      </c>
      <c r="W53" s="4">
        <f>$AG53*GETPIVOTDATA("Sum of TOTAL YEAR",RevenuePivot!$BT$12,"YEAR",W$5,"REFERENCE PRODUCT / SERVICE",$G53,"ITEM","REVENUE")</f>
        <v>0</v>
      </c>
      <c r="X53" s="4">
        <f>$AG53*GETPIVOTDATA("Sum of TOTAL YEAR",RevenuePivot!$BT$12,"YEAR",X$5,"REFERENCE PRODUCT / SERVICE",$G53,"ITEM","REVENUE")</f>
        <v>0</v>
      </c>
      <c r="Y53" s="604"/>
      <c r="Z53" s="3" t="str">
        <f>VLOOKUP($D53,TableInputsData[],ReadMe!$M$3,FALSE)&amp;"  |  "&amp;VLOOKUP($E53,TableInputsData[],ReadMe!$M$3,FALSE)&amp;"  |  "&amp;VLOOKUP($G53,TableInputsData[],ReadMe!$M$3,FALSE)</f>
        <v>CA ET MARGE BRUTE  |  REVENUS PRODUITS  |  PRODUIT 02</v>
      </c>
      <c r="AA53" s="3"/>
      <c r="AB53" s="34">
        <f t="shared" ref="AB53:AB61" si="29">IF(AND(SUM(O53:X53)=0,H53=""),0,1)</f>
        <v>1</v>
      </c>
      <c r="AC53" s="34"/>
      <c r="AD53" s="34"/>
      <c r="AE53" s="26"/>
      <c r="AF53" s="34">
        <v>1</v>
      </c>
      <c r="AG53" s="34">
        <f>VLOOKUP($G53,TableInputsData[],$AG$2,FALSE)</f>
        <v>1</v>
      </c>
      <c r="AH53" s="535"/>
      <c r="AI53" s="294"/>
    </row>
    <row r="54" spans="1:35" x14ac:dyDescent="0.2">
      <c r="A54" s="294"/>
      <c r="B54" s="944"/>
      <c r="C54" s="66">
        <v>1</v>
      </c>
      <c r="D54" s="3" t="s">
        <v>618</v>
      </c>
      <c r="E54" s="3" t="s">
        <v>616</v>
      </c>
      <c r="F54" s="3" t="s">
        <v>21</v>
      </c>
      <c r="G54" s="3" t="s">
        <v>539</v>
      </c>
      <c r="H54" s="5" t="str">
        <f>VLOOKUP($G54,TableInputsData[],6,FALSE)</f>
        <v>-</v>
      </c>
      <c r="I54" s="5" t="str">
        <f>VLOOKUP("SEE InputsData SHEET",TableInputsData[],ReadMe!$M$3,FALSE)</f>
        <v>VOIR FEUILLE InputData</v>
      </c>
      <c r="J54" s="26"/>
      <c r="K54" s="135"/>
      <c r="L54" s="127"/>
      <c r="M54" s="134"/>
      <c r="N54" s="60"/>
      <c r="O54" s="4">
        <f>$AG54*GETPIVOTDATA("Sum of TOTAL YEAR",RevenuePivot!$BT$12,"YEAR",O$5,"REFERENCE PRODUCT / SERVICE",$G54,"ITEM","REVENUE")</f>
        <v>0</v>
      </c>
      <c r="P54" s="4">
        <f>$AG54*GETPIVOTDATA("Sum of TOTAL YEAR",RevenuePivot!$BT$12,"YEAR",P$5,"REFERENCE PRODUCT / SERVICE",$G54,"ITEM","REVENUE")</f>
        <v>0</v>
      </c>
      <c r="Q54" s="4">
        <f>$AG54*GETPIVOTDATA("Sum of SEMESTRE 1",RevenuePivot!$BT$12,"YEAR",Q$5,"REFERENCE PRODUCT / SERVICE",$G54,"ITEM","REVENUE")</f>
        <v>0</v>
      </c>
      <c r="R54" s="4">
        <f>$AG54*GETPIVOTDATA("Sum of SEMESTRE 2",RevenuePivot!$BT$12,"YEAR",R$5,"REFERENCE PRODUCT / SERVICE",$G54,"ITEM","REVENUE")</f>
        <v>0</v>
      </c>
      <c r="S54" s="4">
        <f t="shared" si="28"/>
        <v>0</v>
      </c>
      <c r="T54" s="4">
        <f>$AG54*GETPIVOTDATA("Sum of TOTAL YEAR",RevenuePivot!$BT$12,"YEAR",T$5,"REFERENCE PRODUCT / SERVICE",$G54,"ITEM","REVENUE")</f>
        <v>0</v>
      </c>
      <c r="U54" s="4">
        <f>$AG54*GETPIVOTDATA("Sum of TOTAL YEAR",RevenuePivot!$BT$12,"YEAR",U$5,"REFERENCE PRODUCT / SERVICE",$G54,"ITEM","REVENUE")</f>
        <v>0</v>
      </c>
      <c r="V54" s="4">
        <f>$AG54*GETPIVOTDATA("Sum of TOTAL YEAR",RevenuePivot!$BT$12,"YEAR",V$5,"REFERENCE PRODUCT / SERVICE",$G54,"ITEM","REVENUE")</f>
        <v>0</v>
      </c>
      <c r="W54" s="4">
        <f>$AG54*GETPIVOTDATA("Sum of TOTAL YEAR",RevenuePivot!$BT$12,"YEAR",W$5,"REFERENCE PRODUCT / SERVICE",$G54,"ITEM","REVENUE")</f>
        <v>0</v>
      </c>
      <c r="X54" s="4">
        <f>$AG54*GETPIVOTDATA("Sum of TOTAL YEAR",RevenuePivot!$BT$12,"YEAR",X$5,"REFERENCE PRODUCT / SERVICE",$G54,"ITEM","REVENUE")</f>
        <v>0</v>
      </c>
      <c r="Y54" s="604"/>
      <c r="Z54" s="3" t="str">
        <f>VLOOKUP($D54,TableInputsData[],ReadMe!$M$3,FALSE)&amp;"  |  "&amp;VLOOKUP($E54,TableInputsData[],ReadMe!$M$3,FALSE)&amp;"  |  "&amp;VLOOKUP($G54,TableInputsData[],ReadMe!$M$3,FALSE)</f>
        <v>CA ET MARGE BRUTE  |  REVENUS PRODUITS  |  PRODUIT 03</v>
      </c>
      <c r="AA54" s="3"/>
      <c r="AB54" s="34">
        <f t="shared" si="29"/>
        <v>1</v>
      </c>
      <c r="AC54" s="34"/>
      <c r="AD54" s="34"/>
      <c r="AE54" s="26"/>
      <c r="AF54" s="34">
        <v>1</v>
      </c>
      <c r="AG54" s="34">
        <f>VLOOKUP($G54,TableInputsData[],$AG$2,FALSE)</f>
        <v>0</v>
      </c>
      <c r="AH54" s="535"/>
      <c r="AI54" s="294"/>
    </row>
    <row r="55" spans="1:35" x14ac:dyDescent="0.2">
      <c r="A55" s="294"/>
      <c r="B55" s="944"/>
      <c r="C55" s="66">
        <v>1</v>
      </c>
      <c r="D55" s="3" t="s">
        <v>618</v>
      </c>
      <c r="E55" s="3" t="s">
        <v>616</v>
      </c>
      <c r="F55" s="3" t="s">
        <v>21</v>
      </c>
      <c r="G55" s="3" t="s">
        <v>540</v>
      </c>
      <c r="H55" s="5" t="str">
        <f>VLOOKUP($G55,TableInputsData[],6,FALSE)</f>
        <v>-</v>
      </c>
      <c r="I55" s="5" t="str">
        <f>VLOOKUP("SEE InputsData SHEET",TableInputsData[],ReadMe!$M$3,FALSE)</f>
        <v>VOIR FEUILLE InputData</v>
      </c>
      <c r="J55" s="26"/>
      <c r="K55" s="135"/>
      <c r="L55" s="127"/>
      <c r="M55" s="134"/>
      <c r="N55" s="60"/>
      <c r="O55" s="4">
        <f>$AG55*GETPIVOTDATA("Sum of TOTAL YEAR",RevenuePivot!$BT$12,"YEAR",O$5,"REFERENCE PRODUCT / SERVICE",$G55,"ITEM","REVENUE")</f>
        <v>0</v>
      </c>
      <c r="P55" s="4">
        <f>$AG55*GETPIVOTDATA("Sum of TOTAL YEAR",RevenuePivot!$BT$12,"YEAR",P$5,"REFERENCE PRODUCT / SERVICE",$G55,"ITEM","REVENUE")</f>
        <v>0</v>
      </c>
      <c r="Q55" s="4">
        <f>$AG55*GETPIVOTDATA("Sum of SEMESTRE 1",RevenuePivot!$BT$12,"YEAR",Q$5,"REFERENCE PRODUCT / SERVICE",$G55,"ITEM","REVENUE")</f>
        <v>0</v>
      </c>
      <c r="R55" s="4">
        <f>$AG55*GETPIVOTDATA("Sum of SEMESTRE 2",RevenuePivot!$BT$12,"YEAR",R$5,"REFERENCE PRODUCT / SERVICE",$G55,"ITEM","REVENUE")</f>
        <v>0</v>
      </c>
      <c r="S55" s="4">
        <f t="shared" si="28"/>
        <v>0</v>
      </c>
      <c r="T55" s="4">
        <f>$AG55*GETPIVOTDATA("Sum of TOTAL YEAR",RevenuePivot!$BT$12,"YEAR",T$5,"REFERENCE PRODUCT / SERVICE",$G55,"ITEM","REVENUE")</f>
        <v>0</v>
      </c>
      <c r="U55" s="4">
        <f>$AG55*GETPIVOTDATA("Sum of TOTAL YEAR",RevenuePivot!$BT$12,"YEAR",U$5,"REFERENCE PRODUCT / SERVICE",$G55,"ITEM","REVENUE")</f>
        <v>0</v>
      </c>
      <c r="V55" s="4">
        <f>$AG55*GETPIVOTDATA("Sum of TOTAL YEAR",RevenuePivot!$BT$12,"YEAR",V$5,"REFERENCE PRODUCT / SERVICE",$G55,"ITEM","REVENUE")</f>
        <v>0</v>
      </c>
      <c r="W55" s="4">
        <f>$AG55*GETPIVOTDATA("Sum of TOTAL YEAR",RevenuePivot!$BT$12,"YEAR",W$5,"REFERENCE PRODUCT / SERVICE",$G55,"ITEM","REVENUE")</f>
        <v>0</v>
      </c>
      <c r="X55" s="4">
        <f>$AG55*GETPIVOTDATA("Sum of TOTAL YEAR",RevenuePivot!$BT$12,"YEAR",X$5,"REFERENCE PRODUCT / SERVICE",$G55,"ITEM","REVENUE")</f>
        <v>0</v>
      </c>
      <c r="Y55" s="604"/>
      <c r="Z55" s="3" t="str">
        <f>VLOOKUP($D55,TableInputsData[],ReadMe!$M$3,FALSE)&amp;"  |  "&amp;VLOOKUP($E55,TableInputsData[],ReadMe!$M$3,FALSE)&amp;"  |  "&amp;VLOOKUP($G55,TableInputsData[],ReadMe!$M$3,FALSE)</f>
        <v>CA ET MARGE BRUTE  |  REVENUS PRODUITS  |  PRODUIT 04</v>
      </c>
      <c r="AA55" s="3"/>
      <c r="AB55" s="34">
        <f t="shared" si="29"/>
        <v>1</v>
      </c>
      <c r="AC55" s="34"/>
      <c r="AD55" s="34"/>
      <c r="AE55" s="26"/>
      <c r="AF55" s="34">
        <v>1</v>
      </c>
      <c r="AG55" s="34">
        <f>VLOOKUP($G55,TableInputsData[],$AG$2,FALSE)</f>
        <v>0</v>
      </c>
      <c r="AH55" s="535"/>
      <c r="AI55" s="294"/>
    </row>
    <row r="56" spans="1:35" x14ac:dyDescent="0.2">
      <c r="A56" s="294"/>
      <c r="B56" s="944"/>
      <c r="C56" s="66">
        <v>1</v>
      </c>
      <c r="D56" s="3" t="s">
        <v>618</v>
      </c>
      <c r="E56" s="3" t="s">
        <v>616</v>
      </c>
      <c r="F56" s="3" t="s">
        <v>21</v>
      </c>
      <c r="G56" s="3" t="s">
        <v>541</v>
      </c>
      <c r="H56" s="5" t="str">
        <f>VLOOKUP($G56,TableInputsData[],6,FALSE)</f>
        <v>-</v>
      </c>
      <c r="I56" s="5" t="str">
        <f>VLOOKUP("SEE InputsData SHEET",TableInputsData[],ReadMe!$M$3,FALSE)</f>
        <v>VOIR FEUILLE InputData</v>
      </c>
      <c r="J56" s="26"/>
      <c r="K56" s="135"/>
      <c r="L56" s="127"/>
      <c r="M56" s="134"/>
      <c r="N56" s="60"/>
      <c r="O56" s="4">
        <f>$AG56*GETPIVOTDATA("Sum of TOTAL YEAR",RevenuePivot!$BT$12,"YEAR",O$5,"REFERENCE PRODUCT / SERVICE",$G56,"ITEM","REVENUE")</f>
        <v>0</v>
      </c>
      <c r="P56" s="4">
        <f>$AG56*GETPIVOTDATA("Sum of TOTAL YEAR",RevenuePivot!$BT$12,"YEAR",P$5,"REFERENCE PRODUCT / SERVICE",$G56,"ITEM","REVENUE")</f>
        <v>0</v>
      </c>
      <c r="Q56" s="4">
        <f>$AG56*GETPIVOTDATA("Sum of SEMESTRE 1",RevenuePivot!$BT$12,"YEAR",Q$5,"REFERENCE PRODUCT / SERVICE",$G56,"ITEM","REVENUE")</f>
        <v>0</v>
      </c>
      <c r="R56" s="4">
        <f>$AG56*GETPIVOTDATA("Sum of SEMESTRE 2",RevenuePivot!$BT$12,"YEAR",R$5,"REFERENCE PRODUCT / SERVICE",$G56,"ITEM","REVENUE")</f>
        <v>0</v>
      </c>
      <c r="S56" s="4">
        <f t="shared" si="28"/>
        <v>0</v>
      </c>
      <c r="T56" s="4">
        <f>$AG56*GETPIVOTDATA("Sum of TOTAL YEAR",RevenuePivot!$BT$12,"YEAR",T$5,"REFERENCE PRODUCT / SERVICE",$G56,"ITEM","REVENUE")</f>
        <v>0</v>
      </c>
      <c r="U56" s="4">
        <f>$AG56*GETPIVOTDATA("Sum of TOTAL YEAR",RevenuePivot!$BT$12,"YEAR",U$5,"REFERENCE PRODUCT / SERVICE",$G56,"ITEM","REVENUE")</f>
        <v>0</v>
      </c>
      <c r="V56" s="4">
        <f>$AG56*GETPIVOTDATA("Sum of TOTAL YEAR",RevenuePivot!$BT$12,"YEAR",V$5,"REFERENCE PRODUCT / SERVICE",$G56,"ITEM","REVENUE")</f>
        <v>0</v>
      </c>
      <c r="W56" s="4">
        <f>$AG56*GETPIVOTDATA("Sum of TOTAL YEAR",RevenuePivot!$BT$12,"YEAR",W$5,"REFERENCE PRODUCT / SERVICE",$G56,"ITEM","REVENUE")</f>
        <v>0</v>
      </c>
      <c r="X56" s="4">
        <f>$AG56*GETPIVOTDATA("Sum of TOTAL YEAR",RevenuePivot!$BT$12,"YEAR",X$5,"REFERENCE PRODUCT / SERVICE",$G56,"ITEM","REVENUE")</f>
        <v>0</v>
      </c>
      <c r="Y56" s="604"/>
      <c r="Z56" s="3" t="str">
        <f>VLOOKUP($D56,TableInputsData[],ReadMe!$M$3,FALSE)&amp;"  |  "&amp;VLOOKUP($E56,TableInputsData[],ReadMe!$M$3,FALSE)&amp;"  |  "&amp;VLOOKUP($G56,TableInputsData[],ReadMe!$M$3,FALSE)</f>
        <v>CA ET MARGE BRUTE  |  REVENUS PRODUITS  |  PRODUIT 05</v>
      </c>
      <c r="AA56" s="3"/>
      <c r="AB56" s="34">
        <f t="shared" si="29"/>
        <v>1</v>
      </c>
      <c r="AC56" s="34"/>
      <c r="AD56" s="34"/>
      <c r="AE56" s="26"/>
      <c r="AF56" s="34">
        <v>1</v>
      </c>
      <c r="AG56" s="34">
        <f>VLOOKUP($G56,TableInputsData[],$AG$2,FALSE)</f>
        <v>0</v>
      </c>
      <c r="AH56" s="535"/>
      <c r="AI56" s="294"/>
    </row>
    <row r="57" spans="1:35" x14ac:dyDescent="0.2">
      <c r="A57" s="294"/>
      <c r="B57" s="944"/>
      <c r="C57" s="66">
        <v>1</v>
      </c>
      <c r="D57" s="3" t="s">
        <v>618</v>
      </c>
      <c r="E57" s="3" t="s">
        <v>616</v>
      </c>
      <c r="F57" s="3" t="s">
        <v>21</v>
      </c>
      <c r="G57" s="3" t="s">
        <v>542</v>
      </c>
      <c r="H57" s="5" t="str">
        <f>VLOOKUP($G57,TableInputsData[],6,FALSE)</f>
        <v>-</v>
      </c>
      <c r="I57" s="5" t="str">
        <f>VLOOKUP("SEE InputsData SHEET",TableInputsData[],ReadMe!$M$3,FALSE)</f>
        <v>VOIR FEUILLE InputData</v>
      </c>
      <c r="J57" s="26"/>
      <c r="K57" s="135"/>
      <c r="L57" s="127"/>
      <c r="M57" s="134"/>
      <c r="N57" s="60"/>
      <c r="O57" s="4">
        <f>$AG57*GETPIVOTDATA("Sum of TOTAL YEAR",RevenuePivot!$BT$12,"YEAR",O$5,"REFERENCE PRODUCT / SERVICE",$G57,"ITEM","REVENUE")</f>
        <v>0</v>
      </c>
      <c r="P57" s="4">
        <f>$AG57*GETPIVOTDATA("Sum of TOTAL YEAR",RevenuePivot!$BT$12,"YEAR",P$5,"REFERENCE PRODUCT / SERVICE",$G57,"ITEM","REVENUE")</f>
        <v>0</v>
      </c>
      <c r="Q57" s="4">
        <f>$AG57*GETPIVOTDATA("Sum of SEMESTRE 1",RevenuePivot!$BT$12,"YEAR",Q$5,"REFERENCE PRODUCT / SERVICE",$G57,"ITEM","REVENUE")</f>
        <v>0</v>
      </c>
      <c r="R57" s="4">
        <f>$AG57*GETPIVOTDATA("Sum of SEMESTRE 2",RevenuePivot!$BT$12,"YEAR",R$5,"REFERENCE PRODUCT / SERVICE",$G57,"ITEM","REVENUE")</f>
        <v>0</v>
      </c>
      <c r="S57" s="4">
        <f t="shared" si="28"/>
        <v>0</v>
      </c>
      <c r="T57" s="4">
        <f>$AG57*GETPIVOTDATA("Sum of TOTAL YEAR",RevenuePivot!$BT$12,"YEAR",T$5,"REFERENCE PRODUCT / SERVICE",$G57,"ITEM","REVENUE")</f>
        <v>0</v>
      </c>
      <c r="U57" s="4">
        <f>$AG57*GETPIVOTDATA("Sum of TOTAL YEAR",RevenuePivot!$BT$12,"YEAR",U$5,"REFERENCE PRODUCT / SERVICE",$G57,"ITEM","REVENUE")</f>
        <v>0</v>
      </c>
      <c r="V57" s="4">
        <f>$AG57*GETPIVOTDATA("Sum of TOTAL YEAR",RevenuePivot!$BT$12,"YEAR",V$5,"REFERENCE PRODUCT / SERVICE",$G57,"ITEM","REVENUE")</f>
        <v>0</v>
      </c>
      <c r="W57" s="4">
        <f>$AG57*GETPIVOTDATA("Sum of TOTAL YEAR",RevenuePivot!$BT$12,"YEAR",W$5,"REFERENCE PRODUCT / SERVICE",$G57,"ITEM","REVENUE")</f>
        <v>0</v>
      </c>
      <c r="X57" s="4">
        <f>$AG57*GETPIVOTDATA("Sum of TOTAL YEAR",RevenuePivot!$BT$12,"YEAR",X$5,"REFERENCE PRODUCT / SERVICE",$G57,"ITEM","REVENUE")</f>
        <v>0</v>
      </c>
      <c r="Y57" s="604"/>
      <c r="Z57" s="3" t="str">
        <f>VLOOKUP($D57,TableInputsData[],ReadMe!$M$3,FALSE)&amp;"  |  "&amp;VLOOKUP($E57,TableInputsData[],ReadMe!$M$3,FALSE)&amp;"  |  "&amp;VLOOKUP($G57,TableInputsData[],ReadMe!$M$3,FALSE)</f>
        <v>CA ET MARGE BRUTE  |  REVENUS PRODUITS  |  PRODUIT 06</v>
      </c>
      <c r="AA57" s="3"/>
      <c r="AB57" s="34">
        <f t="shared" si="29"/>
        <v>1</v>
      </c>
      <c r="AC57" s="34"/>
      <c r="AD57" s="34"/>
      <c r="AE57" s="26"/>
      <c r="AF57" s="34">
        <v>1</v>
      </c>
      <c r="AG57" s="34">
        <f>VLOOKUP($G57,TableInputsData[],$AG$2,FALSE)</f>
        <v>0</v>
      </c>
      <c r="AH57" s="535"/>
      <c r="AI57" s="294"/>
    </row>
    <row r="58" spans="1:35" x14ac:dyDescent="0.2">
      <c r="A58" s="294"/>
      <c r="B58" s="944"/>
      <c r="C58" s="66">
        <v>1</v>
      </c>
      <c r="D58" s="3" t="s">
        <v>618</v>
      </c>
      <c r="E58" s="3" t="s">
        <v>616</v>
      </c>
      <c r="F58" s="3" t="s">
        <v>21</v>
      </c>
      <c r="G58" s="3" t="s">
        <v>543</v>
      </c>
      <c r="H58" s="5" t="str">
        <f>VLOOKUP($G58,TableInputsData[],6,FALSE)</f>
        <v>-</v>
      </c>
      <c r="I58" s="5" t="str">
        <f>VLOOKUP("SEE InputsData SHEET",TableInputsData[],ReadMe!$M$3,FALSE)</f>
        <v>VOIR FEUILLE InputData</v>
      </c>
      <c r="J58" s="26"/>
      <c r="K58" s="135"/>
      <c r="L58" s="127"/>
      <c r="M58" s="134"/>
      <c r="N58" s="60"/>
      <c r="O58" s="4">
        <f>$AG58*GETPIVOTDATA("Sum of TOTAL YEAR",RevenuePivot!$BT$12,"YEAR",O$5,"REFERENCE PRODUCT / SERVICE",$G58,"ITEM","REVENUE")</f>
        <v>0</v>
      </c>
      <c r="P58" s="4">
        <f>$AG58*GETPIVOTDATA("Sum of TOTAL YEAR",RevenuePivot!$BT$12,"YEAR",P$5,"REFERENCE PRODUCT / SERVICE",$G58,"ITEM","REVENUE")</f>
        <v>0</v>
      </c>
      <c r="Q58" s="4">
        <f>$AG58*GETPIVOTDATA("Sum of SEMESTRE 1",RevenuePivot!$BT$12,"YEAR",Q$5,"REFERENCE PRODUCT / SERVICE",$G58,"ITEM","REVENUE")</f>
        <v>0</v>
      </c>
      <c r="R58" s="4">
        <f>$AG58*GETPIVOTDATA("Sum of SEMESTRE 2",RevenuePivot!$BT$12,"YEAR",R$5,"REFERENCE PRODUCT / SERVICE",$G58,"ITEM","REVENUE")</f>
        <v>0</v>
      </c>
      <c r="S58" s="4">
        <f t="shared" si="28"/>
        <v>0</v>
      </c>
      <c r="T58" s="4">
        <f>$AG58*GETPIVOTDATA("Sum of TOTAL YEAR",RevenuePivot!$BT$12,"YEAR",T$5,"REFERENCE PRODUCT / SERVICE",$G58,"ITEM","REVENUE")</f>
        <v>0</v>
      </c>
      <c r="U58" s="4">
        <f>$AG58*GETPIVOTDATA("Sum of TOTAL YEAR",RevenuePivot!$BT$12,"YEAR",U$5,"REFERENCE PRODUCT / SERVICE",$G58,"ITEM","REVENUE")</f>
        <v>0</v>
      </c>
      <c r="V58" s="4">
        <f>$AG58*GETPIVOTDATA("Sum of TOTAL YEAR",RevenuePivot!$BT$12,"YEAR",V$5,"REFERENCE PRODUCT / SERVICE",$G58,"ITEM","REVENUE")</f>
        <v>0</v>
      </c>
      <c r="W58" s="4">
        <f>$AG58*GETPIVOTDATA("Sum of TOTAL YEAR",RevenuePivot!$BT$12,"YEAR",W$5,"REFERENCE PRODUCT / SERVICE",$G58,"ITEM","REVENUE")</f>
        <v>0</v>
      </c>
      <c r="X58" s="4">
        <f>$AG58*GETPIVOTDATA("Sum of TOTAL YEAR",RevenuePivot!$BT$12,"YEAR",X$5,"REFERENCE PRODUCT / SERVICE",$G58,"ITEM","REVENUE")</f>
        <v>0</v>
      </c>
      <c r="Y58" s="604"/>
      <c r="Z58" s="3" t="str">
        <f>VLOOKUP($D58,TableInputsData[],ReadMe!$M$3,FALSE)&amp;"  |  "&amp;VLOOKUP($E58,TableInputsData[],ReadMe!$M$3,FALSE)&amp;"  |  "&amp;VLOOKUP($G58,TableInputsData[],ReadMe!$M$3,FALSE)</f>
        <v>CA ET MARGE BRUTE  |  REVENUS PRODUITS  |  PRODUIT 07</v>
      </c>
      <c r="AA58" s="3"/>
      <c r="AB58" s="34">
        <f t="shared" si="29"/>
        <v>1</v>
      </c>
      <c r="AC58" s="34"/>
      <c r="AD58" s="34"/>
      <c r="AE58" s="26"/>
      <c r="AF58" s="34">
        <v>1</v>
      </c>
      <c r="AG58" s="34">
        <f>VLOOKUP($G58,TableInputsData[],$AG$2,FALSE)</f>
        <v>0</v>
      </c>
      <c r="AH58" s="535"/>
      <c r="AI58" s="294"/>
    </row>
    <row r="59" spans="1:35" x14ac:dyDescent="0.2">
      <c r="A59" s="294"/>
      <c r="B59" s="944"/>
      <c r="C59" s="66">
        <v>1</v>
      </c>
      <c r="D59" s="3" t="s">
        <v>618</v>
      </c>
      <c r="E59" s="3" t="s">
        <v>616</v>
      </c>
      <c r="F59" s="3" t="s">
        <v>21</v>
      </c>
      <c r="G59" s="3" t="s">
        <v>544</v>
      </c>
      <c r="H59" s="5" t="str">
        <f>VLOOKUP($G59,TableInputsData[],6,FALSE)</f>
        <v>-</v>
      </c>
      <c r="I59" s="5" t="str">
        <f>VLOOKUP("SEE InputsData SHEET",TableInputsData[],ReadMe!$M$3,FALSE)</f>
        <v>VOIR FEUILLE InputData</v>
      </c>
      <c r="J59" s="26"/>
      <c r="K59" s="135"/>
      <c r="L59" s="127"/>
      <c r="M59" s="134"/>
      <c r="N59" s="60"/>
      <c r="O59" s="4">
        <f>$AG59*GETPIVOTDATA("Sum of TOTAL YEAR",RevenuePivot!$BT$12,"YEAR",O$5,"REFERENCE PRODUCT / SERVICE",$G59,"ITEM","REVENUE")</f>
        <v>0</v>
      </c>
      <c r="P59" s="4">
        <f>$AG59*GETPIVOTDATA("Sum of TOTAL YEAR",RevenuePivot!$BT$12,"YEAR",P$5,"REFERENCE PRODUCT / SERVICE",$G59,"ITEM","REVENUE")</f>
        <v>0</v>
      </c>
      <c r="Q59" s="4">
        <f>$AG59*GETPIVOTDATA("Sum of SEMESTRE 1",RevenuePivot!$BT$12,"YEAR",Q$5,"REFERENCE PRODUCT / SERVICE",$G59,"ITEM","REVENUE")</f>
        <v>0</v>
      </c>
      <c r="R59" s="4">
        <f>$AG59*GETPIVOTDATA("Sum of SEMESTRE 2",RevenuePivot!$BT$12,"YEAR",R$5,"REFERENCE PRODUCT / SERVICE",$G59,"ITEM","REVENUE")</f>
        <v>0</v>
      </c>
      <c r="S59" s="4">
        <f t="shared" si="28"/>
        <v>0</v>
      </c>
      <c r="T59" s="4">
        <f>$AG59*GETPIVOTDATA("Sum of TOTAL YEAR",RevenuePivot!$BT$12,"YEAR",T$5,"REFERENCE PRODUCT / SERVICE",$G59,"ITEM","REVENUE")</f>
        <v>0</v>
      </c>
      <c r="U59" s="4">
        <f>$AG59*GETPIVOTDATA("Sum of TOTAL YEAR",RevenuePivot!$BT$12,"YEAR",U$5,"REFERENCE PRODUCT / SERVICE",$G59,"ITEM","REVENUE")</f>
        <v>0</v>
      </c>
      <c r="V59" s="4">
        <f>$AG59*GETPIVOTDATA("Sum of TOTAL YEAR",RevenuePivot!$BT$12,"YEAR",V$5,"REFERENCE PRODUCT / SERVICE",$G59,"ITEM","REVENUE")</f>
        <v>0</v>
      </c>
      <c r="W59" s="4">
        <f>$AG59*GETPIVOTDATA("Sum of TOTAL YEAR",RevenuePivot!$BT$12,"YEAR",W$5,"REFERENCE PRODUCT / SERVICE",$G59,"ITEM","REVENUE")</f>
        <v>0</v>
      </c>
      <c r="X59" s="4">
        <f>$AG59*GETPIVOTDATA("Sum of TOTAL YEAR",RevenuePivot!$BT$12,"YEAR",X$5,"REFERENCE PRODUCT / SERVICE",$G59,"ITEM","REVENUE")</f>
        <v>0</v>
      </c>
      <c r="Y59" s="604"/>
      <c r="Z59" s="3" t="str">
        <f>VLOOKUP($D59,TableInputsData[],ReadMe!$M$3,FALSE)&amp;"  |  "&amp;VLOOKUP($E59,TableInputsData[],ReadMe!$M$3,FALSE)&amp;"  |  "&amp;VLOOKUP($G59,TableInputsData[],ReadMe!$M$3,FALSE)</f>
        <v>CA ET MARGE BRUTE  |  REVENUS PRODUITS  |  PRODUIT 08</v>
      </c>
      <c r="AA59" s="3"/>
      <c r="AB59" s="34">
        <f t="shared" si="29"/>
        <v>1</v>
      </c>
      <c r="AC59" s="34"/>
      <c r="AD59" s="34"/>
      <c r="AE59" s="26"/>
      <c r="AF59" s="34">
        <v>1</v>
      </c>
      <c r="AG59" s="34">
        <f>VLOOKUP($G59,TableInputsData[],$AG$2,FALSE)</f>
        <v>0</v>
      </c>
      <c r="AH59" s="535"/>
      <c r="AI59" s="294"/>
    </row>
    <row r="60" spans="1:35" x14ac:dyDescent="0.2">
      <c r="A60" s="294"/>
      <c r="B60" s="944"/>
      <c r="C60" s="66">
        <v>1</v>
      </c>
      <c r="D60" s="3" t="s">
        <v>618</v>
      </c>
      <c r="E60" s="3" t="s">
        <v>616</v>
      </c>
      <c r="F60" s="3" t="s">
        <v>21</v>
      </c>
      <c r="G60" s="3" t="s">
        <v>545</v>
      </c>
      <c r="H60" s="5" t="str">
        <f>VLOOKUP($G60,TableInputsData[],6,FALSE)</f>
        <v>-</v>
      </c>
      <c r="I60" s="5" t="str">
        <f>VLOOKUP("SEE InputsData SHEET",TableInputsData[],ReadMe!$M$3,FALSE)</f>
        <v>VOIR FEUILLE InputData</v>
      </c>
      <c r="J60" s="26"/>
      <c r="K60" s="135"/>
      <c r="L60" s="127"/>
      <c r="M60" s="134"/>
      <c r="N60" s="60"/>
      <c r="O60" s="4">
        <f>$AG60*GETPIVOTDATA("Sum of TOTAL YEAR",RevenuePivot!$BT$12,"YEAR",O$5,"REFERENCE PRODUCT / SERVICE",$G60,"ITEM","REVENUE")</f>
        <v>0</v>
      </c>
      <c r="P60" s="4">
        <f>$AG60*GETPIVOTDATA("Sum of TOTAL YEAR",RevenuePivot!$BT$12,"YEAR",P$5,"REFERENCE PRODUCT / SERVICE",$G60,"ITEM","REVENUE")</f>
        <v>0</v>
      </c>
      <c r="Q60" s="4">
        <f>$AG60*GETPIVOTDATA("Sum of SEMESTRE 1",RevenuePivot!$BT$12,"YEAR",Q$5,"REFERENCE PRODUCT / SERVICE",$G60,"ITEM","REVENUE")</f>
        <v>0</v>
      </c>
      <c r="R60" s="4">
        <f>$AG60*GETPIVOTDATA("Sum of SEMESTRE 2",RevenuePivot!$BT$12,"YEAR",R$5,"REFERENCE PRODUCT / SERVICE",$G60,"ITEM","REVENUE")</f>
        <v>0</v>
      </c>
      <c r="S60" s="4">
        <f t="shared" si="28"/>
        <v>0</v>
      </c>
      <c r="T60" s="4">
        <f>$AG60*GETPIVOTDATA("Sum of TOTAL YEAR",RevenuePivot!$BT$12,"YEAR",T$5,"REFERENCE PRODUCT / SERVICE",$G60,"ITEM","REVENUE")</f>
        <v>0</v>
      </c>
      <c r="U60" s="4">
        <f>$AG60*GETPIVOTDATA("Sum of TOTAL YEAR",RevenuePivot!$BT$12,"YEAR",U$5,"REFERENCE PRODUCT / SERVICE",$G60,"ITEM","REVENUE")</f>
        <v>0</v>
      </c>
      <c r="V60" s="4">
        <f>$AG60*GETPIVOTDATA("Sum of TOTAL YEAR",RevenuePivot!$BT$12,"YEAR",V$5,"REFERENCE PRODUCT / SERVICE",$G60,"ITEM","REVENUE")</f>
        <v>0</v>
      </c>
      <c r="W60" s="4">
        <f>$AG60*GETPIVOTDATA("Sum of TOTAL YEAR",RevenuePivot!$BT$12,"YEAR",W$5,"REFERENCE PRODUCT / SERVICE",$G60,"ITEM","REVENUE")</f>
        <v>0</v>
      </c>
      <c r="X60" s="4">
        <f>$AG60*GETPIVOTDATA("Sum of TOTAL YEAR",RevenuePivot!$BT$12,"YEAR",X$5,"REFERENCE PRODUCT / SERVICE",$G60,"ITEM","REVENUE")</f>
        <v>0</v>
      </c>
      <c r="Y60" s="604"/>
      <c r="Z60" s="3" t="str">
        <f>VLOOKUP($D60,TableInputsData[],ReadMe!$M$3,FALSE)&amp;"  |  "&amp;VLOOKUP($E60,TableInputsData[],ReadMe!$M$3,FALSE)&amp;"  |  "&amp;VLOOKUP($G60,TableInputsData[],ReadMe!$M$3,FALSE)</f>
        <v>CA ET MARGE BRUTE  |  REVENUS PRODUITS  |  PRODUIT 09</v>
      </c>
      <c r="AA60" s="3"/>
      <c r="AB60" s="34">
        <f t="shared" si="29"/>
        <v>1</v>
      </c>
      <c r="AC60" s="34"/>
      <c r="AD60" s="34"/>
      <c r="AE60" s="26"/>
      <c r="AF60" s="34">
        <v>1</v>
      </c>
      <c r="AG60" s="34">
        <f>VLOOKUP($G60,TableInputsData[],$AG$2,FALSE)</f>
        <v>0</v>
      </c>
      <c r="AH60" s="535"/>
      <c r="AI60" s="294"/>
    </row>
    <row r="61" spans="1:35" x14ac:dyDescent="0.2">
      <c r="A61" s="294"/>
      <c r="B61" s="944"/>
      <c r="C61" s="70">
        <v>1</v>
      </c>
      <c r="D61" s="3" t="s">
        <v>618</v>
      </c>
      <c r="E61" s="3" t="s">
        <v>616</v>
      </c>
      <c r="F61" s="6" t="s">
        <v>21</v>
      </c>
      <c r="G61" s="3" t="s">
        <v>401</v>
      </c>
      <c r="H61" s="5" t="str">
        <f>VLOOKUP($G61,TableInputsData[],6,FALSE)</f>
        <v>-</v>
      </c>
      <c r="I61" s="5" t="str">
        <f>VLOOKUP("SEE InputsData SHEET",TableInputsData[],ReadMe!$M$3,FALSE)</f>
        <v>VOIR FEUILLE InputData</v>
      </c>
      <c r="J61" s="26"/>
      <c r="K61" s="135"/>
      <c r="L61" s="127"/>
      <c r="M61" s="134"/>
      <c r="N61" s="60"/>
      <c r="O61" s="4">
        <f>$AG61*GETPIVOTDATA("Sum of TOTAL YEAR",RevenuePivot!$BT$12,"YEAR",O$5,"REFERENCE PRODUCT / SERVICE",$G61,"ITEM","REVENUE")</f>
        <v>0</v>
      </c>
      <c r="P61" s="4">
        <f>$AG61*GETPIVOTDATA("Sum of TOTAL YEAR",RevenuePivot!$BT$12,"YEAR",P$5,"REFERENCE PRODUCT / SERVICE",$G61,"ITEM","REVENUE")</f>
        <v>0</v>
      </c>
      <c r="Q61" s="4">
        <f>$AG61*GETPIVOTDATA("Sum of SEMESTRE 1",RevenuePivot!$BT$12,"YEAR",Q$5,"REFERENCE PRODUCT / SERVICE",$G61,"ITEM","REVENUE")</f>
        <v>0</v>
      </c>
      <c r="R61" s="4">
        <f>$AG61*GETPIVOTDATA("Sum of SEMESTRE 2",RevenuePivot!$BT$12,"YEAR",R$5,"REFERENCE PRODUCT / SERVICE",$G61,"ITEM","REVENUE")</f>
        <v>0</v>
      </c>
      <c r="S61" s="4">
        <f t="shared" si="28"/>
        <v>0</v>
      </c>
      <c r="T61" s="4">
        <f>$AG61*GETPIVOTDATA("Sum of TOTAL YEAR",RevenuePivot!$BT$12,"YEAR",T$5,"REFERENCE PRODUCT / SERVICE",$G61,"ITEM","REVENUE")</f>
        <v>0</v>
      </c>
      <c r="U61" s="4">
        <f>$AG61*GETPIVOTDATA("Sum of TOTAL YEAR",RevenuePivot!$BT$12,"YEAR",U$5,"REFERENCE PRODUCT / SERVICE",$G61,"ITEM","REVENUE")</f>
        <v>0</v>
      </c>
      <c r="V61" s="4">
        <f>$AG61*GETPIVOTDATA("Sum of TOTAL YEAR",RevenuePivot!$BT$12,"YEAR",V$5,"REFERENCE PRODUCT / SERVICE",$G61,"ITEM","REVENUE")</f>
        <v>0</v>
      </c>
      <c r="W61" s="4">
        <f>$AG61*GETPIVOTDATA("Sum of TOTAL YEAR",RevenuePivot!$BT$12,"YEAR",W$5,"REFERENCE PRODUCT / SERVICE",$G61,"ITEM","REVENUE")</f>
        <v>0</v>
      </c>
      <c r="X61" s="4">
        <f>$AG61*GETPIVOTDATA("Sum of TOTAL YEAR",RevenuePivot!$BT$12,"YEAR",X$5,"REFERENCE PRODUCT / SERVICE",$G61,"ITEM","REVENUE")</f>
        <v>0</v>
      </c>
      <c r="Y61" s="604"/>
      <c r="Z61" s="6" t="str">
        <f>VLOOKUP($D61,TableInputsData[],ReadMe!$M$3,FALSE)&amp;"  |  "&amp;VLOOKUP($E61,TableInputsData[],ReadMe!$M$3,FALSE)&amp;"  |  "&amp;VLOOKUP($G61,TableInputsData[],ReadMe!$M$3,FALSE)</f>
        <v>CA ET MARGE BRUTE  |  REVENUS PRODUITS  |  PRODUIT 10</v>
      </c>
      <c r="AA61" s="6"/>
      <c r="AB61" s="36">
        <f t="shared" si="29"/>
        <v>1</v>
      </c>
      <c r="AC61" s="36"/>
      <c r="AD61" s="36"/>
      <c r="AE61" s="91"/>
      <c r="AF61" s="36">
        <v>1</v>
      </c>
      <c r="AG61" s="34">
        <f>VLOOKUP($G61,TableInputsData[],$AG$2,FALSE)</f>
        <v>0</v>
      </c>
      <c r="AH61" s="536"/>
      <c r="AI61" s="294"/>
    </row>
    <row r="62" spans="1:35" x14ac:dyDescent="0.2">
      <c r="A62" s="294"/>
      <c r="B62" s="944"/>
      <c r="C62" s="70">
        <v>1</v>
      </c>
      <c r="D62" s="3" t="s">
        <v>618</v>
      </c>
      <c r="E62" s="3" t="s">
        <v>616</v>
      </c>
      <c r="F62" s="6" t="s">
        <v>21</v>
      </c>
      <c r="G62" s="3" t="s">
        <v>1710</v>
      </c>
      <c r="H62" s="5" t="str">
        <f>VLOOKUP($G62,TableInputsData[],6,FALSE)</f>
        <v>-</v>
      </c>
      <c r="I62" s="5" t="str">
        <f>VLOOKUP("SEE InputsData SHEET",TableInputsData[],ReadMe!$M$3,FALSE)</f>
        <v>VOIR FEUILLE InputData</v>
      </c>
      <c r="J62" s="26"/>
      <c r="K62" s="135"/>
      <c r="L62" s="127"/>
      <c r="M62" s="134"/>
      <c r="N62" s="60"/>
      <c r="O62" s="4">
        <f>$AG62*GETPIVOTDATA("Sum of TOTAL YEAR",RevenuePivot!$BT$12,"YEAR",O$5,"REFERENCE PRODUCT / SERVICE",$G62,"ITEM","REVENUE")</f>
        <v>0</v>
      </c>
      <c r="P62" s="4">
        <f>$AG62*GETPIVOTDATA("Sum of TOTAL YEAR",RevenuePivot!$BT$12,"YEAR",P$5,"REFERENCE PRODUCT / SERVICE",$G62,"ITEM","REVENUE")</f>
        <v>0</v>
      </c>
      <c r="Q62" s="4">
        <f>$AG62*GETPIVOTDATA("Sum of SEMESTRE 1",RevenuePivot!$BT$12,"YEAR",Q$5,"REFERENCE PRODUCT / SERVICE",$G62,"ITEM","REVENUE")</f>
        <v>0</v>
      </c>
      <c r="R62" s="4">
        <f>$AG62*GETPIVOTDATA("Sum of SEMESTRE 2",RevenuePivot!$BT$12,"YEAR",R$5,"REFERENCE PRODUCT / SERVICE",$G62,"ITEM","REVENUE")</f>
        <v>0</v>
      </c>
      <c r="S62" s="4">
        <f t="shared" ref="S62:S71" si="30">Q62+R62</f>
        <v>0</v>
      </c>
      <c r="T62" s="4">
        <f>$AG62*GETPIVOTDATA("Sum of TOTAL YEAR",RevenuePivot!$BT$12,"YEAR",T$5,"REFERENCE PRODUCT / SERVICE",$G62,"ITEM","REVENUE")</f>
        <v>0</v>
      </c>
      <c r="U62" s="4">
        <f>$AG62*GETPIVOTDATA("Sum of TOTAL YEAR",RevenuePivot!$BT$12,"YEAR",U$5,"REFERENCE PRODUCT / SERVICE",$G62,"ITEM","REVENUE")</f>
        <v>0</v>
      </c>
      <c r="V62" s="4">
        <f>$AG62*GETPIVOTDATA("Sum of TOTAL YEAR",RevenuePivot!$BT$12,"YEAR",V$5,"REFERENCE PRODUCT / SERVICE",$G62,"ITEM","REVENUE")</f>
        <v>0</v>
      </c>
      <c r="W62" s="4">
        <f>$AG62*GETPIVOTDATA("Sum of TOTAL YEAR",RevenuePivot!$BT$12,"YEAR",W$5,"REFERENCE PRODUCT / SERVICE",$G62,"ITEM","REVENUE")</f>
        <v>0</v>
      </c>
      <c r="X62" s="4">
        <f>$AG62*GETPIVOTDATA("Sum of TOTAL YEAR",RevenuePivot!$BT$12,"YEAR",X$5,"REFERENCE PRODUCT / SERVICE",$G62,"ITEM","REVENUE")</f>
        <v>0</v>
      </c>
      <c r="Y62" s="604"/>
      <c r="Z62" s="6" t="str">
        <f>VLOOKUP($D62,TableInputsData[],ReadMe!$M$3,FALSE)&amp;"  |  "&amp;VLOOKUP($E62,TableInputsData[],ReadMe!$M$3,FALSE)&amp;"  |  "&amp;VLOOKUP($G62,TableInputsData[],ReadMe!$M$3,FALSE)</f>
        <v>CA ET MARGE BRUTE  |  REVENUS PRODUITS  |  PRODUIT 11</v>
      </c>
      <c r="AA62" s="6"/>
      <c r="AB62" s="36">
        <f t="shared" ref="AB62:AB71" si="31">IF(AND(SUM(O62:X62)=0,H62=""),0,1)</f>
        <v>1</v>
      </c>
      <c r="AC62" s="36"/>
      <c r="AD62" s="36"/>
      <c r="AE62" s="91"/>
      <c r="AF62" s="36">
        <v>1</v>
      </c>
      <c r="AG62" s="34">
        <f>VLOOKUP($G62,TableInputsData[],$AG$2,FALSE)</f>
        <v>0</v>
      </c>
      <c r="AH62" s="536"/>
      <c r="AI62" s="294"/>
    </row>
    <row r="63" spans="1:35" x14ac:dyDescent="0.2">
      <c r="A63" s="294"/>
      <c r="B63" s="944"/>
      <c r="C63" s="70">
        <v>1</v>
      </c>
      <c r="D63" s="3" t="s">
        <v>618</v>
      </c>
      <c r="E63" s="3" t="s">
        <v>616</v>
      </c>
      <c r="F63" s="6" t="s">
        <v>21</v>
      </c>
      <c r="G63" s="3" t="s">
        <v>1712</v>
      </c>
      <c r="H63" s="5" t="str">
        <f>VLOOKUP($G63,TableInputsData[],6,FALSE)</f>
        <v>-</v>
      </c>
      <c r="I63" s="5" t="str">
        <f>VLOOKUP("SEE InputsData SHEET",TableInputsData[],ReadMe!$M$3,FALSE)</f>
        <v>VOIR FEUILLE InputData</v>
      </c>
      <c r="J63" s="26"/>
      <c r="K63" s="135"/>
      <c r="L63" s="127"/>
      <c r="M63" s="134"/>
      <c r="N63" s="60"/>
      <c r="O63" s="4">
        <f>$AG63*GETPIVOTDATA("Sum of TOTAL YEAR",RevenuePivot!$BT$12,"YEAR",O$5,"REFERENCE PRODUCT / SERVICE",$G63,"ITEM","REVENUE")</f>
        <v>0</v>
      </c>
      <c r="P63" s="4">
        <f>$AG63*GETPIVOTDATA("Sum of TOTAL YEAR",RevenuePivot!$BT$12,"YEAR",P$5,"REFERENCE PRODUCT / SERVICE",$G63,"ITEM","REVENUE")</f>
        <v>0</v>
      </c>
      <c r="Q63" s="4">
        <f>$AG63*GETPIVOTDATA("Sum of SEMESTRE 1",RevenuePivot!$BT$12,"YEAR",Q$5,"REFERENCE PRODUCT / SERVICE",$G63,"ITEM","REVENUE")</f>
        <v>0</v>
      </c>
      <c r="R63" s="4">
        <f>$AG63*GETPIVOTDATA("Sum of SEMESTRE 2",RevenuePivot!$BT$12,"YEAR",R$5,"REFERENCE PRODUCT / SERVICE",$G63,"ITEM","REVENUE")</f>
        <v>0</v>
      </c>
      <c r="S63" s="4">
        <f t="shared" si="30"/>
        <v>0</v>
      </c>
      <c r="T63" s="4">
        <f>$AG63*GETPIVOTDATA("Sum of TOTAL YEAR",RevenuePivot!$BT$12,"YEAR",T$5,"REFERENCE PRODUCT / SERVICE",$G63,"ITEM","REVENUE")</f>
        <v>0</v>
      </c>
      <c r="U63" s="4">
        <f>$AG63*GETPIVOTDATA("Sum of TOTAL YEAR",RevenuePivot!$BT$12,"YEAR",U$5,"REFERENCE PRODUCT / SERVICE",$G63,"ITEM","REVENUE")</f>
        <v>0</v>
      </c>
      <c r="V63" s="4">
        <f>$AG63*GETPIVOTDATA("Sum of TOTAL YEAR",RevenuePivot!$BT$12,"YEAR",V$5,"REFERENCE PRODUCT / SERVICE",$G63,"ITEM","REVENUE")</f>
        <v>0</v>
      </c>
      <c r="W63" s="4">
        <f>$AG63*GETPIVOTDATA("Sum of TOTAL YEAR",RevenuePivot!$BT$12,"YEAR",W$5,"REFERENCE PRODUCT / SERVICE",$G63,"ITEM","REVENUE")</f>
        <v>0</v>
      </c>
      <c r="X63" s="4">
        <f>$AG63*GETPIVOTDATA("Sum of TOTAL YEAR",RevenuePivot!$BT$12,"YEAR",X$5,"REFERENCE PRODUCT / SERVICE",$G63,"ITEM","REVENUE")</f>
        <v>0</v>
      </c>
      <c r="Y63" s="604"/>
      <c r="Z63" s="6" t="str">
        <f>VLOOKUP($D63,TableInputsData[],ReadMe!$M$3,FALSE)&amp;"  |  "&amp;VLOOKUP($E63,TableInputsData[],ReadMe!$M$3,FALSE)&amp;"  |  "&amp;VLOOKUP($G63,TableInputsData[],ReadMe!$M$3,FALSE)</f>
        <v>CA ET MARGE BRUTE  |  REVENUS PRODUITS  |  PRODUIT 12</v>
      </c>
      <c r="AA63" s="6"/>
      <c r="AB63" s="36">
        <f t="shared" si="31"/>
        <v>1</v>
      </c>
      <c r="AC63" s="36"/>
      <c r="AD63" s="36"/>
      <c r="AE63" s="91"/>
      <c r="AF63" s="36">
        <v>1</v>
      </c>
      <c r="AG63" s="34">
        <f>VLOOKUP($G63,TableInputsData[],$AG$2,FALSE)</f>
        <v>0</v>
      </c>
      <c r="AH63" s="536"/>
      <c r="AI63" s="294"/>
    </row>
    <row r="64" spans="1:35" x14ac:dyDescent="0.2">
      <c r="A64" s="294"/>
      <c r="B64" s="944"/>
      <c r="C64" s="70">
        <v>1</v>
      </c>
      <c r="D64" s="3" t="s">
        <v>618</v>
      </c>
      <c r="E64" s="3" t="s">
        <v>616</v>
      </c>
      <c r="F64" s="6" t="s">
        <v>21</v>
      </c>
      <c r="G64" s="3" t="s">
        <v>1714</v>
      </c>
      <c r="H64" s="5" t="str">
        <f>VLOOKUP($G64,TableInputsData[],6,FALSE)</f>
        <v>-</v>
      </c>
      <c r="I64" s="5" t="str">
        <f>VLOOKUP("SEE InputsData SHEET",TableInputsData[],ReadMe!$M$3,FALSE)</f>
        <v>VOIR FEUILLE InputData</v>
      </c>
      <c r="J64" s="26"/>
      <c r="K64" s="135"/>
      <c r="L64" s="127"/>
      <c r="M64" s="134"/>
      <c r="N64" s="60"/>
      <c r="O64" s="4">
        <f>$AG64*GETPIVOTDATA("Sum of TOTAL YEAR",RevenuePivot!$BT$12,"YEAR",O$5,"REFERENCE PRODUCT / SERVICE",$G64,"ITEM","REVENUE")</f>
        <v>0</v>
      </c>
      <c r="P64" s="4">
        <f>$AG64*GETPIVOTDATA("Sum of TOTAL YEAR",RevenuePivot!$BT$12,"YEAR",P$5,"REFERENCE PRODUCT / SERVICE",$G64,"ITEM","REVENUE")</f>
        <v>0</v>
      </c>
      <c r="Q64" s="4">
        <f>$AG64*GETPIVOTDATA("Sum of SEMESTRE 1",RevenuePivot!$BT$12,"YEAR",Q$5,"REFERENCE PRODUCT / SERVICE",$G64,"ITEM","REVENUE")</f>
        <v>0</v>
      </c>
      <c r="R64" s="4">
        <f>$AG64*GETPIVOTDATA("Sum of SEMESTRE 2",RevenuePivot!$BT$12,"YEAR",R$5,"REFERENCE PRODUCT / SERVICE",$G64,"ITEM","REVENUE")</f>
        <v>0</v>
      </c>
      <c r="S64" s="4">
        <f t="shared" si="30"/>
        <v>0</v>
      </c>
      <c r="T64" s="4">
        <f>$AG64*GETPIVOTDATA("Sum of TOTAL YEAR",RevenuePivot!$BT$12,"YEAR",T$5,"REFERENCE PRODUCT / SERVICE",$G64,"ITEM","REVENUE")</f>
        <v>0</v>
      </c>
      <c r="U64" s="4">
        <f>$AG64*GETPIVOTDATA("Sum of TOTAL YEAR",RevenuePivot!$BT$12,"YEAR",U$5,"REFERENCE PRODUCT / SERVICE",$G64,"ITEM","REVENUE")</f>
        <v>0</v>
      </c>
      <c r="V64" s="4">
        <f>$AG64*GETPIVOTDATA("Sum of TOTAL YEAR",RevenuePivot!$BT$12,"YEAR",V$5,"REFERENCE PRODUCT / SERVICE",$G64,"ITEM","REVENUE")</f>
        <v>0</v>
      </c>
      <c r="W64" s="4">
        <f>$AG64*GETPIVOTDATA("Sum of TOTAL YEAR",RevenuePivot!$BT$12,"YEAR",W$5,"REFERENCE PRODUCT / SERVICE",$G64,"ITEM","REVENUE")</f>
        <v>0</v>
      </c>
      <c r="X64" s="4">
        <f>$AG64*GETPIVOTDATA("Sum of TOTAL YEAR",RevenuePivot!$BT$12,"YEAR",X$5,"REFERENCE PRODUCT / SERVICE",$G64,"ITEM","REVENUE")</f>
        <v>0</v>
      </c>
      <c r="Y64" s="604"/>
      <c r="Z64" s="6" t="str">
        <f>VLOOKUP($D64,TableInputsData[],ReadMe!$M$3,FALSE)&amp;"  |  "&amp;VLOOKUP($E64,TableInputsData[],ReadMe!$M$3,FALSE)&amp;"  |  "&amp;VLOOKUP($G64,TableInputsData[],ReadMe!$M$3,FALSE)</f>
        <v>CA ET MARGE BRUTE  |  REVENUS PRODUITS  |  PRODUIT 13</v>
      </c>
      <c r="AA64" s="6"/>
      <c r="AB64" s="36">
        <f t="shared" si="31"/>
        <v>1</v>
      </c>
      <c r="AC64" s="36"/>
      <c r="AD64" s="36"/>
      <c r="AE64" s="91"/>
      <c r="AF64" s="36">
        <v>1</v>
      </c>
      <c r="AG64" s="34">
        <f>VLOOKUP($G64,TableInputsData[],$AG$2,FALSE)</f>
        <v>0</v>
      </c>
      <c r="AH64" s="536"/>
      <c r="AI64" s="294"/>
    </row>
    <row r="65" spans="1:35" x14ac:dyDescent="0.2">
      <c r="A65" s="294"/>
      <c r="B65" s="944"/>
      <c r="C65" s="70">
        <v>1</v>
      </c>
      <c r="D65" s="3" t="s">
        <v>618</v>
      </c>
      <c r="E65" s="3" t="s">
        <v>616</v>
      </c>
      <c r="F65" s="6" t="s">
        <v>21</v>
      </c>
      <c r="G65" s="3" t="s">
        <v>1716</v>
      </c>
      <c r="H65" s="5" t="str">
        <f>VLOOKUP($G65,TableInputsData[],6,FALSE)</f>
        <v>-</v>
      </c>
      <c r="I65" s="5" t="str">
        <f>VLOOKUP("SEE InputsData SHEET",TableInputsData[],ReadMe!$M$3,FALSE)</f>
        <v>VOIR FEUILLE InputData</v>
      </c>
      <c r="J65" s="26"/>
      <c r="K65" s="135"/>
      <c r="L65" s="127"/>
      <c r="M65" s="134"/>
      <c r="N65" s="60"/>
      <c r="O65" s="4">
        <f>$AG65*GETPIVOTDATA("Sum of TOTAL YEAR",RevenuePivot!$BT$12,"YEAR",O$5,"REFERENCE PRODUCT / SERVICE",$G65,"ITEM","REVENUE")</f>
        <v>0</v>
      </c>
      <c r="P65" s="4">
        <f>$AG65*GETPIVOTDATA("Sum of TOTAL YEAR",RevenuePivot!$BT$12,"YEAR",P$5,"REFERENCE PRODUCT / SERVICE",$G65,"ITEM","REVENUE")</f>
        <v>0</v>
      </c>
      <c r="Q65" s="4">
        <f>$AG65*GETPIVOTDATA("Sum of SEMESTRE 1",RevenuePivot!$BT$12,"YEAR",Q$5,"REFERENCE PRODUCT / SERVICE",$G65,"ITEM","REVENUE")</f>
        <v>0</v>
      </c>
      <c r="R65" s="4">
        <f>$AG65*GETPIVOTDATA("Sum of SEMESTRE 2",RevenuePivot!$BT$12,"YEAR",R$5,"REFERENCE PRODUCT / SERVICE",$G65,"ITEM","REVENUE")</f>
        <v>0</v>
      </c>
      <c r="S65" s="4">
        <f t="shared" si="30"/>
        <v>0</v>
      </c>
      <c r="T65" s="4">
        <f>$AG65*GETPIVOTDATA("Sum of TOTAL YEAR",RevenuePivot!$BT$12,"YEAR",T$5,"REFERENCE PRODUCT / SERVICE",$G65,"ITEM","REVENUE")</f>
        <v>0</v>
      </c>
      <c r="U65" s="4">
        <f>$AG65*GETPIVOTDATA("Sum of TOTAL YEAR",RevenuePivot!$BT$12,"YEAR",U$5,"REFERENCE PRODUCT / SERVICE",$G65,"ITEM","REVENUE")</f>
        <v>0</v>
      </c>
      <c r="V65" s="4">
        <f>$AG65*GETPIVOTDATA("Sum of TOTAL YEAR",RevenuePivot!$BT$12,"YEAR",V$5,"REFERENCE PRODUCT / SERVICE",$G65,"ITEM","REVENUE")</f>
        <v>0</v>
      </c>
      <c r="W65" s="4">
        <f>$AG65*GETPIVOTDATA("Sum of TOTAL YEAR",RevenuePivot!$BT$12,"YEAR",W$5,"REFERENCE PRODUCT / SERVICE",$G65,"ITEM","REVENUE")</f>
        <v>0</v>
      </c>
      <c r="X65" s="4">
        <f>$AG65*GETPIVOTDATA("Sum of TOTAL YEAR",RevenuePivot!$BT$12,"YEAR",X$5,"REFERENCE PRODUCT / SERVICE",$G65,"ITEM","REVENUE")</f>
        <v>0</v>
      </c>
      <c r="Y65" s="604"/>
      <c r="Z65" s="6" t="str">
        <f>VLOOKUP($D65,TableInputsData[],ReadMe!$M$3,FALSE)&amp;"  |  "&amp;VLOOKUP($E65,TableInputsData[],ReadMe!$M$3,FALSE)&amp;"  |  "&amp;VLOOKUP($G65,TableInputsData[],ReadMe!$M$3,FALSE)</f>
        <v>CA ET MARGE BRUTE  |  REVENUS PRODUITS  |  PRODUIT 14</v>
      </c>
      <c r="AA65" s="6"/>
      <c r="AB65" s="36">
        <f t="shared" si="31"/>
        <v>1</v>
      </c>
      <c r="AC65" s="36"/>
      <c r="AD65" s="36"/>
      <c r="AE65" s="91"/>
      <c r="AF65" s="36">
        <v>1</v>
      </c>
      <c r="AG65" s="34">
        <f>VLOOKUP($G65,TableInputsData[],$AG$2,FALSE)</f>
        <v>0</v>
      </c>
      <c r="AH65" s="536"/>
      <c r="AI65" s="294"/>
    </row>
    <row r="66" spans="1:35" x14ac:dyDescent="0.2">
      <c r="A66" s="294"/>
      <c r="B66" s="944"/>
      <c r="C66" s="70">
        <v>1</v>
      </c>
      <c r="D66" s="3" t="s">
        <v>618</v>
      </c>
      <c r="E66" s="3" t="s">
        <v>616</v>
      </c>
      <c r="F66" s="6" t="s">
        <v>21</v>
      </c>
      <c r="G66" s="3" t="s">
        <v>1718</v>
      </c>
      <c r="H66" s="5" t="str">
        <f>VLOOKUP($G66,TableInputsData[],6,FALSE)</f>
        <v>-</v>
      </c>
      <c r="I66" s="5" t="str">
        <f>VLOOKUP("SEE InputsData SHEET",TableInputsData[],ReadMe!$M$3,FALSE)</f>
        <v>VOIR FEUILLE InputData</v>
      </c>
      <c r="J66" s="26"/>
      <c r="K66" s="135"/>
      <c r="L66" s="127"/>
      <c r="M66" s="134"/>
      <c r="N66" s="60"/>
      <c r="O66" s="4">
        <f>$AG66*GETPIVOTDATA("Sum of TOTAL YEAR",RevenuePivot!$BT$12,"YEAR",O$5,"REFERENCE PRODUCT / SERVICE",$G66,"ITEM","REVENUE")</f>
        <v>0</v>
      </c>
      <c r="P66" s="4">
        <f>$AG66*GETPIVOTDATA("Sum of TOTAL YEAR",RevenuePivot!$BT$12,"YEAR",P$5,"REFERENCE PRODUCT / SERVICE",$G66,"ITEM","REVENUE")</f>
        <v>0</v>
      </c>
      <c r="Q66" s="4">
        <f>$AG66*GETPIVOTDATA("Sum of SEMESTRE 1",RevenuePivot!$BT$12,"YEAR",Q$5,"REFERENCE PRODUCT / SERVICE",$G66,"ITEM","REVENUE")</f>
        <v>0</v>
      </c>
      <c r="R66" s="4">
        <f>$AG66*GETPIVOTDATA("Sum of SEMESTRE 2",RevenuePivot!$BT$12,"YEAR",R$5,"REFERENCE PRODUCT / SERVICE",$G66,"ITEM","REVENUE")</f>
        <v>0</v>
      </c>
      <c r="S66" s="4">
        <f t="shared" si="30"/>
        <v>0</v>
      </c>
      <c r="T66" s="4">
        <f>$AG66*GETPIVOTDATA("Sum of TOTAL YEAR",RevenuePivot!$BT$12,"YEAR",T$5,"REFERENCE PRODUCT / SERVICE",$G66,"ITEM","REVENUE")</f>
        <v>0</v>
      </c>
      <c r="U66" s="4">
        <f>$AG66*GETPIVOTDATA("Sum of TOTAL YEAR",RevenuePivot!$BT$12,"YEAR",U$5,"REFERENCE PRODUCT / SERVICE",$G66,"ITEM","REVENUE")</f>
        <v>0</v>
      </c>
      <c r="V66" s="4">
        <f>$AG66*GETPIVOTDATA("Sum of TOTAL YEAR",RevenuePivot!$BT$12,"YEAR",V$5,"REFERENCE PRODUCT / SERVICE",$G66,"ITEM","REVENUE")</f>
        <v>0</v>
      </c>
      <c r="W66" s="4">
        <f>$AG66*GETPIVOTDATA("Sum of TOTAL YEAR",RevenuePivot!$BT$12,"YEAR",W$5,"REFERENCE PRODUCT / SERVICE",$G66,"ITEM","REVENUE")</f>
        <v>0</v>
      </c>
      <c r="X66" s="4">
        <f>$AG66*GETPIVOTDATA("Sum of TOTAL YEAR",RevenuePivot!$BT$12,"YEAR",X$5,"REFERENCE PRODUCT / SERVICE",$G66,"ITEM","REVENUE")</f>
        <v>0</v>
      </c>
      <c r="Y66" s="604"/>
      <c r="Z66" s="6" t="str">
        <f>VLOOKUP($D66,TableInputsData[],ReadMe!$M$3,FALSE)&amp;"  |  "&amp;VLOOKUP($E66,TableInputsData[],ReadMe!$M$3,FALSE)&amp;"  |  "&amp;VLOOKUP($G66,TableInputsData[],ReadMe!$M$3,FALSE)</f>
        <v>CA ET MARGE BRUTE  |  REVENUS PRODUITS  |  PRODUIT 15</v>
      </c>
      <c r="AA66" s="6"/>
      <c r="AB66" s="36">
        <f t="shared" si="31"/>
        <v>1</v>
      </c>
      <c r="AC66" s="36"/>
      <c r="AD66" s="36"/>
      <c r="AE66" s="91"/>
      <c r="AF66" s="36">
        <v>1</v>
      </c>
      <c r="AG66" s="34">
        <f>VLOOKUP($G66,TableInputsData[],$AG$2,FALSE)</f>
        <v>0</v>
      </c>
      <c r="AH66" s="536"/>
      <c r="AI66" s="294"/>
    </row>
    <row r="67" spans="1:35" x14ac:dyDescent="0.2">
      <c r="A67" s="294"/>
      <c r="B67" s="944"/>
      <c r="C67" s="70">
        <v>1</v>
      </c>
      <c r="D67" s="3" t="s">
        <v>618</v>
      </c>
      <c r="E67" s="3" t="s">
        <v>616</v>
      </c>
      <c r="F67" s="6" t="s">
        <v>21</v>
      </c>
      <c r="G67" s="3" t="s">
        <v>1720</v>
      </c>
      <c r="H67" s="5" t="str">
        <f>VLOOKUP($G67,TableInputsData[],6,FALSE)</f>
        <v>-</v>
      </c>
      <c r="I67" s="5" t="str">
        <f>VLOOKUP("SEE InputsData SHEET",TableInputsData[],ReadMe!$M$3,FALSE)</f>
        <v>VOIR FEUILLE InputData</v>
      </c>
      <c r="J67" s="26"/>
      <c r="K67" s="135"/>
      <c r="L67" s="127"/>
      <c r="M67" s="134"/>
      <c r="N67" s="60"/>
      <c r="O67" s="4">
        <f>$AG67*GETPIVOTDATA("Sum of TOTAL YEAR",RevenuePivot!$BT$12,"YEAR",O$5,"REFERENCE PRODUCT / SERVICE",$G67,"ITEM","REVENUE")</f>
        <v>0</v>
      </c>
      <c r="P67" s="4">
        <f>$AG67*GETPIVOTDATA("Sum of TOTAL YEAR",RevenuePivot!$BT$12,"YEAR",P$5,"REFERENCE PRODUCT / SERVICE",$G67,"ITEM","REVENUE")</f>
        <v>0</v>
      </c>
      <c r="Q67" s="4">
        <f>$AG67*GETPIVOTDATA("Sum of SEMESTRE 1",RevenuePivot!$BT$12,"YEAR",Q$5,"REFERENCE PRODUCT / SERVICE",$G67,"ITEM","REVENUE")</f>
        <v>0</v>
      </c>
      <c r="R67" s="4">
        <f>$AG67*GETPIVOTDATA("Sum of SEMESTRE 2",RevenuePivot!$BT$12,"YEAR",R$5,"REFERENCE PRODUCT / SERVICE",$G67,"ITEM","REVENUE")</f>
        <v>0</v>
      </c>
      <c r="S67" s="4">
        <f t="shared" si="30"/>
        <v>0</v>
      </c>
      <c r="T67" s="4">
        <f>$AG67*GETPIVOTDATA("Sum of TOTAL YEAR",RevenuePivot!$BT$12,"YEAR",T$5,"REFERENCE PRODUCT / SERVICE",$G67,"ITEM","REVENUE")</f>
        <v>0</v>
      </c>
      <c r="U67" s="4">
        <f>$AG67*GETPIVOTDATA("Sum of TOTAL YEAR",RevenuePivot!$BT$12,"YEAR",U$5,"REFERENCE PRODUCT / SERVICE",$G67,"ITEM","REVENUE")</f>
        <v>0</v>
      </c>
      <c r="V67" s="4">
        <f>$AG67*GETPIVOTDATA("Sum of TOTAL YEAR",RevenuePivot!$BT$12,"YEAR",V$5,"REFERENCE PRODUCT / SERVICE",$G67,"ITEM","REVENUE")</f>
        <v>0</v>
      </c>
      <c r="W67" s="4">
        <f>$AG67*GETPIVOTDATA("Sum of TOTAL YEAR",RevenuePivot!$BT$12,"YEAR",W$5,"REFERENCE PRODUCT / SERVICE",$G67,"ITEM","REVENUE")</f>
        <v>0</v>
      </c>
      <c r="X67" s="4">
        <f>$AG67*GETPIVOTDATA("Sum of TOTAL YEAR",RevenuePivot!$BT$12,"YEAR",X$5,"REFERENCE PRODUCT / SERVICE",$G67,"ITEM","REVENUE")</f>
        <v>0</v>
      </c>
      <c r="Y67" s="604"/>
      <c r="Z67" s="6" t="str">
        <f>VLOOKUP($D67,TableInputsData[],ReadMe!$M$3,FALSE)&amp;"  |  "&amp;VLOOKUP($E67,TableInputsData[],ReadMe!$M$3,FALSE)&amp;"  |  "&amp;VLOOKUP($G67,TableInputsData[],ReadMe!$M$3,FALSE)</f>
        <v>CA ET MARGE BRUTE  |  REVENUS PRODUITS  |  PRODUIT 16</v>
      </c>
      <c r="AA67" s="6"/>
      <c r="AB67" s="36">
        <f t="shared" si="31"/>
        <v>1</v>
      </c>
      <c r="AC67" s="36"/>
      <c r="AD67" s="36"/>
      <c r="AE67" s="91"/>
      <c r="AF67" s="36">
        <v>1</v>
      </c>
      <c r="AG67" s="34">
        <f>VLOOKUP($G67,TableInputsData[],$AG$2,FALSE)</f>
        <v>0</v>
      </c>
      <c r="AH67" s="536"/>
      <c r="AI67" s="294"/>
    </row>
    <row r="68" spans="1:35" x14ac:dyDescent="0.2">
      <c r="A68" s="294"/>
      <c r="B68" s="944"/>
      <c r="C68" s="70">
        <v>1</v>
      </c>
      <c r="D68" s="3" t="s">
        <v>618</v>
      </c>
      <c r="E68" s="3" t="s">
        <v>616</v>
      </c>
      <c r="F68" s="6" t="s">
        <v>21</v>
      </c>
      <c r="G68" s="3" t="s">
        <v>1722</v>
      </c>
      <c r="H68" s="5" t="str">
        <f>VLOOKUP($G68,TableInputsData[],6,FALSE)</f>
        <v>-</v>
      </c>
      <c r="I68" s="5" t="str">
        <f>VLOOKUP("SEE InputsData SHEET",TableInputsData[],ReadMe!$M$3,FALSE)</f>
        <v>VOIR FEUILLE InputData</v>
      </c>
      <c r="J68" s="26"/>
      <c r="K68" s="135"/>
      <c r="L68" s="127"/>
      <c r="M68" s="134"/>
      <c r="N68" s="60"/>
      <c r="O68" s="4">
        <f>$AG68*GETPIVOTDATA("Sum of TOTAL YEAR",RevenuePivot!$BT$12,"YEAR",O$5,"REFERENCE PRODUCT / SERVICE",$G68,"ITEM","REVENUE")</f>
        <v>0</v>
      </c>
      <c r="P68" s="4">
        <f>$AG68*GETPIVOTDATA("Sum of TOTAL YEAR",RevenuePivot!$BT$12,"YEAR",P$5,"REFERENCE PRODUCT / SERVICE",$G68,"ITEM","REVENUE")</f>
        <v>0</v>
      </c>
      <c r="Q68" s="4">
        <f>$AG68*GETPIVOTDATA("Sum of SEMESTRE 1",RevenuePivot!$BT$12,"YEAR",Q$5,"REFERENCE PRODUCT / SERVICE",$G68,"ITEM","REVENUE")</f>
        <v>0</v>
      </c>
      <c r="R68" s="4">
        <f>$AG68*GETPIVOTDATA("Sum of SEMESTRE 2",RevenuePivot!$BT$12,"YEAR",R$5,"REFERENCE PRODUCT / SERVICE",$G68,"ITEM","REVENUE")</f>
        <v>0</v>
      </c>
      <c r="S68" s="4">
        <f t="shared" si="30"/>
        <v>0</v>
      </c>
      <c r="T68" s="4">
        <f>$AG68*GETPIVOTDATA("Sum of TOTAL YEAR",RevenuePivot!$BT$12,"YEAR",T$5,"REFERENCE PRODUCT / SERVICE",$G68,"ITEM","REVENUE")</f>
        <v>0</v>
      </c>
      <c r="U68" s="4">
        <f>$AG68*GETPIVOTDATA("Sum of TOTAL YEAR",RevenuePivot!$BT$12,"YEAR",U$5,"REFERENCE PRODUCT / SERVICE",$G68,"ITEM","REVENUE")</f>
        <v>0</v>
      </c>
      <c r="V68" s="4">
        <f>$AG68*GETPIVOTDATA("Sum of TOTAL YEAR",RevenuePivot!$BT$12,"YEAR",V$5,"REFERENCE PRODUCT / SERVICE",$G68,"ITEM","REVENUE")</f>
        <v>0</v>
      </c>
      <c r="W68" s="4">
        <f>$AG68*GETPIVOTDATA("Sum of TOTAL YEAR",RevenuePivot!$BT$12,"YEAR",W$5,"REFERENCE PRODUCT / SERVICE",$G68,"ITEM","REVENUE")</f>
        <v>0</v>
      </c>
      <c r="X68" s="4">
        <f>$AG68*GETPIVOTDATA("Sum of TOTAL YEAR",RevenuePivot!$BT$12,"YEAR",X$5,"REFERENCE PRODUCT / SERVICE",$G68,"ITEM","REVENUE")</f>
        <v>0</v>
      </c>
      <c r="Y68" s="604"/>
      <c r="Z68" s="6" t="str">
        <f>VLOOKUP($D68,TableInputsData[],ReadMe!$M$3,FALSE)&amp;"  |  "&amp;VLOOKUP($E68,TableInputsData[],ReadMe!$M$3,FALSE)&amp;"  |  "&amp;VLOOKUP($G68,TableInputsData[],ReadMe!$M$3,FALSE)</f>
        <v>CA ET MARGE BRUTE  |  REVENUS PRODUITS  |  PRODUIT 17</v>
      </c>
      <c r="AA68" s="6"/>
      <c r="AB68" s="36">
        <f t="shared" si="31"/>
        <v>1</v>
      </c>
      <c r="AC68" s="36"/>
      <c r="AD68" s="36"/>
      <c r="AE68" s="91"/>
      <c r="AF68" s="36">
        <v>1</v>
      </c>
      <c r="AG68" s="34">
        <f>VLOOKUP($G68,TableInputsData[],$AG$2,FALSE)</f>
        <v>0</v>
      </c>
      <c r="AH68" s="536"/>
      <c r="AI68" s="294"/>
    </row>
    <row r="69" spans="1:35" x14ac:dyDescent="0.2">
      <c r="A69" s="294"/>
      <c r="B69" s="944"/>
      <c r="C69" s="70">
        <v>1</v>
      </c>
      <c r="D69" s="3" t="s">
        <v>618</v>
      </c>
      <c r="E69" s="3" t="s">
        <v>616</v>
      </c>
      <c r="F69" s="6" t="s">
        <v>21</v>
      </c>
      <c r="G69" s="3" t="s">
        <v>1724</v>
      </c>
      <c r="H69" s="5" t="str">
        <f>VLOOKUP($G69,TableInputsData[],6,FALSE)</f>
        <v>-</v>
      </c>
      <c r="I69" s="5" t="str">
        <f>VLOOKUP("SEE InputsData SHEET",TableInputsData[],ReadMe!$M$3,FALSE)</f>
        <v>VOIR FEUILLE InputData</v>
      </c>
      <c r="J69" s="26"/>
      <c r="K69" s="135"/>
      <c r="L69" s="127"/>
      <c r="M69" s="134"/>
      <c r="N69" s="60"/>
      <c r="O69" s="4">
        <f>$AG69*GETPIVOTDATA("Sum of TOTAL YEAR",RevenuePivot!$BT$12,"YEAR",O$5,"REFERENCE PRODUCT / SERVICE",$G69,"ITEM","REVENUE")</f>
        <v>0</v>
      </c>
      <c r="P69" s="4">
        <f>$AG69*GETPIVOTDATA("Sum of TOTAL YEAR",RevenuePivot!$BT$12,"YEAR",P$5,"REFERENCE PRODUCT / SERVICE",$G69,"ITEM","REVENUE")</f>
        <v>0</v>
      </c>
      <c r="Q69" s="4">
        <f>$AG69*GETPIVOTDATA("Sum of SEMESTRE 1",RevenuePivot!$BT$12,"YEAR",Q$5,"REFERENCE PRODUCT / SERVICE",$G69,"ITEM","REVENUE")</f>
        <v>0</v>
      </c>
      <c r="R69" s="4">
        <f>$AG69*GETPIVOTDATA("Sum of SEMESTRE 2",RevenuePivot!$BT$12,"YEAR",R$5,"REFERENCE PRODUCT / SERVICE",$G69,"ITEM","REVENUE")</f>
        <v>0</v>
      </c>
      <c r="S69" s="4">
        <f t="shared" si="30"/>
        <v>0</v>
      </c>
      <c r="T69" s="4">
        <f>$AG69*GETPIVOTDATA("Sum of TOTAL YEAR",RevenuePivot!$BT$12,"YEAR",T$5,"REFERENCE PRODUCT / SERVICE",$G69,"ITEM","REVENUE")</f>
        <v>0</v>
      </c>
      <c r="U69" s="4">
        <f>$AG69*GETPIVOTDATA("Sum of TOTAL YEAR",RevenuePivot!$BT$12,"YEAR",U$5,"REFERENCE PRODUCT / SERVICE",$G69,"ITEM","REVENUE")</f>
        <v>0</v>
      </c>
      <c r="V69" s="4">
        <f>$AG69*GETPIVOTDATA("Sum of TOTAL YEAR",RevenuePivot!$BT$12,"YEAR",V$5,"REFERENCE PRODUCT / SERVICE",$G69,"ITEM","REVENUE")</f>
        <v>0</v>
      </c>
      <c r="W69" s="4">
        <f>$AG69*GETPIVOTDATA("Sum of TOTAL YEAR",RevenuePivot!$BT$12,"YEAR",W$5,"REFERENCE PRODUCT / SERVICE",$G69,"ITEM","REVENUE")</f>
        <v>0</v>
      </c>
      <c r="X69" s="4">
        <f>$AG69*GETPIVOTDATA("Sum of TOTAL YEAR",RevenuePivot!$BT$12,"YEAR",X$5,"REFERENCE PRODUCT / SERVICE",$G69,"ITEM","REVENUE")</f>
        <v>0</v>
      </c>
      <c r="Y69" s="604"/>
      <c r="Z69" s="6" t="str">
        <f>VLOOKUP($D69,TableInputsData[],ReadMe!$M$3,FALSE)&amp;"  |  "&amp;VLOOKUP($E69,TableInputsData[],ReadMe!$M$3,FALSE)&amp;"  |  "&amp;VLOOKUP($G69,TableInputsData[],ReadMe!$M$3,FALSE)</f>
        <v>CA ET MARGE BRUTE  |  REVENUS PRODUITS  |  PRODUIT 18</v>
      </c>
      <c r="AA69" s="6"/>
      <c r="AB69" s="36">
        <f t="shared" si="31"/>
        <v>1</v>
      </c>
      <c r="AC69" s="36"/>
      <c r="AD69" s="36"/>
      <c r="AE69" s="91"/>
      <c r="AF69" s="36">
        <v>1</v>
      </c>
      <c r="AG69" s="34">
        <f>VLOOKUP($G69,TableInputsData[],$AG$2,FALSE)</f>
        <v>0</v>
      </c>
      <c r="AH69" s="536"/>
      <c r="AI69" s="294"/>
    </row>
    <row r="70" spans="1:35" x14ac:dyDescent="0.2">
      <c r="A70" s="294"/>
      <c r="B70" s="944"/>
      <c r="C70" s="70">
        <v>1</v>
      </c>
      <c r="D70" s="3" t="s">
        <v>618</v>
      </c>
      <c r="E70" s="3" t="s">
        <v>616</v>
      </c>
      <c r="F70" s="6" t="s">
        <v>21</v>
      </c>
      <c r="G70" s="3" t="s">
        <v>1726</v>
      </c>
      <c r="H70" s="5" t="str">
        <f>VLOOKUP($G70,TableInputsData[],6,FALSE)</f>
        <v>-</v>
      </c>
      <c r="I70" s="5" t="str">
        <f>VLOOKUP("SEE InputsData SHEET",TableInputsData[],ReadMe!$M$3,FALSE)</f>
        <v>VOIR FEUILLE InputData</v>
      </c>
      <c r="J70" s="26"/>
      <c r="K70" s="135"/>
      <c r="L70" s="127"/>
      <c r="M70" s="134"/>
      <c r="N70" s="60"/>
      <c r="O70" s="4">
        <f>$AG70*GETPIVOTDATA("Sum of TOTAL YEAR",RevenuePivot!$BT$12,"YEAR",O$5,"REFERENCE PRODUCT / SERVICE",$G70,"ITEM","REVENUE")</f>
        <v>0</v>
      </c>
      <c r="P70" s="4">
        <f>$AG70*GETPIVOTDATA("Sum of TOTAL YEAR",RevenuePivot!$BT$12,"YEAR",P$5,"REFERENCE PRODUCT / SERVICE",$G70,"ITEM","REVENUE")</f>
        <v>0</v>
      </c>
      <c r="Q70" s="4">
        <f>$AG70*GETPIVOTDATA("Sum of SEMESTRE 1",RevenuePivot!$BT$12,"YEAR",Q$5,"REFERENCE PRODUCT / SERVICE",$G70,"ITEM","REVENUE")</f>
        <v>0</v>
      </c>
      <c r="R70" s="4">
        <f>$AG70*GETPIVOTDATA("Sum of SEMESTRE 2",RevenuePivot!$BT$12,"YEAR",R$5,"REFERENCE PRODUCT / SERVICE",$G70,"ITEM","REVENUE")</f>
        <v>0</v>
      </c>
      <c r="S70" s="4">
        <f t="shared" si="30"/>
        <v>0</v>
      </c>
      <c r="T70" s="4">
        <f>$AG70*GETPIVOTDATA("Sum of TOTAL YEAR",RevenuePivot!$BT$12,"YEAR",T$5,"REFERENCE PRODUCT / SERVICE",$G70,"ITEM","REVENUE")</f>
        <v>0</v>
      </c>
      <c r="U70" s="4">
        <f>$AG70*GETPIVOTDATA("Sum of TOTAL YEAR",RevenuePivot!$BT$12,"YEAR",U$5,"REFERENCE PRODUCT / SERVICE",$G70,"ITEM","REVENUE")</f>
        <v>0</v>
      </c>
      <c r="V70" s="4">
        <f>$AG70*GETPIVOTDATA("Sum of TOTAL YEAR",RevenuePivot!$BT$12,"YEAR",V$5,"REFERENCE PRODUCT / SERVICE",$G70,"ITEM","REVENUE")</f>
        <v>0</v>
      </c>
      <c r="W70" s="4">
        <f>$AG70*GETPIVOTDATA("Sum of TOTAL YEAR",RevenuePivot!$BT$12,"YEAR",W$5,"REFERENCE PRODUCT / SERVICE",$G70,"ITEM","REVENUE")</f>
        <v>0</v>
      </c>
      <c r="X70" s="4">
        <f>$AG70*GETPIVOTDATA("Sum of TOTAL YEAR",RevenuePivot!$BT$12,"YEAR",X$5,"REFERENCE PRODUCT / SERVICE",$G70,"ITEM","REVENUE")</f>
        <v>0</v>
      </c>
      <c r="Y70" s="604"/>
      <c r="Z70" s="6" t="str">
        <f>VLOOKUP($D70,TableInputsData[],ReadMe!$M$3,FALSE)&amp;"  |  "&amp;VLOOKUP($E70,TableInputsData[],ReadMe!$M$3,FALSE)&amp;"  |  "&amp;VLOOKUP($G70,TableInputsData[],ReadMe!$M$3,FALSE)</f>
        <v>CA ET MARGE BRUTE  |  REVENUS PRODUITS  |  PRODUIT 19</v>
      </c>
      <c r="AA70" s="6"/>
      <c r="AB70" s="36">
        <f t="shared" si="31"/>
        <v>1</v>
      </c>
      <c r="AC70" s="36"/>
      <c r="AD70" s="36"/>
      <c r="AE70" s="91"/>
      <c r="AF70" s="36">
        <v>1</v>
      </c>
      <c r="AG70" s="34">
        <f>VLOOKUP($G70,TableInputsData[],$AG$2,FALSE)</f>
        <v>0</v>
      </c>
      <c r="AH70" s="536"/>
      <c r="AI70" s="294"/>
    </row>
    <row r="71" spans="1:35" x14ac:dyDescent="0.2">
      <c r="A71" s="294"/>
      <c r="B71" s="944"/>
      <c r="C71" s="70">
        <v>1</v>
      </c>
      <c r="D71" s="3" t="s">
        <v>618</v>
      </c>
      <c r="E71" s="3" t="s">
        <v>616</v>
      </c>
      <c r="F71" s="6" t="s">
        <v>21</v>
      </c>
      <c r="G71" s="3" t="s">
        <v>1728</v>
      </c>
      <c r="H71" s="5" t="str">
        <f>VLOOKUP($G71,TableInputsData[],6,FALSE)</f>
        <v>-</v>
      </c>
      <c r="I71" s="5" t="str">
        <f>VLOOKUP("SEE InputsData SHEET",TableInputsData[],ReadMe!$M$3,FALSE)</f>
        <v>VOIR FEUILLE InputData</v>
      </c>
      <c r="J71" s="26"/>
      <c r="K71" s="135"/>
      <c r="L71" s="127"/>
      <c r="M71" s="134"/>
      <c r="N71" s="60"/>
      <c r="O71" s="4">
        <f>$AG71*GETPIVOTDATA("Sum of TOTAL YEAR",RevenuePivot!$BT$12,"YEAR",O$5,"REFERENCE PRODUCT / SERVICE",$G71,"ITEM","REVENUE")</f>
        <v>0</v>
      </c>
      <c r="P71" s="4">
        <f>$AG71*GETPIVOTDATA("Sum of TOTAL YEAR",RevenuePivot!$BT$12,"YEAR",P$5,"REFERENCE PRODUCT / SERVICE",$G71,"ITEM","REVENUE")</f>
        <v>0</v>
      </c>
      <c r="Q71" s="4">
        <f>$AG71*GETPIVOTDATA("Sum of SEMESTRE 1",RevenuePivot!$BT$12,"YEAR",Q$5,"REFERENCE PRODUCT / SERVICE",$G71,"ITEM","REVENUE")</f>
        <v>0</v>
      </c>
      <c r="R71" s="4">
        <f>$AG71*GETPIVOTDATA("Sum of SEMESTRE 2",RevenuePivot!$BT$12,"YEAR",R$5,"REFERENCE PRODUCT / SERVICE",$G71,"ITEM","REVENUE")</f>
        <v>0</v>
      </c>
      <c r="S71" s="4">
        <f t="shared" si="30"/>
        <v>0</v>
      </c>
      <c r="T71" s="4">
        <f>$AG71*GETPIVOTDATA("Sum of TOTAL YEAR",RevenuePivot!$BT$12,"YEAR",T$5,"REFERENCE PRODUCT / SERVICE",$G71,"ITEM","REVENUE")</f>
        <v>0</v>
      </c>
      <c r="U71" s="4">
        <f>$AG71*GETPIVOTDATA("Sum of TOTAL YEAR",RevenuePivot!$BT$12,"YEAR",U$5,"REFERENCE PRODUCT / SERVICE",$G71,"ITEM","REVENUE")</f>
        <v>0</v>
      </c>
      <c r="V71" s="4">
        <f>$AG71*GETPIVOTDATA("Sum of TOTAL YEAR",RevenuePivot!$BT$12,"YEAR",V$5,"REFERENCE PRODUCT / SERVICE",$G71,"ITEM","REVENUE")</f>
        <v>0</v>
      </c>
      <c r="W71" s="4">
        <f>$AG71*GETPIVOTDATA("Sum of TOTAL YEAR",RevenuePivot!$BT$12,"YEAR",W$5,"REFERENCE PRODUCT / SERVICE",$G71,"ITEM","REVENUE")</f>
        <v>0</v>
      </c>
      <c r="X71" s="4">
        <f>$AG71*GETPIVOTDATA("Sum of TOTAL YEAR",RevenuePivot!$BT$12,"YEAR",X$5,"REFERENCE PRODUCT / SERVICE",$G71,"ITEM","REVENUE")</f>
        <v>0</v>
      </c>
      <c r="Y71" s="604"/>
      <c r="Z71" s="6" t="str">
        <f>VLOOKUP($D71,TableInputsData[],ReadMe!$M$3,FALSE)&amp;"  |  "&amp;VLOOKUP($E71,TableInputsData[],ReadMe!$M$3,FALSE)&amp;"  |  "&amp;VLOOKUP($G71,TableInputsData[],ReadMe!$M$3,FALSE)</f>
        <v>CA ET MARGE BRUTE  |  REVENUS PRODUITS  |  PRODUIT 20</v>
      </c>
      <c r="AA71" s="6"/>
      <c r="AB71" s="36">
        <f t="shared" si="31"/>
        <v>1</v>
      </c>
      <c r="AC71" s="36"/>
      <c r="AD71" s="36"/>
      <c r="AE71" s="91"/>
      <c r="AF71" s="36">
        <v>1</v>
      </c>
      <c r="AG71" s="34">
        <f>VLOOKUP($G71,TableInputsData[],$AG$2,FALSE)</f>
        <v>0</v>
      </c>
      <c r="AH71" s="536"/>
      <c r="AI71" s="294"/>
    </row>
    <row r="72" spans="1:35" x14ac:dyDescent="0.2">
      <c r="A72" s="294"/>
      <c r="B72" s="944"/>
      <c r="C72" s="67">
        <v>1</v>
      </c>
      <c r="D72" s="16" t="s">
        <v>618</v>
      </c>
      <c r="E72" s="16" t="s">
        <v>616</v>
      </c>
      <c r="F72" s="16" t="s">
        <v>21</v>
      </c>
      <c r="G72" s="16" t="s">
        <v>588</v>
      </c>
      <c r="H72" s="17" t="s">
        <v>29</v>
      </c>
      <c r="I72" s="17"/>
      <c r="J72" s="27"/>
      <c r="K72" s="27"/>
      <c r="L72" s="97"/>
      <c r="M72" s="112"/>
      <c r="N72" s="18"/>
      <c r="O72" s="18">
        <f>SUM(O52:O71)</f>
        <v>0</v>
      </c>
      <c r="P72" s="18">
        <f t="shared" ref="P72:X72" si="32">SUM(P52:P71)</f>
        <v>0</v>
      </c>
      <c r="Q72" s="18">
        <f t="shared" si="32"/>
        <v>0</v>
      </c>
      <c r="R72" s="18">
        <f t="shared" si="32"/>
        <v>0</v>
      </c>
      <c r="S72" s="18">
        <f t="shared" si="32"/>
        <v>0</v>
      </c>
      <c r="T72" s="18">
        <f t="shared" si="32"/>
        <v>0</v>
      </c>
      <c r="U72" s="18">
        <f t="shared" si="32"/>
        <v>0</v>
      </c>
      <c r="V72" s="18">
        <f t="shared" si="32"/>
        <v>0</v>
      </c>
      <c r="W72" s="18">
        <f t="shared" si="32"/>
        <v>0</v>
      </c>
      <c r="X72" s="18">
        <f t="shared" si="32"/>
        <v>0</v>
      </c>
      <c r="Y72" s="18"/>
      <c r="Z72" s="16" t="str">
        <f>VLOOKUP($D72,TableInputsData[],ReadMe!$M$3,FALSE)&amp;"  |  "&amp;VLOOKUP($E72,TableInputsData[],ReadMe!$M$3,FALSE)&amp;"  |  "&amp;VLOOKUP($G72,TableInputsData[],ReadMe!$M$3,FALSE)</f>
        <v>CA ET MARGE BRUTE  |  REVENUS PRODUITS  |  PRODUIT</v>
      </c>
      <c r="AA72" s="371" t="b">
        <f>EXACT(SUM(TableFinanceData[[#This Row],[YEAR-2]:[YEAR6]])-TableFinanceData[[#This Row],[CURRENT YEAR]],IF(ISBLANK(GETPIVOTDATA("TOTAL YEAR",RevenuePivot!$BK$13,"TYPE PRODUCT / SERVICE","PRODUCT","ITEM","REVENUE")),0,GETPIVOTDATA("TOTAL YEAR",RevenuePivot!$BK$13,"TYPE PRODUCT / SERVICE","PRODUCT","ITEM","REVENUE")))</f>
        <v>1</v>
      </c>
      <c r="AB72" s="27">
        <v>1</v>
      </c>
      <c r="AC72" s="27">
        <v>3</v>
      </c>
      <c r="AD72" s="27"/>
      <c r="AE72" s="27"/>
      <c r="AF72" s="27">
        <v>1</v>
      </c>
      <c r="AG72" s="27"/>
      <c r="AH72" s="533"/>
      <c r="AI72" s="294"/>
    </row>
    <row r="73" spans="1:35" x14ac:dyDescent="0.2">
      <c r="A73" s="294"/>
      <c r="B73" s="944"/>
      <c r="C73" s="71">
        <v>1</v>
      </c>
      <c r="D73" s="8"/>
      <c r="E73" s="8"/>
      <c r="F73" s="8"/>
      <c r="G73" s="8"/>
      <c r="H73" s="9"/>
      <c r="I73" s="9"/>
      <c r="J73" s="87"/>
      <c r="K73" s="87"/>
      <c r="L73" s="98"/>
      <c r="M73" s="113"/>
      <c r="N73" s="10"/>
      <c r="O73" s="10"/>
      <c r="P73" s="10"/>
      <c r="Q73" s="10"/>
      <c r="R73" s="10"/>
      <c r="S73" s="10"/>
      <c r="T73" s="10"/>
      <c r="U73" s="10"/>
      <c r="V73" s="10"/>
      <c r="W73" s="10"/>
      <c r="X73" s="10"/>
      <c r="Y73" s="10"/>
      <c r="Z73" s="8"/>
      <c r="AA73" s="8"/>
      <c r="AB73" s="35"/>
      <c r="AC73" s="35"/>
      <c r="AD73" s="35"/>
      <c r="AE73" s="87"/>
      <c r="AF73" s="35"/>
      <c r="AG73" s="35"/>
      <c r="AH73" s="534"/>
      <c r="AI73" s="294"/>
    </row>
    <row r="74" spans="1:35" ht="12.75" customHeight="1" x14ac:dyDescent="0.2">
      <c r="A74" s="294"/>
      <c r="B74" s="944"/>
      <c r="C74" s="66">
        <v>1</v>
      </c>
      <c r="D74" s="3" t="s">
        <v>618</v>
      </c>
      <c r="E74" s="3" t="s">
        <v>532</v>
      </c>
      <c r="F74" s="3" t="s">
        <v>21</v>
      </c>
      <c r="G74" s="3" t="s">
        <v>537</v>
      </c>
      <c r="H74" s="5" t="str">
        <f>VLOOKUP($G74,TableInputsData[],6,FALSE)</f>
        <v>XYZ</v>
      </c>
      <c r="I74" s="5" t="str">
        <f>VLOOKUP("SEE InputsData SHEET",TableInputsData[],ReadMe!$M$3,FALSE)</f>
        <v>VOIR FEUILLE InputData</v>
      </c>
      <c r="J74" s="26"/>
      <c r="K74" s="135"/>
      <c r="L74" s="127"/>
      <c r="M74" s="134"/>
      <c r="N74" s="60"/>
      <c r="O74" s="4">
        <f t="shared" ref="O74:X74" si="33">IF(O8=0,0,O96/O8)</f>
        <v>0</v>
      </c>
      <c r="P74" s="4">
        <f t="shared" si="33"/>
        <v>0</v>
      </c>
      <c r="Q74" s="4">
        <f t="shared" si="33"/>
        <v>0</v>
      </c>
      <c r="R74" s="4">
        <f t="shared" si="33"/>
        <v>0</v>
      </c>
      <c r="S74" s="4">
        <f t="shared" si="33"/>
        <v>0</v>
      </c>
      <c r="T74" s="4">
        <f t="shared" si="33"/>
        <v>0</v>
      </c>
      <c r="U74" s="4">
        <f t="shared" si="33"/>
        <v>0</v>
      </c>
      <c r="V74" s="4">
        <f t="shared" si="33"/>
        <v>0</v>
      </c>
      <c r="W74" s="4">
        <f t="shared" si="33"/>
        <v>0</v>
      </c>
      <c r="X74" s="4">
        <f t="shared" si="33"/>
        <v>0</v>
      </c>
      <c r="Y74" s="604"/>
      <c r="Z74" s="3" t="str">
        <f>VLOOKUP($D74,TableInputsData[],ReadMe!$M$3,FALSE)&amp;"  |  "&amp;VLOOKUP($E74,TableInputsData[],ReadMe!$M$3,FALSE)&amp;"  |  "&amp;VLOOKUP($G74,TableInputsData[],ReadMe!$M$3,FALSE)</f>
        <v>CA ET MARGE BRUTE  |  PRIX MOYEN D'ACHAT PAR PRODUIT/SERVICE  |  PRODUIT 01</v>
      </c>
      <c r="AA74" s="3"/>
      <c r="AB74" s="34">
        <f>IF(AND(SUM(O74:X74)=0,H74=""),0,1)</f>
        <v>1</v>
      </c>
      <c r="AC74" s="34"/>
      <c r="AD74" s="34"/>
      <c r="AE74" s="26"/>
      <c r="AF74" s="34">
        <v>1</v>
      </c>
      <c r="AG74" s="34">
        <f>VLOOKUP($G74,TableInputsData[],$AG$2,FALSE)</f>
        <v>1</v>
      </c>
      <c r="AH74" s="535"/>
      <c r="AI74" s="294"/>
    </row>
    <row r="75" spans="1:35" x14ac:dyDescent="0.2">
      <c r="A75" s="294"/>
      <c r="B75" s="944"/>
      <c r="C75" s="66">
        <v>1</v>
      </c>
      <c r="D75" s="3" t="s">
        <v>618</v>
      </c>
      <c r="E75" s="3" t="s">
        <v>532</v>
      </c>
      <c r="F75" s="3" t="s">
        <v>21</v>
      </c>
      <c r="G75" s="3" t="s">
        <v>538</v>
      </c>
      <c r="H75" s="5" t="str">
        <f>VLOOKUP($G75,TableInputsData[],6,FALSE)</f>
        <v>ABC</v>
      </c>
      <c r="I75" s="5" t="str">
        <f>VLOOKUP("SEE InputsData SHEET",TableInputsData[],ReadMe!$M$3,FALSE)</f>
        <v>VOIR FEUILLE InputData</v>
      </c>
      <c r="J75" s="26"/>
      <c r="K75" s="135"/>
      <c r="L75" s="127"/>
      <c r="M75" s="134"/>
      <c r="N75" s="60"/>
      <c r="O75" s="4">
        <f t="shared" ref="O75:X75" si="34">IF(O9=0,0,O97/O9)</f>
        <v>0</v>
      </c>
      <c r="P75" s="4">
        <f t="shared" si="34"/>
        <v>0</v>
      </c>
      <c r="Q75" s="4">
        <f t="shared" si="34"/>
        <v>0</v>
      </c>
      <c r="R75" s="4">
        <f t="shared" si="34"/>
        <v>0</v>
      </c>
      <c r="S75" s="4">
        <f t="shared" si="34"/>
        <v>0</v>
      </c>
      <c r="T75" s="4">
        <f t="shared" si="34"/>
        <v>0</v>
      </c>
      <c r="U75" s="4">
        <f t="shared" si="34"/>
        <v>0</v>
      </c>
      <c r="V75" s="4">
        <f t="shared" si="34"/>
        <v>0</v>
      </c>
      <c r="W75" s="4">
        <f t="shared" si="34"/>
        <v>0</v>
      </c>
      <c r="X75" s="4">
        <f t="shared" si="34"/>
        <v>0</v>
      </c>
      <c r="Y75" s="604"/>
      <c r="Z75" s="3" t="str">
        <f>VLOOKUP($D75,TableInputsData[],ReadMe!$M$3,FALSE)&amp;"  |  "&amp;VLOOKUP($E75,TableInputsData[],ReadMe!$M$3,FALSE)&amp;"  |  "&amp;VLOOKUP($G75,TableInputsData[],ReadMe!$M$3,FALSE)</f>
        <v>CA ET MARGE BRUTE  |  PRIX MOYEN D'ACHAT PAR PRODUIT/SERVICE  |  PRODUIT 02</v>
      </c>
      <c r="AA75" s="3"/>
      <c r="AB75" s="34">
        <f t="shared" ref="AB75:AB83" si="35">IF(AND(SUM(O75:X75)=0,H75=""),0,1)</f>
        <v>1</v>
      </c>
      <c r="AC75" s="34"/>
      <c r="AD75" s="34"/>
      <c r="AE75" s="26"/>
      <c r="AF75" s="34">
        <v>1</v>
      </c>
      <c r="AG75" s="34">
        <f>VLOOKUP($G75,TableInputsData[],$AG$2,FALSE)</f>
        <v>1</v>
      </c>
      <c r="AH75" s="535"/>
      <c r="AI75" s="294"/>
    </row>
    <row r="76" spans="1:35" x14ac:dyDescent="0.2">
      <c r="A76" s="294"/>
      <c r="B76" s="944"/>
      <c r="C76" s="66">
        <v>1</v>
      </c>
      <c r="D76" s="3" t="s">
        <v>618</v>
      </c>
      <c r="E76" s="3" t="s">
        <v>532</v>
      </c>
      <c r="F76" s="3" t="s">
        <v>21</v>
      </c>
      <c r="G76" s="3" t="s">
        <v>539</v>
      </c>
      <c r="H76" s="5" t="str">
        <f>VLOOKUP($G76,TableInputsData[],6,FALSE)</f>
        <v>-</v>
      </c>
      <c r="I76" s="5" t="str">
        <f>VLOOKUP("SEE InputsData SHEET",TableInputsData[],ReadMe!$M$3,FALSE)</f>
        <v>VOIR FEUILLE InputData</v>
      </c>
      <c r="J76" s="26"/>
      <c r="K76" s="135"/>
      <c r="L76" s="127"/>
      <c r="M76" s="134"/>
      <c r="N76" s="60"/>
      <c r="O76" s="4">
        <f t="shared" ref="O76:X76" si="36">IF(O10=0,0,O98/O10)</f>
        <v>0</v>
      </c>
      <c r="P76" s="4">
        <f t="shared" si="36"/>
        <v>0</v>
      </c>
      <c r="Q76" s="4">
        <f t="shared" si="36"/>
        <v>0</v>
      </c>
      <c r="R76" s="4">
        <f t="shared" si="36"/>
        <v>0</v>
      </c>
      <c r="S76" s="4">
        <f t="shared" si="36"/>
        <v>0</v>
      </c>
      <c r="T76" s="4">
        <f t="shared" si="36"/>
        <v>0</v>
      </c>
      <c r="U76" s="4">
        <f t="shared" si="36"/>
        <v>0</v>
      </c>
      <c r="V76" s="4">
        <f t="shared" si="36"/>
        <v>0</v>
      </c>
      <c r="W76" s="4">
        <f t="shared" si="36"/>
        <v>0</v>
      </c>
      <c r="X76" s="4">
        <f t="shared" si="36"/>
        <v>0</v>
      </c>
      <c r="Y76" s="604"/>
      <c r="Z76" s="3" t="str">
        <f>VLOOKUP($D76,TableInputsData[],ReadMe!$M$3,FALSE)&amp;"  |  "&amp;VLOOKUP($E76,TableInputsData[],ReadMe!$M$3,FALSE)&amp;"  |  "&amp;VLOOKUP($G76,TableInputsData[],ReadMe!$M$3,FALSE)</f>
        <v>CA ET MARGE BRUTE  |  PRIX MOYEN D'ACHAT PAR PRODUIT/SERVICE  |  PRODUIT 03</v>
      </c>
      <c r="AA76" s="3"/>
      <c r="AB76" s="34">
        <f t="shared" si="35"/>
        <v>1</v>
      </c>
      <c r="AC76" s="34"/>
      <c r="AD76" s="34"/>
      <c r="AE76" s="26"/>
      <c r="AF76" s="34">
        <v>1</v>
      </c>
      <c r="AG76" s="34">
        <f>VLOOKUP($G76,TableInputsData[],$AG$2,FALSE)</f>
        <v>0</v>
      </c>
      <c r="AH76" s="535"/>
      <c r="AI76" s="294"/>
    </row>
    <row r="77" spans="1:35" x14ac:dyDescent="0.2">
      <c r="A77" s="294"/>
      <c r="B77" s="944"/>
      <c r="C77" s="66">
        <v>1</v>
      </c>
      <c r="D77" s="3" t="s">
        <v>618</v>
      </c>
      <c r="E77" s="3" t="s">
        <v>532</v>
      </c>
      <c r="F77" s="3" t="s">
        <v>21</v>
      </c>
      <c r="G77" s="3" t="s">
        <v>540</v>
      </c>
      <c r="H77" s="5" t="str">
        <f>VLOOKUP($G77,TableInputsData[],6,FALSE)</f>
        <v>-</v>
      </c>
      <c r="I77" s="5" t="str">
        <f>VLOOKUP("SEE InputsData SHEET",TableInputsData[],ReadMe!$M$3,FALSE)</f>
        <v>VOIR FEUILLE InputData</v>
      </c>
      <c r="J77" s="26"/>
      <c r="K77" s="135"/>
      <c r="L77" s="127"/>
      <c r="M77" s="134"/>
      <c r="N77" s="60"/>
      <c r="O77" s="4">
        <f t="shared" ref="O77:X77" si="37">IF(O11=0,0,O99/O11)</f>
        <v>0</v>
      </c>
      <c r="P77" s="4">
        <f t="shared" si="37"/>
        <v>0</v>
      </c>
      <c r="Q77" s="4">
        <f t="shared" si="37"/>
        <v>0</v>
      </c>
      <c r="R77" s="4">
        <f t="shared" si="37"/>
        <v>0</v>
      </c>
      <c r="S77" s="4">
        <f t="shared" si="37"/>
        <v>0</v>
      </c>
      <c r="T77" s="4">
        <f t="shared" si="37"/>
        <v>0</v>
      </c>
      <c r="U77" s="4">
        <f t="shared" si="37"/>
        <v>0</v>
      </c>
      <c r="V77" s="4">
        <f t="shared" si="37"/>
        <v>0</v>
      </c>
      <c r="W77" s="4">
        <f t="shared" si="37"/>
        <v>0</v>
      </c>
      <c r="X77" s="4">
        <f t="shared" si="37"/>
        <v>0</v>
      </c>
      <c r="Y77" s="604"/>
      <c r="Z77" s="3" t="str">
        <f>VLOOKUP($D77,TableInputsData[],ReadMe!$M$3,FALSE)&amp;"  |  "&amp;VLOOKUP($E77,TableInputsData[],ReadMe!$M$3,FALSE)&amp;"  |  "&amp;VLOOKUP($G77,TableInputsData[],ReadMe!$M$3,FALSE)</f>
        <v>CA ET MARGE BRUTE  |  PRIX MOYEN D'ACHAT PAR PRODUIT/SERVICE  |  PRODUIT 04</v>
      </c>
      <c r="AA77" s="3"/>
      <c r="AB77" s="34">
        <f t="shared" si="35"/>
        <v>1</v>
      </c>
      <c r="AC77" s="34"/>
      <c r="AD77" s="34"/>
      <c r="AE77" s="26"/>
      <c r="AF77" s="34">
        <v>1</v>
      </c>
      <c r="AG77" s="34">
        <f>VLOOKUP($G77,TableInputsData[],$AG$2,FALSE)</f>
        <v>0</v>
      </c>
      <c r="AH77" s="535"/>
      <c r="AI77" s="294"/>
    </row>
    <row r="78" spans="1:35" x14ac:dyDescent="0.2">
      <c r="A78" s="294"/>
      <c r="B78" s="944"/>
      <c r="C78" s="66">
        <v>1</v>
      </c>
      <c r="D78" s="3" t="s">
        <v>618</v>
      </c>
      <c r="E78" s="3" t="s">
        <v>532</v>
      </c>
      <c r="F78" s="3" t="s">
        <v>21</v>
      </c>
      <c r="G78" s="3" t="s">
        <v>541</v>
      </c>
      <c r="H78" s="5" t="str">
        <f>VLOOKUP($G78,TableInputsData[],6,FALSE)</f>
        <v>-</v>
      </c>
      <c r="I78" s="5" t="str">
        <f>VLOOKUP("SEE InputsData SHEET",TableInputsData[],ReadMe!$M$3,FALSE)</f>
        <v>VOIR FEUILLE InputData</v>
      </c>
      <c r="J78" s="26"/>
      <c r="K78" s="135"/>
      <c r="L78" s="127"/>
      <c r="M78" s="134"/>
      <c r="N78" s="60"/>
      <c r="O78" s="4">
        <f t="shared" ref="O78:X78" si="38">IF(O12=0,0,O100/O12)</f>
        <v>0</v>
      </c>
      <c r="P78" s="4">
        <f t="shared" si="38"/>
        <v>0</v>
      </c>
      <c r="Q78" s="4">
        <f t="shared" si="38"/>
        <v>0</v>
      </c>
      <c r="R78" s="4">
        <f t="shared" si="38"/>
        <v>0</v>
      </c>
      <c r="S78" s="4">
        <f t="shared" si="38"/>
        <v>0</v>
      </c>
      <c r="T78" s="4">
        <f t="shared" si="38"/>
        <v>0</v>
      </c>
      <c r="U78" s="4">
        <f t="shared" si="38"/>
        <v>0</v>
      </c>
      <c r="V78" s="4">
        <f t="shared" si="38"/>
        <v>0</v>
      </c>
      <c r="W78" s="4">
        <f t="shared" si="38"/>
        <v>0</v>
      </c>
      <c r="X78" s="4">
        <f t="shared" si="38"/>
        <v>0</v>
      </c>
      <c r="Y78" s="604"/>
      <c r="Z78" s="3" t="str">
        <f>VLOOKUP($D78,TableInputsData[],ReadMe!$M$3,FALSE)&amp;"  |  "&amp;VLOOKUP($E78,TableInputsData[],ReadMe!$M$3,FALSE)&amp;"  |  "&amp;VLOOKUP($G78,TableInputsData[],ReadMe!$M$3,FALSE)</f>
        <v>CA ET MARGE BRUTE  |  PRIX MOYEN D'ACHAT PAR PRODUIT/SERVICE  |  PRODUIT 05</v>
      </c>
      <c r="AA78" s="3"/>
      <c r="AB78" s="34">
        <f t="shared" si="35"/>
        <v>1</v>
      </c>
      <c r="AC78" s="34"/>
      <c r="AD78" s="34"/>
      <c r="AE78" s="26"/>
      <c r="AF78" s="34">
        <v>1</v>
      </c>
      <c r="AG78" s="34">
        <f>VLOOKUP($G78,TableInputsData[],$AG$2,FALSE)</f>
        <v>0</v>
      </c>
      <c r="AH78" s="535"/>
      <c r="AI78" s="294"/>
    </row>
    <row r="79" spans="1:35" x14ac:dyDescent="0.2">
      <c r="A79" s="294"/>
      <c r="B79" s="944"/>
      <c r="C79" s="66">
        <v>1</v>
      </c>
      <c r="D79" s="3" t="s">
        <v>618</v>
      </c>
      <c r="E79" s="3" t="s">
        <v>532</v>
      </c>
      <c r="F79" s="3" t="s">
        <v>21</v>
      </c>
      <c r="G79" s="3" t="s">
        <v>542</v>
      </c>
      <c r="H79" s="5" t="str">
        <f>VLOOKUP($G79,TableInputsData[],6,FALSE)</f>
        <v>-</v>
      </c>
      <c r="I79" s="5" t="str">
        <f>VLOOKUP("SEE InputsData SHEET",TableInputsData[],ReadMe!$M$3,FALSE)</f>
        <v>VOIR FEUILLE InputData</v>
      </c>
      <c r="J79" s="26"/>
      <c r="K79" s="135"/>
      <c r="L79" s="127"/>
      <c r="M79" s="134"/>
      <c r="N79" s="60"/>
      <c r="O79" s="4">
        <f t="shared" ref="O79:X79" si="39">IF(O13=0,0,O101/O13)</f>
        <v>0</v>
      </c>
      <c r="P79" s="4">
        <f t="shared" si="39"/>
        <v>0</v>
      </c>
      <c r="Q79" s="4">
        <f t="shared" si="39"/>
        <v>0</v>
      </c>
      <c r="R79" s="4">
        <f t="shared" si="39"/>
        <v>0</v>
      </c>
      <c r="S79" s="4">
        <f t="shared" si="39"/>
        <v>0</v>
      </c>
      <c r="T79" s="4">
        <f t="shared" si="39"/>
        <v>0</v>
      </c>
      <c r="U79" s="4">
        <f t="shared" si="39"/>
        <v>0</v>
      </c>
      <c r="V79" s="4">
        <f t="shared" si="39"/>
        <v>0</v>
      </c>
      <c r="W79" s="4">
        <f t="shared" si="39"/>
        <v>0</v>
      </c>
      <c r="X79" s="4">
        <f t="shared" si="39"/>
        <v>0</v>
      </c>
      <c r="Y79" s="604"/>
      <c r="Z79" s="3" t="str">
        <f>VLOOKUP($D79,TableInputsData[],ReadMe!$M$3,FALSE)&amp;"  |  "&amp;VLOOKUP($E79,TableInputsData[],ReadMe!$M$3,FALSE)&amp;"  |  "&amp;VLOOKUP($G79,TableInputsData[],ReadMe!$M$3,FALSE)</f>
        <v>CA ET MARGE BRUTE  |  PRIX MOYEN D'ACHAT PAR PRODUIT/SERVICE  |  PRODUIT 06</v>
      </c>
      <c r="AA79" s="3"/>
      <c r="AB79" s="34">
        <f t="shared" si="35"/>
        <v>1</v>
      </c>
      <c r="AC79" s="34"/>
      <c r="AD79" s="34"/>
      <c r="AE79" s="26"/>
      <c r="AF79" s="34">
        <v>1</v>
      </c>
      <c r="AG79" s="34">
        <f>VLOOKUP($G79,TableInputsData[],$AG$2,FALSE)</f>
        <v>0</v>
      </c>
      <c r="AH79" s="535"/>
      <c r="AI79" s="294"/>
    </row>
    <row r="80" spans="1:35" x14ac:dyDescent="0.2">
      <c r="A80" s="294"/>
      <c r="B80" s="944"/>
      <c r="C80" s="66">
        <v>1</v>
      </c>
      <c r="D80" s="3" t="s">
        <v>618</v>
      </c>
      <c r="E80" s="3" t="s">
        <v>532</v>
      </c>
      <c r="F80" s="3" t="s">
        <v>21</v>
      </c>
      <c r="G80" s="3" t="s">
        <v>543</v>
      </c>
      <c r="H80" s="5" t="str">
        <f>VLOOKUP($G80,TableInputsData[],6,FALSE)</f>
        <v>-</v>
      </c>
      <c r="I80" s="5" t="str">
        <f>VLOOKUP("SEE InputsData SHEET",TableInputsData[],ReadMe!$M$3,FALSE)</f>
        <v>VOIR FEUILLE InputData</v>
      </c>
      <c r="J80" s="26"/>
      <c r="K80" s="135"/>
      <c r="L80" s="127"/>
      <c r="M80" s="134"/>
      <c r="N80" s="60"/>
      <c r="O80" s="4">
        <f t="shared" ref="O80:X80" si="40">IF(O14=0,0,O102/O14)</f>
        <v>0</v>
      </c>
      <c r="P80" s="4">
        <f t="shared" si="40"/>
        <v>0</v>
      </c>
      <c r="Q80" s="4">
        <f t="shared" si="40"/>
        <v>0</v>
      </c>
      <c r="R80" s="4">
        <f t="shared" si="40"/>
        <v>0</v>
      </c>
      <c r="S80" s="4">
        <f t="shared" si="40"/>
        <v>0</v>
      </c>
      <c r="T80" s="4">
        <f t="shared" si="40"/>
        <v>0</v>
      </c>
      <c r="U80" s="4">
        <f t="shared" si="40"/>
        <v>0</v>
      </c>
      <c r="V80" s="4">
        <f t="shared" si="40"/>
        <v>0</v>
      </c>
      <c r="W80" s="4">
        <f t="shared" si="40"/>
        <v>0</v>
      </c>
      <c r="X80" s="4">
        <f t="shared" si="40"/>
        <v>0</v>
      </c>
      <c r="Y80" s="604"/>
      <c r="Z80" s="3" t="str">
        <f>VLOOKUP($D80,TableInputsData[],ReadMe!$M$3,FALSE)&amp;"  |  "&amp;VLOOKUP($E80,TableInputsData[],ReadMe!$M$3,FALSE)&amp;"  |  "&amp;VLOOKUP($G80,TableInputsData[],ReadMe!$M$3,FALSE)</f>
        <v>CA ET MARGE BRUTE  |  PRIX MOYEN D'ACHAT PAR PRODUIT/SERVICE  |  PRODUIT 07</v>
      </c>
      <c r="AA80" s="3"/>
      <c r="AB80" s="34">
        <f t="shared" si="35"/>
        <v>1</v>
      </c>
      <c r="AC80" s="34"/>
      <c r="AD80" s="34"/>
      <c r="AE80" s="26"/>
      <c r="AF80" s="34">
        <v>1</v>
      </c>
      <c r="AG80" s="34">
        <f>VLOOKUP($G80,TableInputsData[],$AG$2,FALSE)</f>
        <v>0</v>
      </c>
      <c r="AH80" s="535"/>
      <c r="AI80" s="294"/>
    </row>
    <row r="81" spans="1:35" x14ac:dyDescent="0.2">
      <c r="A81" s="294"/>
      <c r="B81" s="944"/>
      <c r="C81" s="66">
        <v>1</v>
      </c>
      <c r="D81" s="3" t="s">
        <v>618</v>
      </c>
      <c r="E81" s="3" t="s">
        <v>532</v>
      </c>
      <c r="F81" s="3" t="s">
        <v>21</v>
      </c>
      <c r="G81" s="3" t="s">
        <v>544</v>
      </c>
      <c r="H81" s="5" t="str">
        <f>VLOOKUP($G81,TableInputsData[],6,FALSE)</f>
        <v>-</v>
      </c>
      <c r="I81" s="5" t="str">
        <f>VLOOKUP("SEE InputsData SHEET",TableInputsData[],ReadMe!$M$3,FALSE)</f>
        <v>VOIR FEUILLE InputData</v>
      </c>
      <c r="J81" s="26"/>
      <c r="K81" s="135"/>
      <c r="L81" s="127"/>
      <c r="M81" s="134"/>
      <c r="N81" s="60"/>
      <c r="O81" s="4">
        <f t="shared" ref="O81:X81" si="41">IF(O15=0,0,O103/O15)</f>
        <v>0</v>
      </c>
      <c r="P81" s="4">
        <f t="shared" si="41"/>
        <v>0</v>
      </c>
      <c r="Q81" s="4">
        <f t="shared" si="41"/>
        <v>0</v>
      </c>
      <c r="R81" s="4">
        <f t="shared" si="41"/>
        <v>0</v>
      </c>
      <c r="S81" s="4">
        <f t="shared" si="41"/>
        <v>0</v>
      </c>
      <c r="T81" s="4">
        <f t="shared" si="41"/>
        <v>0</v>
      </c>
      <c r="U81" s="4">
        <f t="shared" si="41"/>
        <v>0</v>
      </c>
      <c r="V81" s="4">
        <f t="shared" si="41"/>
        <v>0</v>
      </c>
      <c r="W81" s="4">
        <f t="shared" si="41"/>
        <v>0</v>
      </c>
      <c r="X81" s="4">
        <f t="shared" si="41"/>
        <v>0</v>
      </c>
      <c r="Y81" s="604"/>
      <c r="Z81" s="3" t="str">
        <f>VLOOKUP($D81,TableInputsData[],ReadMe!$M$3,FALSE)&amp;"  |  "&amp;VLOOKUP($E81,TableInputsData[],ReadMe!$M$3,FALSE)&amp;"  |  "&amp;VLOOKUP($G81,TableInputsData[],ReadMe!$M$3,FALSE)</f>
        <v>CA ET MARGE BRUTE  |  PRIX MOYEN D'ACHAT PAR PRODUIT/SERVICE  |  PRODUIT 08</v>
      </c>
      <c r="AA81" s="3"/>
      <c r="AB81" s="34">
        <f t="shared" si="35"/>
        <v>1</v>
      </c>
      <c r="AC81" s="34"/>
      <c r="AD81" s="34"/>
      <c r="AE81" s="26"/>
      <c r="AF81" s="34">
        <v>1</v>
      </c>
      <c r="AG81" s="34">
        <f>VLOOKUP($G81,TableInputsData[],$AG$2,FALSE)</f>
        <v>0</v>
      </c>
      <c r="AH81" s="535"/>
      <c r="AI81" s="294"/>
    </row>
    <row r="82" spans="1:35" x14ac:dyDescent="0.2">
      <c r="A82" s="294"/>
      <c r="B82" s="944"/>
      <c r="C82" s="66">
        <v>1</v>
      </c>
      <c r="D82" s="3" t="s">
        <v>618</v>
      </c>
      <c r="E82" s="3" t="s">
        <v>532</v>
      </c>
      <c r="F82" s="3" t="s">
        <v>21</v>
      </c>
      <c r="G82" s="3" t="s">
        <v>545</v>
      </c>
      <c r="H82" s="5" t="str">
        <f>VLOOKUP($G82,TableInputsData[],6,FALSE)</f>
        <v>-</v>
      </c>
      <c r="I82" s="5" t="str">
        <f>VLOOKUP("SEE InputsData SHEET",TableInputsData[],ReadMe!$M$3,FALSE)</f>
        <v>VOIR FEUILLE InputData</v>
      </c>
      <c r="J82" s="26"/>
      <c r="K82" s="135"/>
      <c r="L82" s="127"/>
      <c r="M82" s="134"/>
      <c r="N82" s="60"/>
      <c r="O82" s="4">
        <f t="shared" ref="O82:X82" si="42">IF(O16=0,0,O104/O16)</f>
        <v>0</v>
      </c>
      <c r="P82" s="4">
        <f t="shared" si="42"/>
        <v>0</v>
      </c>
      <c r="Q82" s="4">
        <f t="shared" si="42"/>
        <v>0</v>
      </c>
      <c r="R82" s="4">
        <f t="shared" si="42"/>
        <v>0</v>
      </c>
      <c r="S82" s="4">
        <f t="shared" si="42"/>
        <v>0</v>
      </c>
      <c r="T82" s="4">
        <f t="shared" si="42"/>
        <v>0</v>
      </c>
      <c r="U82" s="4">
        <f t="shared" si="42"/>
        <v>0</v>
      </c>
      <c r="V82" s="4">
        <f t="shared" si="42"/>
        <v>0</v>
      </c>
      <c r="W82" s="4">
        <f t="shared" si="42"/>
        <v>0</v>
      </c>
      <c r="X82" s="4">
        <f t="shared" si="42"/>
        <v>0</v>
      </c>
      <c r="Y82" s="604"/>
      <c r="Z82" s="3" t="str">
        <f>VLOOKUP($D82,TableInputsData[],ReadMe!$M$3,FALSE)&amp;"  |  "&amp;VLOOKUP($E82,TableInputsData[],ReadMe!$M$3,FALSE)&amp;"  |  "&amp;VLOOKUP($G82,TableInputsData[],ReadMe!$M$3,FALSE)</f>
        <v>CA ET MARGE BRUTE  |  PRIX MOYEN D'ACHAT PAR PRODUIT/SERVICE  |  PRODUIT 09</v>
      </c>
      <c r="AA82" s="3"/>
      <c r="AB82" s="34">
        <f t="shared" si="35"/>
        <v>1</v>
      </c>
      <c r="AC82" s="34"/>
      <c r="AD82" s="34"/>
      <c r="AE82" s="26"/>
      <c r="AF82" s="34">
        <v>1</v>
      </c>
      <c r="AG82" s="34">
        <f>VLOOKUP($G82,TableInputsData[],$AG$2,FALSE)</f>
        <v>0</v>
      </c>
      <c r="AH82" s="535"/>
      <c r="AI82" s="294"/>
    </row>
    <row r="83" spans="1:35" x14ac:dyDescent="0.2">
      <c r="A83" s="294"/>
      <c r="B83" s="944"/>
      <c r="C83" s="70">
        <v>1</v>
      </c>
      <c r="D83" s="3" t="s">
        <v>618</v>
      </c>
      <c r="E83" s="6" t="s">
        <v>532</v>
      </c>
      <c r="F83" s="6" t="s">
        <v>21</v>
      </c>
      <c r="G83" s="3" t="s">
        <v>401</v>
      </c>
      <c r="H83" s="5" t="str">
        <f>VLOOKUP($G83,TableInputsData[],6,FALSE)</f>
        <v>-</v>
      </c>
      <c r="I83" s="5" t="str">
        <f>VLOOKUP("SEE InputsData SHEET",TableInputsData[],ReadMe!$M$3,FALSE)</f>
        <v>VOIR FEUILLE InputData</v>
      </c>
      <c r="J83" s="26"/>
      <c r="K83" s="135"/>
      <c r="L83" s="127"/>
      <c r="M83" s="134"/>
      <c r="N83" s="60"/>
      <c r="O83" s="4">
        <f t="shared" ref="O83:X83" si="43">IF(O17=0,0,O105/O17)</f>
        <v>0</v>
      </c>
      <c r="P83" s="4">
        <f t="shared" si="43"/>
        <v>0</v>
      </c>
      <c r="Q83" s="4">
        <f t="shared" si="43"/>
        <v>0</v>
      </c>
      <c r="R83" s="4">
        <f t="shared" si="43"/>
        <v>0</v>
      </c>
      <c r="S83" s="4">
        <f t="shared" si="43"/>
        <v>0</v>
      </c>
      <c r="T83" s="4">
        <f t="shared" si="43"/>
        <v>0</v>
      </c>
      <c r="U83" s="4">
        <f t="shared" si="43"/>
        <v>0</v>
      </c>
      <c r="V83" s="4">
        <f t="shared" si="43"/>
        <v>0</v>
      </c>
      <c r="W83" s="4">
        <f t="shared" si="43"/>
        <v>0</v>
      </c>
      <c r="X83" s="4">
        <f t="shared" si="43"/>
        <v>0</v>
      </c>
      <c r="Y83" s="604"/>
      <c r="Z83" s="3" t="str">
        <f>VLOOKUP($D83,TableInputsData[],ReadMe!$M$3,FALSE)&amp;"  |  "&amp;VLOOKUP($E83,TableInputsData[],ReadMe!$M$3,FALSE)&amp;"  |  "&amp;VLOOKUP($G83,TableInputsData[],ReadMe!$M$3,FALSE)</f>
        <v>CA ET MARGE BRUTE  |  PRIX MOYEN D'ACHAT PAR PRODUIT/SERVICE  |  PRODUIT 10</v>
      </c>
      <c r="AA83" s="6"/>
      <c r="AB83" s="36">
        <f t="shared" si="35"/>
        <v>1</v>
      </c>
      <c r="AC83" s="36"/>
      <c r="AD83" s="36"/>
      <c r="AE83" s="91"/>
      <c r="AF83" s="36">
        <v>1</v>
      </c>
      <c r="AG83" s="34">
        <f>VLOOKUP($G83,TableInputsData[],$AG$2,FALSE)</f>
        <v>0</v>
      </c>
      <c r="AH83" s="536"/>
      <c r="AI83" s="294"/>
    </row>
    <row r="84" spans="1:35" x14ac:dyDescent="0.2">
      <c r="A84" s="294"/>
      <c r="B84" s="944"/>
      <c r="C84" s="70">
        <v>1</v>
      </c>
      <c r="D84" s="3" t="s">
        <v>618</v>
      </c>
      <c r="E84" s="6" t="s">
        <v>532</v>
      </c>
      <c r="F84" s="6" t="s">
        <v>21</v>
      </c>
      <c r="G84" s="3" t="s">
        <v>1710</v>
      </c>
      <c r="H84" s="5" t="str">
        <f>VLOOKUP($G84,TableInputsData[],6,FALSE)</f>
        <v>-</v>
      </c>
      <c r="I84" s="5" t="str">
        <f>VLOOKUP("SEE InputsData SHEET",TableInputsData[],ReadMe!$M$3,FALSE)</f>
        <v>VOIR FEUILLE InputData</v>
      </c>
      <c r="J84" s="26"/>
      <c r="K84" s="135"/>
      <c r="L84" s="127"/>
      <c r="M84" s="134"/>
      <c r="N84" s="60"/>
      <c r="O84" s="4">
        <f t="shared" ref="O84:X84" si="44">IF(O18=0,0,O116/O18)</f>
        <v>0</v>
      </c>
      <c r="P84" s="4">
        <f t="shared" si="44"/>
        <v>0</v>
      </c>
      <c r="Q84" s="4">
        <f t="shared" si="44"/>
        <v>0</v>
      </c>
      <c r="R84" s="4">
        <f t="shared" si="44"/>
        <v>0</v>
      </c>
      <c r="S84" s="4">
        <f t="shared" si="44"/>
        <v>0</v>
      </c>
      <c r="T84" s="4">
        <f t="shared" si="44"/>
        <v>0</v>
      </c>
      <c r="U84" s="4">
        <f t="shared" si="44"/>
        <v>0</v>
      </c>
      <c r="V84" s="4">
        <f t="shared" si="44"/>
        <v>0</v>
      </c>
      <c r="W84" s="4">
        <f t="shared" si="44"/>
        <v>0</v>
      </c>
      <c r="X84" s="4">
        <f t="shared" si="44"/>
        <v>0</v>
      </c>
      <c r="Y84" s="604"/>
      <c r="Z84" s="3" t="str">
        <f>VLOOKUP($D84,TableInputsData[],ReadMe!$M$3,FALSE)&amp;"  |  "&amp;VLOOKUP($E84,TableInputsData[],ReadMe!$M$3,FALSE)&amp;"  |  "&amp;VLOOKUP($G84,TableInputsData[],ReadMe!$M$3,FALSE)</f>
        <v>CA ET MARGE BRUTE  |  PRIX MOYEN D'ACHAT PAR PRODUIT/SERVICE  |  PRODUIT 11</v>
      </c>
      <c r="AA84" s="6"/>
      <c r="AB84" s="36">
        <f t="shared" ref="AB84:AB93" si="45">IF(AND(SUM(O84:X84)=0,H84=""),0,1)</f>
        <v>1</v>
      </c>
      <c r="AC84" s="36"/>
      <c r="AD84" s="36"/>
      <c r="AE84" s="91"/>
      <c r="AF84" s="36">
        <v>1</v>
      </c>
      <c r="AG84" s="34">
        <f>VLOOKUP($G84,TableInputsData[],$AG$2,FALSE)</f>
        <v>0</v>
      </c>
      <c r="AH84" s="536"/>
      <c r="AI84" s="294"/>
    </row>
    <row r="85" spans="1:35" x14ac:dyDescent="0.2">
      <c r="A85" s="294"/>
      <c r="B85" s="944"/>
      <c r="C85" s="70">
        <v>1</v>
      </c>
      <c r="D85" s="3" t="s">
        <v>618</v>
      </c>
      <c r="E85" s="6" t="s">
        <v>532</v>
      </c>
      <c r="F85" s="6" t="s">
        <v>21</v>
      </c>
      <c r="G85" s="3" t="s">
        <v>1712</v>
      </c>
      <c r="H85" s="5" t="str">
        <f>VLOOKUP($G85,TableInputsData[],6,FALSE)</f>
        <v>-</v>
      </c>
      <c r="I85" s="5" t="str">
        <f>VLOOKUP("SEE InputsData SHEET",TableInputsData[],ReadMe!$M$3,FALSE)</f>
        <v>VOIR FEUILLE InputData</v>
      </c>
      <c r="J85" s="26"/>
      <c r="K85" s="135"/>
      <c r="L85" s="127"/>
      <c r="M85" s="134"/>
      <c r="N85" s="60"/>
      <c r="O85" s="4">
        <f t="shared" ref="O85:X85" si="46">IF(O19=0,0,O117/O19)</f>
        <v>0</v>
      </c>
      <c r="P85" s="4">
        <f t="shared" si="46"/>
        <v>0</v>
      </c>
      <c r="Q85" s="4">
        <f t="shared" si="46"/>
        <v>0</v>
      </c>
      <c r="R85" s="4">
        <f t="shared" si="46"/>
        <v>0</v>
      </c>
      <c r="S85" s="4">
        <f t="shared" si="46"/>
        <v>0</v>
      </c>
      <c r="T85" s="4">
        <f t="shared" si="46"/>
        <v>0</v>
      </c>
      <c r="U85" s="4">
        <f t="shared" si="46"/>
        <v>0</v>
      </c>
      <c r="V85" s="4">
        <f t="shared" si="46"/>
        <v>0</v>
      </c>
      <c r="W85" s="4">
        <f t="shared" si="46"/>
        <v>0</v>
      </c>
      <c r="X85" s="4">
        <f t="shared" si="46"/>
        <v>0</v>
      </c>
      <c r="Y85" s="604"/>
      <c r="Z85" s="3" t="str">
        <f>VLOOKUP($D85,TableInputsData[],ReadMe!$M$3,FALSE)&amp;"  |  "&amp;VLOOKUP($E85,TableInputsData[],ReadMe!$M$3,FALSE)&amp;"  |  "&amp;VLOOKUP($G85,TableInputsData[],ReadMe!$M$3,FALSE)</f>
        <v>CA ET MARGE BRUTE  |  PRIX MOYEN D'ACHAT PAR PRODUIT/SERVICE  |  PRODUIT 12</v>
      </c>
      <c r="AA85" s="6"/>
      <c r="AB85" s="36">
        <f t="shared" si="45"/>
        <v>1</v>
      </c>
      <c r="AC85" s="36"/>
      <c r="AD85" s="36"/>
      <c r="AE85" s="91"/>
      <c r="AF85" s="36">
        <v>1</v>
      </c>
      <c r="AG85" s="34">
        <f>VLOOKUP($G85,TableInputsData[],$AG$2,FALSE)</f>
        <v>0</v>
      </c>
      <c r="AH85" s="536"/>
      <c r="AI85" s="294"/>
    </row>
    <row r="86" spans="1:35" x14ac:dyDescent="0.2">
      <c r="A86" s="294"/>
      <c r="B86" s="944"/>
      <c r="C86" s="70">
        <v>1</v>
      </c>
      <c r="D86" s="3" t="s">
        <v>618</v>
      </c>
      <c r="E86" s="6" t="s">
        <v>532</v>
      </c>
      <c r="F86" s="6" t="s">
        <v>21</v>
      </c>
      <c r="G86" s="3" t="s">
        <v>1714</v>
      </c>
      <c r="H86" s="5" t="str">
        <f>VLOOKUP($G86,TableInputsData[],6,FALSE)</f>
        <v>-</v>
      </c>
      <c r="I86" s="5" t="str">
        <f>VLOOKUP("SEE InputsData SHEET",TableInputsData[],ReadMe!$M$3,FALSE)</f>
        <v>VOIR FEUILLE InputData</v>
      </c>
      <c r="J86" s="26"/>
      <c r="K86" s="135"/>
      <c r="L86" s="127"/>
      <c r="M86" s="134"/>
      <c r="N86" s="60"/>
      <c r="O86" s="4">
        <f t="shared" ref="O86:X86" si="47">IF(O20=0,0,O118/O20)</f>
        <v>0</v>
      </c>
      <c r="P86" s="4">
        <f t="shared" si="47"/>
        <v>0</v>
      </c>
      <c r="Q86" s="4">
        <f t="shared" si="47"/>
        <v>0</v>
      </c>
      <c r="R86" s="4">
        <f t="shared" si="47"/>
        <v>0</v>
      </c>
      <c r="S86" s="4">
        <f t="shared" si="47"/>
        <v>0</v>
      </c>
      <c r="T86" s="4">
        <f t="shared" si="47"/>
        <v>0</v>
      </c>
      <c r="U86" s="4">
        <f t="shared" si="47"/>
        <v>0</v>
      </c>
      <c r="V86" s="4">
        <f t="shared" si="47"/>
        <v>0</v>
      </c>
      <c r="W86" s="4">
        <f t="shared" si="47"/>
        <v>0</v>
      </c>
      <c r="X86" s="4">
        <f t="shared" si="47"/>
        <v>0</v>
      </c>
      <c r="Y86" s="604"/>
      <c r="Z86" s="3" t="str">
        <f>VLOOKUP($D86,TableInputsData[],ReadMe!$M$3,FALSE)&amp;"  |  "&amp;VLOOKUP($E86,TableInputsData[],ReadMe!$M$3,FALSE)&amp;"  |  "&amp;VLOOKUP($G86,TableInputsData[],ReadMe!$M$3,FALSE)</f>
        <v>CA ET MARGE BRUTE  |  PRIX MOYEN D'ACHAT PAR PRODUIT/SERVICE  |  PRODUIT 13</v>
      </c>
      <c r="AA86" s="6"/>
      <c r="AB86" s="36">
        <f t="shared" si="45"/>
        <v>1</v>
      </c>
      <c r="AC86" s="36"/>
      <c r="AD86" s="36"/>
      <c r="AE86" s="91"/>
      <c r="AF86" s="36">
        <v>1</v>
      </c>
      <c r="AG86" s="34">
        <f>VLOOKUP($G86,TableInputsData[],$AG$2,FALSE)</f>
        <v>0</v>
      </c>
      <c r="AH86" s="536"/>
      <c r="AI86" s="294"/>
    </row>
    <row r="87" spans="1:35" x14ac:dyDescent="0.2">
      <c r="A87" s="294"/>
      <c r="B87" s="944"/>
      <c r="C87" s="70">
        <v>1</v>
      </c>
      <c r="D87" s="3" t="s">
        <v>618</v>
      </c>
      <c r="E87" s="6" t="s">
        <v>532</v>
      </c>
      <c r="F87" s="6" t="s">
        <v>21</v>
      </c>
      <c r="G87" s="3" t="s">
        <v>1716</v>
      </c>
      <c r="H87" s="5" t="str">
        <f>VLOOKUP($G87,TableInputsData[],6,FALSE)</f>
        <v>-</v>
      </c>
      <c r="I87" s="5" t="str">
        <f>VLOOKUP("SEE InputsData SHEET",TableInputsData[],ReadMe!$M$3,FALSE)</f>
        <v>VOIR FEUILLE InputData</v>
      </c>
      <c r="J87" s="26"/>
      <c r="K87" s="135"/>
      <c r="L87" s="127"/>
      <c r="M87" s="134"/>
      <c r="N87" s="60"/>
      <c r="O87" s="4">
        <f t="shared" ref="O87:X87" si="48">IF(O21=0,0,O119/O21)</f>
        <v>0</v>
      </c>
      <c r="P87" s="4">
        <f t="shared" si="48"/>
        <v>0</v>
      </c>
      <c r="Q87" s="4">
        <f t="shared" si="48"/>
        <v>0</v>
      </c>
      <c r="R87" s="4">
        <f t="shared" si="48"/>
        <v>0</v>
      </c>
      <c r="S87" s="4">
        <f t="shared" si="48"/>
        <v>0</v>
      </c>
      <c r="T87" s="4">
        <f t="shared" si="48"/>
        <v>0</v>
      </c>
      <c r="U87" s="4">
        <f t="shared" si="48"/>
        <v>0</v>
      </c>
      <c r="V87" s="4">
        <f t="shared" si="48"/>
        <v>0</v>
      </c>
      <c r="W87" s="4">
        <f t="shared" si="48"/>
        <v>0</v>
      </c>
      <c r="X87" s="4">
        <f t="shared" si="48"/>
        <v>0</v>
      </c>
      <c r="Y87" s="604"/>
      <c r="Z87" s="3" t="str">
        <f>VLOOKUP($D87,TableInputsData[],ReadMe!$M$3,FALSE)&amp;"  |  "&amp;VLOOKUP($E87,TableInputsData[],ReadMe!$M$3,FALSE)&amp;"  |  "&amp;VLOOKUP($G87,TableInputsData[],ReadMe!$M$3,FALSE)</f>
        <v>CA ET MARGE BRUTE  |  PRIX MOYEN D'ACHAT PAR PRODUIT/SERVICE  |  PRODUIT 14</v>
      </c>
      <c r="AA87" s="6"/>
      <c r="AB87" s="36">
        <f t="shared" si="45"/>
        <v>1</v>
      </c>
      <c r="AC87" s="36"/>
      <c r="AD87" s="36"/>
      <c r="AE87" s="91"/>
      <c r="AF87" s="36">
        <v>1</v>
      </c>
      <c r="AG87" s="34">
        <f>VLOOKUP($G87,TableInputsData[],$AG$2,FALSE)</f>
        <v>0</v>
      </c>
      <c r="AH87" s="536"/>
      <c r="AI87" s="294"/>
    </row>
    <row r="88" spans="1:35" x14ac:dyDescent="0.2">
      <c r="A88" s="294"/>
      <c r="B88" s="944"/>
      <c r="C88" s="70">
        <v>1</v>
      </c>
      <c r="D88" s="3" t="s">
        <v>618</v>
      </c>
      <c r="E88" s="6" t="s">
        <v>532</v>
      </c>
      <c r="F88" s="6" t="s">
        <v>21</v>
      </c>
      <c r="G88" s="3" t="s">
        <v>1718</v>
      </c>
      <c r="H88" s="5" t="str">
        <f>VLOOKUP($G88,TableInputsData[],6,FALSE)</f>
        <v>-</v>
      </c>
      <c r="I88" s="5" t="str">
        <f>VLOOKUP("SEE InputsData SHEET",TableInputsData[],ReadMe!$M$3,FALSE)</f>
        <v>VOIR FEUILLE InputData</v>
      </c>
      <c r="J88" s="26"/>
      <c r="K88" s="135"/>
      <c r="L88" s="127"/>
      <c r="M88" s="134"/>
      <c r="N88" s="60"/>
      <c r="O88" s="4">
        <f t="shared" ref="O88:X88" si="49">IF(O22=0,0,O120/O22)</f>
        <v>0</v>
      </c>
      <c r="P88" s="4">
        <f t="shared" si="49"/>
        <v>0</v>
      </c>
      <c r="Q88" s="4">
        <f t="shared" si="49"/>
        <v>0</v>
      </c>
      <c r="R88" s="4">
        <f t="shared" si="49"/>
        <v>0</v>
      </c>
      <c r="S88" s="4">
        <f t="shared" si="49"/>
        <v>0</v>
      </c>
      <c r="T88" s="4">
        <f t="shared" si="49"/>
        <v>0</v>
      </c>
      <c r="U88" s="4">
        <f t="shared" si="49"/>
        <v>0</v>
      </c>
      <c r="V88" s="4">
        <f t="shared" si="49"/>
        <v>0</v>
      </c>
      <c r="W88" s="4">
        <f t="shared" si="49"/>
        <v>0</v>
      </c>
      <c r="X88" s="4">
        <f t="shared" si="49"/>
        <v>0</v>
      </c>
      <c r="Y88" s="604"/>
      <c r="Z88" s="3" t="str">
        <f>VLOOKUP($D88,TableInputsData[],ReadMe!$M$3,FALSE)&amp;"  |  "&amp;VLOOKUP($E88,TableInputsData[],ReadMe!$M$3,FALSE)&amp;"  |  "&amp;VLOOKUP($G88,TableInputsData[],ReadMe!$M$3,FALSE)</f>
        <v>CA ET MARGE BRUTE  |  PRIX MOYEN D'ACHAT PAR PRODUIT/SERVICE  |  PRODUIT 15</v>
      </c>
      <c r="AA88" s="6"/>
      <c r="AB88" s="36">
        <f t="shared" si="45"/>
        <v>1</v>
      </c>
      <c r="AC88" s="36"/>
      <c r="AD88" s="36"/>
      <c r="AE88" s="91"/>
      <c r="AF88" s="36">
        <v>1</v>
      </c>
      <c r="AG88" s="34">
        <f>VLOOKUP($G88,TableInputsData[],$AG$2,FALSE)</f>
        <v>0</v>
      </c>
      <c r="AH88" s="536"/>
      <c r="AI88" s="294"/>
    </row>
    <row r="89" spans="1:35" x14ac:dyDescent="0.2">
      <c r="A89" s="294"/>
      <c r="B89" s="944"/>
      <c r="C89" s="70">
        <v>1</v>
      </c>
      <c r="D89" s="3" t="s">
        <v>618</v>
      </c>
      <c r="E89" s="6" t="s">
        <v>532</v>
      </c>
      <c r="F89" s="6" t="s">
        <v>21</v>
      </c>
      <c r="G89" s="3" t="s">
        <v>1720</v>
      </c>
      <c r="H89" s="5" t="str">
        <f>VLOOKUP($G89,TableInputsData[],6,FALSE)</f>
        <v>-</v>
      </c>
      <c r="I89" s="5" t="str">
        <f>VLOOKUP("SEE InputsData SHEET",TableInputsData[],ReadMe!$M$3,FALSE)</f>
        <v>VOIR FEUILLE InputData</v>
      </c>
      <c r="J89" s="26"/>
      <c r="K89" s="135"/>
      <c r="L89" s="127"/>
      <c r="M89" s="134"/>
      <c r="N89" s="60"/>
      <c r="O89" s="4">
        <f t="shared" ref="O89:X89" si="50">IF(O23=0,0,O121/O23)</f>
        <v>0</v>
      </c>
      <c r="P89" s="4">
        <f t="shared" si="50"/>
        <v>0</v>
      </c>
      <c r="Q89" s="4">
        <f t="shared" si="50"/>
        <v>0</v>
      </c>
      <c r="R89" s="4">
        <f t="shared" si="50"/>
        <v>0</v>
      </c>
      <c r="S89" s="4">
        <f t="shared" si="50"/>
        <v>0</v>
      </c>
      <c r="T89" s="4">
        <f t="shared" si="50"/>
        <v>0</v>
      </c>
      <c r="U89" s="4">
        <f t="shared" si="50"/>
        <v>0</v>
      </c>
      <c r="V89" s="4">
        <f t="shared" si="50"/>
        <v>0</v>
      </c>
      <c r="W89" s="4">
        <f t="shared" si="50"/>
        <v>0</v>
      </c>
      <c r="X89" s="4">
        <f t="shared" si="50"/>
        <v>0</v>
      </c>
      <c r="Y89" s="604"/>
      <c r="Z89" s="3" t="str">
        <f>VLOOKUP($D89,TableInputsData[],ReadMe!$M$3,FALSE)&amp;"  |  "&amp;VLOOKUP($E89,TableInputsData[],ReadMe!$M$3,FALSE)&amp;"  |  "&amp;VLOOKUP($G89,TableInputsData[],ReadMe!$M$3,FALSE)</f>
        <v>CA ET MARGE BRUTE  |  PRIX MOYEN D'ACHAT PAR PRODUIT/SERVICE  |  PRODUIT 16</v>
      </c>
      <c r="AA89" s="6"/>
      <c r="AB89" s="36">
        <f t="shared" si="45"/>
        <v>1</v>
      </c>
      <c r="AC89" s="36"/>
      <c r="AD89" s="36"/>
      <c r="AE89" s="91"/>
      <c r="AF89" s="36">
        <v>1</v>
      </c>
      <c r="AG89" s="34">
        <f>VLOOKUP($G89,TableInputsData[],$AG$2,FALSE)</f>
        <v>0</v>
      </c>
      <c r="AH89" s="536"/>
      <c r="AI89" s="294"/>
    </row>
    <row r="90" spans="1:35" x14ac:dyDescent="0.2">
      <c r="A90" s="294"/>
      <c r="B90" s="944"/>
      <c r="C90" s="70">
        <v>1</v>
      </c>
      <c r="D90" s="3" t="s">
        <v>618</v>
      </c>
      <c r="E90" s="6" t="s">
        <v>532</v>
      </c>
      <c r="F90" s="6" t="s">
        <v>21</v>
      </c>
      <c r="G90" s="3" t="s">
        <v>1722</v>
      </c>
      <c r="H90" s="5" t="str">
        <f>VLOOKUP($G90,TableInputsData[],6,FALSE)</f>
        <v>-</v>
      </c>
      <c r="I90" s="5" t="str">
        <f>VLOOKUP("SEE InputsData SHEET",TableInputsData[],ReadMe!$M$3,FALSE)</f>
        <v>VOIR FEUILLE InputData</v>
      </c>
      <c r="J90" s="26"/>
      <c r="K90" s="135"/>
      <c r="L90" s="127"/>
      <c r="M90" s="134"/>
      <c r="N90" s="60"/>
      <c r="O90" s="4">
        <f t="shared" ref="O90:X90" si="51">IF(O24=0,0,O122/O24)</f>
        <v>0</v>
      </c>
      <c r="P90" s="4">
        <f t="shared" si="51"/>
        <v>0</v>
      </c>
      <c r="Q90" s="4">
        <f t="shared" si="51"/>
        <v>0</v>
      </c>
      <c r="R90" s="4">
        <f t="shared" si="51"/>
        <v>0</v>
      </c>
      <c r="S90" s="4">
        <f t="shared" si="51"/>
        <v>0</v>
      </c>
      <c r="T90" s="4">
        <f t="shared" si="51"/>
        <v>0</v>
      </c>
      <c r="U90" s="4">
        <f t="shared" si="51"/>
        <v>0</v>
      </c>
      <c r="V90" s="4">
        <f t="shared" si="51"/>
        <v>0</v>
      </c>
      <c r="W90" s="4">
        <f t="shared" si="51"/>
        <v>0</v>
      </c>
      <c r="X90" s="4">
        <f t="shared" si="51"/>
        <v>0</v>
      </c>
      <c r="Y90" s="604"/>
      <c r="Z90" s="3" t="str">
        <f>VLOOKUP($D90,TableInputsData[],ReadMe!$M$3,FALSE)&amp;"  |  "&amp;VLOOKUP($E90,TableInputsData[],ReadMe!$M$3,FALSE)&amp;"  |  "&amp;VLOOKUP($G90,TableInputsData[],ReadMe!$M$3,FALSE)</f>
        <v>CA ET MARGE BRUTE  |  PRIX MOYEN D'ACHAT PAR PRODUIT/SERVICE  |  PRODUIT 17</v>
      </c>
      <c r="AA90" s="6"/>
      <c r="AB90" s="36">
        <f t="shared" si="45"/>
        <v>1</v>
      </c>
      <c r="AC90" s="36"/>
      <c r="AD90" s="36"/>
      <c r="AE90" s="91"/>
      <c r="AF90" s="36">
        <v>1</v>
      </c>
      <c r="AG90" s="34">
        <f>VLOOKUP($G90,TableInputsData[],$AG$2,FALSE)</f>
        <v>0</v>
      </c>
      <c r="AH90" s="536"/>
      <c r="AI90" s="294"/>
    </row>
    <row r="91" spans="1:35" x14ac:dyDescent="0.2">
      <c r="A91" s="294"/>
      <c r="B91" s="944"/>
      <c r="C91" s="70">
        <v>1</v>
      </c>
      <c r="D91" s="3" t="s">
        <v>618</v>
      </c>
      <c r="E91" s="6" t="s">
        <v>532</v>
      </c>
      <c r="F91" s="6" t="s">
        <v>21</v>
      </c>
      <c r="G91" s="3" t="s">
        <v>1724</v>
      </c>
      <c r="H91" s="5" t="str">
        <f>VLOOKUP($G91,TableInputsData[],6,FALSE)</f>
        <v>-</v>
      </c>
      <c r="I91" s="5" t="str">
        <f>VLOOKUP("SEE InputsData SHEET",TableInputsData[],ReadMe!$M$3,FALSE)</f>
        <v>VOIR FEUILLE InputData</v>
      </c>
      <c r="J91" s="26"/>
      <c r="K91" s="135"/>
      <c r="L91" s="127"/>
      <c r="M91" s="134"/>
      <c r="N91" s="60"/>
      <c r="O91" s="4">
        <f t="shared" ref="O91:X91" si="52">IF(O25=0,0,O123/O25)</f>
        <v>0</v>
      </c>
      <c r="P91" s="4">
        <f t="shared" si="52"/>
        <v>0</v>
      </c>
      <c r="Q91" s="4">
        <f t="shared" si="52"/>
        <v>0</v>
      </c>
      <c r="R91" s="4">
        <f t="shared" si="52"/>
        <v>0</v>
      </c>
      <c r="S91" s="4">
        <f t="shared" si="52"/>
        <v>0</v>
      </c>
      <c r="T91" s="4">
        <f t="shared" si="52"/>
        <v>0</v>
      </c>
      <c r="U91" s="4">
        <f t="shared" si="52"/>
        <v>0</v>
      </c>
      <c r="V91" s="4">
        <f t="shared" si="52"/>
        <v>0</v>
      </c>
      <c r="W91" s="4">
        <f t="shared" si="52"/>
        <v>0</v>
      </c>
      <c r="X91" s="4">
        <f t="shared" si="52"/>
        <v>0</v>
      </c>
      <c r="Y91" s="604"/>
      <c r="Z91" s="3" t="str">
        <f>VLOOKUP($D91,TableInputsData[],ReadMe!$M$3,FALSE)&amp;"  |  "&amp;VLOOKUP($E91,TableInputsData[],ReadMe!$M$3,FALSE)&amp;"  |  "&amp;VLOOKUP($G91,TableInputsData[],ReadMe!$M$3,FALSE)</f>
        <v>CA ET MARGE BRUTE  |  PRIX MOYEN D'ACHAT PAR PRODUIT/SERVICE  |  PRODUIT 18</v>
      </c>
      <c r="AA91" s="6"/>
      <c r="AB91" s="36">
        <f t="shared" si="45"/>
        <v>1</v>
      </c>
      <c r="AC91" s="36"/>
      <c r="AD91" s="36"/>
      <c r="AE91" s="91"/>
      <c r="AF91" s="36">
        <v>1</v>
      </c>
      <c r="AG91" s="34">
        <f>VLOOKUP($G91,TableInputsData[],$AG$2,FALSE)</f>
        <v>0</v>
      </c>
      <c r="AH91" s="536"/>
      <c r="AI91" s="294"/>
    </row>
    <row r="92" spans="1:35" x14ac:dyDescent="0.2">
      <c r="A92" s="294"/>
      <c r="B92" s="944"/>
      <c r="C92" s="70">
        <v>1</v>
      </c>
      <c r="D92" s="3" t="s">
        <v>618</v>
      </c>
      <c r="E92" s="6" t="s">
        <v>532</v>
      </c>
      <c r="F92" s="6" t="s">
        <v>21</v>
      </c>
      <c r="G92" s="3" t="s">
        <v>1726</v>
      </c>
      <c r="H92" s="5" t="str">
        <f>VLOOKUP($G92,TableInputsData[],6,FALSE)</f>
        <v>-</v>
      </c>
      <c r="I92" s="5" t="str">
        <f>VLOOKUP("SEE InputsData SHEET",TableInputsData[],ReadMe!$M$3,FALSE)</f>
        <v>VOIR FEUILLE InputData</v>
      </c>
      <c r="J92" s="26"/>
      <c r="K92" s="135"/>
      <c r="L92" s="127"/>
      <c r="M92" s="134"/>
      <c r="N92" s="60"/>
      <c r="O92" s="4">
        <f t="shared" ref="O92:X92" si="53">IF(O26=0,0,O124/O26)</f>
        <v>0</v>
      </c>
      <c r="P92" s="4">
        <f t="shared" si="53"/>
        <v>0</v>
      </c>
      <c r="Q92" s="4">
        <f t="shared" si="53"/>
        <v>0</v>
      </c>
      <c r="R92" s="4">
        <f t="shared" si="53"/>
        <v>0</v>
      </c>
      <c r="S92" s="4">
        <f t="shared" si="53"/>
        <v>0</v>
      </c>
      <c r="T92" s="4">
        <f t="shared" si="53"/>
        <v>0</v>
      </c>
      <c r="U92" s="4">
        <f t="shared" si="53"/>
        <v>0</v>
      </c>
      <c r="V92" s="4">
        <f t="shared" si="53"/>
        <v>0</v>
      </c>
      <c r="W92" s="4">
        <f t="shared" si="53"/>
        <v>0</v>
      </c>
      <c r="X92" s="4">
        <f t="shared" si="53"/>
        <v>0</v>
      </c>
      <c r="Y92" s="604"/>
      <c r="Z92" s="3" t="str">
        <f>VLOOKUP($D92,TableInputsData[],ReadMe!$M$3,FALSE)&amp;"  |  "&amp;VLOOKUP($E92,TableInputsData[],ReadMe!$M$3,FALSE)&amp;"  |  "&amp;VLOOKUP($G92,TableInputsData[],ReadMe!$M$3,FALSE)</f>
        <v>CA ET MARGE BRUTE  |  PRIX MOYEN D'ACHAT PAR PRODUIT/SERVICE  |  PRODUIT 19</v>
      </c>
      <c r="AA92" s="6"/>
      <c r="AB92" s="36">
        <f t="shared" si="45"/>
        <v>1</v>
      </c>
      <c r="AC92" s="36"/>
      <c r="AD92" s="36"/>
      <c r="AE92" s="91"/>
      <c r="AF92" s="36">
        <v>1</v>
      </c>
      <c r="AG92" s="34">
        <f>VLOOKUP($G92,TableInputsData[],$AG$2,FALSE)</f>
        <v>0</v>
      </c>
      <c r="AH92" s="536"/>
      <c r="AI92" s="294"/>
    </row>
    <row r="93" spans="1:35" x14ac:dyDescent="0.2">
      <c r="A93" s="294"/>
      <c r="B93" s="944"/>
      <c r="C93" s="70">
        <v>1</v>
      </c>
      <c r="D93" s="3" t="s">
        <v>618</v>
      </c>
      <c r="E93" s="6" t="s">
        <v>532</v>
      </c>
      <c r="F93" s="6" t="s">
        <v>21</v>
      </c>
      <c r="G93" s="3" t="s">
        <v>1728</v>
      </c>
      <c r="H93" s="5" t="str">
        <f>VLOOKUP($G93,TableInputsData[],6,FALSE)</f>
        <v>-</v>
      </c>
      <c r="I93" s="5" t="str">
        <f>VLOOKUP("SEE InputsData SHEET",TableInputsData[],ReadMe!$M$3,FALSE)</f>
        <v>VOIR FEUILLE InputData</v>
      </c>
      <c r="J93" s="26"/>
      <c r="K93" s="135"/>
      <c r="L93" s="127"/>
      <c r="M93" s="134"/>
      <c r="N93" s="60"/>
      <c r="O93" s="4">
        <f t="shared" ref="O93:X93" si="54">IF(O27=0,0,O125/O27)</f>
        <v>0</v>
      </c>
      <c r="P93" s="4">
        <f t="shared" si="54"/>
        <v>0</v>
      </c>
      <c r="Q93" s="4">
        <f t="shared" si="54"/>
        <v>0</v>
      </c>
      <c r="R93" s="4">
        <f t="shared" si="54"/>
        <v>0</v>
      </c>
      <c r="S93" s="4">
        <f t="shared" si="54"/>
        <v>0</v>
      </c>
      <c r="T93" s="4">
        <f t="shared" si="54"/>
        <v>0</v>
      </c>
      <c r="U93" s="4">
        <f t="shared" si="54"/>
        <v>0</v>
      </c>
      <c r="V93" s="4">
        <f t="shared" si="54"/>
        <v>0</v>
      </c>
      <c r="W93" s="4">
        <f t="shared" si="54"/>
        <v>0</v>
      </c>
      <c r="X93" s="4">
        <f t="shared" si="54"/>
        <v>0</v>
      </c>
      <c r="Y93" s="604"/>
      <c r="Z93" s="3" t="str">
        <f>VLOOKUP($D93,TableInputsData[],ReadMe!$M$3,FALSE)&amp;"  |  "&amp;VLOOKUP($E93,TableInputsData[],ReadMe!$M$3,FALSE)&amp;"  |  "&amp;VLOOKUP($G93,TableInputsData[],ReadMe!$M$3,FALSE)</f>
        <v>CA ET MARGE BRUTE  |  PRIX MOYEN D'ACHAT PAR PRODUIT/SERVICE  |  PRODUIT 20</v>
      </c>
      <c r="AA93" s="6"/>
      <c r="AB93" s="36">
        <f t="shared" si="45"/>
        <v>1</v>
      </c>
      <c r="AC93" s="36"/>
      <c r="AD93" s="36"/>
      <c r="AE93" s="91"/>
      <c r="AF93" s="36">
        <v>1</v>
      </c>
      <c r="AG93" s="34">
        <f>VLOOKUP($G93,TableInputsData[],$AG$2,FALSE)</f>
        <v>0</v>
      </c>
      <c r="AH93" s="536"/>
      <c r="AI93" s="294"/>
    </row>
    <row r="94" spans="1:35" x14ac:dyDescent="0.2">
      <c r="A94" s="294"/>
      <c r="B94" s="944"/>
      <c r="C94" s="67">
        <v>1</v>
      </c>
      <c r="D94" s="16" t="s">
        <v>618</v>
      </c>
      <c r="E94" s="16" t="s">
        <v>532</v>
      </c>
      <c r="F94" s="16" t="s">
        <v>21</v>
      </c>
      <c r="G94" s="16" t="s">
        <v>588</v>
      </c>
      <c r="H94" s="17" t="s">
        <v>617</v>
      </c>
      <c r="I94" s="17"/>
      <c r="J94" s="27"/>
      <c r="K94" s="27"/>
      <c r="L94" s="97"/>
      <c r="M94" s="112"/>
      <c r="N94" s="18"/>
      <c r="O94" s="18">
        <f>IF(O$28=0,0,SUMPRODUCT(O$8:O$27,O74:O93)/O$28)</f>
        <v>0</v>
      </c>
      <c r="P94" s="18">
        <f t="shared" ref="P94:X94" si="55">IF(P$28=0,0,SUMPRODUCT(P$8:P$27,P74:P93)/P$28)</f>
        <v>0</v>
      </c>
      <c r="Q94" s="18">
        <f t="shared" si="55"/>
        <v>0</v>
      </c>
      <c r="R94" s="18">
        <f t="shared" si="55"/>
        <v>0</v>
      </c>
      <c r="S94" s="18">
        <f t="shared" si="55"/>
        <v>0</v>
      </c>
      <c r="T94" s="18">
        <f t="shared" si="55"/>
        <v>0</v>
      </c>
      <c r="U94" s="18">
        <f t="shared" si="55"/>
        <v>0</v>
      </c>
      <c r="V94" s="18">
        <f t="shared" si="55"/>
        <v>0</v>
      </c>
      <c r="W94" s="18">
        <f t="shared" si="55"/>
        <v>0</v>
      </c>
      <c r="X94" s="18">
        <f t="shared" si="55"/>
        <v>0</v>
      </c>
      <c r="Y94" s="18"/>
      <c r="Z94" s="16" t="str">
        <f>VLOOKUP($D94,TableInputsData[],ReadMe!$M$3,FALSE)&amp;"  |  "&amp;VLOOKUP($E94,TableInputsData[],ReadMe!$M$3,FALSE)&amp;"  |  "&amp;VLOOKUP($G94,TableInputsData[],ReadMe!$M$3,FALSE)</f>
        <v>CA ET MARGE BRUTE  |  PRIX MOYEN D'ACHAT PAR PRODUIT/SERVICE  |  PRODUIT</v>
      </c>
      <c r="AA94" s="16"/>
      <c r="AB94" s="27">
        <v>1</v>
      </c>
      <c r="AC94" s="27">
        <v>3</v>
      </c>
      <c r="AD94" s="27"/>
      <c r="AE94" s="27"/>
      <c r="AF94" s="27">
        <v>1</v>
      </c>
      <c r="AG94" s="27"/>
      <c r="AH94" s="533"/>
      <c r="AI94" s="294"/>
    </row>
    <row r="95" spans="1:35" x14ac:dyDescent="0.2">
      <c r="A95" s="294"/>
      <c r="B95" s="944"/>
      <c r="C95" s="71">
        <v>1</v>
      </c>
      <c r="D95" s="8"/>
      <c r="E95" s="8"/>
      <c r="F95" s="8"/>
      <c r="G95" s="8"/>
      <c r="H95" s="9"/>
      <c r="I95" s="9"/>
      <c r="J95" s="87"/>
      <c r="K95" s="87"/>
      <c r="L95" s="98"/>
      <c r="M95" s="113"/>
      <c r="N95" s="10"/>
      <c r="O95" s="10"/>
      <c r="P95" s="10"/>
      <c r="Q95" s="10"/>
      <c r="R95" s="10"/>
      <c r="S95" s="10"/>
      <c r="T95" s="10"/>
      <c r="U95" s="10"/>
      <c r="V95" s="10"/>
      <c r="W95" s="10"/>
      <c r="X95" s="10"/>
      <c r="Y95" s="10"/>
      <c r="Z95" s="8"/>
      <c r="AA95" s="8"/>
      <c r="AB95" s="35"/>
      <c r="AC95" s="35"/>
      <c r="AD95" s="35"/>
      <c r="AE95" s="87"/>
      <c r="AF95" s="35"/>
      <c r="AG95" s="35"/>
      <c r="AH95" s="534"/>
      <c r="AI95" s="294"/>
    </row>
    <row r="96" spans="1:35" x14ac:dyDescent="0.2">
      <c r="A96" s="294"/>
      <c r="B96" s="944"/>
      <c r="C96" s="66">
        <v>1</v>
      </c>
      <c r="D96" s="3" t="s">
        <v>618</v>
      </c>
      <c r="E96" s="3" t="s">
        <v>619</v>
      </c>
      <c r="F96" s="3" t="s">
        <v>21</v>
      </c>
      <c r="G96" s="3" t="s">
        <v>537</v>
      </c>
      <c r="H96" s="5" t="str">
        <f>VLOOKUP($G96,TableInputsData[],6,FALSE)</f>
        <v>XYZ</v>
      </c>
      <c r="I96" s="5" t="str">
        <f>VLOOKUP("SEE InputsData SHEET",TableInputsData[],ReadMe!$M$3,FALSE)</f>
        <v>VOIR FEUILLE InputData</v>
      </c>
      <c r="J96" s="26"/>
      <c r="K96" s="135"/>
      <c r="L96" s="127"/>
      <c r="M96" s="134"/>
      <c r="N96" s="60"/>
      <c r="O96" s="4">
        <f>$AG96*GETPIVOTDATA("Sum of TOTAL YEAR",RevenuePivot!$BT$12,"YEAR",O$5,"REFERENCE PRODUCT / SERVICE",$G96,"ITEM","COST OF GOODS SOLD")</f>
        <v>0</v>
      </c>
      <c r="P96" s="4">
        <f>$AG96*GETPIVOTDATA("Sum of TOTAL YEAR",RevenuePivot!$BT$12,"YEAR",P$5,"REFERENCE PRODUCT / SERVICE",$G96,"ITEM","COST OF GOODS SOLD")</f>
        <v>0</v>
      </c>
      <c r="Q96" s="4">
        <f>$AG96*GETPIVOTDATA("Sum of SEMESTRE 1",RevenuePivot!$BT$12,"YEAR",Q$5,"REFERENCE PRODUCT / SERVICE",$G96,"ITEM","COST OF GOODS SOLD")</f>
        <v>0</v>
      </c>
      <c r="R96" s="4">
        <f>$AG96*GETPIVOTDATA("Sum of SEMESTRE 2",RevenuePivot!$BT$12,"YEAR",R$5,"REFERENCE PRODUCT / SERVICE",$G96,"ITEM","COST OF GOODS SOLD")</f>
        <v>0</v>
      </c>
      <c r="S96" s="4">
        <f>Q96+R96</f>
        <v>0</v>
      </c>
      <c r="T96" s="4">
        <f>$AG96*GETPIVOTDATA("Sum of TOTAL YEAR",RevenuePivot!$BT$12,"YEAR",T$5,"REFERENCE PRODUCT / SERVICE",$G96,"ITEM","COST OF GOODS SOLD")</f>
        <v>0</v>
      </c>
      <c r="U96" s="4">
        <f>$AG96*GETPIVOTDATA("Sum of TOTAL YEAR",RevenuePivot!$BT$12,"YEAR",U$5,"REFERENCE PRODUCT / SERVICE",$G96,"ITEM","COST OF GOODS SOLD")</f>
        <v>0</v>
      </c>
      <c r="V96" s="4">
        <f>$AG96*GETPIVOTDATA("Sum of TOTAL YEAR",RevenuePivot!$BT$12,"YEAR",V$5,"REFERENCE PRODUCT / SERVICE",$G96,"ITEM","COST OF GOODS SOLD")</f>
        <v>0</v>
      </c>
      <c r="W96" s="4">
        <f>$AG96*GETPIVOTDATA("Sum of TOTAL YEAR",RevenuePivot!$BT$12,"YEAR",W$5,"REFERENCE PRODUCT / SERVICE",$G96,"ITEM","COST OF GOODS SOLD")</f>
        <v>0</v>
      </c>
      <c r="X96" s="4">
        <f>$AG96*GETPIVOTDATA("Sum of TOTAL YEAR",RevenuePivot!$BT$12,"YEAR",X$5,"REFERENCE PRODUCT / SERVICE",$G96,"ITEM","COST OF GOODS SOLD")</f>
        <v>0</v>
      </c>
      <c r="Y96" s="604"/>
      <c r="Z96" s="3" t="str">
        <f>VLOOKUP($D96,TableInputsData[],ReadMe!$M$3,FALSE)&amp;"  |  "&amp;VLOOKUP($E96,TableInputsData[],ReadMe!$M$3,FALSE)&amp;"  |  "&amp;VLOOKUP($G96,TableInputsData[],ReadMe!$M$3,FALSE)</f>
        <v>CA ET MARGE BRUTE  |  COUT DES PRODUITS VENDUS  |  PRODUIT 01</v>
      </c>
      <c r="AA96" s="3"/>
      <c r="AB96" s="34">
        <f>IF(AND(SUM(O96:X96)=0,H96=""),0,1)</f>
        <v>1</v>
      </c>
      <c r="AC96" s="34"/>
      <c r="AD96" s="34"/>
      <c r="AE96" s="26"/>
      <c r="AF96" s="34">
        <v>1</v>
      </c>
      <c r="AG96" s="34">
        <f>VLOOKUP($G96,TableInputsData[],$AG$2,FALSE)</f>
        <v>1</v>
      </c>
      <c r="AH96" s="535"/>
      <c r="AI96" s="294"/>
    </row>
    <row r="97" spans="1:35" x14ac:dyDescent="0.2">
      <c r="A97" s="294"/>
      <c r="B97" s="944"/>
      <c r="C97" s="66">
        <v>1</v>
      </c>
      <c r="D97" s="3" t="s">
        <v>618</v>
      </c>
      <c r="E97" s="3" t="s">
        <v>619</v>
      </c>
      <c r="F97" s="3" t="s">
        <v>21</v>
      </c>
      <c r="G97" s="3" t="s">
        <v>538</v>
      </c>
      <c r="H97" s="5" t="str">
        <f>VLOOKUP($G97,TableInputsData[],6,FALSE)</f>
        <v>ABC</v>
      </c>
      <c r="I97" s="5" t="str">
        <f>VLOOKUP("SEE InputsData SHEET",TableInputsData[],ReadMe!$M$3,FALSE)</f>
        <v>VOIR FEUILLE InputData</v>
      </c>
      <c r="J97" s="26"/>
      <c r="K97" s="135"/>
      <c r="L97" s="127"/>
      <c r="M97" s="134"/>
      <c r="N97" s="60"/>
      <c r="O97" s="4">
        <f>$AG97*GETPIVOTDATA("Sum of TOTAL YEAR",RevenuePivot!$BT$12,"YEAR",O$5,"REFERENCE PRODUCT / SERVICE",$G97,"ITEM","COST OF GOODS SOLD")</f>
        <v>0</v>
      </c>
      <c r="P97" s="4">
        <f>$AG97*GETPIVOTDATA("Sum of TOTAL YEAR",RevenuePivot!$BT$12,"YEAR",P$5,"REFERENCE PRODUCT / SERVICE",$G97,"ITEM","COST OF GOODS SOLD")</f>
        <v>0</v>
      </c>
      <c r="Q97" s="4">
        <f>$AG97*GETPIVOTDATA("Sum of SEMESTRE 1",RevenuePivot!$BT$12,"YEAR",Q$5,"REFERENCE PRODUCT / SERVICE",$G97,"ITEM","COST OF GOODS SOLD")</f>
        <v>0</v>
      </c>
      <c r="R97" s="4">
        <f>$AG97*GETPIVOTDATA("Sum of SEMESTRE 2",RevenuePivot!$BT$12,"YEAR",R$5,"REFERENCE PRODUCT / SERVICE",$G97,"ITEM","COST OF GOODS SOLD")</f>
        <v>0</v>
      </c>
      <c r="S97" s="4">
        <f t="shared" ref="S97:S105" si="56">Q97+R97</f>
        <v>0</v>
      </c>
      <c r="T97" s="4">
        <f>$AG97*GETPIVOTDATA("Sum of TOTAL YEAR",RevenuePivot!$BT$12,"YEAR",T$5,"REFERENCE PRODUCT / SERVICE",$G97,"ITEM","COST OF GOODS SOLD")</f>
        <v>0</v>
      </c>
      <c r="U97" s="4">
        <f>$AG97*GETPIVOTDATA("Sum of TOTAL YEAR",RevenuePivot!$BT$12,"YEAR",U$5,"REFERENCE PRODUCT / SERVICE",$G97,"ITEM","COST OF GOODS SOLD")</f>
        <v>0</v>
      </c>
      <c r="V97" s="4">
        <f>$AG97*GETPIVOTDATA("Sum of TOTAL YEAR",RevenuePivot!$BT$12,"YEAR",V$5,"REFERENCE PRODUCT / SERVICE",$G97,"ITEM","COST OF GOODS SOLD")</f>
        <v>0</v>
      </c>
      <c r="W97" s="4">
        <f>$AG97*GETPIVOTDATA("Sum of TOTAL YEAR",RevenuePivot!$BT$12,"YEAR",W$5,"REFERENCE PRODUCT / SERVICE",$G97,"ITEM","COST OF GOODS SOLD")</f>
        <v>0</v>
      </c>
      <c r="X97" s="4">
        <f>$AG97*GETPIVOTDATA("Sum of TOTAL YEAR",RevenuePivot!$BT$12,"YEAR",X$5,"REFERENCE PRODUCT / SERVICE",$G97,"ITEM","COST OF GOODS SOLD")</f>
        <v>0</v>
      </c>
      <c r="Y97" s="604"/>
      <c r="Z97" s="3" t="str">
        <f>VLOOKUP($D97,TableInputsData[],ReadMe!$M$3,FALSE)&amp;"  |  "&amp;VLOOKUP($E97,TableInputsData[],ReadMe!$M$3,FALSE)&amp;"  |  "&amp;VLOOKUP($G97,TableInputsData[],ReadMe!$M$3,FALSE)</f>
        <v>CA ET MARGE BRUTE  |  COUT DES PRODUITS VENDUS  |  PRODUIT 02</v>
      </c>
      <c r="AA97" s="3"/>
      <c r="AB97" s="34">
        <f t="shared" ref="AB97:AB105" si="57">IF(AND(SUM(O97:X97)=0,H97=""),0,1)</f>
        <v>1</v>
      </c>
      <c r="AC97" s="34"/>
      <c r="AD97" s="34"/>
      <c r="AE97" s="26"/>
      <c r="AF97" s="34">
        <v>1</v>
      </c>
      <c r="AG97" s="34">
        <f>VLOOKUP($G97,TableInputsData[],$AG$2,FALSE)</f>
        <v>1</v>
      </c>
      <c r="AH97" s="535"/>
      <c r="AI97" s="294"/>
    </row>
    <row r="98" spans="1:35" x14ac:dyDescent="0.2">
      <c r="A98" s="294"/>
      <c r="B98" s="944"/>
      <c r="C98" s="66">
        <v>1</v>
      </c>
      <c r="D98" s="3" t="s">
        <v>618</v>
      </c>
      <c r="E98" s="3" t="s">
        <v>619</v>
      </c>
      <c r="F98" s="3" t="s">
        <v>21</v>
      </c>
      <c r="G98" s="3" t="s">
        <v>539</v>
      </c>
      <c r="H98" s="5" t="str">
        <f>VLOOKUP($G98,TableInputsData[],6,FALSE)</f>
        <v>-</v>
      </c>
      <c r="I98" s="5" t="str">
        <f>VLOOKUP("SEE InputsData SHEET",TableInputsData[],ReadMe!$M$3,FALSE)</f>
        <v>VOIR FEUILLE InputData</v>
      </c>
      <c r="J98" s="26"/>
      <c r="K98" s="135"/>
      <c r="L98" s="127"/>
      <c r="M98" s="134"/>
      <c r="N98" s="60"/>
      <c r="O98" s="4">
        <f>$AG98*GETPIVOTDATA("Sum of TOTAL YEAR",RevenuePivot!$BT$12,"YEAR",O$5,"REFERENCE PRODUCT / SERVICE",$G98,"ITEM","COST OF GOODS SOLD")</f>
        <v>0</v>
      </c>
      <c r="P98" s="4">
        <f>$AG98*GETPIVOTDATA("Sum of TOTAL YEAR",RevenuePivot!$BT$12,"YEAR",P$5,"REFERENCE PRODUCT / SERVICE",$G98,"ITEM","COST OF GOODS SOLD")</f>
        <v>0</v>
      </c>
      <c r="Q98" s="4">
        <f>$AG98*GETPIVOTDATA("Sum of SEMESTRE 1",RevenuePivot!$BT$12,"YEAR",Q$5,"REFERENCE PRODUCT / SERVICE",$G98,"ITEM","COST OF GOODS SOLD")</f>
        <v>0</v>
      </c>
      <c r="R98" s="4">
        <f>$AG98*GETPIVOTDATA("Sum of SEMESTRE 2",RevenuePivot!$BT$12,"YEAR",R$5,"REFERENCE PRODUCT / SERVICE",$G98,"ITEM","COST OF GOODS SOLD")</f>
        <v>0</v>
      </c>
      <c r="S98" s="4">
        <f t="shared" si="56"/>
        <v>0</v>
      </c>
      <c r="T98" s="4">
        <f>$AG98*GETPIVOTDATA("Sum of TOTAL YEAR",RevenuePivot!$BT$12,"YEAR",T$5,"REFERENCE PRODUCT / SERVICE",$G98,"ITEM","COST OF GOODS SOLD")</f>
        <v>0</v>
      </c>
      <c r="U98" s="4">
        <f>$AG98*GETPIVOTDATA("Sum of TOTAL YEAR",RevenuePivot!$BT$12,"YEAR",U$5,"REFERENCE PRODUCT / SERVICE",$G98,"ITEM","COST OF GOODS SOLD")</f>
        <v>0</v>
      </c>
      <c r="V98" s="4">
        <f>$AG98*GETPIVOTDATA("Sum of TOTAL YEAR",RevenuePivot!$BT$12,"YEAR",V$5,"REFERENCE PRODUCT / SERVICE",$G98,"ITEM","COST OF GOODS SOLD")</f>
        <v>0</v>
      </c>
      <c r="W98" s="4">
        <f>$AG98*GETPIVOTDATA("Sum of TOTAL YEAR",RevenuePivot!$BT$12,"YEAR",W$5,"REFERENCE PRODUCT / SERVICE",$G98,"ITEM","COST OF GOODS SOLD")</f>
        <v>0</v>
      </c>
      <c r="X98" s="4">
        <f>$AG98*GETPIVOTDATA("Sum of TOTAL YEAR",RevenuePivot!$BT$12,"YEAR",X$5,"REFERENCE PRODUCT / SERVICE",$G98,"ITEM","COST OF GOODS SOLD")</f>
        <v>0</v>
      </c>
      <c r="Y98" s="604"/>
      <c r="Z98" s="3" t="str">
        <f>VLOOKUP($D98,TableInputsData[],ReadMe!$M$3,FALSE)&amp;"  |  "&amp;VLOOKUP($E98,TableInputsData[],ReadMe!$M$3,FALSE)&amp;"  |  "&amp;VLOOKUP($G98,TableInputsData[],ReadMe!$M$3,FALSE)</f>
        <v>CA ET MARGE BRUTE  |  COUT DES PRODUITS VENDUS  |  PRODUIT 03</v>
      </c>
      <c r="AA98" s="3"/>
      <c r="AB98" s="34">
        <f t="shared" si="57"/>
        <v>1</v>
      </c>
      <c r="AC98" s="34"/>
      <c r="AD98" s="34"/>
      <c r="AE98" s="26"/>
      <c r="AF98" s="34">
        <v>1</v>
      </c>
      <c r="AG98" s="34">
        <f>VLOOKUP($G98,TableInputsData[],$AG$2,FALSE)</f>
        <v>0</v>
      </c>
      <c r="AH98" s="535"/>
      <c r="AI98" s="294"/>
    </row>
    <row r="99" spans="1:35" x14ac:dyDescent="0.2">
      <c r="A99" s="294"/>
      <c r="B99" s="944"/>
      <c r="C99" s="66">
        <v>1</v>
      </c>
      <c r="D99" s="3" t="s">
        <v>618</v>
      </c>
      <c r="E99" s="3" t="s">
        <v>619</v>
      </c>
      <c r="F99" s="3" t="s">
        <v>21</v>
      </c>
      <c r="G99" s="3" t="s">
        <v>540</v>
      </c>
      <c r="H99" s="5" t="str">
        <f>VLOOKUP($G99,TableInputsData[],6,FALSE)</f>
        <v>-</v>
      </c>
      <c r="I99" s="5" t="str">
        <f>VLOOKUP("SEE InputsData SHEET",TableInputsData[],ReadMe!$M$3,FALSE)</f>
        <v>VOIR FEUILLE InputData</v>
      </c>
      <c r="J99" s="26"/>
      <c r="K99" s="135"/>
      <c r="L99" s="127"/>
      <c r="M99" s="134"/>
      <c r="N99" s="60"/>
      <c r="O99" s="4">
        <f>$AG99*GETPIVOTDATA("Sum of TOTAL YEAR",RevenuePivot!$BT$12,"YEAR",O$5,"REFERENCE PRODUCT / SERVICE",$G99,"ITEM","COST OF GOODS SOLD")</f>
        <v>0</v>
      </c>
      <c r="P99" s="4">
        <f>$AG99*GETPIVOTDATA("Sum of TOTAL YEAR",RevenuePivot!$BT$12,"YEAR",P$5,"REFERENCE PRODUCT / SERVICE",$G99,"ITEM","COST OF GOODS SOLD")</f>
        <v>0</v>
      </c>
      <c r="Q99" s="4">
        <f>$AG99*GETPIVOTDATA("Sum of SEMESTRE 1",RevenuePivot!$BT$12,"YEAR",Q$5,"REFERENCE PRODUCT / SERVICE",$G99,"ITEM","COST OF GOODS SOLD")</f>
        <v>0</v>
      </c>
      <c r="R99" s="4">
        <f>$AG99*GETPIVOTDATA("Sum of SEMESTRE 2",RevenuePivot!$BT$12,"YEAR",R$5,"REFERENCE PRODUCT / SERVICE",$G99,"ITEM","COST OF GOODS SOLD")</f>
        <v>0</v>
      </c>
      <c r="S99" s="4">
        <f t="shared" si="56"/>
        <v>0</v>
      </c>
      <c r="T99" s="4">
        <f>$AG99*GETPIVOTDATA("Sum of TOTAL YEAR",RevenuePivot!$BT$12,"YEAR",T$5,"REFERENCE PRODUCT / SERVICE",$G99,"ITEM","COST OF GOODS SOLD")</f>
        <v>0</v>
      </c>
      <c r="U99" s="4">
        <f>$AG99*GETPIVOTDATA("Sum of TOTAL YEAR",RevenuePivot!$BT$12,"YEAR",U$5,"REFERENCE PRODUCT / SERVICE",$G99,"ITEM","COST OF GOODS SOLD")</f>
        <v>0</v>
      </c>
      <c r="V99" s="4">
        <f>$AG99*GETPIVOTDATA("Sum of TOTAL YEAR",RevenuePivot!$BT$12,"YEAR",V$5,"REFERENCE PRODUCT / SERVICE",$G99,"ITEM","COST OF GOODS SOLD")</f>
        <v>0</v>
      </c>
      <c r="W99" s="4">
        <f>$AG99*GETPIVOTDATA("Sum of TOTAL YEAR",RevenuePivot!$BT$12,"YEAR",W$5,"REFERENCE PRODUCT / SERVICE",$G99,"ITEM","COST OF GOODS SOLD")</f>
        <v>0</v>
      </c>
      <c r="X99" s="4">
        <f>$AG99*GETPIVOTDATA("Sum of TOTAL YEAR",RevenuePivot!$BT$12,"YEAR",X$5,"REFERENCE PRODUCT / SERVICE",$G99,"ITEM","COST OF GOODS SOLD")</f>
        <v>0</v>
      </c>
      <c r="Y99" s="604"/>
      <c r="Z99" s="3" t="str">
        <f>VLOOKUP($D99,TableInputsData[],ReadMe!$M$3,FALSE)&amp;"  |  "&amp;VLOOKUP($E99,TableInputsData[],ReadMe!$M$3,FALSE)&amp;"  |  "&amp;VLOOKUP($G99,TableInputsData[],ReadMe!$M$3,FALSE)</f>
        <v>CA ET MARGE BRUTE  |  COUT DES PRODUITS VENDUS  |  PRODUIT 04</v>
      </c>
      <c r="AA99" s="3"/>
      <c r="AB99" s="34">
        <f t="shared" si="57"/>
        <v>1</v>
      </c>
      <c r="AC99" s="34"/>
      <c r="AD99" s="34"/>
      <c r="AE99" s="26"/>
      <c r="AF99" s="34">
        <v>1</v>
      </c>
      <c r="AG99" s="34">
        <f>VLOOKUP($G99,TableInputsData[],$AG$2,FALSE)</f>
        <v>0</v>
      </c>
      <c r="AH99" s="535"/>
      <c r="AI99" s="294"/>
    </row>
    <row r="100" spans="1:35" x14ac:dyDescent="0.2">
      <c r="A100" s="294"/>
      <c r="B100" s="944"/>
      <c r="C100" s="66">
        <v>1</v>
      </c>
      <c r="D100" s="3" t="s">
        <v>618</v>
      </c>
      <c r="E100" s="3" t="s">
        <v>619</v>
      </c>
      <c r="F100" s="3" t="s">
        <v>21</v>
      </c>
      <c r="G100" s="3" t="s">
        <v>541</v>
      </c>
      <c r="H100" s="5" t="str">
        <f>VLOOKUP($G100,TableInputsData[],6,FALSE)</f>
        <v>-</v>
      </c>
      <c r="I100" s="5" t="str">
        <f>VLOOKUP("SEE InputsData SHEET",TableInputsData[],ReadMe!$M$3,FALSE)</f>
        <v>VOIR FEUILLE InputData</v>
      </c>
      <c r="J100" s="26"/>
      <c r="K100" s="135"/>
      <c r="L100" s="127"/>
      <c r="M100" s="134"/>
      <c r="N100" s="60"/>
      <c r="O100" s="4">
        <f>$AG100*GETPIVOTDATA("Sum of TOTAL YEAR",RevenuePivot!$BT$12,"YEAR",O$5,"REFERENCE PRODUCT / SERVICE",$G100,"ITEM","COST OF GOODS SOLD")</f>
        <v>0</v>
      </c>
      <c r="P100" s="4">
        <f>$AG100*GETPIVOTDATA("Sum of TOTAL YEAR",RevenuePivot!$BT$12,"YEAR",P$5,"REFERENCE PRODUCT / SERVICE",$G100,"ITEM","COST OF GOODS SOLD")</f>
        <v>0</v>
      </c>
      <c r="Q100" s="4">
        <f>$AG100*GETPIVOTDATA("Sum of SEMESTRE 1",RevenuePivot!$BT$12,"YEAR",Q$5,"REFERENCE PRODUCT / SERVICE",$G100,"ITEM","COST OF GOODS SOLD")</f>
        <v>0</v>
      </c>
      <c r="R100" s="4">
        <f>$AG100*GETPIVOTDATA("Sum of SEMESTRE 2",RevenuePivot!$BT$12,"YEAR",R$5,"REFERENCE PRODUCT / SERVICE",$G100,"ITEM","COST OF GOODS SOLD")</f>
        <v>0</v>
      </c>
      <c r="S100" s="4">
        <f t="shared" si="56"/>
        <v>0</v>
      </c>
      <c r="T100" s="4">
        <f>$AG100*GETPIVOTDATA("Sum of TOTAL YEAR",RevenuePivot!$BT$12,"YEAR",T$5,"REFERENCE PRODUCT / SERVICE",$G100,"ITEM","COST OF GOODS SOLD")</f>
        <v>0</v>
      </c>
      <c r="U100" s="4">
        <f>$AG100*GETPIVOTDATA("Sum of TOTAL YEAR",RevenuePivot!$BT$12,"YEAR",U$5,"REFERENCE PRODUCT / SERVICE",$G100,"ITEM","COST OF GOODS SOLD")</f>
        <v>0</v>
      </c>
      <c r="V100" s="4">
        <f>$AG100*GETPIVOTDATA("Sum of TOTAL YEAR",RevenuePivot!$BT$12,"YEAR",V$5,"REFERENCE PRODUCT / SERVICE",$G100,"ITEM","COST OF GOODS SOLD")</f>
        <v>0</v>
      </c>
      <c r="W100" s="4">
        <f>$AG100*GETPIVOTDATA("Sum of TOTAL YEAR",RevenuePivot!$BT$12,"YEAR",W$5,"REFERENCE PRODUCT / SERVICE",$G100,"ITEM","COST OF GOODS SOLD")</f>
        <v>0</v>
      </c>
      <c r="X100" s="4">
        <f>$AG100*GETPIVOTDATA("Sum of TOTAL YEAR",RevenuePivot!$BT$12,"YEAR",X$5,"REFERENCE PRODUCT / SERVICE",$G100,"ITEM","COST OF GOODS SOLD")</f>
        <v>0</v>
      </c>
      <c r="Y100" s="604"/>
      <c r="Z100" s="3" t="str">
        <f>VLOOKUP($D100,TableInputsData[],ReadMe!$M$3,FALSE)&amp;"  |  "&amp;VLOOKUP($E100,TableInputsData[],ReadMe!$M$3,FALSE)&amp;"  |  "&amp;VLOOKUP($G100,TableInputsData[],ReadMe!$M$3,FALSE)</f>
        <v>CA ET MARGE BRUTE  |  COUT DES PRODUITS VENDUS  |  PRODUIT 05</v>
      </c>
      <c r="AA100" s="3"/>
      <c r="AB100" s="34">
        <f t="shared" si="57"/>
        <v>1</v>
      </c>
      <c r="AC100" s="34"/>
      <c r="AD100" s="34"/>
      <c r="AE100" s="26"/>
      <c r="AF100" s="34">
        <v>1</v>
      </c>
      <c r="AG100" s="34">
        <f>VLOOKUP($G100,TableInputsData[],$AG$2,FALSE)</f>
        <v>0</v>
      </c>
      <c r="AH100" s="535"/>
      <c r="AI100" s="294"/>
    </row>
    <row r="101" spans="1:35" x14ac:dyDescent="0.2">
      <c r="A101" s="294"/>
      <c r="B101" s="944"/>
      <c r="C101" s="66">
        <v>1</v>
      </c>
      <c r="D101" s="3" t="s">
        <v>618</v>
      </c>
      <c r="E101" s="3" t="s">
        <v>619</v>
      </c>
      <c r="F101" s="3" t="s">
        <v>21</v>
      </c>
      <c r="G101" s="3" t="s">
        <v>542</v>
      </c>
      <c r="H101" s="5" t="str">
        <f>VLOOKUP($G101,TableInputsData[],6,FALSE)</f>
        <v>-</v>
      </c>
      <c r="I101" s="5" t="str">
        <f>VLOOKUP("SEE InputsData SHEET",TableInputsData[],ReadMe!$M$3,FALSE)</f>
        <v>VOIR FEUILLE InputData</v>
      </c>
      <c r="J101" s="26"/>
      <c r="K101" s="135"/>
      <c r="L101" s="127"/>
      <c r="M101" s="134"/>
      <c r="N101" s="60"/>
      <c r="O101" s="4">
        <f>$AG101*GETPIVOTDATA("Sum of TOTAL YEAR",RevenuePivot!$BT$12,"YEAR",O$5,"REFERENCE PRODUCT / SERVICE",$G101,"ITEM","COST OF GOODS SOLD")</f>
        <v>0</v>
      </c>
      <c r="P101" s="4">
        <f>$AG101*GETPIVOTDATA("Sum of TOTAL YEAR",RevenuePivot!$BT$12,"YEAR",P$5,"REFERENCE PRODUCT / SERVICE",$G101,"ITEM","COST OF GOODS SOLD")</f>
        <v>0</v>
      </c>
      <c r="Q101" s="4">
        <f>$AG101*GETPIVOTDATA("Sum of SEMESTRE 1",RevenuePivot!$BT$12,"YEAR",Q$5,"REFERENCE PRODUCT / SERVICE",$G101,"ITEM","COST OF GOODS SOLD")</f>
        <v>0</v>
      </c>
      <c r="R101" s="4">
        <f>$AG101*GETPIVOTDATA("Sum of SEMESTRE 2",RevenuePivot!$BT$12,"YEAR",R$5,"REFERENCE PRODUCT / SERVICE",$G101,"ITEM","COST OF GOODS SOLD")</f>
        <v>0</v>
      </c>
      <c r="S101" s="4">
        <f t="shared" si="56"/>
        <v>0</v>
      </c>
      <c r="T101" s="4">
        <f>$AG101*GETPIVOTDATA("Sum of TOTAL YEAR",RevenuePivot!$BT$12,"YEAR",T$5,"REFERENCE PRODUCT / SERVICE",$G101,"ITEM","COST OF GOODS SOLD")</f>
        <v>0</v>
      </c>
      <c r="U101" s="4">
        <f>$AG101*GETPIVOTDATA("Sum of TOTAL YEAR",RevenuePivot!$BT$12,"YEAR",U$5,"REFERENCE PRODUCT / SERVICE",$G101,"ITEM","COST OF GOODS SOLD")</f>
        <v>0</v>
      </c>
      <c r="V101" s="4">
        <f>$AG101*GETPIVOTDATA("Sum of TOTAL YEAR",RevenuePivot!$BT$12,"YEAR",V$5,"REFERENCE PRODUCT / SERVICE",$G101,"ITEM","COST OF GOODS SOLD")</f>
        <v>0</v>
      </c>
      <c r="W101" s="4">
        <f>$AG101*GETPIVOTDATA("Sum of TOTAL YEAR",RevenuePivot!$BT$12,"YEAR",W$5,"REFERENCE PRODUCT / SERVICE",$G101,"ITEM","COST OF GOODS SOLD")</f>
        <v>0</v>
      </c>
      <c r="X101" s="4">
        <f>$AG101*GETPIVOTDATA("Sum of TOTAL YEAR",RevenuePivot!$BT$12,"YEAR",X$5,"REFERENCE PRODUCT / SERVICE",$G101,"ITEM","COST OF GOODS SOLD")</f>
        <v>0</v>
      </c>
      <c r="Y101" s="604"/>
      <c r="Z101" s="3" t="str">
        <f>VLOOKUP($D101,TableInputsData[],ReadMe!$M$3,FALSE)&amp;"  |  "&amp;VLOOKUP($E101,TableInputsData[],ReadMe!$M$3,FALSE)&amp;"  |  "&amp;VLOOKUP($G101,TableInputsData[],ReadMe!$M$3,FALSE)</f>
        <v>CA ET MARGE BRUTE  |  COUT DES PRODUITS VENDUS  |  PRODUIT 06</v>
      </c>
      <c r="AA101" s="3"/>
      <c r="AB101" s="34">
        <f>IF(AND(SUM(O101:X101)=0,H101=""),0,1)</f>
        <v>1</v>
      </c>
      <c r="AC101" s="34"/>
      <c r="AD101" s="34"/>
      <c r="AE101" s="26"/>
      <c r="AF101" s="34">
        <v>1</v>
      </c>
      <c r="AG101" s="34">
        <f>VLOOKUP($G101,TableInputsData[],$AG$2,FALSE)</f>
        <v>0</v>
      </c>
      <c r="AH101" s="535"/>
      <c r="AI101" s="294"/>
    </row>
    <row r="102" spans="1:35" x14ac:dyDescent="0.2">
      <c r="A102" s="294"/>
      <c r="B102" s="944"/>
      <c r="C102" s="66">
        <v>1</v>
      </c>
      <c r="D102" s="3" t="s">
        <v>618</v>
      </c>
      <c r="E102" s="3" t="s">
        <v>619</v>
      </c>
      <c r="F102" s="3" t="s">
        <v>21</v>
      </c>
      <c r="G102" s="3" t="s">
        <v>543</v>
      </c>
      <c r="H102" s="5" t="str">
        <f>VLOOKUP($G102,TableInputsData[],6,FALSE)</f>
        <v>-</v>
      </c>
      <c r="I102" s="5" t="str">
        <f>VLOOKUP("SEE InputsData SHEET",TableInputsData[],ReadMe!$M$3,FALSE)</f>
        <v>VOIR FEUILLE InputData</v>
      </c>
      <c r="J102" s="26"/>
      <c r="K102" s="135"/>
      <c r="L102" s="127"/>
      <c r="M102" s="134"/>
      <c r="N102" s="60"/>
      <c r="O102" s="4">
        <f>$AG102*GETPIVOTDATA("Sum of TOTAL YEAR",RevenuePivot!$BT$12,"YEAR",O$5,"REFERENCE PRODUCT / SERVICE",$G102,"ITEM","COST OF GOODS SOLD")</f>
        <v>0</v>
      </c>
      <c r="P102" s="4">
        <f>$AG102*GETPIVOTDATA("Sum of TOTAL YEAR",RevenuePivot!$BT$12,"YEAR",P$5,"REFERENCE PRODUCT / SERVICE",$G102,"ITEM","COST OF GOODS SOLD")</f>
        <v>0</v>
      </c>
      <c r="Q102" s="4">
        <f>$AG102*GETPIVOTDATA("Sum of SEMESTRE 1",RevenuePivot!$BT$12,"YEAR",Q$5,"REFERENCE PRODUCT / SERVICE",$G102,"ITEM","COST OF GOODS SOLD")</f>
        <v>0</v>
      </c>
      <c r="R102" s="4">
        <f>$AG102*GETPIVOTDATA("Sum of SEMESTRE 2",RevenuePivot!$BT$12,"YEAR",R$5,"REFERENCE PRODUCT / SERVICE",$G102,"ITEM","COST OF GOODS SOLD")</f>
        <v>0</v>
      </c>
      <c r="S102" s="4">
        <f t="shared" si="56"/>
        <v>0</v>
      </c>
      <c r="T102" s="4">
        <f>$AG102*GETPIVOTDATA("Sum of TOTAL YEAR",RevenuePivot!$BT$12,"YEAR",T$5,"REFERENCE PRODUCT / SERVICE",$G102,"ITEM","COST OF GOODS SOLD")</f>
        <v>0</v>
      </c>
      <c r="U102" s="4">
        <f>$AG102*GETPIVOTDATA("Sum of TOTAL YEAR",RevenuePivot!$BT$12,"YEAR",U$5,"REFERENCE PRODUCT / SERVICE",$G102,"ITEM","COST OF GOODS SOLD")</f>
        <v>0</v>
      </c>
      <c r="V102" s="4">
        <f>$AG102*GETPIVOTDATA("Sum of TOTAL YEAR",RevenuePivot!$BT$12,"YEAR",V$5,"REFERENCE PRODUCT / SERVICE",$G102,"ITEM","COST OF GOODS SOLD")</f>
        <v>0</v>
      </c>
      <c r="W102" s="4">
        <f>$AG102*GETPIVOTDATA("Sum of TOTAL YEAR",RevenuePivot!$BT$12,"YEAR",W$5,"REFERENCE PRODUCT / SERVICE",$G102,"ITEM","COST OF GOODS SOLD")</f>
        <v>0</v>
      </c>
      <c r="X102" s="4">
        <f>$AG102*GETPIVOTDATA("Sum of TOTAL YEAR",RevenuePivot!$BT$12,"YEAR",X$5,"REFERENCE PRODUCT / SERVICE",$G102,"ITEM","COST OF GOODS SOLD")</f>
        <v>0</v>
      </c>
      <c r="Y102" s="604"/>
      <c r="Z102" s="3" t="str">
        <f>VLOOKUP($D102,TableInputsData[],ReadMe!$M$3,FALSE)&amp;"  |  "&amp;VLOOKUP($E102,TableInputsData[],ReadMe!$M$3,FALSE)&amp;"  |  "&amp;VLOOKUP($G102,TableInputsData[],ReadMe!$M$3,FALSE)</f>
        <v>CA ET MARGE BRUTE  |  COUT DES PRODUITS VENDUS  |  PRODUIT 07</v>
      </c>
      <c r="AA102" s="3"/>
      <c r="AB102" s="34">
        <f t="shared" si="57"/>
        <v>1</v>
      </c>
      <c r="AC102" s="34"/>
      <c r="AD102" s="34"/>
      <c r="AE102" s="26"/>
      <c r="AF102" s="34">
        <v>1</v>
      </c>
      <c r="AG102" s="34">
        <f>VLOOKUP($G102,TableInputsData[],$AG$2,FALSE)</f>
        <v>0</v>
      </c>
      <c r="AH102" s="535"/>
      <c r="AI102" s="294"/>
    </row>
    <row r="103" spans="1:35" x14ac:dyDescent="0.2">
      <c r="A103" s="294"/>
      <c r="B103" s="944"/>
      <c r="C103" s="66">
        <v>1</v>
      </c>
      <c r="D103" s="3" t="s">
        <v>618</v>
      </c>
      <c r="E103" s="3" t="s">
        <v>619</v>
      </c>
      <c r="F103" s="3" t="s">
        <v>21</v>
      </c>
      <c r="G103" s="3" t="s">
        <v>544</v>
      </c>
      <c r="H103" s="5" t="str">
        <f>VLOOKUP($G103,TableInputsData[],6,FALSE)</f>
        <v>-</v>
      </c>
      <c r="I103" s="5" t="str">
        <f>VLOOKUP("SEE InputsData SHEET",TableInputsData[],ReadMe!$M$3,FALSE)</f>
        <v>VOIR FEUILLE InputData</v>
      </c>
      <c r="J103" s="26"/>
      <c r="K103" s="135"/>
      <c r="L103" s="127"/>
      <c r="M103" s="134"/>
      <c r="N103" s="60"/>
      <c r="O103" s="4">
        <f>$AG103*GETPIVOTDATA("Sum of TOTAL YEAR",RevenuePivot!$BT$12,"YEAR",O$5,"REFERENCE PRODUCT / SERVICE",$G103,"ITEM","COST OF GOODS SOLD")</f>
        <v>0</v>
      </c>
      <c r="P103" s="4">
        <f>$AG103*GETPIVOTDATA("Sum of TOTAL YEAR",RevenuePivot!$BT$12,"YEAR",P$5,"REFERENCE PRODUCT / SERVICE",$G103,"ITEM","COST OF GOODS SOLD")</f>
        <v>0</v>
      </c>
      <c r="Q103" s="4">
        <f>$AG103*GETPIVOTDATA("Sum of SEMESTRE 1",RevenuePivot!$BT$12,"YEAR",Q$5,"REFERENCE PRODUCT / SERVICE",$G103,"ITEM","COST OF GOODS SOLD")</f>
        <v>0</v>
      </c>
      <c r="R103" s="4">
        <f>$AG103*GETPIVOTDATA("Sum of SEMESTRE 2",RevenuePivot!$BT$12,"YEAR",R$5,"REFERENCE PRODUCT / SERVICE",$G103,"ITEM","COST OF GOODS SOLD")</f>
        <v>0</v>
      </c>
      <c r="S103" s="4">
        <f t="shared" si="56"/>
        <v>0</v>
      </c>
      <c r="T103" s="4">
        <f>$AG103*GETPIVOTDATA("Sum of TOTAL YEAR",RevenuePivot!$BT$12,"YEAR",T$5,"REFERENCE PRODUCT / SERVICE",$G103,"ITEM","COST OF GOODS SOLD")</f>
        <v>0</v>
      </c>
      <c r="U103" s="4">
        <f>$AG103*GETPIVOTDATA("Sum of TOTAL YEAR",RevenuePivot!$BT$12,"YEAR",U$5,"REFERENCE PRODUCT / SERVICE",$G103,"ITEM","COST OF GOODS SOLD")</f>
        <v>0</v>
      </c>
      <c r="V103" s="4">
        <f>$AG103*GETPIVOTDATA("Sum of TOTAL YEAR",RevenuePivot!$BT$12,"YEAR",V$5,"REFERENCE PRODUCT / SERVICE",$G103,"ITEM","COST OF GOODS SOLD")</f>
        <v>0</v>
      </c>
      <c r="W103" s="4">
        <f>$AG103*GETPIVOTDATA("Sum of TOTAL YEAR",RevenuePivot!$BT$12,"YEAR",W$5,"REFERENCE PRODUCT / SERVICE",$G103,"ITEM","COST OF GOODS SOLD")</f>
        <v>0</v>
      </c>
      <c r="X103" s="4">
        <f>$AG103*GETPIVOTDATA("Sum of TOTAL YEAR",RevenuePivot!$BT$12,"YEAR",X$5,"REFERENCE PRODUCT / SERVICE",$G103,"ITEM","COST OF GOODS SOLD")</f>
        <v>0</v>
      </c>
      <c r="Y103" s="604"/>
      <c r="Z103" s="3" t="str">
        <f>VLOOKUP($D103,TableInputsData[],ReadMe!$M$3,FALSE)&amp;"  |  "&amp;VLOOKUP($E103,TableInputsData[],ReadMe!$M$3,FALSE)&amp;"  |  "&amp;VLOOKUP($G103,TableInputsData[],ReadMe!$M$3,FALSE)</f>
        <v>CA ET MARGE BRUTE  |  COUT DES PRODUITS VENDUS  |  PRODUIT 08</v>
      </c>
      <c r="AA103" s="3"/>
      <c r="AB103" s="34">
        <f t="shared" si="57"/>
        <v>1</v>
      </c>
      <c r="AC103" s="34"/>
      <c r="AD103" s="34"/>
      <c r="AE103" s="26"/>
      <c r="AF103" s="34">
        <v>1</v>
      </c>
      <c r="AG103" s="34">
        <f>VLOOKUP($G103,TableInputsData[],$AG$2,FALSE)</f>
        <v>0</v>
      </c>
      <c r="AH103" s="535"/>
      <c r="AI103" s="294"/>
    </row>
    <row r="104" spans="1:35" x14ac:dyDescent="0.2">
      <c r="A104" s="294"/>
      <c r="B104" s="944"/>
      <c r="C104" s="66">
        <v>1</v>
      </c>
      <c r="D104" s="3" t="s">
        <v>618</v>
      </c>
      <c r="E104" s="3" t="s">
        <v>619</v>
      </c>
      <c r="F104" s="3" t="s">
        <v>21</v>
      </c>
      <c r="G104" s="3" t="s">
        <v>545</v>
      </c>
      <c r="H104" s="5" t="str">
        <f>VLOOKUP($G104,TableInputsData[],6,FALSE)</f>
        <v>-</v>
      </c>
      <c r="I104" s="5" t="str">
        <f>VLOOKUP("SEE InputsData SHEET",TableInputsData[],ReadMe!$M$3,FALSE)</f>
        <v>VOIR FEUILLE InputData</v>
      </c>
      <c r="J104" s="26"/>
      <c r="K104" s="135"/>
      <c r="L104" s="127"/>
      <c r="M104" s="134"/>
      <c r="N104" s="60"/>
      <c r="O104" s="4">
        <f>$AG104*GETPIVOTDATA("Sum of TOTAL YEAR",RevenuePivot!$BT$12,"YEAR",O$5,"REFERENCE PRODUCT / SERVICE",$G104,"ITEM","COST OF GOODS SOLD")</f>
        <v>0</v>
      </c>
      <c r="P104" s="4">
        <f>$AG104*GETPIVOTDATA("Sum of TOTAL YEAR",RevenuePivot!$BT$12,"YEAR",P$5,"REFERENCE PRODUCT / SERVICE",$G104,"ITEM","COST OF GOODS SOLD")</f>
        <v>0</v>
      </c>
      <c r="Q104" s="4">
        <f>$AG104*GETPIVOTDATA("Sum of SEMESTRE 1",RevenuePivot!$BT$12,"YEAR",Q$5,"REFERENCE PRODUCT / SERVICE",$G104,"ITEM","COST OF GOODS SOLD")</f>
        <v>0</v>
      </c>
      <c r="R104" s="4">
        <f>$AG104*GETPIVOTDATA("Sum of SEMESTRE 2",RevenuePivot!$BT$12,"YEAR",R$5,"REFERENCE PRODUCT / SERVICE",$G104,"ITEM","COST OF GOODS SOLD")</f>
        <v>0</v>
      </c>
      <c r="S104" s="4">
        <f t="shared" si="56"/>
        <v>0</v>
      </c>
      <c r="T104" s="4">
        <f>$AG104*GETPIVOTDATA("Sum of TOTAL YEAR",RevenuePivot!$BT$12,"YEAR",T$5,"REFERENCE PRODUCT / SERVICE",$G104,"ITEM","COST OF GOODS SOLD")</f>
        <v>0</v>
      </c>
      <c r="U104" s="4">
        <f>$AG104*GETPIVOTDATA("Sum of TOTAL YEAR",RevenuePivot!$BT$12,"YEAR",U$5,"REFERENCE PRODUCT / SERVICE",$G104,"ITEM","COST OF GOODS SOLD")</f>
        <v>0</v>
      </c>
      <c r="V104" s="4">
        <f>$AG104*GETPIVOTDATA("Sum of TOTAL YEAR",RevenuePivot!$BT$12,"YEAR",V$5,"REFERENCE PRODUCT / SERVICE",$G104,"ITEM","COST OF GOODS SOLD")</f>
        <v>0</v>
      </c>
      <c r="W104" s="4">
        <f>$AG104*GETPIVOTDATA("Sum of TOTAL YEAR",RevenuePivot!$BT$12,"YEAR",W$5,"REFERENCE PRODUCT / SERVICE",$G104,"ITEM","COST OF GOODS SOLD")</f>
        <v>0</v>
      </c>
      <c r="X104" s="4">
        <f>$AG104*GETPIVOTDATA("Sum of TOTAL YEAR",RevenuePivot!$BT$12,"YEAR",X$5,"REFERENCE PRODUCT / SERVICE",$G104,"ITEM","COST OF GOODS SOLD")</f>
        <v>0</v>
      </c>
      <c r="Y104" s="604"/>
      <c r="Z104" s="3" t="str">
        <f>VLOOKUP($D104,TableInputsData[],ReadMe!$M$3,FALSE)&amp;"  |  "&amp;VLOOKUP($E104,TableInputsData[],ReadMe!$M$3,FALSE)&amp;"  |  "&amp;VLOOKUP($G104,TableInputsData[],ReadMe!$M$3,FALSE)</f>
        <v>CA ET MARGE BRUTE  |  COUT DES PRODUITS VENDUS  |  PRODUIT 09</v>
      </c>
      <c r="AA104" s="3"/>
      <c r="AB104" s="34">
        <f t="shared" si="57"/>
        <v>1</v>
      </c>
      <c r="AC104" s="34"/>
      <c r="AD104" s="34"/>
      <c r="AE104" s="26"/>
      <c r="AF104" s="34">
        <v>1</v>
      </c>
      <c r="AG104" s="34">
        <f>VLOOKUP($G104,TableInputsData[],$AG$2,FALSE)</f>
        <v>0</v>
      </c>
      <c r="AH104" s="535"/>
      <c r="AI104" s="294"/>
    </row>
    <row r="105" spans="1:35" x14ac:dyDescent="0.2">
      <c r="A105" s="294"/>
      <c r="B105" s="944"/>
      <c r="C105" s="70">
        <v>1</v>
      </c>
      <c r="D105" s="3" t="s">
        <v>618</v>
      </c>
      <c r="E105" s="6" t="s">
        <v>619</v>
      </c>
      <c r="F105" s="6" t="s">
        <v>21</v>
      </c>
      <c r="G105" s="3" t="s">
        <v>401</v>
      </c>
      <c r="H105" s="5" t="str">
        <f>VLOOKUP($G105,TableInputsData[],6,FALSE)</f>
        <v>-</v>
      </c>
      <c r="I105" s="5" t="str">
        <f>VLOOKUP("SEE InputsData SHEET",TableInputsData[],ReadMe!$M$3,FALSE)</f>
        <v>VOIR FEUILLE InputData</v>
      </c>
      <c r="J105" s="26"/>
      <c r="K105" s="135"/>
      <c r="L105" s="127"/>
      <c r="M105" s="134"/>
      <c r="N105" s="60"/>
      <c r="O105" s="4">
        <f>$AG105*GETPIVOTDATA("Sum of TOTAL YEAR",RevenuePivot!$BT$12,"YEAR",O$5,"REFERENCE PRODUCT / SERVICE",$G105,"ITEM","COST OF GOODS SOLD")</f>
        <v>0</v>
      </c>
      <c r="P105" s="4">
        <f>$AG105*GETPIVOTDATA("Sum of TOTAL YEAR",RevenuePivot!$BT$12,"YEAR",P$5,"REFERENCE PRODUCT / SERVICE",$G105,"ITEM","COST OF GOODS SOLD")</f>
        <v>0</v>
      </c>
      <c r="Q105" s="4">
        <f>$AG105*GETPIVOTDATA("Sum of SEMESTRE 1",RevenuePivot!$BT$12,"YEAR",Q$5,"REFERENCE PRODUCT / SERVICE",$G105,"ITEM","COST OF GOODS SOLD")</f>
        <v>0</v>
      </c>
      <c r="R105" s="4">
        <f>$AG105*GETPIVOTDATA("Sum of SEMESTRE 2",RevenuePivot!$BT$12,"YEAR",R$5,"REFERENCE PRODUCT / SERVICE",$G105,"ITEM","COST OF GOODS SOLD")</f>
        <v>0</v>
      </c>
      <c r="S105" s="4">
        <f t="shared" si="56"/>
        <v>0</v>
      </c>
      <c r="T105" s="4">
        <f>$AG105*GETPIVOTDATA("Sum of TOTAL YEAR",RevenuePivot!$BT$12,"YEAR",T$5,"REFERENCE PRODUCT / SERVICE",$G105,"ITEM","COST OF GOODS SOLD")</f>
        <v>0</v>
      </c>
      <c r="U105" s="4">
        <f>$AG105*GETPIVOTDATA("Sum of TOTAL YEAR",RevenuePivot!$BT$12,"YEAR",U$5,"REFERENCE PRODUCT / SERVICE",$G105,"ITEM","COST OF GOODS SOLD")</f>
        <v>0</v>
      </c>
      <c r="V105" s="4">
        <f>$AG105*GETPIVOTDATA("Sum of TOTAL YEAR",RevenuePivot!$BT$12,"YEAR",V$5,"REFERENCE PRODUCT / SERVICE",$G105,"ITEM","COST OF GOODS SOLD")</f>
        <v>0</v>
      </c>
      <c r="W105" s="4">
        <f>$AG105*GETPIVOTDATA("Sum of TOTAL YEAR",RevenuePivot!$BT$12,"YEAR",W$5,"REFERENCE PRODUCT / SERVICE",$G105,"ITEM","COST OF GOODS SOLD")</f>
        <v>0</v>
      </c>
      <c r="X105" s="4">
        <f>$AG105*GETPIVOTDATA("Sum of TOTAL YEAR",RevenuePivot!$BT$12,"YEAR",X$5,"REFERENCE PRODUCT / SERVICE",$G105,"ITEM","COST OF GOODS SOLD")</f>
        <v>0</v>
      </c>
      <c r="Y105" s="604"/>
      <c r="Z105" s="6" t="str">
        <f>VLOOKUP($D105,TableInputsData[],ReadMe!$M$3,FALSE)&amp;"  |  "&amp;VLOOKUP($E105,TableInputsData[],ReadMe!$M$3,FALSE)&amp;"  |  "&amp;VLOOKUP($G105,TableInputsData[],ReadMe!$M$3,FALSE)</f>
        <v>CA ET MARGE BRUTE  |  COUT DES PRODUITS VENDUS  |  PRODUIT 10</v>
      </c>
      <c r="AA105" s="6"/>
      <c r="AB105" s="36">
        <f t="shared" si="57"/>
        <v>1</v>
      </c>
      <c r="AC105" s="36"/>
      <c r="AD105" s="36"/>
      <c r="AE105" s="91"/>
      <c r="AF105" s="36">
        <v>1</v>
      </c>
      <c r="AG105" s="34">
        <f>VLOOKUP($G105,TableInputsData[],$AG$2,FALSE)</f>
        <v>0</v>
      </c>
      <c r="AH105" s="536"/>
      <c r="AI105" s="294"/>
    </row>
    <row r="106" spans="1:35" x14ac:dyDescent="0.2">
      <c r="A106" s="294"/>
      <c r="B106" s="944"/>
      <c r="C106" s="70">
        <v>1</v>
      </c>
      <c r="D106" s="3" t="s">
        <v>618</v>
      </c>
      <c r="E106" s="6" t="s">
        <v>619</v>
      </c>
      <c r="F106" s="6" t="s">
        <v>21</v>
      </c>
      <c r="G106" s="3" t="s">
        <v>1710</v>
      </c>
      <c r="H106" s="5" t="str">
        <f>VLOOKUP($G106,TableInputsData[],6,FALSE)</f>
        <v>-</v>
      </c>
      <c r="I106" s="5" t="str">
        <f>VLOOKUP("SEE InputsData SHEET",TableInputsData[],ReadMe!$M$3,FALSE)</f>
        <v>VOIR FEUILLE InputData</v>
      </c>
      <c r="J106" s="26"/>
      <c r="K106" s="135"/>
      <c r="L106" s="127"/>
      <c r="M106" s="134"/>
      <c r="N106" s="60"/>
      <c r="O106" s="4">
        <f>$AG106*GETPIVOTDATA("Sum of TOTAL YEAR",RevenuePivot!$BT$12,"YEAR",O$5,"REFERENCE PRODUCT / SERVICE",$G106,"ITEM","COST OF GOODS SOLD")</f>
        <v>0</v>
      </c>
      <c r="P106" s="4">
        <f>$AG106*GETPIVOTDATA("Sum of TOTAL YEAR",RevenuePivot!$BT$12,"YEAR",P$5,"REFERENCE PRODUCT / SERVICE",$G106,"ITEM","COST OF GOODS SOLD")</f>
        <v>0</v>
      </c>
      <c r="Q106" s="4">
        <f>$AG106*GETPIVOTDATA("Sum of SEMESTRE 1",RevenuePivot!$BT$12,"YEAR",Q$5,"REFERENCE PRODUCT / SERVICE",$G106,"ITEM","COST OF GOODS SOLD")</f>
        <v>0</v>
      </c>
      <c r="R106" s="4">
        <f>$AG106*GETPIVOTDATA("Sum of SEMESTRE 2",RevenuePivot!$BT$12,"YEAR",R$5,"REFERENCE PRODUCT / SERVICE",$G106,"ITEM","COST OF GOODS SOLD")</f>
        <v>0</v>
      </c>
      <c r="S106" s="4">
        <f t="shared" ref="S106:S115" si="58">Q106+R106</f>
        <v>0</v>
      </c>
      <c r="T106" s="4">
        <f>$AG106*GETPIVOTDATA("Sum of TOTAL YEAR",RevenuePivot!$BT$12,"YEAR",T$5,"REFERENCE PRODUCT / SERVICE",$G106,"ITEM","COST OF GOODS SOLD")</f>
        <v>0</v>
      </c>
      <c r="U106" s="4">
        <f>$AG106*GETPIVOTDATA("Sum of TOTAL YEAR",RevenuePivot!$BT$12,"YEAR",U$5,"REFERENCE PRODUCT / SERVICE",$G106,"ITEM","COST OF GOODS SOLD")</f>
        <v>0</v>
      </c>
      <c r="V106" s="4">
        <f>$AG106*GETPIVOTDATA("Sum of TOTAL YEAR",RevenuePivot!$BT$12,"YEAR",V$5,"REFERENCE PRODUCT / SERVICE",$G106,"ITEM","COST OF GOODS SOLD")</f>
        <v>0</v>
      </c>
      <c r="W106" s="4">
        <f>$AG106*GETPIVOTDATA("Sum of TOTAL YEAR",RevenuePivot!$BT$12,"YEAR",W$5,"REFERENCE PRODUCT / SERVICE",$G106,"ITEM","COST OF GOODS SOLD")</f>
        <v>0</v>
      </c>
      <c r="X106" s="4">
        <f>$AG106*GETPIVOTDATA("Sum of TOTAL YEAR",RevenuePivot!$BT$12,"YEAR",X$5,"REFERENCE PRODUCT / SERVICE",$G106,"ITEM","COST OF GOODS SOLD")</f>
        <v>0</v>
      </c>
      <c r="Y106" s="604"/>
      <c r="Z106" s="6" t="str">
        <f>VLOOKUP($D106,TableInputsData[],ReadMe!$M$3,FALSE)&amp;"  |  "&amp;VLOOKUP($E106,TableInputsData[],ReadMe!$M$3,FALSE)&amp;"  |  "&amp;VLOOKUP($G106,TableInputsData[],ReadMe!$M$3,FALSE)</f>
        <v>CA ET MARGE BRUTE  |  COUT DES PRODUITS VENDUS  |  PRODUIT 11</v>
      </c>
      <c r="AA106" s="6"/>
      <c r="AB106" s="36">
        <f t="shared" ref="AB106:AB115" si="59">IF(AND(SUM(O106:X106)=0,H106=""),0,1)</f>
        <v>1</v>
      </c>
      <c r="AC106" s="36"/>
      <c r="AD106" s="36"/>
      <c r="AE106" s="91"/>
      <c r="AF106" s="36">
        <v>1</v>
      </c>
      <c r="AG106" s="34">
        <f>VLOOKUP($G106,TableInputsData[],$AG$2,FALSE)</f>
        <v>0</v>
      </c>
      <c r="AH106" s="536"/>
      <c r="AI106" s="294"/>
    </row>
    <row r="107" spans="1:35" x14ac:dyDescent="0.2">
      <c r="A107" s="294"/>
      <c r="B107" s="944"/>
      <c r="C107" s="70">
        <v>1</v>
      </c>
      <c r="D107" s="3" t="s">
        <v>618</v>
      </c>
      <c r="E107" s="6" t="s">
        <v>619</v>
      </c>
      <c r="F107" s="6" t="s">
        <v>21</v>
      </c>
      <c r="G107" s="3" t="s">
        <v>1712</v>
      </c>
      <c r="H107" s="5" t="str">
        <f>VLOOKUP($G107,TableInputsData[],6,FALSE)</f>
        <v>-</v>
      </c>
      <c r="I107" s="5" t="str">
        <f>VLOOKUP("SEE InputsData SHEET",TableInputsData[],ReadMe!$M$3,FALSE)</f>
        <v>VOIR FEUILLE InputData</v>
      </c>
      <c r="J107" s="26"/>
      <c r="K107" s="135"/>
      <c r="L107" s="127"/>
      <c r="M107" s="134"/>
      <c r="N107" s="60"/>
      <c r="O107" s="4">
        <f>$AG107*GETPIVOTDATA("Sum of TOTAL YEAR",RevenuePivot!$BT$12,"YEAR",O$5,"REFERENCE PRODUCT / SERVICE",$G107,"ITEM","COST OF GOODS SOLD")</f>
        <v>0</v>
      </c>
      <c r="P107" s="4">
        <f>$AG107*GETPIVOTDATA("Sum of TOTAL YEAR",RevenuePivot!$BT$12,"YEAR",P$5,"REFERENCE PRODUCT / SERVICE",$G107,"ITEM","COST OF GOODS SOLD")</f>
        <v>0</v>
      </c>
      <c r="Q107" s="4">
        <f>$AG107*GETPIVOTDATA("Sum of SEMESTRE 1",RevenuePivot!$BT$12,"YEAR",Q$5,"REFERENCE PRODUCT / SERVICE",$G107,"ITEM","COST OF GOODS SOLD")</f>
        <v>0</v>
      </c>
      <c r="R107" s="4">
        <f>$AG107*GETPIVOTDATA("Sum of SEMESTRE 2",RevenuePivot!$BT$12,"YEAR",R$5,"REFERENCE PRODUCT / SERVICE",$G107,"ITEM","COST OF GOODS SOLD")</f>
        <v>0</v>
      </c>
      <c r="S107" s="4">
        <f t="shared" si="58"/>
        <v>0</v>
      </c>
      <c r="T107" s="4">
        <f>$AG107*GETPIVOTDATA("Sum of TOTAL YEAR",RevenuePivot!$BT$12,"YEAR",T$5,"REFERENCE PRODUCT / SERVICE",$G107,"ITEM","COST OF GOODS SOLD")</f>
        <v>0</v>
      </c>
      <c r="U107" s="4">
        <f>$AG107*GETPIVOTDATA("Sum of TOTAL YEAR",RevenuePivot!$BT$12,"YEAR",U$5,"REFERENCE PRODUCT / SERVICE",$G107,"ITEM","COST OF GOODS SOLD")</f>
        <v>0</v>
      </c>
      <c r="V107" s="4">
        <f>$AG107*GETPIVOTDATA("Sum of TOTAL YEAR",RevenuePivot!$BT$12,"YEAR",V$5,"REFERENCE PRODUCT / SERVICE",$G107,"ITEM","COST OF GOODS SOLD")</f>
        <v>0</v>
      </c>
      <c r="W107" s="4">
        <f>$AG107*GETPIVOTDATA("Sum of TOTAL YEAR",RevenuePivot!$BT$12,"YEAR",W$5,"REFERENCE PRODUCT / SERVICE",$G107,"ITEM","COST OF GOODS SOLD")</f>
        <v>0</v>
      </c>
      <c r="X107" s="4">
        <f>$AG107*GETPIVOTDATA("Sum of TOTAL YEAR",RevenuePivot!$BT$12,"YEAR",X$5,"REFERENCE PRODUCT / SERVICE",$G107,"ITEM","COST OF GOODS SOLD")</f>
        <v>0</v>
      </c>
      <c r="Y107" s="604"/>
      <c r="Z107" s="6" t="str">
        <f>VLOOKUP($D107,TableInputsData[],ReadMe!$M$3,FALSE)&amp;"  |  "&amp;VLOOKUP($E107,TableInputsData[],ReadMe!$M$3,FALSE)&amp;"  |  "&amp;VLOOKUP($G107,TableInputsData[],ReadMe!$M$3,FALSE)</f>
        <v>CA ET MARGE BRUTE  |  COUT DES PRODUITS VENDUS  |  PRODUIT 12</v>
      </c>
      <c r="AA107" s="6"/>
      <c r="AB107" s="36">
        <f t="shared" si="59"/>
        <v>1</v>
      </c>
      <c r="AC107" s="36"/>
      <c r="AD107" s="36"/>
      <c r="AE107" s="91"/>
      <c r="AF107" s="36">
        <v>1</v>
      </c>
      <c r="AG107" s="34">
        <f>VLOOKUP($G107,TableInputsData[],$AG$2,FALSE)</f>
        <v>0</v>
      </c>
      <c r="AH107" s="536"/>
      <c r="AI107" s="294"/>
    </row>
    <row r="108" spans="1:35" x14ac:dyDescent="0.2">
      <c r="A108" s="294"/>
      <c r="B108" s="944"/>
      <c r="C108" s="70">
        <v>1</v>
      </c>
      <c r="D108" s="3" t="s">
        <v>618</v>
      </c>
      <c r="E108" s="6" t="s">
        <v>619</v>
      </c>
      <c r="F108" s="6" t="s">
        <v>21</v>
      </c>
      <c r="G108" s="3" t="s">
        <v>1714</v>
      </c>
      <c r="H108" s="5" t="str">
        <f>VLOOKUP($G108,TableInputsData[],6,FALSE)</f>
        <v>-</v>
      </c>
      <c r="I108" s="5" t="str">
        <f>VLOOKUP("SEE InputsData SHEET",TableInputsData[],ReadMe!$M$3,FALSE)</f>
        <v>VOIR FEUILLE InputData</v>
      </c>
      <c r="J108" s="26"/>
      <c r="K108" s="135"/>
      <c r="L108" s="127"/>
      <c r="M108" s="134"/>
      <c r="N108" s="60"/>
      <c r="O108" s="4">
        <f>$AG108*GETPIVOTDATA("Sum of TOTAL YEAR",RevenuePivot!$BT$12,"YEAR",O$5,"REFERENCE PRODUCT / SERVICE",$G108,"ITEM","COST OF GOODS SOLD")</f>
        <v>0</v>
      </c>
      <c r="P108" s="4">
        <f>$AG108*GETPIVOTDATA("Sum of TOTAL YEAR",RevenuePivot!$BT$12,"YEAR",P$5,"REFERENCE PRODUCT / SERVICE",$G108,"ITEM","COST OF GOODS SOLD")</f>
        <v>0</v>
      </c>
      <c r="Q108" s="4">
        <f>$AG108*GETPIVOTDATA("Sum of SEMESTRE 1",RevenuePivot!$BT$12,"YEAR",Q$5,"REFERENCE PRODUCT / SERVICE",$G108,"ITEM","COST OF GOODS SOLD")</f>
        <v>0</v>
      </c>
      <c r="R108" s="4">
        <f>$AG108*GETPIVOTDATA("Sum of SEMESTRE 2",RevenuePivot!$BT$12,"YEAR",R$5,"REFERENCE PRODUCT / SERVICE",$G108,"ITEM","COST OF GOODS SOLD")</f>
        <v>0</v>
      </c>
      <c r="S108" s="4">
        <f t="shared" si="58"/>
        <v>0</v>
      </c>
      <c r="T108" s="4">
        <f>$AG108*GETPIVOTDATA("Sum of TOTAL YEAR",RevenuePivot!$BT$12,"YEAR",T$5,"REFERENCE PRODUCT / SERVICE",$G108,"ITEM","COST OF GOODS SOLD")</f>
        <v>0</v>
      </c>
      <c r="U108" s="4">
        <f>$AG108*GETPIVOTDATA("Sum of TOTAL YEAR",RevenuePivot!$BT$12,"YEAR",U$5,"REFERENCE PRODUCT / SERVICE",$G108,"ITEM","COST OF GOODS SOLD")</f>
        <v>0</v>
      </c>
      <c r="V108" s="4">
        <f>$AG108*GETPIVOTDATA("Sum of TOTAL YEAR",RevenuePivot!$BT$12,"YEAR",V$5,"REFERENCE PRODUCT / SERVICE",$G108,"ITEM","COST OF GOODS SOLD")</f>
        <v>0</v>
      </c>
      <c r="W108" s="4">
        <f>$AG108*GETPIVOTDATA("Sum of TOTAL YEAR",RevenuePivot!$BT$12,"YEAR",W$5,"REFERENCE PRODUCT / SERVICE",$G108,"ITEM","COST OF GOODS SOLD")</f>
        <v>0</v>
      </c>
      <c r="X108" s="4">
        <f>$AG108*GETPIVOTDATA("Sum of TOTAL YEAR",RevenuePivot!$BT$12,"YEAR",X$5,"REFERENCE PRODUCT / SERVICE",$G108,"ITEM","COST OF GOODS SOLD")</f>
        <v>0</v>
      </c>
      <c r="Y108" s="604"/>
      <c r="Z108" s="6" t="str">
        <f>VLOOKUP($D108,TableInputsData[],ReadMe!$M$3,FALSE)&amp;"  |  "&amp;VLOOKUP($E108,TableInputsData[],ReadMe!$M$3,FALSE)&amp;"  |  "&amp;VLOOKUP($G108,TableInputsData[],ReadMe!$M$3,FALSE)</f>
        <v>CA ET MARGE BRUTE  |  COUT DES PRODUITS VENDUS  |  PRODUIT 13</v>
      </c>
      <c r="AA108" s="6"/>
      <c r="AB108" s="36">
        <f t="shared" si="59"/>
        <v>1</v>
      </c>
      <c r="AC108" s="36"/>
      <c r="AD108" s="36"/>
      <c r="AE108" s="91"/>
      <c r="AF108" s="36">
        <v>1</v>
      </c>
      <c r="AG108" s="34">
        <f>VLOOKUP($G108,TableInputsData[],$AG$2,FALSE)</f>
        <v>0</v>
      </c>
      <c r="AH108" s="536"/>
      <c r="AI108" s="294"/>
    </row>
    <row r="109" spans="1:35" x14ac:dyDescent="0.2">
      <c r="A109" s="294"/>
      <c r="B109" s="944"/>
      <c r="C109" s="70">
        <v>1</v>
      </c>
      <c r="D109" s="3" t="s">
        <v>618</v>
      </c>
      <c r="E109" s="6" t="s">
        <v>619</v>
      </c>
      <c r="F109" s="6" t="s">
        <v>21</v>
      </c>
      <c r="G109" s="3" t="s">
        <v>1716</v>
      </c>
      <c r="H109" s="5" t="str">
        <f>VLOOKUP($G109,TableInputsData[],6,FALSE)</f>
        <v>-</v>
      </c>
      <c r="I109" s="5" t="str">
        <f>VLOOKUP("SEE InputsData SHEET",TableInputsData[],ReadMe!$M$3,FALSE)</f>
        <v>VOIR FEUILLE InputData</v>
      </c>
      <c r="J109" s="26"/>
      <c r="K109" s="135"/>
      <c r="L109" s="127"/>
      <c r="M109" s="134"/>
      <c r="N109" s="60"/>
      <c r="O109" s="4">
        <f>$AG109*GETPIVOTDATA("Sum of TOTAL YEAR",RevenuePivot!$BT$12,"YEAR",O$5,"REFERENCE PRODUCT / SERVICE",$G109,"ITEM","COST OF GOODS SOLD")</f>
        <v>0</v>
      </c>
      <c r="P109" s="4">
        <f>$AG109*GETPIVOTDATA("Sum of TOTAL YEAR",RevenuePivot!$BT$12,"YEAR",P$5,"REFERENCE PRODUCT / SERVICE",$G109,"ITEM","COST OF GOODS SOLD")</f>
        <v>0</v>
      </c>
      <c r="Q109" s="4">
        <f>$AG109*GETPIVOTDATA("Sum of SEMESTRE 1",RevenuePivot!$BT$12,"YEAR",Q$5,"REFERENCE PRODUCT / SERVICE",$G109,"ITEM","COST OF GOODS SOLD")</f>
        <v>0</v>
      </c>
      <c r="R109" s="4">
        <f>$AG109*GETPIVOTDATA("Sum of SEMESTRE 2",RevenuePivot!$BT$12,"YEAR",R$5,"REFERENCE PRODUCT / SERVICE",$G109,"ITEM","COST OF GOODS SOLD")</f>
        <v>0</v>
      </c>
      <c r="S109" s="4">
        <f t="shared" si="58"/>
        <v>0</v>
      </c>
      <c r="T109" s="4">
        <f>$AG109*GETPIVOTDATA("Sum of TOTAL YEAR",RevenuePivot!$BT$12,"YEAR",T$5,"REFERENCE PRODUCT / SERVICE",$G109,"ITEM","COST OF GOODS SOLD")</f>
        <v>0</v>
      </c>
      <c r="U109" s="4">
        <f>$AG109*GETPIVOTDATA("Sum of TOTAL YEAR",RevenuePivot!$BT$12,"YEAR",U$5,"REFERENCE PRODUCT / SERVICE",$G109,"ITEM","COST OF GOODS SOLD")</f>
        <v>0</v>
      </c>
      <c r="V109" s="4">
        <f>$AG109*GETPIVOTDATA("Sum of TOTAL YEAR",RevenuePivot!$BT$12,"YEAR",V$5,"REFERENCE PRODUCT / SERVICE",$G109,"ITEM","COST OF GOODS SOLD")</f>
        <v>0</v>
      </c>
      <c r="W109" s="4">
        <f>$AG109*GETPIVOTDATA("Sum of TOTAL YEAR",RevenuePivot!$BT$12,"YEAR",W$5,"REFERENCE PRODUCT / SERVICE",$G109,"ITEM","COST OF GOODS SOLD")</f>
        <v>0</v>
      </c>
      <c r="X109" s="4">
        <f>$AG109*GETPIVOTDATA("Sum of TOTAL YEAR",RevenuePivot!$BT$12,"YEAR",X$5,"REFERENCE PRODUCT / SERVICE",$G109,"ITEM","COST OF GOODS SOLD")</f>
        <v>0</v>
      </c>
      <c r="Y109" s="604"/>
      <c r="Z109" s="6" t="str">
        <f>VLOOKUP($D109,TableInputsData[],ReadMe!$M$3,FALSE)&amp;"  |  "&amp;VLOOKUP($E109,TableInputsData[],ReadMe!$M$3,FALSE)&amp;"  |  "&amp;VLOOKUP($G109,TableInputsData[],ReadMe!$M$3,FALSE)</f>
        <v>CA ET MARGE BRUTE  |  COUT DES PRODUITS VENDUS  |  PRODUIT 14</v>
      </c>
      <c r="AA109" s="6"/>
      <c r="AB109" s="36">
        <f t="shared" si="59"/>
        <v>1</v>
      </c>
      <c r="AC109" s="36"/>
      <c r="AD109" s="36"/>
      <c r="AE109" s="91"/>
      <c r="AF109" s="36">
        <v>1</v>
      </c>
      <c r="AG109" s="34">
        <f>VLOOKUP($G109,TableInputsData[],$AG$2,FALSE)</f>
        <v>0</v>
      </c>
      <c r="AH109" s="536"/>
      <c r="AI109" s="294"/>
    </row>
    <row r="110" spans="1:35" x14ac:dyDescent="0.2">
      <c r="A110" s="294"/>
      <c r="B110" s="944"/>
      <c r="C110" s="70">
        <v>1</v>
      </c>
      <c r="D110" s="3" t="s">
        <v>618</v>
      </c>
      <c r="E110" s="6" t="s">
        <v>619</v>
      </c>
      <c r="F110" s="6" t="s">
        <v>21</v>
      </c>
      <c r="G110" s="3" t="s">
        <v>1718</v>
      </c>
      <c r="H110" s="5" t="str">
        <f>VLOOKUP($G110,TableInputsData[],6,FALSE)</f>
        <v>-</v>
      </c>
      <c r="I110" s="5" t="str">
        <f>VLOOKUP("SEE InputsData SHEET",TableInputsData[],ReadMe!$M$3,FALSE)</f>
        <v>VOIR FEUILLE InputData</v>
      </c>
      <c r="J110" s="26"/>
      <c r="K110" s="135"/>
      <c r="L110" s="127"/>
      <c r="M110" s="134"/>
      <c r="N110" s="60"/>
      <c r="O110" s="4">
        <f>$AG110*GETPIVOTDATA("Sum of TOTAL YEAR",RevenuePivot!$BT$12,"YEAR",O$5,"REFERENCE PRODUCT / SERVICE",$G110,"ITEM","COST OF GOODS SOLD")</f>
        <v>0</v>
      </c>
      <c r="P110" s="4">
        <f>$AG110*GETPIVOTDATA("Sum of TOTAL YEAR",RevenuePivot!$BT$12,"YEAR",P$5,"REFERENCE PRODUCT / SERVICE",$G110,"ITEM","COST OF GOODS SOLD")</f>
        <v>0</v>
      </c>
      <c r="Q110" s="4">
        <f>$AG110*GETPIVOTDATA("Sum of SEMESTRE 1",RevenuePivot!$BT$12,"YEAR",Q$5,"REFERENCE PRODUCT / SERVICE",$G110,"ITEM","COST OF GOODS SOLD")</f>
        <v>0</v>
      </c>
      <c r="R110" s="4">
        <f>$AG110*GETPIVOTDATA("Sum of SEMESTRE 2",RevenuePivot!$BT$12,"YEAR",R$5,"REFERENCE PRODUCT / SERVICE",$G110,"ITEM","COST OF GOODS SOLD")</f>
        <v>0</v>
      </c>
      <c r="S110" s="4">
        <f t="shared" si="58"/>
        <v>0</v>
      </c>
      <c r="T110" s="4">
        <f>$AG110*GETPIVOTDATA("Sum of TOTAL YEAR",RevenuePivot!$BT$12,"YEAR",T$5,"REFERENCE PRODUCT / SERVICE",$G110,"ITEM","COST OF GOODS SOLD")</f>
        <v>0</v>
      </c>
      <c r="U110" s="4">
        <f>$AG110*GETPIVOTDATA("Sum of TOTAL YEAR",RevenuePivot!$BT$12,"YEAR",U$5,"REFERENCE PRODUCT / SERVICE",$G110,"ITEM","COST OF GOODS SOLD")</f>
        <v>0</v>
      </c>
      <c r="V110" s="4">
        <f>$AG110*GETPIVOTDATA("Sum of TOTAL YEAR",RevenuePivot!$BT$12,"YEAR",V$5,"REFERENCE PRODUCT / SERVICE",$G110,"ITEM","COST OF GOODS SOLD")</f>
        <v>0</v>
      </c>
      <c r="W110" s="4">
        <f>$AG110*GETPIVOTDATA("Sum of TOTAL YEAR",RevenuePivot!$BT$12,"YEAR",W$5,"REFERENCE PRODUCT / SERVICE",$G110,"ITEM","COST OF GOODS SOLD")</f>
        <v>0</v>
      </c>
      <c r="X110" s="4">
        <f>$AG110*GETPIVOTDATA("Sum of TOTAL YEAR",RevenuePivot!$BT$12,"YEAR",X$5,"REFERENCE PRODUCT / SERVICE",$G110,"ITEM","COST OF GOODS SOLD")</f>
        <v>0</v>
      </c>
      <c r="Y110" s="604"/>
      <c r="Z110" s="6" t="str">
        <f>VLOOKUP($D110,TableInputsData[],ReadMe!$M$3,FALSE)&amp;"  |  "&amp;VLOOKUP($E110,TableInputsData[],ReadMe!$M$3,FALSE)&amp;"  |  "&amp;VLOOKUP($G110,TableInputsData[],ReadMe!$M$3,FALSE)</f>
        <v>CA ET MARGE BRUTE  |  COUT DES PRODUITS VENDUS  |  PRODUIT 15</v>
      </c>
      <c r="AA110" s="6"/>
      <c r="AB110" s="36">
        <f t="shared" si="59"/>
        <v>1</v>
      </c>
      <c r="AC110" s="36"/>
      <c r="AD110" s="36"/>
      <c r="AE110" s="91"/>
      <c r="AF110" s="36">
        <v>1</v>
      </c>
      <c r="AG110" s="34">
        <f>VLOOKUP($G110,TableInputsData[],$AG$2,FALSE)</f>
        <v>0</v>
      </c>
      <c r="AH110" s="536"/>
      <c r="AI110" s="294"/>
    </row>
    <row r="111" spans="1:35" x14ac:dyDescent="0.2">
      <c r="A111" s="294"/>
      <c r="B111" s="944"/>
      <c r="C111" s="70">
        <v>1</v>
      </c>
      <c r="D111" s="3" t="s">
        <v>618</v>
      </c>
      <c r="E111" s="6" t="s">
        <v>619</v>
      </c>
      <c r="F111" s="6" t="s">
        <v>21</v>
      </c>
      <c r="G111" s="3" t="s">
        <v>1720</v>
      </c>
      <c r="H111" s="5" t="str">
        <f>VLOOKUP($G111,TableInputsData[],6,FALSE)</f>
        <v>-</v>
      </c>
      <c r="I111" s="5" t="str">
        <f>VLOOKUP("SEE InputsData SHEET",TableInputsData[],ReadMe!$M$3,FALSE)</f>
        <v>VOIR FEUILLE InputData</v>
      </c>
      <c r="J111" s="26"/>
      <c r="K111" s="135"/>
      <c r="L111" s="127"/>
      <c r="M111" s="134"/>
      <c r="N111" s="60"/>
      <c r="O111" s="4">
        <f>$AG111*GETPIVOTDATA("Sum of TOTAL YEAR",RevenuePivot!$BT$12,"YEAR",O$5,"REFERENCE PRODUCT / SERVICE",$G111,"ITEM","COST OF GOODS SOLD")</f>
        <v>0</v>
      </c>
      <c r="P111" s="4">
        <f>$AG111*GETPIVOTDATA("Sum of TOTAL YEAR",RevenuePivot!$BT$12,"YEAR",P$5,"REFERENCE PRODUCT / SERVICE",$G111,"ITEM","COST OF GOODS SOLD")</f>
        <v>0</v>
      </c>
      <c r="Q111" s="4">
        <f>$AG111*GETPIVOTDATA("Sum of SEMESTRE 1",RevenuePivot!$BT$12,"YEAR",Q$5,"REFERENCE PRODUCT / SERVICE",$G111,"ITEM","COST OF GOODS SOLD")</f>
        <v>0</v>
      </c>
      <c r="R111" s="4">
        <f>$AG111*GETPIVOTDATA("Sum of SEMESTRE 2",RevenuePivot!$BT$12,"YEAR",R$5,"REFERENCE PRODUCT / SERVICE",$G111,"ITEM","COST OF GOODS SOLD")</f>
        <v>0</v>
      </c>
      <c r="S111" s="4">
        <f t="shared" si="58"/>
        <v>0</v>
      </c>
      <c r="T111" s="4">
        <f>$AG111*GETPIVOTDATA("Sum of TOTAL YEAR",RevenuePivot!$BT$12,"YEAR",T$5,"REFERENCE PRODUCT / SERVICE",$G111,"ITEM","COST OF GOODS SOLD")</f>
        <v>0</v>
      </c>
      <c r="U111" s="4">
        <f>$AG111*GETPIVOTDATA("Sum of TOTAL YEAR",RevenuePivot!$BT$12,"YEAR",U$5,"REFERENCE PRODUCT / SERVICE",$G111,"ITEM","COST OF GOODS SOLD")</f>
        <v>0</v>
      </c>
      <c r="V111" s="4">
        <f>$AG111*GETPIVOTDATA("Sum of TOTAL YEAR",RevenuePivot!$BT$12,"YEAR",V$5,"REFERENCE PRODUCT / SERVICE",$G111,"ITEM","COST OF GOODS SOLD")</f>
        <v>0</v>
      </c>
      <c r="W111" s="4">
        <f>$AG111*GETPIVOTDATA("Sum of TOTAL YEAR",RevenuePivot!$BT$12,"YEAR",W$5,"REFERENCE PRODUCT / SERVICE",$G111,"ITEM","COST OF GOODS SOLD")</f>
        <v>0</v>
      </c>
      <c r="X111" s="4">
        <f>$AG111*GETPIVOTDATA("Sum of TOTAL YEAR",RevenuePivot!$BT$12,"YEAR",X$5,"REFERENCE PRODUCT / SERVICE",$G111,"ITEM","COST OF GOODS SOLD")</f>
        <v>0</v>
      </c>
      <c r="Y111" s="604"/>
      <c r="Z111" s="6" t="str">
        <f>VLOOKUP($D111,TableInputsData[],ReadMe!$M$3,FALSE)&amp;"  |  "&amp;VLOOKUP($E111,TableInputsData[],ReadMe!$M$3,FALSE)&amp;"  |  "&amp;VLOOKUP($G111,TableInputsData[],ReadMe!$M$3,FALSE)</f>
        <v>CA ET MARGE BRUTE  |  COUT DES PRODUITS VENDUS  |  PRODUIT 16</v>
      </c>
      <c r="AA111" s="6"/>
      <c r="AB111" s="36">
        <f t="shared" si="59"/>
        <v>1</v>
      </c>
      <c r="AC111" s="36"/>
      <c r="AD111" s="36"/>
      <c r="AE111" s="91"/>
      <c r="AF111" s="36">
        <v>1</v>
      </c>
      <c r="AG111" s="34">
        <f>VLOOKUP($G111,TableInputsData[],$AG$2,FALSE)</f>
        <v>0</v>
      </c>
      <c r="AH111" s="536"/>
      <c r="AI111" s="294"/>
    </row>
    <row r="112" spans="1:35" x14ac:dyDescent="0.2">
      <c r="A112" s="294"/>
      <c r="B112" s="944"/>
      <c r="C112" s="70">
        <v>1</v>
      </c>
      <c r="D112" s="3" t="s">
        <v>618</v>
      </c>
      <c r="E112" s="6" t="s">
        <v>619</v>
      </c>
      <c r="F112" s="6" t="s">
        <v>21</v>
      </c>
      <c r="G112" s="3" t="s">
        <v>1722</v>
      </c>
      <c r="H112" s="5" t="str">
        <f>VLOOKUP($G112,TableInputsData[],6,FALSE)</f>
        <v>-</v>
      </c>
      <c r="I112" s="5" t="str">
        <f>VLOOKUP("SEE InputsData SHEET",TableInputsData[],ReadMe!$M$3,FALSE)</f>
        <v>VOIR FEUILLE InputData</v>
      </c>
      <c r="J112" s="26"/>
      <c r="K112" s="135"/>
      <c r="L112" s="127"/>
      <c r="M112" s="134"/>
      <c r="N112" s="60"/>
      <c r="O112" s="4">
        <f>$AG112*GETPIVOTDATA("Sum of TOTAL YEAR",RevenuePivot!$BT$12,"YEAR",O$5,"REFERENCE PRODUCT / SERVICE",$G112,"ITEM","COST OF GOODS SOLD")</f>
        <v>0</v>
      </c>
      <c r="P112" s="4">
        <f>$AG112*GETPIVOTDATA("Sum of TOTAL YEAR",RevenuePivot!$BT$12,"YEAR",P$5,"REFERENCE PRODUCT / SERVICE",$G112,"ITEM","COST OF GOODS SOLD")</f>
        <v>0</v>
      </c>
      <c r="Q112" s="4">
        <f>$AG112*GETPIVOTDATA("Sum of SEMESTRE 1",RevenuePivot!$BT$12,"YEAR",Q$5,"REFERENCE PRODUCT / SERVICE",$G112,"ITEM","COST OF GOODS SOLD")</f>
        <v>0</v>
      </c>
      <c r="R112" s="4">
        <f>$AG112*GETPIVOTDATA("Sum of SEMESTRE 2",RevenuePivot!$BT$12,"YEAR",R$5,"REFERENCE PRODUCT / SERVICE",$G112,"ITEM","COST OF GOODS SOLD")</f>
        <v>0</v>
      </c>
      <c r="S112" s="4">
        <f t="shared" si="58"/>
        <v>0</v>
      </c>
      <c r="T112" s="4">
        <f>$AG112*GETPIVOTDATA("Sum of TOTAL YEAR",RevenuePivot!$BT$12,"YEAR",T$5,"REFERENCE PRODUCT / SERVICE",$G112,"ITEM","COST OF GOODS SOLD")</f>
        <v>0</v>
      </c>
      <c r="U112" s="4">
        <f>$AG112*GETPIVOTDATA("Sum of TOTAL YEAR",RevenuePivot!$BT$12,"YEAR",U$5,"REFERENCE PRODUCT / SERVICE",$G112,"ITEM","COST OF GOODS SOLD")</f>
        <v>0</v>
      </c>
      <c r="V112" s="4">
        <f>$AG112*GETPIVOTDATA("Sum of TOTAL YEAR",RevenuePivot!$BT$12,"YEAR",V$5,"REFERENCE PRODUCT / SERVICE",$G112,"ITEM","COST OF GOODS SOLD")</f>
        <v>0</v>
      </c>
      <c r="W112" s="4">
        <f>$AG112*GETPIVOTDATA("Sum of TOTAL YEAR",RevenuePivot!$BT$12,"YEAR",W$5,"REFERENCE PRODUCT / SERVICE",$G112,"ITEM","COST OF GOODS SOLD")</f>
        <v>0</v>
      </c>
      <c r="X112" s="4">
        <f>$AG112*GETPIVOTDATA("Sum of TOTAL YEAR",RevenuePivot!$BT$12,"YEAR",X$5,"REFERENCE PRODUCT / SERVICE",$G112,"ITEM","COST OF GOODS SOLD")</f>
        <v>0</v>
      </c>
      <c r="Y112" s="604"/>
      <c r="Z112" s="6" t="str">
        <f>VLOOKUP($D112,TableInputsData[],ReadMe!$M$3,FALSE)&amp;"  |  "&amp;VLOOKUP($E112,TableInputsData[],ReadMe!$M$3,FALSE)&amp;"  |  "&amp;VLOOKUP($G112,TableInputsData[],ReadMe!$M$3,FALSE)</f>
        <v>CA ET MARGE BRUTE  |  COUT DES PRODUITS VENDUS  |  PRODUIT 17</v>
      </c>
      <c r="AA112" s="6"/>
      <c r="AB112" s="36">
        <f t="shared" si="59"/>
        <v>1</v>
      </c>
      <c r="AC112" s="36"/>
      <c r="AD112" s="36"/>
      <c r="AE112" s="91"/>
      <c r="AF112" s="36">
        <v>1</v>
      </c>
      <c r="AG112" s="34">
        <f>VLOOKUP($G112,TableInputsData[],$AG$2,FALSE)</f>
        <v>0</v>
      </c>
      <c r="AH112" s="536"/>
      <c r="AI112" s="294"/>
    </row>
    <row r="113" spans="1:35" x14ac:dyDescent="0.2">
      <c r="A113" s="294"/>
      <c r="B113" s="944"/>
      <c r="C113" s="70">
        <v>1</v>
      </c>
      <c r="D113" s="3" t="s">
        <v>618</v>
      </c>
      <c r="E113" s="6" t="s">
        <v>619</v>
      </c>
      <c r="F113" s="6" t="s">
        <v>21</v>
      </c>
      <c r="G113" s="3" t="s">
        <v>1724</v>
      </c>
      <c r="H113" s="5" t="str">
        <f>VLOOKUP($G113,TableInputsData[],6,FALSE)</f>
        <v>-</v>
      </c>
      <c r="I113" s="5" t="str">
        <f>VLOOKUP("SEE InputsData SHEET",TableInputsData[],ReadMe!$M$3,FALSE)</f>
        <v>VOIR FEUILLE InputData</v>
      </c>
      <c r="J113" s="26"/>
      <c r="K113" s="135"/>
      <c r="L113" s="127"/>
      <c r="M113" s="134"/>
      <c r="N113" s="60"/>
      <c r="O113" s="4">
        <f>$AG113*GETPIVOTDATA("Sum of TOTAL YEAR",RevenuePivot!$BT$12,"YEAR",O$5,"REFERENCE PRODUCT / SERVICE",$G113,"ITEM","COST OF GOODS SOLD")</f>
        <v>0</v>
      </c>
      <c r="P113" s="4">
        <f>$AG113*GETPIVOTDATA("Sum of TOTAL YEAR",RevenuePivot!$BT$12,"YEAR",P$5,"REFERENCE PRODUCT / SERVICE",$G113,"ITEM","COST OF GOODS SOLD")</f>
        <v>0</v>
      </c>
      <c r="Q113" s="4">
        <f>$AG113*GETPIVOTDATA("Sum of SEMESTRE 1",RevenuePivot!$BT$12,"YEAR",Q$5,"REFERENCE PRODUCT / SERVICE",$G113,"ITEM","COST OF GOODS SOLD")</f>
        <v>0</v>
      </c>
      <c r="R113" s="4">
        <f>$AG113*GETPIVOTDATA("Sum of SEMESTRE 2",RevenuePivot!$BT$12,"YEAR",R$5,"REFERENCE PRODUCT / SERVICE",$G113,"ITEM","COST OF GOODS SOLD")</f>
        <v>0</v>
      </c>
      <c r="S113" s="4">
        <f t="shared" si="58"/>
        <v>0</v>
      </c>
      <c r="T113" s="4">
        <f>$AG113*GETPIVOTDATA("Sum of TOTAL YEAR",RevenuePivot!$BT$12,"YEAR",T$5,"REFERENCE PRODUCT / SERVICE",$G113,"ITEM","COST OF GOODS SOLD")</f>
        <v>0</v>
      </c>
      <c r="U113" s="4">
        <f>$AG113*GETPIVOTDATA("Sum of TOTAL YEAR",RevenuePivot!$BT$12,"YEAR",U$5,"REFERENCE PRODUCT / SERVICE",$G113,"ITEM","COST OF GOODS SOLD")</f>
        <v>0</v>
      </c>
      <c r="V113" s="4">
        <f>$AG113*GETPIVOTDATA("Sum of TOTAL YEAR",RevenuePivot!$BT$12,"YEAR",V$5,"REFERENCE PRODUCT / SERVICE",$G113,"ITEM","COST OF GOODS SOLD")</f>
        <v>0</v>
      </c>
      <c r="W113" s="4">
        <f>$AG113*GETPIVOTDATA("Sum of TOTAL YEAR",RevenuePivot!$BT$12,"YEAR",W$5,"REFERENCE PRODUCT / SERVICE",$G113,"ITEM","COST OF GOODS SOLD")</f>
        <v>0</v>
      </c>
      <c r="X113" s="4">
        <f>$AG113*GETPIVOTDATA("Sum of TOTAL YEAR",RevenuePivot!$BT$12,"YEAR",X$5,"REFERENCE PRODUCT / SERVICE",$G113,"ITEM","COST OF GOODS SOLD")</f>
        <v>0</v>
      </c>
      <c r="Y113" s="604"/>
      <c r="Z113" s="6" t="str">
        <f>VLOOKUP($D113,TableInputsData[],ReadMe!$M$3,FALSE)&amp;"  |  "&amp;VLOOKUP($E113,TableInputsData[],ReadMe!$M$3,FALSE)&amp;"  |  "&amp;VLOOKUP($G113,TableInputsData[],ReadMe!$M$3,FALSE)</f>
        <v>CA ET MARGE BRUTE  |  COUT DES PRODUITS VENDUS  |  PRODUIT 18</v>
      </c>
      <c r="AA113" s="6"/>
      <c r="AB113" s="36">
        <f t="shared" si="59"/>
        <v>1</v>
      </c>
      <c r="AC113" s="36"/>
      <c r="AD113" s="36"/>
      <c r="AE113" s="91"/>
      <c r="AF113" s="36">
        <v>1</v>
      </c>
      <c r="AG113" s="34">
        <f>VLOOKUP($G113,TableInputsData[],$AG$2,FALSE)</f>
        <v>0</v>
      </c>
      <c r="AH113" s="536"/>
      <c r="AI113" s="294"/>
    </row>
    <row r="114" spans="1:35" x14ac:dyDescent="0.2">
      <c r="A114" s="294"/>
      <c r="B114" s="944"/>
      <c r="C114" s="70">
        <v>1</v>
      </c>
      <c r="D114" s="3" t="s">
        <v>618</v>
      </c>
      <c r="E114" s="6" t="s">
        <v>619</v>
      </c>
      <c r="F114" s="6" t="s">
        <v>21</v>
      </c>
      <c r="G114" s="3" t="s">
        <v>1726</v>
      </c>
      <c r="H114" s="5" t="str">
        <f>VLOOKUP($G114,TableInputsData[],6,FALSE)</f>
        <v>-</v>
      </c>
      <c r="I114" s="5" t="str">
        <f>VLOOKUP("SEE InputsData SHEET",TableInputsData[],ReadMe!$M$3,FALSE)</f>
        <v>VOIR FEUILLE InputData</v>
      </c>
      <c r="J114" s="26"/>
      <c r="K114" s="135"/>
      <c r="L114" s="127"/>
      <c r="M114" s="134"/>
      <c r="N114" s="60"/>
      <c r="O114" s="4">
        <f>$AG114*GETPIVOTDATA("Sum of TOTAL YEAR",RevenuePivot!$BT$12,"YEAR",O$5,"REFERENCE PRODUCT / SERVICE",$G114,"ITEM","COST OF GOODS SOLD")</f>
        <v>0</v>
      </c>
      <c r="P114" s="4">
        <f>$AG114*GETPIVOTDATA("Sum of TOTAL YEAR",RevenuePivot!$BT$12,"YEAR",P$5,"REFERENCE PRODUCT / SERVICE",$G114,"ITEM","COST OF GOODS SOLD")</f>
        <v>0</v>
      </c>
      <c r="Q114" s="4">
        <f>$AG114*GETPIVOTDATA("Sum of SEMESTRE 1",RevenuePivot!$BT$12,"YEAR",Q$5,"REFERENCE PRODUCT / SERVICE",$G114,"ITEM","COST OF GOODS SOLD")</f>
        <v>0</v>
      </c>
      <c r="R114" s="4">
        <f>$AG114*GETPIVOTDATA("Sum of SEMESTRE 2",RevenuePivot!$BT$12,"YEAR",R$5,"REFERENCE PRODUCT / SERVICE",$G114,"ITEM","COST OF GOODS SOLD")</f>
        <v>0</v>
      </c>
      <c r="S114" s="4">
        <f t="shared" si="58"/>
        <v>0</v>
      </c>
      <c r="T114" s="4">
        <f>$AG114*GETPIVOTDATA("Sum of TOTAL YEAR",RevenuePivot!$BT$12,"YEAR",T$5,"REFERENCE PRODUCT / SERVICE",$G114,"ITEM","COST OF GOODS SOLD")</f>
        <v>0</v>
      </c>
      <c r="U114" s="4">
        <f>$AG114*GETPIVOTDATA("Sum of TOTAL YEAR",RevenuePivot!$BT$12,"YEAR",U$5,"REFERENCE PRODUCT / SERVICE",$G114,"ITEM","COST OF GOODS SOLD")</f>
        <v>0</v>
      </c>
      <c r="V114" s="4">
        <f>$AG114*GETPIVOTDATA("Sum of TOTAL YEAR",RevenuePivot!$BT$12,"YEAR",V$5,"REFERENCE PRODUCT / SERVICE",$G114,"ITEM","COST OF GOODS SOLD")</f>
        <v>0</v>
      </c>
      <c r="W114" s="4">
        <f>$AG114*GETPIVOTDATA("Sum of TOTAL YEAR",RevenuePivot!$BT$12,"YEAR",W$5,"REFERENCE PRODUCT / SERVICE",$G114,"ITEM","COST OF GOODS SOLD")</f>
        <v>0</v>
      </c>
      <c r="X114" s="4">
        <f>$AG114*GETPIVOTDATA("Sum of TOTAL YEAR",RevenuePivot!$BT$12,"YEAR",X$5,"REFERENCE PRODUCT / SERVICE",$G114,"ITEM","COST OF GOODS SOLD")</f>
        <v>0</v>
      </c>
      <c r="Y114" s="604"/>
      <c r="Z114" s="6" t="str">
        <f>VLOOKUP($D114,TableInputsData[],ReadMe!$M$3,FALSE)&amp;"  |  "&amp;VLOOKUP($E114,TableInputsData[],ReadMe!$M$3,FALSE)&amp;"  |  "&amp;VLOOKUP($G114,TableInputsData[],ReadMe!$M$3,FALSE)</f>
        <v>CA ET MARGE BRUTE  |  COUT DES PRODUITS VENDUS  |  PRODUIT 19</v>
      </c>
      <c r="AA114" s="6"/>
      <c r="AB114" s="36">
        <f t="shared" si="59"/>
        <v>1</v>
      </c>
      <c r="AC114" s="36"/>
      <c r="AD114" s="36"/>
      <c r="AE114" s="91"/>
      <c r="AF114" s="36">
        <v>1</v>
      </c>
      <c r="AG114" s="34">
        <f>VLOOKUP($G114,TableInputsData[],$AG$2,FALSE)</f>
        <v>0</v>
      </c>
      <c r="AH114" s="536"/>
      <c r="AI114" s="294"/>
    </row>
    <row r="115" spans="1:35" x14ac:dyDescent="0.2">
      <c r="A115" s="294"/>
      <c r="B115" s="944"/>
      <c r="C115" s="70">
        <v>1</v>
      </c>
      <c r="D115" s="3" t="s">
        <v>618</v>
      </c>
      <c r="E115" s="6" t="s">
        <v>619</v>
      </c>
      <c r="F115" s="6" t="s">
        <v>21</v>
      </c>
      <c r="G115" s="3" t="s">
        <v>1728</v>
      </c>
      <c r="H115" s="5" t="str">
        <f>VLOOKUP($G115,TableInputsData[],6,FALSE)</f>
        <v>-</v>
      </c>
      <c r="I115" s="5" t="str">
        <f>VLOOKUP("SEE InputsData SHEET",TableInputsData[],ReadMe!$M$3,FALSE)</f>
        <v>VOIR FEUILLE InputData</v>
      </c>
      <c r="J115" s="26"/>
      <c r="K115" s="135"/>
      <c r="L115" s="127"/>
      <c r="M115" s="134"/>
      <c r="N115" s="60"/>
      <c r="O115" s="4">
        <f>$AG115*GETPIVOTDATA("Sum of TOTAL YEAR",RevenuePivot!$BT$12,"YEAR",O$5,"REFERENCE PRODUCT / SERVICE",$G115,"ITEM","COST OF GOODS SOLD")</f>
        <v>0</v>
      </c>
      <c r="P115" s="4">
        <f>$AG115*GETPIVOTDATA("Sum of TOTAL YEAR",RevenuePivot!$BT$12,"YEAR",P$5,"REFERENCE PRODUCT / SERVICE",$G115,"ITEM","COST OF GOODS SOLD")</f>
        <v>0</v>
      </c>
      <c r="Q115" s="4">
        <f>$AG115*GETPIVOTDATA("Sum of SEMESTRE 1",RevenuePivot!$BT$12,"YEAR",Q$5,"REFERENCE PRODUCT / SERVICE",$G115,"ITEM","COST OF GOODS SOLD")</f>
        <v>0</v>
      </c>
      <c r="R115" s="4">
        <f>$AG115*GETPIVOTDATA("Sum of SEMESTRE 2",RevenuePivot!$BT$12,"YEAR",R$5,"REFERENCE PRODUCT / SERVICE",$G115,"ITEM","COST OF GOODS SOLD")</f>
        <v>0</v>
      </c>
      <c r="S115" s="4">
        <f t="shared" si="58"/>
        <v>0</v>
      </c>
      <c r="T115" s="4">
        <f>$AG115*GETPIVOTDATA("Sum of TOTAL YEAR",RevenuePivot!$BT$12,"YEAR",T$5,"REFERENCE PRODUCT / SERVICE",$G115,"ITEM","COST OF GOODS SOLD")</f>
        <v>0</v>
      </c>
      <c r="U115" s="4">
        <f>$AG115*GETPIVOTDATA("Sum of TOTAL YEAR",RevenuePivot!$BT$12,"YEAR",U$5,"REFERENCE PRODUCT / SERVICE",$G115,"ITEM","COST OF GOODS SOLD")</f>
        <v>0</v>
      </c>
      <c r="V115" s="4">
        <f>$AG115*GETPIVOTDATA("Sum of TOTAL YEAR",RevenuePivot!$BT$12,"YEAR",V$5,"REFERENCE PRODUCT / SERVICE",$G115,"ITEM","COST OF GOODS SOLD")</f>
        <v>0</v>
      </c>
      <c r="W115" s="4">
        <f>$AG115*GETPIVOTDATA("Sum of TOTAL YEAR",RevenuePivot!$BT$12,"YEAR",W$5,"REFERENCE PRODUCT / SERVICE",$G115,"ITEM","COST OF GOODS SOLD")</f>
        <v>0</v>
      </c>
      <c r="X115" s="4">
        <f>$AG115*GETPIVOTDATA("Sum of TOTAL YEAR",RevenuePivot!$BT$12,"YEAR",X$5,"REFERENCE PRODUCT / SERVICE",$G115,"ITEM","COST OF GOODS SOLD")</f>
        <v>0</v>
      </c>
      <c r="Y115" s="604"/>
      <c r="Z115" s="6" t="str">
        <f>VLOOKUP($D115,TableInputsData[],ReadMe!$M$3,FALSE)&amp;"  |  "&amp;VLOOKUP($E115,TableInputsData[],ReadMe!$M$3,FALSE)&amp;"  |  "&amp;VLOOKUP($G115,TableInputsData[],ReadMe!$M$3,FALSE)</f>
        <v>CA ET MARGE BRUTE  |  COUT DES PRODUITS VENDUS  |  PRODUIT 20</v>
      </c>
      <c r="AA115" s="6"/>
      <c r="AB115" s="36">
        <f t="shared" si="59"/>
        <v>1</v>
      </c>
      <c r="AC115" s="36"/>
      <c r="AD115" s="36"/>
      <c r="AE115" s="91"/>
      <c r="AF115" s="36">
        <v>1</v>
      </c>
      <c r="AG115" s="34">
        <f>VLOOKUP($G115,TableInputsData[],$AG$2,FALSE)</f>
        <v>0</v>
      </c>
      <c r="AH115" s="536"/>
      <c r="AI115" s="294"/>
    </row>
    <row r="116" spans="1:35" x14ac:dyDescent="0.2">
      <c r="A116" s="294"/>
      <c r="B116" s="944"/>
      <c r="C116" s="67">
        <v>1</v>
      </c>
      <c r="D116" s="16" t="s">
        <v>618</v>
      </c>
      <c r="E116" s="16" t="s">
        <v>619</v>
      </c>
      <c r="F116" s="16" t="s">
        <v>21</v>
      </c>
      <c r="G116" s="16" t="s">
        <v>588</v>
      </c>
      <c r="H116" s="17" t="s">
        <v>29</v>
      </c>
      <c r="I116" s="17"/>
      <c r="J116" s="27"/>
      <c r="K116" s="27"/>
      <c r="L116" s="97"/>
      <c r="M116" s="112"/>
      <c r="N116" s="18"/>
      <c r="O116" s="18">
        <f>SUM(O96:O115)</f>
        <v>0</v>
      </c>
      <c r="P116" s="18">
        <f t="shared" ref="P116:W116" si="60">SUM(P96:P115)</f>
        <v>0</v>
      </c>
      <c r="Q116" s="18">
        <f t="shared" si="60"/>
        <v>0</v>
      </c>
      <c r="R116" s="18">
        <f t="shared" si="60"/>
        <v>0</v>
      </c>
      <c r="S116" s="18">
        <f t="shared" si="60"/>
        <v>0</v>
      </c>
      <c r="T116" s="18">
        <f t="shared" si="60"/>
        <v>0</v>
      </c>
      <c r="U116" s="18">
        <f t="shared" si="60"/>
        <v>0</v>
      </c>
      <c r="V116" s="18">
        <f t="shared" si="60"/>
        <v>0</v>
      </c>
      <c r="W116" s="18">
        <f t="shared" si="60"/>
        <v>0</v>
      </c>
      <c r="X116" s="18">
        <f>SUM(X96:X115)</f>
        <v>0</v>
      </c>
      <c r="Y116" s="18"/>
      <c r="Z116" s="16" t="str">
        <f>VLOOKUP($D116,TableInputsData[],ReadMe!$M$3,FALSE)&amp;"  |  "&amp;VLOOKUP($E116,TableInputsData[],ReadMe!$M$3,FALSE)&amp;"  |  "&amp;VLOOKUP($G116,TableInputsData[],ReadMe!$M$3,FALSE)</f>
        <v>CA ET MARGE BRUTE  |  COUT DES PRODUITS VENDUS  |  PRODUIT</v>
      </c>
      <c r="AA116" s="371" t="b">
        <f>EXACT(SUM(TableFinanceData[[#This Row],[YEAR-2]:[YEAR6]])-TableFinanceData[[#This Row],[CURRENT YEAR]],IF(ISBLANK(GETPIVOTDATA("TOTAL YEAR",RevenuePivot!$BK$13,"TYPE PRODUCT / SERVICE","PRODUCT","ITEM","COST OF GOODS SOLD")),0,GETPIVOTDATA("TOTAL YEAR",RevenuePivot!$BK$13,"TYPE PRODUCT / SERVICE","PRODUCT","ITEM","COST OF GOODS SOLD")))</f>
        <v>1</v>
      </c>
      <c r="AB116" s="27">
        <v>1</v>
      </c>
      <c r="AC116" s="27">
        <v>3</v>
      </c>
      <c r="AD116" s="27"/>
      <c r="AE116" s="27"/>
      <c r="AF116" s="27">
        <v>1</v>
      </c>
      <c r="AG116" s="27"/>
      <c r="AH116" s="533"/>
      <c r="AI116" s="294"/>
    </row>
    <row r="117" spans="1:35" x14ac:dyDescent="0.2">
      <c r="A117" s="294"/>
      <c r="B117" s="944"/>
      <c r="C117" s="71">
        <v>1</v>
      </c>
      <c r="D117" s="8"/>
      <c r="E117" s="8"/>
      <c r="F117" s="8"/>
      <c r="G117" s="8"/>
      <c r="H117" s="9"/>
      <c r="I117" s="9"/>
      <c r="J117" s="87"/>
      <c r="K117" s="87"/>
      <c r="L117" s="98"/>
      <c r="M117" s="113"/>
      <c r="N117" s="10"/>
      <c r="O117" s="10"/>
      <c r="P117" s="10"/>
      <c r="Q117" s="10"/>
      <c r="R117" s="10"/>
      <c r="S117" s="10"/>
      <c r="T117" s="10"/>
      <c r="U117" s="10"/>
      <c r="V117" s="10"/>
      <c r="W117" s="10"/>
      <c r="X117" s="10"/>
      <c r="Y117" s="10"/>
      <c r="Z117" s="8"/>
      <c r="AA117" s="8"/>
      <c r="AB117" s="35"/>
      <c r="AC117" s="35"/>
      <c r="AD117" s="35"/>
      <c r="AE117" s="87"/>
      <c r="AF117" s="35"/>
      <c r="AG117" s="35"/>
      <c r="AH117" s="534"/>
      <c r="AI117" s="294"/>
    </row>
    <row r="118" spans="1:35" x14ac:dyDescent="0.2">
      <c r="A118" s="294"/>
      <c r="B118" s="944"/>
      <c r="C118" s="66">
        <v>1</v>
      </c>
      <c r="D118" s="3" t="s">
        <v>618</v>
      </c>
      <c r="E118" s="3" t="s">
        <v>620</v>
      </c>
      <c r="F118" s="3" t="s">
        <v>21</v>
      </c>
      <c r="G118" s="3" t="s">
        <v>537</v>
      </c>
      <c r="H118" s="5" t="str">
        <f>VLOOKUP($G118,TableInputsData[],6,FALSE)</f>
        <v>XYZ</v>
      </c>
      <c r="I118" s="5" t="str">
        <f>VLOOKUP("SEE InputsData SHEET",TableInputsData[],ReadMe!$M$3,FALSE)</f>
        <v>VOIR FEUILLE InputData</v>
      </c>
      <c r="J118" s="26"/>
      <c r="K118" s="135"/>
      <c r="L118" s="127"/>
      <c r="M118" s="134"/>
      <c r="N118" s="60"/>
      <c r="O118" s="4">
        <f t="shared" ref="O118:X118" si="61">O52-O96</f>
        <v>0</v>
      </c>
      <c r="P118" s="4">
        <f t="shared" si="61"/>
        <v>0</v>
      </c>
      <c r="Q118" s="4">
        <f t="shared" si="61"/>
        <v>0</v>
      </c>
      <c r="R118" s="4">
        <f t="shared" si="61"/>
        <v>0</v>
      </c>
      <c r="S118" s="4">
        <f t="shared" si="61"/>
        <v>0</v>
      </c>
      <c r="T118" s="4">
        <f t="shared" si="61"/>
        <v>0</v>
      </c>
      <c r="U118" s="4">
        <f t="shared" si="61"/>
        <v>0</v>
      </c>
      <c r="V118" s="4">
        <f t="shared" si="61"/>
        <v>0</v>
      </c>
      <c r="W118" s="4">
        <f t="shared" si="61"/>
        <v>0</v>
      </c>
      <c r="X118" s="4">
        <f t="shared" si="61"/>
        <v>0</v>
      </c>
      <c r="Y118" s="604"/>
      <c r="Z118" s="3" t="str">
        <f>VLOOKUP($D118,TableInputsData[],ReadMe!$M$3,FALSE)&amp;"  |  "&amp;VLOOKUP($E118,TableInputsData[],ReadMe!$M$3,FALSE)&amp;"  |  "&amp;VLOOKUP($G118,TableInputsData[],ReadMe!$M$3,FALSE)</f>
        <v>CA ET MARGE BRUTE  |  MARGE BRUTE PRODUITS  |  PRODUIT 01</v>
      </c>
      <c r="AA118" s="3"/>
      <c r="AB118" s="34">
        <f>IF(AND(SUM(O118:X118)=0,H118=""),0,1)</f>
        <v>1</v>
      </c>
      <c r="AC118" s="34"/>
      <c r="AD118" s="34"/>
      <c r="AE118" s="26"/>
      <c r="AF118" s="34">
        <v>1</v>
      </c>
      <c r="AG118" s="34">
        <f>VLOOKUP($G118,TableInputsData[],$AG$2,FALSE)</f>
        <v>1</v>
      </c>
      <c r="AH118" s="535"/>
      <c r="AI118" s="294"/>
    </row>
    <row r="119" spans="1:35" x14ac:dyDescent="0.2">
      <c r="A119" s="294"/>
      <c r="B119" s="944"/>
      <c r="C119" s="66">
        <v>1</v>
      </c>
      <c r="D119" s="3" t="s">
        <v>618</v>
      </c>
      <c r="E119" s="3" t="s">
        <v>620</v>
      </c>
      <c r="F119" s="3" t="s">
        <v>21</v>
      </c>
      <c r="G119" s="3" t="s">
        <v>538</v>
      </c>
      <c r="H119" s="5" t="str">
        <f>VLOOKUP($G119,TableInputsData[],6,FALSE)</f>
        <v>ABC</v>
      </c>
      <c r="I119" s="5" t="str">
        <f>VLOOKUP("SEE InputsData SHEET",TableInputsData[],ReadMe!$M$3,FALSE)</f>
        <v>VOIR FEUILLE InputData</v>
      </c>
      <c r="J119" s="26"/>
      <c r="K119" s="135"/>
      <c r="L119" s="127"/>
      <c r="M119" s="134"/>
      <c r="N119" s="60"/>
      <c r="O119" s="4">
        <f t="shared" ref="O119:X119" si="62">O53-O97</f>
        <v>0</v>
      </c>
      <c r="P119" s="4">
        <f t="shared" si="62"/>
        <v>0</v>
      </c>
      <c r="Q119" s="4">
        <f t="shared" si="62"/>
        <v>0</v>
      </c>
      <c r="R119" s="4">
        <f t="shared" si="62"/>
        <v>0</v>
      </c>
      <c r="S119" s="4">
        <f t="shared" si="62"/>
        <v>0</v>
      </c>
      <c r="T119" s="4">
        <f t="shared" si="62"/>
        <v>0</v>
      </c>
      <c r="U119" s="4">
        <f t="shared" si="62"/>
        <v>0</v>
      </c>
      <c r="V119" s="4">
        <f t="shared" si="62"/>
        <v>0</v>
      </c>
      <c r="W119" s="4">
        <f t="shared" si="62"/>
        <v>0</v>
      </c>
      <c r="X119" s="4">
        <f t="shared" si="62"/>
        <v>0</v>
      </c>
      <c r="Y119" s="604"/>
      <c r="Z119" s="3" t="str">
        <f>VLOOKUP($D119,TableInputsData[],ReadMe!$M$3,FALSE)&amp;"  |  "&amp;VLOOKUP($E119,TableInputsData[],ReadMe!$M$3,FALSE)&amp;"  |  "&amp;VLOOKUP($G119,TableInputsData[],ReadMe!$M$3,FALSE)</f>
        <v>CA ET MARGE BRUTE  |  MARGE BRUTE PRODUITS  |  PRODUIT 02</v>
      </c>
      <c r="AA119" s="3"/>
      <c r="AB119" s="34">
        <f t="shared" ref="AB119:AB127" si="63">IF(AND(SUM(O119:X119)=0,H119=""),0,1)</f>
        <v>1</v>
      </c>
      <c r="AC119" s="34"/>
      <c r="AD119" s="34"/>
      <c r="AE119" s="26"/>
      <c r="AF119" s="34">
        <v>1</v>
      </c>
      <c r="AG119" s="34">
        <f>VLOOKUP($G119,TableInputsData[],$AG$2,FALSE)</f>
        <v>1</v>
      </c>
      <c r="AH119" s="535"/>
      <c r="AI119" s="294"/>
    </row>
    <row r="120" spans="1:35" x14ac:dyDescent="0.2">
      <c r="A120" s="294"/>
      <c r="B120" s="944"/>
      <c r="C120" s="66">
        <v>1</v>
      </c>
      <c r="D120" s="3" t="s">
        <v>618</v>
      </c>
      <c r="E120" s="3" t="s">
        <v>620</v>
      </c>
      <c r="F120" s="3" t="s">
        <v>21</v>
      </c>
      <c r="G120" s="3" t="s">
        <v>539</v>
      </c>
      <c r="H120" s="5" t="str">
        <f>VLOOKUP($G120,TableInputsData[],6,FALSE)</f>
        <v>-</v>
      </c>
      <c r="I120" s="5" t="str">
        <f>VLOOKUP("SEE InputsData SHEET",TableInputsData[],ReadMe!$M$3,FALSE)</f>
        <v>VOIR FEUILLE InputData</v>
      </c>
      <c r="J120" s="26"/>
      <c r="K120" s="135"/>
      <c r="L120" s="127"/>
      <c r="M120" s="134"/>
      <c r="N120" s="60"/>
      <c r="O120" s="4">
        <f t="shared" ref="O120:X120" si="64">O54-O98</f>
        <v>0</v>
      </c>
      <c r="P120" s="4">
        <f t="shared" si="64"/>
        <v>0</v>
      </c>
      <c r="Q120" s="4">
        <f t="shared" si="64"/>
        <v>0</v>
      </c>
      <c r="R120" s="4">
        <f t="shared" si="64"/>
        <v>0</v>
      </c>
      <c r="S120" s="4">
        <f t="shared" si="64"/>
        <v>0</v>
      </c>
      <c r="T120" s="4">
        <f t="shared" si="64"/>
        <v>0</v>
      </c>
      <c r="U120" s="4">
        <f t="shared" si="64"/>
        <v>0</v>
      </c>
      <c r="V120" s="4">
        <f t="shared" si="64"/>
        <v>0</v>
      </c>
      <c r="W120" s="4">
        <f t="shared" si="64"/>
        <v>0</v>
      </c>
      <c r="X120" s="4">
        <f t="shared" si="64"/>
        <v>0</v>
      </c>
      <c r="Y120" s="604"/>
      <c r="Z120" s="3" t="str">
        <f>VLOOKUP($D120,TableInputsData[],ReadMe!$M$3,FALSE)&amp;"  |  "&amp;VLOOKUP($E120,TableInputsData[],ReadMe!$M$3,FALSE)&amp;"  |  "&amp;VLOOKUP($G120,TableInputsData[],ReadMe!$M$3,FALSE)</f>
        <v>CA ET MARGE BRUTE  |  MARGE BRUTE PRODUITS  |  PRODUIT 03</v>
      </c>
      <c r="AA120" s="3"/>
      <c r="AB120" s="34">
        <f t="shared" si="63"/>
        <v>1</v>
      </c>
      <c r="AC120" s="34"/>
      <c r="AD120" s="34"/>
      <c r="AE120" s="26"/>
      <c r="AF120" s="34">
        <v>1</v>
      </c>
      <c r="AG120" s="34">
        <f>VLOOKUP($G120,TableInputsData[],$AG$2,FALSE)</f>
        <v>0</v>
      </c>
      <c r="AH120" s="535"/>
      <c r="AI120" s="294"/>
    </row>
    <row r="121" spans="1:35" x14ac:dyDescent="0.2">
      <c r="A121" s="294"/>
      <c r="B121" s="944"/>
      <c r="C121" s="66">
        <v>1</v>
      </c>
      <c r="D121" s="3" t="s">
        <v>618</v>
      </c>
      <c r="E121" s="3" t="s">
        <v>620</v>
      </c>
      <c r="F121" s="3" t="s">
        <v>21</v>
      </c>
      <c r="G121" s="3" t="s">
        <v>540</v>
      </c>
      <c r="H121" s="5" t="str">
        <f>VLOOKUP($G121,TableInputsData[],6,FALSE)</f>
        <v>-</v>
      </c>
      <c r="I121" s="5" t="str">
        <f>VLOOKUP("SEE InputsData SHEET",TableInputsData[],ReadMe!$M$3,FALSE)</f>
        <v>VOIR FEUILLE InputData</v>
      </c>
      <c r="J121" s="26"/>
      <c r="K121" s="135"/>
      <c r="L121" s="127"/>
      <c r="M121" s="134"/>
      <c r="N121" s="60"/>
      <c r="O121" s="4">
        <f t="shared" ref="O121:X121" si="65">O55-O99</f>
        <v>0</v>
      </c>
      <c r="P121" s="4">
        <f t="shared" si="65"/>
        <v>0</v>
      </c>
      <c r="Q121" s="4">
        <f t="shared" si="65"/>
        <v>0</v>
      </c>
      <c r="R121" s="4">
        <f t="shared" si="65"/>
        <v>0</v>
      </c>
      <c r="S121" s="4">
        <f t="shared" si="65"/>
        <v>0</v>
      </c>
      <c r="T121" s="4">
        <f t="shared" si="65"/>
        <v>0</v>
      </c>
      <c r="U121" s="4">
        <f t="shared" si="65"/>
        <v>0</v>
      </c>
      <c r="V121" s="4">
        <f t="shared" si="65"/>
        <v>0</v>
      </c>
      <c r="W121" s="4">
        <f t="shared" si="65"/>
        <v>0</v>
      </c>
      <c r="X121" s="4">
        <f t="shared" si="65"/>
        <v>0</v>
      </c>
      <c r="Y121" s="604"/>
      <c r="Z121" s="3" t="str">
        <f>VLOOKUP($D121,TableInputsData[],ReadMe!$M$3,FALSE)&amp;"  |  "&amp;VLOOKUP($E121,TableInputsData[],ReadMe!$M$3,FALSE)&amp;"  |  "&amp;VLOOKUP($G121,TableInputsData[],ReadMe!$M$3,FALSE)</f>
        <v>CA ET MARGE BRUTE  |  MARGE BRUTE PRODUITS  |  PRODUIT 04</v>
      </c>
      <c r="AA121" s="3"/>
      <c r="AB121" s="34">
        <f t="shared" si="63"/>
        <v>1</v>
      </c>
      <c r="AC121" s="34"/>
      <c r="AD121" s="34"/>
      <c r="AE121" s="26"/>
      <c r="AF121" s="34">
        <v>1</v>
      </c>
      <c r="AG121" s="34">
        <f>VLOOKUP($G121,TableInputsData[],$AG$2,FALSE)</f>
        <v>0</v>
      </c>
      <c r="AH121" s="535"/>
      <c r="AI121" s="294"/>
    </row>
    <row r="122" spans="1:35" x14ac:dyDescent="0.2">
      <c r="A122" s="294"/>
      <c r="B122" s="944"/>
      <c r="C122" s="66">
        <v>1</v>
      </c>
      <c r="D122" s="3" t="s">
        <v>618</v>
      </c>
      <c r="E122" s="3" t="s">
        <v>620</v>
      </c>
      <c r="F122" s="3" t="s">
        <v>21</v>
      </c>
      <c r="G122" s="3" t="s">
        <v>541</v>
      </c>
      <c r="H122" s="5" t="str">
        <f>VLOOKUP($G122,TableInputsData[],6,FALSE)</f>
        <v>-</v>
      </c>
      <c r="I122" s="5" t="str">
        <f>VLOOKUP("SEE InputsData SHEET",TableInputsData[],ReadMe!$M$3,FALSE)</f>
        <v>VOIR FEUILLE InputData</v>
      </c>
      <c r="J122" s="26"/>
      <c r="K122" s="135"/>
      <c r="L122" s="127"/>
      <c r="M122" s="134"/>
      <c r="N122" s="60"/>
      <c r="O122" s="4">
        <f t="shared" ref="O122:X122" si="66">O56-O100</f>
        <v>0</v>
      </c>
      <c r="P122" s="4">
        <f t="shared" si="66"/>
        <v>0</v>
      </c>
      <c r="Q122" s="4">
        <f t="shared" si="66"/>
        <v>0</v>
      </c>
      <c r="R122" s="4">
        <f t="shared" si="66"/>
        <v>0</v>
      </c>
      <c r="S122" s="4">
        <f t="shared" si="66"/>
        <v>0</v>
      </c>
      <c r="T122" s="4">
        <f t="shared" si="66"/>
        <v>0</v>
      </c>
      <c r="U122" s="4">
        <f t="shared" si="66"/>
        <v>0</v>
      </c>
      <c r="V122" s="4">
        <f t="shared" si="66"/>
        <v>0</v>
      </c>
      <c r="W122" s="4">
        <f t="shared" si="66"/>
        <v>0</v>
      </c>
      <c r="X122" s="4">
        <f t="shared" si="66"/>
        <v>0</v>
      </c>
      <c r="Y122" s="604"/>
      <c r="Z122" s="3" t="str">
        <f>VLOOKUP($D122,TableInputsData[],ReadMe!$M$3,FALSE)&amp;"  |  "&amp;VLOOKUP($E122,TableInputsData[],ReadMe!$M$3,FALSE)&amp;"  |  "&amp;VLOOKUP($G122,TableInputsData[],ReadMe!$M$3,FALSE)</f>
        <v>CA ET MARGE BRUTE  |  MARGE BRUTE PRODUITS  |  PRODUIT 05</v>
      </c>
      <c r="AA122" s="3"/>
      <c r="AB122" s="34">
        <f t="shared" si="63"/>
        <v>1</v>
      </c>
      <c r="AC122" s="34"/>
      <c r="AD122" s="34"/>
      <c r="AE122" s="26"/>
      <c r="AF122" s="34">
        <v>1</v>
      </c>
      <c r="AG122" s="34">
        <f>VLOOKUP($G122,TableInputsData[],$AG$2,FALSE)</f>
        <v>0</v>
      </c>
      <c r="AH122" s="535"/>
      <c r="AI122" s="294"/>
    </row>
    <row r="123" spans="1:35" x14ac:dyDescent="0.2">
      <c r="A123" s="294"/>
      <c r="B123" s="944"/>
      <c r="C123" s="66">
        <v>1</v>
      </c>
      <c r="D123" s="3" t="s">
        <v>618</v>
      </c>
      <c r="E123" s="3" t="s">
        <v>620</v>
      </c>
      <c r="F123" s="3" t="s">
        <v>21</v>
      </c>
      <c r="G123" s="3" t="s">
        <v>542</v>
      </c>
      <c r="H123" s="5" t="str">
        <f>VLOOKUP($G123,TableInputsData[],6,FALSE)</f>
        <v>-</v>
      </c>
      <c r="I123" s="5" t="str">
        <f>VLOOKUP("SEE InputsData SHEET",TableInputsData[],ReadMe!$M$3,FALSE)</f>
        <v>VOIR FEUILLE InputData</v>
      </c>
      <c r="J123" s="26"/>
      <c r="K123" s="135"/>
      <c r="L123" s="127"/>
      <c r="M123" s="134"/>
      <c r="N123" s="60"/>
      <c r="O123" s="4">
        <f t="shared" ref="O123:X123" si="67">O57-O101</f>
        <v>0</v>
      </c>
      <c r="P123" s="4">
        <f t="shared" si="67"/>
        <v>0</v>
      </c>
      <c r="Q123" s="4">
        <f t="shared" si="67"/>
        <v>0</v>
      </c>
      <c r="R123" s="4">
        <f t="shared" si="67"/>
        <v>0</v>
      </c>
      <c r="S123" s="4">
        <f t="shared" si="67"/>
        <v>0</v>
      </c>
      <c r="T123" s="4">
        <f t="shared" si="67"/>
        <v>0</v>
      </c>
      <c r="U123" s="4">
        <f t="shared" si="67"/>
        <v>0</v>
      </c>
      <c r="V123" s="4">
        <f t="shared" si="67"/>
        <v>0</v>
      </c>
      <c r="W123" s="4">
        <f t="shared" si="67"/>
        <v>0</v>
      </c>
      <c r="X123" s="4">
        <f t="shared" si="67"/>
        <v>0</v>
      </c>
      <c r="Y123" s="604"/>
      <c r="Z123" s="3" t="str">
        <f>VLOOKUP($D123,TableInputsData[],ReadMe!$M$3,FALSE)&amp;"  |  "&amp;VLOOKUP($E123,TableInputsData[],ReadMe!$M$3,FALSE)&amp;"  |  "&amp;VLOOKUP($G123,TableInputsData[],ReadMe!$M$3,FALSE)</f>
        <v>CA ET MARGE BRUTE  |  MARGE BRUTE PRODUITS  |  PRODUIT 06</v>
      </c>
      <c r="AA123" s="3"/>
      <c r="AB123" s="34">
        <f t="shared" si="63"/>
        <v>1</v>
      </c>
      <c r="AC123" s="34"/>
      <c r="AD123" s="34"/>
      <c r="AE123" s="26"/>
      <c r="AF123" s="34">
        <v>1</v>
      </c>
      <c r="AG123" s="34">
        <f>VLOOKUP($G123,TableInputsData[],$AG$2,FALSE)</f>
        <v>0</v>
      </c>
      <c r="AH123" s="535"/>
      <c r="AI123" s="294"/>
    </row>
    <row r="124" spans="1:35" x14ac:dyDescent="0.2">
      <c r="A124" s="294"/>
      <c r="B124" s="944"/>
      <c r="C124" s="66">
        <v>1</v>
      </c>
      <c r="D124" s="3" t="s">
        <v>618</v>
      </c>
      <c r="E124" s="3" t="s">
        <v>620</v>
      </c>
      <c r="F124" s="3" t="s">
        <v>21</v>
      </c>
      <c r="G124" s="3" t="s">
        <v>543</v>
      </c>
      <c r="H124" s="5" t="str">
        <f>VLOOKUP($G124,TableInputsData[],6,FALSE)</f>
        <v>-</v>
      </c>
      <c r="I124" s="5" t="str">
        <f>VLOOKUP("SEE InputsData SHEET",TableInputsData[],ReadMe!$M$3,FALSE)</f>
        <v>VOIR FEUILLE InputData</v>
      </c>
      <c r="J124" s="26"/>
      <c r="K124" s="135"/>
      <c r="L124" s="127"/>
      <c r="M124" s="134"/>
      <c r="N124" s="60"/>
      <c r="O124" s="4">
        <f t="shared" ref="O124:X124" si="68">O58-O102</f>
        <v>0</v>
      </c>
      <c r="P124" s="4">
        <f t="shared" si="68"/>
        <v>0</v>
      </c>
      <c r="Q124" s="4">
        <f t="shared" si="68"/>
        <v>0</v>
      </c>
      <c r="R124" s="4">
        <f t="shared" si="68"/>
        <v>0</v>
      </c>
      <c r="S124" s="4">
        <f t="shared" si="68"/>
        <v>0</v>
      </c>
      <c r="T124" s="4">
        <f t="shared" si="68"/>
        <v>0</v>
      </c>
      <c r="U124" s="4">
        <f t="shared" si="68"/>
        <v>0</v>
      </c>
      <c r="V124" s="4">
        <f t="shared" si="68"/>
        <v>0</v>
      </c>
      <c r="W124" s="4">
        <f t="shared" si="68"/>
        <v>0</v>
      </c>
      <c r="X124" s="4">
        <f t="shared" si="68"/>
        <v>0</v>
      </c>
      <c r="Y124" s="604"/>
      <c r="Z124" s="3" t="str">
        <f>VLOOKUP($D124,TableInputsData[],ReadMe!$M$3,FALSE)&amp;"  |  "&amp;VLOOKUP($E124,TableInputsData[],ReadMe!$M$3,FALSE)&amp;"  |  "&amp;VLOOKUP($G124,TableInputsData[],ReadMe!$M$3,FALSE)</f>
        <v>CA ET MARGE BRUTE  |  MARGE BRUTE PRODUITS  |  PRODUIT 07</v>
      </c>
      <c r="AA124" s="3"/>
      <c r="AB124" s="34">
        <f t="shared" si="63"/>
        <v>1</v>
      </c>
      <c r="AC124" s="34"/>
      <c r="AD124" s="34"/>
      <c r="AE124" s="26"/>
      <c r="AF124" s="34">
        <v>1</v>
      </c>
      <c r="AG124" s="34">
        <f>VLOOKUP($G124,TableInputsData[],$AG$2,FALSE)</f>
        <v>0</v>
      </c>
      <c r="AH124" s="535"/>
      <c r="AI124" s="294"/>
    </row>
    <row r="125" spans="1:35" x14ac:dyDescent="0.2">
      <c r="A125" s="294"/>
      <c r="B125" s="944"/>
      <c r="C125" s="66">
        <v>1</v>
      </c>
      <c r="D125" s="3" t="s">
        <v>618</v>
      </c>
      <c r="E125" s="3" t="s">
        <v>620</v>
      </c>
      <c r="F125" s="3" t="s">
        <v>21</v>
      </c>
      <c r="G125" s="3" t="s">
        <v>544</v>
      </c>
      <c r="H125" s="5" t="str">
        <f>VLOOKUP($G125,TableInputsData[],6,FALSE)</f>
        <v>-</v>
      </c>
      <c r="I125" s="5" t="str">
        <f>VLOOKUP("SEE InputsData SHEET",TableInputsData[],ReadMe!$M$3,FALSE)</f>
        <v>VOIR FEUILLE InputData</v>
      </c>
      <c r="J125" s="26"/>
      <c r="K125" s="135"/>
      <c r="L125" s="127"/>
      <c r="M125" s="134"/>
      <c r="N125" s="60"/>
      <c r="O125" s="4">
        <f t="shared" ref="O125:X125" si="69">O59-O103</f>
        <v>0</v>
      </c>
      <c r="P125" s="4">
        <f t="shared" si="69"/>
        <v>0</v>
      </c>
      <c r="Q125" s="4">
        <f t="shared" si="69"/>
        <v>0</v>
      </c>
      <c r="R125" s="4">
        <f t="shared" si="69"/>
        <v>0</v>
      </c>
      <c r="S125" s="4">
        <f t="shared" si="69"/>
        <v>0</v>
      </c>
      <c r="T125" s="4">
        <f t="shared" si="69"/>
        <v>0</v>
      </c>
      <c r="U125" s="4">
        <f t="shared" si="69"/>
        <v>0</v>
      </c>
      <c r="V125" s="4">
        <f t="shared" si="69"/>
        <v>0</v>
      </c>
      <c r="W125" s="4">
        <f t="shared" si="69"/>
        <v>0</v>
      </c>
      <c r="X125" s="4">
        <f t="shared" si="69"/>
        <v>0</v>
      </c>
      <c r="Y125" s="604"/>
      <c r="Z125" s="3" t="str">
        <f>VLOOKUP($D125,TableInputsData[],ReadMe!$M$3,FALSE)&amp;"  |  "&amp;VLOOKUP($E125,TableInputsData[],ReadMe!$M$3,FALSE)&amp;"  |  "&amp;VLOOKUP($G125,TableInputsData[],ReadMe!$M$3,FALSE)</f>
        <v>CA ET MARGE BRUTE  |  MARGE BRUTE PRODUITS  |  PRODUIT 08</v>
      </c>
      <c r="AA125" s="3"/>
      <c r="AB125" s="34">
        <f t="shared" si="63"/>
        <v>1</v>
      </c>
      <c r="AC125" s="34"/>
      <c r="AD125" s="34"/>
      <c r="AE125" s="26"/>
      <c r="AF125" s="34">
        <v>1</v>
      </c>
      <c r="AG125" s="34">
        <f>VLOOKUP($G125,TableInputsData[],$AG$2,FALSE)</f>
        <v>0</v>
      </c>
      <c r="AH125" s="535"/>
      <c r="AI125" s="294"/>
    </row>
    <row r="126" spans="1:35" x14ac:dyDescent="0.2">
      <c r="A126" s="294"/>
      <c r="B126" s="944"/>
      <c r="C126" s="66">
        <v>1</v>
      </c>
      <c r="D126" s="3" t="s">
        <v>618</v>
      </c>
      <c r="E126" s="3" t="s">
        <v>620</v>
      </c>
      <c r="F126" s="3" t="s">
        <v>21</v>
      </c>
      <c r="G126" s="3" t="s">
        <v>545</v>
      </c>
      <c r="H126" s="5" t="str">
        <f>VLOOKUP($G126,TableInputsData[],6,FALSE)</f>
        <v>-</v>
      </c>
      <c r="I126" s="5" t="str">
        <f>VLOOKUP("SEE InputsData SHEET",TableInputsData[],ReadMe!$M$3,FALSE)</f>
        <v>VOIR FEUILLE InputData</v>
      </c>
      <c r="J126" s="26"/>
      <c r="K126" s="135"/>
      <c r="L126" s="127"/>
      <c r="M126" s="134"/>
      <c r="N126" s="60"/>
      <c r="O126" s="4">
        <f t="shared" ref="O126:X126" si="70">O60-O104</f>
        <v>0</v>
      </c>
      <c r="P126" s="4">
        <f t="shared" si="70"/>
        <v>0</v>
      </c>
      <c r="Q126" s="4">
        <f t="shared" si="70"/>
        <v>0</v>
      </c>
      <c r="R126" s="4">
        <f t="shared" si="70"/>
        <v>0</v>
      </c>
      <c r="S126" s="4">
        <f t="shared" si="70"/>
        <v>0</v>
      </c>
      <c r="T126" s="4">
        <f t="shared" si="70"/>
        <v>0</v>
      </c>
      <c r="U126" s="4">
        <f t="shared" si="70"/>
        <v>0</v>
      </c>
      <c r="V126" s="4">
        <f t="shared" si="70"/>
        <v>0</v>
      </c>
      <c r="W126" s="4">
        <f t="shared" si="70"/>
        <v>0</v>
      </c>
      <c r="X126" s="4">
        <f t="shared" si="70"/>
        <v>0</v>
      </c>
      <c r="Y126" s="604"/>
      <c r="Z126" s="3" t="str">
        <f>VLOOKUP($D126,TableInputsData[],ReadMe!$M$3,FALSE)&amp;"  |  "&amp;VLOOKUP($E126,TableInputsData[],ReadMe!$M$3,FALSE)&amp;"  |  "&amp;VLOOKUP($G126,TableInputsData[],ReadMe!$M$3,FALSE)</f>
        <v>CA ET MARGE BRUTE  |  MARGE BRUTE PRODUITS  |  PRODUIT 09</v>
      </c>
      <c r="AA126" s="3"/>
      <c r="AB126" s="34">
        <f t="shared" si="63"/>
        <v>1</v>
      </c>
      <c r="AC126" s="34"/>
      <c r="AD126" s="34"/>
      <c r="AE126" s="26"/>
      <c r="AF126" s="34">
        <v>1</v>
      </c>
      <c r="AG126" s="34">
        <f>VLOOKUP($G126,TableInputsData[],$AG$2,FALSE)</f>
        <v>0</v>
      </c>
      <c r="AH126" s="535"/>
      <c r="AI126" s="294"/>
    </row>
    <row r="127" spans="1:35" x14ac:dyDescent="0.2">
      <c r="A127" s="294"/>
      <c r="B127" s="944"/>
      <c r="C127" s="70">
        <v>1</v>
      </c>
      <c r="D127" s="3" t="s">
        <v>618</v>
      </c>
      <c r="E127" s="3" t="s">
        <v>620</v>
      </c>
      <c r="F127" s="6" t="s">
        <v>21</v>
      </c>
      <c r="G127" s="3" t="s">
        <v>401</v>
      </c>
      <c r="H127" s="5" t="str">
        <f>VLOOKUP($G127,TableInputsData[],6,FALSE)</f>
        <v>-</v>
      </c>
      <c r="I127" s="5" t="str">
        <f>VLOOKUP("SEE InputsData SHEET",TableInputsData[],ReadMe!$M$3,FALSE)</f>
        <v>VOIR FEUILLE InputData</v>
      </c>
      <c r="J127" s="26"/>
      <c r="K127" s="135"/>
      <c r="L127" s="127"/>
      <c r="M127" s="134"/>
      <c r="N127" s="60"/>
      <c r="O127" s="7">
        <f t="shared" ref="O127:X127" si="71">O61-O105</f>
        <v>0</v>
      </c>
      <c r="P127" s="7">
        <f t="shared" si="71"/>
        <v>0</v>
      </c>
      <c r="Q127" s="7">
        <f t="shared" si="71"/>
        <v>0</v>
      </c>
      <c r="R127" s="7">
        <f t="shared" si="71"/>
        <v>0</v>
      </c>
      <c r="S127" s="7">
        <f t="shared" si="71"/>
        <v>0</v>
      </c>
      <c r="T127" s="7">
        <f t="shared" si="71"/>
        <v>0</v>
      </c>
      <c r="U127" s="7">
        <f t="shared" si="71"/>
        <v>0</v>
      </c>
      <c r="V127" s="7">
        <f t="shared" si="71"/>
        <v>0</v>
      </c>
      <c r="W127" s="7">
        <f t="shared" si="71"/>
        <v>0</v>
      </c>
      <c r="X127" s="7">
        <f t="shared" si="71"/>
        <v>0</v>
      </c>
      <c r="Y127" s="604"/>
      <c r="Z127" s="6" t="str">
        <f>VLOOKUP($D127,TableInputsData[],ReadMe!$M$3,FALSE)&amp;"  |  "&amp;VLOOKUP($E127,TableInputsData[],ReadMe!$M$3,FALSE)&amp;"  |  "&amp;VLOOKUP($G127,TableInputsData[],ReadMe!$M$3,FALSE)</f>
        <v>CA ET MARGE BRUTE  |  MARGE BRUTE PRODUITS  |  PRODUIT 10</v>
      </c>
      <c r="AA127" s="6"/>
      <c r="AB127" s="36">
        <f t="shared" si="63"/>
        <v>1</v>
      </c>
      <c r="AC127" s="36"/>
      <c r="AD127" s="36"/>
      <c r="AE127" s="91"/>
      <c r="AF127" s="36">
        <v>1</v>
      </c>
      <c r="AG127" s="34">
        <f>VLOOKUP($G127,TableInputsData[],$AG$2,FALSE)</f>
        <v>0</v>
      </c>
      <c r="AH127" s="536"/>
      <c r="AI127" s="294"/>
    </row>
    <row r="128" spans="1:35" x14ac:dyDescent="0.2">
      <c r="A128" s="294"/>
      <c r="B128" s="944"/>
      <c r="C128" s="70">
        <v>1</v>
      </c>
      <c r="D128" s="3" t="s">
        <v>618</v>
      </c>
      <c r="E128" s="3" t="s">
        <v>620</v>
      </c>
      <c r="F128" s="6" t="s">
        <v>21</v>
      </c>
      <c r="G128" s="3" t="s">
        <v>1710</v>
      </c>
      <c r="H128" s="5" t="str">
        <f>VLOOKUP($G128,TableInputsData[],6,FALSE)</f>
        <v>-</v>
      </c>
      <c r="I128" s="5" t="str">
        <f>VLOOKUP("SEE InputsData SHEET",TableInputsData[],ReadMe!$M$3,FALSE)</f>
        <v>VOIR FEUILLE InputData</v>
      </c>
      <c r="J128" s="26"/>
      <c r="K128" s="135"/>
      <c r="L128" s="127"/>
      <c r="M128" s="134"/>
      <c r="N128" s="60"/>
      <c r="O128" s="7">
        <f t="shared" ref="O128:X128" si="72">O62-O106</f>
        <v>0</v>
      </c>
      <c r="P128" s="7">
        <f t="shared" si="72"/>
        <v>0</v>
      </c>
      <c r="Q128" s="7">
        <f t="shared" si="72"/>
        <v>0</v>
      </c>
      <c r="R128" s="7">
        <f t="shared" si="72"/>
        <v>0</v>
      </c>
      <c r="S128" s="7">
        <f t="shared" si="72"/>
        <v>0</v>
      </c>
      <c r="T128" s="7">
        <f t="shared" si="72"/>
        <v>0</v>
      </c>
      <c r="U128" s="7">
        <f t="shared" si="72"/>
        <v>0</v>
      </c>
      <c r="V128" s="7">
        <f t="shared" si="72"/>
        <v>0</v>
      </c>
      <c r="W128" s="7">
        <f t="shared" si="72"/>
        <v>0</v>
      </c>
      <c r="X128" s="7">
        <f t="shared" si="72"/>
        <v>0</v>
      </c>
      <c r="Y128" s="604"/>
      <c r="Z128" s="6" t="str">
        <f>VLOOKUP($D128,TableInputsData[],ReadMe!$M$3,FALSE)&amp;"  |  "&amp;VLOOKUP($E128,TableInputsData[],ReadMe!$M$3,FALSE)&amp;"  |  "&amp;VLOOKUP($G128,TableInputsData[],ReadMe!$M$3,FALSE)</f>
        <v>CA ET MARGE BRUTE  |  MARGE BRUTE PRODUITS  |  PRODUIT 11</v>
      </c>
      <c r="AA128" s="6"/>
      <c r="AB128" s="36">
        <f t="shared" ref="AB128:AB137" si="73">IF(AND(SUM(O128:X128)=0,H128=""),0,1)</f>
        <v>1</v>
      </c>
      <c r="AC128" s="36"/>
      <c r="AD128" s="36"/>
      <c r="AE128" s="91"/>
      <c r="AF128" s="36">
        <v>1</v>
      </c>
      <c r="AG128" s="34">
        <f>VLOOKUP($G128,TableInputsData[],$AG$2,FALSE)</f>
        <v>0</v>
      </c>
      <c r="AH128" s="536"/>
      <c r="AI128" s="294"/>
    </row>
    <row r="129" spans="1:35" x14ac:dyDescent="0.2">
      <c r="A129" s="294"/>
      <c r="B129" s="944"/>
      <c r="C129" s="70">
        <v>1</v>
      </c>
      <c r="D129" s="3" t="s">
        <v>618</v>
      </c>
      <c r="E129" s="3" t="s">
        <v>620</v>
      </c>
      <c r="F129" s="6" t="s">
        <v>21</v>
      </c>
      <c r="G129" s="3" t="s">
        <v>1712</v>
      </c>
      <c r="H129" s="5" t="str">
        <f>VLOOKUP($G129,TableInputsData[],6,FALSE)</f>
        <v>-</v>
      </c>
      <c r="I129" s="5" t="str">
        <f>VLOOKUP("SEE InputsData SHEET",TableInputsData[],ReadMe!$M$3,FALSE)</f>
        <v>VOIR FEUILLE InputData</v>
      </c>
      <c r="J129" s="26"/>
      <c r="K129" s="135"/>
      <c r="L129" s="127"/>
      <c r="M129" s="134"/>
      <c r="N129" s="60"/>
      <c r="O129" s="7">
        <f t="shared" ref="O129:X129" si="74">O63-O107</f>
        <v>0</v>
      </c>
      <c r="P129" s="7">
        <f t="shared" si="74"/>
        <v>0</v>
      </c>
      <c r="Q129" s="7">
        <f t="shared" si="74"/>
        <v>0</v>
      </c>
      <c r="R129" s="7">
        <f t="shared" si="74"/>
        <v>0</v>
      </c>
      <c r="S129" s="7">
        <f t="shared" si="74"/>
        <v>0</v>
      </c>
      <c r="T129" s="7">
        <f t="shared" si="74"/>
        <v>0</v>
      </c>
      <c r="U129" s="7">
        <f t="shared" si="74"/>
        <v>0</v>
      </c>
      <c r="V129" s="7">
        <f t="shared" si="74"/>
        <v>0</v>
      </c>
      <c r="W129" s="7">
        <f t="shared" si="74"/>
        <v>0</v>
      </c>
      <c r="X129" s="7">
        <f t="shared" si="74"/>
        <v>0</v>
      </c>
      <c r="Y129" s="604"/>
      <c r="Z129" s="6" t="str">
        <f>VLOOKUP($D129,TableInputsData[],ReadMe!$M$3,FALSE)&amp;"  |  "&amp;VLOOKUP($E129,TableInputsData[],ReadMe!$M$3,FALSE)&amp;"  |  "&amp;VLOOKUP($G129,TableInputsData[],ReadMe!$M$3,FALSE)</f>
        <v>CA ET MARGE BRUTE  |  MARGE BRUTE PRODUITS  |  PRODUIT 12</v>
      </c>
      <c r="AA129" s="6"/>
      <c r="AB129" s="36">
        <f t="shared" si="73"/>
        <v>1</v>
      </c>
      <c r="AC129" s="36"/>
      <c r="AD129" s="36"/>
      <c r="AE129" s="91"/>
      <c r="AF129" s="36">
        <v>1</v>
      </c>
      <c r="AG129" s="34">
        <f>VLOOKUP($G129,TableInputsData[],$AG$2,FALSE)</f>
        <v>0</v>
      </c>
      <c r="AH129" s="536"/>
      <c r="AI129" s="294"/>
    </row>
    <row r="130" spans="1:35" x14ac:dyDescent="0.2">
      <c r="A130" s="294"/>
      <c r="B130" s="944"/>
      <c r="C130" s="70">
        <v>1</v>
      </c>
      <c r="D130" s="3" t="s">
        <v>618</v>
      </c>
      <c r="E130" s="3" t="s">
        <v>620</v>
      </c>
      <c r="F130" s="6" t="s">
        <v>21</v>
      </c>
      <c r="G130" s="3" t="s">
        <v>1714</v>
      </c>
      <c r="H130" s="5" t="str">
        <f>VLOOKUP($G130,TableInputsData[],6,FALSE)</f>
        <v>-</v>
      </c>
      <c r="I130" s="5" t="str">
        <f>VLOOKUP("SEE InputsData SHEET",TableInputsData[],ReadMe!$M$3,FALSE)</f>
        <v>VOIR FEUILLE InputData</v>
      </c>
      <c r="J130" s="26"/>
      <c r="K130" s="135"/>
      <c r="L130" s="127"/>
      <c r="M130" s="134"/>
      <c r="N130" s="60"/>
      <c r="O130" s="7">
        <f>O64-O108</f>
        <v>0</v>
      </c>
      <c r="P130" s="7">
        <f t="shared" ref="P130:X130" si="75">P64-P108</f>
        <v>0</v>
      </c>
      <c r="Q130" s="7">
        <f t="shared" si="75"/>
        <v>0</v>
      </c>
      <c r="R130" s="7">
        <f t="shared" si="75"/>
        <v>0</v>
      </c>
      <c r="S130" s="7">
        <f t="shared" si="75"/>
        <v>0</v>
      </c>
      <c r="T130" s="7">
        <f t="shared" si="75"/>
        <v>0</v>
      </c>
      <c r="U130" s="7">
        <f t="shared" si="75"/>
        <v>0</v>
      </c>
      <c r="V130" s="7">
        <f t="shared" si="75"/>
        <v>0</v>
      </c>
      <c r="W130" s="7">
        <f t="shared" si="75"/>
        <v>0</v>
      </c>
      <c r="X130" s="7">
        <f t="shared" si="75"/>
        <v>0</v>
      </c>
      <c r="Y130" s="604"/>
      <c r="Z130" s="6" t="str">
        <f>VLOOKUP($D130,TableInputsData[],ReadMe!$M$3,FALSE)&amp;"  |  "&amp;VLOOKUP($E130,TableInputsData[],ReadMe!$M$3,FALSE)&amp;"  |  "&amp;VLOOKUP($G130,TableInputsData[],ReadMe!$M$3,FALSE)</f>
        <v>CA ET MARGE BRUTE  |  MARGE BRUTE PRODUITS  |  PRODUIT 13</v>
      </c>
      <c r="AA130" s="6"/>
      <c r="AB130" s="36">
        <f t="shared" si="73"/>
        <v>1</v>
      </c>
      <c r="AC130" s="36"/>
      <c r="AD130" s="36"/>
      <c r="AE130" s="91"/>
      <c r="AF130" s="36">
        <v>1</v>
      </c>
      <c r="AG130" s="34">
        <f>VLOOKUP($G130,TableInputsData[],$AG$2,FALSE)</f>
        <v>0</v>
      </c>
      <c r="AH130" s="536"/>
      <c r="AI130" s="294"/>
    </row>
    <row r="131" spans="1:35" x14ac:dyDescent="0.2">
      <c r="A131" s="294"/>
      <c r="B131" s="944"/>
      <c r="C131" s="70">
        <v>1</v>
      </c>
      <c r="D131" s="3" t="s">
        <v>618</v>
      </c>
      <c r="E131" s="3" t="s">
        <v>620</v>
      </c>
      <c r="F131" s="6" t="s">
        <v>21</v>
      </c>
      <c r="G131" s="3" t="s">
        <v>1716</v>
      </c>
      <c r="H131" s="5" t="str">
        <f>VLOOKUP($G131,TableInputsData[],6,FALSE)</f>
        <v>-</v>
      </c>
      <c r="I131" s="5" t="str">
        <f>VLOOKUP("SEE InputsData SHEET",TableInputsData[],ReadMe!$M$3,FALSE)</f>
        <v>VOIR FEUILLE InputData</v>
      </c>
      <c r="J131" s="26"/>
      <c r="K131" s="135"/>
      <c r="L131" s="127"/>
      <c r="M131" s="134"/>
      <c r="N131" s="60"/>
      <c r="O131" s="7">
        <f t="shared" ref="O131:X131" si="76">O65-O109</f>
        <v>0</v>
      </c>
      <c r="P131" s="7">
        <f t="shared" si="76"/>
        <v>0</v>
      </c>
      <c r="Q131" s="7">
        <f t="shared" si="76"/>
        <v>0</v>
      </c>
      <c r="R131" s="7">
        <f t="shared" si="76"/>
        <v>0</v>
      </c>
      <c r="S131" s="7">
        <f t="shared" si="76"/>
        <v>0</v>
      </c>
      <c r="T131" s="7">
        <f t="shared" si="76"/>
        <v>0</v>
      </c>
      <c r="U131" s="7">
        <f t="shared" si="76"/>
        <v>0</v>
      </c>
      <c r="V131" s="7">
        <f t="shared" si="76"/>
        <v>0</v>
      </c>
      <c r="W131" s="7">
        <f t="shared" si="76"/>
        <v>0</v>
      </c>
      <c r="X131" s="7">
        <f t="shared" si="76"/>
        <v>0</v>
      </c>
      <c r="Y131" s="604"/>
      <c r="Z131" s="6" t="str">
        <f>VLOOKUP($D131,TableInputsData[],ReadMe!$M$3,FALSE)&amp;"  |  "&amp;VLOOKUP($E131,TableInputsData[],ReadMe!$M$3,FALSE)&amp;"  |  "&amp;VLOOKUP($G131,TableInputsData[],ReadMe!$M$3,FALSE)</f>
        <v>CA ET MARGE BRUTE  |  MARGE BRUTE PRODUITS  |  PRODUIT 14</v>
      </c>
      <c r="AA131" s="6"/>
      <c r="AB131" s="36">
        <f t="shared" si="73"/>
        <v>1</v>
      </c>
      <c r="AC131" s="36"/>
      <c r="AD131" s="36"/>
      <c r="AE131" s="91"/>
      <c r="AF131" s="36">
        <v>1</v>
      </c>
      <c r="AG131" s="34">
        <f>VLOOKUP($G131,TableInputsData[],$AG$2,FALSE)</f>
        <v>0</v>
      </c>
      <c r="AH131" s="536"/>
      <c r="AI131" s="294"/>
    </row>
    <row r="132" spans="1:35" x14ac:dyDescent="0.2">
      <c r="A132" s="294"/>
      <c r="B132" s="944"/>
      <c r="C132" s="70">
        <v>1</v>
      </c>
      <c r="D132" s="3" t="s">
        <v>618</v>
      </c>
      <c r="E132" s="3" t="s">
        <v>620</v>
      </c>
      <c r="F132" s="6" t="s">
        <v>21</v>
      </c>
      <c r="G132" s="3" t="s">
        <v>1718</v>
      </c>
      <c r="H132" s="5" t="str">
        <f>VLOOKUP($G132,TableInputsData[],6,FALSE)</f>
        <v>-</v>
      </c>
      <c r="I132" s="5" t="str">
        <f>VLOOKUP("SEE InputsData SHEET",TableInputsData[],ReadMe!$M$3,FALSE)</f>
        <v>VOIR FEUILLE InputData</v>
      </c>
      <c r="J132" s="26"/>
      <c r="K132" s="135"/>
      <c r="L132" s="127"/>
      <c r="M132" s="134"/>
      <c r="N132" s="60"/>
      <c r="O132" s="7">
        <f t="shared" ref="O132:X132" si="77">O66-O110</f>
        <v>0</v>
      </c>
      <c r="P132" s="7">
        <f t="shared" si="77"/>
        <v>0</v>
      </c>
      <c r="Q132" s="7">
        <f t="shared" si="77"/>
        <v>0</v>
      </c>
      <c r="R132" s="7">
        <f t="shared" si="77"/>
        <v>0</v>
      </c>
      <c r="S132" s="7">
        <f t="shared" si="77"/>
        <v>0</v>
      </c>
      <c r="T132" s="7">
        <f t="shared" si="77"/>
        <v>0</v>
      </c>
      <c r="U132" s="7">
        <f t="shared" si="77"/>
        <v>0</v>
      </c>
      <c r="V132" s="7">
        <f t="shared" si="77"/>
        <v>0</v>
      </c>
      <c r="W132" s="7">
        <f t="shared" si="77"/>
        <v>0</v>
      </c>
      <c r="X132" s="7">
        <f t="shared" si="77"/>
        <v>0</v>
      </c>
      <c r="Y132" s="604"/>
      <c r="Z132" s="6" t="str">
        <f>VLOOKUP($D132,TableInputsData[],ReadMe!$M$3,FALSE)&amp;"  |  "&amp;VLOOKUP($E132,TableInputsData[],ReadMe!$M$3,FALSE)&amp;"  |  "&amp;VLOOKUP($G132,TableInputsData[],ReadMe!$M$3,FALSE)</f>
        <v>CA ET MARGE BRUTE  |  MARGE BRUTE PRODUITS  |  PRODUIT 15</v>
      </c>
      <c r="AA132" s="6"/>
      <c r="AB132" s="36">
        <f t="shared" si="73"/>
        <v>1</v>
      </c>
      <c r="AC132" s="36"/>
      <c r="AD132" s="36"/>
      <c r="AE132" s="91"/>
      <c r="AF132" s="36">
        <v>1</v>
      </c>
      <c r="AG132" s="34">
        <f>VLOOKUP($G132,TableInputsData[],$AG$2,FALSE)</f>
        <v>0</v>
      </c>
      <c r="AH132" s="536"/>
      <c r="AI132" s="294"/>
    </row>
    <row r="133" spans="1:35" x14ac:dyDescent="0.2">
      <c r="A133" s="294"/>
      <c r="B133" s="944"/>
      <c r="C133" s="70">
        <v>1</v>
      </c>
      <c r="D133" s="3" t="s">
        <v>618</v>
      </c>
      <c r="E133" s="3" t="s">
        <v>620</v>
      </c>
      <c r="F133" s="6" t="s">
        <v>21</v>
      </c>
      <c r="G133" s="3" t="s">
        <v>1720</v>
      </c>
      <c r="H133" s="5" t="str">
        <f>VLOOKUP($G133,TableInputsData[],6,FALSE)</f>
        <v>-</v>
      </c>
      <c r="I133" s="5" t="str">
        <f>VLOOKUP("SEE InputsData SHEET",TableInputsData[],ReadMe!$M$3,FALSE)</f>
        <v>VOIR FEUILLE InputData</v>
      </c>
      <c r="J133" s="26"/>
      <c r="K133" s="135"/>
      <c r="L133" s="127"/>
      <c r="M133" s="134"/>
      <c r="N133" s="60"/>
      <c r="O133" s="7">
        <f t="shared" ref="O133:X133" si="78">O67-O111</f>
        <v>0</v>
      </c>
      <c r="P133" s="7">
        <f t="shared" si="78"/>
        <v>0</v>
      </c>
      <c r="Q133" s="7">
        <f t="shared" si="78"/>
        <v>0</v>
      </c>
      <c r="R133" s="7">
        <f t="shared" si="78"/>
        <v>0</v>
      </c>
      <c r="S133" s="7">
        <f t="shared" si="78"/>
        <v>0</v>
      </c>
      <c r="T133" s="7">
        <f t="shared" si="78"/>
        <v>0</v>
      </c>
      <c r="U133" s="7">
        <f t="shared" si="78"/>
        <v>0</v>
      </c>
      <c r="V133" s="7">
        <f t="shared" si="78"/>
        <v>0</v>
      </c>
      <c r="W133" s="7">
        <f t="shared" si="78"/>
        <v>0</v>
      </c>
      <c r="X133" s="7">
        <f t="shared" si="78"/>
        <v>0</v>
      </c>
      <c r="Y133" s="604"/>
      <c r="Z133" s="6" t="str">
        <f>VLOOKUP($D133,TableInputsData[],ReadMe!$M$3,FALSE)&amp;"  |  "&amp;VLOOKUP($E133,TableInputsData[],ReadMe!$M$3,FALSE)&amp;"  |  "&amp;VLOOKUP($G133,TableInputsData[],ReadMe!$M$3,FALSE)</f>
        <v>CA ET MARGE BRUTE  |  MARGE BRUTE PRODUITS  |  PRODUIT 16</v>
      </c>
      <c r="AA133" s="6"/>
      <c r="AB133" s="36">
        <f t="shared" si="73"/>
        <v>1</v>
      </c>
      <c r="AC133" s="36"/>
      <c r="AD133" s="36"/>
      <c r="AE133" s="91"/>
      <c r="AF133" s="36">
        <v>1</v>
      </c>
      <c r="AG133" s="34">
        <f>VLOOKUP($G133,TableInputsData[],$AG$2,FALSE)</f>
        <v>0</v>
      </c>
      <c r="AH133" s="536"/>
      <c r="AI133" s="294"/>
    </row>
    <row r="134" spans="1:35" x14ac:dyDescent="0.2">
      <c r="A134" s="294"/>
      <c r="B134" s="944"/>
      <c r="C134" s="70">
        <v>1</v>
      </c>
      <c r="D134" s="3" t="s">
        <v>618</v>
      </c>
      <c r="E134" s="3" t="s">
        <v>620</v>
      </c>
      <c r="F134" s="6" t="s">
        <v>21</v>
      </c>
      <c r="G134" s="3" t="s">
        <v>1722</v>
      </c>
      <c r="H134" s="5" t="str">
        <f>VLOOKUP($G134,TableInputsData[],6,FALSE)</f>
        <v>-</v>
      </c>
      <c r="I134" s="5" t="str">
        <f>VLOOKUP("SEE InputsData SHEET",TableInputsData[],ReadMe!$M$3,FALSE)</f>
        <v>VOIR FEUILLE InputData</v>
      </c>
      <c r="J134" s="26"/>
      <c r="K134" s="135"/>
      <c r="L134" s="127"/>
      <c r="M134" s="134"/>
      <c r="N134" s="60"/>
      <c r="O134" s="7">
        <f t="shared" ref="O134:X134" si="79">O68-O112</f>
        <v>0</v>
      </c>
      <c r="P134" s="7">
        <f t="shared" si="79"/>
        <v>0</v>
      </c>
      <c r="Q134" s="7">
        <f t="shared" si="79"/>
        <v>0</v>
      </c>
      <c r="R134" s="7">
        <f t="shared" si="79"/>
        <v>0</v>
      </c>
      <c r="S134" s="7">
        <f t="shared" si="79"/>
        <v>0</v>
      </c>
      <c r="T134" s="7">
        <f t="shared" si="79"/>
        <v>0</v>
      </c>
      <c r="U134" s="7">
        <f t="shared" si="79"/>
        <v>0</v>
      </c>
      <c r="V134" s="7">
        <f t="shared" si="79"/>
        <v>0</v>
      </c>
      <c r="W134" s="7">
        <f t="shared" si="79"/>
        <v>0</v>
      </c>
      <c r="X134" s="7">
        <f t="shared" si="79"/>
        <v>0</v>
      </c>
      <c r="Y134" s="604"/>
      <c r="Z134" s="6" t="str">
        <f>VLOOKUP($D134,TableInputsData[],ReadMe!$M$3,FALSE)&amp;"  |  "&amp;VLOOKUP($E134,TableInputsData[],ReadMe!$M$3,FALSE)&amp;"  |  "&amp;VLOOKUP($G134,TableInputsData[],ReadMe!$M$3,FALSE)</f>
        <v>CA ET MARGE BRUTE  |  MARGE BRUTE PRODUITS  |  PRODUIT 17</v>
      </c>
      <c r="AA134" s="6"/>
      <c r="AB134" s="36">
        <f t="shared" si="73"/>
        <v>1</v>
      </c>
      <c r="AC134" s="36"/>
      <c r="AD134" s="36"/>
      <c r="AE134" s="91"/>
      <c r="AF134" s="36">
        <v>1</v>
      </c>
      <c r="AG134" s="34">
        <f>VLOOKUP($G134,TableInputsData[],$AG$2,FALSE)</f>
        <v>0</v>
      </c>
      <c r="AH134" s="536"/>
      <c r="AI134" s="294"/>
    </row>
    <row r="135" spans="1:35" x14ac:dyDescent="0.2">
      <c r="A135" s="294"/>
      <c r="B135" s="944"/>
      <c r="C135" s="70">
        <v>1</v>
      </c>
      <c r="D135" s="3" t="s">
        <v>618</v>
      </c>
      <c r="E135" s="3" t="s">
        <v>620</v>
      </c>
      <c r="F135" s="6" t="s">
        <v>21</v>
      </c>
      <c r="G135" s="3" t="s">
        <v>1724</v>
      </c>
      <c r="H135" s="5" t="str">
        <f>VLOOKUP($G135,TableInputsData[],6,FALSE)</f>
        <v>-</v>
      </c>
      <c r="I135" s="5" t="str">
        <f>VLOOKUP("SEE InputsData SHEET",TableInputsData[],ReadMe!$M$3,FALSE)</f>
        <v>VOIR FEUILLE InputData</v>
      </c>
      <c r="J135" s="26"/>
      <c r="K135" s="135"/>
      <c r="L135" s="127"/>
      <c r="M135" s="134"/>
      <c r="N135" s="60"/>
      <c r="O135" s="7">
        <f t="shared" ref="O135:X135" si="80">O69-O113</f>
        <v>0</v>
      </c>
      <c r="P135" s="7">
        <f t="shared" si="80"/>
        <v>0</v>
      </c>
      <c r="Q135" s="7">
        <f t="shared" si="80"/>
        <v>0</v>
      </c>
      <c r="R135" s="7">
        <f t="shared" si="80"/>
        <v>0</v>
      </c>
      <c r="S135" s="7">
        <f t="shared" si="80"/>
        <v>0</v>
      </c>
      <c r="T135" s="7">
        <f t="shared" si="80"/>
        <v>0</v>
      </c>
      <c r="U135" s="7">
        <f t="shared" si="80"/>
        <v>0</v>
      </c>
      <c r="V135" s="7">
        <f t="shared" si="80"/>
        <v>0</v>
      </c>
      <c r="W135" s="7">
        <f t="shared" si="80"/>
        <v>0</v>
      </c>
      <c r="X135" s="7">
        <f t="shared" si="80"/>
        <v>0</v>
      </c>
      <c r="Y135" s="604"/>
      <c r="Z135" s="6" t="str">
        <f>VLOOKUP($D135,TableInputsData[],ReadMe!$M$3,FALSE)&amp;"  |  "&amp;VLOOKUP($E135,TableInputsData[],ReadMe!$M$3,FALSE)&amp;"  |  "&amp;VLOOKUP($G135,TableInputsData[],ReadMe!$M$3,FALSE)</f>
        <v>CA ET MARGE BRUTE  |  MARGE BRUTE PRODUITS  |  PRODUIT 18</v>
      </c>
      <c r="AA135" s="6"/>
      <c r="AB135" s="36">
        <f t="shared" si="73"/>
        <v>1</v>
      </c>
      <c r="AC135" s="36"/>
      <c r="AD135" s="36"/>
      <c r="AE135" s="91"/>
      <c r="AF135" s="36">
        <v>1</v>
      </c>
      <c r="AG135" s="34">
        <f>VLOOKUP($G135,TableInputsData[],$AG$2,FALSE)</f>
        <v>0</v>
      </c>
      <c r="AH135" s="536"/>
      <c r="AI135" s="294"/>
    </row>
    <row r="136" spans="1:35" x14ac:dyDescent="0.2">
      <c r="A136" s="294"/>
      <c r="B136" s="944"/>
      <c r="C136" s="70">
        <v>1</v>
      </c>
      <c r="D136" s="3" t="s">
        <v>618</v>
      </c>
      <c r="E136" s="3" t="s">
        <v>620</v>
      </c>
      <c r="F136" s="6" t="s">
        <v>21</v>
      </c>
      <c r="G136" s="3" t="s">
        <v>1726</v>
      </c>
      <c r="H136" s="5" t="str">
        <f>VLOOKUP($G136,TableInputsData[],6,FALSE)</f>
        <v>-</v>
      </c>
      <c r="I136" s="5" t="str">
        <f>VLOOKUP("SEE InputsData SHEET",TableInputsData[],ReadMe!$M$3,FALSE)</f>
        <v>VOIR FEUILLE InputData</v>
      </c>
      <c r="J136" s="26"/>
      <c r="K136" s="135"/>
      <c r="L136" s="127"/>
      <c r="M136" s="134"/>
      <c r="N136" s="60"/>
      <c r="O136" s="7">
        <f>O70-O114</f>
        <v>0</v>
      </c>
      <c r="P136" s="7">
        <f t="shared" ref="P136:X136" si="81">P70-P114</f>
        <v>0</v>
      </c>
      <c r="Q136" s="7">
        <f t="shared" si="81"/>
        <v>0</v>
      </c>
      <c r="R136" s="7">
        <f t="shared" si="81"/>
        <v>0</v>
      </c>
      <c r="S136" s="7">
        <f t="shared" si="81"/>
        <v>0</v>
      </c>
      <c r="T136" s="7">
        <f t="shared" si="81"/>
        <v>0</v>
      </c>
      <c r="U136" s="7">
        <f t="shared" si="81"/>
        <v>0</v>
      </c>
      <c r="V136" s="7">
        <f t="shared" si="81"/>
        <v>0</v>
      </c>
      <c r="W136" s="7">
        <f t="shared" si="81"/>
        <v>0</v>
      </c>
      <c r="X136" s="7">
        <f t="shared" si="81"/>
        <v>0</v>
      </c>
      <c r="Y136" s="604"/>
      <c r="Z136" s="6" t="str">
        <f>VLOOKUP($D136,TableInputsData[],ReadMe!$M$3,FALSE)&amp;"  |  "&amp;VLOOKUP($E136,TableInputsData[],ReadMe!$M$3,FALSE)&amp;"  |  "&amp;VLOOKUP($G136,TableInputsData[],ReadMe!$M$3,FALSE)</f>
        <v>CA ET MARGE BRUTE  |  MARGE BRUTE PRODUITS  |  PRODUIT 19</v>
      </c>
      <c r="AA136" s="6"/>
      <c r="AB136" s="36">
        <f t="shared" si="73"/>
        <v>1</v>
      </c>
      <c r="AC136" s="36"/>
      <c r="AD136" s="36"/>
      <c r="AE136" s="91"/>
      <c r="AF136" s="36">
        <v>1</v>
      </c>
      <c r="AG136" s="34">
        <f>VLOOKUP($G136,TableInputsData[],$AG$2,FALSE)</f>
        <v>0</v>
      </c>
      <c r="AH136" s="536"/>
      <c r="AI136" s="294"/>
    </row>
    <row r="137" spans="1:35" x14ac:dyDescent="0.2">
      <c r="A137" s="294"/>
      <c r="B137" s="944"/>
      <c r="C137" s="70">
        <v>1</v>
      </c>
      <c r="D137" s="3" t="s">
        <v>618</v>
      </c>
      <c r="E137" s="3" t="s">
        <v>620</v>
      </c>
      <c r="F137" s="6" t="s">
        <v>21</v>
      </c>
      <c r="G137" s="3" t="s">
        <v>1728</v>
      </c>
      <c r="H137" s="5" t="str">
        <f>VLOOKUP($G137,TableInputsData[],6,FALSE)</f>
        <v>-</v>
      </c>
      <c r="I137" s="5" t="str">
        <f>VLOOKUP("SEE InputsData SHEET",TableInputsData[],ReadMe!$M$3,FALSE)</f>
        <v>VOIR FEUILLE InputData</v>
      </c>
      <c r="J137" s="26"/>
      <c r="K137" s="135"/>
      <c r="L137" s="127"/>
      <c r="M137" s="134"/>
      <c r="N137" s="60"/>
      <c r="O137" s="7">
        <f t="shared" ref="O137:X137" si="82">O71-O115</f>
        <v>0</v>
      </c>
      <c r="P137" s="7">
        <f t="shared" si="82"/>
        <v>0</v>
      </c>
      <c r="Q137" s="7">
        <f t="shared" si="82"/>
        <v>0</v>
      </c>
      <c r="R137" s="7">
        <f t="shared" si="82"/>
        <v>0</v>
      </c>
      <c r="S137" s="7">
        <f t="shared" si="82"/>
        <v>0</v>
      </c>
      <c r="T137" s="7">
        <f t="shared" si="82"/>
        <v>0</v>
      </c>
      <c r="U137" s="7">
        <f t="shared" si="82"/>
        <v>0</v>
      </c>
      <c r="V137" s="7">
        <f t="shared" si="82"/>
        <v>0</v>
      </c>
      <c r="W137" s="7">
        <f t="shared" si="82"/>
        <v>0</v>
      </c>
      <c r="X137" s="7">
        <f t="shared" si="82"/>
        <v>0</v>
      </c>
      <c r="Y137" s="604"/>
      <c r="Z137" s="6" t="str">
        <f>VLOOKUP($D137,TableInputsData[],ReadMe!$M$3,FALSE)&amp;"  |  "&amp;VLOOKUP($E137,TableInputsData[],ReadMe!$M$3,FALSE)&amp;"  |  "&amp;VLOOKUP($G137,TableInputsData[],ReadMe!$M$3,FALSE)</f>
        <v>CA ET MARGE BRUTE  |  MARGE BRUTE PRODUITS  |  PRODUIT 20</v>
      </c>
      <c r="AA137" s="6"/>
      <c r="AB137" s="36">
        <f t="shared" si="73"/>
        <v>1</v>
      </c>
      <c r="AC137" s="36"/>
      <c r="AD137" s="36"/>
      <c r="AE137" s="91"/>
      <c r="AF137" s="36">
        <v>1</v>
      </c>
      <c r="AG137" s="34">
        <f>VLOOKUP($G137,TableInputsData[],$AG$2,FALSE)</f>
        <v>0</v>
      </c>
      <c r="AH137" s="536"/>
      <c r="AI137" s="294"/>
    </row>
    <row r="138" spans="1:35" x14ac:dyDescent="0.2">
      <c r="A138" s="294"/>
      <c r="B138" s="944"/>
      <c r="C138" s="67">
        <v>1</v>
      </c>
      <c r="D138" s="16" t="s">
        <v>618</v>
      </c>
      <c r="E138" s="16" t="s">
        <v>620</v>
      </c>
      <c r="F138" s="16" t="s">
        <v>21</v>
      </c>
      <c r="G138" s="16" t="s">
        <v>588</v>
      </c>
      <c r="H138" s="17" t="s">
        <v>29</v>
      </c>
      <c r="I138" s="17"/>
      <c r="J138" s="27"/>
      <c r="K138" s="27"/>
      <c r="L138" s="97"/>
      <c r="M138" s="112"/>
      <c r="N138" s="18"/>
      <c r="O138" s="18">
        <f>SUM(O118:O137)</f>
        <v>0</v>
      </c>
      <c r="P138" s="18">
        <f t="shared" ref="P138:X138" si="83">SUM(P118:P137)</f>
        <v>0</v>
      </c>
      <c r="Q138" s="18">
        <f t="shared" si="83"/>
        <v>0</v>
      </c>
      <c r="R138" s="18">
        <f t="shared" si="83"/>
        <v>0</v>
      </c>
      <c r="S138" s="18">
        <f t="shared" si="83"/>
        <v>0</v>
      </c>
      <c r="T138" s="18">
        <f t="shared" si="83"/>
        <v>0</v>
      </c>
      <c r="U138" s="18">
        <f t="shared" si="83"/>
        <v>0</v>
      </c>
      <c r="V138" s="18">
        <f t="shared" si="83"/>
        <v>0</v>
      </c>
      <c r="W138" s="18">
        <f t="shared" si="83"/>
        <v>0</v>
      </c>
      <c r="X138" s="18">
        <f t="shared" si="83"/>
        <v>0</v>
      </c>
      <c r="Y138" s="18"/>
      <c r="Z138" s="16" t="str">
        <f>VLOOKUP($D138,TableInputsData[],ReadMe!$M$3,FALSE)&amp;"  |  "&amp;VLOOKUP($E138,TableInputsData[],ReadMe!$M$3,FALSE)&amp;"  |  "&amp;VLOOKUP($G138,TableInputsData[],ReadMe!$M$3,FALSE)</f>
        <v>CA ET MARGE BRUTE  |  MARGE BRUTE PRODUITS  |  PRODUIT</v>
      </c>
      <c r="AA138" s="371" t="b">
        <f>EXACT(SUM(TableFinanceData[[#This Row],[YEAR-2]:[YEAR6]])-TableFinanceData[[#This Row],[CURRENT YEAR]],GETPIVOTDATA("TOTAL YEAR",RevenuePivot!$BK$13,"TYPE PRODUCT / SERVICE","PRODUCT","ITEM","GROSS PROFIT"))</f>
        <v>1</v>
      </c>
      <c r="AB138" s="27">
        <v>1</v>
      </c>
      <c r="AC138" s="27">
        <v>3</v>
      </c>
      <c r="AD138" s="27"/>
      <c r="AE138" s="27"/>
      <c r="AF138" s="27">
        <v>1</v>
      </c>
      <c r="AG138" s="27"/>
      <c r="AH138" s="533"/>
      <c r="AI138" s="294"/>
    </row>
    <row r="139" spans="1:35" x14ac:dyDescent="0.2">
      <c r="A139" s="294"/>
      <c r="B139" s="944"/>
      <c r="C139" s="71">
        <v>1</v>
      </c>
      <c r="D139" s="8"/>
      <c r="E139" s="8"/>
      <c r="F139" s="8"/>
      <c r="G139" s="8"/>
      <c r="H139" s="9"/>
      <c r="I139" s="9"/>
      <c r="J139" s="87"/>
      <c r="K139" s="87"/>
      <c r="L139" s="98"/>
      <c r="M139" s="113"/>
      <c r="N139" s="10"/>
      <c r="O139" s="10"/>
      <c r="P139" s="10"/>
      <c r="Q139" s="10"/>
      <c r="R139" s="10"/>
      <c r="S139" s="10"/>
      <c r="T139" s="10"/>
      <c r="U139" s="10"/>
      <c r="V139" s="10"/>
      <c r="W139" s="10"/>
      <c r="X139" s="10"/>
      <c r="Y139" s="10"/>
      <c r="Z139" s="8"/>
      <c r="AA139" s="8"/>
      <c r="AB139" s="35"/>
      <c r="AC139" s="35"/>
      <c r="AD139" s="35"/>
      <c r="AE139" s="87"/>
      <c r="AF139" s="35"/>
      <c r="AG139" s="35"/>
      <c r="AH139" s="534"/>
      <c r="AI139" s="294"/>
    </row>
    <row r="140" spans="1:35" x14ac:dyDescent="0.2">
      <c r="A140" s="294"/>
      <c r="B140" s="944"/>
      <c r="C140" s="64">
        <v>1</v>
      </c>
      <c r="D140" s="19" t="s">
        <v>618</v>
      </c>
      <c r="E140" s="19" t="s">
        <v>616</v>
      </c>
      <c r="F140" s="19" t="s">
        <v>21</v>
      </c>
      <c r="G140" s="19" t="s">
        <v>588</v>
      </c>
      <c r="H140" s="20" t="s">
        <v>29</v>
      </c>
      <c r="I140" s="522" t="str">
        <f>$H$2</f>
        <v>TYPICAL CASE</v>
      </c>
      <c r="J140" s="773"/>
      <c r="K140" s="28"/>
      <c r="L140" s="100"/>
      <c r="M140" s="115"/>
      <c r="N140" s="31"/>
      <c r="O140" s="31">
        <f t="shared" ref="O140:X140" si="84">SUMIFS(O$8:O$139,$D$8:$D$139,$D140,$E$8:$E$139,$E140,$F$8:$F$139,$F140,$H$8:$H$139,$H140)*IF(O$4="ACTUAL",1,$AH140)</f>
        <v>0</v>
      </c>
      <c r="P140" s="31">
        <f t="shared" si="84"/>
        <v>0</v>
      </c>
      <c r="Q140" s="31">
        <f t="shared" si="84"/>
        <v>0</v>
      </c>
      <c r="R140" s="31">
        <f t="shared" si="84"/>
        <v>0</v>
      </c>
      <c r="S140" s="31">
        <f t="shared" si="84"/>
        <v>0</v>
      </c>
      <c r="T140" s="31">
        <f t="shared" si="84"/>
        <v>0</v>
      </c>
      <c r="U140" s="31">
        <f t="shared" si="84"/>
        <v>0</v>
      </c>
      <c r="V140" s="31">
        <f t="shared" si="84"/>
        <v>0</v>
      </c>
      <c r="W140" s="31">
        <f t="shared" si="84"/>
        <v>0</v>
      </c>
      <c r="X140" s="31">
        <f t="shared" si="84"/>
        <v>0</v>
      </c>
      <c r="Y140" s="31"/>
      <c r="Z140" s="19"/>
      <c r="AA140" s="19"/>
      <c r="AB140" s="28">
        <v>1</v>
      </c>
      <c r="AC140" s="28">
        <v>1</v>
      </c>
      <c r="AD140" s="28"/>
      <c r="AE140" s="28"/>
      <c r="AF140" s="28">
        <v>1</v>
      </c>
      <c r="AG140" s="28"/>
      <c r="AH140" s="526">
        <f>VLOOKUP($E140,TableInputsData[],$AH$2,FALSE)</f>
        <v>1</v>
      </c>
      <c r="AI140" s="294"/>
    </row>
    <row r="141" spans="1:35" ht="14" x14ac:dyDescent="0.2">
      <c r="A141" s="294"/>
      <c r="B141" s="944"/>
      <c r="C141" s="65">
        <v>1</v>
      </c>
      <c r="D141" s="21" t="s">
        <v>618</v>
      </c>
      <c r="E141" s="21" t="s">
        <v>616</v>
      </c>
      <c r="F141" s="21" t="s">
        <v>112</v>
      </c>
      <c r="G141" s="21" t="s">
        <v>588</v>
      </c>
      <c r="H141" s="40" t="s">
        <v>621</v>
      </c>
      <c r="I141" s="523" t="str">
        <f t="shared" ref="I141:I143" si="85">$H$2</f>
        <v>TYPICAL CASE</v>
      </c>
      <c r="J141" s="774"/>
      <c r="K141" s="29"/>
      <c r="L141" s="101"/>
      <c r="M141" s="116"/>
      <c r="N141" s="32"/>
      <c r="O141" s="41"/>
      <c r="P141" s="41" t="str">
        <f>IF(O140=0,"",P140/O140)</f>
        <v/>
      </c>
      <c r="Q141" s="41"/>
      <c r="R141" s="41"/>
      <c r="S141" s="41" t="str">
        <f>IF(P140=0,"",S140/P140)</f>
        <v/>
      </c>
      <c r="T141" s="41" t="str">
        <f>IF(S140=0,"",T140/S140)</f>
        <v/>
      </c>
      <c r="U141" s="41" t="str">
        <f>IF(T140=0,"",U140/T140)</f>
        <v/>
      </c>
      <c r="V141" s="41" t="str">
        <f>IF(U140=0,"",V140/U140)</f>
        <v/>
      </c>
      <c r="W141" s="41" t="str">
        <f>IF(V140=0,"",W140/V140)</f>
        <v/>
      </c>
      <c r="X141" s="41" t="str">
        <f>IF(W140=0,"",X140/W140)</f>
        <v/>
      </c>
      <c r="Y141" s="599"/>
      <c r="Z141" s="21"/>
      <c r="AA141" s="21"/>
      <c r="AB141" s="29">
        <v>1</v>
      </c>
      <c r="AC141" s="29"/>
      <c r="AD141" s="29"/>
      <c r="AE141" s="29"/>
      <c r="AF141" s="29">
        <v>1</v>
      </c>
      <c r="AG141" s="29"/>
      <c r="AH141" s="530" t="s">
        <v>370</v>
      </c>
      <c r="AI141" s="294"/>
    </row>
    <row r="142" spans="1:35" x14ac:dyDescent="0.2">
      <c r="A142" s="294"/>
      <c r="B142" s="944"/>
      <c r="C142" s="65">
        <v>1</v>
      </c>
      <c r="D142" s="21" t="s">
        <v>618</v>
      </c>
      <c r="E142" s="21" t="s">
        <v>619</v>
      </c>
      <c r="F142" s="21" t="s">
        <v>21</v>
      </c>
      <c r="G142" s="21" t="s">
        <v>588</v>
      </c>
      <c r="H142" s="22" t="s">
        <v>29</v>
      </c>
      <c r="I142" s="523" t="str">
        <f t="shared" si="85"/>
        <v>TYPICAL CASE</v>
      </c>
      <c r="J142" s="774"/>
      <c r="K142" s="29"/>
      <c r="L142" s="101"/>
      <c r="M142" s="116"/>
      <c r="N142" s="32"/>
      <c r="O142" s="32">
        <f t="shared" ref="O142:X142" si="86">SUMIFS(O$8:O$139,$D$8:$D$139,$D142,$E$8:$E$139,$E142,$F$8:$F$139,$F142,$H$8:$H$139,$H142)*IF(O$4="ACTUAL",1,$AH142)</f>
        <v>0</v>
      </c>
      <c r="P142" s="32">
        <f t="shared" si="86"/>
        <v>0</v>
      </c>
      <c r="Q142" s="32">
        <f t="shared" si="86"/>
        <v>0</v>
      </c>
      <c r="R142" s="32">
        <f t="shared" si="86"/>
        <v>0</v>
      </c>
      <c r="S142" s="32">
        <f t="shared" si="86"/>
        <v>0</v>
      </c>
      <c r="T142" s="32">
        <f t="shared" si="86"/>
        <v>0</v>
      </c>
      <c r="U142" s="32">
        <f t="shared" si="86"/>
        <v>0</v>
      </c>
      <c r="V142" s="32">
        <f t="shared" si="86"/>
        <v>0</v>
      </c>
      <c r="W142" s="32">
        <f t="shared" si="86"/>
        <v>0</v>
      </c>
      <c r="X142" s="32">
        <f t="shared" si="86"/>
        <v>0</v>
      </c>
      <c r="Y142" s="32"/>
      <c r="Z142" s="21"/>
      <c r="AA142" s="21"/>
      <c r="AB142" s="29">
        <v>1</v>
      </c>
      <c r="AC142" s="29">
        <v>1</v>
      </c>
      <c r="AD142" s="29">
        <v>1</v>
      </c>
      <c r="AE142" s="29"/>
      <c r="AF142" s="29">
        <v>1</v>
      </c>
      <c r="AG142" s="29"/>
      <c r="AH142" s="530">
        <f>VLOOKUP($E142,TableInputsData[],$AH$2,FALSE)*VLOOKUP($E140,TableInputsData[],$AH$2,FALSE)</f>
        <v>1</v>
      </c>
      <c r="AI142" s="294"/>
    </row>
    <row r="143" spans="1:35" x14ac:dyDescent="0.2">
      <c r="A143" s="294"/>
      <c r="B143" s="944"/>
      <c r="C143" s="68">
        <v>1</v>
      </c>
      <c r="D143" s="23" t="s">
        <v>618</v>
      </c>
      <c r="E143" s="23" t="s">
        <v>620</v>
      </c>
      <c r="F143" s="23" t="s">
        <v>21</v>
      </c>
      <c r="G143" s="23" t="s">
        <v>588</v>
      </c>
      <c r="H143" s="24" t="s">
        <v>29</v>
      </c>
      <c r="I143" s="524" t="str">
        <f t="shared" si="85"/>
        <v>TYPICAL CASE</v>
      </c>
      <c r="J143" s="775"/>
      <c r="K143" s="30"/>
      <c r="L143" s="102"/>
      <c r="M143" s="117"/>
      <c r="N143" s="33"/>
      <c r="O143" s="33">
        <f>O140-O142</f>
        <v>0</v>
      </c>
      <c r="P143" s="33">
        <f t="shared" ref="P143:X143" si="87">P140-P142</f>
        <v>0</v>
      </c>
      <c r="Q143" s="33">
        <f t="shared" si="87"/>
        <v>0</v>
      </c>
      <c r="R143" s="33">
        <f t="shared" si="87"/>
        <v>0</v>
      </c>
      <c r="S143" s="33">
        <f t="shared" si="87"/>
        <v>0</v>
      </c>
      <c r="T143" s="33">
        <f t="shared" si="87"/>
        <v>0</v>
      </c>
      <c r="U143" s="33">
        <f t="shared" si="87"/>
        <v>0</v>
      </c>
      <c r="V143" s="33">
        <f t="shared" si="87"/>
        <v>0</v>
      </c>
      <c r="W143" s="33">
        <f t="shared" si="87"/>
        <v>0</v>
      </c>
      <c r="X143" s="33">
        <f t="shared" si="87"/>
        <v>0</v>
      </c>
      <c r="Y143" s="33"/>
      <c r="Z143" s="23"/>
      <c r="AA143" s="23"/>
      <c r="AB143" s="30">
        <v>1</v>
      </c>
      <c r="AC143" s="30">
        <v>1</v>
      </c>
      <c r="AD143" s="30"/>
      <c r="AE143" s="30"/>
      <c r="AF143" s="30">
        <v>1</v>
      </c>
      <c r="AG143" s="30"/>
      <c r="AH143" s="531" t="str">
        <f>IF($AH$2=5,1,"-")</f>
        <v>-</v>
      </c>
      <c r="AI143" s="294"/>
    </row>
    <row r="144" spans="1:35" x14ac:dyDescent="0.2">
      <c r="A144" s="294"/>
      <c r="B144" s="944"/>
      <c r="C144" s="71">
        <v>1</v>
      </c>
      <c r="D144" s="8" t="s">
        <v>111</v>
      </c>
      <c r="E144" s="8"/>
      <c r="F144" s="8"/>
      <c r="G144" s="8"/>
      <c r="H144" s="9"/>
      <c r="I144" s="9"/>
      <c r="J144" s="87"/>
      <c r="K144" s="87"/>
      <c r="L144" s="98"/>
      <c r="M144" s="113"/>
      <c r="N144" s="10"/>
      <c r="O144" s="10" t="b">
        <f>EXACT(ROUND(O140-O142,2),ROUND(O143,2))</f>
        <v>1</v>
      </c>
      <c r="P144" s="10" t="b">
        <f t="shared" ref="P144:X144" si="88">EXACT(ROUND(P140-P142,2),ROUND(P143,2))</f>
        <v>1</v>
      </c>
      <c r="Q144" s="10" t="b">
        <f t="shared" si="88"/>
        <v>1</v>
      </c>
      <c r="R144" s="10" t="b">
        <f t="shared" si="88"/>
        <v>1</v>
      </c>
      <c r="S144" s="10" t="b">
        <f t="shared" si="88"/>
        <v>1</v>
      </c>
      <c r="T144" s="10" t="b">
        <f t="shared" si="88"/>
        <v>1</v>
      </c>
      <c r="U144" s="10" t="b">
        <f t="shared" si="88"/>
        <v>1</v>
      </c>
      <c r="V144" s="10" t="b">
        <f t="shared" si="88"/>
        <v>1</v>
      </c>
      <c r="W144" s="10" t="b">
        <f t="shared" si="88"/>
        <v>1</v>
      </c>
      <c r="X144" s="10" t="b">
        <f t="shared" si="88"/>
        <v>1</v>
      </c>
      <c r="Y144" s="10"/>
      <c r="Z144" s="8"/>
      <c r="AA144" s="10" t="b">
        <f>AND(TableFinanceData[[#This Row],[YEAR-2]:[YEAR6]])</f>
        <v>1</v>
      </c>
      <c r="AB144" s="35">
        <v>1</v>
      </c>
      <c r="AC144" s="35"/>
      <c r="AD144" s="35"/>
      <c r="AE144" s="87"/>
      <c r="AF144" s="35"/>
      <c r="AG144" s="35"/>
      <c r="AH144" s="534"/>
      <c r="AI144" s="294"/>
    </row>
    <row r="145" spans="1:35" x14ac:dyDescent="0.2">
      <c r="A145" s="294"/>
      <c r="B145" s="944"/>
      <c r="C145" s="66">
        <v>1</v>
      </c>
      <c r="D145" s="3"/>
      <c r="E145" s="3"/>
      <c r="F145" s="3"/>
      <c r="G145" s="3"/>
      <c r="H145" s="5"/>
      <c r="I145" s="5"/>
      <c r="J145" s="26"/>
      <c r="K145" s="26"/>
      <c r="L145" s="96"/>
      <c r="M145" s="118"/>
      <c r="N145" s="4"/>
      <c r="O145" s="4"/>
      <c r="P145" s="4"/>
      <c r="Q145" s="4"/>
      <c r="R145" s="4"/>
      <c r="S145" s="4"/>
      <c r="T145" s="4"/>
      <c r="U145" s="4"/>
      <c r="V145" s="4"/>
      <c r="W145" s="4"/>
      <c r="X145" s="4"/>
      <c r="Y145" s="4"/>
      <c r="Z145" s="3"/>
      <c r="AA145" s="3"/>
      <c r="AB145" s="34"/>
      <c r="AC145" s="34"/>
      <c r="AD145" s="34"/>
      <c r="AE145" s="26"/>
      <c r="AF145" s="34">
        <v>1</v>
      </c>
      <c r="AG145" s="34"/>
      <c r="AH145" s="535"/>
      <c r="AI145" s="294"/>
    </row>
    <row r="146" spans="1:35" ht="12.75" customHeight="1" x14ac:dyDescent="0.2">
      <c r="A146" s="294"/>
      <c r="B146" s="944"/>
      <c r="C146" s="74">
        <v>1</v>
      </c>
      <c r="D146" s="75" t="s">
        <v>618</v>
      </c>
      <c r="E146" s="75" t="s">
        <v>627</v>
      </c>
      <c r="F146" s="3" t="s">
        <v>21</v>
      </c>
      <c r="G146" s="75" t="s">
        <v>546</v>
      </c>
      <c r="H146" s="5" t="str">
        <f>VLOOKUP($G146,TableInputsData[],6,FALSE)</f>
        <v>-</v>
      </c>
      <c r="I146" s="5" t="str">
        <f>VLOOKUP("SEE InputsData SHEET",TableInputsData[],ReadMe!$M$3,FALSE)</f>
        <v>VOIR FEUILLE InputData</v>
      </c>
      <c r="J146" s="26"/>
      <c r="K146" s="135"/>
      <c r="L146" s="127"/>
      <c r="M146" s="134"/>
      <c r="N146" s="60"/>
      <c r="O146" s="4">
        <f>$AG146*GETPIVOTDATA("Sum of TOTAL YEAR",RevenuePivot!$BT$12,"YEAR",O$5,"REFERENCE PRODUCT / SERVICE",$G146,"ITEM","REVENUE")</f>
        <v>0</v>
      </c>
      <c r="P146" s="4">
        <f>$AG146*GETPIVOTDATA("Sum of TOTAL YEAR",RevenuePivot!$BT$12,"YEAR",P$5,"REFERENCE PRODUCT / SERVICE",$G146,"ITEM","REVENUE")</f>
        <v>0</v>
      </c>
      <c r="Q146" s="4">
        <f>$AG146*GETPIVOTDATA("Sum of SEMESTRE 1",RevenuePivot!$BT$12,"YEAR",Q$5,"REFERENCE PRODUCT / SERVICE",$G146,"ITEM","REVENUE")</f>
        <v>0</v>
      </c>
      <c r="R146" s="4">
        <f>$AG146*GETPIVOTDATA("Sum of SEMESTRE 2",RevenuePivot!$BT$12,"YEAR",R$5,"REFERENCE PRODUCT / SERVICE",$G146,"ITEM","REVENUE")</f>
        <v>0</v>
      </c>
      <c r="S146" s="4">
        <f>Q146+R146</f>
        <v>0</v>
      </c>
      <c r="T146" s="4">
        <f>$AG146*GETPIVOTDATA("Sum of TOTAL YEAR",RevenuePivot!$BT$12,"YEAR",T$5,"REFERENCE PRODUCT / SERVICE",$G146,"ITEM","REVENUE")</f>
        <v>0</v>
      </c>
      <c r="U146" s="4">
        <f>$AG146*GETPIVOTDATA("Sum of TOTAL YEAR",RevenuePivot!$BT$12,"YEAR",U$5,"REFERENCE PRODUCT / SERVICE",$G146,"ITEM","REVENUE")</f>
        <v>0</v>
      </c>
      <c r="V146" s="4">
        <f>$AG146*GETPIVOTDATA("Sum of TOTAL YEAR",RevenuePivot!$BT$12,"YEAR",V$5,"REFERENCE PRODUCT / SERVICE",$G146,"ITEM","REVENUE")</f>
        <v>0</v>
      </c>
      <c r="W146" s="4">
        <f>$AG146*GETPIVOTDATA("Sum of TOTAL YEAR",RevenuePivot!$BT$12,"YEAR",W$5,"REFERENCE PRODUCT / SERVICE",$G146,"ITEM","REVENUE")</f>
        <v>0</v>
      </c>
      <c r="X146" s="4">
        <f>$AG146*GETPIVOTDATA("Sum of TOTAL YEAR",RevenuePivot!$BT$12,"YEAR",X$5,"REFERENCE PRODUCT / SERVICE",$G146,"ITEM","REVENUE")</f>
        <v>0</v>
      </c>
      <c r="Y146" s="604"/>
      <c r="Z146" s="3" t="str">
        <f>VLOOKUP($D146,TableInputsData[],ReadMe!$M$3,FALSE)&amp;"  |  "&amp;VLOOKUP($E146,TableInputsData[],ReadMe!$M$3,FALSE)&amp;"  |  "&amp;VLOOKUP($G146,TableInputsData[],ReadMe!$M$3,FALSE)</f>
        <v>CA ET MARGE BRUTE  |  REVENUS SERVICES  |  SERVICE 01</v>
      </c>
      <c r="AA146" s="3"/>
      <c r="AB146" s="34">
        <f t="shared" ref="AB146:AB155" si="89">IF(AND(SUM(O146:X146)=0,H146=""),0,1)</f>
        <v>1</v>
      </c>
      <c r="AC146" s="26"/>
      <c r="AD146" s="34"/>
      <c r="AE146" s="26"/>
      <c r="AF146" s="34">
        <v>1</v>
      </c>
      <c r="AG146" s="34">
        <f>VLOOKUP($G146,TableInputsData[],$AG$2,FALSE)</f>
        <v>0</v>
      </c>
      <c r="AH146" s="535"/>
      <c r="AI146" s="294"/>
    </row>
    <row r="147" spans="1:35" x14ac:dyDescent="0.2">
      <c r="A147" s="294"/>
      <c r="B147" s="944"/>
      <c r="C147" s="74">
        <v>1</v>
      </c>
      <c r="D147" s="75" t="s">
        <v>618</v>
      </c>
      <c r="E147" s="75" t="s">
        <v>627</v>
      </c>
      <c r="F147" s="3" t="s">
        <v>21</v>
      </c>
      <c r="G147" s="75" t="s">
        <v>547</v>
      </c>
      <c r="H147" s="5" t="str">
        <f>VLOOKUP($G147,TableInputsData[],6,FALSE)</f>
        <v>-</v>
      </c>
      <c r="I147" s="5" t="str">
        <f>VLOOKUP("SEE InputsData SHEET",TableInputsData[],ReadMe!$M$3,FALSE)</f>
        <v>VOIR FEUILLE InputData</v>
      </c>
      <c r="J147" s="26"/>
      <c r="K147" s="135"/>
      <c r="L147" s="127"/>
      <c r="M147" s="134"/>
      <c r="N147" s="60"/>
      <c r="O147" s="4">
        <f>$AG147*GETPIVOTDATA("Sum of TOTAL YEAR",RevenuePivot!$BT$12,"YEAR",O$5,"REFERENCE PRODUCT / SERVICE",$G147,"ITEM","REVENUE")</f>
        <v>0</v>
      </c>
      <c r="P147" s="4">
        <f>$AG147*GETPIVOTDATA("Sum of TOTAL YEAR",RevenuePivot!$BT$12,"YEAR",P$5,"REFERENCE PRODUCT / SERVICE",$G147,"ITEM","REVENUE")</f>
        <v>0</v>
      </c>
      <c r="Q147" s="4">
        <f>$AG147*GETPIVOTDATA("Sum of SEMESTRE 1",RevenuePivot!$BT$12,"YEAR",Q$5,"REFERENCE PRODUCT / SERVICE",$G147,"ITEM","REVENUE")</f>
        <v>0</v>
      </c>
      <c r="R147" s="4">
        <f>$AG147*GETPIVOTDATA("Sum of SEMESTRE 2",RevenuePivot!$BT$12,"YEAR",R$5,"REFERENCE PRODUCT / SERVICE",$G147,"ITEM","REVENUE")</f>
        <v>0</v>
      </c>
      <c r="S147" s="4">
        <f t="shared" ref="S147:S155" si="90">Q147+R147</f>
        <v>0</v>
      </c>
      <c r="T147" s="4">
        <f>$AG147*GETPIVOTDATA("Sum of TOTAL YEAR",RevenuePivot!$BT$12,"YEAR",T$5,"REFERENCE PRODUCT / SERVICE",$G147,"ITEM","REVENUE")</f>
        <v>0</v>
      </c>
      <c r="U147" s="4">
        <f>$AG147*GETPIVOTDATA("Sum of TOTAL YEAR",RevenuePivot!$BT$12,"YEAR",U$5,"REFERENCE PRODUCT / SERVICE",$G147,"ITEM","REVENUE")</f>
        <v>0</v>
      </c>
      <c r="V147" s="4">
        <f>$AG147*GETPIVOTDATA("Sum of TOTAL YEAR",RevenuePivot!$BT$12,"YEAR",V$5,"REFERENCE PRODUCT / SERVICE",$G147,"ITEM","REVENUE")</f>
        <v>0</v>
      </c>
      <c r="W147" s="4">
        <f>$AG147*GETPIVOTDATA("Sum of TOTAL YEAR",RevenuePivot!$BT$12,"YEAR",W$5,"REFERENCE PRODUCT / SERVICE",$G147,"ITEM","REVENUE")</f>
        <v>0</v>
      </c>
      <c r="X147" s="4">
        <f>$AG147*GETPIVOTDATA("Sum of TOTAL YEAR",RevenuePivot!$BT$12,"YEAR",X$5,"REFERENCE PRODUCT / SERVICE",$G147,"ITEM","REVENUE")</f>
        <v>0</v>
      </c>
      <c r="Y147" s="604"/>
      <c r="Z147" s="3" t="str">
        <f>VLOOKUP($D147,TableInputsData[],ReadMe!$M$3,FALSE)&amp;"  |  "&amp;VLOOKUP($E147,TableInputsData[],ReadMe!$M$3,FALSE)&amp;"  |  "&amp;VLOOKUP($G147,TableInputsData[],ReadMe!$M$3,FALSE)</f>
        <v>CA ET MARGE BRUTE  |  REVENUS SERVICES  |  SERVICE 02</v>
      </c>
      <c r="AA147" s="3"/>
      <c r="AB147" s="34">
        <f t="shared" si="89"/>
        <v>1</v>
      </c>
      <c r="AC147" s="34"/>
      <c r="AD147" s="34"/>
      <c r="AE147" s="26"/>
      <c r="AF147" s="34">
        <v>1</v>
      </c>
      <c r="AG147" s="34">
        <f>VLOOKUP($G147,TableInputsData[],$AG$2,FALSE)</f>
        <v>0</v>
      </c>
      <c r="AH147" s="535"/>
      <c r="AI147" s="294"/>
    </row>
    <row r="148" spans="1:35" x14ac:dyDescent="0.2">
      <c r="A148" s="294"/>
      <c r="B148" s="944"/>
      <c r="C148" s="74">
        <v>1</v>
      </c>
      <c r="D148" s="75" t="s">
        <v>618</v>
      </c>
      <c r="E148" s="75" t="s">
        <v>627</v>
      </c>
      <c r="F148" s="3" t="s">
        <v>21</v>
      </c>
      <c r="G148" s="75" t="s">
        <v>548</v>
      </c>
      <c r="H148" s="5" t="str">
        <f>VLOOKUP($G148,TableInputsData[],6,FALSE)</f>
        <v>-</v>
      </c>
      <c r="I148" s="5" t="str">
        <f>VLOOKUP("SEE InputsData SHEET",TableInputsData[],ReadMe!$M$3,FALSE)</f>
        <v>VOIR FEUILLE InputData</v>
      </c>
      <c r="J148" s="26"/>
      <c r="K148" s="135"/>
      <c r="L148" s="127"/>
      <c r="M148" s="134"/>
      <c r="N148" s="60"/>
      <c r="O148" s="4">
        <f>$AG148*GETPIVOTDATA("Sum of TOTAL YEAR",RevenuePivot!$BT$12,"YEAR",O$5,"REFERENCE PRODUCT / SERVICE",$G148,"ITEM","REVENUE")</f>
        <v>0</v>
      </c>
      <c r="P148" s="4">
        <f>$AG148*GETPIVOTDATA("Sum of TOTAL YEAR",RevenuePivot!$BT$12,"YEAR",P$5,"REFERENCE PRODUCT / SERVICE",$G148,"ITEM","REVENUE")</f>
        <v>0</v>
      </c>
      <c r="Q148" s="4">
        <f>$AG148*GETPIVOTDATA("Sum of SEMESTRE 1",RevenuePivot!$BT$12,"YEAR",Q$5,"REFERENCE PRODUCT / SERVICE",$G148,"ITEM","REVENUE")</f>
        <v>0</v>
      </c>
      <c r="R148" s="4">
        <f>$AG148*GETPIVOTDATA("Sum of SEMESTRE 2",RevenuePivot!$BT$12,"YEAR",R$5,"REFERENCE PRODUCT / SERVICE",$G148,"ITEM","REVENUE")</f>
        <v>0</v>
      </c>
      <c r="S148" s="4">
        <f t="shared" si="90"/>
        <v>0</v>
      </c>
      <c r="T148" s="4">
        <f>$AG148*GETPIVOTDATA("Sum of TOTAL YEAR",RevenuePivot!$BT$12,"YEAR",T$5,"REFERENCE PRODUCT / SERVICE",$G148,"ITEM","REVENUE")</f>
        <v>0</v>
      </c>
      <c r="U148" s="4">
        <f>$AG148*GETPIVOTDATA("Sum of TOTAL YEAR",RevenuePivot!$BT$12,"YEAR",U$5,"REFERENCE PRODUCT / SERVICE",$G148,"ITEM","REVENUE")</f>
        <v>0</v>
      </c>
      <c r="V148" s="4">
        <f>$AG148*GETPIVOTDATA("Sum of TOTAL YEAR",RevenuePivot!$BT$12,"YEAR",V$5,"REFERENCE PRODUCT / SERVICE",$G148,"ITEM","REVENUE")</f>
        <v>0</v>
      </c>
      <c r="W148" s="4">
        <f>$AG148*GETPIVOTDATA("Sum of TOTAL YEAR",RevenuePivot!$BT$12,"YEAR",W$5,"REFERENCE PRODUCT / SERVICE",$G148,"ITEM","REVENUE")</f>
        <v>0</v>
      </c>
      <c r="X148" s="4">
        <f>$AG148*GETPIVOTDATA("Sum of TOTAL YEAR",RevenuePivot!$BT$12,"YEAR",X$5,"REFERENCE PRODUCT / SERVICE",$G148,"ITEM","REVENUE")</f>
        <v>0</v>
      </c>
      <c r="Y148" s="604"/>
      <c r="Z148" s="3" t="str">
        <f>VLOOKUP($D148,TableInputsData[],ReadMe!$M$3,FALSE)&amp;"  |  "&amp;VLOOKUP($E148,TableInputsData[],ReadMe!$M$3,FALSE)&amp;"  |  "&amp;VLOOKUP($G148,TableInputsData[],ReadMe!$M$3,FALSE)</f>
        <v>CA ET MARGE BRUTE  |  REVENUS SERVICES  |  SERVICE 03</v>
      </c>
      <c r="AA148" s="3"/>
      <c r="AB148" s="34">
        <f t="shared" si="89"/>
        <v>1</v>
      </c>
      <c r="AC148" s="34"/>
      <c r="AD148" s="34"/>
      <c r="AE148" s="26"/>
      <c r="AF148" s="34">
        <v>1</v>
      </c>
      <c r="AG148" s="34">
        <f>VLOOKUP($G148,TableInputsData[],$AG$2,FALSE)</f>
        <v>0</v>
      </c>
      <c r="AH148" s="535"/>
      <c r="AI148" s="294"/>
    </row>
    <row r="149" spans="1:35" x14ac:dyDescent="0.2">
      <c r="A149" s="294"/>
      <c r="B149" s="944"/>
      <c r="C149" s="74">
        <v>1</v>
      </c>
      <c r="D149" s="75" t="s">
        <v>618</v>
      </c>
      <c r="E149" s="75" t="s">
        <v>627</v>
      </c>
      <c r="F149" s="3" t="s">
        <v>21</v>
      </c>
      <c r="G149" s="75" t="s">
        <v>549</v>
      </c>
      <c r="H149" s="5" t="str">
        <f>VLOOKUP($G149,TableInputsData[],6,FALSE)</f>
        <v>-</v>
      </c>
      <c r="I149" s="5" t="str">
        <f>VLOOKUP("SEE InputsData SHEET",TableInputsData[],ReadMe!$M$3,FALSE)</f>
        <v>VOIR FEUILLE InputData</v>
      </c>
      <c r="J149" s="26"/>
      <c r="K149" s="135"/>
      <c r="L149" s="127"/>
      <c r="M149" s="134"/>
      <c r="N149" s="60"/>
      <c r="O149" s="4">
        <f>$AG149*GETPIVOTDATA("Sum of TOTAL YEAR",RevenuePivot!$BT$12,"YEAR",O$5,"REFERENCE PRODUCT / SERVICE",$G149,"ITEM","REVENUE")</f>
        <v>0</v>
      </c>
      <c r="P149" s="4">
        <f>$AG149*GETPIVOTDATA("Sum of TOTAL YEAR",RevenuePivot!$BT$12,"YEAR",P$5,"REFERENCE PRODUCT / SERVICE",$G149,"ITEM","REVENUE")</f>
        <v>0</v>
      </c>
      <c r="Q149" s="4">
        <f>$AG149*GETPIVOTDATA("Sum of SEMESTRE 1",RevenuePivot!$BT$12,"YEAR",Q$5,"REFERENCE PRODUCT / SERVICE",$G149,"ITEM","REVENUE")</f>
        <v>0</v>
      </c>
      <c r="R149" s="4">
        <f>$AG149*GETPIVOTDATA("Sum of SEMESTRE 2",RevenuePivot!$BT$12,"YEAR",R$5,"REFERENCE PRODUCT / SERVICE",$G149,"ITEM","REVENUE")</f>
        <v>0</v>
      </c>
      <c r="S149" s="4">
        <f t="shared" si="90"/>
        <v>0</v>
      </c>
      <c r="T149" s="4">
        <f>$AG149*GETPIVOTDATA("Sum of TOTAL YEAR",RevenuePivot!$BT$12,"YEAR",T$5,"REFERENCE PRODUCT / SERVICE",$G149,"ITEM","REVENUE")</f>
        <v>0</v>
      </c>
      <c r="U149" s="4">
        <f>$AG149*GETPIVOTDATA("Sum of TOTAL YEAR",RevenuePivot!$BT$12,"YEAR",U$5,"REFERENCE PRODUCT / SERVICE",$G149,"ITEM","REVENUE")</f>
        <v>0</v>
      </c>
      <c r="V149" s="4">
        <f>$AG149*GETPIVOTDATA("Sum of TOTAL YEAR",RevenuePivot!$BT$12,"YEAR",V$5,"REFERENCE PRODUCT / SERVICE",$G149,"ITEM","REVENUE")</f>
        <v>0</v>
      </c>
      <c r="W149" s="4">
        <f>$AG149*GETPIVOTDATA("Sum of TOTAL YEAR",RevenuePivot!$BT$12,"YEAR",W$5,"REFERENCE PRODUCT / SERVICE",$G149,"ITEM","REVENUE")</f>
        <v>0</v>
      </c>
      <c r="X149" s="4">
        <f>$AG149*GETPIVOTDATA("Sum of TOTAL YEAR",RevenuePivot!$BT$12,"YEAR",X$5,"REFERENCE PRODUCT / SERVICE",$G149,"ITEM","REVENUE")</f>
        <v>0</v>
      </c>
      <c r="Y149" s="604"/>
      <c r="Z149" s="3" t="str">
        <f>VLOOKUP($D149,TableInputsData[],ReadMe!$M$3,FALSE)&amp;"  |  "&amp;VLOOKUP($E149,TableInputsData[],ReadMe!$M$3,FALSE)&amp;"  |  "&amp;VLOOKUP($G149,TableInputsData[],ReadMe!$M$3,FALSE)</f>
        <v>CA ET MARGE BRUTE  |  REVENUS SERVICES  |  SERVICE 04</v>
      </c>
      <c r="AA149" s="3"/>
      <c r="AB149" s="34">
        <f t="shared" si="89"/>
        <v>1</v>
      </c>
      <c r="AC149" s="34"/>
      <c r="AD149" s="34"/>
      <c r="AE149" s="26"/>
      <c r="AF149" s="34">
        <v>1</v>
      </c>
      <c r="AG149" s="34">
        <f>VLOOKUP($G149,TableInputsData[],$AG$2,FALSE)</f>
        <v>0</v>
      </c>
      <c r="AH149" s="535"/>
      <c r="AI149" s="294"/>
    </row>
    <row r="150" spans="1:35" x14ac:dyDescent="0.2">
      <c r="A150" s="294"/>
      <c r="B150" s="944"/>
      <c r="C150" s="74">
        <v>1</v>
      </c>
      <c r="D150" s="75" t="s">
        <v>618</v>
      </c>
      <c r="E150" s="75" t="s">
        <v>627</v>
      </c>
      <c r="F150" s="3" t="s">
        <v>21</v>
      </c>
      <c r="G150" s="75" t="s">
        <v>550</v>
      </c>
      <c r="H150" s="5" t="str">
        <f>VLOOKUP($G150,TableInputsData[],6,FALSE)</f>
        <v>-</v>
      </c>
      <c r="I150" s="5" t="str">
        <f>VLOOKUP("SEE InputsData SHEET",TableInputsData[],ReadMe!$M$3,FALSE)</f>
        <v>VOIR FEUILLE InputData</v>
      </c>
      <c r="J150" s="26"/>
      <c r="K150" s="135"/>
      <c r="L150" s="127"/>
      <c r="M150" s="134"/>
      <c r="N150" s="60"/>
      <c r="O150" s="4">
        <f>$AG150*GETPIVOTDATA("Sum of TOTAL YEAR",RevenuePivot!$BT$12,"YEAR",O$5,"REFERENCE PRODUCT / SERVICE",$G150,"ITEM","REVENUE")</f>
        <v>0</v>
      </c>
      <c r="P150" s="4">
        <f>$AG150*GETPIVOTDATA("Sum of TOTAL YEAR",RevenuePivot!$BT$12,"YEAR",P$5,"REFERENCE PRODUCT / SERVICE",$G150,"ITEM","REVENUE")</f>
        <v>0</v>
      </c>
      <c r="Q150" s="4">
        <f>$AG150*GETPIVOTDATA("Sum of SEMESTRE 1",RevenuePivot!$BT$12,"YEAR",Q$5,"REFERENCE PRODUCT / SERVICE",$G150,"ITEM","REVENUE")</f>
        <v>0</v>
      </c>
      <c r="R150" s="4">
        <f>$AG150*GETPIVOTDATA("Sum of SEMESTRE 2",RevenuePivot!$BT$12,"YEAR",R$5,"REFERENCE PRODUCT / SERVICE",$G150,"ITEM","REVENUE")</f>
        <v>0</v>
      </c>
      <c r="S150" s="4">
        <f t="shared" si="90"/>
        <v>0</v>
      </c>
      <c r="T150" s="4">
        <f>$AG150*GETPIVOTDATA("Sum of TOTAL YEAR",RevenuePivot!$BT$12,"YEAR",T$5,"REFERENCE PRODUCT / SERVICE",$G150,"ITEM","REVENUE")</f>
        <v>0</v>
      </c>
      <c r="U150" s="4">
        <f>$AG150*GETPIVOTDATA("Sum of TOTAL YEAR",RevenuePivot!$BT$12,"YEAR",U$5,"REFERENCE PRODUCT / SERVICE",$G150,"ITEM","REVENUE")</f>
        <v>0</v>
      </c>
      <c r="V150" s="4">
        <f>$AG150*GETPIVOTDATA("Sum of TOTAL YEAR",RevenuePivot!$BT$12,"YEAR",V$5,"REFERENCE PRODUCT / SERVICE",$G150,"ITEM","REVENUE")</f>
        <v>0</v>
      </c>
      <c r="W150" s="4">
        <f>$AG150*GETPIVOTDATA("Sum of TOTAL YEAR",RevenuePivot!$BT$12,"YEAR",W$5,"REFERENCE PRODUCT / SERVICE",$G150,"ITEM","REVENUE")</f>
        <v>0</v>
      </c>
      <c r="X150" s="4">
        <f>$AG150*GETPIVOTDATA("Sum of TOTAL YEAR",RevenuePivot!$BT$12,"YEAR",X$5,"REFERENCE PRODUCT / SERVICE",$G150,"ITEM","REVENUE")</f>
        <v>0</v>
      </c>
      <c r="Y150" s="604"/>
      <c r="Z150" s="3" t="str">
        <f>VLOOKUP($D150,TableInputsData[],ReadMe!$M$3,FALSE)&amp;"  |  "&amp;VLOOKUP($E150,TableInputsData[],ReadMe!$M$3,FALSE)&amp;"  |  "&amp;VLOOKUP($G150,TableInputsData[],ReadMe!$M$3,FALSE)</f>
        <v>CA ET MARGE BRUTE  |  REVENUS SERVICES  |  SERVICE 05</v>
      </c>
      <c r="AA150" s="3"/>
      <c r="AB150" s="34">
        <f t="shared" si="89"/>
        <v>1</v>
      </c>
      <c r="AC150" s="34"/>
      <c r="AD150" s="34"/>
      <c r="AE150" s="26"/>
      <c r="AF150" s="34">
        <v>1</v>
      </c>
      <c r="AG150" s="34">
        <f>VLOOKUP($G150,TableInputsData[],$AG$2,FALSE)</f>
        <v>0</v>
      </c>
      <c r="AH150" s="535"/>
      <c r="AI150" s="294"/>
    </row>
    <row r="151" spans="1:35" x14ac:dyDescent="0.2">
      <c r="A151" s="294"/>
      <c r="B151" s="944"/>
      <c r="C151" s="74">
        <v>1</v>
      </c>
      <c r="D151" s="75" t="s">
        <v>618</v>
      </c>
      <c r="E151" s="75" t="s">
        <v>627</v>
      </c>
      <c r="F151" s="3" t="s">
        <v>21</v>
      </c>
      <c r="G151" s="75" t="s">
        <v>551</v>
      </c>
      <c r="H151" s="5" t="str">
        <f>VLOOKUP($G151,TableInputsData[],6,FALSE)</f>
        <v>-</v>
      </c>
      <c r="I151" s="5" t="str">
        <f>VLOOKUP("SEE InputsData SHEET",TableInputsData[],ReadMe!$M$3,FALSE)</f>
        <v>VOIR FEUILLE InputData</v>
      </c>
      <c r="J151" s="26"/>
      <c r="K151" s="135"/>
      <c r="L151" s="127"/>
      <c r="M151" s="134"/>
      <c r="N151" s="60"/>
      <c r="O151" s="4">
        <f>$AG151*GETPIVOTDATA("Sum of TOTAL YEAR",RevenuePivot!$BT$12,"YEAR",O$5,"REFERENCE PRODUCT / SERVICE",$G151,"ITEM","REVENUE")</f>
        <v>0</v>
      </c>
      <c r="P151" s="4">
        <f>$AG151*GETPIVOTDATA("Sum of TOTAL YEAR",RevenuePivot!$BT$12,"YEAR",P$5,"REFERENCE PRODUCT / SERVICE",$G151,"ITEM","REVENUE")</f>
        <v>0</v>
      </c>
      <c r="Q151" s="4">
        <f>$AG151*GETPIVOTDATA("Sum of SEMESTRE 1",RevenuePivot!$BT$12,"YEAR",Q$5,"REFERENCE PRODUCT / SERVICE",$G151,"ITEM","REVENUE")</f>
        <v>0</v>
      </c>
      <c r="R151" s="4">
        <f>$AG151*GETPIVOTDATA("Sum of SEMESTRE 2",RevenuePivot!$BT$12,"YEAR",R$5,"REFERENCE PRODUCT / SERVICE",$G151,"ITEM","REVENUE")</f>
        <v>0</v>
      </c>
      <c r="S151" s="4">
        <f t="shared" si="90"/>
        <v>0</v>
      </c>
      <c r="T151" s="4">
        <f>$AG151*GETPIVOTDATA("Sum of TOTAL YEAR",RevenuePivot!$BT$12,"YEAR",T$5,"REFERENCE PRODUCT / SERVICE",$G151,"ITEM","REVENUE")</f>
        <v>0</v>
      </c>
      <c r="U151" s="4">
        <f>$AG151*GETPIVOTDATA("Sum of TOTAL YEAR",RevenuePivot!$BT$12,"YEAR",U$5,"REFERENCE PRODUCT / SERVICE",$G151,"ITEM","REVENUE")</f>
        <v>0</v>
      </c>
      <c r="V151" s="4">
        <f>$AG151*GETPIVOTDATA("Sum of TOTAL YEAR",RevenuePivot!$BT$12,"YEAR",V$5,"REFERENCE PRODUCT / SERVICE",$G151,"ITEM","REVENUE")</f>
        <v>0</v>
      </c>
      <c r="W151" s="4">
        <f>$AG151*GETPIVOTDATA("Sum of TOTAL YEAR",RevenuePivot!$BT$12,"YEAR",W$5,"REFERENCE PRODUCT / SERVICE",$G151,"ITEM","REVENUE")</f>
        <v>0</v>
      </c>
      <c r="X151" s="4">
        <f>$AG151*GETPIVOTDATA("Sum of TOTAL YEAR",RevenuePivot!$BT$12,"YEAR",X$5,"REFERENCE PRODUCT / SERVICE",$G151,"ITEM","REVENUE")</f>
        <v>0</v>
      </c>
      <c r="Y151" s="604"/>
      <c r="Z151" s="3" t="str">
        <f>VLOOKUP($D151,TableInputsData[],ReadMe!$M$3,FALSE)&amp;"  |  "&amp;VLOOKUP($E151,TableInputsData[],ReadMe!$M$3,FALSE)&amp;"  |  "&amp;VLOOKUP($G151,TableInputsData[],ReadMe!$M$3,FALSE)</f>
        <v>CA ET MARGE BRUTE  |  REVENUS SERVICES  |  SERVICE 06</v>
      </c>
      <c r="AA151" s="3"/>
      <c r="AB151" s="34">
        <f t="shared" si="89"/>
        <v>1</v>
      </c>
      <c r="AC151" s="34"/>
      <c r="AD151" s="34"/>
      <c r="AE151" s="26"/>
      <c r="AF151" s="34">
        <v>1</v>
      </c>
      <c r="AG151" s="34">
        <f>VLOOKUP($G151,TableInputsData[],$AG$2,FALSE)</f>
        <v>0</v>
      </c>
      <c r="AH151" s="535"/>
      <c r="AI151" s="294"/>
    </row>
    <row r="152" spans="1:35" x14ac:dyDescent="0.2">
      <c r="A152" s="294"/>
      <c r="B152" s="944"/>
      <c r="C152" s="74">
        <v>1</v>
      </c>
      <c r="D152" s="75" t="s">
        <v>618</v>
      </c>
      <c r="E152" s="75" t="s">
        <v>627</v>
      </c>
      <c r="F152" s="3" t="s">
        <v>21</v>
      </c>
      <c r="G152" s="75" t="s">
        <v>552</v>
      </c>
      <c r="H152" s="5" t="str">
        <f>VLOOKUP($G152,TableInputsData[],6,FALSE)</f>
        <v>-</v>
      </c>
      <c r="I152" s="5" t="str">
        <f>VLOOKUP("SEE InputsData SHEET",TableInputsData[],ReadMe!$M$3,FALSE)</f>
        <v>VOIR FEUILLE InputData</v>
      </c>
      <c r="J152" s="26"/>
      <c r="K152" s="135"/>
      <c r="L152" s="127"/>
      <c r="M152" s="134"/>
      <c r="N152" s="60"/>
      <c r="O152" s="4">
        <f>$AG152*GETPIVOTDATA("Sum of TOTAL YEAR",RevenuePivot!$BT$12,"YEAR",O$5,"REFERENCE PRODUCT / SERVICE",$G152,"ITEM","REVENUE")</f>
        <v>0</v>
      </c>
      <c r="P152" s="4">
        <f>$AG152*GETPIVOTDATA("Sum of TOTAL YEAR",RevenuePivot!$BT$12,"YEAR",P$5,"REFERENCE PRODUCT / SERVICE",$G152,"ITEM","REVENUE")</f>
        <v>0</v>
      </c>
      <c r="Q152" s="4">
        <f>$AG152*GETPIVOTDATA("Sum of SEMESTRE 1",RevenuePivot!$BT$12,"YEAR",Q$5,"REFERENCE PRODUCT / SERVICE",$G152,"ITEM","REVENUE")</f>
        <v>0</v>
      </c>
      <c r="R152" s="4">
        <f>$AG152*GETPIVOTDATA("Sum of SEMESTRE 2",RevenuePivot!$BT$12,"YEAR",R$5,"REFERENCE PRODUCT / SERVICE",$G152,"ITEM","REVENUE")</f>
        <v>0</v>
      </c>
      <c r="S152" s="4">
        <f t="shared" si="90"/>
        <v>0</v>
      </c>
      <c r="T152" s="4">
        <f>$AG152*GETPIVOTDATA("Sum of TOTAL YEAR",RevenuePivot!$BT$12,"YEAR",T$5,"REFERENCE PRODUCT / SERVICE",$G152,"ITEM","REVENUE")</f>
        <v>0</v>
      </c>
      <c r="U152" s="4">
        <f>$AG152*GETPIVOTDATA("Sum of TOTAL YEAR",RevenuePivot!$BT$12,"YEAR",U$5,"REFERENCE PRODUCT / SERVICE",$G152,"ITEM","REVENUE")</f>
        <v>0</v>
      </c>
      <c r="V152" s="4">
        <f>$AG152*GETPIVOTDATA("Sum of TOTAL YEAR",RevenuePivot!$BT$12,"YEAR",V$5,"REFERENCE PRODUCT / SERVICE",$G152,"ITEM","REVENUE")</f>
        <v>0</v>
      </c>
      <c r="W152" s="4">
        <f>$AG152*GETPIVOTDATA("Sum of TOTAL YEAR",RevenuePivot!$BT$12,"YEAR",W$5,"REFERENCE PRODUCT / SERVICE",$G152,"ITEM","REVENUE")</f>
        <v>0</v>
      </c>
      <c r="X152" s="4">
        <f>$AG152*GETPIVOTDATA("Sum of TOTAL YEAR",RevenuePivot!$BT$12,"YEAR",X$5,"REFERENCE PRODUCT / SERVICE",$G152,"ITEM","REVENUE")</f>
        <v>0</v>
      </c>
      <c r="Y152" s="604"/>
      <c r="Z152" s="3" t="str">
        <f>VLOOKUP($D152,TableInputsData[],ReadMe!$M$3,FALSE)&amp;"  |  "&amp;VLOOKUP($E152,TableInputsData[],ReadMe!$M$3,FALSE)&amp;"  |  "&amp;VLOOKUP($G152,TableInputsData[],ReadMe!$M$3,FALSE)</f>
        <v>CA ET MARGE BRUTE  |  REVENUS SERVICES  |  SERVICE 07</v>
      </c>
      <c r="AA152" s="3"/>
      <c r="AB152" s="34">
        <f t="shared" si="89"/>
        <v>1</v>
      </c>
      <c r="AC152" s="34"/>
      <c r="AD152" s="34"/>
      <c r="AE152" s="26"/>
      <c r="AF152" s="34">
        <v>1</v>
      </c>
      <c r="AG152" s="34">
        <f>VLOOKUP($G152,TableInputsData[],$AG$2,FALSE)</f>
        <v>0</v>
      </c>
      <c r="AH152" s="535"/>
      <c r="AI152" s="294"/>
    </row>
    <row r="153" spans="1:35" x14ac:dyDescent="0.2">
      <c r="A153" s="294"/>
      <c r="B153" s="944"/>
      <c r="C153" s="74">
        <v>1</v>
      </c>
      <c r="D153" s="75" t="s">
        <v>618</v>
      </c>
      <c r="E153" s="75" t="s">
        <v>627</v>
      </c>
      <c r="F153" s="3" t="s">
        <v>21</v>
      </c>
      <c r="G153" s="75" t="s">
        <v>553</v>
      </c>
      <c r="H153" s="5" t="str">
        <f>VLOOKUP($G153,TableInputsData[],6,FALSE)</f>
        <v>-</v>
      </c>
      <c r="I153" s="5" t="str">
        <f>VLOOKUP("SEE InputsData SHEET",TableInputsData[],ReadMe!$M$3,FALSE)</f>
        <v>VOIR FEUILLE InputData</v>
      </c>
      <c r="J153" s="26"/>
      <c r="K153" s="135"/>
      <c r="L153" s="127"/>
      <c r="M153" s="134"/>
      <c r="N153" s="60"/>
      <c r="O153" s="4">
        <f>$AG153*GETPIVOTDATA("Sum of TOTAL YEAR",RevenuePivot!$BT$12,"YEAR",O$5,"REFERENCE PRODUCT / SERVICE",$G153,"ITEM","REVENUE")</f>
        <v>0</v>
      </c>
      <c r="P153" s="4">
        <f>$AG153*GETPIVOTDATA("Sum of TOTAL YEAR",RevenuePivot!$BT$12,"YEAR",P$5,"REFERENCE PRODUCT / SERVICE",$G153,"ITEM","REVENUE")</f>
        <v>0</v>
      </c>
      <c r="Q153" s="4">
        <f>$AG153*GETPIVOTDATA("Sum of SEMESTRE 1",RevenuePivot!$BT$12,"YEAR",Q$5,"REFERENCE PRODUCT / SERVICE",$G153,"ITEM","REVENUE")</f>
        <v>0</v>
      </c>
      <c r="R153" s="4">
        <f>$AG153*GETPIVOTDATA("Sum of SEMESTRE 2",RevenuePivot!$BT$12,"YEAR",R$5,"REFERENCE PRODUCT / SERVICE",$G153,"ITEM","REVENUE")</f>
        <v>0</v>
      </c>
      <c r="S153" s="4">
        <f t="shared" si="90"/>
        <v>0</v>
      </c>
      <c r="T153" s="4">
        <f>$AG153*GETPIVOTDATA("Sum of TOTAL YEAR",RevenuePivot!$BT$12,"YEAR",T$5,"REFERENCE PRODUCT / SERVICE",$G153,"ITEM","REVENUE")</f>
        <v>0</v>
      </c>
      <c r="U153" s="4">
        <f>$AG153*GETPIVOTDATA("Sum of TOTAL YEAR",RevenuePivot!$BT$12,"YEAR",U$5,"REFERENCE PRODUCT / SERVICE",$G153,"ITEM","REVENUE")</f>
        <v>0</v>
      </c>
      <c r="V153" s="4">
        <f>$AG153*GETPIVOTDATA("Sum of TOTAL YEAR",RevenuePivot!$BT$12,"YEAR",V$5,"REFERENCE PRODUCT / SERVICE",$G153,"ITEM","REVENUE")</f>
        <v>0</v>
      </c>
      <c r="W153" s="4">
        <f>$AG153*GETPIVOTDATA("Sum of TOTAL YEAR",RevenuePivot!$BT$12,"YEAR",W$5,"REFERENCE PRODUCT / SERVICE",$G153,"ITEM","REVENUE")</f>
        <v>0</v>
      </c>
      <c r="X153" s="4">
        <f>$AG153*GETPIVOTDATA("Sum of TOTAL YEAR",RevenuePivot!$BT$12,"YEAR",X$5,"REFERENCE PRODUCT / SERVICE",$G153,"ITEM","REVENUE")</f>
        <v>0</v>
      </c>
      <c r="Y153" s="604"/>
      <c r="Z153" s="3" t="str">
        <f>VLOOKUP($D153,TableInputsData[],ReadMe!$M$3,FALSE)&amp;"  |  "&amp;VLOOKUP($E153,TableInputsData[],ReadMe!$M$3,FALSE)&amp;"  |  "&amp;VLOOKUP($G153,TableInputsData[],ReadMe!$M$3,FALSE)</f>
        <v>CA ET MARGE BRUTE  |  REVENUS SERVICES  |  SERVICE 08</v>
      </c>
      <c r="AA153" s="3"/>
      <c r="AB153" s="34">
        <f t="shared" si="89"/>
        <v>1</v>
      </c>
      <c r="AC153" s="34"/>
      <c r="AD153" s="34"/>
      <c r="AE153" s="26"/>
      <c r="AF153" s="34">
        <v>1</v>
      </c>
      <c r="AG153" s="34">
        <f>VLOOKUP($G153,TableInputsData[],$AG$2,FALSE)</f>
        <v>0</v>
      </c>
      <c r="AH153" s="535"/>
      <c r="AI153" s="294"/>
    </row>
    <row r="154" spans="1:35" x14ac:dyDescent="0.2">
      <c r="A154" s="294"/>
      <c r="B154" s="944"/>
      <c r="C154" s="74">
        <v>1</v>
      </c>
      <c r="D154" s="75" t="s">
        <v>618</v>
      </c>
      <c r="E154" s="75" t="s">
        <v>627</v>
      </c>
      <c r="F154" s="3" t="s">
        <v>21</v>
      </c>
      <c r="G154" s="75" t="s">
        <v>554</v>
      </c>
      <c r="H154" s="5" t="str">
        <f>VLOOKUP($G154,TableInputsData[],6,FALSE)</f>
        <v>-</v>
      </c>
      <c r="I154" s="5" t="str">
        <f>VLOOKUP("SEE InputsData SHEET",TableInputsData[],ReadMe!$M$3,FALSE)</f>
        <v>VOIR FEUILLE InputData</v>
      </c>
      <c r="J154" s="26"/>
      <c r="K154" s="135"/>
      <c r="L154" s="127"/>
      <c r="M154" s="134"/>
      <c r="N154" s="60"/>
      <c r="O154" s="4">
        <f>$AG154*GETPIVOTDATA("Sum of TOTAL YEAR",RevenuePivot!$BT$12,"YEAR",O$5,"REFERENCE PRODUCT / SERVICE",$G154,"ITEM","REVENUE")</f>
        <v>0</v>
      </c>
      <c r="P154" s="4">
        <f>$AG154*GETPIVOTDATA("Sum of TOTAL YEAR",RevenuePivot!$BT$12,"YEAR",P$5,"REFERENCE PRODUCT / SERVICE",$G154,"ITEM","REVENUE")</f>
        <v>0</v>
      </c>
      <c r="Q154" s="4">
        <f>$AG154*GETPIVOTDATA("Sum of SEMESTRE 1",RevenuePivot!$BT$12,"YEAR",Q$5,"REFERENCE PRODUCT / SERVICE",$G154,"ITEM","REVENUE")</f>
        <v>0</v>
      </c>
      <c r="R154" s="4">
        <f>$AG154*GETPIVOTDATA("Sum of SEMESTRE 2",RevenuePivot!$BT$12,"YEAR",R$5,"REFERENCE PRODUCT / SERVICE",$G154,"ITEM","REVENUE")</f>
        <v>0</v>
      </c>
      <c r="S154" s="4">
        <f t="shared" si="90"/>
        <v>0</v>
      </c>
      <c r="T154" s="4">
        <f>$AG154*GETPIVOTDATA("Sum of TOTAL YEAR",RevenuePivot!$BT$12,"YEAR",T$5,"REFERENCE PRODUCT / SERVICE",$G154,"ITEM","REVENUE")</f>
        <v>0</v>
      </c>
      <c r="U154" s="4">
        <f>$AG154*GETPIVOTDATA("Sum of TOTAL YEAR",RevenuePivot!$BT$12,"YEAR",U$5,"REFERENCE PRODUCT / SERVICE",$G154,"ITEM","REVENUE")</f>
        <v>0</v>
      </c>
      <c r="V154" s="4">
        <f>$AG154*GETPIVOTDATA("Sum of TOTAL YEAR",RevenuePivot!$BT$12,"YEAR",V$5,"REFERENCE PRODUCT / SERVICE",$G154,"ITEM","REVENUE")</f>
        <v>0</v>
      </c>
      <c r="W154" s="4">
        <f>$AG154*GETPIVOTDATA("Sum of TOTAL YEAR",RevenuePivot!$BT$12,"YEAR",W$5,"REFERENCE PRODUCT / SERVICE",$G154,"ITEM","REVENUE")</f>
        <v>0</v>
      </c>
      <c r="X154" s="4">
        <f>$AG154*GETPIVOTDATA("Sum of TOTAL YEAR",RevenuePivot!$BT$12,"YEAR",X$5,"REFERENCE PRODUCT / SERVICE",$G154,"ITEM","REVENUE")</f>
        <v>0</v>
      </c>
      <c r="Y154" s="604"/>
      <c r="Z154" s="3" t="str">
        <f>VLOOKUP($D154,TableInputsData[],ReadMe!$M$3,FALSE)&amp;"  |  "&amp;VLOOKUP($E154,TableInputsData[],ReadMe!$M$3,FALSE)&amp;"  |  "&amp;VLOOKUP($G154,TableInputsData[],ReadMe!$M$3,FALSE)</f>
        <v>CA ET MARGE BRUTE  |  REVENUS SERVICES  |  SERVICE 09</v>
      </c>
      <c r="AA154" s="3"/>
      <c r="AB154" s="34">
        <f t="shared" si="89"/>
        <v>1</v>
      </c>
      <c r="AC154" s="34"/>
      <c r="AD154" s="34"/>
      <c r="AE154" s="26"/>
      <c r="AF154" s="34">
        <v>1</v>
      </c>
      <c r="AG154" s="34">
        <f>VLOOKUP($G154,TableInputsData[],$AG$2,FALSE)</f>
        <v>0</v>
      </c>
      <c r="AH154" s="535"/>
      <c r="AI154" s="294"/>
    </row>
    <row r="155" spans="1:35" x14ac:dyDescent="0.2">
      <c r="A155" s="294"/>
      <c r="B155" s="944"/>
      <c r="C155" s="77">
        <v>1</v>
      </c>
      <c r="D155" s="78" t="s">
        <v>618</v>
      </c>
      <c r="E155" s="78" t="s">
        <v>627</v>
      </c>
      <c r="F155" s="6" t="s">
        <v>21</v>
      </c>
      <c r="G155" s="75" t="s">
        <v>115</v>
      </c>
      <c r="H155" s="5" t="str">
        <f>VLOOKUP($G155,TableInputsData[],6,FALSE)</f>
        <v>-</v>
      </c>
      <c r="I155" s="5" t="str">
        <f>VLOOKUP("SEE InputsData SHEET",TableInputsData[],ReadMe!$M$3,FALSE)</f>
        <v>VOIR FEUILLE InputData</v>
      </c>
      <c r="J155" s="26"/>
      <c r="K155" s="135"/>
      <c r="L155" s="127"/>
      <c r="M155" s="134"/>
      <c r="N155" s="60"/>
      <c r="O155" s="4">
        <f>$AG155*GETPIVOTDATA("Sum of TOTAL YEAR",RevenuePivot!$BT$12,"YEAR",O$5,"REFERENCE PRODUCT / SERVICE",$G155,"ITEM","REVENUE")</f>
        <v>0</v>
      </c>
      <c r="P155" s="4">
        <f>$AG155*GETPIVOTDATA("Sum of TOTAL YEAR",RevenuePivot!$BT$12,"YEAR",P$5,"REFERENCE PRODUCT / SERVICE",$G155,"ITEM","REVENUE")</f>
        <v>0</v>
      </c>
      <c r="Q155" s="4">
        <f>$AG155*GETPIVOTDATA("Sum of SEMESTRE 1",RevenuePivot!$BT$12,"YEAR",Q$5,"REFERENCE PRODUCT / SERVICE",$G155,"ITEM","REVENUE")</f>
        <v>0</v>
      </c>
      <c r="R155" s="4">
        <f>$AG155*GETPIVOTDATA("Sum of SEMESTRE 2",RevenuePivot!$BT$12,"YEAR",R$5,"REFERENCE PRODUCT / SERVICE",$G155,"ITEM","REVENUE")</f>
        <v>0</v>
      </c>
      <c r="S155" s="4">
        <f t="shared" si="90"/>
        <v>0</v>
      </c>
      <c r="T155" s="4">
        <f>$AG155*GETPIVOTDATA("Sum of TOTAL YEAR",RevenuePivot!$BT$12,"YEAR",T$5,"REFERENCE PRODUCT / SERVICE",$G155,"ITEM","REVENUE")</f>
        <v>0</v>
      </c>
      <c r="U155" s="4">
        <f>$AG155*GETPIVOTDATA("Sum of TOTAL YEAR",RevenuePivot!$BT$12,"YEAR",U$5,"REFERENCE PRODUCT / SERVICE",$G155,"ITEM","REVENUE")</f>
        <v>0</v>
      </c>
      <c r="V155" s="4">
        <f>$AG155*GETPIVOTDATA("Sum of TOTAL YEAR",RevenuePivot!$BT$12,"YEAR",V$5,"REFERENCE PRODUCT / SERVICE",$G155,"ITEM","REVENUE")</f>
        <v>0</v>
      </c>
      <c r="W155" s="4">
        <f>$AG155*GETPIVOTDATA("Sum of TOTAL YEAR",RevenuePivot!$BT$12,"YEAR",W$5,"REFERENCE PRODUCT / SERVICE",$G155,"ITEM","REVENUE")</f>
        <v>0</v>
      </c>
      <c r="X155" s="4">
        <f>$AG155*GETPIVOTDATA("Sum of TOTAL YEAR",RevenuePivot!$BT$12,"YEAR",X$5,"REFERENCE PRODUCT / SERVICE",$G155,"ITEM","REVENUE")</f>
        <v>0</v>
      </c>
      <c r="Y155" s="604"/>
      <c r="Z155" s="6" t="str">
        <f>VLOOKUP($D155,TableInputsData[],ReadMe!$M$3,FALSE)&amp;"  |  "&amp;VLOOKUP($E155,TableInputsData[],ReadMe!$M$3,FALSE)&amp;"  |  "&amp;VLOOKUP($G155,TableInputsData[],ReadMe!$M$3,FALSE)</f>
        <v>CA ET MARGE BRUTE  |  REVENUS SERVICES  |  SERVICE 10</v>
      </c>
      <c r="AA155" s="6"/>
      <c r="AB155" s="36">
        <f t="shared" si="89"/>
        <v>1</v>
      </c>
      <c r="AC155" s="36"/>
      <c r="AD155" s="36"/>
      <c r="AE155" s="91"/>
      <c r="AF155" s="36">
        <v>1</v>
      </c>
      <c r="AG155" s="36">
        <f>VLOOKUP($G155,TableInputsData[],$AG$2,FALSE)</f>
        <v>0</v>
      </c>
      <c r="AH155" s="536"/>
      <c r="AI155" s="294"/>
    </row>
    <row r="156" spans="1:35" x14ac:dyDescent="0.2">
      <c r="A156" s="294"/>
      <c r="B156" s="944"/>
      <c r="C156" s="79">
        <v>1</v>
      </c>
      <c r="D156" s="80" t="s">
        <v>618</v>
      </c>
      <c r="E156" s="80" t="s">
        <v>627</v>
      </c>
      <c r="F156" s="16" t="s">
        <v>21</v>
      </c>
      <c r="G156" s="80" t="s">
        <v>121</v>
      </c>
      <c r="H156" s="80" t="s">
        <v>29</v>
      </c>
      <c r="I156" s="81"/>
      <c r="J156" s="89"/>
      <c r="K156" s="89"/>
      <c r="L156" s="103"/>
      <c r="M156" s="119"/>
      <c r="N156" s="847"/>
      <c r="O156" s="18">
        <f>SUM(O146:O155)</f>
        <v>0</v>
      </c>
      <c r="P156" s="18">
        <f t="shared" ref="P156:X156" si="91">SUM(P146:P155)</f>
        <v>0</v>
      </c>
      <c r="Q156" s="18">
        <f t="shared" si="91"/>
        <v>0</v>
      </c>
      <c r="R156" s="18">
        <f t="shared" si="91"/>
        <v>0</v>
      </c>
      <c r="S156" s="18">
        <f t="shared" si="91"/>
        <v>0</v>
      </c>
      <c r="T156" s="18">
        <f t="shared" si="91"/>
        <v>0</v>
      </c>
      <c r="U156" s="18">
        <f t="shared" si="91"/>
        <v>0</v>
      </c>
      <c r="V156" s="18">
        <f t="shared" si="91"/>
        <v>0</v>
      </c>
      <c r="W156" s="18">
        <f t="shared" si="91"/>
        <v>0</v>
      </c>
      <c r="X156" s="18">
        <f t="shared" si="91"/>
        <v>0</v>
      </c>
      <c r="Y156" s="18"/>
      <c r="Z156" s="16" t="str">
        <f>VLOOKUP($D156,TableInputsData[],ReadMe!$M$3,FALSE)&amp;"  |  "&amp;VLOOKUP($E156,TableInputsData[],ReadMe!$M$3,FALSE)&amp;"  |  "&amp;VLOOKUP($G156,TableInputsData[],ReadMe!$M$3,FALSE)</f>
        <v>CA ET MARGE BRUTE  |  REVENUS SERVICES  |  SERVICE</v>
      </c>
      <c r="AA156" s="371" t="b">
        <f>EXACT(SUM(TableFinanceData[[#This Row],[YEAR-2]:[YEAR6]])-TableFinanceData[[#This Row],[CURRENT YEAR]],IF(ISBLANK(GETPIVOTDATA("TOTAL YEAR",RevenuePivot!$BK$13,"TYPE PRODUCT / SERVICE","SERVICE","ITEM","REVENUE")),0,GETPIVOTDATA("TOTAL YEAR",RevenuePivot!$BK$13,"TYPE PRODUCT / SERVICE","SERVICE","ITEM","REVENUE")))</f>
        <v>1</v>
      </c>
      <c r="AB156" s="27">
        <v>1</v>
      </c>
      <c r="AC156" s="27">
        <v>3</v>
      </c>
      <c r="AD156" s="27"/>
      <c r="AE156" s="27"/>
      <c r="AF156" s="27">
        <v>1</v>
      </c>
      <c r="AG156" s="27"/>
      <c r="AH156" s="533"/>
      <c r="AI156" s="294"/>
    </row>
    <row r="157" spans="1:35" x14ac:dyDescent="0.2">
      <c r="A157" s="294"/>
      <c r="B157" s="944"/>
      <c r="C157" s="82">
        <v>1</v>
      </c>
      <c r="D157" s="83"/>
      <c r="E157" s="83"/>
      <c r="F157" s="83"/>
      <c r="G157" s="83"/>
      <c r="H157" s="84"/>
      <c r="I157" s="84"/>
      <c r="J157" s="90"/>
      <c r="K157" s="90"/>
      <c r="L157" s="104"/>
      <c r="M157" s="120"/>
      <c r="N157" s="848"/>
      <c r="O157" s="10"/>
      <c r="P157" s="10"/>
      <c r="Q157" s="10"/>
      <c r="R157" s="10"/>
      <c r="S157" s="10"/>
      <c r="T157" s="10"/>
      <c r="U157" s="10"/>
      <c r="V157" s="10"/>
      <c r="W157" s="10"/>
      <c r="X157" s="10"/>
      <c r="Y157" s="10"/>
      <c r="Z157" s="8"/>
      <c r="AA157" s="8"/>
      <c r="AB157" s="35"/>
      <c r="AC157" s="35"/>
      <c r="AD157" s="35"/>
      <c r="AE157" s="87"/>
      <c r="AF157" s="35"/>
      <c r="AG157" s="35"/>
      <c r="AH157" s="534"/>
      <c r="AI157" s="294"/>
    </row>
    <row r="158" spans="1:35" ht="12.75" customHeight="1" x14ac:dyDescent="0.2">
      <c r="A158" s="294"/>
      <c r="B158" s="944"/>
      <c r="C158" s="74">
        <v>1</v>
      </c>
      <c r="D158" s="75" t="s">
        <v>618</v>
      </c>
      <c r="E158" s="75" t="s">
        <v>628</v>
      </c>
      <c r="F158" s="3" t="s">
        <v>21</v>
      </c>
      <c r="G158" s="75" t="s">
        <v>546</v>
      </c>
      <c r="H158" s="5" t="str">
        <f>VLOOKUP($G158,TableInputsData[],6,FALSE)</f>
        <v>-</v>
      </c>
      <c r="I158" s="5" t="str">
        <f>VLOOKUP("SEE InputsData SHEET",TableInputsData[],ReadMe!$M$3,FALSE)</f>
        <v>VOIR FEUILLE InputData</v>
      </c>
      <c r="J158" s="26"/>
      <c r="K158" s="135"/>
      <c r="L158" s="127"/>
      <c r="M158" s="134"/>
      <c r="N158" s="60"/>
      <c r="O158" s="4">
        <f>$AG158*GETPIVOTDATA("Sum of TOTAL YEAR",RevenuePivot!$BT$12,"YEAR",O$5,"REFERENCE PRODUCT / SERVICE",$G158,"ITEM","COST OF GOODS SOLD")</f>
        <v>0</v>
      </c>
      <c r="P158" s="4">
        <f>$AG158*GETPIVOTDATA("Sum of TOTAL YEAR",RevenuePivot!$BT$12,"YEAR",P$5,"REFERENCE PRODUCT / SERVICE",$G158,"ITEM","COST OF GOODS SOLD")</f>
        <v>0</v>
      </c>
      <c r="Q158" s="4">
        <f>$AG158*GETPIVOTDATA("Sum of SEMESTRE 1",RevenuePivot!$BT$12,"YEAR",Q$5,"REFERENCE PRODUCT / SERVICE",$G158,"ITEM","COST OF GOODS SOLD")</f>
        <v>0</v>
      </c>
      <c r="R158" s="4">
        <f>$AG158*GETPIVOTDATA("Sum of SEMESTRE 2",RevenuePivot!$BT$12,"YEAR",R$5,"REFERENCE PRODUCT / SERVICE",$G158,"ITEM","COST OF GOODS SOLD")</f>
        <v>0</v>
      </c>
      <c r="S158" s="4">
        <f>Q158+R158</f>
        <v>0</v>
      </c>
      <c r="T158" s="4">
        <f>$AG158*GETPIVOTDATA("Sum of TOTAL YEAR",RevenuePivot!$BT$12,"YEAR",T$5,"REFERENCE PRODUCT / SERVICE",$G158,"ITEM","COST OF GOODS SOLD")</f>
        <v>0</v>
      </c>
      <c r="U158" s="4">
        <f>$AG158*GETPIVOTDATA("Sum of TOTAL YEAR",RevenuePivot!$BT$12,"YEAR",U$5,"REFERENCE PRODUCT / SERVICE",$G158,"ITEM","COST OF GOODS SOLD")</f>
        <v>0</v>
      </c>
      <c r="V158" s="4">
        <f>$AG158*GETPIVOTDATA("Sum of TOTAL YEAR",RevenuePivot!$BT$12,"YEAR",V$5,"REFERENCE PRODUCT / SERVICE",$G158,"ITEM","COST OF GOODS SOLD")</f>
        <v>0</v>
      </c>
      <c r="W158" s="4">
        <f>$AG158*GETPIVOTDATA("Sum of TOTAL YEAR",RevenuePivot!$BT$12,"YEAR",W$5,"REFERENCE PRODUCT / SERVICE",$G158,"ITEM","COST OF GOODS SOLD")</f>
        <v>0</v>
      </c>
      <c r="X158" s="4">
        <f>$AG158*GETPIVOTDATA("Sum of TOTAL YEAR",RevenuePivot!$BT$12,"YEAR",X$5,"REFERENCE PRODUCT / SERVICE",$G158,"ITEM","COST OF GOODS SOLD")</f>
        <v>0</v>
      </c>
      <c r="Y158" s="604"/>
      <c r="Z158" s="3" t="str">
        <f>VLOOKUP($D158,TableInputsData[],ReadMe!$M$3,FALSE)&amp;"  |  "&amp;VLOOKUP($E158,TableInputsData[],ReadMe!$M$3,FALSE)&amp;"  |  "&amp;VLOOKUP($G158,TableInputsData[],ReadMe!$M$3,FALSE)</f>
        <v>CA ET MARGE BRUTE  |  COUT DES SERVICES VENDUS  |  SERVICE 01</v>
      </c>
      <c r="AA158" s="3"/>
      <c r="AB158" s="34">
        <f>IF(AND(SUM(O158:X158)=0,H158=""),0,1)</f>
        <v>1</v>
      </c>
      <c r="AC158" s="34"/>
      <c r="AD158" s="34"/>
      <c r="AE158" s="26"/>
      <c r="AF158" s="34">
        <v>1</v>
      </c>
      <c r="AG158" s="34">
        <f>VLOOKUP($G158,TableInputsData[],$AG$2,FALSE)</f>
        <v>0</v>
      </c>
      <c r="AH158" s="535"/>
      <c r="AI158" s="294"/>
    </row>
    <row r="159" spans="1:35" x14ac:dyDescent="0.2">
      <c r="A159" s="294"/>
      <c r="B159" s="944"/>
      <c r="C159" s="74">
        <v>1</v>
      </c>
      <c r="D159" s="75" t="s">
        <v>618</v>
      </c>
      <c r="E159" s="75" t="s">
        <v>628</v>
      </c>
      <c r="F159" s="3" t="s">
        <v>21</v>
      </c>
      <c r="G159" s="75" t="s">
        <v>547</v>
      </c>
      <c r="H159" s="5" t="str">
        <f>VLOOKUP($G159,TableInputsData[],6,FALSE)</f>
        <v>-</v>
      </c>
      <c r="I159" s="5" t="str">
        <f>VLOOKUP("SEE InputsData SHEET",TableInputsData[],ReadMe!$M$3,FALSE)</f>
        <v>VOIR FEUILLE InputData</v>
      </c>
      <c r="J159" s="26"/>
      <c r="K159" s="135"/>
      <c r="L159" s="127"/>
      <c r="M159" s="134"/>
      <c r="N159" s="60"/>
      <c r="O159" s="4">
        <f>$AG159*GETPIVOTDATA("Sum of TOTAL YEAR",RevenuePivot!$BT$12,"YEAR",O$5,"REFERENCE PRODUCT / SERVICE",$G159,"ITEM","COST OF GOODS SOLD")</f>
        <v>0</v>
      </c>
      <c r="P159" s="4">
        <f>$AG159*GETPIVOTDATA("Sum of TOTAL YEAR",RevenuePivot!$BT$12,"YEAR",P$5,"REFERENCE PRODUCT / SERVICE",$G159,"ITEM","COST OF GOODS SOLD")</f>
        <v>0</v>
      </c>
      <c r="Q159" s="4">
        <f>$AG159*GETPIVOTDATA("Sum of SEMESTRE 1",RevenuePivot!$BT$12,"YEAR",Q$5,"REFERENCE PRODUCT / SERVICE",$G159,"ITEM","COST OF GOODS SOLD")</f>
        <v>0</v>
      </c>
      <c r="R159" s="4">
        <f>$AG159*GETPIVOTDATA("Sum of SEMESTRE 2",RevenuePivot!$BT$12,"YEAR",R$5,"REFERENCE PRODUCT / SERVICE",$G159,"ITEM","COST OF GOODS SOLD")</f>
        <v>0</v>
      </c>
      <c r="S159" s="4">
        <f t="shared" ref="S159:S167" si="92">Q159+R159</f>
        <v>0</v>
      </c>
      <c r="T159" s="4">
        <f>$AG159*GETPIVOTDATA("Sum of TOTAL YEAR",RevenuePivot!$BT$12,"YEAR",T$5,"REFERENCE PRODUCT / SERVICE",$G159,"ITEM","COST OF GOODS SOLD")</f>
        <v>0</v>
      </c>
      <c r="U159" s="4">
        <f>$AG159*GETPIVOTDATA("Sum of TOTAL YEAR",RevenuePivot!$BT$12,"YEAR",U$5,"REFERENCE PRODUCT / SERVICE",$G159,"ITEM","COST OF GOODS SOLD")</f>
        <v>0</v>
      </c>
      <c r="V159" s="4">
        <f>$AG159*GETPIVOTDATA("Sum of TOTAL YEAR",RevenuePivot!$BT$12,"YEAR",V$5,"REFERENCE PRODUCT / SERVICE",$G159,"ITEM","COST OF GOODS SOLD")</f>
        <v>0</v>
      </c>
      <c r="W159" s="4">
        <f>$AG159*GETPIVOTDATA("Sum of TOTAL YEAR",RevenuePivot!$BT$12,"YEAR",W$5,"REFERENCE PRODUCT / SERVICE",$G159,"ITEM","COST OF GOODS SOLD")</f>
        <v>0</v>
      </c>
      <c r="X159" s="4">
        <f>$AG159*GETPIVOTDATA("Sum of TOTAL YEAR",RevenuePivot!$BT$12,"YEAR",X$5,"REFERENCE PRODUCT / SERVICE",$G159,"ITEM","COST OF GOODS SOLD")</f>
        <v>0</v>
      </c>
      <c r="Y159" s="604"/>
      <c r="Z159" s="3" t="str">
        <f>VLOOKUP($D159,TableInputsData[],ReadMe!$M$3,FALSE)&amp;"  |  "&amp;VLOOKUP($E159,TableInputsData[],ReadMe!$M$3,FALSE)&amp;"  |  "&amp;VLOOKUP($G159,TableInputsData[],ReadMe!$M$3,FALSE)</f>
        <v>CA ET MARGE BRUTE  |  COUT DES SERVICES VENDUS  |  SERVICE 02</v>
      </c>
      <c r="AA159" s="3"/>
      <c r="AB159" s="34">
        <f t="shared" ref="AB159:AB167" si="93">IF(AND(SUM(O159:X159)=0,H159=""),0,1)</f>
        <v>1</v>
      </c>
      <c r="AC159" s="34"/>
      <c r="AD159" s="34"/>
      <c r="AE159" s="26"/>
      <c r="AF159" s="34">
        <v>1</v>
      </c>
      <c r="AG159" s="34">
        <f>VLOOKUP($G159,TableInputsData[],$AG$2,FALSE)</f>
        <v>0</v>
      </c>
      <c r="AH159" s="535"/>
      <c r="AI159" s="294"/>
    </row>
    <row r="160" spans="1:35" x14ac:dyDescent="0.2">
      <c r="A160" s="294"/>
      <c r="B160" s="944"/>
      <c r="C160" s="74">
        <v>1</v>
      </c>
      <c r="D160" s="75" t="s">
        <v>618</v>
      </c>
      <c r="E160" s="75" t="s">
        <v>628</v>
      </c>
      <c r="F160" s="3" t="s">
        <v>21</v>
      </c>
      <c r="G160" s="75" t="s">
        <v>548</v>
      </c>
      <c r="H160" s="5" t="str">
        <f>VLOOKUP($G160,TableInputsData[],6,FALSE)</f>
        <v>-</v>
      </c>
      <c r="I160" s="5" t="str">
        <f>VLOOKUP("SEE InputsData SHEET",TableInputsData[],ReadMe!$M$3,FALSE)</f>
        <v>VOIR FEUILLE InputData</v>
      </c>
      <c r="J160" s="26"/>
      <c r="K160" s="135"/>
      <c r="L160" s="127"/>
      <c r="M160" s="134"/>
      <c r="N160" s="60"/>
      <c r="O160" s="4">
        <f>$AG160*GETPIVOTDATA("Sum of TOTAL YEAR",RevenuePivot!$BT$12,"YEAR",O$5,"REFERENCE PRODUCT / SERVICE",$G160,"ITEM","COST OF GOODS SOLD")</f>
        <v>0</v>
      </c>
      <c r="P160" s="4">
        <f>$AG160*GETPIVOTDATA("Sum of TOTAL YEAR",RevenuePivot!$BT$12,"YEAR",P$5,"REFERENCE PRODUCT / SERVICE",$G160,"ITEM","COST OF GOODS SOLD")</f>
        <v>0</v>
      </c>
      <c r="Q160" s="4">
        <f>$AG160*GETPIVOTDATA("Sum of SEMESTRE 1",RevenuePivot!$BT$12,"YEAR",Q$5,"REFERENCE PRODUCT / SERVICE",$G160,"ITEM","COST OF GOODS SOLD")</f>
        <v>0</v>
      </c>
      <c r="R160" s="4">
        <f>$AG160*GETPIVOTDATA("Sum of SEMESTRE 2",RevenuePivot!$BT$12,"YEAR",R$5,"REFERENCE PRODUCT / SERVICE",$G160,"ITEM","COST OF GOODS SOLD")</f>
        <v>0</v>
      </c>
      <c r="S160" s="4">
        <f t="shared" si="92"/>
        <v>0</v>
      </c>
      <c r="T160" s="4">
        <f>$AG160*GETPIVOTDATA("Sum of TOTAL YEAR",RevenuePivot!$BT$12,"YEAR",T$5,"REFERENCE PRODUCT / SERVICE",$G160,"ITEM","COST OF GOODS SOLD")</f>
        <v>0</v>
      </c>
      <c r="U160" s="4">
        <f>$AG160*GETPIVOTDATA("Sum of TOTAL YEAR",RevenuePivot!$BT$12,"YEAR",U$5,"REFERENCE PRODUCT / SERVICE",$G160,"ITEM","COST OF GOODS SOLD")</f>
        <v>0</v>
      </c>
      <c r="V160" s="4">
        <f>$AG160*GETPIVOTDATA("Sum of TOTAL YEAR",RevenuePivot!$BT$12,"YEAR",V$5,"REFERENCE PRODUCT / SERVICE",$G160,"ITEM","COST OF GOODS SOLD")</f>
        <v>0</v>
      </c>
      <c r="W160" s="4">
        <f>$AG160*GETPIVOTDATA("Sum of TOTAL YEAR",RevenuePivot!$BT$12,"YEAR",W$5,"REFERENCE PRODUCT / SERVICE",$G160,"ITEM","COST OF GOODS SOLD")</f>
        <v>0</v>
      </c>
      <c r="X160" s="4">
        <f>$AG160*GETPIVOTDATA("Sum of TOTAL YEAR",RevenuePivot!$BT$12,"YEAR",X$5,"REFERENCE PRODUCT / SERVICE",$G160,"ITEM","COST OF GOODS SOLD")</f>
        <v>0</v>
      </c>
      <c r="Y160" s="604"/>
      <c r="Z160" s="3" t="str">
        <f>VLOOKUP($D160,TableInputsData[],ReadMe!$M$3,FALSE)&amp;"  |  "&amp;VLOOKUP($E160,TableInputsData[],ReadMe!$M$3,FALSE)&amp;"  |  "&amp;VLOOKUP($G160,TableInputsData[],ReadMe!$M$3,FALSE)</f>
        <v>CA ET MARGE BRUTE  |  COUT DES SERVICES VENDUS  |  SERVICE 03</v>
      </c>
      <c r="AA160" s="3"/>
      <c r="AB160" s="34">
        <f t="shared" si="93"/>
        <v>1</v>
      </c>
      <c r="AC160" s="34"/>
      <c r="AD160" s="34"/>
      <c r="AE160" s="26"/>
      <c r="AF160" s="34">
        <v>1</v>
      </c>
      <c r="AG160" s="34">
        <f>VLOOKUP($G160,TableInputsData[],$AG$2,FALSE)</f>
        <v>0</v>
      </c>
      <c r="AH160" s="535"/>
      <c r="AI160" s="294"/>
    </row>
    <row r="161" spans="1:35" x14ac:dyDescent="0.2">
      <c r="A161" s="294"/>
      <c r="B161" s="944"/>
      <c r="C161" s="74">
        <v>1</v>
      </c>
      <c r="D161" s="75" t="s">
        <v>618</v>
      </c>
      <c r="E161" s="75" t="s">
        <v>628</v>
      </c>
      <c r="F161" s="3" t="s">
        <v>21</v>
      </c>
      <c r="G161" s="75" t="s">
        <v>549</v>
      </c>
      <c r="H161" s="5" t="str">
        <f>VLOOKUP($G161,TableInputsData[],6,FALSE)</f>
        <v>-</v>
      </c>
      <c r="I161" s="5" t="str">
        <f>VLOOKUP("SEE InputsData SHEET",TableInputsData[],ReadMe!$M$3,FALSE)</f>
        <v>VOIR FEUILLE InputData</v>
      </c>
      <c r="J161" s="26"/>
      <c r="K161" s="135"/>
      <c r="L161" s="127"/>
      <c r="M161" s="134"/>
      <c r="N161" s="60"/>
      <c r="O161" s="4">
        <f>$AG161*GETPIVOTDATA("Sum of TOTAL YEAR",RevenuePivot!$BT$12,"YEAR",O$5,"REFERENCE PRODUCT / SERVICE",$G161,"ITEM","COST OF GOODS SOLD")</f>
        <v>0</v>
      </c>
      <c r="P161" s="4">
        <f>$AG161*GETPIVOTDATA("Sum of TOTAL YEAR",RevenuePivot!$BT$12,"YEAR",P$5,"REFERENCE PRODUCT / SERVICE",$G161,"ITEM","COST OF GOODS SOLD")</f>
        <v>0</v>
      </c>
      <c r="Q161" s="4">
        <f>$AG161*GETPIVOTDATA("Sum of SEMESTRE 1",RevenuePivot!$BT$12,"YEAR",Q$5,"REFERENCE PRODUCT / SERVICE",$G161,"ITEM","COST OF GOODS SOLD")</f>
        <v>0</v>
      </c>
      <c r="R161" s="4">
        <f>$AG161*GETPIVOTDATA("Sum of SEMESTRE 2",RevenuePivot!$BT$12,"YEAR",R$5,"REFERENCE PRODUCT / SERVICE",$G161,"ITEM","COST OF GOODS SOLD")</f>
        <v>0</v>
      </c>
      <c r="S161" s="4">
        <f t="shared" si="92"/>
        <v>0</v>
      </c>
      <c r="T161" s="4">
        <f>$AG161*GETPIVOTDATA("Sum of TOTAL YEAR",RevenuePivot!$BT$12,"YEAR",T$5,"REFERENCE PRODUCT / SERVICE",$G161,"ITEM","COST OF GOODS SOLD")</f>
        <v>0</v>
      </c>
      <c r="U161" s="4">
        <f>$AG161*GETPIVOTDATA("Sum of TOTAL YEAR",RevenuePivot!$BT$12,"YEAR",U$5,"REFERENCE PRODUCT / SERVICE",$G161,"ITEM","COST OF GOODS SOLD")</f>
        <v>0</v>
      </c>
      <c r="V161" s="4">
        <f>$AG161*GETPIVOTDATA("Sum of TOTAL YEAR",RevenuePivot!$BT$12,"YEAR",V$5,"REFERENCE PRODUCT / SERVICE",$G161,"ITEM","COST OF GOODS SOLD")</f>
        <v>0</v>
      </c>
      <c r="W161" s="4">
        <f>$AG161*GETPIVOTDATA("Sum of TOTAL YEAR",RevenuePivot!$BT$12,"YEAR",W$5,"REFERENCE PRODUCT / SERVICE",$G161,"ITEM","COST OF GOODS SOLD")</f>
        <v>0</v>
      </c>
      <c r="X161" s="4">
        <f>$AG161*GETPIVOTDATA("Sum of TOTAL YEAR",RevenuePivot!$BT$12,"YEAR",X$5,"REFERENCE PRODUCT / SERVICE",$G161,"ITEM","COST OF GOODS SOLD")</f>
        <v>0</v>
      </c>
      <c r="Y161" s="604"/>
      <c r="Z161" s="3" t="str">
        <f>VLOOKUP($D161,TableInputsData[],ReadMe!$M$3,FALSE)&amp;"  |  "&amp;VLOOKUP($E161,TableInputsData[],ReadMe!$M$3,FALSE)&amp;"  |  "&amp;VLOOKUP($G161,TableInputsData[],ReadMe!$M$3,FALSE)</f>
        <v>CA ET MARGE BRUTE  |  COUT DES SERVICES VENDUS  |  SERVICE 04</v>
      </c>
      <c r="AA161" s="3"/>
      <c r="AB161" s="34">
        <f t="shared" si="93"/>
        <v>1</v>
      </c>
      <c r="AC161" s="34"/>
      <c r="AD161" s="34"/>
      <c r="AE161" s="26"/>
      <c r="AF161" s="34">
        <v>1</v>
      </c>
      <c r="AG161" s="34">
        <f>VLOOKUP($G161,TableInputsData[],$AG$2,FALSE)</f>
        <v>0</v>
      </c>
      <c r="AH161" s="535"/>
      <c r="AI161" s="294"/>
    </row>
    <row r="162" spans="1:35" x14ac:dyDescent="0.2">
      <c r="A162" s="294"/>
      <c r="B162" s="944"/>
      <c r="C162" s="74">
        <v>1</v>
      </c>
      <c r="D162" s="75" t="s">
        <v>618</v>
      </c>
      <c r="E162" s="75" t="s">
        <v>628</v>
      </c>
      <c r="F162" s="3" t="s">
        <v>21</v>
      </c>
      <c r="G162" s="75" t="s">
        <v>550</v>
      </c>
      <c r="H162" s="5" t="str">
        <f>VLOOKUP($G162,TableInputsData[],6,FALSE)</f>
        <v>-</v>
      </c>
      <c r="I162" s="5" t="str">
        <f>VLOOKUP("SEE InputsData SHEET",TableInputsData[],ReadMe!$M$3,FALSE)</f>
        <v>VOIR FEUILLE InputData</v>
      </c>
      <c r="J162" s="26"/>
      <c r="K162" s="135"/>
      <c r="L162" s="127"/>
      <c r="M162" s="134"/>
      <c r="N162" s="60"/>
      <c r="O162" s="4">
        <f>$AG162*GETPIVOTDATA("Sum of TOTAL YEAR",RevenuePivot!$BT$12,"YEAR",O$5,"REFERENCE PRODUCT / SERVICE",$G162,"ITEM","COST OF GOODS SOLD")</f>
        <v>0</v>
      </c>
      <c r="P162" s="4">
        <f>$AG162*GETPIVOTDATA("Sum of TOTAL YEAR",RevenuePivot!$BT$12,"YEAR",P$5,"REFERENCE PRODUCT / SERVICE",$G162,"ITEM","COST OF GOODS SOLD")</f>
        <v>0</v>
      </c>
      <c r="Q162" s="4">
        <f>$AG162*GETPIVOTDATA("Sum of SEMESTRE 1",RevenuePivot!$BT$12,"YEAR",Q$5,"REFERENCE PRODUCT / SERVICE",$G162,"ITEM","COST OF GOODS SOLD")</f>
        <v>0</v>
      </c>
      <c r="R162" s="4">
        <f>$AG162*GETPIVOTDATA("Sum of SEMESTRE 2",RevenuePivot!$BT$12,"YEAR",R$5,"REFERENCE PRODUCT / SERVICE",$G162,"ITEM","COST OF GOODS SOLD")</f>
        <v>0</v>
      </c>
      <c r="S162" s="4">
        <f t="shared" si="92"/>
        <v>0</v>
      </c>
      <c r="T162" s="4">
        <f>$AG162*GETPIVOTDATA("Sum of TOTAL YEAR",RevenuePivot!$BT$12,"YEAR",T$5,"REFERENCE PRODUCT / SERVICE",$G162,"ITEM","COST OF GOODS SOLD")</f>
        <v>0</v>
      </c>
      <c r="U162" s="4">
        <f>$AG162*GETPIVOTDATA("Sum of TOTAL YEAR",RevenuePivot!$BT$12,"YEAR",U$5,"REFERENCE PRODUCT / SERVICE",$G162,"ITEM","COST OF GOODS SOLD")</f>
        <v>0</v>
      </c>
      <c r="V162" s="4">
        <f>$AG162*GETPIVOTDATA("Sum of TOTAL YEAR",RevenuePivot!$BT$12,"YEAR",V$5,"REFERENCE PRODUCT / SERVICE",$G162,"ITEM","COST OF GOODS SOLD")</f>
        <v>0</v>
      </c>
      <c r="W162" s="4">
        <f>$AG162*GETPIVOTDATA("Sum of TOTAL YEAR",RevenuePivot!$BT$12,"YEAR",W$5,"REFERENCE PRODUCT / SERVICE",$G162,"ITEM","COST OF GOODS SOLD")</f>
        <v>0</v>
      </c>
      <c r="X162" s="4">
        <f>$AG162*GETPIVOTDATA("Sum of TOTAL YEAR",RevenuePivot!$BT$12,"YEAR",X$5,"REFERENCE PRODUCT / SERVICE",$G162,"ITEM","COST OF GOODS SOLD")</f>
        <v>0</v>
      </c>
      <c r="Y162" s="604"/>
      <c r="Z162" s="3" t="str">
        <f>VLOOKUP($D162,TableInputsData[],ReadMe!$M$3,FALSE)&amp;"  |  "&amp;VLOOKUP($E162,TableInputsData[],ReadMe!$M$3,FALSE)&amp;"  |  "&amp;VLOOKUP($G162,TableInputsData[],ReadMe!$M$3,FALSE)</f>
        <v>CA ET MARGE BRUTE  |  COUT DES SERVICES VENDUS  |  SERVICE 05</v>
      </c>
      <c r="AA162" s="3"/>
      <c r="AB162" s="34">
        <f t="shared" si="93"/>
        <v>1</v>
      </c>
      <c r="AC162" s="34"/>
      <c r="AD162" s="34"/>
      <c r="AE162" s="26"/>
      <c r="AF162" s="34">
        <v>1</v>
      </c>
      <c r="AG162" s="34">
        <f>VLOOKUP($G162,TableInputsData[],$AG$2,FALSE)</f>
        <v>0</v>
      </c>
      <c r="AH162" s="535"/>
      <c r="AI162" s="294"/>
    </row>
    <row r="163" spans="1:35" x14ac:dyDescent="0.2">
      <c r="A163" s="294"/>
      <c r="B163" s="944"/>
      <c r="C163" s="74">
        <v>1</v>
      </c>
      <c r="D163" s="75" t="s">
        <v>618</v>
      </c>
      <c r="E163" s="75" t="s">
        <v>628</v>
      </c>
      <c r="F163" s="3" t="s">
        <v>21</v>
      </c>
      <c r="G163" s="75" t="s">
        <v>551</v>
      </c>
      <c r="H163" s="5" t="str">
        <f>VLOOKUP($G163,TableInputsData[],6,FALSE)</f>
        <v>-</v>
      </c>
      <c r="I163" s="5" t="str">
        <f>VLOOKUP("SEE InputsData SHEET",TableInputsData[],ReadMe!$M$3,FALSE)</f>
        <v>VOIR FEUILLE InputData</v>
      </c>
      <c r="J163" s="26"/>
      <c r="K163" s="135"/>
      <c r="L163" s="127"/>
      <c r="M163" s="134"/>
      <c r="N163" s="60"/>
      <c r="O163" s="4">
        <f>$AG163*GETPIVOTDATA("Sum of TOTAL YEAR",RevenuePivot!$BT$12,"YEAR",O$5,"REFERENCE PRODUCT / SERVICE",$G163,"ITEM","COST OF GOODS SOLD")</f>
        <v>0</v>
      </c>
      <c r="P163" s="4">
        <f>$AG163*GETPIVOTDATA("Sum of TOTAL YEAR",RevenuePivot!$BT$12,"YEAR",P$5,"REFERENCE PRODUCT / SERVICE",$G163,"ITEM","COST OF GOODS SOLD")</f>
        <v>0</v>
      </c>
      <c r="Q163" s="4">
        <f>$AG163*GETPIVOTDATA("Sum of SEMESTRE 1",RevenuePivot!$BT$12,"YEAR",Q$5,"REFERENCE PRODUCT / SERVICE",$G163,"ITEM","COST OF GOODS SOLD")</f>
        <v>0</v>
      </c>
      <c r="R163" s="4">
        <f>$AG163*GETPIVOTDATA("Sum of SEMESTRE 2",RevenuePivot!$BT$12,"YEAR",R$5,"REFERENCE PRODUCT / SERVICE",$G163,"ITEM","COST OF GOODS SOLD")</f>
        <v>0</v>
      </c>
      <c r="S163" s="4">
        <f t="shared" si="92"/>
        <v>0</v>
      </c>
      <c r="T163" s="4">
        <f>$AG163*GETPIVOTDATA("Sum of TOTAL YEAR",RevenuePivot!$BT$12,"YEAR",T$5,"REFERENCE PRODUCT / SERVICE",$G163,"ITEM","COST OF GOODS SOLD")</f>
        <v>0</v>
      </c>
      <c r="U163" s="4">
        <f>$AG163*GETPIVOTDATA("Sum of TOTAL YEAR",RevenuePivot!$BT$12,"YEAR",U$5,"REFERENCE PRODUCT / SERVICE",$G163,"ITEM","COST OF GOODS SOLD")</f>
        <v>0</v>
      </c>
      <c r="V163" s="4">
        <f>$AG163*GETPIVOTDATA("Sum of TOTAL YEAR",RevenuePivot!$BT$12,"YEAR",V$5,"REFERENCE PRODUCT / SERVICE",$G163,"ITEM","COST OF GOODS SOLD")</f>
        <v>0</v>
      </c>
      <c r="W163" s="4">
        <f>$AG163*GETPIVOTDATA("Sum of TOTAL YEAR",RevenuePivot!$BT$12,"YEAR",W$5,"REFERENCE PRODUCT / SERVICE",$G163,"ITEM","COST OF GOODS SOLD")</f>
        <v>0</v>
      </c>
      <c r="X163" s="4">
        <f>$AG163*GETPIVOTDATA("Sum of TOTAL YEAR",RevenuePivot!$BT$12,"YEAR",X$5,"REFERENCE PRODUCT / SERVICE",$G163,"ITEM","COST OF GOODS SOLD")</f>
        <v>0</v>
      </c>
      <c r="Y163" s="604"/>
      <c r="Z163" s="3" t="str">
        <f>VLOOKUP($D163,TableInputsData[],ReadMe!$M$3,FALSE)&amp;"  |  "&amp;VLOOKUP($E163,TableInputsData[],ReadMe!$M$3,FALSE)&amp;"  |  "&amp;VLOOKUP($G163,TableInputsData[],ReadMe!$M$3,FALSE)</f>
        <v>CA ET MARGE BRUTE  |  COUT DES SERVICES VENDUS  |  SERVICE 06</v>
      </c>
      <c r="AA163" s="3"/>
      <c r="AB163" s="34">
        <f t="shared" si="93"/>
        <v>1</v>
      </c>
      <c r="AC163" s="34"/>
      <c r="AD163" s="34"/>
      <c r="AE163" s="26"/>
      <c r="AF163" s="34">
        <v>1</v>
      </c>
      <c r="AG163" s="34">
        <f>VLOOKUP($G163,TableInputsData[],$AG$2,FALSE)</f>
        <v>0</v>
      </c>
      <c r="AH163" s="535"/>
      <c r="AI163" s="294"/>
    </row>
    <row r="164" spans="1:35" x14ac:dyDescent="0.2">
      <c r="A164" s="294"/>
      <c r="B164" s="944"/>
      <c r="C164" s="74">
        <v>1</v>
      </c>
      <c r="D164" s="75" t="s">
        <v>618</v>
      </c>
      <c r="E164" s="75" t="s">
        <v>628</v>
      </c>
      <c r="F164" s="3" t="s">
        <v>21</v>
      </c>
      <c r="G164" s="75" t="s">
        <v>552</v>
      </c>
      <c r="H164" s="5" t="str">
        <f>VLOOKUP($G164,TableInputsData[],6,FALSE)</f>
        <v>-</v>
      </c>
      <c r="I164" s="5" t="str">
        <f>VLOOKUP("SEE InputsData SHEET",TableInputsData[],ReadMe!$M$3,FALSE)</f>
        <v>VOIR FEUILLE InputData</v>
      </c>
      <c r="J164" s="26"/>
      <c r="K164" s="135"/>
      <c r="L164" s="127"/>
      <c r="M164" s="134"/>
      <c r="N164" s="60"/>
      <c r="O164" s="4">
        <f>$AG164*GETPIVOTDATA("Sum of TOTAL YEAR",RevenuePivot!$BT$12,"YEAR",O$5,"REFERENCE PRODUCT / SERVICE",$G164,"ITEM","COST OF GOODS SOLD")</f>
        <v>0</v>
      </c>
      <c r="P164" s="4">
        <f>$AG164*GETPIVOTDATA("Sum of TOTAL YEAR",RevenuePivot!$BT$12,"YEAR",P$5,"REFERENCE PRODUCT / SERVICE",$G164,"ITEM","COST OF GOODS SOLD")</f>
        <v>0</v>
      </c>
      <c r="Q164" s="4">
        <f>$AG164*GETPIVOTDATA("Sum of SEMESTRE 1",RevenuePivot!$BT$12,"YEAR",Q$5,"REFERENCE PRODUCT / SERVICE",$G164,"ITEM","COST OF GOODS SOLD")</f>
        <v>0</v>
      </c>
      <c r="R164" s="4">
        <f>$AG164*GETPIVOTDATA("Sum of SEMESTRE 2",RevenuePivot!$BT$12,"YEAR",R$5,"REFERENCE PRODUCT / SERVICE",$G164,"ITEM","COST OF GOODS SOLD")</f>
        <v>0</v>
      </c>
      <c r="S164" s="4">
        <f t="shared" si="92"/>
        <v>0</v>
      </c>
      <c r="T164" s="4">
        <f>$AG164*GETPIVOTDATA("Sum of TOTAL YEAR",RevenuePivot!$BT$12,"YEAR",T$5,"REFERENCE PRODUCT / SERVICE",$G164,"ITEM","COST OF GOODS SOLD")</f>
        <v>0</v>
      </c>
      <c r="U164" s="4">
        <f>$AG164*GETPIVOTDATA("Sum of TOTAL YEAR",RevenuePivot!$BT$12,"YEAR",U$5,"REFERENCE PRODUCT / SERVICE",$G164,"ITEM","COST OF GOODS SOLD")</f>
        <v>0</v>
      </c>
      <c r="V164" s="4">
        <f>$AG164*GETPIVOTDATA("Sum of TOTAL YEAR",RevenuePivot!$BT$12,"YEAR",V$5,"REFERENCE PRODUCT / SERVICE",$G164,"ITEM","COST OF GOODS SOLD")</f>
        <v>0</v>
      </c>
      <c r="W164" s="4">
        <f>$AG164*GETPIVOTDATA("Sum of TOTAL YEAR",RevenuePivot!$BT$12,"YEAR",W$5,"REFERENCE PRODUCT / SERVICE",$G164,"ITEM","COST OF GOODS SOLD")</f>
        <v>0</v>
      </c>
      <c r="X164" s="4">
        <f>$AG164*GETPIVOTDATA("Sum of TOTAL YEAR",RevenuePivot!$BT$12,"YEAR",X$5,"REFERENCE PRODUCT / SERVICE",$G164,"ITEM","COST OF GOODS SOLD")</f>
        <v>0</v>
      </c>
      <c r="Y164" s="604"/>
      <c r="Z164" s="3" t="str">
        <f>VLOOKUP($D164,TableInputsData[],ReadMe!$M$3,FALSE)&amp;"  |  "&amp;VLOOKUP($E164,TableInputsData[],ReadMe!$M$3,FALSE)&amp;"  |  "&amp;VLOOKUP($G164,TableInputsData[],ReadMe!$M$3,FALSE)</f>
        <v>CA ET MARGE BRUTE  |  COUT DES SERVICES VENDUS  |  SERVICE 07</v>
      </c>
      <c r="AA164" s="3"/>
      <c r="AB164" s="34">
        <f t="shared" si="93"/>
        <v>1</v>
      </c>
      <c r="AC164" s="34"/>
      <c r="AD164" s="34"/>
      <c r="AE164" s="26"/>
      <c r="AF164" s="34">
        <v>1</v>
      </c>
      <c r="AG164" s="34">
        <f>VLOOKUP($G164,TableInputsData[],$AG$2,FALSE)</f>
        <v>0</v>
      </c>
      <c r="AH164" s="535"/>
      <c r="AI164" s="294"/>
    </row>
    <row r="165" spans="1:35" x14ac:dyDescent="0.2">
      <c r="A165" s="294"/>
      <c r="B165" s="944"/>
      <c r="C165" s="74">
        <v>1</v>
      </c>
      <c r="D165" s="75" t="s">
        <v>618</v>
      </c>
      <c r="E165" s="75" t="s">
        <v>628</v>
      </c>
      <c r="F165" s="3" t="s">
        <v>21</v>
      </c>
      <c r="G165" s="75" t="s">
        <v>553</v>
      </c>
      <c r="H165" s="5" t="str">
        <f>VLOOKUP($G165,TableInputsData[],6,FALSE)</f>
        <v>-</v>
      </c>
      <c r="I165" s="5" t="str">
        <f>VLOOKUP("SEE InputsData SHEET",TableInputsData[],ReadMe!$M$3,FALSE)</f>
        <v>VOIR FEUILLE InputData</v>
      </c>
      <c r="J165" s="26"/>
      <c r="K165" s="135"/>
      <c r="L165" s="127"/>
      <c r="M165" s="134"/>
      <c r="N165" s="60"/>
      <c r="O165" s="4">
        <f>$AG165*GETPIVOTDATA("Sum of TOTAL YEAR",RevenuePivot!$BT$12,"YEAR",O$5,"REFERENCE PRODUCT / SERVICE",$G165,"ITEM","COST OF GOODS SOLD")</f>
        <v>0</v>
      </c>
      <c r="P165" s="4">
        <f>$AG165*GETPIVOTDATA("Sum of TOTAL YEAR",RevenuePivot!$BT$12,"YEAR",P$5,"REFERENCE PRODUCT / SERVICE",$G165,"ITEM","COST OF GOODS SOLD")</f>
        <v>0</v>
      </c>
      <c r="Q165" s="4">
        <f>$AG165*GETPIVOTDATA("Sum of SEMESTRE 1",RevenuePivot!$BT$12,"YEAR",Q$5,"REFERENCE PRODUCT / SERVICE",$G165,"ITEM","COST OF GOODS SOLD")</f>
        <v>0</v>
      </c>
      <c r="R165" s="4">
        <f>$AG165*GETPIVOTDATA("Sum of SEMESTRE 2",RevenuePivot!$BT$12,"YEAR",R$5,"REFERENCE PRODUCT / SERVICE",$G165,"ITEM","COST OF GOODS SOLD")</f>
        <v>0</v>
      </c>
      <c r="S165" s="4">
        <f t="shared" si="92"/>
        <v>0</v>
      </c>
      <c r="T165" s="4">
        <f>$AG165*GETPIVOTDATA("Sum of TOTAL YEAR",RevenuePivot!$BT$12,"YEAR",T$5,"REFERENCE PRODUCT / SERVICE",$G165,"ITEM","COST OF GOODS SOLD")</f>
        <v>0</v>
      </c>
      <c r="U165" s="4">
        <f>$AG165*GETPIVOTDATA("Sum of TOTAL YEAR",RevenuePivot!$BT$12,"YEAR",U$5,"REFERENCE PRODUCT / SERVICE",$G165,"ITEM","COST OF GOODS SOLD")</f>
        <v>0</v>
      </c>
      <c r="V165" s="4">
        <f>$AG165*GETPIVOTDATA("Sum of TOTAL YEAR",RevenuePivot!$BT$12,"YEAR",V$5,"REFERENCE PRODUCT / SERVICE",$G165,"ITEM","COST OF GOODS SOLD")</f>
        <v>0</v>
      </c>
      <c r="W165" s="4">
        <f>$AG165*GETPIVOTDATA("Sum of TOTAL YEAR",RevenuePivot!$BT$12,"YEAR",W$5,"REFERENCE PRODUCT / SERVICE",$G165,"ITEM","COST OF GOODS SOLD")</f>
        <v>0</v>
      </c>
      <c r="X165" s="4">
        <f>$AG165*GETPIVOTDATA("Sum of TOTAL YEAR",RevenuePivot!$BT$12,"YEAR",X$5,"REFERENCE PRODUCT / SERVICE",$G165,"ITEM","COST OF GOODS SOLD")</f>
        <v>0</v>
      </c>
      <c r="Y165" s="604"/>
      <c r="Z165" s="3" t="str">
        <f>VLOOKUP($D165,TableInputsData[],ReadMe!$M$3,FALSE)&amp;"  |  "&amp;VLOOKUP($E165,TableInputsData[],ReadMe!$M$3,FALSE)&amp;"  |  "&amp;VLOOKUP($G165,TableInputsData[],ReadMe!$M$3,FALSE)</f>
        <v>CA ET MARGE BRUTE  |  COUT DES SERVICES VENDUS  |  SERVICE 08</v>
      </c>
      <c r="AA165" s="3"/>
      <c r="AB165" s="34">
        <f t="shared" si="93"/>
        <v>1</v>
      </c>
      <c r="AC165" s="34"/>
      <c r="AD165" s="34"/>
      <c r="AE165" s="26"/>
      <c r="AF165" s="34">
        <v>1</v>
      </c>
      <c r="AG165" s="34">
        <f>VLOOKUP($G165,TableInputsData[],$AG$2,FALSE)</f>
        <v>0</v>
      </c>
      <c r="AH165" s="535"/>
      <c r="AI165" s="294"/>
    </row>
    <row r="166" spans="1:35" x14ac:dyDescent="0.2">
      <c r="A166" s="294"/>
      <c r="B166" s="944"/>
      <c r="C166" s="74">
        <v>1</v>
      </c>
      <c r="D166" s="75" t="s">
        <v>618</v>
      </c>
      <c r="E166" s="75" t="s">
        <v>628</v>
      </c>
      <c r="F166" s="3" t="s">
        <v>21</v>
      </c>
      <c r="G166" s="75" t="s">
        <v>554</v>
      </c>
      <c r="H166" s="5" t="str">
        <f>VLOOKUP($G166,TableInputsData[],6,FALSE)</f>
        <v>-</v>
      </c>
      <c r="I166" s="5" t="str">
        <f>VLOOKUP("SEE InputsData SHEET",TableInputsData[],ReadMe!$M$3,FALSE)</f>
        <v>VOIR FEUILLE InputData</v>
      </c>
      <c r="J166" s="26"/>
      <c r="K166" s="135"/>
      <c r="L166" s="127"/>
      <c r="M166" s="134"/>
      <c r="N166" s="60"/>
      <c r="O166" s="4">
        <f>$AG166*GETPIVOTDATA("Sum of TOTAL YEAR",RevenuePivot!$BT$12,"YEAR",O$5,"REFERENCE PRODUCT / SERVICE",$G166,"ITEM","COST OF GOODS SOLD")</f>
        <v>0</v>
      </c>
      <c r="P166" s="4">
        <f>$AG166*GETPIVOTDATA("Sum of TOTAL YEAR",RevenuePivot!$BT$12,"YEAR",P$5,"REFERENCE PRODUCT / SERVICE",$G166,"ITEM","COST OF GOODS SOLD")</f>
        <v>0</v>
      </c>
      <c r="Q166" s="4">
        <f>$AG166*GETPIVOTDATA("Sum of SEMESTRE 1",RevenuePivot!$BT$12,"YEAR",Q$5,"REFERENCE PRODUCT / SERVICE",$G166,"ITEM","COST OF GOODS SOLD")</f>
        <v>0</v>
      </c>
      <c r="R166" s="4">
        <f>$AG166*GETPIVOTDATA("Sum of SEMESTRE 2",RevenuePivot!$BT$12,"YEAR",R$5,"REFERENCE PRODUCT / SERVICE",$G166,"ITEM","COST OF GOODS SOLD")</f>
        <v>0</v>
      </c>
      <c r="S166" s="4">
        <f t="shared" si="92"/>
        <v>0</v>
      </c>
      <c r="T166" s="4">
        <f>$AG166*GETPIVOTDATA("Sum of TOTAL YEAR",RevenuePivot!$BT$12,"YEAR",T$5,"REFERENCE PRODUCT / SERVICE",$G166,"ITEM","COST OF GOODS SOLD")</f>
        <v>0</v>
      </c>
      <c r="U166" s="4">
        <f>$AG166*GETPIVOTDATA("Sum of TOTAL YEAR",RevenuePivot!$BT$12,"YEAR",U$5,"REFERENCE PRODUCT / SERVICE",$G166,"ITEM","COST OF GOODS SOLD")</f>
        <v>0</v>
      </c>
      <c r="V166" s="4">
        <f>$AG166*GETPIVOTDATA("Sum of TOTAL YEAR",RevenuePivot!$BT$12,"YEAR",V$5,"REFERENCE PRODUCT / SERVICE",$G166,"ITEM","COST OF GOODS SOLD")</f>
        <v>0</v>
      </c>
      <c r="W166" s="4">
        <f>$AG166*GETPIVOTDATA("Sum of TOTAL YEAR",RevenuePivot!$BT$12,"YEAR",W$5,"REFERENCE PRODUCT / SERVICE",$G166,"ITEM","COST OF GOODS SOLD")</f>
        <v>0</v>
      </c>
      <c r="X166" s="4">
        <f>$AG166*GETPIVOTDATA("Sum of TOTAL YEAR",RevenuePivot!$BT$12,"YEAR",X$5,"REFERENCE PRODUCT / SERVICE",$G166,"ITEM","COST OF GOODS SOLD")</f>
        <v>0</v>
      </c>
      <c r="Y166" s="604"/>
      <c r="Z166" s="3" t="str">
        <f>VLOOKUP($D166,TableInputsData[],ReadMe!$M$3,FALSE)&amp;"  |  "&amp;VLOOKUP($E166,TableInputsData[],ReadMe!$M$3,FALSE)&amp;"  |  "&amp;VLOOKUP($G166,TableInputsData[],ReadMe!$M$3,FALSE)</f>
        <v>CA ET MARGE BRUTE  |  COUT DES SERVICES VENDUS  |  SERVICE 09</v>
      </c>
      <c r="AA166" s="3"/>
      <c r="AB166" s="34">
        <f t="shared" si="93"/>
        <v>1</v>
      </c>
      <c r="AC166" s="34"/>
      <c r="AD166" s="34"/>
      <c r="AE166" s="26"/>
      <c r="AF166" s="34">
        <v>1</v>
      </c>
      <c r="AG166" s="34">
        <f>VLOOKUP($G166,TableInputsData[],$AG$2,FALSE)</f>
        <v>0</v>
      </c>
      <c r="AH166" s="535"/>
      <c r="AI166" s="294"/>
    </row>
    <row r="167" spans="1:35" x14ac:dyDescent="0.2">
      <c r="A167" s="294"/>
      <c r="B167" s="944"/>
      <c r="C167" s="77">
        <v>1</v>
      </c>
      <c r="D167" s="78" t="s">
        <v>618</v>
      </c>
      <c r="E167" s="78" t="s">
        <v>628</v>
      </c>
      <c r="F167" s="6" t="s">
        <v>21</v>
      </c>
      <c r="G167" s="75" t="s">
        <v>115</v>
      </c>
      <c r="H167" s="5" t="str">
        <f>VLOOKUP($G167,TableInputsData[],6,FALSE)</f>
        <v>-</v>
      </c>
      <c r="I167" s="5" t="str">
        <f>VLOOKUP("SEE InputsData SHEET",TableInputsData[],ReadMe!$M$3,FALSE)</f>
        <v>VOIR FEUILLE InputData</v>
      </c>
      <c r="J167" s="26"/>
      <c r="K167" s="135"/>
      <c r="L167" s="127"/>
      <c r="M167" s="134"/>
      <c r="N167" s="60"/>
      <c r="O167" s="4">
        <f>$AG167*GETPIVOTDATA("Sum of TOTAL YEAR",RevenuePivot!$BT$12,"YEAR",O$5,"REFERENCE PRODUCT / SERVICE",$G167,"ITEM","COST OF GOODS SOLD")</f>
        <v>0</v>
      </c>
      <c r="P167" s="4">
        <f>$AG167*GETPIVOTDATA("Sum of TOTAL YEAR",RevenuePivot!$BT$12,"YEAR",P$5,"REFERENCE PRODUCT / SERVICE",$G167,"ITEM","COST OF GOODS SOLD")</f>
        <v>0</v>
      </c>
      <c r="Q167" s="4">
        <f>$AG167*GETPIVOTDATA("Sum of SEMESTRE 1",RevenuePivot!$BT$12,"YEAR",Q$5,"REFERENCE PRODUCT / SERVICE",$G167,"ITEM","COST OF GOODS SOLD")</f>
        <v>0</v>
      </c>
      <c r="R167" s="4">
        <f>$AG167*GETPIVOTDATA("Sum of SEMESTRE 2",RevenuePivot!$BT$12,"YEAR",R$5,"REFERENCE PRODUCT / SERVICE",$G167,"ITEM","COST OF GOODS SOLD")</f>
        <v>0</v>
      </c>
      <c r="S167" s="4">
        <f t="shared" si="92"/>
        <v>0</v>
      </c>
      <c r="T167" s="4">
        <f>$AG167*GETPIVOTDATA("Sum of TOTAL YEAR",RevenuePivot!$BT$12,"YEAR",T$5,"REFERENCE PRODUCT / SERVICE",$G167,"ITEM","COST OF GOODS SOLD")</f>
        <v>0</v>
      </c>
      <c r="U167" s="4">
        <f>$AG167*GETPIVOTDATA("Sum of TOTAL YEAR",RevenuePivot!$BT$12,"YEAR",U$5,"REFERENCE PRODUCT / SERVICE",$G167,"ITEM","COST OF GOODS SOLD")</f>
        <v>0</v>
      </c>
      <c r="V167" s="4">
        <f>$AG167*GETPIVOTDATA("Sum of TOTAL YEAR",RevenuePivot!$BT$12,"YEAR",V$5,"REFERENCE PRODUCT / SERVICE",$G167,"ITEM","COST OF GOODS SOLD")</f>
        <v>0</v>
      </c>
      <c r="W167" s="4">
        <f>$AG167*GETPIVOTDATA("Sum of TOTAL YEAR",RevenuePivot!$BT$12,"YEAR",W$5,"REFERENCE PRODUCT / SERVICE",$G167,"ITEM","COST OF GOODS SOLD")</f>
        <v>0</v>
      </c>
      <c r="X167" s="4">
        <f>$AG167*GETPIVOTDATA("Sum of TOTAL YEAR",RevenuePivot!$BT$12,"YEAR",X$5,"REFERENCE PRODUCT / SERVICE",$G167,"ITEM","COST OF GOODS SOLD")</f>
        <v>0</v>
      </c>
      <c r="Y167" s="604"/>
      <c r="Z167" s="3" t="str">
        <f>VLOOKUP($D167,TableInputsData[],ReadMe!$M$3,FALSE)&amp;"  |  "&amp;VLOOKUP($E167,TableInputsData[],ReadMe!$M$3,FALSE)&amp;"  |  "&amp;VLOOKUP($G167,TableInputsData[],ReadMe!$M$3,FALSE)</f>
        <v>CA ET MARGE BRUTE  |  COUT DES SERVICES VENDUS  |  SERVICE 10</v>
      </c>
      <c r="AA167" s="6"/>
      <c r="AB167" s="36">
        <f t="shared" si="93"/>
        <v>1</v>
      </c>
      <c r="AC167" s="36"/>
      <c r="AD167" s="36"/>
      <c r="AE167" s="91"/>
      <c r="AF167" s="36">
        <v>1</v>
      </c>
      <c r="AG167" s="36">
        <f>VLOOKUP($G167,TableInputsData[],$AG$2,FALSE)</f>
        <v>0</v>
      </c>
      <c r="AH167" s="536"/>
      <c r="AI167" s="294"/>
    </row>
    <row r="168" spans="1:35" x14ac:dyDescent="0.2">
      <c r="A168" s="294"/>
      <c r="B168" s="944"/>
      <c r="C168" s="79">
        <v>1</v>
      </c>
      <c r="D168" s="80" t="s">
        <v>618</v>
      </c>
      <c r="E168" s="80" t="s">
        <v>628</v>
      </c>
      <c r="F168" s="16" t="s">
        <v>21</v>
      </c>
      <c r="G168" s="80" t="s">
        <v>121</v>
      </c>
      <c r="H168" s="81" t="s">
        <v>29</v>
      </c>
      <c r="I168" s="81"/>
      <c r="J168" s="89"/>
      <c r="K168" s="89"/>
      <c r="L168" s="103"/>
      <c r="M168" s="119"/>
      <c r="N168" s="847"/>
      <c r="O168" s="18">
        <f>SUM(O158:O167)</f>
        <v>0</v>
      </c>
      <c r="P168" s="18">
        <f t="shared" ref="P168:X168" si="94">SUM(P158:P167)</f>
        <v>0</v>
      </c>
      <c r="Q168" s="18">
        <f t="shared" si="94"/>
        <v>0</v>
      </c>
      <c r="R168" s="18">
        <f t="shared" si="94"/>
        <v>0</v>
      </c>
      <c r="S168" s="18">
        <f t="shared" si="94"/>
        <v>0</v>
      </c>
      <c r="T168" s="18">
        <f t="shared" si="94"/>
        <v>0</v>
      </c>
      <c r="U168" s="18">
        <f t="shared" si="94"/>
        <v>0</v>
      </c>
      <c r="V168" s="18">
        <f t="shared" si="94"/>
        <v>0</v>
      </c>
      <c r="W168" s="18">
        <f t="shared" si="94"/>
        <v>0</v>
      </c>
      <c r="X168" s="18">
        <f t="shared" si="94"/>
        <v>0</v>
      </c>
      <c r="Y168" s="18"/>
      <c r="Z168" s="16" t="str">
        <f>VLOOKUP($D168,TableInputsData[],ReadMe!$M$3,FALSE)&amp;"  |  "&amp;VLOOKUP($E168,TableInputsData[],ReadMe!$M$3,FALSE)&amp;"  |  "&amp;VLOOKUP($G168,TableInputsData[],ReadMe!$M$3,FALSE)</f>
        <v>CA ET MARGE BRUTE  |  COUT DES SERVICES VENDUS  |  SERVICE</v>
      </c>
      <c r="AA168" s="371" t="b">
        <f>EXACT(SUM(TableFinanceData[[#This Row],[YEAR-2]:[YEAR6]])-TableFinanceData[[#This Row],[CURRENT YEAR]],IF(ISBLANK(GETPIVOTDATA("TOTAL YEAR",RevenuePivot!$BK$13,"TYPE PRODUCT / SERVICE","SERVICE","ITEM","COST OF GOODS SOLD")),0,GETPIVOTDATA("TOTAL YEAR",RevenuePivot!$BK$13,"TYPE PRODUCT / SERVICE","SERVICE","ITEM","COST OF GOODS SOLD")))</f>
        <v>1</v>
      </c>
      <c r="AB168" s="27">
        <v>1</v>
      </c>
      <c r="AC168" s="27">
        <v>3</v>
      </c>
      <c r="AD168" s="27"/>
      <c r="AE168" s="27"/>
      <c r="AF168" s="27">
        <v>1</v>
      </c>
      <c r="AG168" s="27"/>
      <c r="AH168" s="533"/>
      <c r="AI168" s="294"/>
    </row>
    <row r="169" spans="1:35" x14ac:dyDescent="0.2">
      <c r="A169" s="294"/>
      <c r="B169" s="944"/>
      <c r="C169" s="82">
        <v>1</v>
      </c>
      <c r="D169" s="83"/>
      <c r="E169" s="83"/>
      <c r="F169" s="83"/>
      <c r="G169" s="83"/>
      <c r="H169" s="84"/>
      <c r="I169" s="84"/>
      <c r="J169" s="90"/>
      <c r="K169" s="90"/>
      <c r="L169" s="104"/>
      <c r="M169" s="120"/>
      <c r="N169" s="848"/>
      <c r="O169" s="10"/>
      <c r="P169" s="10"/>
      <c r="Q169" s="10"/>
      <c r="R169" s="10"/>
      <c r="S169" s="10"/>
      <c r="T169" s="10"/>
      <c r="U169" s="10"/>
      <c r="V169" s="10"/>
      <c r="W169" s="10"/>
      <c r="X169" s="10"/>
      <c r="Y169" s="10"/>
      <c r="Z169" s="8"/>
      <c r="AA169" s="8"/>
      <c r="AB169" s="35"/>
      <c r="AC169" s="35"/>
      <c r="AD169" s="35"/>
      <c r="AE169" s="87"/>
      <c r="AF169" s="35"/>
      <c r="AG169" s="35"/>
      <c r="AH169" s="534"/>
      <c r="AI169" s="294"/>
    </row>
    <row r="170" spans="1:35" x14ac:dyDescent="0.2">
      <c r="A170" s="294"/>
      <c r="B170" s="944"/>
      <c r="C170" s="74">
        <v>1</v>
      </c>
      <c r="D170" s="75" t="s">
        <v>618</v>
      </c>
      <c r="E170" s="75" t="s">
        <v>629</v>
      </c>
      <c r="F170" s="3" t="s">
        <v>21</v>
      </c>
      <c r="G170" s="75" t="s">
        <v>546</v>
      </c>
      <c r="H170" s="5" t="str">
        <f>VLOOKUP($G170,TableInputsData[],6,FALSE)</f>
        <v>-</v>
      </c>
      <c r="I170" s="5" t="str">
        <f>VLOOKUP("SEE InputsData SHEET",TableInputsData[],ReadMe!$M$3,FALSE)</f>
        <v>VOIR FEUILLE InputData</v>
      </c>
      <c r="J170" s="26"/>
      <c r="K170" s="135"/>
      <c r="L170" s="127"/>
      <c r="M170" s="134"/>
      <c r="N170" s="60"/>
      <c r="O170" s="4">
        <f>O146-O158</f>
        <v>0</v>
      </c>
      <c r="P170" s="4">
        <f t="shared" ref="P170:X170" si="95">P146-P158</f>
        <v>0</v>
      </c>
      <c r="Q170" s="4">
        <f t="shared" si="95"/>
        <v>0</v>
      </c>
      <c r="R170" s="4">
        <f t="shared" si="95"/>
        <v>0</v>
      </c>
      <c r="S170" s="4">
        <f t="shared" si="95"/>
        <v>0</v>
      </c>
      <c r="T170" s="4">
        <f t="shared" si="95"/>
        <v>0</v>
      </c>
      <c r="U170" s="4">
        <f t="shared" si="95"/>
        <v>0</v>
      </c>
      <c r="V170" s="4">
        <f t="shared" si="95"/>
        <v>0</v>
      </c>
      <c r="W170" s="4">
        <f t="shared" si="95"/>
        <v>0</v>
      </c>
      <c r="X170" s="4">
        <f t="shared" si="95"/>
        <v>0</v>
      </c>
      <c r="Y170" s="604"/>
      <c r="Z170" s="3" t="str">
        <f>VLOOKUP($D170,TableInputsData[],ReadMe!$M$3,FALSE)&amp;"  |  "&amp;VLOOKUP($E170,TableInputsData[],ReadMe!$M$3,FALSE)&amp;"  |  "&amp;VLOOKUP($G170,TableInputsData[],ReadMe!$M$3,FALSE)</f>
        <v>CA ET MARGE BRUTE  |  MARGE BRUTE SERVICES  |  SERVICE 01</v>
      </c>
      <c r="AA170" s="3"/>
      <c r="AB170" s="34">
        <f>IF(AND(SUM(O170:X170)=0,H170=""),0,1)</f>
        <v>1</v>
      </c>
      <c r="AC170" s="34"/>
      <c r="AD170" s="34"/>
      <c r="AE170" s="26"/>
      <c r="AF170" s="34">
        <v>1</v>
      </c>
      <c r="AG170" s="34">
        <f>VLOOKUP($G170,TableInputsData[],$AG$2,FALSE)</f>
        <v>0</v>
      </c>
      <c r="AH170" s="535"/>
      <c r="AI170" s="294"/>
    </row>
    <row r="171" spans="1:35" x14ac:dyDescent="0.2">
      <c r="A171" s="294"/>
      <c r="B171" s="944"/>
      <c r="C171" s="74">
        <v>1</v>
      </c>
      <c r="D171" s="75" t="s">
        <v>618</v>
      </c>
      <c r="E171" s="75" t="s">
        <v>629</v>
      </c>
      <c r="F171" s="3" t="s">
        <v>21</v>
      </c>
      <c r="G171" s="75" t="s">
        <v>547</v>
      </c>
      <c r="H171" s="5" t="str">
        <f>VLOOKUP($G171,TableInputsData[],6,FALSE)</f>
        <v>-</v>
      </c>
      <c r="I171" s="5" t="str">
        <f>VLOOKUP("SEE InputsData SHEET",TableInputsData[],ReadMe!$M$3,FALSE)</f>
        <v>VOIR FEUILLE InputData</v>
      </c>
      <c r="J171" s="26"/>
      <c r="K171" s="135"/>
      <c r="L171" s="127"/>
      <c r="M171" s="134"/>
      <c r="N171" s="60"/>
      <c r="O171" s="4">
        <f t="shared" ref="O171:X171" si="96">O147-O159</f>
        <v>0</v>
      </c>
      <c r="P171" s="4">
        <f t="shared" si="96"/>
        <v>0</v>
      </c>
      <c r="Q171" s="4">
        <f t="shared" si="96"/>
        <v>0</v>
      </c>
      <c r="R171" s="4">
        <f t="shared" si="96"/>
        <v>0</v>
      </c>
      <c r="S171" s="4">
        <f t="shared" si="96"/>
        <v>0</v>
      </c>
      <c r="T171" s="4">
        <f t="shared" si="96"/>
        <v>0</v>
      </c>
      <c r="U171" s="4">
        <f t="shared" si="96"/>
        <v>0</v>
      </c>
      <c r="V171" s="4">
        <f t="shared" si="96"/>
        <v>0</v>
      </c>
      <c r="W171" s="4">
        <f t="shared" si="96"/>
        <v>0</v>
      </c>
      <c r="X171" s="4">
        <f t="shared" si="96"/>
        <v>0</v>
      </c>
      <c r="Y171" s="604"/>
      <c r="Z171" s="3" t="str">
        <f>VLOOKUP($D171,TableInputsData[],ReadMe!$M$3,FALSE)&amp;"  |  "&amp;VLOOKUP($E171,TableInputsData[],ReadMe!$M$3,FALSE)&amp;"  |  "&amp;VLOOKUP($G171,TableInputsData[],ReadMe!$M$3,FALSE)</f>
        <v>CA ET MARGE BRUTE  |  MARGE BRUTE SERVICES  |  SERVICE 02</v>
      </c>
      <c r="AA171" s="3"/>
      <c r="AB171" s="34">
        <f t="shared" ref="AB171:AB179" si="97">IF(AND(SUM(O171:X171)=0,H171=""),0,1)</f>
        <v>1</v>
      </c>
      <c r="AC171" s="34"/>
      <c r="AD171" s="34"/>
      <c r="AE171" s="26"/>
      <c r="AF171" s="34">
        <v>1</v>
      </c>
      <c r="AG171" s="34">
        <f>VLOOKUP($G171,TableInputsData[],$AG$2,FALSE)</f>
        <v>0</v>
      </c>
      <c r="AH171" s="535"/>
      <c r="AI171" s="294"/>
    </row>
    <row r="172" spans="1:35" x14ac:dyDescent="0.2">
      <c r="A172" s="294"/>
      <c r="B172" s="944"/>
      <c r="C172" s="74">
        <v>1</v>
      </c>
      <c r="D172" s="75" t="s">
        <v>618</v>
      </c>
      <c r="E172" s="75" t="s">
        <v>629</v>
      </c>
      <c r="F172" s="3" t="s">
        <v>21</v>
      </c>
      <c r="G172" s="75" t="s">
        <v>548</v>
      </c>
      <c r="H172" s="5" t="str">
        <f>VLOOKUP($G172,TableInputsData[],6,FALSE)</f>
        <v>-</v>
      </c>
      <c r="I172" s="5" t="str">
        <f>VLOOKUP("SEE InputsData SHEET",TableInputsData[],ReadMe!$M$3,FALSE)</f>
        <v>VOIR FEUILLE InputData</v>
      </c>
      <c r="J172" s="26"/>
      <c r="K172" s="135"/>
      <c r="L172" s="127"/>
      <c r="M172" s="134"/>
      <c r="N172" s="60"/>
      <c r="O172" s="4">
        <f t="shared" ref="O172:X172" si="98">O148-O160</f>
        <v>0</v>
      </c>
      <c r="P172" s="4">
        <f t="shared" si="98"/>
        <v>0</v>
      </c>
      <c r="Q172" s="4">
        <f t="shared" si="98"/>
        <v>0</v>
      </c>
      <c r="R172" s="4">
        <f t="shared" si="98"/>
        <v>0</v>
      </c>
      <c r="S172" s="4">
        <f t="shared" si="98"/>
        <v>0</v>
      </c>
      <c r="T172" s="4">
        <f t="shared" si="98"/>
        <v>0</v>
      </c>
      <c r="U172" s="4">
        <f t="shared" si="98"/>
        <v>0</v>
      </c>
      <c r="V172" s="4">
        <f t="shared" si="98"/>
        <v>0</v>
      </c>
      <c r="W172" s="4">
        <f t="shared" si="98"/>
        <v>0</v>
      </c>
      <c r="X172" s="4">
        <f t="shared" si="98"/>
        <v>0</v>
      </c>
      <c r="Y172" s="604"/>
      <c r="Z172" s="3" t="str">
        <f>VLOOKUP($D172,TableInputsData[],ReadMe!$M$3,FALSE)&amp;"  |  "&amp;VLOOKUP($E172,TableInputsData[],ReadMe!$M$3,FALSE)&amp;"  |  "&amp;VLOOKUP($G172,TableInputsData[],ReadMe!$M$3,FALSE)</f>
        <v>CA ET MARGE BRUTE  |  MARGE BRUTE SERVICES  |  SERVICE 03</v>
      </c>
      <c r="AA172" s="3"/>
      <c r="AB172" s="34">
        <f t="shared" si="97"/>
        <v>1</v>
      </c>
      <c r="AC172" s="34"/>
      <c r="AD172" s="34"/>
      <c r="AE172" s="26"/>
      <c r="AF172" s="34">
        <v>1</v>
      </c>
      <c r="AG172" s="34">
        <f>VLOOKUP($G172,TableInputsData[],$AG$2,FALSE)</f>
        <v>0</v>
      </c>
      <c r="AH172" s="535"/>
      <c r="AI172" s="294"/>
    </row>
    <row r="173" spans="1:35" x14ac:dyDescent="0.2">
      <c r="A173" s="294"/>
      <c r="B173" s="944"/>
      <c r="C173" s="74">
        <v>1</v>
      </c>
      <c r="D173" s="75" t="s">
        <v>618</v>
      </c>
      <c r="E173" s="75" t="s">
        <v>629</v>
      </c>
      <c r="F173" s="3" t="s">
        <v>21</v>
      </c>
      <c r="G173" s="75" t="s">
        <v>549</v>
      </c>
      <c r="H173" s="5" t="str">
        <f>VLOOKUP($G173,TableInputsData[],6,FALSE)</f>
        <v>-</v>
      </c>
      <c r="I173" s="5" t="str">
        <f>VLOOKUP("SEE InputsData SHEET",TableInputsData[],ReadMe!$M$3,FALSE)</f>
        <v>VOIR FEUILLE InputData</v>
      </c>
      <c r="J173" s="26"/>
      <c r="K173" s="135"/>
      <c r="L173" s="127"/>
      <c r="M173" s="134"/>
      <c r="N173" s="60"/>
      <c r="O173" s="4">
        <f t="shared" ref="O173:X173" si="99">O149-O161</f>
        <v>0</v>
      </c>
      <c r="P173" s="4">
        <f t="shared" si="99"/>
        <v>0</v>
      </c>
      <c r="Q173" s="4">
        <f t="shared" si="99"/>
        <v>0</v>
      </c>
      <c r="R173" s="4">
        <f t="shared" si="99"/>
        <v>0</v>
      </c>
      <c r="S173" s="4">
        <f t="shared" si="99"/>
        <v>0</v>
      </c>
      <c r="T173" s="4">
        <f t="shared" si="99"/>
        <v>0</v>
      </c>
      <c r="U173" s="4">
        <f t="shared" si="99"/>
        <v>0</v>
      </c>
      <c r="V173" s="4">
        <f t="shared" si="99"/>
        <v>0</v>
      </c>
      <c r="W173" s="4">
        <f t="shared" si="99"/>
        <v>0</v>
      </c>
      <c r="X173" s="4">
        <f t="shared" si="99"/>
        <v>0</v>
      </c>
      <c r="Y173" s="604"/>
      <c r="Z173" s="3" t="str">
        <f>VLOOKUP($D173,TableInputsData[],ReadMe!$M$3,FALSE)&amp;"  |  "&amp;VLOOKUP($E173,TableInputsData[],ReadMe!$M$3,FALSE)&amp;"  |  "&amp;VLOOKUP($G173,TableInputsData[],ReadMe!$M$3,FALSE)</f>
        <v>CA ET MARGE BRUTE  |  MARGE BRUTE SERVICES  |  SERVICE 04</v>
      </c>
      <c r="AA173" s="3"/>
      <c r="AB173" s="34">
        <f t="shared" si="97"/>
        <v>1</v>
      </c>
      <c r="AC173" s="34"/>
      <c r="AD173" s="34"/>
      <c r="AE173" s="26"/>
      <c r="AF173" s="34">
        <v>1</v>
      </c>
      <c r="AG173" s="34">
        <f>VLOOKUP($G173,TableInputsData[],$AG$2,FALSE)</f>
        <v>0</v>
      </c>
      <c r="AH173" s="535"/>
      <c r="AI173" s="294"/>
    </row>
    <row r="174" spans="1:35" x14ac:dyDescent="0.2">
      <c r="A174" s="294"/>
      <c r="B174" s="944"/>
      <c r="C174" s="74">
        <v>1</v>
      </c>
      <c r="D174" s="75" t="s">
        <v>618</v>
      </c>
      <c r="E174" s="75" t="s">
        <v>629</v>
      </c>
      <c r="F174" s="3" t="s">
        <v>21</v>
      </c>
      <c r="G174" s="75" t="s">
        <v>550</v>
      </c>
      <c r="H174" s="5" t="str">
        <f>VLOOKUP($G174,TableInputsData[],6,FALSE)</f>
        <v>-</v>
      </c>
      <c r="I174" s="5" t="str">
        <f>VLOOKUP("SEE InputsData SHEET",TableInputsData[],ReadMe!$M$3,FALSE)</f>
        <v>VOIR FEUILLE InputData</v>
      </c>
      <c r="J174" s="26"/>
      <c r="K174" s="135"/>
      <c r="L174" s="127"/>
      <c r="M174" s="134"/>
      <c r="N174" s="60"/>
      <c r="O174" s="4">
        <f t="shared" ref="O174:X174" si="100">O150-O162</f>
        <v>0</v>
      </c>
      <c r="P174" s="4">
        <f t="shared" si="100"/>
        <v>0</v>
      </c>
      <c r="Q174" s="4">
        <f t="shared" si="100"/>
        <v>0</v>
      </c>
      <c r="R174" s="4">
        <f t="shared" si="100"/>
        <v>0</v>
      </c>
      <c r="S174" s="4">
        <f t="shared" si="100"/>
        <v>0</v>
      </c>
      <c r="T174" s="4">
        <f t="shared" si="100"/>
        <v>0</v>
      </c>
      <c r="U174" s="4">
        <f t="shared" si="100"/>
        <v>0</v>
      </c>
      <c r="V174" s="4">
        <f t="shared" si="100"/>
        <v>0</v>
      </c>
      <c r="W174" s="4">
        <f t="shared" si="100"/>
        <v>0</v>
      </c>
      <c r="X174" s="4">
        <f t="shared" si="100"/>
        <v>0</v>
      </c>
      <c r="Y174" s="604"/>
      <c r="Z174" s="3" t="str">
        <f>VLOOKUP($D174,TableInputsData[],ReadMe!$M$3,FALSE)&amp;"  |  "&amp;VLOOKUP($E174,TableInputsData[],ReadMe!$M$3,FALSE)&amp;"  |  "&amp;VLOOKUP($G174,TableInputsData[],ReadMe!$M$3,FALSE)</f>
        <v>CA ET MARGE BRUTE  |  MARGE BRUTE SERVICES  |  SERVICE 05</v>
      </c>
      <c r="AA174" s="3"/>
      <c r="AB174" s="34">
        <f t="shared" si="97"/>
        <v>1</v>
      </c>
      <c r="AC174" s="34"/>
      <c r="AD174" s="34"/>
      <c r="AE174" s="26"/>
      <c r="AF174" s="34">
        <v>1</v>
      </c>
      <c r="AG174" s="34">
        <f>VLOOKUP($G174,TableInputsData[],$AG$2,FALSE)</f>
        <v>0</v>
      </c>
      <c r="AH174" s="535"/>
      <c r="AI174" s="294"/>
    </row>
    <row r="175" spans="1:35" x14ac:dyDescent="0.2">
      <c r="A175" s="294"/>
      <c r="B175" s="944"/>
      <c r="C175" s="74">
        <v>1</v>
      </c>
      <c r="D175" s="75" t="s">
        <v>618</v>
      </c>
      <c r="E175" s="75" t="s">
        <v>629</v>
      </c>
      <c r="F175" s="3" t="s">
        <v>21</v>
      </c>
      <c r="G175" s="75" t="s">
        <v>551</v>
      </c>
      <c r="H175" s="5" t="str">
        <f>VLOOKUP($G175,TableInputsData[],6,FALSE)</f>
        <v>-</v>
      </c>
      <c r="I175" s="5" t="str">
        <f>VLOOKUP("SEE InputsData SHEET",TableInputsData[],ReadMe!$M$3,FALSE)</f>
        <v>VOIR FEUILLE InputData</v>
      </c>
      <c r="J175" s="26"/>
      <c r="K175" s="135"/>
      <c r="L175" s="127"/>
      <c r="M175" s="134"/>
      <c r="N175" s="60"/>
      <c r="O175" s="4">
        <f t="shared" ref="O175:X175" si="101">O151-O163</f>
        <v>0</v>
      </c>
      <c r="P175" s="4">
        <f t="shared" si="101"/>
        <v>0</v>
      </c>
      <c r="Q175" s="4">
        <f t="shared" si="101"/>
        <v>0</v>
      </c>
      <c r="R175" s="4">
        <f t="shared" si="101"/>
        <v>0</v>
      </c>
      <c r="S175" s="4">
        <f t="shared" si="101"/>
        <v>0</v>
      </c>
      <c r="T175" s="4">
        <f t="shared" si="101"/>
        <v>0</v>
      </c>
      <c r="U175" s="4">
        <f t="shared" si="101"/>
        <v>0</v>
      </c>
      <c r="V175" s="4">
        <f t="shared" si="101"/>
        <v>0</v>
      </c>
      <c r="W175" s="4">
        <f t="shared" si="101"/>
        <v>0</v>
      </c>
      <c r="X175" s="4">
        <f t="shared" si="101"/>
        <v>0</v>
      </c>
      <c r="Y175" s="604"/>
      <c r="Z175" s="3" t="str">
        <f>VLOOKUP($D175,TableInputsData[],ReadMe!$M$3,FALSE)&amp;"  |  "&amp;VLOOKUP($E175,TableInputsData[],ReadMe!$M$3,FALSE)&amp;"  |  "&amp;VLOOKUP($G175,TableInputsData[],ReadMe!$M$3,FALSE)</f>
        <v>CA ET MARGE BRUTE  |  MARGE BRUTE SERVICES  |  SERVICE 06</v>
      </c>
      <c r="AA175" s="3"/>
      <c r="AB175" s="34">
        <f t="shared" si="97"/>
        <v>1</v>
      </c>
      <c r="AC175" s="34"/>
      <c r="AD175" s="34"/>
      <c r="AE175" s="26"/>
      <c r="AF175" s="34">
        <v>1</v>
      </c>
      <c r="AG175" s="34">
        <f>VLOOKUP($G175,TableInputsData[],$AG$2,FALSE)</f>
        <v>0</v>
      </c>
      <c r="AH175" s="535"/>
      <c r="AI175" s="294"/>
    </row>
    <row r="176" spans="1:35" x14ac:dyDescent="0.2">
      <c r="A176" s="294"/>
      <c r="B176" s="944"/>
      <c r="C176" s="74">
        <v>1</v>
      </c>
      <c r="D176" s="75" t="s">
        <v>618</v>
      </c>
      <c r="E176" s="75" t="s">
        <v>629</v>
      </c>
      <c r="F176" s="3" t="s">
        <v>21</v>
      </c>
      <c r="G176" s="75" t="s">
        <v>552</v>
      </c>
      <c r="H176" s="5" t="str">
        <f>VLOOKUP($G176,TableInputsData[],6,FALSE)</f>
        <v>-</v>
      </c>
      <c r="I176" s="5" t="str">
        <f>VLOOKUP("SEE InputsData SHEET",TableInputsData[],ReadMe!$M$3,FALSE)</f>
        <v>VOIR FEUILLE InputData</v>
      </c>
      <c r="J176" s="26"/>
      <c r="K176" s="135"/>
      <c r="L176" s="127"/>
      <c r="M176" s="134"/>
      <c r="N176" s="60"/>
      <c r="O176" s="4">
        <f t="shared" ref="O176:X176" si="102">O152-O164</f>
        <v>0</v>
      </c>
      <c r="P176" s="4">
        <f t="shared" si="102"/>
        <v>0</v>
      </c>
      <c r="Q176" s="4">
        <f t="shared" si="102"/>
        <v>0</v>
      </c>
      <c r="R176" s="4">
        <f t="shared" si="102"/>
        <v>0</v>
      </c>
      <c r="S176" s="4">
        <f t="shared" si="102"/>
        <v>0</v>
      </c>
      <c r="T176" s="4">
        <f t="shared" si="102"/>
        <v>0</v>
      </c>
      <c r="U176" s="4">
        <f t="shared" si="102"/>
        <v>0</v>
      </c>
      <c r="V176" s="4">
        <f t="shared" si="102"/>
        <v>0</v>
      </c>
      <c r="W176" s="4">
        <f t="shared" si="102"/>
        <v>0</v>
      </c>
      <c r="X176" s="4">
        <f t="shared" si="102"/>
        <v>0</v>
      </c>
      <c r="Y176" s="604"/>
      <c r="Z176" s="3" t="str">
        <f>VLOOKUP($D176,TableInputsData[],ReadMe!$M$3,FALSE)&amp;"  |  "&amp;VLOOKUP($E176,TableInputsData[],ReadMe!$M$3,FALSE)&amp;"  |  "&amp;VLOOKUP($G176,TableInputsData[],ReadMe!$M$3,FALSE)</f>
        <v>CA ET MARGE BRUTE  |  MARGE BRUTE SERVICES  |  SERVICE 07</v>
      </c>
      <c r="AA176" s="3"/>
      <c r="AB176" s="34">
        <f t="shared" si="97"/>
        <v>1</v>
      </c>
      <c r="AC176" s="34"/>
      <c r="AD176" s="34"/>
      <c r="AE176" s="26"/>
      <c r="AF176" s="34">
        <v>1</v>
      </c>
      <c r="AG176" s="34">
        <f>VLOOKUP($G176,TableInputsData[],$AG$2,FALSE)</f>
        <v>0</v>
      </c>
      <c r="AH176" s="535"/>
      <c r="AI176" s="294"/>
    </row>
    <row r="177" spans="1:35" x14ac:dyDescent="0.2">
      <c r="A177" s="294"/>
      <c r="B177" s="944"/>
      <c r="C177" s="74">
        <v>1</v>
      </c>
      <c r="D177" s="75" t="s">
        <v>618</v>
      </c>
      <c r="E177" s="75" t="s">
        <v>629</v>
      </c>
      <c r="F177" s="3" t="s">
        <v>21</v>
      </c>
      <c r="G177" s="75" t="s">
        <v>553</v>
      </c>
      <c r="H177" s="5" t="str">
        <f>VLOOKUP($G177,TableInputsData[],6,FALSE)</f>
        <v>-</v>
      </c>
      <c r="I177" s="5" t="str">
        <f>VLOOKUP("SEE InputsData SHEET",TableInputsData[],ReadMe!$M$3,FALSE)</f>
        <v>VOIR FEUILLE InputData</v>
      </c>
      <c r="J177" s="26"/>
      <c r="K177" s="135"/>
      <c r="L177" s="127"/>
      <c r="M177" s="134"/>
      <c r="N177" s="60"/>
      <c r="O177" s="4">
        <f t="shared" ref="O177:X177" si="103">O153-O165</f>
        <v>0</v>
      </c>
      <c r="P177" s="4">
        <f t="shared" si="103"/>
        <v>0</v>
      </c>
      <c r="Q177" s="4">
        <f t="shared" si="103"/>
        <v>0</v>
      </c>
      <c r="R177" s="4">
        <f t="shared" si="103"/>
        <v>0</v>
      </c>
      <c r="S177" s="4">
        <f t="shared" si="103"/>
        <v>0</v>
      </c>
      <c r="T177" s="4">
        <f t="shared" si="103"/>
        <v>0</v>
      </c>
      <c r="U177" s="4">
        <f t="shared" si="103"/>
        <v>0</v>
      </c>
      <c r="V177" s="4">
        <f t="shared" si="103"/>
        <v>0</v>
      </c>
      <c r="W177" s="4">
        <f t="shared" si="103"/>
        <v>0</v>
      </c>
      <c r="X177" s="4">
        <f t="shared" si="103"/>
        <v>0</v>
      </c>
      <c r="Y177" s="604"/>
      <c r="Z177" s="3" t="str">
        <f>VLOOKUP($D177,TableInputsData[],ReadMe!$M$3,FALSE)&amp;"  |  "&amp;VLOOKUP($E177,TableInputsData[],ReadMe!$M$3,FALSE)&amp;"  |  "&amp;VLOOKUP($G177,TableInputsData[],ReadMe!$M$3,FALSE)</f>
        <v>CA ET MARGE BRUTE  |  MARGE BRUTE SERVICES  |  SERVICE 08</v>
      </c>
      <c r="AA177" s="3"/>
      <c r="AB177" s="34">
        <f t="shared" si="97"/>
        <v>1</v>
      </c>
      <c r="AC177" s="34"/>
      <c r="AD177" s="34"/>
      <c r="AE177" s="26"/>
      <c r="AF177" s="34">
        <v>1</v>
      </c>
      <c r="AG177" s="34">
        <f>VLOOKUP($G177,TableInputsData[],$AG$2,FALSE)</f>
        <v>0</v>
      </c>
      <c r="AH177" s="535"/>
      <c r="AI177" s="294"/>
    </row>
    <row r="178" spans="1:35" x14ac:dyDescent="0.2">
      <c r="A178" s="294"/>
      <c r="B178" s="944"/>
      <c r="C178" s="74">
        <v>1</v>
      </c>
      <c r="D178" s="75" t="s">
        <v>618</v>
      </c>
      <c r="E178" s="75" t="s">
        <v>629</v>
      </c>
      <c r="F178" s="3" t="s">
        <v>21</v>
      </c>
      <c r="G178" s="75" t="s">
        <v>554</v>
      </c>
      <c r="H178" s="5" t="str">
        <f>VLOOKUP($G178,TableInputsData[],6,FALSE)</f>
        <v>-</v>
      </c>
      <c r="I178" s="5" t="str">
        <f>VLOOKUP("SEE InputsData SHEET",TableInputsData[],ReadMe!$M$3,FALSE)</f>
        <v>VOIR FEUILLE InputData</v>
      </c>
      <c r="J178" s="26"/>
      <c r="K178" s="135"/>
      <c r="L178" s="127"/>
      <c r="M178" s="134"/>
      <c r="N178" s="60"/>
      <c r="O178" s="4">
        <f t="shared" ref="O178:X178" si="104">O154-O166</f>
        <v>0</v>
      </c>
      <c r="P178" s="4">
        <f t="shared" si="104"/>
        <v>0</v>
      </c>
      <c r="Q178" s="4">
        <f t="shared" si="104"/>
        <v>0</v>
      </c>
      <c r="R178" s="4">
        <f t="shared" si="104"/>
        <v>0</v>
      </c>
      <c r="S178" s="4">
        <f t="shared" si="104"/>
        <v>0</v>
      </c>
      <c r="T178" s="4">
        <f t="shared" si="104"/>
        <v>0</v>
      </c>
      <c r="U178" s="4">
        <f t="shared" si="104"/>
        <v>0</v>
      </c>
      <c r="V178" s="4">
        <f t="shared" si="104"/>
        <v>0</v>
      </c>
      <c r="W178" s="4">
        <f t="shared" si="104"/>
        <v>0</v>
      </c>
      <c r="X178" s="4">
        <f t="shared" si="104"/>
        <v>0</v>
      </c>
      <c r="Y178" s="604"/>
      <c r="Z178" s="3" t="str">
        <f>VLOOKUP($D178,TableInputsData[],ReadMe!$M$3,FALSE)&amp;"  |  "&amp;VLOOKUP($E178,TableInputsData[],ReadMe!$M$3,FALSE)&amp;"  |  "&amp;VLOOKUP($G178,TableInputsData[],ReadMe!$M$3,FALSE)</f>
        <v>CA ET MARGE BRUTE  |  MARGE BRUTE SERVICES  |  SERVICE 09</v>
      </c>
      <c r="AA178" s="3"/>
      <c r="AB178" s="34">
        <f t="shared" si="97"/>
        <v>1</v>
      </c>
      <c r="AC178" s="34"/>
      <c r="AD178" s="34"/>
      <c r="AE178" s="26"/>
      <c r="AF178" s="34">
        <v>1</v>
      </c>
      <c r="AG178" s="34">
        <f>VLOOKUP($G178,TableInputsData[],$AG$2,FALSE)</f>
        <v>0</v>
      </c>
      <c r="AH178" s="535"/>
      <c r="AI178" s="294"/>
    </row>
    <row r="179" spans="1:35" x14ac:dyDescent="0.2">
      <c r="A179" s="294"/>
      <c r="B179" s="944"/>
      <c r="C179" s="77">
        <v>1</v>
      </c>
      <c r="D179" s="78" t="s">
        <v>618</v>
      </c>
      <c r="E179" s="78" t="s">
        <v>629</v>
      </c>
      <c r="F179" s="6" t="s">
        <v>21</v>
      </c>
      <c r="G179" s="75" t="s">
        <v>115</v>
      </c>
      <c r="H179" s="5" t="str">
        <f>VLOOKUP($G179,TableInputsData[],6,FALSE)</f>
        <v>-</v>
      </c>
      <c r="I179" s="5" t="str">
        <f>VLOOKUP("SEE InputsData SHEET",TableInputsData[],ReadMe!$M$3,FALSE)</f>
        <v>VOIR FEUILLE InputData</v>
      </c>
      <c r="J179" s="26"/>
      <c r="K179" s="135"/>
      <c r="L179" s="127"/>
      <c r="M179" s="134"/>
      <c r="N179" s="60"/>
      <c r="O179" s="7">
        <f t="shared" ref="O179:X179" si="105">O155-O167</f>
        <v>0</v>
      </c>
      <c r="P179" s="7">
        <f t="shared" si="105"/>
        <v>0</v>
      </c>
      <c r="Q179" s="7">
        <f t="shared" si="105"/>
        <v>0</v>
      </c>
      <c r="R179" s="7">
        <f t="shared" si="105"/>
        <v>0</v>
      </c>
      <c r="S179" s="7">
        <f t="shared" si="105"/>
        <v>0</v>
      </c>
      <c r="T179" s="7">
        <f t="shared" si="105"/>
        <v>0</v>
      </c>
      <c r="U179" s="7">
        <f t="shared" si="105"/>
        <v>0</v>
      </c>
      <c r="V179" s="7">
        <f t="shared" si="105"/>
        <v>0</v>
      </c>
      <c r="W179" s="7">
        <f t="shared" si="105"/>
        <v>0</v>
      </c>
      <c r="X179" s="7">
        <f t="shared" si="105"/>
        <v>0</v>
      </c>
      <c r="Y179" s="604"/>
      <c r="Z179" s="6" t="str">
        <f>VLOOKUP($D179,TableInputsData[],ReadMe!$M$3,FALSE)&amp;"  |  "&amp;VLOOKUP($E179,TableInputsData[],ReadMe!$M$3,FALSE)&amp;"  |  "&amp;VLOOKUP($G179,TableInputsData[],ReadMe!$M$3,FALSE)</f>
        <v>CA ET MARGE BRUTE  |  MARGE BRUTE SERVICES  |  SERVICE 10</v>
      </c>
      <c r="AA179" s="6"/>
      <c r="AB179" s="36">
        <f t="shared" si="97"/>
        <v>1</v>
      </c>
      <c r="AC179" s="36"/>
      <c r="AD179" s="36"/>
      <c r="AE179" s="91"/>
      <c r="AF179" s="36">
        <v>1</v>
      </c>
      <c r="AG179" s="36">
        <f>VLOOKUP($G179,TableInputsData[],$AG$2,FALSE)</f>
        <v>0</v>
      </c>
      <c r="AH179" s="536"/>
      <c r="AI179" s="294"/>
    </row>
    <row r="180" spans="1:35" x14ac:dyDescent="0.2">
      <c r="A180" s="294"/>
      <c r="B180" s="944"/>
      <c r="C180" s="79">
        <v>1</v>
      </c>
      <c r="D180" s="80" t="s">
        <v>618</v>
      </c>
      <c r="E180" s="80" t="s">
        <v>629</v>
      </c>
      <c r="F180" s="16" t="s">
        <v>21</v>
      </c>
      <c r="G180" s="80" t="s">
        <v>121</v>
      </c>
      <c r="H180" s="81" t="s">
        <v>29</v>
      </c>
      <c r="I180" s="81"/>
      <c r="J180" s="89"/>
      <c r="K180" s="89"/>
      <c r="L180" s="103"/>
      <c r="M180" s="119"/>
      <c r="N180" s="847"/>
      <c r="O180" s="18">
        <f>SUM(O170:O179)</f>
        <v>0</v>
      </c>
      <c r="P180" s="18">
        <f t="shared" ref="P180:X180" si="106">SUM(P170:P179)</f>
        <v>0</v>
      </c>
      <c r="Q180" s="18">
        <f t="shared" si="106"/>
        <v>0</v>
      </c>
      <c r="R180" s="18">
        <f t="shared" si="106"/>
        <v>0</v>
      </c>
      <c r="S180" s="18">
        <f t="shared" si="106"/>
        <v>0</v>
      </c>
      <c r="T180" s="18">
        <f t="shared" si="106"/>
        <v>0</v>
      </c>
      <c r="U180" s="18">
        <f t="shared" si="106"/>
        <v>0</v>
      </c>
      <c r="V180" s="18">
        <f t="shared" si="106"/>
        <v>0</v>
      </c>
      <c r="W180" s="18">
        <f t="shared" si="106"/>
        <v>0</v>
      </c>
      <c r="X180" s="18">
        <f t="shared" si="106"/>
        <v>0</v>
      </c>
      <c r="Y180" s="18"/>
      <c r="Z180" s="16" t="str">
        <f>VLOOKUP($D180,TableInputsData[],ReadMe!$M$3,FALSE)&amp;"  |  "&amp;VLOOKUP($E180,TableInputsData[],ReadMe!$M$3,FALSE)&amp;"  |  "&amp;VLOOKUP($G180,TableInputsData[],ReadMe!$M$3,FALSE)</f>
        <v>CA ET MARGE BRUTE  |  MARGE BRUTE SERVICES  |  SERVICE</v>
      </c>
      <c r="AA180" s="371" t="b">
        <f>EXACT(SUM(TableFinanceData[[#This Row],[YEAR-2]:[YEAR6]])-TableFinanceData[[#This Row],[CURRENT YEAR]],GETPIVOTDATA("TOTAL YEAR",RevenuePivot!$BK$13,"TYPE PRODUCT / SERVICE","SERVICE","ITEM","GROSS PROFIT"))</f>
        <v>1</v>
      </c>
      <c r="AB180" s="27">
        <v>1</v>
      </c>
      <c r="AC180" s="27">
        <v>3</v>
      </c>
      <c r="AD180" s="27"/>
      <c r="AE180" s="27"/>
      <c r="AF180" s="27">
        <v>1</v>
      </c>
      <c r="AG180" s="27"/>
      <c r="AH180" s="533"/>
      <c r="AI180" s="294"/>
    </row>
    <row r="181" spans="1:35" x14ac:dyDescent="0.2">
      <c r="A181" s="294"/>
      <c r="B181" s="944"/>
      <c r="C181" s="72">
        <v>1</v>
      </c>
      <c r="D181" s="13"/>
      <c r="E181" s="13"/>
      <c r="F181" s="13"/>
      <c r="G181" s="13"/>
      <c r="H181" s="14"/>
      <c r="I181" s="14"/>
      <c r="J181" s="88"/>
      <c r="K181" s="88"/>
      <c r="L181" s="99"/>
      <c r="M181" s="114"/>
      <c r="N181" s="15"/>
      <c r="O181" s="15"/>
      <c r="P181" s="15"/>
      <c r="Q181" s="15"/>
      <c r="R181" s="15"/>
      <c r="S181" s="15"/>
      <c r="T181" s="15"/>
      <c r="U181" s="15"/>
      <c r="V181" s="15"/>
      <c r="W181" s="15"/>
      <c r="X181" s="15"/>
      <c r="Y181" s="15"/>
      <c r="Z181" s="13"/>
      <c r="AA181" s="13"/>
      <c r="AB181" s="37"/>
      <c r="AC181" s="37"/>
      <c r="AD181" s="37"/>
      <c r="AE181" s="88"/>
      <c r="AF181" s="37"/>
      <c r="AG181" s="37"/>
      <c r="AH181" s="537"/>
      <c r="AI181" s="294"/>
    </row>
    <row r="182" spans="1:35" x14ac:dyDescent="0.2">
      <c r="A182" s="294"/>
      <c r="B182" s="944"/>
      <c r="C182" s="64">
        <v>1</v>
      </c>
      <c r="D182" s="19" t="s">
        <v>618</v>
      </c>
      <c r="E182" s="19" t="s">
        <v>627</v>
      </c>
      <c r="F182" s="19" t="s">
        <v>21</v>
      </c>
      <c r="G182" s="19" t="s">
        <v>121</v>
      </c>
      <c r="H182" s="20" t="s">
        <v>29</v>
      </c>
      <c r="I182" s="522" t="str">
        <f>$H$2</f>
        <v>TYPICAL CASE</v>
      </c>
      <c r="J182" s="773"/>
      <c r="K182" s="28"/>
      <c r="L182" s="100"/>
      <c r="M182" s="115"/>
      <c r="N182" s="31"/>
      <c r="O182" s="31">
        <f t="shared" ref="O182:X182" si="107">SUMIFS(O$146:O$180,$D$146:$D$180,$D182,$E$146:$E$180,$E182,$F$146:$F$180,$F182,$H$146:$H$180,$H182)*IF(O$4="ACTUAL",1,$AH182)</f>
        <v>0</v>
      </c>
      <c r="P182" s="31">
        <f t="shared" si="107"/>
        <v>0</v>
      </c>
      <c r="Q182" s="31">
        <f t="shared" si="107"/>
        <v>0</v>
      </c>
      <c r="R182" s="31">
        <f t="shared" si="107"/>
        <v>0</v>
      </c>
      <c r="S182" s="31">
        <f t="shared" si="107"/>
        <v>0</v>
      </c>
      <c r="T182" s="31">
        <f t="shared" si="107"/>
        <v>0</v>
      </c>
      <c r="U182" s="31">
        <f t="shared" si="107"/>
        <v>0</v>
      </c>
      <c r="V182" s="31">
        <f t="shared" si="107"/>
        <v>0</v>
      </c>
      <c r="W182" s="31">
        <f t="shared" si="107"/>
        <v>0</v>
      </c>
      <c r="X182" s="31">
        <f t="shared" si="107"/>
        <v>0</v>
      </c>
      <c r="Y182" s="31"/>
      <c r="Z182" s="19" t="str">
        <f>VLOOKUP($D182,TableInputsData[],ReadMe!$M$3,FALSE)&amp;"  |  "&amp;VLOOKUP($E182,TableInputsData[],ReadMe!$M$3,FALSE)&amp;"  |  "&amp;VLOOKUP($G182,TableInputsData[],ReadMe!$M$3,FALSE)</f>
        <v>CA ET MARGE BRUTE  |  REVENUS SERVICES  |  SERVICE</v>
      </c>
      <c r="AA182" s="19"/>
      <c r="AB182" s="28">
        <v>1</v>
      </c>
      <c r="AC182" s="28">
        <v>1</v>
      </c>
      <c r="AD182" s="28"/>
      <c r="AE182" s="28"/>
      <c r="AF182" s="28">
        <v>1</v>
      </c>
      <c r="AG182" s="28"/>
      <c r="AH182" s="526">
        <f>VLOOKUP($E182,TableInputsData[],$AH$2,FALSE)</f>
        <v>1</v>
      </c>
      <c r="AI182" s="294"/>
    </row>
    <row r="183" spans="1:35" ht="14" x14ac:dyDescent="0.2">
      <c r="A183" s="294"/>
      <c r="B183" s="944"/>
      <c r="C183" s="65">
        <v>1</v>
      </c>
      <c r="D183" s="21" t="s">
        <v>618</v>
      </c>
      <c r="E183" s="21" t="s">
        <v>627</v>
      </c>
      <c r="F183" s="21" t="s">
        <v>112</v>
      </c>
      <c r="G183" s="21" t="s">
        <v>121</v>
      </c>
      <c r="H183" s="40" t="s">
        <v>621</v>
      </c>
      <c r="I183" s="523" t="str">
        <f t="shared" ref="I183:I185" si="108">$H$2</f>
        <v>TYPICAL CASE</v>
      </c>
      <c r="J183" s="774"/>
      <c r="K183" s="29"/>
      <c r="L183" s="101"/>
      <c r="M183" s="116"/>
      <c r="N183" s="32"/>
      <c r="O183" s="41"/>
      <c r="P183" s="41" t="str">
        <f>IF(O182=0,"",P182/O182)</f>
        <v/>
      </c>
      <c r="Q183" s="41"/>
      <c r="R183" s="41"/>
      <c r="S183" s="41" t="str">
        <f>IF(P182=0,"",S182/P182)</f>
        <v/>
      </c>
      <c r="T183" s="41" t="str">
        <f>IF(S182=0,"",T182/S182)</f>
        <v/>
      </c>
      <c r="U183" s="41" t="str">
        <f>IF(T182=0,"",U182/T182)</f>
        <v/>
      </c>
      <c r="V183" s="41" t="str">
        <f>IF(U182=0,"",V182/U182)</f>
        <v/>
      </c>
      <c r="W183" s="41" t="str">
        <f>IF(V182=0,"",W182/V182)</f>
        <v/>
      </c>
      <c r="X183" s="41" t="str">
        <f>IF(W182=0,"",X182/W182)</f>
        <v/>
      </c>
      <c r="Y183" s="599"/>
      <c r="Z183" s="21" t="str">
        <f>VLOOKUP($D183,TableInputsData[],ReadMe!$M$3,FALSE)&amp;"  |  "&amp;VLOOKUP($E183,TableInputsData[],ReadMe!$M$3,FALSE)&amp;"  |  "&amp;VLOOKUP($G183,TableInputsData[],ReadMe!$M$3,FALSE)</f>
        <v>CA ET MARGE BRUTE  |  REVENUS SERVICES  |  SERVICE</v>
      </c>
      <c r="AA183" s="21"/>
      <c r="AB183" s="29">
        <v>1</v>
      </c>
      <c r="AC183" s="29"/>
      <c r="AD183" s="29"/>
      <c r="AE183" s="29"/>
      <c r="AF183" s="29">
        <v>1</v>
      </c>
      <c r="AG183" s="29"/>
      <c r="AH183" s="530" t="s">
        <v>370</v>
      </c>
      <c r="AI183" s="294"/>
    </row>
    <row r="184" spans="1:35" x14ac:dyDescent="0.2">
      <c r="A184" s="294"/>
      <c r="B184" s="944"/>
      <c r="C184" s="65">
        <v>1</v>
      </c>
      <c r="D184" s="21" t="s">
        <v>618</v>
      </c>
      <c r="E184" s="21" t="s">
        <v>628</v>
      </c>
      <c r="F184" s="21" t="s">
        <v>21</v>
      </c>
      <c r="G184" s="21" t="s">
        <v>121</v>
      </c>
      <c r="H184" s="22" t="s">
        <v>29</v>
      </c>
      <c r="I184" s="523" t="str">
        <f t="shared" si="108"/>
        <v>TYPICAL CASE</v>
      </c>
      <c r="J184" s="774"/>
      <c r="K184" s="29"/>
      <c r="L184" s="101"/>
      <c r="M184" s="116"/>
      <c r="N184" s="32"/>
      <c r="O184" s="32">
        <f t="shared" ref="O184:X184" si="109">SUMIFS(O$146:O$180,$D$146:$D$180,$D184,$E$146:$E$180,$E184,$F$146:$F$180,$F184,$H$146:$H$180,$H184)*IF(O$4="ACTUAL",1,$AH184)</f>
        <v>0</v>
      </c>
      <c r="P184" s="32">
        <f t="shared" si="109"/>
        <v>0</v>
      </c>
      <c r="Q184" s="32">
        <f t="shared" si="109"/>
        <v>0</v>
      </c>
      <c r="R184" s="32">
        <f t="shared" si="109"/>
        <v>0</v>
      </c>
      <c r="S184" s="32">
        <f t="shared" si="109"/>
        <v>0</v>
      </c>
      <c r="T184" s="32">
        <f t="shared" si="109"/>
        <v>0</v>
      </c>
      <c r="U184" s="32">
        <f t="shared" si="109"/>
        <v>0</v>
      </c>
      <c r="V184" s="32">
        <f t="shared" si="109"/>
        <v>0</v>
      </c>
      <c r="W184" s="32">
        <f t="shared" si="109"/>
        <v>0</v>
      </c>
      <c r="X184" s="32">
        <f t="shared" si="109"/>
        <v>0</v>
      </c>
      <c r="Y184" s="32"/>
      <c r="Z184" s="21" t="str">
        <f>VLOOKUP($D184,TableInputsData[],ReadMe!$M$3,FALSE)&amp;"  |  "&amp;VLOOKUP($E184,TableInputsData[],ReadMe!$M$3,FALSE)&amp;"  |  "&amp;VLOOKUP($G184,TableInputsData[],ReadMe!$M$3,FALSE)</f>
        <v>CA ET MARGE BRUTE  |  COUT DES SERVICES VENDUS  |  SERVICE</v>
      </c>
      <c r="AA184" s="21"/>
      <c r="AB184" s="29">
        <v>1</v>
      </c>
      <c r="AC184" s="29">
        <v>1</v>
      </c>
      <c r="AD184" s="29"/>
      <c r="AE184" s="29"/>
      <c r="AF184" s="29">
        <v>1</v>
      </c>
      <c r="AG184" s="29"/>
      <c r="AH184" s="530">
        <f>VLOOKUP($E184,TableInputsData[],$AH$2,FALSE)*VLOOKUP($E182,TableInputsData[],$AH$2,FALSE)</f>
        <v>1</v>
      </c>
      <c r="AI184" s="294"/>
    </row>
    <row r="185" spans="1:35" x14ac:dyDescent="0.2">
      <c r="A185" s="294"/>
      <c r="B185" s="944"/>
      <c r="C185" s="68">
        <v>1</v>
      </c>
      <c r="D185" s="23" t="s">
        <v>618</v>
      </c>
      <c r="E185" s="23" t="s">
        <v>629</v>
      </c>
      <c r="F185" s="23" t="s">
        <v>21</v>
      </c>
      <c r="G185" s="23" t="s">
        <v>121</v>
      </c>
      <c r="H185" s="24" t="s">
        <v>29</v>
      </c>
      <c r="I185" s="524" t="str">
        <f t="shared" si="108"/>
        <v>TYPICAL CASE</v>
      </c>
      <c r="J185" s="775"/>
      <c r="K185" s="30"/>
      <c r="L185" s="102"/>
      <c r="M185" s="117"/>
      <c r="N185" s="33"/>
      <c r="O185" s="33">
        <f t="shared" ref="O185:X185" si="110">O182-O184</f>
        <v>0</v>
      </c>
      <c r="P185" s="33">
        <f t="shared" si="110"/>
        <v>0</v>
      </c>
      <c r="Q185" s="33">
        <f t="shared" si="110"/>
        <v>0</v>
      </c>
      <c r="R185" s="33">
        <f t="shared" si="110"/>
        <v>0</v>
      </c>
      <c r="S185" s="33">
        <f t="shared" si="110"/>
        <v>0</v>
      </c>
      <c r="T185" s="33">
        <f t="shared" si="110"/>
        <v>0</v>
      </c>
      <c r="U185" s="33">
        <f t="shared" si="110"/>
        <v>0</v>
      </c>
      <c r="V185" s="33">
        <f t="shared" si="110"/>
        <v>0</v>
      </c>
      <c r="W185" s="33">
        <f t="shared" si="110"/>
        <v>0</v>
      </c>
      <c r="X185" s="33">
        <f t="shared" si="110"/>
        <v>0</v>
      </c>
      <c r="Y185" s="33"/>
      <c r="Z185" s="23" t="str">
        <f>VLOOKUP($D185,TableInputsData[],ReadMe!$M$3,FALSE)&amp;"  |  "&amp;VLOOKUP($E185,TableInputsData[],ReadMe!$M$3,FALSE)&amp;"  |  "&amp;VLOOKUP($G185,TableInputsData[],ReadMe!$M$3,FALSE)</f>
        <v>CA ET MARGE BRUTE  |  MARGE BRUTE SERVICES  |  SERVICE</v>
      </c>
      <c r="AA185" s="23"/>
      <c r="AB185" s="30">
        <v>1</v>
      </c>
      <c r="AC185" s="30">
        <v>1</v>
      </c>
      <c r="AD185" s="30"/>
      <c r="AE185" s="30"/>
      <c r="AF185" s="30">
        <v>1</v>
      </c>
      <c r="AG185" s="30"/>
      <c r="AH185" s="531" t="str">
        <f>IF($AH$2=5,1,"-")</f>
        <v>-</v>
      </c>
      <c r="AI185" s="294"/>
    </row>
    <row r="186" spans="1:35" x14ac:dyDescent="0.2">
      <c r="A186" s="294"/>
      <c r="B186" s="944"/>
      <c r="C186" s="71">
        <v>1</v>
      </c>
      <c r="D186" s="8" t="s">
        <v>111</v>
      </c>
      <c r="E186" s="8"/>
      <c r="F186" s="8"/>
      <c r="G186" s="8"/>
      <c r="H186" s="9"/>
      <c r="I186" s="9"/>
      <c r="J186" s="87"/>
      <c r="K186" s="87"/>
      <c r="L186" s="98"/>
      <c r="M186" s="113"/>
      <c r="N186" s="10"/>
      <c r="O186" s="10" t="b">
        <f>EXACT(ROUND(O182-O184,2),ROUND(O185,2))</f>
        <v>1</v>
      </c>
      <c r="P186" s="10" t="b">
        <f t="shared" ref="P186:X186" si="111">EXACT(ROUND(P182-P184,2),ROUND(P185,2))</f>
        <v>1</v>
      </c>
      <c r="Q186" s="10" t="b">
        <f t="shared" si="111"/>
        <v>1</v>
      </c>
      <c r="R186" s="10" t="b">
        <f t="shared" si="111"/>
        <v>1</v>
      </c>
      <c r="S186" s="10" t="b">
        <f t="shared" si="111"/>
        <v>1</v>
      </c>
      <c r="T186" s="10" t="b">
        <f t="shared" si="111"/>
        <v>1</v>
      </c>
      <c r="U186" s="10" t="b">
        <f t="shared" si="111"/>
        <v>1</v>
      </c>
      <c r="V186" s="10" t="b">
        <f t="shared" si="111"/>
        <v>1</v>
      </c>
      <c r="W186" s="10" t="b">
        <f t="shared" si="111"/>
        <v>1</v>
      </c>
      <c r="X186" s="10" t="b">
        <f t="shared" si="111"/>
        <v>1</v>
      </c>
      <c r="Y186" s="10"/>
      <c r="Z186" s="8"/>
      <c r="AA186" s="10" t="b">
        <f>AND(TableFinanceData[[#This Row],[YEAR-2]:[YEAR6]])</f>
        <v>1</v>
      </c>
      <c r="AB186" s="35">
        <v>1</v>
      </c>
      <c r="AC186" s="35"/>
      <c r="AD186" s="35"/>
      <c r="AE186" s="87"/>
      <c r="AF186" s="35"/>
      <c r="AG186" s="35"/>
      <c r="AH186" s="534"/>
      <c r="AI186" s="294"/>
    </row>
    <row r="187" spans="1:35" x14ac:dyDescent="0.2">
      <c r="A187" s="294"/>
      <c r="B187" s="944"/>
      <c r="C187" s="70">
        <v>1</v>
      </c>
      <c r="D187" s="6"/>
      <c r="E187" s="6"/>
      <c r="F187" s="6"/>
      <c r="G187" s="6"/>
      <c r="H187" s="11"/>
      <c r="I187" s="11"/>
      <c r="J187" s="91"/>
      <c r="K187" s="91"/>
      <c r="L187" s="105"/>
      <c r="M187" s="121"/>
      <c r="N187" s="7"/>
      <c r="O187" s="7"/>
      <c r="P187" s="7"/>
      <c r="Q187" s="7"/>
      <c r="R187" s="7"/>
      <c r="S187" s="7"/>
      <c r="T187" s="7"/>
      <c r="U187" s="7"/>
      <c r="V187" s="7"/>
      <c r="W187" s="7"/>
      <c r="X187" s="7"/>
      <c r="Y187" s="7"/>
      <c r="Z187" s="6"/>
      <c r="AA187" s="6"/>
      <c r="AB187" s="36"/>
      <c r="AC187" s="36"/>
      <c r="AD187" s="36"/>
      <c r="AE187" s="91"/>
      <c r="AF187" s="36"/>
      <c r="AG187" s="36"/>
      <c r="AH187" s="536"/>
      <c r="AI187" s="294"/>
    </row>
    <row r="188" spans="1:35" x14ac:dyDescent="0.2">
      <c r="A188" s="294"/>
      <c r="B188" s="944"/>
      <c r="C188" s="70">
        <v>1</v>
      </c>
      <c r="D188" s="6" t="s">
        <v>618</v>
      </c>
      <c r="E188" s="6" t="s">
        <v>631</v>
      </c>
      <c r="F188" s="6" t="s">
        <v>21</v>
      </c>
      <c r="G188" s="6" t="s">
        <v>588</v>
      </c>
      <c r="H188" s="11" t="s">
        <v>630</v>
      </c>
      <c r="I188" s="11"/>
      <c r="J188" s="91"/>
      <c r="K188" s="91"/>
      <c r="L188" s="105"/>
      <c r="M188" s="121"/>
      <c r="N188" s="7"/>
      <c r="O188" s="504">
        <v>0</v>
      </c>
      <c r="P188" s="504">
        <v>0</v>
      </c>
      <c r="Q188" s="504">
        <v>0</v>
      </c>
      <c r="R188" s="504">
        <v>0</v>
      </c>
      <c r="S188" s="4">
        <f>Q188+R188</f>
        <v>0</v>
      </c>
      <c r="T188" s="504">
        <v>0</v>
      </c>
      <c r="U188" s="504">
        <v>0</v>
      </c>
      <c r="V188" s="504">
        <v>0</v>
      </c>
      <c r="W188" s="504">
        <v>0</v>
      </c>
      <c r="X188" s="504">
        <v>0</v>
      </c>
      <c r="Y188" s="505"/>
      <c r="Z188" s="6" t="str">
        <f>VLOOKUP($D188,TableInputsData[],ReadMe!$M$3,FALSE)&amp;"  |  "&amp;VLOOKUP($E188,TableInputsData[],ReadMe!$M$3,FALSE)&amp;"  |  "&amp;VLOOKUP($G188,TableInputsData[],ReadMe!$M$3,FALSE)</f>
        <v>CA ET MARGE BRUTE  |  AUGMENTATION DES STOCKS  |  PRODUIT</v>
      </c>
      <c r="AA188" s="6"/>
      <c r="AB188" s="36"/>
      <c r="AC188" s="36"/>
      <c r="AD188" s="36"/>
      <c r="AE188" s="91"/>
      <c r="AF188" s="36">
        <v>1</v>
      </c>
      <c r="AG188" s="36"/>
      <c r="AH188" s="536"/>
      <c r="AI188" s="294"/>
    </row>
    <row r="189" spans="1:35" x14ac:dyDescent="0.2">
      <c r="A189" s="294"/>
      <c r="B189" s="944"/>
      <c r="C189" s="70">
        <v>1</v>
      </c>
      <c r="D189" s="6" t="s">
        <v>618</v>
      </c>
      <c r="E189" s="6" t="s">
        <v>632</v>
      </c>
      <c r="F189" s="6" t="s">
        <v>21</v>
      </c>
      <c r="G189" s="6" t="s">
        <v>588</v>
      </c>
      <c r="H189" s="11" t="s">
        <v>630</v>
      </c>
      <c r="I189" s="11"/>
      <c r="J189" s="91"/>
      <c r="K189" s="91"/>
      <c r="L189" s="105"/>
      <c r="M189" s="121"/>
      <c r="N189" s="7"/>
      <c r="O189" s="504">
        <v>0</v>
      </c>
      <c r="P189" s="504">
        <v>0</v>
      </c>
      <c r="Q189" s="504">
        <v>0</v>
      </c>
      <c r="R189" s="504">
        <v>0</v>
      </c>
      <c r="S189" s="4">
        <f>Q189+R189</f>
        <v>0</v>
      </c>
      <c r="T189" s="504">
        <v>0</v>
      </c>
      <c r="U189" s="504">
        <v>0</v>
      </c>
      <c r="V189" s="504">
        <v>0</v>
      </c>
      <c r="W189" s="504">
        <v>0</v>
      </c>
      <c r="X189" s="504">
        <v>0</v>
      </c>
      <c r="Y189" s="505"/>
      <c r="Z189" s="6" t="str">
        <f>VLOOKUP($D189,TableInputsData[],ReadMe!$M$3,FALSE)&amp;"  |  "&amp;VLOOKUP($E189,TableInputsData[],ReadMe!$M$3,FALSE)&amp;"  |  "&amp;VLOOKUP($G189,TableInputsData[],ReadMe!$M$3,FALSE)</f>
        <v>CA ET MARGE BRUTE  |  DIMINUTION DES STOCKS  |  PRODUIT</v>
      </c>
      <c r="AA189" s="6"/>
      <c r="AB189" s="36"/>
      <c r="AC189" s="36"/>
      <c r="AD189" s="36"/>
      <c r="AE189" s="91"/>
      <c r="AF189" s="36">
        <v>1</v>
      </c>
      <c r="AG189" s="36"/>
      <c r="AH189" s="536"/>
      <c r="AI189" s="294"/>
    </row>
    <row r="190" spans="1:35" x14ac:dyDescent="0.2">
      <c r="A190" s="294"/>
      <c r="B190" s="944"/>
      <c r="C190" s="79">
        <v>1</v>
      </c>
      <c r="D190" s="80" t="s">
        <v>618</v>
      </c>
      <c r="E190" s="80" t="s">
        <v>897</v>
      </c>
      <c r="F190" s="80" t="s">
        <v>21</v>
      </c>
      <c r="G190" s="80" t="s">
        <v>588</v>
      </c>
      <c r="H190" s="81" t="s">
        <v>29</v>
      </c>
      <c r="I190" s="81"/>
      <c r="J190" s="89"/>
      <c r="K190" s="89"/>
      <c r="L190" s="103"/>
      <c r="M190" s="119"/>
      <c r="N190" s="847"/>
      <c r="O190" s="18">
        <f>O189-O188</f>
        <v>0</v>
      </c>
      <c r="P190" s="18">
        <f t="shared" ref="P190:X190" si="112">P189-P188</f>
        <v>0</v>
      </c>
      <c r="Q190" s="18">
        <f t="shared" si="112"/>
        <v>0</v>
      </c>
      <c r="R190" s="18">
        <f t="shared" si="112"/>
        <v>0</v>
      </c>
      <c r="S190" s="18">
        <f t="shared" si="112"/>
        <v>0</v>
      </c>
      <c r="T190" s="18">
        <f t="shared" si="112"/>
        <v>0</v>
      </c>
      <c r="U190" s="18">
        <f t="shared" si="112"/>
        <v>0</v>
      </c>
      <c r="V190" s="18">
        <f t="shared" si="112"/>
        <v>0</v>
      </c>
      <c r="W190" s="18">
        <f t="shared" si="112"/>
        <v>0</v>
      </c>
      <c r="X190" s="18">
        <f t="shared" si="112"/>
        <v>0</v>
      </c>
      <c r="Y190" s="18"/>
      <c r="Z190" s="16" t="str">
        <f>VLOOKUP($D190,TableInputsData[],ReadMe!$M$3,FALSE)&amp;"  |  "&amp;VLOOKUP($E190,TableInputsData[],ReadMe!$M$3,FALSE)&amp;"  |  "&amp;VLOOKUP($G190,TableInputsData[],ReadMe!$M$3,FALSE)</f>
        <v>CA ET MARGE BRUTE  |  VARIATION DES STOCKS  |  PRODUIT</v>
      </c>
      <c r="AA190" s="16"/>
      <c r="AB190" s="27"/>
      <c r="AC190" s="27">
        <v>1</v>
      </c>
      <c r="AD190" s="27"/>
      <c r="AE190" s="27"/>
      <c r="AF190" s="27">
        <v>1</v>
      </c>
      <c r="AG190" s="27"/>
      <c r="AH190" s="533"/>
      <c r="AI190" s="294"/>
    </row>
    <row r="191" spans="1:35" x14ac:dyDescent="0.2">
      <c r="A191" s="294"/>
      <c r="B191" s="944"/>
      <c r="C191" s="70">
        <v>1</v>
      </c>
      <c r="D191" s="6"/>
      <c r="E191" s="6"/>
      <c r="F191" s="6"/>
      <c r="G191" s="6"/>
      <c r="H191" s="11"/>
      <c r="I191" s="11"/>
      <c r="J191" s="91"/>
      <c r="K191" s="91"/>
      <c r="L191" s="105"/>
      <c r="M191" s="121"/>
      <c r="N191" s="7"/>
      <c r="O191" s="7"/>
      <c r="P191" s="7"/>
      <c r="Q191" s="7"/>
      <c r="R191" s="7"/>
      <c r="S191" s="7"/>
      <c r="T191" s="7"/>
      <c r="U191" s="7"/>
      <c r="V191" s="7"/>
      <c r="W191" s="7"/>
      <c r="X191" s="7"/>
      <c r="Y191" s="7"/>
      <c r="Z191" s="6"/>
      <c r="AA191" s="6"/>
      <c r="AB191" s="36"/>
      <c r="AC191" s="36"/>
      <c r="AD191" s="36"/>
      <c r="AE191" s="91"/>
      <c r="AF191" s="36"/>
      <c r="AG191" s="36"/>
      <c r="AH191" s="536"/>
      <c r="AI191" s="294"/>
    </row>
    <row r="192" spans="1:35" x14ac:dyDescent="0.2">
      <c r="A192" s="294"/>
      <c r="B192" s="944"/>
      <c r="C192" s="64">
        <v>1</v>
      </c>
      <c r="D192" s="19" t="s">
        <v>618</v>
      </c>
      <c r="E192" s="19" t="s">
        <v>457</v>
      </c>
      <c r="F192" s="19" t="s">
        <v>21</v>
      </c>
      <c r="G192" s="19" t="s">
        <v>589</v>
      </c>
      <c r="H192" s="20" t="s">
        <v>29</v>
      </c>
      <c r="I192" s="522" t="str">
        <f>$H$2</f>
        <v>TYPICAL CASE</v>
      </c>
      <c r="J192" s="773"/>
      <c r="K192" s="28"/>
      <c r="L192" s="100"/>
      <c r="M192" s="115"/>
      <c r="N192" s="31"/>
      <c r="O192" s="31">
        <f>O140+O182</f>
        <v>0</v>
      </c>
      <c r="P192" s="31">
        <f t="shared" ref="P192:X192" si="113">P140+P182</f>
        <v>0</v>
      </c>
      <c r="Q192" s="31">
        <f t="shared" si="113"/>
        <v>0</v>
      </c>
      <c r="R192" s="31">
        <f t="shared" si="113"/>
        <v>0</v>
      </c>
      <c r="S192" s="31">
        <f t="shared" si="113"/>
        <v>0</v>
      </c>
      <c r="T192" s="31">
        <f t="shared" si="113"/>
        <v>0</v>
      </c>
      <c r="U192" s="31">
        <f t="shared" si="113"/>
        <v>0</v>
      </c>
      <c r="V192" s="31">
        <f t="shared" si="113"/>
        <v>0</v>
      </c>
      <c r="W192" s="31">
        <f t="shared" si="113"/>
        <v>0</v>
      </c>
      <c r="X192" s="31">
        <f t="shared" si="113"/>
        <v>0</v>
      </c>
      <c r="Y192" s="31"/>
      <c r="Z192" s="19" t="str">
        <f>VLOOKUP($D192,TableInputsData[],ReadMe!$M$3,FALSE)&amp;"  |  "&amp;VLOOKUP($E192,TableInputsData[],ReadMe!$M$3,FALSE)&amp;"  |  "&amp;VLOOKUP($G192,TableInputsData[],ReadMe!$M$3,FALSE)</f>
        <v>CA ET MARGE BRUTE  |  CHIFFRE D'AFFAIRES  |  PRODUIT + SERVICE</v>
      </c>
      <c r="AA192" s="19"/>
      <c r="AB192" s="28">
        <v>1</v>
      </c>
      <c r="AC192" s="28">
        <v>1</v>
      </c>
      <c r="AD192" s="28">
        <v>1</v>
      </c>
      <c r="AE192" s="28"/>
      <c r="AF192" s="28">
        <v>1</v>
      </c>
      <c r="AG192" s="28"/>
      <c r="AH192" s="526"/>
      <c r="AI192" s="294"/>
    </row>
    <row r="193" spans="1:35" ht="14" x14ac:dyDescent="0.2">
      <c r="A193" s="294"/>
      <c r="B193" s="944"/>
      <c r="C193" s="65">
        <v>1</v>
      </c>
      <c r="D193" s="21" t="s">
        <v>618</v>
      </c>
      <c r="E193" s="21" t="s">
        <v>457</v>
      </c>
      <c r="F193" s="21" t="s">
        <v>112</v>
      </c>
      <c r="G193" s="21" t="s">
        <v>589</v>
      </c>
      <c r="H193" s="40" t="s">
        <v>621</v>
      </c>
      <c r="I193" s="523" t="str">
        <f t="shared" ref="I193:I195" si="114">$H$2</f>
        <v>TYPICAL CASE</v>
      </c>
      <c r="J193" s="774"/>
      <c r="K193" s="29"/>
      <c r="L193" s="101"/>
      <c r="M193" s="116"/>
      <c r="N193" s="32"/>
      <c r="O193" s="41"/>
      <c r="P193" s="41" t="str">
        <f>IF(O192=0,"",P192/O192)</f>
        <v/>
      </c>
      <c r="Q193" s="41"/>
      <c r="R193" s="41"/>
      <c r="S193" s="41" t="str">
        <f>IF(P192=0,"",S192/P192)</f>
        <v/>
      </c>
      <c r="T193" s="41" t="str">
        <f>IF(S192=0,"",T192/S192)</f>
        <v/>
      </c>
      <c r="U193" s="41" t="str">
        <f>IF(T192=0,"",U192/T192)</f>
        <v/>
      </c>
      <c r="V193" s="41" t="str">
        <f>IF(U192=0,"",V192/U192)</f>
        <v/>
      </c>
      <c r="W193" s="41" t="str">
        <f>IF(V192=0,"",W192/V192)</f>
        <v/>
      </c>
      <c r="X193" s="41" t="str">
        <f>IF(W192=0,"",X192/W192)</f>
        <v/>
      </c>
      <c r="Y193" s="599"/>
      <c r="Z193" s="21" t="str">
        <f>VLOOKUP($D193,TableInputsData[],ReadMe!$M$3,FALSE)&amp;"  |  "&amp;VLOOKUP($E193,TableInputsData[],ReadMe!$M$3,FALSE)&amp;"  |  "&amp;VLOOKUP($G193,TableInputsData[],ReadMe!$M$3,FALSE)</f>
        <v>CA ET MARGE BRUTE  |  CHIFFRE D'AFFAIRES  |  PRODUIT + SERVICE</v>
      </c>
      <c r="AA193" s="372"/>
      <c r="AB193" s="29">
        <v>1</v>
      </c>
      <c r="AC193" s="29"/>
      <c r="AD193" s="29"/>
      <c r="AE193" s="29"/>
      <c r="AF193" s="29">
        <v>1</v>
      </c>
      <c r="AG193" s="29"/>
      <c r="AH193" s="530"/>
      <c r="AI193" s="294"/>
    </row>
    <row r="194" spans="1:35" x14ac:dyDescent="0.2">
      <c r="A194" s="294"/>
      <c r="B194" s="944"/>
      <c r="C194" s="65">
        <v>1</v>
      </c>
      <c r="D194" s="21" t="s">
        <v>618</v>
      </c>
      <c r="E194" s="21" t="s">
        <v>531</v>
      </c>
      <c r="F194" s="21" t="s">
        <v>21</v>
      </c>
      <c r="G194" s="21" t="s">
        <v>589</v>
      </c>
      <c r="H194" s="22" t="s">
        <v>29</v>
      </c>
      <c r="I194" s="523" t="str">
        <f t="shared" si="114"/>
        <v>TYPICAL CASE</v>
      </c>
      <c r="J194" s="774"/>
      <c r="K194" s="29"/>
      <c r="L194" s="101"/>
      <c r="M194" s="116"/>
      <c r="N194" s="32"/>
      <c r="O194" s="32">
        <f>O142+O184+O190</f>
        <v>0</v>
      </c>
      <c r="P194" s="32">
        <f t="shared" ref="P194:X194" si="115">P142+P184+P190</f>
        <v>0</v>
      </c>
      <c r="Q194" s="32">
        <f t="shared" si="115"/>
        <v>0</v>
      </c>
      <c r="R194" s="32">
        <f t="shared" si="115"/>
        <v>0</v>
      </c>
      <c r="S194" s="32">
        <f t="shared" si="115"/>
        <v>0</v>
      </c>
      <c r="T194" s="32">
        <f t="shared" si="115"/>
        <v>0</v>
      </c>
      <c r="U194" s="32">
        <f t="shared" si="115"/>
        <v>0</v>
      </c>
      <c r="V194" s="32">
        <f t="shared" si="115"/>
        <v>0</v>
      </c>
      <c r="W194" s="32">
        <f t="shared" si="115"/>
        <v>0</v>
      </c>
      <c r="X194" s="32">
        <f t="shared" si="115"/>
        <v>0</v>
      </c>
      <c r="Y194" s="32"/>
      <c r="Z194" s="21" t="str">
        <f>VLOOKUP($D194,TableInputsData[],ReadMe!$M$3,FALSE)&amp;"  |  "&amp;VLOOKUP($E194,TableInputsData[],ReadMe!$M$3,FALSE)&amp;"  |  "&amp;VLOOKUP($G194,TableInputsData[],ReadMe!$M$3,FALSE)</f>
        <v>CA ET MARGE BRUTE  |  DEPENSES SUR ACHATS  |  PRODUIT + SERVICE</v>
      </c>
      <c r="AA194" s="21"/>
      <c r="AB194" s="29">
        <v>1</v>
      </c>
      <c r="AC194" s="29">
        <v>1</v>
      </c>
      <c r="AD194" s="29">
        <v>1</v>
      </c>
      <c r="AE194" s="29"/>
      <c r="AF194" s="29">
        <v>1</v>
      </c>
      <c r="AG194" s="29"/>
      <c r="AH194" s="530"/>
      <c r="AI194" s="294"/>
    </row>
    <row r="195" spans="1:35" x14ac:dyDescent="0.2">
      <c r="A195" s="294"/>
      <c r="B195" s="944"/>
      <c r="C195" s="68">
        <v>1</v>
      </c>
      <c r="D195" s="23" t="s">
        <v>618</v>
      </c>
      <c r="E195" s="23" t="s">
        <v>522</v>
      </c>
      <c r="F195" s="23" t="s">
        <v>21</v>
      </c>
      <c r="G195" s="23" t="s">
        <v>589</v>
      </c>
      <c r="H195" s="24" t="s">
        <v>29</v>
      </c>
      <c r="I195" s="524" t="str">
        <f t="shared" si="114"/>
        <v>TYPICAL CASE</v>
      </c>
      <c r="J195" s="775"/>
      <c r="K195" s="30"/>
      <c r="L195" s="102"/>
      <c r="M195" s="117"/>
      <c r="N195" s="33"/>
      <c r="O195" s="33">
        <f>O143+O185-O190</f>
        <v>0</v>
      </c>
      <c r="P195" s="33">
        <f t="shared" ref="P195:X195" si="116">P143+P185-P190</f>
        <v>0</v>
      </c>
      <c r="Q195" s="33">
        <f t="shared" si="116"/>
        <v>0</v>
      </c>
      <c r="R195" s="33">
        <f t="shared" si="116"/>
        <v>0</v>
      </c>
      <c r="S195" s="33">
        <f t="shared" si="116"/>
        <v>0</v>
      </c>
      <c r="T195" s="33">
        <f t="shared" si="116"/>
        <v>0</v>
      </c>
      <c r="U195" s="33">
        <f t="shared" si="116"/>
        <v>0</v>
      </c>
      <c r="V195" s="33">
        <f t="shared" si="116"/>
        <v>0</v>
      </c>
      <c r="W195" s="33">
        <f t="shared" si="116"/>
        <v>0</v>
      </c>
      <c r="X195" s="33">
        <f t="shared" si="116"/>
        <v>0</v>
      </c>
      <c r="Y195" s="33"/>
      <c r="Z195" s="23" t="str">
        <f>VLOOKUP($D195,TableInputsData[],ReadMe!$M$3,FALSE)&amp;"  |  "&amp;VLOOKUP($E195,TableInputsData[],ReadMe!$M$3,FALSE)&amp;"  |  "&amp;VLOOKUP($G195,TableInputsData[],ReadMe!$M$3,FALSE)</f>
        <v>CA ET MARGE BRUTE  |  MARGE BRUTE  |  PRODUIT + SERVICE</v>
      </c>
      <c r="AA195" s="23"/>
      <c r="AB195" s="30">
        <v>1</v>
      </c>
      <c r="AC195" s="30">
        <v>1</v>
      </c>
      <c r="AD195" s="30"/>
      <c r="AE195" s="30"/>
      <c r="AF195" s="30">
        <v>1</v>
      </c>
      <c r="AG195" s="30"/>
      <c r="AH195" s="531"/>
      <c r="AI195" s="294"/>
    </row>
    <row r="196" spans="1:35" x14ac:dyDescent="0.2">
      <c r="A196" s="294"/>
      <c r="B196" s="944"/>
      <c r="C196" s="71">
        <v>1</v>
      </c>
      <c r="D196" s="8" t="s">
        <v>111</v>
      </c>
      <c r="E196" s="8"/>
      <c r="F196" s="8"/>
      <c r="G196" s="8"/>
      <c r="H196" s="9"/>
      <c r="I196" s="9"/>
      <c r="J196" s="87"/>
      <c r="K196" s="87"/>
      <c r="L196" s="98"/>
      <c r="M196" s="113"/>
      <c r="N196" s="10"/>
      <c r="O196" s="10" t="b">
        <f>EXACT(ROUND(O192-O194,2),ROUND(O195,2))</f>
        <v>1</v>
      </c>
      <c r="P196" s="10" t="b">
        <f t="shared" ref="P196:X196" si="117">EXACT(ROUND(P192-P194,2),ROUND(P195,2))</f>
        <v>1</v>
      </c>
      <c r="Q196" s="10" t="b">
        <f t="shared" si="117"/>
        <v>1</v>
      </c>
      <c r="R196" s="10" t="b">
        <f t="shared" si="117"/>
        <v>1</v>
      </c>
      <c r="S196" s="10" t="b">
        <f t="shared" si="117"/>
        <v>1</v>
      </c>
      <c r="T196" s="10" t="b">
        <f t="shared" si="117"/>
        <v>1</v>
      </c>
      <c r="U196" s="10" t="b">
        <f t="shared" si="117"/>
        <v>1</v>
      </c>
      <c r="V196" s="10" t="b">
        <f t="shared" si="117"/>
        <v>1</v>
      </c>
      <c r="W196" s="10" t="b">
        <f t="shared" si="117"/>
        <v>1</v>
      </c>
      <c r="X196" s="10" t="b">
        <f t="shared" si="117"/>
        <v>1</v>
      </c>
      <c r="Y196" s="10"/>
      <c r="Z196" s="8"/>
      <c r="AA196" s="10" t="b">
        <f>AND(TableFinanceData[[#This Row],[YEAR-2]:[YEAR6]])</f>
        <v>1</v>
      </c>
      <c r="AB196" s="35">
        <v>1</v>
      </c>
      <c r="AC196" s="35"/>
      <c r="AD196" s="35"/>
      <c r="AE196" s="87"/>
      <c r="AF196" s="35"/>
      <c r="AG196" s="35"/>
      <c r="AH196" s="534"/>
      <c r="AI196" s="294"/>
    </row>
    <row r="197" spans="1:35" x14ac:dyDescent="0.2">
      <c r="A197" s="294"/>
      <c r="B197" s="944"/>
      <c r="C197" s="66">
        <v>1</v>
      </c>
      <c r="D197" s="3"/>
      <c r="E197" s="3"/>
      <c r="F197" s="3"/>
      <c r="G197" s="3"/>
      <c r="H197" s="5"/>
      <c r="I197" s="5"/>
      <c r="J197" s="26"/>
      <c r="K197" s="26"/>
      <c r="L197" s="96"/>
      <c r="M197" s="118"/>
      <c r="N197" s="4"/>
      <c r="O197" s="4"/>
      <c r="P197" s="4"/>
      <c r="Q197" s="4"/>
      <c r="R197" s="4"/>
      <c r="S197" s="4"/>
      <c r="T197" s="4"/>
      <c r="U197" s="4"/>
      <c r="V197" s="4"/>
      <c r="W197" s="4"/>
      <c r="X197" s="4"/>
      <c r="Y197" s="4"/>
      <c r="Z197" s="3"/>
      <c r="AA197" s="3"/>
      <c r="AB197" s="34"/>
      <c r="AC197" s="34"/>
      <c r="AD197" s="34"/>
      <c r="AE197" s="26"/>
      <c r="AF197" s="34"/>
      <c r="AG197" s="34"/>
      <c r="AH197" s="535"/>
      <c r="AI197" s="294"/>
    </row>
    <row r="198" spans="1:35" x14ac:dyDescent="0.2">
      <c r="A198" s="294"/>
      <c r="B198" s="945"/>
      <c r="C198" s="73">
        <v>1</v>
      </c>
      <c r="D198" s="55"/>
      <c r="E198" s="55"/>
      <c r="F198" s="55"/>
      <c r="G198" s="55"/>
      <c r="H198" s="56"/>
      <c r="I198" s="56"/>
      <c r="J198" s="92"/>
      <c r="K198" s="92"/>
      <c r="L198" s="106"/>
      <c r="M198" s="122"/>
      <c r="N198" s="57"/>
      <c r="O198" s="57"/>
      <c r="P198" s="57"/>
      <c r="Q198" s="57"/>
      <c r="R198" s="57"/>
      <c r="S198" s="57"/>
      <c r="T198" s="57"/>
      <c r="U198" s="57"/>
      <c r="V198" s="57"/>
      <c r="W198" s="57"/>
      <c r="X198" s="57"/>
      <c r="Y198" s="57"/>
      <c r="Z198" s="55"/>
      <c r="AA198" s="55"/>
      <c r="AB198" s="58"/>
      <c r="AC198" s="58"/>
      <c r="AD198" s="58"/>
      <c r="AE198" s="92"/>
      <c r="AF198" s="58"/>
      <c r="AG198" s="58"/>
      <c r="AH198" s="538"/>
      <c r="AI198" s="294"/>
    </row>
    <row r="199" spans="1:35" ht="15" customHeight="1" x14ac:dyDescent="0.2">
      <c r="A199" s="294"/>
      <c r="B199" s="940" t="s">
        <v>662</v>
      </c>
      <c r="C199" s="73">
        <v>2</v>
      </c>
      <c r="D199" s="55"/>
      <c r="E199" s="55"/>
      <c r="F199" s="55"/>
      <c r="G199" s="55"/>
      <c r="H199" s="56"/>
      <c r="I199" s="56"/>
      <c r="J199" s="92"/>
      <c r="K199" s="92"/>
      <c r="L199" s="106"/>
      <c r="M199" s="122"/>
      <c r="N199" s="57"/>
      <c r="O199" s="57"/>
      <c r="P199" s="57"/>
      <c r="Q199" s="57"/>
      <c r="R199" s="57"/>
      <c r="S199" s="57"/>
      <c r="T199" s="57"/>
      <c r="U199" s="57"/>
      <c r="V199" s="57"/>
      <c r="W199" s="57"/>
      <c r="X199" s="57"/>
      <c r="Y199" s="57"/>
      <c r="Z199" s="55"/>
      <c r="AA199" s="55"/>
      <c r="AB199" s="58"/>
      <c r="AC199" s="58"/>
      <c r="AD199" s="58"/>
      <c r="AE199" s="92"/>
      <c r="AF199" s="58"/>
      <c r="AG199" s="58"/>
      <c r="AH199" s="538"/>
      <c r="AI199" s="294"/>
    </row>
    <row r="200" spans="1:35" x14ac:dyDescent="0.2">
      <c r="A200" s="294"/>
      <c r="B200" s="941"/>
      <c r="C200" s="66">
        <v>2</v>
      </c>
      <c r="D200" s="3"/>
      <c r="E200" s="3"/>
      <c r="F200" s="3"/>
      <c r="G200" s="3"/>
      <c r="H200" s="5"/>
      <c r="I200" s="5"/>
      <c r="J200" s="26"/>
      <c r="K200" s="26"/>
      <c r="L200" s="96"/>
      <c r="M200" s="118"/>
      <c r="N200" s="4"/>
      <c r="O200" s="4"/>
      <c r="P200" s="4"/>
      <c r="Q200" s="4"/>
      <c r="R200" s="4"/>
      <c r="S200" s="4"/>
      <c r="T200" s="4"/>
      <c r="U200" s="4"/>
      <c r="V200" s="4"/>
      <c r="W200" s="4"/>
      <c r="X200" s="4"/>
      <c r="Y200" s="4"/>
      <c r="Z200" s="3"/>
      <c r="AA200" s="3"/>
      <c r="AB200" s="34"/>
      <c r="AC200" s="34"/>
      <c r="AD200" s="34"/>
      <c r="AE200" s="26"/>
      <c r="AF200" s="34"/>
      <c r="AG200" s="34"/>
      <c r="AH200" s="535"/>
      <c r="AI200" s="294"/>
    </row>
    <row r="201" spans="1:35" ht="12.75" customHeight="1" x14ac:dyDescent="0.2">
      <c r="A201" s="294"/>
      <c r="B201" s="941"/>
      <c r="C201" s="66">
        <v>2</v>
      </c>
      <c r="D201" s="3" t="s">
        <v>645</v>
      </c>
      <c r="E201" s="3" t="s">
        <v>642</v>
      </c>
      <c r="F201" s="3" t="s">
        <v>21</v>
      </c>
      <c r="G201" s="5" t="s">
        <v>46</v>
      </c>
      <c r="H201" s="5" t="s">
        <v>702</v>
      </c>
      <c r="I201" s="5"/>
      <c r="J201" s="802"/>
      <c r="K201" s="135"/>
      <c r="L201" s="127"/>
      <c r="M201" s="134"/>
      <c r="N201" s="60"/>
      <c r="O201" s="504">
        <v>0</v>
      </c>
      <c r="P201" s="504">
        <v>0</v>
      </c>
      <c r="Q201" s="504">
        <v>0</v>
      </c>
      <c r="R201" s="504">
        <v>0</v>
      </c>
      <c r="S201" s="4">
        <f>Q201+R201</f>
        <v>0</v>
      </c>
      <c r="T201" s="504">
        <v>0</v>
      </c>
      <c r="U201" s="504">
        <v>0</v>
      </c>
      <c r="V201" s="504">
        <v>0</v>
      </c>
      <c r="W201" s="504">
        <v>0</v>
      </c>
      <c r="X201" s="504">
        <v>0</v>
      </c>
      <c r="Y201" s="604"/>
      <c r="Z201" s="3" t="str">
        <f>VLOOKUP($D201,TableInputsData[],ReadMe!$M$3,FALSE)&amp;"  |  "&amp;VLOOKUP($E201,TableInputsData[],ReadMe!$M$3,FALSE)&amp;"  |  "&amp;VLOOKUP($G201,TableInputsData[],ReadMe!$M$3,FALSE)&amp;IF(AF201=1,"  |  "&amp;VLOOKUP($H201,TableInputsData[],ReadMe!$M$3,FALSE),"")</f>
        <v>DEPENSES OPERATIONNELLES  |  COUT DE MARKETING  |  MARKETING  |  RECHERCHE</v>
      </c>
      <c r="AA201" s="3"/>
      <c r="AB201" s="34">
        <f>IF(SUM(O201:X201)=0,0,1)</f>
        <v>0</v>
      </c>
      <c r="AC201" s="34"/>
      <c r="AD201" s="34"/>
      <c r="AE201" s="26"/>
      <c r="AF201" s="34">
        <v>1</v>
      </c>
      <c r="AG201" s="34"/>
      <c r="AH201" s="535"/>
      <c r="AI201" s="294"/>
    </row>
    <row r="202" spans="1:35" x14ac:dyDescent="0.2">
      <c r="A202" s="294"/>
      <c r="B202" s="941"/>
      <c r="C202" s="66">
        <v>2</v>
      </c>
      <c r="D202" s="3" t="s">
        <v>645</v>
      </c>
      <c r="E202" s="3" t="s">
        <v>642</v>
      </c>
      <c r="F202" s="3" t="s">
        <v>21</v>
      </c>
      <c r="G202" s="5" t="s">
        <v>46</v>
      </c>
      <c r="H202" s="5" t="s">
        <v>666</v>
      </c>
      <c r="I202" s="5"/>
      <c r="J202" s="802"/>
      <c r="K202" s="135"/>
      <c r="L202" s="127"/>
      <c r="M202" s="134"/>
      <c r="N202" s="60"/>
      <c r="O202" s="504">
        <v>0</v>
      </c>
      <c r="P202" s="504">
        <v>0</v>
      </c>
      <c r="Q202" s="504">
        <v>0</v>
      </c>
      <c r="R202" s="504">
        <v>0</v>
      </c>
      <c r="S202" s="4">
        <f>Q202+R202</f>
        <v>0</v>
      </c>
      <c r="T202" s="504">
        <v>0</v>
      </c>
      <c r="U202" s="504">
        <v>0</v>
      </c>
      <c r="V202" s="504">
        <v>0</v>
      </c>
      <c r="W202" s="504">
        <v>0</v>
      </c>
      <c r="X202" s="504">
        <v>0</v>
      </c>
      <c r="Y202" s="604"/>
      <c r="Z202" s="3" t="str">
        <f>VLOOKUP($D202,TableInputsData[],ReadMe!$M$3,FALSE)&amp;"  |  "&amp;VLOOKUP($E202,TableInputsData[],ReadMe!$M$3,FALSE)&amp;"  |  "&amp;VLOOKUP($G202,TableInputsData[],ReadMe!$M$3,FALSE)&amp;IF(AF202=1,"  |  "&amp;VLOOKUP($H202,TableInputsData[],ReadMe!$M$3,FALSE),"")</f>
        <v>DEPENSES OPERATIONNELLES  |  COUT DE MARKETING  |  MARKETING  |  ACHATS D'ÉTUDES ET PRESTATIONS DE SERVICES</v>
      </c>
      <c r="AA202" s="3"/>
      <c r="AB202" s="34">
        <f t="shared" ref="AB202:AB210" si="118">IF(SUM(O202:X202)=0,0,1)</f>
        <v>0</v>
      </c>
      <c r="AC202" s="34"/>
      <c r="AD202" s="34"/>
      <c r="AE202" s="26"/>
      <c r="AF202" s="34">
        <v>1</v>
      </c>
      <c r="AG202" s="34"/>
      <c r="AH202" s="535"/>
      <c r="AI202" s="294"/>
    </row>
    <row r="203" spans="1:35" x14ac:dyDescent="0.2">
      <c r="A203" s="294"/>
      <c r="B203" s="941"/>
      <c r="C203" s="66">
        <v>2</v>
      </c>
      <c r="D203" s="3" t="s">
        <v>645</v>
      </c>
      <c r="E203" s="3" t="s">
        <v>642</v>
      </c>
      <c r="F203" s="3" t="s">
        <v>21</v>
      </c>
      <c r="G203" s="5" t="s">
        <v>46</v>
      </c>
      <c r="H203" s="5" t="s">
        <v>36</v>
      </c>
      <c r="I203" s="5"/>
      <c r="J203" s="802"/>
      <c r="K203" s="135"/>
      <c r="L203" s="127"/>
      <c r="M203" s="134"/>
      <c r="N203" s="60"/>
      <c r="O203" s="504">
        <v>0</v>
      </c>
      <c r="P203" s="504">
        <v>0</v>
      </c>
      <c r="Q203" s="504">
        <v>0</v>
      </c>
      <c r="R203" s="504">
        <v>0</v>
      </c>
      <c r="S203" s="4">
        <f>Q203+R203</f>
        <v>0</v>
      </c>
      <c r="T203" s="504">
        <v>0</v>
      </c>
      <c r="U203" s="504">
        <v>0</v>
      </c>
      <c r="V203" s="504">
        <v>0</v>
      </c>
      <c r="W203" s="504">
        <v>0</v>
      </c>
      <c r="X203" s="504">
        <v>0</v>
      </c>
      <c r="Y203" s="604"/>
      <c r="Z203" s="3" t="str">
        <f>VLOOKUP($D203,TableInputsData[],ReadMe!$M$3,FALSE)&amp;"  |  "&amp;VLOOKUP($E203,TableInputsData[],ReadMe!$M$3,FALSE)&amp;"  |  "&amp;VLOOKUP($G203,TableInputsData[],ReadMe!$M$3,FALSE)&amp;IF(AF203=1,"  |  "&amp;VLOOKUP($H203,TableInputsData[],ReadMe!$M$3,FALSE),"")</f>
        <v>DEPENSES OPERATIONNELLES  |  COUT DE MARKETING  |  MARKETING  |  RECEPTIONS</v>
      </c>
      <c r="AA203" s="3"/>
      <c r="AB203" s="34">
        <f t="shared" si="118"/>
        <v>0</v>
      </c>
      <c r="AC203" s="34"/>
      <c r="AD203" s="34"/>
      <c r="AE203" s="26"/>
      <c r="AF203" s="34">
        <v>1</v>
      </c>
      <c r="AG203" s="34"/>
      <c r="AH203" s="535"/>
      <c r="AI203" s="294"/>
    </row>
    <row r="204" spans="1:35" x14ac:dyDescent="0.2">
      <c r="A204" s="294"/>
      <c r="B204" s="941"/>
      <c r="C204" s="66">
        <v>2</v>
      </c>
      <c r="D204" s="3" t="s">
        <v>645</v>
      </c>
      <c r="E204" s="3" t="s">
        <v>642</v>
      </c>
      <c r="F204" s="3" t="s">
        <v>21</v>
      </c>
      <c r="G204" s="5" t="s">
        <v>46</v>
      </c>
      <c r="H204" s="5" t="s">
        <v>680</v>
      </c>
      <c r="I204" s="5"/>
      <c r="J204" s="802"/>
      <c r="K204" s="135"/>
      <c r="L204" s="127"/>
      <c r="M204" s="134"/>
      <c r="N204" s="60"/>
      <c r="O204" s="504">
        <v>0</v>
      </c>
      <c r="P204" s="504">
        <v>0</v>
      </c>
      <c r="Q204" s="504">
        <v>0</v>
      </c>
      <c r="R204" s="504">
        <v>0</v>
      </c>
      <c r="S204" s="4">
        <f>Q204+R204</f>
        <v>0</v>
      </c>
      <c r="T204" s="504">
        <v>0</v>
      </c>
      <c r="U204" s="504">
        <v>0</v>
      </c>
      <c r="V204" s="504">
        <v>0</v>
      </c>
      <c r="W204" s="504">
        <v>0</v>
      </c>
      <c r="X204" s="504">
        <v>0</v>
      </c>
      <c r="Y204" s="604"/>
      <c r="Z204" s="3" t="str">
        <f>VLOOKUP($D204,TableInputsData[],ReadMe!$M$3,FALSE)&amp;"  |  "&amp;VLOOKUP($E204,TableInputsData[],ReadMe!$M$3,FALSE)&amp;"  |  "&amp;VLOOKUP($G204,TableInputsData[],ReadMe!$M$3,FALSE)&amp;IF(AF204=1,"  |  "&amp;VLOOKUP($H204,TableInputsData[],ReadMe!$M$3,FALSE),"")</f>
        <v>DEPENSES OPERATIONNELLES  |  COUT DE MARKETING  |  MARKETING  |  DOCUMENTATION GENERALE</v>
      </c>
      <c r="AA204" s="3"/>
      <c r="AB204" s="34">
        <f t="shared" si="118"/>
        <v>0</v>
      </c>
      <c r="AC204" s="34"/>
      <c r="AD204" s="34"/>
      <c r="AE204" s="26"/>
      <c r="AF204" s="34">
        <v>1</v>
      </c>
      <c r="AG204" s="34"/>
      <c r="AH204" s="535"/>
      <c r="AI204" s="294"/>
    </row>
    <row r="205" spans="1:35" x14ac:dyDescent="0.2">
      <c r="A205" s="294"/>
      <c r="B205" s="941"/>
      <c r="C205" s="66">
        <v>2</v>
      </c>
      <c r="D205" s="3" t="s">
        <v>645</v>
      </c>
      <c r="E205" s="3" t="s">
        <v>642</v>
      </c>
      <c r="F205" s="3" t="s">
        <v>21</v>
      </c>
      <c r="G205" s="5" t="s">
        <v>46</v>
      </c>
      <c r="H205" s="5" t="s">
        <v>701</v>
      </c>
      <c r="I205" s="5"/>
      <c r="J205" s="802"/>
      <c r="K205" s="135"/>
      <c r="L205" s="127"/>
      <c r="M205" s="134"/>
      <c r="N205" s="60"/>
      <c r="O205" s="504">
        <v>0</v>
      </c>
      <c r="P205" s="504">
        <v>0</v>
      </c>
      <c r="Q205" s="504">
        <v>0</v>
      </c>
      <c r="R205" s="504">
        <v>0</v>
      </c>
      <c r="S205" s="4">
        <f t="shared" ref="S205:S210" si="119">Q205+R205</f>
        <v>0</v>
      </c>
      <c r="T205" s="504">
        <v>0</v>
      </c>
      <c r="U205" s="504">
        <v>0</v>
      </c>
      <c r="V205" s="504">
        <v>0</v>
      </c>
      <c r="W205" s="504">
        <v>0</v>
      </c>
      <c r="X205" s="504">
        <v>0</v>
      </c>
      <c r="Y205" s="604"/>
      <c r="Z205" s="3" t="str">
        <f>VLOOKUP($D205,TableInputsData[],ReadMe!$M$3,FALSE)&amp;"  |  "&amp;VLOOKUP($E205,TableInputsData[],ReadMe!$M$3,FALSE)&amp;"  |  "&amp;VLOOKUP($G205,TableInputsData[],ReadMe!$M$3,FALSE)&amp;IF(AF205=1,"  |  "&amp;VLOOKUP($H205,TableInputsData[],ReadMe!$M$3,FALSE),"")</f>
        <v>DEPENSES OPERATIONNELLES  |  COUT DE MARKETING  |  MARKETING  |  PUBLICITE</v>
      </c>
      <c r="AA205" s="3"/>
      <c r="AB205" s="34">
        <f t="shared" si="118"/>
        <v>0</v>
      </c>
      <c r="AC205" s="34"/>
      <c r="AD205" s="34"/>
      <c r="AE205" s="26"/>
      <c r="AF205" s="34">
        <v>1</v>
      </c>
      <c r="AG205" s="34"/>
      <c r="AH205" s="535"/>
      <c r="AI205" s="294"/>
    </row>
    <row r="206" spans="1:35" x14ac:dyDescent="0.2">
      <c r="A206" s="294"/>
      <c r="B206" s="941"/>
      <c r="C206" s="66">
        <v>2</v>
      </c>
      <c r="D206" s="3" t="s">
        <v>645</v>
      </c>
      <c r="E206" s="3" t="s">
        <v>642</v>
      </c>
      <c r="F206" s="3" t="s">
        <v>21</v>
      </c>
      <c r="G206" s="5" t="s">
        <v>46</v>
      </c>
      <c r="H206" s="502" t="s">
        <v>96</v>
      </c>
      <c r="I206" s="5"/>
      <c r="J206" s="802"/>
      <c r="K206" s="135"/>
      <c r="L206" s="127"/>
      <c r="M206" s="134"/>
      <c r="N206" s="60"/>
      <c r="O206" s="504">
        <v>0</v>
      </c>
      <c r="P206" s="504">
        <v>0</v>
      </c>
      <c r="Q206" s="504">
        <v>0</v>
      </c>
      <c r="R206" s="504">
        <v>0</v>
      </c>
      <c r="S206" s="4">
        <f t="shared" si="119"/>
        <v>0</v>
      </c>
      <c r="T206" s="504">
        <v>0</v>
      </c>
      <c r="U206" s="504">
        <v>0</v>
      </c>
      <c r="V206" s="504">
        <v>0</v>
      </c>
      <c r="W206" s="504">
        <v>0</v>
      </c>
      <c r="X206" s="504">
        <v>0</v>
      </c>
      <c r="Y206" s="604"/>
      <c r="Z206" s="3" t="str">
        <f>VLOOKUP($D206,TableInputsData[],ReadMe!$M$3,FALSE)&amp;"  |  "&amp;VLOOKUP($E206,TableInputsData[],ReadMe!$M$3,FALSE)&amp;"  |  "&amp;VLOOKUP($G206,TableInputsData[],ReadMe!$M$3,FALSE)&amp;IF(AF206=1,"  |  "&amp;VLOOKUP($H206,TableInputsData[],ReadMe!$M$3,FALSE),"")</f>
        <v>DEPENSES OPERATIONNELLES  |  COUT DE MARKETING  |  MARKETING</v>
      </c>
      <c r="AA206" s="3"/>
      <c r="AB206" s="34">
        <f t="shared" si="118"/>
        <v>0</v>
      </c>
      <c r="AC206" s="34"/>
      <c r="AD206" s="34"/>
      <c r="AE206" s="26"/>
      <c r="AF206" s="34">
        <v>0</v>
      </c>
      <c r="AG206" s="34"/>
      <c r="AH206" s="535"/>
      <c r="AI206" s="294"/>
    </row>
    <row r="207" spans="1:35" x14ac:dyDescent="0.2">
      <c r="A207" s="294"/>
      <c r="B207" s="941"/>
      <c r="C207" s="66">
        <v>2</v>
      </c>
      <c r="D207" s="3" t="s">
        <v>645</v>
      </c>
      <c r="E207" s="3" t="s">
        <v>642</v>
      </c>
      <c r="F207" s="3" t="s">
        <v>21</v>
      </c>
      <c r="G207" s="5" t="s">
        <v>46</v>
      </c>
      <c r="H207" s="502" t="s">
        <v>97</v>
      </c>
      <c r="I207" s="5"/>
      <c r="J207" s="802"/>
      <c r="K207" s="135"/>
      <c r="L207" s="127"/>
      <c r="M207" s="134"/>
      <c r="N207" s="60"/>
      <c r="O207" s="504">
        <v>0</v>
      </c>
      <c r="P207" s="504">
        <v>0</v>
      </c>
      <c r="Q207" s="504">
        <v>0</v>
      </c>
      <c r="R207" s="504">
        <v>0</v>
      </c>
      <c r="S207" s="4">
        <f t="shared" si="119"/>
        <v>0</v>
      </c>
      <c r="T207" s="504">
        <v>0</v>
      </c>
      <c r="U207" s="504">
        <v>0</v>
      </c>
      <c r="V207" s="504">
        <v>0</v>
      </c>
      <c r="W207" s="504">
        <v>0</v>
      </c>
      <c r="X207" s="504">
        <v>0</v>
      </c>
      <c r="Y207" s="604"/>
      <c r="Z207" s="3" t="str">
        <f>VLOOKUP($D207,TableInputsData[],ReadMe!$M$3,FALSE)&amp;"  |  "&amp;VLOOKUP($E207,TableInputsData[],ReadMe!$M$3,FALSE)&amp;"  |  "&amp;VLOOKUP($G207,TableInputsData[],ReadMe!$M$3,FALSE)&amp;IF(AF207=1,"  |  "&amp;VLOOKUP($H207,TableInputsData[],ReadMe!$M$3,FALSE),"")</f>
        <v>DEPENSES OPERATIONNELLES  |  COUT DE MARKETING  |  MARKETING</v>
      </c>
      <c r="AA207" s="3"/>
      <c r="AB207" s="34">
        <f t="shared" si="118"/>
        <v>0</v>
      </c>
      <c r="AC207" s="34"/>
      <c r="AD207" s="34"/>
      <c r="AE207" s="26"/>
      <c r="AF207" s="34">
        <v>0</v>
      </c>
      <c r="AG207" s="34"/>
      <c r="AH207" s="535"/>
      <c r="AI207" s="294"/>
    </row>
    <row r="208" spans="1:35" x14ac:dyDescent="0.2">
      <c r="A208" s="294"/>
      <c r="B208" s="941"/>
      <c r="C208" s="66">
        <v>2</v>
      </c>
      <c r="D208" s="3" t="s">
        <v>645</v>
      </c>
      <c r="E208" s="3" t="s">
        <v>642</v>
      </c>
      <c r="F208" s="3" t="s">
        <v>21</v>
      </c>
      <c r="G208" s="5" t="s">
        <v>46</v>
      </c>
      <c r="H208" s="502" t="s">
        <v>98</v>
      </c>
      <c r="I208" s="5"/>
      <c r="J208" s="802"/>
      <c r="K208" s="135"/>
      <c r="L208" s="127"/>
      <c r="M208" s="134"/>
      <c r="N208" s="60"/>
      <c r="O208" s="504">
        <v>0</v>
      </c>
      <c r="P208" s="504">
        <v>0</v>
      </c>
      <c r="Q208" s="504">
        <v>0</v>
      </c>
      <c r="R208" s="504">
        <v>0</v>
      </c>
      <c r="S208" s="4">
        <f t="shared" si="119"/>
        <v>0</v>
      </c>
      <c r="T208" s="504">
        <v>0</v>
      </c>
      <c r="U208" s="504">
        <v>0</v>
      </c>
      <c r="V208" s="504">
        <v>0</v>
      </c>
      <c r="W208" s="504">
        <v>0</v>
      </c>
      <c r="X208" s="504">
        <v>0</v>
      </c>
      <c r="Y208" s="604"/>
      <c r="Z208" s="3" t="str">
        <f>VLOOKUP($D208,TableInputsData[],ReadMe!$M$3,FALSE)&amp;"  |  "&amp;VLOOKUP($E208,TableInputsData[],ReadMe!$M$3,FALSE)&amp;"  |  "&amp;VLOOKUP($G208,TableInputsData[],ReadMe!$M$3,FALSE)&amp;IF(AF208=1,"  |  "&amp;VLOOKUP($H208,TableInputsData[],ReadMe!$M$3,FALSE),"")</f>
        <v>DEPENSES OPERATIONNELLES  |  COUT DE MARKETING  |  MARKETING</v>
      </c>
      <c r="AA208" s="3"/>
      <c r="AB208" s="34">
        <f t="shared" si="118"/>
        <v>0</v>
      </c>
      <c r="AC208" s="34"/>
      <c r="AD208" s="34"/>
      <c r="AE208" s="26"/>
      <c r="AF208" s="34">
        <v>0</v>
      </c>
      <c r="AG208" s="34"/>
      <c r="AH208" s="535"/>
      <c r="AI208" s="294"/>
    </row>
    <row r="209" spans="1:35" x14ac:dyDescent="0.2">
      <c r="A209" s="294"/>
      <c r="B209" s="941"/>
      <c r="C209" s="66">
        <v>2</v>
      </c>
      <c r="D209" s="3" t="s">
        <v>645</v>
      </c>
      <c r="E209" s="3" t="s">
        <v>642</v>
      </c>
      <c r="F209" s="3" t="s">
        <v>21</v>
      </c>
      <c r="G209" s="5" t="s">
        <v>46</v>
      </c>
      <c r="H209" s="502" t="s">
        <v>99</v>
      </c>
      <c r="I209" s="5"/>
      <c r="J209" s="802"/>
      <c r="K209" s="135"/>
      <c r="L209" s="127"/>
      <c r="M209" s="134"/>
      <c r="N209" s="60"/>
      <c r="O209" s="504">
        <v>0</v>
      </c>
      <c r="P209" s="504">
        <v>0</v>
      </c>
      <c r="Q209" s="504">
        <v>0</v>
      </c>
      <c r="R209" s="504">
        <v>0</v>
      </c>
      <c r="S209" s="4">
        <f t="shared" si="119"/>
        <v>0</v>
      </c>
      <c r="T209" s="504">
        <v>0</v>
      </c>
      <c r="U209" s="504">
        <v>0</v>
      </c>
      <c r="V209" s="504">
        <v>0</v>
      </c>
      <c r="W209" s="504">
        <v>0</v>
      </c>
      <c r="X209" s="504">
        <v>0</v>
      </c>
      <c r="Y209" s="604"/>
      <c r="Z209" s="3" t="str">
        <f>VLOOKUP($D209,TableInputsData[],ReadMe!$M$3,FALSE)&amp;"  |  "&amp;VLOOKUP($E209,TableInputsData[],ReadMe!$M$3,FALSE)&amp;"  |  "&amp;VLOOKUP($G209,TableInputsData[],ReadMe!$M$3,FALSE)&amp;IF(AF209=1,"  |  "&amp;VLOOKUP($H209,TableInputsData[],ReadMe!$M$3,FALSE),"")</f>
        <v>DEPENSES OPERATIONNELLES  |  COUT DE MARKETING  |  MARKETING</v>
      </c>
      <c r="AA209" s="3"/>
      <c r="AB209" s="34">
        <f t="shared" si="118"/>
        <v>0</v>
      </c>
      <c r="AC209" s="34"/>
      <c r="AD209" s="34"/>
      <c r="AE209" s="26"/>
      <c r="AF209" s="34">
        <v>0</v>
      </c>
      <c r="AG209" s="34"/>
      <c r="AH209" s="535"/>
      <c r="AI209" s="294"/>
    </row>
    <row r="210" spans="1:35" x14ac:dyDescent="0.2">
      <c r="A210" s="294"/>
      <c r="B210" s="941"/>
      <c r="C210" s="70">
        <v>2</v>
      </c>
      <c r="D210" s="6" t="s">
        <v>645</v>
      </c>
      <c r="E210" s="6" t="s">
        <v>642</v>
      </c>
      <c r="F210" s="6" t="s">
        <v>21</v>
      </c>
      <c r="G210" s="11" t="s">
        <v>46</v>
      </c>
      <c r="H210" s="503" t="s">
        <v>100</v>
      </c>
      <c r="I210" s="11"/>
      <c r="J210" s="802"/>
      <c r="K210" s="135"/>
      <c r="L210" s="127"/>
      <c r="M210" s="134"/>
      <c r="N210" s="60"/>
      <c r="O210" s="505">
        <v>0</v>
      </c>
      <c r="P210" s="505">
        <v>0</v>
      </c>
      <c r="Q210" s="505">
        <v>0</v>
      </c>
      <c r="R210" s="505">
        <v>0</v>
      </c>
      <c r="S210" s="7">
        <f t="shared" si="119"/>
        <v>0</v>
      </c>
      <c r="T210" s="505">
        <v>0</v>
      </c>
      <c r="U210" s="505">
        <v>0</v>
      </c>
      <c r="V210" s="505">
        <v>0</v>
      </c>
      <c r="W210" s="505">
        <v>0</v>
      </c>
      <c r="X210" s="505">
        <v>0</v>
      </c>
      <c r="Y210" s="605"/>
      <c r="Z210" s="3" t="str">
        <f>VLOOKUP($D210,TableInputsData[],ReadMe!$M$3,FALSE)&amp;"  |  "&amp;VLOOKUP($E210,TableInputsData[],ReadMe!$M$3,FALSE)&amp;"  |  "&amp;VLOOKUP($G210,TableInputsData[],ReadMe!$M$3,FALSE)&amp;IF(AF210=1,"  |  "&amp;VLOOKUP($H210,TableInputsData[],ReadMe!$M$3,FALSE),"")</f>
        <v>DEPENSES OPERATIONNELLES  |  COUT DE MARKETING  |  MARKETING</v>
      </c>
      <c r="AA210" s="6"/>
      <c r="AB210" s="36">
        <f t="shared" si="118"/>
        <v>0</v>
      </c>
      <c r="AC210" s="36"/>
      <c r="AD210" s="36"/>
      <c r="AE210" s="91"/>
      <c r="AF210" s="36">
        <v>0</v>
      </c>
      <c r="AG210" s="36"/>
      <c r="AH210" s="536"/>
      <c r="AI210" s="294"/>
    </row>
    <row r="211" spans="1:35" x14ac:dyDescent="0.2">
      <c r="A211" s="294"/>
      <c r="B211" s="941"/>
      <c r="C211" s="67">
        <v>2</v>
      </c>
      <c r="D211" s="16" t="s">
        <v>645</v>
      </c>
      <c r="E211" s="16" t="s">
        <v>642</v>
      </c>
      <c r="F211" s="16" t="s">
        <v>21</v>
      </c>
      <c r="G211" s="16" t="s">
        <v>46</v>
      </c>
      <c r="H211" s="17" t="s">
        <v>29</v>
      </c>
      <c r="I211" s="17"/>
      <c r="J211" s="27"/>
      <c r="K211" s="27"/>
      <c r="L211" s="97"/>
      <c r="M211" s="112"/>
      <c r="N211" s="18"/>
      <c r="O211" s="18">
        <f t="shared" ref="O211:X211" si="120">SUM(O201:O210)</f>
        <v>0</v>
      </c>
      <c r="P211" s="18">
        <f t="shared" si="120"/>
        <v>0</v>
      </c>
      <c r="Q211" s="18">
        <f t="shared" si="120"/>
        <v>0</v>
      </c>
      <c r="R211" s="18">
        <f t="shared" si="120"/>
        <v>0</v>
      </c>
      <c r="S211" s="18">
        <f t="shared" si="120"/>
        <v>0</v>
      </c>
      <c r="T211" s="18">
        <f t="shared" si="120"/>
        <v>0</v>
      </c>
      <c r="U211" s="18">
        <f t="shared" si="120"/>
        <v>0</v>
      </c>
      <c r="V211" s="18">
        <f t="shared" si="120"/>
        <v>0</v>
      </c>
      <c r="W211" s="18">
        <f t="shared" si="120"/>
        <v>0</v>
      </c>
      <c r="X211" s="18">
        <f t="shared" si="120"/>
        <v>0</v>
      </c>
      <c r="Y211" s="18"/>
      <c r="Z211" s="16"/>
      <c r="AA211" s="16"/>
      <c r="AB211" s="27">
        <v>1</v>
      </c>
      <c r="AC211" s="27"/>
      <c r="AD211" s="27"/>
      <c r="AE211" s="27"/>
      <c r="AF211" s="27"/>
      <c r="AG211" s="27"/>
      <c r="AH211" s="533"/>
      <c r="AI211" s="294"/>
    </row>
    <row r="212" spans="1:35" x14ac:dyDescent="0.2">
      <c r="A212" s="294"/>
      <c r="B212" s="941"/>
      <c r="C212" s="71">
        <v>2</v>
      </c>
      <c r="D212" s="8"/>
      <c r="E212" s="8"/>
      <c r="F212" s="8"/>
      <c r="G212" s="8"/>
      <c r="H212" s="9"/>
      <c r="I212" s="9"/>
      <c r="J212" s="87"/>
      <c r="K212" s="87"/>
      <c r="L212" s="98"/>
      <c r="M212" s="113"/>
      <c r="N212" s="10"/>
      <c r="O212" s="10"/>
      <c r="P212" s="10"/>
      <c r="Q212" s="10"/>
      <c r="R212" s="10"/>
      <c r="S212" s="10"/>
      <c r="T212" s="10"/>
      <c r="U212" s="10"/>
      <c r="V212" s="10"/>
      <c r="W212" s="10"/>
      <c r="X212" s="10"/>
      <c r="Y212" s="10"/>
      <c r="Z212" s="8"/>
      <c r="AA212" s="8"/>
      <c r="AB212" s="35"/>
      <c r="AC212" s="35"/>
      <c r="AD212" s="35"/>
      <c r="AE212" s="87"/>
      <c r="AF212" s="35"/>
      <c r="AG212" s="35"/>
      <c r="AH212" s="534"/>
      <c r="AI212" s="294"/>
    </row>
    <row r="213" spans="1:35" ht="12.75" customHeight="1" x14ac:dyDescent="0.2">
      <c r="A213" s="294"/>
      <c r="B213" s="941"/>
      <c r="C213" s="66">
        <v>2</v>
      </c>
      <c r="D213" s="3" t="s">
        <v>645</v>
      </c>
      <c r="E213" s="3" t="s">
        <v>646</v>
      </c>
      <c r="F213" s="3" t="s">
        <v>1035</v>
      </c>
      <c r="G213" s="3" t="s">
        <v>402</v>
      </c>
      <c r="H213" s="5" t="s">
        <v>699</v>
      </c>
      <c r="I213" s="5" t="str">
        <f>VLOOKUP($G213,TableInputsData[],7,FALSE)</f>
        <v>TRAVAILLEURS SAISONNIERS</v>
      </c>
      <c r="J213" s="26"/>
      <c r="K213" s="135"/>
      <c r="L213" s="127"/>
      <c r="M213" s="134"/>
      <c r="N213" s="60"/>
      <c r="O213" s="506">
        <v>0</v>
      </c>
      <c r="P213" s="506">
        <v>0</v>
      </c>
      <c r="Q213" s="506">
        <v>0</v>
      </c>
      <c r="R213" s="506">
        <v>0</v>
      </c>
      <c r="S213" s="12">
        <f>(Q213+R213)/2</f>
        <v>0</v>
      </c>
      <c r="T213" s="506">
        <v>0</v>
      </c>
      <c r="U213" s="506">
        <v>0</v>
      </c>
      <c r="V213" s="506">
        <v>0</v>
      </c>
      <c r="W213" s="506">
        <v>0</v>
      </c>
      <c r="X213" s="506">
        <v>0</v>
      </c>
      <c r="Y213" s="606" t="s">
        <v>1887</v>
      </c>
      <c r="Z213" s="3" t="str">
        <f>VLOOKUP($D213,TableInputsData[],ReadMe!$M$3,FALSE)&amp;"  |  "&amp;VLOOKUP($E213,TableInputsData[],ReadMe!$M$3,FALSE)&amp;"  |  "&amp;VLOOKUP($G213,TableInputsData[],ReadMe!$M$3,FALSE)&amp;IF(AF213=1,"  |  "&amp;VLOOKUP($H213,TableInputsData[],ReadMe!$M$3,FALSE),"")</f>
        <v>DEPENSES OPERATIONNELLES  |  SALAIRES DE PERSONNEL  |  EFF_CAT01  |  NOMBRE D'EMPLOYÉ(E)S</v>
      </c>
      <c r="AA213" s="3"/>
      <c r="AB213" s="34">
        <f>IF(SUM(O213:X213)=0,0,1)</f>
        <v>0</v>
      </c>
      <c r="AC213" s="34"/>
      <c r="AD213" s="34"/>
      <c r="AE213" s="26"/>
      <c r="AF213" s="34">
        <v>1</v>
      </c>
      <c r="AG213" s="34"/>
      <c r="AH213" s="535"/>
      <c r="AI213" s="294"/>
    </row>
    <row r="214" spans="1:35" x14ac:dyDescent="0.2">
      <c r="A214" s="294"/>
      <c r="B214" s="941"/>
      <c r="C214" s="66">
        <v>2</v>
      </c>
      <c r="D214" s="3" t="s">
        <v>645</v>
      </c>
      <c r="E214" s="3" t="s">
        <v>646</v>
      </c>
      <c r="F214" s="3" t="s">
        <v>21</v>
      </c>
      <c r="G214" s="3" t="s">
        <v>402</v>
      </c>
      <c r="H214" s="5" t="s">
        <v>703</v>
      </c>
      <c r="I214" s="5" t="str">
        <f>I213</f>
        <v>TRAVAILLEURS SAISONNIERS</v>
      </c>
      <c r="J214" s="26"/>
      <c r="K214" s="135"/>
      <c r="L214" s="127"/>
      <c r="M214" s="134"/>
      <c r="N214" s="60"/>
      <c r="O214" s="504">
        <v>0</v>
      </c>
      <c r="P214" s="504">
        <v>0</v>
      </c>
      <c r="Q214" s="504">
        <v>0</v>
      </c>
      <c r="R214" s="504">
        <v>0</v>
      </c>
      <c r="S214" s="4">
        <f>IF(S213=0,0,SUMPRODUCT(Q213:R213,Q214:R214)/S213)</f>
        <v>0</v>
      </c>
      <c r="T214" s="504">
        <v>0</v>
      </c>
      <c r="U214" s="504">
        <v>0</v>
      </c>
      <c r="V214" s="504">
        <v>0</v>
      </c>
      <c r="W214" s="504">
        <v>0</v>
      </c>
      <c r="X214" s="504">
        <v>0</v>
      </c>
      <c r="Y214" s="604"/>
      <c r="Z214" s="3" t="str">
        <f>VLOOKUP($D214,TableInputsData[],ReadMe!$M$3,FALSE)&amp;"  |  "&amp;VLOOKUP($E214,TableInputsData[],ReadMe!$M$3,FALSE)&amp;"  |  "&amp;VLOOKUP($G214,TableInputsData[],ReadMe!$M$3,FALSE)&amp;IF(AF214=1,"  |  "&amp;VLOOKUP($H214,TableInputsData[],ReadMe!$M$3,FALSE),"")</f>
        <v>DEPENSES OPERATIONNELLES  |  SALAIRES DE PERSONNEL  |  EFF_CAT01  |  SALAIRE BRUT PAR PERSONNE ET PAR PERIODE</v>
      </c>
      <c r="AA214" s="3"/>
      <c r="AB214" s="34">
        <f>IF(SUM(O214:X214)=0,0,1)</f>
        <v>0</v>
      </c>
      <c r="AC214" s="34"/>
      <c r="AD214" s="34"/>
      <c r="AE214" s="26"/>
      <c r="AF214" s="34">
        <v>1</v>
      </c>
      <c r="AG214" s="34"/>
      <c r="AH214" s="535"/>
      <c r="AI214" s="294"/>
    </row>
    <row r="215" spans="1:35" x14ac:dyDescent="0.2">
      <c r="A215" s="294"/>
      <c r="B215" s="941"/>
      <c r="C215" s="66">
        <v>2</v>
      </c>
      <c r="D215" s="3" t="s">
        <v>645</v>
      </c>
      <c r="E215" s="3" t="s">
        <v>646</v>
      </c>
      <c r="F215" s="3" t="s">
        <v>21</v>
      </c>
      <c r="G215" s="3" t="s">
        <v>402</v>
      </c>
      <c r="H215" s="5" t="s">
        <v>672</v>
      </c>
      <c r="I215" s="5" t="str">
        <f>I214</f>
        <v>TRAVAILLEURS SAISONNIERS</v>
      </c>
      <c r="J215" s="26"/>
      <c r="K215" s="135"/>
      <c r="L215" s="127"/>
      <c r="M215" s="134"/>
      <c r="N215" s="60"/>
      <c r="O215" s="504">
        <v>0</v>
      </c>
      <c r="P215" s="504">
        <v>0</v>
      </c>
      <c r="Q215" s="504">
        <v>0</v>
      </c>
      <c r="R215" s="504">
        <v>0</v>
      </c>
      <c r="S215" s="4">
        <f>IF(S213=0,0,SUMPRODUCT(Q213:R213,Q215:R215)/S213)</f>
        <v>0</v>
      </c>
      <c r="T215" s="504">
        <v>0</v>
      </c>
      <c r="U215" s="504">
        <v>0</v>
      </c>
      <c r="V215" s="504">
        <v>0</v>
      </c>
      <c r="W215" s="504">
        <v>0</v>
      </c>
      <c r="X215" s="504">
        <v>0</v>
      </c>
      <c r="Y215" s="604"/>
      <c r="Z215" s="3" t="str">
        <f>VLOOKUP($D215,TableInputsData[],ReadMe!$M$3,FALSE)&amp;"  |  "&amp;VLOOKUP($E215,TableInputsData[],ReadMe!$M$3,FALSE)&amp;"  |  "&amp;VLOOKUP($G215,TableInputsData[],ReadMe!$M$3,FALSE)&amp;IF(AF215=1,"  |  "&amp;VLOOKUP($H215,TableInputsData[],ReadMe!$M$3,FALSE),"")</f>
        <v>DEPENSES OPERATIONNELLES  |  SALAIRES DE PERSONNEL  |  EFF_CAT01  |  AUTRES INDEMNITÉS ET AVANTAGES DIVERS VERSES AU PERSONNEL</v>
      </c>
      <c r="AA215" s="3"/>
      <c r="AB215" s="34">
        <f>IF(SUM(O215:X215)=0,0,1)</f>
        <v>0</v>
      </c>
      <c r="AC215" s="34"/>
      <c r="AD215" s="34"/>
      <c r="AE215" s="26"/>
      <c r="AF215" s="34">
        <v>1</v>
      </c>
      <c r="AG215" s="34"/>
      <c r="AH215" s="535"/>
      <c r="AI215" s="294"/>
    </row>
    <row r="216" spans="1:35" x14ac:dyDescent="0.2">
      <c r="A216" s="294"/>
      <c r="B216" s="941"/>
      <c r="C216" s="66">
        <v>2</v>
      </c>
      <c r="D216" s="3" t="s">
        <v>645</v>
      </c>
      <c r="E216" s="3" t="s">
        <v>646</v>
      </c>
      <c r="F216" s="3" t="s">
        <v>21</v>
      </c>
      <c r="G216" s="3" t="s">
        <v>402</v>
      </c>
      <c r="H216" s="5" t="s">
        <v>677</v>
      </c>
      <c r="I216" s="5" t="str">
        <f>I215</f>
        <v>TRAVAILLEURS SAISONNIERS</v>
      </c>
      <c r="J216" s="802">
        <f>VLOOKUP($G216,TableInputsData[],8,FALSE)</f>
        <v>0</v>
      </c>
      <c r="K216" s="135"/>
      <c r="L216" s="127"/>
      <c r="M216" s="134"/>
      <c r="N216" s="60"/>
      <c r="O216" s="504">
        <v>0</v>
      </c>
      <c r="P216" s="504">
        <v>0</v>
      </c>
      <c r="Q216" s="504">
        <v>0</v>
      </c>
      <c r="R216" s="504">
        <v>0</v>
      </c>
      <c r="S216" s="4">
        <f>IF(S213=0,0,SUMPRODUCT(Q213:R213,Q216:R216)/S213)</f>
        <v>0</v>
      </c>
      <c r="T216" s="7">
        <f>T214*$J216</f>
        <v>0</v>
      </c>
      <c r="U216" s="7">
        <f t="shared" ref="U216:X216" si="121">U214*$J216</f>
        <v>0</v>
      </c>
      <c r="V216" s="7">
        <f t="shared" si="121"/>
        <v>0</v>
      </c>
      <c r="W216" s="7">
        <f t="shared" si="121"/>
        <v>0</v>
      </c>
      <c r="X216" s="7">
        <f t="shared" si="121"/>
        <v>0</v>
      </c>
      <c r="Y216" s="604"/>
      <c r="Z216" s="3" t="str">
        <f>VLOOKUP($D216,TableInputsData[],ReadMe!$M$3,FALSE)&amp;"  |  "&amp;VLOOKUP($E216,TableInputsData[],ReadMe!$M$3,FALSE)&amp;"  |  "&amp;VLOOKUP($G216,TableInputsData[],ReadMe!$M$3,FALSE)&amp;IF(AF216=1,"  |  "&amp;VLOOKUP($H216,TableInputsData[],ReadMe!$M$3,FALSE),"")</f>
        <v>DEPENSES OPERATIONNELLES  |  SALAIRES DE PERSONNEL  |  EFF_CAT01  |  COTISATIONS PATRONALES DE SECURITE SOCIALE</v>
      </c>
      <c r="AA216" s="3"/>
      <c r="AB216" s="34">
        <f>IF(SUM(O216:X216)=0,0,1)</f>
        <v>0</v>
      </c>
      <c r="AC216" s="34"/>
      <c r="AD216" s="34"/>
      <c r="AE216" s="26"/>
      <c r="AF216" s="34">
        <v>1</v>
      </c>
      <c r="AG216" s="34"/>
      <c r="AH216" s="535"/>
      <c r="AI216" s="294"/>
    </row>
    <row r="217" spans="1:35" x14ac:dyDescent="0.2">
      <c r="A217" s="294"/>
      <c r="B217" s="941"/>
      <c r="C217" s="70">
        <v>2</v>
      </c>
      <c r="D217" s="6" t="s">
        <v>645</v>
      </c>
      <c r="E217" s="6" t="s">
        <v>646</v>
      </c>
      <c r="F217" s="6" t="s">
        <v>21</v>
      </c>
      <c r="G217" s="6" t="s">
        <v>402</v>
      </c>
      <c r="H217" s="11" t="s">
        <v>679</v>
      </c>
      <c r="I217" s="11" t="str">
        <f>I216</f>
        <v>TRAVAILLEURS SAISONNIERS</v>
      </c>
      <c r="J217" s="91"/>
      <c r="K217" s="135"/>
      <c r="L217" s="127"/>
      <c r="M217" s="134"/>
      <c r="N217" s="60"/>
      <c r="O217" s="7">
        <f>SUM(O214:O216)</f>
        <v>0</v>
      </c>
      <c r="P217" s="7">
        <f t="shared" ref="P217:X217" si="122">SUM(P214:P216)</f>
        <v>0</v>
      </c>
      <c r="Q217" s="7">
        <f t="shared" si="122"/>
        <v>0</v>
      </c>
      <c r="R217" s="7">
        <f t="shared" si="122"/>
        <v>0</v>
      </c>
      <c r="S217" s="7">
        <f t="shared" si="122"/>
        <v>0</v>
      </c>
      <c r="T217" s="7">
        <f t="shared" si="122"/>
        <v>0</v>
      </c>
      <c r="U217" s="7">
        <f t="shared" si="122"/>
        <v>0</v>
      </c>
      <c r="V217" s="7">
        <f t="shared" si="122"/>
        <v>0</v>
      </c>
      <c r="W217" s="7">
        <f t="shared" si="122"/>
        <v>0</v>
      </c>
      <c r="X217" s="7">
        <f t="shared" si="122"/>
        <v>0</v>
      </c>
      <c r="Y217" s="7"/>
      <c r="Z217" s="6" t="str">
        <f>VLOOKUP($D217,TableInputsData[],ReadMe!$M$3,FALSE)&amp;"  |  "&amp;VLOOKUP($E217,TableInputsData[],ReadMe!$M$3,FALSE)&amp;"  |  "&amp;VLOOKUP($G217,TableInputsData[],ReadMe!$M$3,FALSE)&amp;IF(AF217=1,"  |  "&amp;VLOOKUP($H217,TableInputsData[],ReadMe!$M$3,FALSE),"")</f>
        <v>DEPENSES OPERATIONNELLES  |  SALAIRES DE PERSONNEL  |  EFF_CAT01  |  COUT PAR PERSONNE ET PAR PERIODE</v>
      </c>
      <c r="AA217" s="6"/>
      <c r="AB217" s="36">
        <f>IF(SUM(O217:X217)=0,0,1)</f>
        <v>0</v>
      </c>
      <c r="AC217" s="36"/>
      <c r="AD217" s="36"/>
      <c r="AE217" s="91"/>
      <c r="AF217" s="36">
        <v>1</v>
      </c>
      <c r="AG217" s="36"/>
      <c r="AH217" s="536"/>
      <c r="AI217" s="294"/>
    </row>
    <row r="218" spans="1:35" x14ac:dyDescent="0.2">
      <c r="A218" s="294"/>
      <c r="B218" s="941"/>
      <c r="C218" s="67">
        <v>2</v>
      </c>
      <c r="D218" s="16" t="s">
        <v>645</v>
      </c>
      <c r="E218" s="16" t="s">
        <v>646</v>
      </c>
      <c r="F218" s="16" t="s">
        <v>21</v>
      </c>
      <c r="G218" s="16" t="s">
        <v>402</v>
      </c>
      <c r="H218" s="17" t="s">
        <v>29</v>
      </c>
      <c r="I218" s="17" t="str">
        <f>I217</f>
        <v>TRAVAILLEURS SAISONNIERS</v>
      </c>
      <c r="J218" s="27"/>
      <c r="K218" s="27"/>
      <c r="L218" s="97"/>
      <c r="M218" s="112"/>
      <c r="N218" s="18"/>
      <c r="O218" s="18">
        <f>O213*O217</f>
        <v>0</v>
      </c>
      <c r="P218" s="18">
        <f t="shared" ref="P218:X218" si="123">P213*P217</f>
        <v>0</v>
      </c>
      <c r="Q218" s="18">
        <f t="shared" si="123"/>
        <v>0</v>
      </c>
      <c r="R218" s="18">
        <f t="shared" si="123"/>
        <v>0</v>
      </c>
      <c r="S218" s="18">
        <f>S213*S217</f>
        <v>0</v>
      </c>
      <c r="T218" s="18">
        <f t="shared" si="123"/>
        <v>0</v>
      </c>
      <c r="U218" s="18">
        <f t="shared" si="123"/>
        <v>0</v>
      </c>
      <c r="V218" s="18">
        <f t="shared" si="123"/>
        <v>0</v>
      </c>
      <c r="W218" s="18">
        <f t="shared" si="123"/>
        <v>0</v>
      </c>
      <c r="X218" s="18">
        <f t="shared" si="123"/>
        <v>0</v>
      </c>
      <c r="Y218" s="18"/>
      <c r="Z218" s="16"/>
      <c r="AA218" s="16"/>
      <c r="AB218" s="27">
        <v>1</v>
      </c>
      <c r="AC218" s="27"/>
      <c r="AD218" s="27"/>
      <c r="AE218" s="27"/>
      <c r="AF218" s="27"/>
      <c r="AG218" s="27"/>
      <c r="AH218" s="533"/>
      <c r="AI218" s="294"/>
    </row>
    <row r="219" spans="1:35" x14ac:dyDescent="0.2">
      <c r="A219" s="294"/>
      <c r="B219" s="941"/>
      <c r="C219" s="71">
        <v>2</v>
      </c>
      <c r="D219" s="8"/>
      <c r="E219" s="8"/>
      <c r="F219" s="8"/>
      <c r="G219" s="8"/>
      <c r="H219" s="9"/>
      <c r="I219" s="9"/>
      <c r="J219" s="87"/>
      <c r="K219" s="87"/>
      <c r="L219" s="98"/>
      <c r="M219" s="113"/>
      <c r="N219" s="10"/>
      <c r="O219" s="10"/>
      <c r="P219" s="10"/>
      <c r="Q219" s="10"/>
      <c r="R219" s="10"/>
      <c r="S219" s="10"/>
      <c r="T219" s="10"/>
      <c r="U219" s="10"/>
      <c r="V219" s="10"/>
      <c r="W219" s="10"/>
      <c r="X219" s="10"/>
      <c r="Y219" s="10"/>
      <c r="Z219" s="8"/>
      <c r="AA219" s="8"/>
      <c r="AB219" s="35"/>
      <c r="AC219" s="35"/>
      <c r="AD219" s="35"/>
      <c r="AE219" s="87"/>
      <c r="AF219" s="35"/>
      <c r="AG219" s="35"/>
      <c r="AH219" s="534"/>
      <c r="AI219" s="294"/>
    </row>
    <row r="220" spans="1:35" ht="12.75" customHeight="1" x14ac:dyDescent="0.2">
      <c r="A220" s="294"/>
      <c r="B220" s="941"/>
      <c r="C220" s="66">
        <v>2</v>
      </c>
      <c r="D220" s="3" t="s">
        <v>645</v>
      </c>
      <c r="E220" s="3" t="s">
        <v>646</v>
      </c>
      <c r="F220" s="3" t="s">
        <v>1035</v>
      </c>
      <c r="G220" s="3" t="s">
        <v>403</v>
      </c>
      <c r="H220" s="5" t="s">
        <v>699</v>
      </c>
      <c r="I220" s="5" t="str">
        <f>VLOOKUP($G220,TableInputsData[],7,FALSE)</f>
        <v>VENTE &amp; MARKETING</v>
      </c>
      <c r="J220" s="26"/>
      <c r="K220" s="135"/>
      <c r="L220" s="127"/>
      <c r="M220" s="134"/>
      <c r="N220" s="60"/>
      <c r="O220" s="506">
        <v>0</v>
      </c>
      <c r="P220" s="506">
        <v>0</v>
      </c>
      <c r="Q220" s="506">
        <v>0</v>
      </c>
      <c r="R220" s="506">
        <v>0</v>
      </c>
      <c r="S220" s="12">
        <f>(Q220+R220)/2</f>
        <v>0</v>
      </c>
      <c r="T220" s="506">
        <v>0</v>
      </c>
      <c r="U220" s="506">
        <v>0</v>
      </c>
      <c r="V220" s="506">
        <v>0</v>
      </c>
      <c r="W220" s="506">
        <v>0</v>
      </c>
      <c r="X220" s="506">
        <v>0</v>
      </c>
      <c r="Y220" s="606"/>
      <c r="Z220" s="3" t="str">
        <f>VLOOKUP($D220,TableInputsData[],ReadMe!$M$3,FALSE)&amp;"  |  "&amp;VLOOKUP($E220,TableInputsData[],ReadMe!$M$3,FALSE)&amp;"  |  "&amp;VLOOKUP($G220,TableInputsData[],ReadMe!$M$3,FALSE)&amp;IF(AF220=1,"  |  "&amp;VLOOKUP($H220,TableInputsData[],ReadMe!$M$3,FALSE),"")</f>
        <v>DEPENSES OPERATIONNELLES  |  SALAIRES DE PERSONNEL  |  EFF_CAT02  |  NOMBRE D'EMPLOYÉ(E)S</v>
      </c>
      <c r="AA220" s="3"/>
      <c r="AB220" s="34">
        <f>IF(SUM(O220:X220)=0,0,1)</f>
        <v>0</v>
      </c>
      <c r="AC220" s="34"/>
      <c r="AD220" s="34"/>
      <c r="AE220" s="26"/>
      <c r="AF220" s="34">
        <v>1</v>
      </c>
      <c r="AG220" s="34"/>
      <c r="AH220" s="535"/>
      <c r="AI220" s="294"/>
    </row>
    <row r="221" spans="1:35" ht="14" x14ac:dyDescent="0.2">
      <c r="A221" s="294"/>
      <c r="B221" s="941"/>
      <c r="C221" s="66">
        <v>2</v>
      </c>
      <c r="D221" s="3" t="s">
        <v>645</v>
      </c>
      <c r="E221" s="3" t="s">
        <v>646</v>
      </c>
      <c r="F221" s="3" t="s">
        <v>21</v>
      </c>
      <c r="G221" s="3" t="s">
        <v>403</v>
      </c>
      <c r="H221" s="5" t="s">
        <v>703</v>
      </c>
      <c r="I221" s="5" t="str">
        <f>I220</f>
        <v>VENTE &amp; MARKETING</v>
      </c>
      <c r="J221" s="26"/>
      <c r="K221" s="135"/>
      <c r="L221" s="127"/>
      <c r="M221" s="134"/>
      <c r="N221" s="60"/>
      <c r="O221" s="504">
        <v>0</v>
      </c>
      <c r="P221" s="504">
        <v>0</v>
      </c>
      <c r="Q221" s="504">
        <v>0</v>
      </c>
      <c r="R221" s="504">
        <v>0</v>
      </c>
      <c r="S221" s="4">
        <f>IF(S220=0,0,SUMPRODUCT(Q220:R220,Q221:R221)/S220)</f>
        <v>0</v>
      </c>
      <c r="T221" s="504">
        <v>0</v>
      </c>
      <c r="U221" s="504">
        <v>0</v>
      </c>
      <c r="V221" s="504">
        <v>0</v>
      </c>
      <c r="W221" s="504">
        <v>0</v>
      </c>
      <c r="X221" s="504">
        <v>0</v>
      </c>
      <c r="Y221" s="604" t="s">
        <v>2051</v>
      </c>
      <c r="Z221" s="3" t="str">
        <f>VLOOKUP($D221,TableInputsData[],ReadMe!$M$3,FALSE)&amp;"  |  "&amp;VLOOKUP($E221,TableInputsData[],ReadMe!$M$3,FALSE)&amp;"  |  "&amp;VLOOKUP($G221,TableInputsData[],ReadMe!$M$3,FALSE)&amp;IF(AF221=1,"  |  "&amp;VLOOKUP($H221,TableInputsData[],ReadMe!$M$3,FALSE),"")</f>
        <v>DEPENSES OPERATIONNELLES  |  SALAIRES DE PERSONNEL  |  EFF_CAT02  |  SALAIRE BRUT PAR PERSONNE ET PAR PERIODE</v>
      </c>
      <c r="AA221" s="3"/>
      <c r="AB221" s="34">
        <f>IF(SUM(O221:X221)=0,0,1)</f>
        <v>0</v>
      </c>
      <c r="AC221" s="34"/>
      <c r="AD221" s="34"/>
      <c r="AE221" s="26"/>
      <c r="AF221" s="34">
        <v>1</v>
      </c>
      <c r="AG221" s="34"/>
      <c r="AH221" s="535"/>
      <c r="AI221" s="294"/>
    </row>
    <row r="222" spans="1:35" x14ac:dyDescent="0.2">
      <c r="A222" s="294"/>
      <c r="B222" s="941"/>
      <c r="C222" s="66">
        <v>2</v>
      </c>
      <c r="D222" s="3" t="s">
        <v>645</v>
      </c>
      <c r="E222" s="3" t="s">
        <v>646</v>
      </c>
      <c r="F222" s="3" t="s">
        <v>21</v>
      </c>
      <c r="G222" s="3" t="s">
        <v>403</v>
      </c>
      <c r="H222" s="5" t="s">
        <v>672</v>
      </c>
      <c r="I222" s="5" t="str">
        <f>I221</f>
        <v>VENTE &amp; MARKETING</v>
      </c>
      <c r="J222" s="26"/>
      <c r="K222" s="135"/>
      <c r="L222" s="127"/>
      <c r="M222" s="134"/>
      <c r="N222" s="60"/>
      <c r="O222" s="504">
        <v>0</v>
      </c>
      <c r="P222" s="504">
        <v>0</v>
      </c>
      <c r="Q222" s="504">
        <v>0</v>
      </c>
      <c r="R222" s="504">
        <v>0</v>
      </c>
      <c r="S222" s="4">
        <f>IF(S220=0,0,SUMPRODUCT(Q220:R220,Q222:R222)/S220)</f>
        <v>0</v>
      </c>
      <c r="T222" s="504">
        <v>0</v>
      </c>
      <c r="U222" s="504">
        <v>0</v>
      </c>
      <c r="V222" s="504">
        <v>0</v>
      </c>
      <c r="W222" s="504">
        <v>0</v>
      </c>
      <c r="X222" s="504">
        <v>0</v>
      </c>
      <c r="Y222" s="604"/>
      <c r="Z222" s="3" t="str">
        <f>VLOOKUP($D222,TableInputsData[],ReadMe!$M$3,FALSE)&amp;"  |  "&amp;VLOOKUP($E222,TableInputsData[],ReadMe!$M$3,FALSE)&amp;"  |  "&amp;VLOOKUP($G222,TableInputsData[],ReadMe!$M$3,FALSE)&amp;IF(AF222=1,"  |  "&amp;VLOOKUP($H222,TableInputsData[],ReadMe!$M$3,FALSE),"")</f>
        <v>DEPENSES OPERATIONNELLES  |  SALAIRES DE PERSONNEL  |  EFF_CAT02  |  AUTRES INDEMNITÉS ET AVANTAGES DIVERS VERSES AU PERSONNEL</v>
      </c>
      <c r="AA222" s="3"/>
      <c r="AB222" s="34">
        <f>IF(SUM(O222:X222)=0,0,1)</f>
        <v>0</v>
      </c>
      <c r="AC222" s="34"/>
      <c r="AD222" s="34"/>
      <c r="AE222" s="26"/>
      <c r="AF222" s="34">
        <v>1</v>
      </c>
      <c r="AG222" s="34"/>
      <c r="AH222" s="535"/>
      <c r="AI222" s="294"/>
    </row>
    <row r="223" spans="1:35" x14ac:dyDescent="0.2">
      <c r="A223" s="294"/>
      <c r="B223" s="941"/>
      <c r="C223" s="66">
        <v>2</v>
      </c>
      <c r="D223" s="3" t="s">
        <v>645</v>
      </c>
      <c r="E223" s="3" t="s">
        <v>646</v>
      </c>
      <c r="F223" s="3" t="s">
        <v>21</v>
      </c>
      <c r="G223" s="3" t="s">
        <v>403</v>
      </c>
      <c r="H223" s="5" t="s">
        <v>677</v>
      </c>
      <c r="I223" s="5" t="str">
        <f>I222</f>
        <v>VENTE &amp; MARKETING</v>
      </c>
      <c r="J223" s="802">
        <f>VLOOKUP($G223,TableInputsData[],8,FALSE)</f>
        <v>0.16450000000000001</v>
      </c>
      <c r="K223" s="135"/>
      <c r="L223" s="127"/>
      <c r="M223" s="134"/>
      <c r="N223" s="60"/>
      <c r="O223" s="504">
        <v>0</v>
      </c>
      <c r="P223" s="504">
        <v>0</v>
      </c>
      <c r="Q223" s="504">
        <v>0</v>
      </c>
      <c r="R223" s="504">
        <v>0</v>
      </c>
      <c r="S223" s="4">
        <f>IF(S220=0,0,SUMPRODUCT(Q220:R220,Q223:R223)/S220)</f>
        <v>0</v>
      </c>
      <c r="T223" s="7">
        <f>T221*$J223</f>
        <v>0</v>
      </c>
      <c r="U223" s="7">
        <f t="shared" ref="U223:X223" si="124">U221*$J223</f>
        <v>0</v>
      </c>
      <c r="V223" s="7">
        <f t="shared" si="124"/>
        <v>0</v>
      </c>
      <c r="W223" s="7">
        <f t="shared" si="124"/>
        <v>0</v>
      </c>
      <c r="X223" s="7">
        <f t="shared" si="124"/>
        <v>0</v>
      </c>
      <c r="Y223" s="604"/>
      <c r="Z223" s="3" t="str">
        <f>VLOOKUP($D223,TableInputsData[],ReadMe!$M$3,FALSE)&amp;"  |  "&amp;VLOOKUP($E223,TableInputsData[],ReadMe!$M$3,FALSE)&amp;"  |  "&amp;VLOOKUP($G223,TableInputsData[],ReadMe!$M$3,FALSE)&amp;IF(AF223=1,"  |  "&amp;VLOOKUP($H223,TableInputsData[],ReadMe!$M$3,FALSE),"")</f>
        <v>DEPENSES OPERATIONNELLES  |  SALAIRES DE PERSONNEL  |  EFF_CAT02  |  COTISATIONS PATRONALES DE SECURITE SOCIALE</v>
      </c>
      <c r="AA223" s="3"/>
      <c r="AB223" s="34">
        <f>IF(SUM(O223:X223)=0,0,1)</f>
        <v>0</v>
      </c>
      <c r="AC223" s="34"/>
      <c r="AD223" s="34"/>
      <c r="AE223" s="26"/>
      <c r="AF223" s="34">
        <v>1</v>
      </c>
      <c r="AG223" s="34"/>
      <c r="AH223" s="535"/>
      <c r="AI223" s="294"/>
    </row>
    <row r="224" spans="1:35" x14ac:dyDescent="0.2">
      <c r="A224" s="294"/>
      <c r="B224" s="941"/>
      <c r="C224" s="70">
        <v>2</v>
      </c>
      <c r="D224" s="6" t="s">
        <v>645</v>
      </c>
      <c r="E224" s="6" t="s">
        <v>646</v>
      </c>
      <c r="F224" s="6" t="s">
        <v>21</v>
      </c>
      <c r="G224" s="6" t="s">
        <v>403</v>
      </c>
      <c r="H224" s="11" t="s">
        <v>679</v>
      </c>
      <c r="I224" s="11" t="str">
        <f>I223</f>
        <v>VENTE &amp; MARKETING</v>
      </c>
      <c r="J224" s="91"/>
      <c r="K224" s="135"/>
      <c r="L224" s="127"/>
      <c r="M224" s="134"/>
      <c r="N224" s="60"/>
      <c r="O224" s="7">
        <f t="shared" ref="O224:X224" si="125">SUM(O221:O223)</f>
        <v>0</v>
      </c>
      <c r="P224" s="7">
        <f t="shared" si="125"/>
        <v>0</v>
      </c>
      <c r="Q224" s="7">
        <f t="shared" si="125"/>
        <v>0</v>
      </c>
      <c r="R224" s="7">
        <f t="shared" si="125"/>
        <v>0</v>
      </c>
      <c r="S224" s="7">
        <f t="shared" si="125"/>
        <v>0</v>
      </c>
      <c r="T224" s="7">
        <f t="shared" si="125"/>
        <v>0</v>
      </c>
      <c r="U224" s="7">
        <f t="shared" si="125"/>
        <v>0</v>
      </c>
      <c r="V224" s="7">
        <f t="shared" si="125"/>
        <v>0</v>
      </c>
      <c r="W224" s="7">
        <f t="shared" si="125"/>
        <v>0</v>
      </c>
      <c r="X224" s="7">
        <f t="shared" si="125"/>
        <v>0</v>
      </c>
      <c r="Y224" s="7"/>
      <c r="Z224" s="6" t="str">
        <f>VLOOKUP($D224,TableInputsData[],ReadMe!$M$3,FALSE)&amp;"  |  "&amp;VLOOKUP($E224,TableInputsData[],ReadMe!$M$3,FALSE)&amp;"  |  "&amp;VLOOKUP($G224,TableInputsData[],ReadMe!$M$3,FALSE)&amp;IF(AF224=1,"  |  "&amp;VLOOKUP($H224,TableInputsData[],ReadMe!$M$3,FALSE),"")</f>
        <v>DEPENSES OPERATIONNELLES  |  SALAIRES DE PERSONNEL  |  EFF_CAT02  |  COUT PAR PERSONNE ET PAR PERIODE</v>
      </c>
      <c r="AA224" s="6"/>
      <c r="AB224" s="36">
        <f>IF(SUM(O224:X224)=0,0,1)</f>
        <v>0</v>
      </c>
      <c r="AC224" s="36"/>
      <c r="AD224" s="36"/>
      <c r="AE224" s="91"/>
      <c r="AF224" s="36">
        <v>1</v>
      </c>
      <c r="AG224" s="36"/>
      <c r="AH224" s="536"/>
      <c r="AI224" s="294"/>
    </row>
    <row r="225" spans="1:35" x14ac:dyDescent="0.2">
      <c r="A225" s="294"/>
      <c r="B225" s="941"/>
      <c r="C225" s="67">
        <v>2</v>
      </c>
      <c r="D225" s="16" t="s">
        <v>645</v>
      </c>
      <c r="E225" s="16" t="s">
        <v>646</v>
      </c>
      <c r="F225" s="16" t="s">
        <v>21</v>
      </c>
      <c r="G225" s="16" t="s">
        <v>403</v>
      </c>
      <c r="H225" s="17" t="s">
        <v>29</v>
      </c>
      <c r="I225" s="17" t="str">
        <f>I224</f>
        <v>VENTE &amp; MARKETING</v>
      </c>
      <c r="J225" s="27"/>
      <c r="K225" s="27"/>
      <c r="L225" s="97"/>
      <c r="M225" s="112"/>
      <c r="N225" s="18"/>
      <c r="O225" s="18">
        <f t="shared" ref="O225:X225" si="126">O220*O224</f>
        <v>0</v>
      </c>
      <c r="P225" s="18">
        <f t="shared" si="126"/>
        <v>0</v>
      </c>
      <c r="Q225" s="18">
        <f t="shared" si="126"/>
        <v>0</v>
      </c>
      <c r="R225" s="18">
        <f t="shared" si="126"/>
        <v>0</v>
      </c>
      <c r="S225" s="18">
        <f t="shared" si="126"/>
        <v>0</v>
      </c>
      <c r="T225" s="18">
        <f t="shared" si="126"/>
        <v>0</v>
      </c>
      <c r="U225" s="18">
        <f t="shared" si="126"/>
        <v>0</v>
      </c>
      <c r="V225" s="18">
        <f t="shared" si="126"/>
        <v>0</v>
      </c>
      <c r="W225" s="18">
        <f t="shared" si="126"/>
        <v>0</v>
      </c>
      <c r="X225" s="18">
        <f t="shared" si="126"/>
        <v>0</v>
      </c>
      <c r="Y225" s="18"/>
      <c r="Z225" s="16"/>
      <c r="AA225" s="16"/>
      <c r="AB225" s="27">
        <v>1</v>
      </c>
      <c r="AC225" s="27"/>
      <c r="AD225" s="27"/>
      <c r="AE225" s="27"/>
      <c r="AF225" s="27"/>
      <c r="AG225" s="27"/>
      <c r="AH225" s="533"/>
      <c r="AI225" s="294"/>
    </row>
    <row r="226" spans="1:35" x14ac:dyDescent="0.2">
      <c r="A226" s="294"/>
      <c r="B226" s="941"/>
      <c r="C226" s="71">
        <v>2</v>
      </c>
      <c r="D226" s="8"/>
      <c r="E226" s="8"/>
      <c r="F226" s="8"/>
      <c r="G226" s="8"/>
      <c r="H226" s="9"/>
      <c r="I226" s="9"/>
      <c r="J226" s="87"/>
      <c r="K226" s="87"/>
      <c r="L226" s="98"/>
      <c r="M226" s="113"/>
      <c r="N226" s="10"/>
      <c r="O226" s="10"/>
      <c r="P226" s="10"/>
      <c r="Q226" s="10"/>
      <c r="R226" s="10"/>
      <c r="S226" s="10"/>
      <c r="T226" s="10"/>
      <c r="U226" s="10"/>
      <c r="V226" s="10"/>
      <c r="W226" s="10"/>
      <c r="X226" s="10"/>
      <c r="Y226" s="10"/>
      <c r="Z226" s="8"/>
      <c r="AA226" s="8"/>
      <c r="AB226" s="35"/>
      <c r="AC226" s="35"/>
      <c r="AD226" s="35"/>
      <c r="AE226" s="87"/>
      <c r="AF226" s="35"/>
      <c r="AG226" s="35"/>
      <c r="AH226" s="534"/>
      <c r="AI226" s="294"/>
    </row>
    <row r="227" spans="1:35" ht="12.75" customHeight="1" x14ac:dyDescent="0.2">
      <c r="A227" s="294"/>
      <c r="B227" s="941"/>
      <c r="C227" s="66">
        <v>2</v>
      </c>
      <c r="D227" s="3" t="s">
        <v>645</v>
      </c>
      <c r="E227" s="3" t="s">
        <v>646</v>
      </c>
      <c r="F227" s="3" t="s">
        <v>1035</v>
      </c>
      <c r="G227" s="3" t="s">
        <v>404</v>
      </c>
      <c r="H227" s="5" t="s">
        <v>699</v>
      </c>
      <c r="I227" s="5" t="str">
        <f>VLOOKUP($G227,TableInputsData[],7,FALSE)</f>
        <v>ADMINISTRATION</v>
      </c>
      <c r="J227" s="26"/>
      <c r="K227" s="135"/>
      <c r="L227" s="127"/>
      <c r="M227" s="134"/>
      <c r="N227" s="60"/>
      <c r="O227" s="506">
        <v>0</v>
      </c>
      <c r="P227" s="506">
        <v>0</v>
      </c>
      <c r="Q227" s="506">
        <v>0</v>
      </c>
      <c r="R227" s="506">
        <v>0</v>
      </c>
      <c r="S227" s="12">
        <f>(Q227+R227)/2</f>
        <v>0</v>
      </c>
      <c r="T227" s="506">
        <v>0</v>
      </c>
      <c r="U227" s="506">
        <v>0</v>
      </c>
      <c r="V227" s="506">
        <v>0</v>
      </c>
      <c r="W227" s="506">
        <v>0</v>
      </c>
      <c r="X227" s="506">
        <v>0</v>
      </c>
      <c r="Y227" s="606"/>
      <c r="Z227" s="3" t="str">
        <f>VLOOKUP($D227,TableInputsData[],ReadMe!$M$3,FALSE)&amp;"  |  "&amp;VLOOKUP($E227,TableInputsData[],ReadMe!$M$3,FALSE)&amp;"  |  "&amp;VLOOKUP($G227,TableInputsData[],ReadMe!$M$3,FALSE)&amp;IF(AF227=1,"  |  "&amp;VLOOKUP($H227,TableInputsData[],ReadMe!$M$3,FALSE),"")</f>
        <v>DEPENSES OPERATIONNELLES  |  SALAIRES DE PERSONNEL  |  EFF_CAT03  |  NOMBRE D'EMPLOYÉ(E)S</v>
      </c>
      <c r="AA227" s="3"/>
      <c r="AB227" s="34">
        <f>IF(SUM(O227:X227)=0,0,1)</f>
        <v>0</v>
      </c>
      <c r="AC227" s="34"/>
      <c r="AD227" s="34"/>
      <c r="AE227" s="26"/>
      <c r="AF227" s="34">
        <v>1</v>
      </c>
      <c r="AG227" s="34"/>
      <c r="AH227" s="535"/>
      <c r="AI227" s="294"/>
    </row>
    <row r="228" spans="1:35" ht="14" x14ac:dyDescent="0.2">
      <c r="A228" s="294"/>
      <c r="B228" s="941"/>
      <c r="C228" s="66">
        <v>2</v>
      </c>
      <c r="D228" s="3" t="s">
        <v>645</v>
      </c>
      <c r="E228" s="3" t="s">
        <v>646</v>
      </c>
      <c r="F228" s="3" t="s">
        <v>21</v>
      </c>
      <c r="G228" s="3" t="s">
        <v>404</v>
      </c>
      <c r="H228" s="5" t="s">
        <v>703</v>
      </c>
      <c r="I228" s="5" t="str">
        <f>I227</f>
        <v>ADMINISTRATION</v>
      </c>
      <c r="J228" s="26"/>
      <c r="K228" s="135"/>
      <c r="L228" s="127"/>
      <c r="M228" s="134"/>
      <c r="N228" s="60"/>
      <c r="O228" s="504">
        <v>0</v>
      </c>
      <c r="P228" s="504">
        <v>0</v>
      </c>
      <c r="Q228" s="504">
        <v>0</v>
      </c>
      <c r="R228" s="504">
        <v>0</v>
      </c>
      <c r="S228" s="4">
        <f>IF(S227=0,0,SUMPRODUCT(Q227:R227,Q228:R228)/S227)</f>
        <v>0</v>
      </c>
      <c r="T228" s="504">
        <v>0</v>
      </c>
      <c r="U228" s="504">
        <v>0</v>
      </c>
      <c r="V228" s="504">
        <v>0</v>
      </c>
      <c r="W228" s="504">
        <v>0</v>
      </c>
      <c r="X228" s="504">
        <v>0</v>
      </c>
      <c r="Y228" s="604" t="s">
        <v>2051</v>
      </c>
      <c r="Z228" s="3" t="str">
        <f>VLOOKUP($D228,TableInputsData[],ReadMe!$M$3,FALSE)&amp;"  |  "&amp;VLOOKUP($E228,TableInputsData[],ReadMe!$M$3,FALSE)&amp;"  |  "&amp;VLOOKUP($G228,TableInputsData[],ReadMe!$M$3,FALSE)&amp;IF(AF228=1,"  |  "&amp;VLOOKUP($H228,TableInputsData[],ReadMe!$M$3,FALSE),"")</f>
        <v>DEPENSES OPERATIONNELLES  |  SALAIRES DE PERSONNEL  |  EFF_CAT03  |  SALAIRE BRUT PAR PERSONNE ET PAR PERIODE</v>
      </c>
      <c r="AA228" s="3"/>
      <c r="AB228" s="34">
        <f>IF(SUM(O228:X228)=0,0,1)</f>
        <v>0</v>
      </c>
      <c r="AC228" s="34"/>
      <c r="AD228" s="34"/>
      <c r="AE228" s="26"/>
      <c r="AF228" s="34">
        <v>1</v>
      </c>
      <c r="AG228" s="34"/>
      <c r="AH228" s="535"/>
      <c r="AI228" s="294"/>
    </row>
    <row r="229" spans="1:35" x14ac:dyDescent="0.2">
      <c r="A229" s="294"/>
      <c r="B229" s="941"/>
      <c r="C229" s="66">
        <v>2</v>
      </c>
      <c r="D229" s="3" t="s">
        <v>645</v>
      </c>
      <c r="E229" s="3" t="s">
        <v>646</v>
      </c>
      <c r="F229" s="3" t="s">
        <v>21</v>
      </c>
      <c r="G229" s="3" t="s">
        <v>404</v>
      </c>
      <c r="H229" s="5" t="s">
        <v>672</v>
      </c>
      <c r="I229" s="5" t="str">
        <f>I228</f>
        <v>ADMINISTRATION</v>
      </c>
      <c r="J229" s="26"/>
      <c r="K229" s="135"/>
      <c r="L229" s="127"/>
      <c r="M229" s="134"/>
      <c r="N229" s="60"/>
      <c r="O229" s="504">
        <v>0</v>
      </c>
      <c r="P229" s="504">
        <v>0</v>
      </c>
      <c r="Q229" s="504">
        <v>0</v>
      </c>
      <c r="R229" s="504">
        <v>0</v>
      </c>
      <c r="S229" s="4">
        <f>IF(S227=0,0,SUMPRODUCT(Q227:R227,Q229:R229)/S227)</f>
        <v>0</v>
      </c>
      <c r="T229" s="504">
        <v>0</v>
      </c>
      <c r="U229" s="504">
        <v>0</v>
      </c>
      <c r="V229" s="504">
        <v>0</v>
      </c>
      <c r="W229" s="504">
        <v>0</v>
      </c>
      <c r="X229" s="504">
        <v>0</v>
      </c>
      <c r="Y229" s="604"/>
      <c r="Z229" s="3" t="str">
        <f>VLOOKUP($D229,TableInputsData[],ReadMe!$M$3,FALSE)&amp;"  |  "&amp;VLOOKUP($E229,TableInputsData[],ReadMe!$M$3,FALSE)&amp;"  |  "&amp;VLOOKUP($G229,TableInputsData[],ReadMe!$M$3,FALSE)&amp;IF(AF229=1,"  |  "&amp;VLOOKUP($H229,TableInputsData[],ReadMe!$M$3,FALSE),"")</f>
        <v>DEPENSES OPERATIONNELLES  |  SALAIRES DE PERSONNEL  |  EFF_CAT03  |  AUTRES INDEMNITÉS ET AVANTAGES DIVERS VERSES AU PERSONNEL</v>
      </c>
      <c r="AA229" s="3"/>
      <c r="AB229" s="34">
        <f>IF(SUM(O229:X229)=0,0,1)</f>
        <v>0</v>
      </c>
      <c r="AC229" s="34"/>
      <c r="AD229" s="34"/>
      <c r="AE229" s="26"/>
      <c r="AF229" s="34">
        <v>1</v>
      </c>
      <c r="AG229" s="34"/>
      <c r="AH229" s="535"/>
      <c r="AI229" s="294"/>
    </row>
    <row r="230" spans="1:35" x14ac:dyDescent="0.2">
      <c r="A230" s="294"/>
      <c r="B230" s="941"/>
      <c r="C230" s="66">
        <v>2</v>
      </c>
      <c r="D230" s="3" t="s">
        <v>645</v>
      </c>
      <c r="E230" s="3" t="s">
        <v>646</v>
      </c>
      <c r="F230" s="3" t="s">
        <v>21</v>
      </c>
      <c r="G230" s="3" t="s">
        <v>404</v>
      </c>
      <c r="H230" s="5" t="s">
        <v>677</v>
      </c>
      <c r="I230" s="5" t="str">
        <f>I229</f>
        <v>ADMINISTRATION</v>
      </c>
      <c r="J230" s="802">
        <f>VLOOKUP($G230,TableInputsData[],8,FALSE)</f>
        <v>0.16450000000000001</v>
      </c>
      <c r="K230" s="135"/>
      <c r="L230" s="127"/>
      <c r="M230" s="134"/>
      <c r="N230" s="60"/>
      <c r="O230" s="504">
        <v>0</v>
      </c>
      <c r="P230" s="504">
        <v>0</v>
      </c>
      <c r="Q230" s="504">
        <v>0</v>
      </c>
      <c r="R230" s="504">
        <v>0</v>
      </c>
      <c r="S230" s="4">
        <f>IF(S227=0,0,SUMPRODUCT(Q227:R227,Q230:R230)/S227)</f>
        <v>0</v>
      </c>
      <c r="T230" s="7">
        <f>T228*$J230</f>
        <v>0</v>
      </c>
      <c r="U230" s="7">
        <f t="shared" ref="U230:X230" si="127">U228*$J230</f>
        <v>0</v>
      </c>
      <c r="V230" s="7">
        <f t="shared" si="127"/>
        <v>0</v>
      </c>
      <c r="W230" s="7">
        <f t="shared" si="127"/>
        <v>0</v>
      </c>
      <c r="X230" s="7">
        <f t="shared" si="127"/>
        <v>0</v>
      </c>
      <c r="Y230" s="604"/>
      <c r="Z230" s="3" t="str">
        <f>VLOOKUP($D230,TableInputsData[],ReadMe!$M$3,FALSE)&amp;"  |  "&amp;VLOOKUP($E230,TableInputsData[],ReadMe!$M$3,FALSE)&amp;"  |  "&amp;VLOOKUP($G230,TableInputsData[],ReadMe!$M$3,FALSE)&amp;IF(AF230=1,"  |  "&amp;VLOOKUP($H230,TableInputsData[],ReadMe!$M$3,FALSE),"")</f>
        <v>DEPENSES OPERATIONNELLES  |  SALAIRES DE PERSONNEL  |  EFF_CAT03  |  COTISATIONS PATRONALES DE SECURITE SOCIALE</v>
      </c>
      <c r="AA230" s="3"/>
      <c r="AB230" s="34">
        <f>IF(SUM(O230:X230)=0,0,1)</f>
        <v>0</v>
      </c>
      <c r="AC230" s="34"/>
      <c r="AD230" s="34"/>
      <c r="AE230" s="26"/>
      <c r="AF230" s="34">
        <v>1</v>
      </c>
      <c r="AG230" s="34"/>
      <c r="AH230" s="535"/>
      <c r="AI230" s="294"/>
    </row>
    <row r="231" spans="1:35" x14ac:dyDescent="0.2">
      <c r="A231" s="294"/>
      <c r="B231" s="941"/>
      <c r="C231" s="70">
        <v>2</v>
      </c>
      <c r="D231" s="6" t="s">
        <v>645</v>
      </c>
      <c r="E231" s="6" t="s">
        <v>646</v>
      </c>
      <c r="F231" s="6" t="s">
        <v>21</v>
      </c>
      <c r="G231" s="6" t="s">
        <v>404</v>
      </c>
      <c r="H231" s="11" t="s">
        <v>679</v>
      </c>
      <c r="I231" s="11" t="str">
        <f>I230</f>
        <v>ADMINISTRATION</v>
      </c>
      <c r="J231" s="91"/>
      <c r="K231" s="135"/>
      <c r="L231" s="127"/>
      <c r="M231" s="134"/>
      <c r="N231" s="60"/>
      <c r="O231" s="7">
        <f t="shared" ref="O231:X231" si="128">SUM(O228:O230)</f>
        <v>0</v>
      </c>
      <c r="P231" s="7">
        <f t="shared" si="128"/>
        <v>0</v>
      </c>
      <c r="Q231" s="7">
        <f t="shared" si="128"/>
        <v>0</v>
      </c>
      <c r="R231" s="7">
        <f t="shared" si="128"/>
        <v>0</v>
      </c>
      <c r="S231" s="7">
        <f t="shared" si="128"/>
        <v>0</v>
      </c>
      <c r="T231" s="7">
        <f t="shared" si="128"/>
        <v>0</v>
      </c>
      <c r="U231" s="7">
        <f t="shared" si="128"/>
        <v>0</v>
      </c>
      <c r="V231" s="7">
        <f t="shared" si="128"/>
        <v>0</v>
      </c>
      <c r="W231" s="7">
        <f t="shared" si="128"/>
        <v>0</v>
      </c>
      <c r="X231" s="7">
        <f t="shared" si="128"/>
        <v>0</v>
      </c>
      <c r="Y231" s="7"/>
      <c r="Z231" s="6" t="str">
        <f>VLOOKUP($D231,TableInputsData[],ReadMe!$M$3,FALSE)&amp;"  |  "&amp;VLOOKUP($E231,TableInputsData[],ReadMe!$M$3,FALSE)&amp;"  |  "&amp;VLOOKUP($G231,TableInputsData[],ReadMe!$M$3,FALSE)&amp;IF(AF231=1,"  |  "&amp;VLOOKUP($H231,TableInputsData[],ReadMe!$M$3,FALSE),"")</f>
        <v>DEPENSES OPERATIONNELLES  |  SALAIRES DE PERSONNEL  |  EFF_CAT03  |  COUT PAR PERSONNE ET PAR PERIODE</v>
      </c>
      <c r="AA231" s="6"/>
      <c r="AB231" s="36">
        <f>IF(SUM(O231:X231)=0,0,1)</f>
        <v>0</v>
      </c>
      <c r="AC231" s="36"/>
      <c r="AD231" s="36"/>
      <c r="AE231" s="91"/>
      <c r="AF231" s="36">
        <v>1</v>
      </c>
      <c r="AG231" s="36"/>
      <c r="AH231" s="536"/>
      <c r="AI231" s="294"/>
    </row>
    <row r="232" spans="1:35" x14ac:dyDescent="0.2">
      <c r="A232" s="294"/>
      <c r="B232" s="941"/>
      <c r="C232" s="67">
        <v>2</v>
      </c>
      <c r="D232" s="16" t="s">
        <v>645</v>
      </c>
      <c r="E232" s="16" t="s">
        <v>646</v>
      </c>
      <c r="F232" s="16" t="s">
        <v>21</v>
      </c>
      <c r="G232" s="16" t="s">
        <v>404</v>
      </c>
      <c r="H232" s="17" t="s">
        <v>29</v>
      </c>
      <c r="I232" s="17" t="str">
        <f>I231</f>
        <v>ADMINISTRATION</v>
      </c>
      <c r="J232" s="27"/>
      <c r="K232" s="27"/>
      <c r="L232" s="97"/>
      <c r="M232" s="112"/>
      <c r="N232" s="18"/>
      <c r="O232" s="18">
        <f t="shared" ref="O232:X232" si="129">O227*O231</f>
        <v>0</v>
      </c>
      <c r="P232" s="18">
        <f t="shared" si="129"/>
        <v>0</v>
      </c>
      <c r="Q232" s="18">
        <f t="shared" si="129"/>
        <v>0</v>
      </c>
      <c r="R232" s="18">
        <f t="shared" si="129"/>
        <v>0</v>
      </c>
      <c r="S232" s="18">
        <f t="shared" si="129"/>
        <v>0</v>
      </c>
      <c r="T232" s="18">
        <f t="shared" si="129"/>
        <v>0</v>
      </c>
      <c r="U232" s="18">
        <f t="shared" si="129"/>
        <v>0</v>
      </c>
      <c r="V232" s="18">
        <f t="shared" si="129"/>
        <v>0</v>
      </c>
      <c r="W232" s="18">
        <f t="shared" si="129"/>
        <v>0</v>
      </c>
      <c r="X232" s="18">
        <f t="shared" si="129"/>
        <v>0</v>
      </c>
      <c r="Y232" s="18"/>
      <c r="Z232" s="16"/>
      <c r="AA232" s="16"/>
      <c r="AB232" s="27">
        <v>1</v>
      </c>
      <c r="AC232" s="27"/>
      <c r="AD232" s="27"/>
      <c r="AE232" s="27"/>
      <c r="AF232" s="27"/>
      <c r="AG232" s="27"/>
      <c r="AH232" s="533"/>
      <c r="AI232" s="294"/>
    </row>
    <row r="233" spans="1:35" x14ac:dyDescent="0.2">
      <c r="A233" s="294"/>
      <c r="B233" s="941"/>
      <c r="C233" s="71">
        <v>2</v>
      </c>
      <c r="D233" s="8"/>
      <c r="E233" s="8"/>
      <c r="F233" s="8"/>
      <c r="G233" s="8"/>
      <c r="H233" s="9"/>
      <c r="I233" s="9"/>
      <c r="J233" s="87"/>
      <c r="K233" s="87"/>
      <c r="L233" s="98"/>
      <c r="M233" s="113"/>
      <c r="N233" s="10"/>
      <c r="O233" s="10"/>
      <c r="P233" s="10"/>
      <c r="Q233" s="10"/>
      <c r="R233" s="10"/>
      <c r="S233" s="10"/>
      <c r="T233" s="10"/>
      <c r="U233" s="10"/>
      <c r="V233" s="10"/>
      <c r="W233" s="10"/>
      <c r="X233" s="10"/>
      <c r="Y233" s="10"/>
      <c r="Z233" s="8"/>
      <c r="AA233" s="8"/>
      <c r="AB233" s="35"/>
      <c r="AC233" s="35"/>
      <c r="AD233" s="35"/>
      <c r="AE233" s="87"/>
      <c r="AF233" s="35"/>
      <c r="AG233" s="35"/>
      <c r="AH233" s="534"/>
      <c r="AI233" s="294"/>
    </row>
    <row r="234" spans="1:35" ht="12.75" customHeight="1" x14ac:dyDescent="0.2">
      <c r="A234" s="294"/>
      <c r="B234" s="941"/>
      <c r="C234" s="66">
        <v>2</v>
      </c>
      <c r="D234" s="3" t="s">
        <v>645</v>
      </c>
      <c r="E234" s="3" t="s">
        <v>646</v>
      </c>
      <c r="F234" s="3" t="s">
        <v>1035</v>
      </c>
      <c r="G234" s="3" t="s">
        <v>405</v>
      </c>
      <c r="H234" s="5" t="s">
        <v>699</v>
      </c>
      <c r="I234" s="5" t="str">
        <f>VLOOKUP($G234,TableInputsData[],7,FALSE)</f>
        <v>OPERATIONS</v>
      </c>
      <c r="J234" s="26"/>
      <c r="K234" s="135"/>
      <c r="L234" s="127"/>
      <c r="M234" s="134"/>
      <c r="N234" s="60"/>
      <c r="O234" s="506">
        <v>0</v>
      </c>
      <c r="P234" s="506">
        <v>0</v>
      </c>
      <c r="Q234" s="506">
        <v>0</v>
      </c>
      <c r="R234" s="506">
        <v>0</v>
      </c>
      <c r="S234" s="12">
        <f>(Q234+R234)/2</f>
        <v>0</v>
      </c>
      <c r="T234" s="506">
        <v>0</v>
      </c>
      <c r="U234" s="506">
        <v>0</v>
      </c>
      <c r="V234" s="506">
        <v>0</v>
      </c>
      <c r="W234" s="506">
        <v>0</v>
      </c>
      <c r="X234" s="506">
        <v>0</v>
      </c>
      <c r="Y234" s="606"/>
      <c r="Z234" s="3" t="str">
        <f>VLOOKUP($D234,TableInputsData[],ReadMe!$M$3,FALSE)&amp;"  |  "&amp;VLOOKUP($E234,TableInputsData[],ReadMe!$M$3,FALSE)&amp;"  |  "&amp;VLOOKUP($G234,TableInputsData[],ReadMe!$M$3,FALSE)&amp;IF(AF234=1,"  |  "&amp;VLOOKUP($H234,TableInputsData[],ReadMe!$M$3,FALSE),"")</f>
        <v>DEPENSES OPERATIONNELLES  |  SALAIRES DE PERSONNEL  |  EFF_CAT04  |  NOMBRE D'EMPLOYÉ(E)S</v>
      </c>
      <c r="AA234" s="3"/>
      <c r="AB234" s="34">
        <f>IF(SUM(O234:X234)=0,0,1)</f>
        <v>0</v>
      </c>
      <c r="AC234" s="34"/>
      <c r="AD234" s="34"/>
      <c r="AE234" s="26"/>
      <c r="AF234" s="34">
        <v>1</v>
      </c>
      <c r="AG234" s="34"/>
      <c r="AH234" s="535"/>
      <c r="AI234" s="294"/>
    </row>
    <row r="235" spans="1:35" ht="14" x14ac:dyDescent="0.2">
      <c r="A235" s="294"/>
      <c r="B235" s="941"/>
      <c r="C235" s="66">
        <v>2</v>
      </c>
      <c r="D235" s="3" t="s">
        <v>645</v>
      </c>
      <c r="E235" s="3" t="s">
        <v>646</v>
      </c>
      <c r="F235" s="3" t="s">
        <v>21</v>
      </c>
      <c r="G235" s="3" t="s">
        <v>405</v>
      </c>
      <c r="H235" s="5" t="s">
        <v>703</v>
      </c>
      <c r="I235" s="5" t="str">
        <f>I234</f>
        <v>OPERATIONS</v>
      </c>
      <c r="J235" s="26"/>
      <c r="K235" s="135"/>
      <c r="L235" s="127"/>
      <c r="M235" s="134"/>
      <c r="N235" s="60"/>
      <c r="O235" s="504">
        <v>0</v>
      </c>
      <c r="P235" s="504">
        <v>0</v>
      </c>
      <c r="Q235" s="504">
        <v>0</v>
      </c>
      <c r="R235" s="504">
        <v>0</v>
      </c>
      <c r="S235" s="4">
        <f>IF(S234=0,0,SUMPRODUCT(Q234:R234,Q235:R235)/S234)</f>
        <v>0</v>
      </c>
      <c r="T235" s="504">
        <v>0</v>
      </c>
      <c r="U235" s="504">
        <v>0</v>
      </c>
      <c r="V235" s="504">
        <v>0</v>
      </c>
      <c r="W235" s="504">
        <v>0</v>
      </c>
      <c r="X235" s="504">
        <v>0</v>
      </c>
      <c r="Y235" s="604" t="s">
        <v>2051</v>
      </c>
      <c r="Z235" s="3" t="str">
        <f>VLOOKUP($D235,TableInputsData[],ReadMe!$M$3,FALSE)&amp;"  |  "&amp;VLOOKUP($E235,TableInputsData[],ReadMe!$M$3,FALSE)&amp;"  |  "&amp;VLOOKUP($G235,TableInputsData[],ReadMe!$M$3,FALSE)&amp;IF(AF235=1,"  |  "&amp;VLOOKUP($H235,TableInputsData[],ReadMe!$M$3,FALSE),"")</f>
        <v>DEPENSES OPERATIONNELLES  |  SALAIRES DE PERSONNEL  |  EFF_CAT04  |  SALAIRE BRUT PAR PERSONNE ET PAR PERIODE</v>
      </c>
      <c r="AA235" s="3"/>
      <c r="AB235" s="34">
        <f>IF(SUM(O235:X235)=0,0,1)</f>
        <v>0</v>
      </c>
      <c r="AC235" s="34"/>
      <c r="AD235" s="34"/>
      <c r="AE235" s="26"/>
      <c r="AF235" s="34">
        <v>1</v>
      </c>
      <c r="AG235" s="34"/>
      <c r="AH235" s="535"/>
      <c r="AI235" s="294"/>
    </row>
    <row r="236" spans="1:35" x14ac:dyDescent="0.2">
      <c r="A236" s="294"/>
      <c r="B236" s="941"/>
      <c r="C236" s="66">
        <v>2</v>
      </c>
      <c r="D236" s="3" t="s">
        <v>645</v>
      </c>
      <c r="E236" s="3" t="s">
        <v>646</v>
      </c>
      <c r="F236" s="3" t="s">
        <v>21</v>
      </c>
      <c r="G236" s="3" t="s">
        <v>405</v>
      </c>
      <c r="H236" s="5" t="s">
        <v>672</v>
      </c>
      <c r="I236" s="5" t="str">
        <f>I235</f>
        <v>OPERATIONS</v>
      </c>
      <c r="J236" s="26"/>
      <c r="K236" s="135"/>
      <c r="L236" s="127"/>
      <c r="M236" s="134"/>
      <c r="N236" s="60"/>
      <c r="O236" s="504">
        <v>0</v>
      </c>
      <c r="P236" s="504">
        <v>0</v>
      </c>
      <c r="Q236" s="504">
        <v>0</v>
      </c>
      <c r="R236" s="504">
        <v>0</v>
      </c>
      <c r="S236" s="4">
        <f>IF(S234=0,0,SUMPRODUCT(Q234:R234,Q236:R236)/S234)</f>
        <v>0</v>
      </c>
      <c r="T236" s="504">
        <v>0</v>
      </c>
      <c r="U236" s="504">
        <v>0</v>
      </c>
      <c r="V236" s="504">
        <v>0</v>
      </c>
      <c r="W236" s="504">
        <v>0</v>
      </c>
      <c r="X236" s="504">
        <v>0</v>
      </c>
      <c r="Y236" s="604"/>
      <c r="Z236" s="3" t="str">
        <f>VLOOKUP($D236,TableInputsData[],ReadMe!$M$3,FALSE)&amp;"  |  "&amp;VLOOKUP($E236,TableInputsData[],ReadMe!$M$3,FALSE)&amp;"  |  "&amp;VLOOKUP($G236,TableInputsData[],ReadMe!$M$3,FALSE)&amp;IF(AF236=1,"  |  "&amp;VLOOKUP($H236,TableInputsData[],ReadMe!$M$3,FALSE),"")</f>
        <v>DEPENSES OPERATIONNELLES  |  SALAIRES DE PERSONNEL  |  EFF_CAT04  |  AUTRES INDEMNITÉS ET AVANTAGES DIVERS VERSES AU PERSONNEL</v>
      </c>
      <c r="AA236" s="3"/>
      <c r="AB236" s="34">
        <f>IF(SUM(O236:X236)=0,0,1)</f>
        <v>0</v>
      </c>
      <c r="AC236" s="34"/>
      <c r="AD236" s="34"/>
      <c r="AE236" s="26"/>
      <c r="AF236" s="34">
        <v>1</v>
      </c>
      <c r="AG236" s="34"/>
      <c r="AH236" s="535"/>
      <c r="AI236" s="294"/>
    </row>
    <row r="237" spans="1:35" x14ac:dyDescent="0.2">
      <c r="A237" s="294"/>
      <c r="B237" s="941"/>
      <c r="C237" s="66">
        <v>2</v>
      </c>
      <c r="D237" s="3" t="s">
        <v>645</v>
      </c>
      <c r="E237" s="3" t="s">
        <v>646</v>
      </c>
      <c r="F237" s="3" t="s">
        <v>21</v>
      </c>
      <c r="G237" s="3" t="s">
        <v>405</v>
      </c>
      <c r="H237" s="5" t="s">
        <v>677</v>
      </c>
      <c r="I237" s="5" t="str">
        <f>I236</f>
        <v>OPERATIONS</v>
      </c>
      <c r="J237" s="802">
        <f>VLOOKUP($G237,TableInputsData[],8,FALSE)</f>
        <v>0.16450000000000001</v>
      </c>
      <c r="K237" s="135"/>
      <c r="L237" s="127"/>
      <c r="M237" s="134"/>
      <c r="N237" s="60"/>
      <c r="O237" s="504">
        <v>0</v>
      </c>
      <c r="P237" s="504">
        <v>0</v>
      </c>
      <c r="Q237" s="504">
        <v>0</v>
      </c>
      <c r="R237" s="504">
        <v>0</v>
      </c>
      <c r="S237" s="4">
        <f>IF(S234=0,0,SUMPRODUCT(Q234:R234,Q237:R237)/S234)</f>
        <v>0</v>
      </c>
      <c r="T237" s="7">
        <f>T235*$J237</f>
        <v>0</v>
      </c>
      <c r="U237" s="7">
        <f t="shared" ref="U237:X237" si="130">U235*$J237</f>
        <v>0</v>
      </c>
      <c r="V237" s="7">
        <f t="shared" si="130"/>
        <v>0</v>
      </c>
      <c r="W237" s="7">
        <f t="shared" si="130"/>
        <v>0</v>
      </c>
      <c r="X237" s="7">
        <f t="shared" si="130"/>
        <v>0</v>
      </c>
      <c r="Y237" s="604"/>
      <c r="Z237" s="3" t="str">
        <f>VLOOKUP($D237,TableInputsData[],ReadMe!$M$3,FALSE)&amp;"  |  "&amp;VLOOKUP($E237,TableInputsData[],ReadMe!$M$3,FALSE)&amp;"  |  "&amp;VLOOKUP($G237,TableInputsData[],ReadMe!$M$3,FALSE)&amp;IF(AF237=1,"  |  "&amp;VLOOKUP($H237,TableInputsData[],ReadMe!$M$3,FALSE),"")</f>
        <v>DEPENSES OPERATIONNELLES  |  SALAIRES DE PERSONNEL  |  EFF_CAT04  |  COTISATIONS PATRONALES DE SECURITE SOCIALE</v>
      </c>
      <c r="AA237" s="3"/>
      <c r="AB237" s="34">
        <f>IF(SUM(O237:X237)=0,0,1)</f>
        <v>0</v>
      </c>
      <c r="AC237" s="34"/>
      <c r="AD237" s="34"/>
      <c r="AE237" s="26"/>
      <c r="AF237" s="34">
        <v>1</v>
      </c>
      <c r="AG237" s="34"/>
      <c r="AH237" s="535"/>
      <c r="AI237" s="294"/>
    </row>
    <row r="238" spans="1:35" x14ac:dyDescent="0.2">
      <c r="A238" s="294"/>
      <c r="B238" s="941"/>
      <c r="C238" s="70">
        <v>2</v>
      </c>
      <c r="D238" s="6" t="s">
        <v>645</v>
      </c>
      <c r="E238" s="6" t="s">
        <v>646</v>
      </c>
      <c r="F238" s="6" t="s">
        <v>21</v>
      </c>
      <c r="G238" s="6" t="s">
        <v>405</v>
      </c>
      <c r="H238" s="11" t="s">
        <v>679</v>
      </c>
      <c r="I238" s="11" t="str">
        <f>I237</f>
        <v>OPERATIONS</v>
      </c>
      <c r="J238" s="91"/>
      <c r="K238" s="135"/>
      <c r="L238" s="127"/>
      <c r="M238" s="134"/>
      <c r="N238" s="60"/>
      <c r="O238" s="7">
        <f t="shared" ref="O238:X238" si="131">SUM(O235:O237)</f>
        <v>0</v>
      </c>
      <c r="P238" s="7">
        <f t="shared" si="131"/>
        <v>0</v>
      </c>
      <c r="Q238" s="7">
        <f t="shared" si="131"/>
        <v>0</v>
      </c>
      <c r="R238" s="7">
        <f t="shared" si="131"/>
        <v>0</v>
      </c>
      <c r="S238" s="7">
        <f t="shared" si="131"/>
        <v>0</v>
      </c>
      <c r="T238" s="7">
        <f t="shared" si="131"/>
        <v>0</v>
      </c>
      <c r="U238" s="7">
        <f t="shared" si="131"/>
        <v>0</v>
      </c>
      <c r="V238" s="7">
        <f t="shared" si="131"/>
        <v>0</v>
      </c>
      <c r="W238" s="7">
        <f t="shared" si="131"/>
        <v>0</v>
      </c>
      <c r="X238" s="7">
        <f t="shared" si="131"/>
        <v>0</v>
      </c>
      <c r="Y238" s="7"/>
      <c r="Z238" s="6" t="str">
        <f>VLOOKUP($D238,TableInputsData[],ReadMe!$M$3,FALSE)&amp;"  |  "&amp;VLOOKUP($E238,TableInputsData[],ReadMe!$M$3,FALSE)&amp;"  |  "&amp;VLOOKUP($G238,TableInputsData[],ReadMe!$M$3,FALSE)&amp;IF(AF238=1,"  |  "&amp;VLOOKUP($H238,TableInputsData[],ReadMe!$M$3,FALSE),"")</f>
        <v>DEPENSES OPERATIONNELLES  |  SALAIRES DE PERSONNEL  |  EFF_CAT04  |  COUT PAR PERSONNE ET PAR PERIODE</v>
      </c>
      <c r="AA238" s="6"/>
      <c r="AB238" s="36">
        <f>IF(SUM(O238:X238)=0,0,1)</f>
        <v>0</v>
      </c>
      <c r="AC238" s="36"/>
      <c r="AD238" s="36"/>
      <c r="AE238" s="91"/>
      <c r="AF238" s="36">
        <v>1</v>
      </c>
      <c r="AG238" s="36"/>
      <c r="AH238" s="536"/>
      <c r="AI238" s="294"/>
    </row>
    <row r="239" spans="1:35" x14ac:dyDescent="0.2">
      <c r="A239" s="294"/>
      <c r="B239" s="941"/>
      <c r="C239" s="67">
        <v>2</v>
      </c>
      <c r="D239" s="16" t="s">
        <v>645</v>
      </c>
      <c r="E239" s="16" t="s">
        <v>646</v>
      </c>
      <c r="F239" s="16" t="s">
        <v>21</v>
      </c>
      <c r="G239" s="16" t="s">
        <v>405</v>
      </c>
      <c r="H239" s="17" t="s">
        <v>29</v>
      </c>
      <c r="I239" s="17" t="str">
        <f>I238</f>
        <v>OPERATIONS</v>
      </c>
      <c r="J239" s="27"/>
      <c r="K239" s="27"/>
      <c r="L239" s="97"/>
      <c r="M239" s="112"/>
      <c r="N239" s="18"/>
      <c r="O239" s="18">
        <f t="shared" ref="O239:X239" si="132">O234*O238</f>
        <v>0</v>
      </c>
      <c r="P239" s="18">
        <f t="shared" si="132"/>
        <v>0</v>
      </c>
      <c r="Q239" s="18">
        <f t="shared" si="132"/>
        <v>0</v>
      </c>
      <c r="R239" s="18">
        <f t="shared" si="132"/>
        <v>0</v>
      </c>
      <c r="S239" s="18">
        <f t="shared" si="132"/>
        <v>0</v>
      </c>
      <c r="T239" s="18">
        <f t="shared" si="132"/>
        <v>0</v>
      </c>
      <c r="U239" s="18">
        <f t="shared" si="132"/>
        <v>0</v>
      </c>
      <c r="V239" s="18">
        <f t="shared" si="132"/>
        <v>0</v>
      </c>
      <c r="W239" s="18">
        <f t="shared" si="132"/>
        <v>0</v>
      </c>
      <c r="X239" s="18">
        <f t="shared" si="132"/>
        <v>0</v>
      </c>
      <c r="Y239" s="18"/>
      <c r="Z239" s="16"/>
      <c r="AA239" s="16"/>
      <c r="AB239" s="27">
        <v>1</v>
      </c>
      <c r="AC239" s="27"/>
      <c r="AD239" s="27"/>
      <c r="AE239" s="27"/>
      <c r="AF239" s="27"/>
      <c r="AG239" s="27"/>
      <c r="AH239" s="533"/>
      <c r="AI239" s="294"/>
    </row>
    <row r="240" spans="1:35" x14ac:dyDescent="0.2">
      <c r="A240" s="294"/>
      <c r="B240" s="941"/>
      <c r="C240" s="71">
        <v>2</v>
      </c>
      <c r="D240" s="8"/>
      <c r="E240" s="8"/>
      <c r="F240" s="8"/>
      <c r="G240" s="8"/>
      <c r="H240" s="9"/>
      <c r="I240" s="9"/>
      <c r="J240" s="87"/>
      <c r="K240" s="87"/>
      <c r="L240" s="98"/>
      <c r="M240" s="113"/>
      <c r="N240" s="10"/>
      <c r="O240" s="10"/>
      <c r="P240" s="10"/>
      <c r="Q240" s="10"/>
      <c r="R240" s="10"/>
      <c r="S240" s="10"/>
      <c r="T240" s="10"/>
      <c r="U240" s="10"/>
      <c r="V240" s="10"/>
      <c r="W240" s="10"/>
      <c r="X240" s="10"/>
      <c r="Y240" s="10"/>
      <c r="Z240" s="8"/>
      <c r="AA240" s="8"/>
      <c r="AB240" s="35"/>
      <c r="AC240" s="35"/>
      <c r="AD240" s="35"/>
      <c r="AE240" s="87"/>
      <c r="AF240" s="35"/>
      <c r="AG240" s="35"/>
      <c r="AH240" s="534"/>
      <c r="AI240" s="294"/>
    </row>
    <row r="241" spans="1:35" ht="12.75" customHeight="1" x14ac:dyDescent="0.2">
      <c r="A241" s="294"/>
      <c r="B241" s="941"/>
      <c r="C241" s="66">
        <v>2</v>
      </c>
      <c r="D241" s="3" t="s">
        <v>645</v>
      </c>
      <c r="E241" s="3" t="s">
        <v>646</v>
      </c>
      <c r="F241" s="3" t="s">
        <v>1035</v>
      </c>
      <c r="G241" s="3" t="s">
        <v>406</v>
      </c>
      <c r="H241" s="5" t="s">
        <v>699</v>
      </c>
      <c r="I241" s="5" t="str">
        <f>VLOOKUP($G241,TableInputsData[],7,FALSE)</f>
        <v>VENDEUR BOUTIQUE</v>
      </c>
      <c r="J241" s="26"/>
      <c r="K241" s="135"/>
      <c r="L241" s="127"/>
      <c r="M241" s="134"/>
      <c r="N241" s="60"/>
      <c r="O241" s="506">
        <v>0</v>
      </c>
      <c r="P241" s="506">
        <v>0</v>
      </c>
      <c r="Q241" s="506">
        <v>0</v>
      </c>
      <c r="R241" s="506">
        <v>0</v>
      </c>
      <c r="S241" s="12">
        <f>(Q241+R241)/2</f>
        <v>0</v>
      </c>
      <c r="T241" s="506">
        <v>0</v>
      </c>
      <c r="U241" s="506">
        <v>0</v>
      </c>
      <c r="V241" s="506">
        <v>0</v>
      </c>
      <c r="W241" s="506">
        <v>0</v>
      </c>
      <c r="X241" s="506">
        <v>0</v>
      </c>
      <c r="Y241" s="606"/>
      <c r="Z241" s="3" t="str">
        <f>VLOOKUP($D241,TableInputsData[],ReadMe!$M$3,FALSE)&amp;"  |  "&amp;VLOOKUP($E241,TableInputsData[],ReadMe!$M$3,FALSE)&amp;"  |  "&amp;VLOOKUP($G241,TableInputsData[],ReadMe!$M$3,FALSE)&amp;IF(AF241=1,"  |  "&amp;VLOOKUP($H241,TableInputsData[],ReadMe!$M$3,FALSE),"")</f>
        <v>DEPENSES OPERATIONNELLES  |  SALAIRES DE PERSONNEL  |  EFF_CAT05  |  NOMBRE D'EMPLOYÉ(E)S</v>
      </c>
      <c r="AA241" s="3"/>
      <c r="AB241" s="34">
        <f>IF(SUM(O241:X241)=0,0,1)</f>
        <v>0</v>
      </c>
      <c r="AC241" s="34"/>
      <c r="AD241" s="34"/>
      <c r="AE241" s="26"/>
      <c r="AF241" s="34">
        <v>1</v>
      </c>
      <c r="AG241" s="34"/>
      <c r="AH241" s="535"/>
      <c r="AI241" s="294"/>
    </row>
    <row r="242" spans="1:35" ht="14" x14ac:dyDescent="0.2">
      <c r="A242" s="294"/>
      <c r="B242" s="941"/>
      <c r="C242" s="66">
        <v>2</v>
      </c>
      <c r="D242" s="3" t="s">
        <v>645</v>
      </c>
      <c r="E242" s="3" t="s">
        <v>646</v>
      </c>
      <c r="F242" s="3" t="s">
        <v>21</v>
      </c>
      <c r="G242" s="3" t="s">
        <v>406</v>
      </c>
      <c r="H242" s="5" t="s">
        <v>703</v>
      </c>
      <c r="I242" s="5" t="str">
        <f>I241</f>
        <v>VENDEUR BOUTIQUE</v>
      </c>
      <c r="J242" s="26"/>
      <c r="K242" s="135"/>
      <c r="L242" s="127"/>
      <c r="M242" s="134"/>
      <c r="N242" s="60"/>
      <c r="O242" s="504">
        <v>0</v>
      </c>
      <c r="P242" s="504">
        <v>0</v>
      </c>
      <c r="Q242" s="504">
        <v>0</v>
      </c>
      <c r="R242" s="504">
        <v>0</v>
      </c>
      <c r="S242" s="4">
        <f>IF(S241=0,0,SUMPRODUCT(Q241:R241,Q242:R242)/S241)</f>
        <v>0</v>
      </c>
      <c r="T242" s="504">
        <v>0</v>
      </c>
      <c r="U242" s="504">
        <v>0</v>
      </c>
      <c r="V242" s="504">
        <v>0</v>
      </c>
      <c r="W242" s="504">
        <v>0</v>
      </c>
      <c r="X242" s="504">
        <v>0</v>
      </c>
      <c r="Y242" s="604" t="s">
        <v>2051</v>
      </c>
      <c r="Z242" s="3" t="str">
        <f>VLOOKUP($D242,TableInputsData[],ReadMe!$M$3,FALSE)&amp;"  |  "&amp;VLOOKUP($E242,TableInputsData[],ReadMe!$M$3,FALSE)&amp;"  |  "&amp;VLOOKUP($G242,TableInputsData[],ReadMe!$M$3,FALSE)&amp;IF(AF242=1,"  |  "&amp;VLOOKUP($H242,TableInputsData[],ReadMe!$M$3,FALSE),"")</f>
        <v>DEPENSES OPERATIONNELLES  |  SALAIRES DE PERSONNEL  |  EFF_CAT05  |  SALAIRE BRUT PAR PERSONNE ET PAR PERIODE</v>
      </c>
      <c r="AA242" s="3"/>
      <c r="AB242" s="34">
        <f>IF(SUM(O242:X242)=0,0,1)</f>
        <v>0</v>
      </c>
      <c r="AC242" s="34"/>
      <c r="AD242" s="34"/>
      <c r="AE242" s="26"/>
      <c r="AF242" s="34">
        <v>1</v>
      </c>
      <c r="AG242" s="34"/>
      <c r="AH242" s="535"/>
      <c r="AI242" s="294"/>
    </row>
    <row r="243" spans="1:35" x14ac:dyDescent="0.2">
      <c r="A243" s="294"/>
      <c r="B243" s="941"/>
      <c r="C243" s="66">
        <v>2</v>
      </c>
      <c r="D243" s="3" t="s">
        <v>645</v>
      </c>
      <c r="E243" s="3" t="s">
        <v>646</v>
      </c>
      <c r="F243" s="3" t="s">
        <v>21</v>
      </c>
      <c r="G243" s="3" t="s">
        <v>406</v>
      </c>
      <c r="H243" s="5" t="s">
        <v>672</v>
      </c>
      <c r="I243" s="5" t="str">
        <f>I242</f>
        <v>VENDEUR BOUTIQUE</v>
      </c>
      <c r="J243" s="26"/>
      <c r="K243" s="135"/>
      <c r="L243" s="127"/>
      <c r="M243" s="134"/>
      <c r="N243" s="60"/>
      <c r="O243" s="504">
        <v>0</v>
      </c>
      <c r="P243" s="504">
        <v>0</v>
      </c>
      <c r="Q243" s="504">
        <v>0</v>
      </c>
      <c r="R243" s="504">
        <v>0</v>
      </c>
      <c r="S243" s="4">
        <f>IF(S241=0,0,SUMPRODUCT(Q241:R241,Q243:R243)/S241)</f>
        <v>0</v>
      </c>
      <c r="T243" s="504">
        <v>0</v>
      </c>
      <c r="U243" s="504">
        <v>0</v>
      </c>
      <c r="V243" s="504">
        <v>0</v>
      </c>
      <c r="W243" s="504">
        <v>0</v>
      </c>
      <c r="X243" s="504">
        <v>0</v>
      </c>
      <c r="Y243" s="604"/>
      <c r="Z243" s="3" t="str">
        <f>VLOOKUP($D243,TableInputsData[],ReadMe!$M$3,FALSE)&amp;"  |  "&amp;VLOOKUP($E243,TableInputsData[],ReadMe!$M$3,FALSE)&amp;"  |  "&amp;VLOOKUP($G243,TableInputsData[],ReadMe!$M$3,FALSE)&amp;IF(AF243=1,"  |  "&amp;VLOOKUP($H243,TableInputsData[],ReadMe!$M$3,FALSE),"")</f>
        <v>DEPENSES OPERATIONNELLES  |  SALAIRES DE PERSONNEL  |  EFF_CAT05  |  AUTRES INDEMNITÉS ET AVANTAGES DIVERS VERSES AU PERSONNEL</v>
      </c>
      <c r="AA243" s="3"/>
      <c r="AB243" s="34">
        <f>IF(SUM(O243:X243)=0,0,1)</f>
        <v>0</v>
      </c>
      <c r="AC243" s="34"/>
      <c r="AD243" s="34"/>
      <c r="AE243" s="26"/>
      <c r="AF243" s="34">
        <v>1</v>
      </c>
      <c r="AG243" s="34"/>
      <c r="AH243" s="535"/>
      <c r="AI243" s="294"/>
    </row>
    <row r="244" spans="1:35" x14ac:dyDescent="0.2">
      <c r="A244" s="294"/>
      <c r="B244" s="941"/>
      <c r="C244" s="66">
        <v>2</v>
      </c>
      <c r="D244" s="3" t="s">
        <v>645</v>
      </c>
      <c r="E244" s="3" t="s">
        <v>646</v>
      </c>
      <c r="F244" s="3" t="s">
        <v>21</v>
      </c>
      <c r="G244" s="3" t="s">
        <v>406</v>
      </c>
      <c r="H244" s="5" t="s">
        <v>677</v>
      </c>
      <c r="I244" s="5" t="str">
        <f>I243</f>
        <v>VENDEUR BOUTIQUE</v>
      </c>
      <c r="J244" s="802">
        <f>VLOOKUP($G244,TableInputsData[],8,FALSE)</f>
        <v>0.16450000000000001</v>
      </c>
      <c r="K244" s="135"/>
      <c r="L244" s="127"/>
      <c r="M244" s="134"/>
      <c r="N244" s="60"/>
      <c r="O244" s="504">
        <v>0</v>
      </c>
      <c r="P244" s="504">
        <v>0</v>
      </c>
      <c r="Q244" s="504">
        <v>0</v>
      </c>
      <c r="R244" s="504">
        <v>0</v>
      </c>
      <c r="S244" s="4">
        <f>IF(S241=0,0,SUMPRODUCT(Q241:R241,Q244:R244)/S241)</f>
        <v>0</v>
      </c>
      <c r="T244" s="7">
        <f>T242*$J244</f>
        <v>0</v>
      </c>
      <c r="U244" s="7">
        <f t="shared" ref="U244:X244" si="133">U242*$J244</f>
        <v>0</v>
      </c>
      <c r="V244" s="7">
        <f t="shared" si="133"/>
        <v>0</v>
      </c>
      <c r="W244" s="7">
        <f t="shared" si="133"/>
        <v>0</v>
      </c>
      <c r="X244" s="7">
        <f t="shared" si="133"/>
        <v>0</v>
      </c>
      <c r="Y244" s="604"/>
      <c r="Z244" s="3" t="str">
        <f>VLOOKUP($D244,TableInputsData[],ReadMe!$M$3,FALSE)&amp;"  |  "&amp;VLOOKUP($E244,TableInputsData[],ReadMe!$M$3,FALSE)&amp;"  |  "&amp;VLOOKUP($G244,TableInputsData[],ReadMe!$M$3,FALSE)&amp;IF(AF244=1,"  |  "&amp;VLOOKUP($H244,TableInputsData[],ReadMe!$M$3,FALSE),"")</f>
        <v>DEPENSES OPERATIONNELLES  |  SALAIRES DE PERSONNEL  |  EFF_CAT05  |  COTISATIONS PATRONALES DE SECURITE SOCIALE</v>
      </c>
      <c r="AA244" s="3"/>
      <c r="AB244" s="34">
        <f>IF(SUM(O244:X244)=0,0,1)</f>
        <v>0</v>
      </c>
      <c r="AC244" s="34"/>
      <c r="AD244" s="34"/>
      <c r="AE244" s="26"/>
      <c r="AF244" s="34">
        <v>1</v>
      </c>
      <c r="AG244" s="34"/>
      <c r="AH244" s="535"/>
      <c r="AI244" s="294"/>
    </row>
    <row r="245" spans="1:35" x14ac:dyDescent="0.2">
      <c r="A245" s="294"/>
      <c r="B245" s="941"/>
      <c r="C245" s="70">
        <v>2</v>
      </c>
      <c r="D245" s="6" t="s">
        <v>645</v>
      </c>
      <c r="E245" s="6" t="s">
        <v>646</v>
      </c>
      <c r="F245" s="6" t="s">
        <v>21</v>
      </c>
      <c r="G245" s="6" t="s">
        <v>406</v>
      </c>
      <c r="H245" s="11" t="s">
        <v>679</v>
      </c>
      <c r="I245" s="11" t="str">
        <f>I244</f>
        <v>VENDEUR BOUTIQUE</v>
      </c>
      <c r="J245" s="91"/>
      <c r="K245" s="135"/>
      <c r="L245" s="127"/>
      <c r="M245" s="134"/>
      <c r="N245" s="60"/>
      <c r="O245" s="7">
        <f t="shared" ref="O245:X245" si="134">SUM(O242:O244)</f>
        <v>0</v>
      </c>
      <c r="P245" s="7">
        <f t="shared" si="134"/>
        <v>0</v>
      </c>
      <c r="Q245" s="7">
        <f t="shared" si="134"/>
        <v>0</v>
      </c>
      <c r="R245" s="7">
        <f t="shared" si="134"/>
        <v>0</v>
      </c>
      <c r="S245" s="7">
        <f t="shared" si="134"/>
        <v>0</v>
      </c>
      <c r="T245" s="7">
        <f t="shared" si="134"/>
        <v>0</v>
      </c>
      <c r="U245" s="7">
        <f t="shared" si="134"/>
        <v>0</v>
      </c>
      <c r="V245" s="7">
        <f t="shared" si="134"/>
        <v>0</v>
      </c>
      <c r="W245" s="7">
        <f t="shared" si="134"/>
        <v>0</v>
      </c>
      <c r="X245" s="7">
        <f t="shared" si="134"/>
        <v>0</v>
      </c>
      <c r="Y245" s="7"/>
      <c r="Z245" s="6" t="str">
        <f>VLOOKUP($D245,TableInputsData[],ReadMe!$M$3,FALSE)&amp;"  |  "&amp;VLOOKUP($E245,TableInputsData[],ReadMe!$M$3,FALSE)&amp;"  |  "&amp;VLOOKUP($G245,TableInputsData[],ReadMe!$M$3,FALSE)&amp;IF(AF245=1,"  |  "&amp;VLOOKUP($H245,TableInputsData[],ReadMe!$M$3,FALSE),"")</f>
        <v>DEPENSES OPERATIONNELLES  |  SALAIRES DE PERSONNEL  |  EFF_CAT05  |  COUT PAR PERSONNE ET PAR PERIODE</v>
      </c>
      <c r="AA245" s="6"/>
      <c r="AB245" s="36">
        <f>IF(SUM(O245:X245)=0,0,1)</f>
        <v>0</v>
      </c>
      <c r="AC245" s="36"/>
      <c r="AD245" s="36"/>
      <c r="AE245" s="91"/>
      <c r="AF245" s="36">
        <v>1</v>
      </c>
      <c r="AG245" s="36"/>
      <c r="AH245" s="536"/>
      <c r="AI245" s="294"/>
    </row>
    <row r="246" spans="1:35" x14ac:dyDescent="0.2">
      <c r="A246" s="294"/>
      <c r="B246" s="941"/>
      <c r="C246" s="69">
        <v>2</v>
      </c>
      <c r="D246" s="63" t="s">
        <v>645</v>
      </c>
      <c r="E246" s="16" t="s">
        <v>646</v>
      </c>
      <c r="F246" s="16" t="s">
        <v>21</v>
      </c>
      <c r="G246" s="16" t="s">
        <v>406</v>
      </c>
      <c r="H246" s="17" t="s">
        <v>29</v>
      </c>
      <c r="I246" s="17" t="str">
        <f>I245</f>
        <v>VENDEUR BOUTIQUE</v>
      </c>
      <c r="J246" s="27"/>
      <c r="K246" s="27"/>
      <c r="L246" s="97"/>
      <c r="M246" s="112"/>
      <c r="N246" s="18"/>
      <c r="O246" s="18">
        <f t="shared" ref="O246:X246" si="135">O241*O245</f>
        <v>0</v>
      </c>
      <c r="P246" s="18">
        <f t="shared" si="135"/>
        <v>0</v>
      </c>
      <c r="Q246" s="18">
        <f t="shared" si="135"/>
        <v>0</v>
      </c>
      <c r="R246" s="18">
        <f t="shared" si="135"/>
        <v>0</v>
      </c>
      <c r="S246" s="18">
        <f t="shared" si="135"/>
        <v>0</v>
      </c>
      <c r="T246" s="18">
        <f t="shared" si="135"/>
        <v>0</v>
      </c>
      <c r="U246" s="18">
        <f t="shared" si="135"/>
        <v>0</v>
      </c>
      <c r="V246" s="18">
        <f t="shared" si="135"/>
        <v>0</v>
      </c>
      <c r="W246" s="18">
        <f t="shared" si="135"/>
        <v>0</v>
      </c>
      <c r="X246" s="18">
        <f t="shared" si="135"/>
        <v>0</v>
      </c>
      <c r="Y246" s="18"/>
      <c r="Z246" s="16"/>
      <c r="AA246" s="16"/>
      <c r="AB246" s="27">
        <v>1</v>
      </c>
      <c r="AC246" s="27"/>
      <c r="AD246" s="27"/>
      <c r="AE246" s="27"/>
      <c r="AF246" s="27"/>
      <c r="AG246" s="27"/>
      <c r="AH246" s="533"/>
      <c r="AI246" s="294"/>
    </row>
    <row r="247" spans="1:35" x14ac:dyDescent="0.2">
      <c r="A247" s="294"/>
      <c r="B247" s="941"/>
      <c r="C247" s="71">
        <v>2</v>
      </c>
      <c r="D247" s="8"/>
      <c r="E247" s="8"/>
      <c r="F247" s="8"/>
      <c r="G247" s="8"/>
      <c r="H247" s="9"/>
      <c r="I247" s="9"/>
      <c r="J247" s="87"/>
      <c r="K247" s="87"/>
      <c r="L247" s="98"/>
      <c r="M247" s="113"/>
      <c r="N247" s="10"/>
      <c r="O247" s="10"/>
      <c r="P247" s="10"/>
      <c r="Q247" s="10"/>
      <c r="R247" s="10"/>
      <c r="S247" s="10"/>
      <c r="T247" s="10"/>
      <c r="U247" s="10"/>
      <c r="V247" s="10"/>
      <c r="W247" s="10"/>
      <c r="X247" s="10"/>
      <c r="Y247" s="10"/>
      <c r="Z247" s="8"/>
      <c r="AA247" s="8"/>
      <c r="AB247" s="35"/>
      <c r="AC247" s="35"/>
      <c r="AD247" s="35"/>
      <c r="AE247" s="87"/>
      <c r="AF247" s="35"/>
      <c r="AG247" s="35"/>
      <c r="AH247" s="534"/>
      <c r="AI247" s="294"/>
    </row>
    <row r="248" spans="1:35" ht="12.75" customHeight="1" x14ac:dyDescent="0.2">
      <c r="A248" s="294"/>
      <c r="B248" s="941"/>
      <c r="C248" s="66">
        <v>2</v>
      </c>
      <c r="D248" s="3" t="s">
        <v>645</v>
      </c>
      <c r="E248" s="3" t="s">
        <v>646</v>
      </c>
      <c r="F248" s="3" t="s">
        <v>1035</v>
      </c>
      <c r="G248" s="3" t="s">
        <v>407</v>
      </c>
      <c r="H248" s="5" t="s">
        <v>699</v>
      </c>
      <c r="I248" s="5" t="str">
        <f>VLOOKUP($G248,TableInputsData[],7,FALSE)</f>
        <v>CADRE - DIRECTEURS</v>
      </c>
      <c r="J248" s="26"/>
      <c r="K248" s="135"/>
      <c r="L248" s="127"/>
      <c r="M248" s="134"/>
      <c r="N248" s="60"/>
      <c r="O248" s="506">
        <v>0</v>
      </c>
      <c r="P248" s="506">
        <v>0</v>
      </c>
      <c r="Q248" s="506">
        <v>0</v>
      </c>
      <c r="R248" s="506">
        <v>0</v>
      </c>
      <c r="S248" s="12">
        <f>(Q248+R248)/2</f>
        <v>0</v>
      </c>
      <c r="T248" s="506">
        <v>0</v>
      </c>
      <c r="U248" s="506">
        <v>0</v>
      </c>
      <c r="V248" s="506">
        <v>0</v>
      </c>
      <c r="W248" s="506">
        <v>0</v>
      </c>
      <c r="X248" s="506">
        <v>0</v>
      </c>
      <c r="Y248" s="606"/>
      <c r="Z248" s="3" t="str">
        <f>VLOOKUP($D248,TableInputsData[],ReadMe!$M$3,FALSE)&amp;"  |  "&amp;VLOOKUP($E248,TableInputsData[],ReadMe!$M$3,FALSE)&amp;"  |  "&amp;VLOOKUP($G248,TableInputsData[],ReadMe!$M$3,FALSE)&amp;IF(AF248=1,"  |  "&amp;VLOOKUP($H248,TableInputsData[],ReadMe!$M$3,FALSE),"")</f>
        <v>DEPENSES OPERATIONNELLES  |  SALAIRES DE PERSONNEL  |  EFF_CAT06  |  NOMBRE D'EMPLOYÉ(E)S</v>
      </c>
      <c r="AA248" s="3"/>
      <c r="AB248" s="34">
        <f>IF(SUM(O248:X248)=0,0,1)</f>
        <v>0</v>
      </c>
      <c r="AC248" s="34"/>
      <c r="AD248" s="34"/>
      <c r="AE248" s="26"/>
      <c r="AF248" s="34">
        <v>1</v>
      </c>
      <c r="AG248" s="34"/>
      <c r="AH248" s="535"/>
      <c r="AI248" s="294"/>
    </row>
    <row r="249" spans="1:35" ht="14" x14ac:dyDescent="0.2">
      <c r="A249" s="294"/>
      <c r="B249" s="941"/>
      <c r="C249" s="66">
        <v>2</v>
      </c>
      <c r="D249" s="3" t="s">
        <v>645</v>
      </c>
      <c r="E249" s="3" t="s">
        <v>646</v>
      </c>
      <c r="F249" s="3" t="s">
        <v>21</v>
      </c>
      <c r="G249" s="3" t="s">
        <v>407</v>
      </c>
      <c r="H249" s="5" t="s">
        <v>703</v>
      </c>
      <c r="I249" s="5" t="str">
        <f>I248</f>
        <v>CADRE - DIRECTEURS</v>
      </c>
      <c r="J249" s="26"/>
      <c r="K249" s="135"/>
      <c r="L249" s="127"/>
      <c r="M249" s="134"/>
      <c r="N249" s="60"/>
      <c r="O249" s="504">
        <v>0</v>
      </c>
      <c r="P249" s="504">
        <v>0</v>
      </c>
      <c r="Q249" s="504">
        <v>0</v>
      </c>
      <c r="R249" s="504">
        <v>0</v>
      </c>
      <c r="S249" s="4">
        <f>IF(S248=0,0,SUMPRODUCT(Q248:R248,Q249:R249)/S248)</f>
        <v>0</v>
      </c>
      <c r="T249" s="504">
        <v>0</v>
      </c>
      <c r="U249" s="504">
        <v>0</v>
      </c>
      <c r="V249" s="504">
        <v>0</v>
      </c>
      <c r="W249" s="504">
        <v>0</v>
      </c>
      <c r="X249" s="504">
        <v>0</v>
      </c>
      <c r="Y249" s="604" t="s">
        <v>2051</v>
      </c>
      <c r="Z249" s="3" t="str">
        <f>VLOOKUP($D249,TableInputsData[],ReadMe!$M$3,FALSE)&amp;"  |  "&amp;VLOOKUP($E249,TableInputsData[],ReadMe!$M$3,FALSE)&amp;"  |  "&amp;VLOOKUP($G249,TableInputsData[],ReadMe!$M$3,FALSE)&amp;IF(AF249=1,"  |  "&amp;VLOOKUP($H249,TableInputsData[],ReadMe!$M$3,FALSE),"")</f>
        <v>DEPENSES OPERATIONNELLES  |  SALAIRES DE PERSONNEL  |  EFF_CAT06  |  SALAIRE BRUT PAR PERSONNE ET PAR PERIODE</v>
      </c>
      <c r="AA249" s="3"/>
      <c r="AB249" s="34">
        <f>IF(SUM(O249:X249)=0,0,1)</f>
        <v>0</v>
      </c>
      <c r="AC249" s="34"/>
      <c r="AD249" s="34"/>
      <c r="AE249" s="26"/>
      <c r="AF249" s="34">
        <v>1</v>
      </c>
      <c r="AG249" s="34"/>
      <c r="AH249" s="535"/>
      <c r="AI249" s="294"/>
    </row>
    <row r="250" spans="1:35" x14ac:dyDescent="0.2">
      <c r="A250" s="294"/>
      <c r="B250" s="941"/>
      <c r="C250" s="66">
        <v>2</v>
      </c>
      <c r="D250" s="3" t="s">
        <v>645</v>
      </c>
      <c r="E250" s="3" t="s">
        <v>646</v>
      </c>
      <c r="F250" s="3" t="s">
        <v>21</v>
      </c>
      <c r="G250" s="3" t="s">
        <v>407</v>
      </c>
      <c r="H250" s="5" t="s">
        <v>672</v>
      </c>
      <c r="I250" s="5" t="str">
        <f>I249</f>
        <v>CADRE - DIRECTEURS</v>
      </c>
      <c r="J250" s="26"/>
      <c r="K250" s="135"/>
      <c r="L250" s="127"/>
      <c r="M250" s="134"/>
      <c r="N250" s="60"/>
      <c r="O250" s="504">
        <v>0</v>
      </c>
      <c r="P250" s="504">
        <v>0</v>
      </c>
      <c r="Q250" s="504">
        <v>0</v>
      </c>
      <c r="R250" s="504">
        <v>0</v>
      </c>
      <c r="S250" s="4">
        <f>IF(S248=0,0,SUMPRODUCT(Q248:R248,Q250:R250)/S248)</f>
        <v>0</v>
      </c>
      <c r="T250" s="504">
        <v>0</v>
      </c>
      <c r="U250" s="504">
        <v>0</v>
      </c>
      <c r="V250" s="504">
        <v>0</v>
      </c>
      <c r="W250" s="504">
        <v>0</v>
      </c>
      <c r="X250" s="504">
        <v>0</v>
      </c>
      <c r="Y250" s="604"/>
      <c r="Z250" s="3" t="str">
        <f>VLOOKUP($D250,TableInputsData[],ReadMe!$M$3,FALSE)&amp;"  |  "&amp;VLOOKUP($E250,TableInputsData[],ReadMe!$M$3,FALSE)&amp;"  |  "&amp;VLOOKUP($G250,TableInputsData[],ReadMe!$M$3,FALSE)&amp;IF(AF250=1,"  |  "&amp;VLOOKUP($H250,TableInputsData[],ReadMe!$M$3,FALSE),"")</f>
        <v>DEPENSES OPERATIONNELLES  |  SALAIRES DE PERSONNEL  |  EFF_CAT06  |  AUTRES INDEMNITÉS ET AVANTAGES DIVERS VERSES AU PERSONNEL</v>
      </c>
      <c r="AA250" s="3"/>
      <c r="AB250" s="34">
        <f>IF(SUM(O250:X250)=0,0,1)</f>
        <v>0</v>
      </c>
      <c r="AC250" s="34"/>
      <c r="AD250" s="34"/>
      <c r="AE250" s="26"/>
      <c r="AF250" s="34">
        <v>1</v>
      </c>
      <c r="AG250" s="34"/>
      <c r="AH250" s="535"/>
      <c r="AI250" s="294"/>
    </row>
    <row r="251" spans="1:35" x14ac:dyDescent="0.2">
      <c r="A251" s="294"/>
      <c r="B251" s="941"/>
      <c r="C251" s="66">
        <v>2</v>
      </c>
      <c r="D251" s="3" t="s">
        <v>645</v>
      </c>
      <c r="E251" s="3" t="s">
        <v>646</v>
      </c>
      <c r="F251" s="3" t="s">
        <v>21</v>
      </c>
      <c r="G251" s="3" t="s">
        <v>407</v>
      </c>
      <c r="H251" s="5" t="s">
        <v>677</v>
      </c>
      <c r="I251" s="5" t="str">
        <f>I250</f>
        <v>CADRE - DIRECTEURS</v>
      </c>
      <c r="J251" s="802">
        <f>VLOOKUP($G251,TableInputsData[],8,FALSE)</f>
        <v>0.16450000000000001</v>
      </c>
      <c r="K251" s="135"/>
      <c r="L251" s="127"/>
      <c r="M251" s="134"/>
      <c r="N251" s="60"/>
      <c r="O251" s="504">
        <v>0</v>
      </c>
      <c r="P251" s="504">
        <v>0</v>
      </c>
      <c r="Q251" s="504">
        <v>0</v>
      </c>
      <c r="R251" s="504">
        <v>0</v>
      </c>
      <c r="S251" s="4">
        <f>IF(S248=0,0,SUMPRODUCT(Q248:R248,Q251:R251)/S248)</f>
        <v>0</v>
      </c>
      <c r="T251" s="7">
        <f>T249*$J251</f>
        <v>0</v>
      </c>
      <c r="U251" s="7">
        <f t="shared" ref="U251:X251" si="136">U249*$J251</f>
        <v>0</v>
      </c>
      <c r="V251" s="7">
        <f t="shared" si="136"/>
        <v>0</v>
      </c>
      <c r="W251" s="7">
        <f t="shared" si="136"/>
        <v>0</v>
      </c>
      <c r="X251" s="7">
        <f t="shared" si="136"/>
        <v>0</v>
      </c>
      <c r="Y251" s="604"/>
      <c r="Z251" s="3" t="str">
        <f>VLOOKUP($D251,TableInputsData[],ReadMe!$M$3,FALSE)&amp;"  |  "&amp;VLOOKUP($E251,TableInputsData[],ReadMe!$M$3,FALSE)&amp;"  |  "&amp;VLOOKUP($G251,TableInputsData[],ReadMe!$M$3,FALSE)&amp;IF(AF251=1,"  |  "&amp;VLOOKUP($H251,TableInputsData[],ReadMe!$M$3,FALSE),"")</f>
        <v>DEPENSES OPERATIONNELLES  |  SALAIRES DE PERSONNEL  |  EFF_CAT06  |  COTISATIONS PATRONALES DE SECURITE SOCIALE</v>
      </c>
      <c r="AA251" s="3"/>
      <c r="AB251" s="34">
        <f>IF(SUM(O251:X251)=0,0,1)</f>
        <v>0</v>
      </c>
      <c r="AC251" s="34"/>
      <c r="AD251" s="34"/>
      <c r="AE251" s="26"/>
      <c r="AF251" s="34">
        <v>1</v>
      </c>
      <c r="AG251" s="34"/>
      <c r="AH251" s="535"/>
      <c r="AI251" s="294"/>
    </row>
    <row r="252" spans="1:35" x14ac:dyDescent="0.2">
      <c r="A252" s="294"/>
      <c r="B252" s="941"/>
      <c r="C252" s="70">
        <v>2</v>
      </c>
      <c r="D252" s="6" t="s">
        <v>645</v>
      </c>
      <c r="E252" s="6" t="s">
        <v>646</v>
      </c>
      <c r="F252" s="6" t="s">
        <v>21</v>
      </c>
      <c r="G252" s="6" t="s">
        <v>407</v>
      </c>
      <c r="H252" s="11" t="s">
        <v>679</v>
      </c>
      <c r="I252" s="11" t="str">
        <f>I251</f>
        <v>CADRE - DIRECTEURS</v>
      </c>
      <c r="J252" s="91"/>
      <c r="K252" s="135"/>
      <c r="L252" s="127"/>
      <c r="M252" s="134"/>
      <c r="N252" s="60"/>
      <c r="O252" s="7">
        <f t="shared" ref="O252:X252" si="137">SUM(O249:O251)</f>
        <v>0</v>
      </c>
      <c r="P252" s="7">
        <f t="shared" si="137"/>
        <v>0</v>
      </c>
      <c r="Q252" s="7">
        <f t="shared" si="137"/>
        <v>0</v>
      </c>
      <c r="R252" s="7">
        <f t="shared" si="137"/>
        <v>0</v>
      </c>
      <c r="S252" s="7">
        <f t="shared" si="137"/>
        <v>0</v>
      </c>
      <c r="T252" s="7">
        <f t="shared" si="137"/>
        <v>0</v>
      </c>
      <c r="U252" s="7">
        <f t="shared" si="137"/>
        <v>0</v>
      </c>
      <c r="V252" s="7">
        <f t="shared" si="137"/>
        <v>0</v>
      </c>
      <c r="W252" s="7">
        <f t="shared" si="137"/>
        <v>0</v>
      </c>
      <c r="X252" s="7">
        <f t="shared" si="137"/>
        <v>0</v>
      </c>
      <c r="Y252" s="7"/>
      <c r="Z252" s="6" t="str">
        <f>VLOOKUP($D252,TableInputsData[],ReadMe!$M$3,FALSE)&amp;"  |  "&amp;VLOOKUP($E252,TableInputsData[],ReadMe!$M$3,FALSE)&amp;"  |  "&amp;VLOOKUP($G252,TableInputsData[],ReadMe!$M$3,FALSE)&amp;IF(AF252=1,"  |  "&amp;VLOOKUP($H252,TableInputsData[],ReadMe!$M$3,FALSE),"")</f>
        <v>DEPENSES OPERATIONNELLES  |  SALAIRES DE PERSONNEL  |  EFF_CAT06  |  COUT PAR PERSONNE ET PAR PERIODE</v>
      </c>
      <c r="AA252" s="6"/>
      <c r="AB252" s="36">
        <f>IF(SUM(O252:X252)=0,0,1)</f>
        <v>0</v>
      </c>
      <c r="AC252" s="36"/>
      <c r="AD252" s="36"/>
      <c r="AE252" s="91"/>
      <c r="AF252" s="36">
        <v>1</v>
      </c>
      <c r="AG252" s="36"/>
      <c r="AH252" s="536"/>
      <c r="AI252" s="294"/>
    </row>
    <row r="253" spans="1:35" x14ac:dyDescent="0.2">
      <c r="A253" s="294"/>
      <c r="B253" s="941"/>
      <c r="C253" s="67">
        <v>2</v>
      </c>
      <c r="D253" s="16" t="s">
        <v>645</v>
      </c>
      <c r="E253" s="16" t="s">
        <v>646</v>
      </c>
      <c r="F253" s="16" t="s">
        <v>21</v>
      </c>
      <c r="G253" s="16" t="s">
        <v>407</v>
      </c>
      <c r="H253" s="17" t="s">
        <v>29</v>
      </c>
      <c r="I253" s="17" t="str">
        <f>I252</f>
        <v>CADRE - DIRECTEURS</v>
      </c>
      <c r="J253" s="27"/>
      <c r="K253" s="27"/>
      <c r="L253" s="97"/>
      <c r="M253" s="112"/>
      <c r="N253" s="18"/>
      <c r="O253" s="18">
        <f t="shared" ref="O253:X253" si="138">O248*O252</f>
        <v>0</v>
      </c>
      <c r="P253" s="18">
        <f t="shared" si="138"/>
        <v>0</v>
      </c>
      <c r="Q253" s="18">
        <f t="shared" si="138"/>
        <v>0</v>
      </c>
      <c r="R253" s="18">
        <f t="shared" si="138"/>
        <v>0</v>
      </c>
      <c r="S253" s="18">
        <f t="shared" si="138"/>
        <v>0</v>
      </c>
      <c r="T253" s="18">
        <f t="shared" si="138"/>
        <v>0</v>
      </c>
      <c r="U253" s="18">
        <f t="shared" si="138"/>
        <v>0</v>
      </c>
      <c r="V253" s="18">
        <f t="shared" si="138"/>
        <v>0</v>
      </c>
      <c r="W253" s="18">
        <f t="shared" si="138"/>
        <v>0</v>
      </c>
      <c r="X253" s="18">
        <f t="shared" si="138"/>
        <v>0</v>
      </c>
      <c r="Y253" s="18"/>
      <c r="Z253" s="16"/>
      <c r="AA253" s="16"/>
      <c r="AB253" s="27">
        <v>1</v>
      </c>
      <c r="AC253" s="27"/>
      <c r="AD253" s="27"/>
      <c r="AE253" s="27"/>
      <c r="AF253" s="27"/>
      <c r="AG253" s="27"/>
      <c r="AH253" s="533"/>
      <c r="AI253" s="294"/>
    </row>
    <row r="254" spans="1:35" x14ac:dyDescent="0.2">
      <c r="A254" s="294"/>
      <c r="B254" s="941"/>
      <c r="C254" s="71">
        <v>2</v>
      </c>
      <c r="D254" s="8"/>
      <c r="E254" s="8"/>
      <c r="F254" s="8"/>
      <c r="G254" s="8"/>
      <c r="H254" s="9"/>
      <c r="I254" s="9"/>
      <c r="J254" s="87"/>
      <c r="K254" s="87"/>
      <c r="L254" s="98"/>
      <c r="M254" s="113"/>
      <c r="N254" s="10"/>
      <c r="O254" s="10"/>
      <c r="P254" s="10"/>
      <c r="Q254" s="10"/>
      <c r="R254" s="10"/>
      <c r="S254" s="10"/>
      <c r="T254" s="10"/>
      <c r="U254" s="10"/>
      <c r="V254" s="10"/>
      <c r="W254" s="10"/>
      <c r="X254" s="10"/>
      <c r="Y254" s="10"/>
      <c r="Z254" s="8"/>
      <c r="AA254" s="8"/>
      <c r="AB254" s="35"/>
      <c r="AC254" s="35"/>
      <c r="AD254" s="35"/>
      <c r="AE254" s="87"/>
      <c r="AF254" s="35"/>
      <c r="AG254" s="35"/>
      <c r="AH254" s="534"/>
      <c r="AI254" s="294"/>
    </row>
    <row r="255" spans="1:35" ht="12.75" customHeight="1" x14ac:dyDescent="0.2">
      <c r="A255" s="294"/>
      <c r="B255" s="941"/>
      <c r="C255" s="66">
        <v>2</v>
      </c>
      <c r="D255" s="3" t="s">
        <v>645</v>
      </c>
      <c r="E255" s="3" t="s">
        <v>646</v>
      </c>
      <c r="F255" s="3" t="s">
        <v>1035</v>
      </c>
      <c r="G255" s="3" t="s">
        <v>408</v>
      </c>
      <c r="H255" s="5" t="s">
        <v>699</v>
      </c>
      <c r="I255" s="5" t="str">
        <f>VLOOKUP($G255,TableInputsData[],7,FALSE)</f>
        <v>CADRE - DIRECTEUR GENERAL</v>
      </c>
      <c r="J255" s="26"/>
      <c r="K255" s="135"/>
      <c r="L255" s="127"/>
      <c r="M255" s="134"/>
      <c r="N255" s="60"/>
      <c r="O255" s="506">
        <v>0</v>
      </c>
      <c r="P255" s="506">
        <v>0</v>
      </c>
      <c r="Q255" s="506">
        <v>0</v>
      </c>
      <c r="R255" s="506">
        <v>0</v>
      </c>
      <c r="S255" s="12">
        <f>(Q255+R255)/2</f>
        <v>0</v>
      </c>
      <c r="T255" s="506">
        <v>0</v>
      </c>
      <c r="U255" s="506">
        <v>0</v>
      </c>
      <c r="V255" s="506">
        <v>0</v>
      </c>
      <c r="W255" s="506">
        <v>0</v>
      </c>
      <c r="X255" s="506">
        <v>0</v>
      </c>
      <c r="Y255" s="606"/>
      <c r="Z255" s="3" t="str">
        <f>VLOOKUP($D255,TableInputsData[],ReadMe!$M$3,FALSE)&amp;"  |  "&amp;VLOOKUP($E255,TableInputsData[],ReadMe!$M$3,FALSE)&amp;"  |  "&amp;VLOOKUP($G255,TableInputsData[],ReadMe!$M$3,FALSE)&amp;IF(AF255=1,"  |  "&amp;VLOOKUP($H255,TableInputsData[],ReadMe!$M$3,FALSE),"")</f>
        <v>DEPENSES OPERATIONNELLES  |  SALAIRES DE PERSONNEL  |  EFF_CAT07  |  NOMBRE D'EMPLOYÉ(E)S</v>
      </c>
      <c r="AA255" s="3"/>
      <c r="AB255" s="34">
        <f>IF(SUM(O255:X255)=0,0,1)</f>
        <v>0</v>
      </c>
      <c r="AC255" s="34"/>
      <c r="AD255" s="34"/>
      <c r="AE255" s="26"/>
      <c r="AF255" s="34">
        <v>1</v>
      </c>
      <c r="AG255" s="34"/>
      <c r="AH255" s="535"/>
      <c r="AI255" s="294"/>
    </row>
    <row r="256" spans="1:35" ht="14" x14ac:dyDescent="0.2">
      <c r="A256" s="294"/>
      <c r="B256" s="941"/>
      <c r="C256" s="66">
        <v>2</v>
      </c>
      <c r="D256" s="3" t="s">
        <v>645</v>
      </c>
      <c r="E256" s="3" t="s">
        <v>646</v>
      </c>
      <c r="F256" s="3" t="s">
        <v>21</v>
      </c>
      <c r="G256" s="3" t="s">
        <v>408</v>
      </c>
      <c r="H256" s="5" t="s">
        <v>703</v>
      </c>
      <c r="I256" s="5" t="str">
        <f>I255</f>
        <v>CADRE - DIRECTEUR GENERAL</v>
      </c>
      <c r="J256" s="26"/>
      <c r="K256" s="135"/>
      <c r="L256" s="127"/>
      <c r="M256" s="134"/>
      <c r="N256" s="60"/>
      <c r="O256" s="504">
        <v>0</v>
      </c>
      <c r="P256" s="504">
        <v>0</v>
      </c>
      <c r="Q256" s="504">
        <v>0</v>
      </c>
      <c r="R256" s="504">
        <v>0</v>
      </c>
      <c r="S256" s="4">
        <f>IF(S255=0,0,SUMPRODUCT(Q255:R255,Q256:R256)/S255)</f>
        <v>0</v>
      </c>
      <c r="T256" s="504">
        <v>0</v>
      </c>
      <c r="U256" s="504">
        <v>0</v>
      </c>
      <c r="V256" s="504">
        <v>0</v>
      </c>
      <c r="W256" s="504">
        <v>0</v>
      </c>
      <c r="X256" s="504">
        <v>0</v>
      </c>
      <c r="Y256" s="604" t="s">
        <v>2051</v>
      </c>
      <c r="Z256" s="3" t="str">
        <f>VLOOKUP($D256,TableInputsData[],ReadMe!$M$3,FALSE)&amp;"  |  "&amp;VLOOKUP($E256,TableInputsData[],ReadMe!$M$3,FALSE)&amp;"  |  "&amp;VLOOKUP($G256,TableInputsData[],ReadMe!$M$3,FALSE)&amp;IF(AF256=1,"  |  "&amp;VLOOKUP($H256,TableInputsData[],ReadMe!$M$3,FALSE),"")</f>
        <v>DEPENSES OPERATIONNELLES  |  SALAIRES DE PERSONNEL  |  EFF_CAT07  |  SALAIRE BRUT PAR PERSONNE ET PAR PERIODE</v>
      </c>
      <c r="AA256" s="3"/>
      <c r="AB256" s="34">
        <f>IF(SUM(O256:X256)=0,0,1)</f>
        <v>0</v>
      </c>
      <c r="AC256" s="34"/>
      <c r="AD256" s="34"/>
      <c r="AE256" s="26"/>
      <c r="AF256" s="34">
        <v>1</v>
      </c>
      <c r="AG256" s="34"/>
      <c r="AH256" s="535"/>
      <c r="AI256" s="294"/>
    </row>
    <row r="257" spans="1:35" x14ac:dyDescent="0.2">
      <c r="A257" s="294"/>
      <c r="B257" s="941"/>
      <c r="C257" s="66">
        <v>2</v>
      </c>
      <c r="D257" s="3" t="s">
        <v>645</v>
      </c>
      <c r="E257" s="3" t="s">
        <v>646</v>
      </c>
      <c r="F257" s="3" t="s">
        <v>21</v>
      </c>
      <c r="G257" s="3" t="s">
        <v>408</v>
      </c>
      <c r="H257" s="5" t="s">
        <v>672</v>
      </c>
      <c r="I257" s="5" t="str">
        <f>I256</f>
        <v>CADRE - DIRECTEUR GENERAL</v>
      </c>
      <c r="J257" s="26"/>
      <c r="K257" s="135"/>
      <c r="L257" s="127"/>
      <c r="M257" s="134"/>
      <c r="N257" s="60"/>
      <c r="O257" s="504">
        <v>0</v>
      </c>
      <c r="P257" s="504">
        <v>0</v>
      </c>
      <c r="Q257" s="504">
        <v>0</v>
      </c>
      <c r="R257" s="504">
        <v>0</v>
      </c>
      <c r="S257" s="4">
        <f>IF(S255=0,0,SUMPRODUCT(Q255:R255,Q257:R257)/S255)</f>
        <v>0</v>
      </c>
      <c r="T257" s="504">
        <v>0</v>
      </c>
      <c r="U257" s="504">
        <v>0</v>
      </c>
      <c r="V257" s="504">
        <v>0</v>
      </c>
      <c r="W257" s="504">
        <v>0</v>
      </c>
      <c r="X257" s="504">
        <v>0</v>
      </c>
      <c r="Y257" s="604"/>
      <c r="Z257" s="3" t="str">
        <f>VLOOKUP($D257,TableInputsData[],ReadMe!$M$3,FALSE)&amp;"  |  "&amp;VLOOKUP($E257,TableInputsData[],ReadMe!$M$3,FALSE)&amp;"  |  "&amp;VLOOKUP($G257,TableInputsData[],ReadMe!$M$3,FALSE)&amp;IF(AF257=1,"  |  "&amp;VLOOKUP($H257,TableInputsData[],ReadMe!$M$3,FALSE),"")</f>
        <v>DEPENSES OPERATIONNELLES  |  SALAIRES DE PERSONNEL  |  EFF_CAT07  |  AUTRES INDEMNITÉS ET AVANTAGES DIVERS VERSES AU PERSONNEL</v>
      </c>
      <c r="AA257" s="3"/>
      <c r="AB257" s="34">
        <f>IF(SUM(O257:X257)=0,0,1)</f>
        <v>0</v>
      </c>
      <c r="AC257" s="34"/>
      <c r="AD257" s="34"/>
      <c r="AE257" s="26"/>
      <c r="AF257" s="34">
        <v>1</v>
      </c>
      <c r="AG257" s="34"/>
      <c r="AH257" s="535"/>
      <c r="AI257" s="294"/>
    </row>
    <row r="258" spans="1:35" x14ac:dyDescent="0.2">
      <c r="A258" s="294"/>
      <c r="B258" s="941"/>
      <c r="C258" s="66">
        <v>2</v>
      </c>
      <c r="D258" s="3" t="s">
        <v>645</v>
      </c>
      <c r="E258" s="3" t="s">
        <v>646</v>
      </c>
      <c r="F258" s="3" t="s">
        <v>21</v>
      </c>
      <c r="G258" s="3" t="s">
        <v>408</v>
      </c>
      <c r="H258" s="5" t="s">
        <v>677</v>
      </c>
      <c r="I258" s="5" t="str">
        <f>I257</f>
        <v>CADRE - DIRECTEUR GENERAL</v>
      </c>
      <c r="J258" s="802">
        <f>VLOOKUP($G258,TableInputsData[],8,FALSE)</f>
        <v>0.16450000000000001</v>
      </c>
      <c r="K258" s="135"/>
      <c r="L258" s="127"/>
      <c r="M258" s="134"/>
      <c r="N258" s="60"/>
      <c r="O258" s="504">
        <v>0</v>
      </c>
      <c r="P258" s="504">
        <v>0</v>
      </c>
      <c r="Q258" s="504">
        <v>0</v>
      </c>
      <c r="R258" s="504">
        <v>0</v>
      </c>
      <c r="S258" s="4">
        <f>IF(S255=0,0,SUMPRODUCT(Q255:R255,Q258:R258)/S255)</f>
        <v>0</v>
      </c>
      <c r="T258" s="7">
        <f>T256*$J258</f>
        <v>0</v>
      </c>
      <c r="U258" s="7">
        <f t="shared" ref="U258:X258" si="139">U256*$J258</f>
        <v>0</v>
      </c>
      <c r="V258" s="7">
        <f t="shared" si="139"/>
        <v>0</v>
      </c>
      <c r="W258" s="7">
        <f t="shared" si="139"/>
        <v>0</v>
      </c>
      <c r="X258" s="7">
        <f t="shared" si="139"/>
        <v>0</v>
      </c>
      <c r="Y258" s="604"/>
      <c r="Z258" s="3" t="str">
        <f>VLOOKUP($D258,TableInputsData[],ReadMe!$M$3,FALSE)&amp;"  |  "&amp;VLOOKUP($E258,TableInputsData[],ReadMe!$M$3,FALSE)&amp;"  |  "&amp;VLOOKUP($G258,TableInputsData[],ReadMe!$M$3,FALSE)&amp;IF(AF258=1,"  |  "&amp;VLOOKUP($H258,TableInputsData[],ReadMe!$M$3,FALSE),"")</f>
        <v>DEPENSES OPERATIONNELLES  |  SALAIRES DE PERSONNEL  |  EFF_CAT07  |  COTISATIONS PATRONALES DE SECURITE SOCIALE</v>
      </c>
      <c r="AA258" s="3"/>
      <c r="AB258" s="34">
        <f>IF(SUM(O258:X258)=0,0,1)</f>
        <v>0</v>
      </c>
      <c r="AC258" s="34"/>
      <c r="AD258" s="34"/>
      <c r="AE258" s="26"/>
      <c r="AF258" s="34">
        <v>1</v>
      </c>
      <c r="AG258" s="34"/>
      <c r="AH258" s="535"/>
      <c r="AI258" s="294"/>
    </row>
    <row r="259" spans="1:35" x14ac:dyDescent="0.2">
      <c r="A259" s="294"/>
      <c r="B259" s="941"/>
      <c r="C259" s="70">
        <v>2</v>
      </c>
      <c r="D259" s="6" t="s">
        <v>645</v>
      </c>
      <c r="E259" s="6" t="s">
        <v>646</v>
      </c>
      <c r="F259" s="6" t="s">
        <v>21</v>
      </c>
      <c r="G259" s="6" t="s">
        <v>408</v>
      </c>
      <c r="H259" s="11" t="s">
        <v>679</v>
      </c>
      <c r="I259" s="11" t="str">
        <f>I258</f>
        <v>CADRE - DIRECTEUR GENERAL</v>
      </c>
      <c r="J259" s="91"/>
      <c r="K259" s="135"/>
      <c r="L259" s="127"/>
      <c r="M259" s="134"/>
      <c r="N259" s="60"/>
      <c r="O259" s="7">
        <f t="shared" ref="O259:X259" si="140">SUM(O256:O258)</f>
        <v>0</v>
      </c>
      <c r="P259" s="7">
        <f t="shared" si="140"/>
        <v>0</v>
      </c>
      <c r="Q259" s="7">
        <f t="shared" si="140"/>
        <v>0</v>
      </c>
      <c r="R259" s="7">
        <f t="shared" si="140"/>
        <v>0</v>
      </c>
      <c r="S259" s="7">
        <f t="shared" si="140"/>
        <v>0</v>
      </c>
      <c r="T259" s="7">
        <f t="shared" si="140"/>
        <v>0</v>
      </c>
      <c r="U259" s="7">
        <f t="shared" si="140"/>
        <v>0</v>
      </c>
      <c r="V259" s="7">
        <f t="shared" si="140"/>
        <v>0</v>
      </c>
      <c r="W259" s="7">
        <f t="shared" si="140"/>
        <v>0</v>
      </c>
      <c r="X259" s="7">
        <f t="shared" si="140"/>
        <v>0</v>
      </c>
      <c r="Y259" s="7"/>
      <c r="Z259" s="6" t="str">
        <f>VLOOKUP($D259,TableInputsData[],ReadMe!$M$3,FALSE)&amp;"  |  "&amp;VLOOKUP($E259,TableInputsData[],ReadMe!$M$3,FALSE)&amp;"  |  "&amp;VLOOKUP($G259,TableInputsData[],ReadMe!$M$3,FALSE)&amp;IF(AF259=1,"  |  "&amp;VLOOKUP($H259,TableInputsData[],ReadMe!$M$3,FALSE),"")</f>
        <v>DEPENSES OPERATIONNELLES  |  SALAIRES DE PERSONNEL  |  EFF_CAT07  |  COUT PAR PERSONNE ET PAR PERIODE</v>
      </c>
      <c r="AA259" s="6"/>
      <c r="AB259" s="36">
        <f>IF(SUM(O259:X259)=0,0,1)</f>
        <v>0</v>
      </c>
      <c r="AC259" s="36"/>
      <c r="AD259" s="36"/>
      <c r="AE259" s="91"/>
      <c r="AF259" s="36">
        <v>1</v>
      </c>
      <c r="AG259" s="36"/>
      <c r="AH259" s="536"/>
      <c r="AI259" s="294"/>
    </row>
    <row r="260" spans="1:35" x14ac:dyDescent="0.2">
      <c r="A260" s="294"/>
      <c r="B260" s="941"/>
      <c r="C260" s="67">
        <v>2</v>
      </c>
      <c r="D260" s="16" t="s">
        <v>645</v>
      </c>
      <c r="E260" s="16" t="s">
        <v>646</v>
      </c>
      <c r="F260" s="16" t="s">
        <v>21</v>
      </c>
      <c r="G260" s="16" t="s">
        <v>408</v>
      </c>
      <c r="H260" s="17" t="s">
        <v>29</v>
      </c>
      <c r="I260" s="17" t="str">
        <f>I259</f>
        <v>CADRE - DIRECTEUR GENERAL</v>
      </c>
      <c r="J260" s="27"/>
      <c r="K260" s="27"/>
      <c r="L260" s="97"/>
      <c r="M260" s="112"/>
      <c r="N260" s="18"/>
      <c r="O260" s="18">
        <f t="shared" ref="O260:X260" si="141">O255*O259</f>
        <v>0</v>
      </c>
      <c r="P260" s="18">
        <f t="shared" si="141"/>
        <v>0</v>
      </c>
      <c r="Q260" s="18">
        <f t="shared" si="141"/>
        <v>0</v>
      </c>
      <c r="R260" s="18">
        <f t="shared" si="141"/>
        <v>0</v>
      </c>
      <c r="S260" s="18">
        <f t="shared" si="141"/>
        <v>0</v>
      </c>
      <c r="T260" s="18">
        <f t="shared" si="141"/>
        <v>0</v>
      </c>
      <c r="U260" s="18">
        <f t="shared" si="141"/>
        <v>0</v>
      </c>
      <c r="V260" s="18">
        <f t="shared" si="141"/>
        <v>0</v>
      </c>
      <c r="W260" s="18">
        <f t="shared" si="141"/>
        <v>0</v>
      </c>
      <c r="X260" s="18">
        <f t="shared" si="141"/>
        <v>0</v>
      </c>
      <c r="Y260" s="18"/>
      <c r="Z260" s="16"/>
      <c r="AA260" s="16"/>
      <c r="AB260" s="27">
        <v>1</v>
      </c>
      <c r="AC260" s="27"/>
      <c r="AD260" s="27"/>
      <c r="AE260" s="27"/>
      <c r="AF260" s="27"/>
      <c r="AG260" s="27"/>
      <c r="AH260" s="533"/>
      <c r="AI260" s="294"/>
    </row>
    <row r="261" spans="1:35" x14ac:dyDescent="0.2">
      <c r="A261" s="294"/>
      <c r="B261" s="941"/>
      <c r="C261" s="71">
        <v>2</v>
      </c>
      <c r="D261" s="8"/>
      <c r="E261" s="8"/>
      <c r="F261" s="8"/>
      <c r="G261" s="8"/>
      <c r="H261" s="9"/>
      <c r="I261" s="9"/>
      <c r="J261" s="87"/>
      <c r="K261" s="87"/>
      <c r="L261" s="98"/>
      <c r="M261" s="113"/>
      <c r="N261" s="10"/>
      <c r="O261" s="10"/>
      <c r="P261" s="10"/>
      <c r="Q261" s="10"/>
      <c r="R261" s="10"/>
      <c r="S261" s="10"/>
      <c r="T261" s="10"/>
      <c r="U261" s="10"/>
      <c r="V261" s="10"/>
      <c r="W261" s="10"/>
      <c r="X261" s="10"/>
      <c r="Y261" s="10"/>
      <c r="Z261" s="8"/>
      <c r="AA261" s="8"/>
      <c r="AB261" s="35"/>
      <c r="AC261" s="35"/>
      <c r="AD261" s="35"/>
      <c r="AE261" s="87"/>
      <c r="AF261" s="35"/>
      <c r="AG261" s="35"/>
      <c r="AH261" s="534"/>
      <c r="AI261" s="294"/>
    </row>
    <row r="262" spans="1:35" ht="12.75" customHeight="1" x14ac:dyDescent="0.2">
      <c r="A262" s="294"/>
      <c r="B262" s="941"/>
      <c r="C262" s="66">
        <v>2</v>
      </c>
      <c r="D262" s="3" t="s">
        <v>645</v>
      </c>
      <c r="E262" s="3" t="s">
        <v>646</v>
      </c>
      <c r="F262" s="3" t="s">
        <v>1035</v>
      </c>
      <c r="G262" s="3" t="s">
        <v>409</v>
      </c>
      <c r="H262" s="5" t="s">
        <v>699</v>
      </c>
      <c r="I262" s="5" t="str">
        <f>VLOOKUP($G262,TableInputsData[],7,FALSE)</f>
        <v>EFF8</v>
      </c>
      <c r="J262" s="26"/>
      <c r="K262" s="135"/>
      <c r="L262" s="127"/>
      <c r="M262" s="134"/>
      <c r="N262" s="60"/>
      <c r="O262" s="506">
        <v>0</v>
      </c>
      <c r="P262" s="506">
        <v>0</v>
      </c>
      <c r="Q262" s="506">
        <v>0</v>
      </c>
      <c r="R262" s="506">
        <v>0</v>
      </c>
      <c r="S262" s="12">
        <f>(Q262+R262)/2</f>
        <v>0</v>
      </c>
      <c r="T262" s="506">
        <v>0</v>
      </c>
      <c r="U262" s="506">
        <v>0</v>
      </c>
      <c r="V262" s="506">
        <v>0</v>
      </c>
      <c r="W262" s="506">
        <v>0</v>
      </c>
      <c r="X262" s="506">
        <v>0</v>
      </c>
      <c r="Y262" s="606"/>
      <c r="Z262" s="3" t="str">
        <f>VLOOKUP($D262,TableInputsData[],ReadMe!$M$3,FALSE)&amp;"  |  "&amp;VLOOKUP($E262,TableInputsData[],ReadMe!$M$3,FALSE)&amp;"  |  "&amp;VLOOKUP($G262,TableInputsData[],ReadMe!$M$3,FALSE)&amp;IF(AF262=1,"  |  "&amp;VLOOKUP($H262,TableInputsData[],ReadMe!$M$3,FALSE),"")</f>
        <v>DEPENSES OPERATIONNELLES  |  SALAIRES DE PERSONNEL  |  EFF_CAT08  |  NOMBRE D'EMPLOYÉ(E)S</v>
      </c>
      <c r="AA262" s="3"/>
      <c r="AB262" s="34">
        <f>IF(SUM(O262:X262)=0,0,1)</f>
        <v>0</v>
      </c>
      <c r="AC262" s="34"/>
      <c r="AD262" s="34"/>
      <c r="AE262" s="26"/>
      <c r="AF262" s="34">
        <v>1</v>
      </c>
      <c r="AG262" s="34"/>
      <c r="AH262" s="535"/>
      <c r="AI262" s="294"/>
    </row>
    <row r="263" spans="1:35" ht="14" x14ac:dyDescent="0.2">
      <c r="A263" s="294"/>
      <c r="B263" s="941"/>
      <c r="C263" s="66">
        <v>2</v>
      </c>
      <c r="D263" s="3" t="s">
        <v>645</v>
      </c>
      <c r="E263" s="3" t="s">
        <v>646</v>
      </c>
      <c r="F263" s="3" t="s">
        <v>21</v>
      </c>
      <c r="G263" s="3" t="s">
        <v>409</v>
      </c>
      <c r="H263" s="5" t="s">
        <v>703</v>
      </c>
      <c r="I263" s="5" t="str">
        <f>I262</f>
        <v>EFF8</v>
      </c>
      <c r="J263" s="26"/>
      <c r="K263" s="135"/>
      <c r="L263" s="127"/>
      <c r="M263" s="134"/>
      <c r="N263" s="60"/>
      <c r="O263" s="504">
        <v>0</v>
      </c>
      <c r="P263" s="504">
        <v>0</v>
      </c>
      <c r="Q263" s="504">
        <v>0</v>
      </c>
      <c r="R263" s="504">
        <v>0</v>
      </c>
      <c r="S263" s="4">
        <f>IF(S262=0,0,SUMPRODUCT(Q262:R262,Q263:R263)/S262)</f>
        <v>0</v>
      </c>
      <c r="T263" s="504">
        <v>0</v>
      </c>
      <c r="U263" s="504">
        <v>0</v>
      </c>
      <c r="V263" s="504">
        <v>0</v>
      </c>
      <c r="W263" s="504">
        <v>0</v>
      </c>
      <c r="X263" s="504">
        <v>0</v>
      </c>
      <c r="Y263" s="604" t="s">
        <v>2051</v>
      </c>
      <c r="Z263" s="3" t="str">
        <f>VLOOKUP($D263,TableInputsData[],ReadMe!$M$3,FALSE)&amp;"  |  "&amp;VLOOKUP($E263,TableInputsData[],ReadMe!$M$3,FALSE)&amp;"  |  "&amp;VLOOKUP($G263,TableInputsData[],ReadMe!$M$3,FALSE)&amp;IF(AF263=1,"  |  "&amp;VLOOKUP($H263,TableInputsData[],ReadMe!$M$3,FALSE),"")</f>
        <v>DEPENSES OPERATIONNELLES  |  SALAIRES DE PERSONNEL  |  EFF_CAT08  |  SALAIRE BRUT PAR PERSONNE ET PAR PERIODE</v>
      </c>
      <c r="AA263" s="3"/>
      <c r="AB263" s="34">
        <f>IF(SUM(O263:X263)=0,0,1)</f>
        <v>0</v>
      </c>
      <c r="AC263" s="34"/>
      <c r="AD263" s="34"/>
      <c r="AE263" s="26"/>
      <c r="AF263" s="34">
        <v>1</v>
      </c>
      <c r="AG263" s="34"/>
      <c r="AH263" s="535"/>
      <c r="AI263" s="294"/>
    </row>
    <row r="264" spans="1:35" x14ac:dyDescent="0.2">
      <c r="A264" s="294"/>
      <c r="B264" s="941"/>
      <c r="C264" s="66">
        <v>2</v>
      </c>
      <c r="D264" s="3" t="s">
        <v>645</v>
      </c>
      <c r="E264" s="3" t="s">
        <v>646</v>
      </c>
      <c r="F264" s="3" t="s">
        <v>21</v>
      </c>
      <c r="G264" s="3" t="s">
        <v>409</v>
      </c>
      <c r="H264" s="5" t="s">
        <v>672</v>
      </c>
      <c r="I264" s="5" t="str">
        <f>I263</f>
        <v>EFF8</v>
      </c>
      <c r="J264" s="26"/>
      <c r="K264" s="135"/>
      <c r="L264" s="127"/>
      <c r="M264" s="134"/>
      <c r="N264" s="60"/>
      <c r="O264" s="504">
        <v>0</v>
      </c>
      <c r="P264" s="504">
        <v>0</v>
      </c>
      <c r="Q264" s="504">
        <v>0</v>
      </c>
      <c r="R264" s="504">
        <v>0</v>
      </c>
      <c r="S264" s="4">
        <f>IF(S262=0,0,SUMPRODUCT(Q262:R262,Q264:R264)/S262)</f>
        <v>0</v>
      </c>
      <c r="T264" s="504">
        <v>0</v>
      </c>
      <c r="U264" s="504">
        <v>0</v>
      </c>
      <c r="V264" s="504">
        <v>0</v>
      </c>
      <c r="W264" s="504">
        <v>0</v>
      </c>
      <c r="X264" s="504">
        <v>0</v>
      </c>
      <c r="Y264" s="604"/>
      <c r="Z264" s="3" t="str">
        <f>VLOOKUP($D264,TableInputsData[],ReadMe!$M$3,FALSE)&amp;"  |  "&amp;VLOOKUP($E264,TableInputsData[],ReadMe!$M$3,FALSE)&amp;"  |  "&amp;VLOOKUP($G264,TableInputsData[],ReadMe!$M$3,FALSE)&amp;IF(AF264=1,"  |  "&amp;VLOOKUP($H264,TableInputsData[],ReadMe!$M$3,FALSE),"")</f>
        <v>DEPENSES OPERATIONNELLES  |  SALAIRES DE PERSONNEL  |  EFF_CAT08  |  AUTRES INDEMNITÉS ET AVANTAGES DIVERS VERSES AU PERSONNEL</v>
      </c>
      <c r="AA264" s="3"/>
      <c r="AB264" s="34">
        <f>IF(SUM(O264:X264)=0,0,1)</f>
        <v>0</v>
      </c>
      <c r="AC264" s="34"/>
      <c r="AD264" s="34"/>
      <c r="AE264" s="26"/>
      <c r="AF264" s="34">
        <v>1</v>
      </c>
      <c r="AG264" s="34"/>
      <c r="AH264" s="535"/>
      <c r="AI264" s="294"/>
    </row>
    <row r="265" spans="1:35" x14ac:dyDescent="0.2">
      <c r="A265" s="294"/>
      <c r="B265" s="941"/>
      <c r="C265" s="66">
        <v>2</v>
      </c>
      <c r="D265" s="3" t="s">
        <v>645</v>
      </c>
      <c r="E265" s="3" t="s">
        <v>646</v>
      </c>
      <c r="F265" s="3" t="s">
        <v>21</v>
      </c>
      <c r="G265" s="3" t="s">
        <v>409</v>
      </c>
      <c r="H265" s="5" t="s">
        <v>677</v>
      </c>
      <c r="I265" s="5" t="str">
        <f>I264</f>
        <v>EFF8</v>
      </c>
      <c r="J265" s="802">
        <f>VLOOKUP($G265,TableInputsData[],8,FALSE)</f>
        <v>0</v>
      </c>
      <c r="K265" s="135"/>
      <c r="L265" s="127"/>
      <c r="M265" s="134"/>
      <c r="N265" s="60"/>
      <c r="O265" s="504">
        <v>0</v>
      </c>
      <c r="P265" s="504">
        <v>0</v>
      </c>
      <c r="Q265" s="504">
        <v>0</v>
      </c>
      <c r="R265" s="504">
        <v>0</v>
      </c>
      <c r="S265" s="4">
        <f>IF(S262=0,0,SUMPRODUCT(Q262:R262,Q265:R265)/S262)</f>
        <v>0</v>
      </c>
      <c r="T265" s="7">
        <f>T263*$J265</f>
        <v>0</v>
      </c>
      <c r="U265" s="7">
        <f t="shared" ref="U265:X265" si="142">U263*$J265</f>
        <v>0</v>
      </c>
      <c r="V265" s="7">
        <f t="shared" si="142"/>
        <v>0</v>
      </c>
      <c r="W265" s="7">
        <f t="shared" si="142"/>
        <v>0</v>
      </c>
      <c r="X265" s="7">
        <f t="shared" si="142"/>
        <v>0</v>
      </c>
      <c r="Y265" s="604"/>
      <c r="Z265" s="3" t="str">
        <f>VLOOKUP($D265,TableInputsData[],ReadMe!$M$3,FALSE)&amp;"  |  "&amp;VLOOKUP($E265,TableInputsData[],ReadMe!$M$3,FALSE)&amp;"  |  "&amp;VLOOKUP($G265,TableInputsData[],ReadMe!$M$3,FALSE)&amp;IF(AF265=1,"  |  "&amp;VLOOKUP($H265,TableInputsData[],ReadMe!$M$3,FALSE),"")</f>
        <v>DEPENSES OPERATIONNELLES  |  SALAIRES DE PERSONNEL  |  EFF_CAT08  |  COTISATIONS PATRONALES DE SECURITE SOCIALE</v>
      </c>
      <c r="AA265" s="3"/>
      <c r="AB265" s="34">
        <f>IF(SUM(O265:X265)=0,0,1)</f>
        <v>0</v>
      </c>
      <c r="AC265" s="34"/>
      <c r="AD265" s="34"/>
      <c r="AE265" s="26"/>
      <c r="AF265" s="34">
        <v>1</v>
      </c>
      <c r="AG265" s="34"/>
      <c r="AH265" s="535"/>
      <c r="AI265" s="294"/>
    </row>
    <row r="266" spans="1:35" x14ac:dyDescent="0.2">
      <c r="A266" s="294"/>
      <c r="B266" s="941"/>
      <c r="C266" s="70">
        <v>2</v>
      </c>
      <c r="D266" s="6" t="s">
        <v>645</v>
      </c>
      <c r="E266" s="6" t="s">
        <v>646</v>
      </c>
      <c r="F266" s="6" t="s">
        <v>21</v>
      </c>
      <c r="G266" s="6" t="s">
        <v>409</v>
      </c>
      <c r="H266" s="11" t="s">
        <v>679</v>
      </c>
      <c r="I266" s="11" t="str">
        <f>I265</f>
        <v>EFF8</v>
      </c>
      <c r="J266" s="91"/>
      <c r="K266" s="135"/>
      <c r="L266" s="127"/>
      <c r="M266" s="134"/>
      <c r="N266" s="60"/>
      <c r="O266" s="7">
        <f t="shared" ref="O266:X266" si="143">SUM(O263:O265)</f>
        <v>0</v>
      </c>
      <c r="P266" s="7">
        <f t="shared" si="143"/>
        <v>0</v>
      </c>
      <c r="Q266" s="7">
        <f t="shared" si="143"/>
        <v>0</v>
      </c>
      <c r="R266" s="7">
        <f t="shared" si="143"/>
        <v>0</v>
      </c>
      <c r="S266" s="7">
        <f t="shared" si="143"/>
        <v>0</v>
      </c>
      <c r="T266" s="7">
        <f t="shared" si="143"/>
        <v>0</v>
      </c>
      <c r="U266" s="7">
        <f t="shared" si="143"/>
        <v>0</v>
      </c>
      <c r="V266" s="7">
        <f t="shared" si="143"/>
        <v>0</v>
      </c>
      <c r="W266" s="7">
        <f t="shared" si="143"/>
        <v>0</v>
      </c>
      <c r="X266" s="7">
        <f t="shared" si="143"/>
        <v>0</v>
      </c>
      <c r="Y266" s="7"/>
      <c r="Z266" s="6" t="str">
        <f>VLOOKUP($D266,TableInputsData[],ReadMe!$M$3,FALSE)&amp;"  |  "&amp;VLOOKUP($E266,TableInputsData[],ReadMe!$M$3,FALSE)&amp;"  |  "&amp;VLOOKUP($G266,TableInputsData[],ReadMe!$M$3,FALSE)&amp;IF(AF266=1,"  |  "&amp;VLOOKUP($H266,TableInputsData[],ReadMe!$M$3,FALSE),"")</f>
        <v>DEPENSES OPERATIONNELLES  |  SALAIRES DE PERSONNEL  |  EFF_CAT08  |  COUT PAR PERSONNE ET PAR PERIODE</v>
      </c>
      <c r="AA266" s="6"/>
      <c r="AB266" s="36">
        <f>IF(SUM(O266:X266)=0,0,1)</f>
        <v>0</v>
      </c>
      <c r="AC266" s="36"/>
      <c r="AD266" s="36"/>
      <c r="AE266" s="91"/>
      <c r="AF266" s="36">
        <v>1</v>
      </c>
      <c r="AG266" s="36"/>
      <c r="AH266" s="536"/>
      <c r="AI266" s="294"/>
    </row>
    <row r="267" spans="1:35" x14ac:dyDescent="0.2">
      <c r="A267" s="294"/>
      <c r="B267" s="941"/>
      <c r="C267" s="67">
        <v>2</v>
      </c>
      <c r="D267" s="16" t="s">
        <v>645</v>
      </c>
      <c r="E267" s="16" t="s">
        <v>646</v>
      </c>
      <c r="F267" s="16" t="s">
        <v>21</v>
      </c>
      <c r="G267" s="16" t="s">
        <v>409</v>
      </c>
      <c r="H267" s="17" t="s">
        <v>29</v>
      </c>
      <c r="I267" s="17" t="str">
        <f>I266</f>
        <v>EFF8</v>
      </c>
      <c r="J267" s="27"/>
      <c r="K267" s="27"/>
      <c r="L267" s="97"/>
      <c r="M267" s="112"/>
      <c r="N267" s="18"/>
      <c r="O267" s="18">
        <f t="shared" ref="O267:X267" si="144">O262*O266</f>
        <v>0</v>
      </c>
      <c r="P267" s="18">
        <f t="shared" si="144"/>
        <v>0</v>
      </c>
      <c r="Q267" s="18">
        <f t="shared" si="144"/>
        <v>0</v>
      </c>
      <c r="R267" s="18">
        <f t="shared" si="144"/>
        <v>0</v>
      </c>
      <c r="S267" s="18">
        <f t="shared" si="144"/>
        <v>0</v>
      </c>
      <c r="T267" s="18">
        <f t="shared" si="144"/>
        <v>0</v>
      </c>
      <c r="U267" s="18">
        <f t="shared" si="144"/>
        <v>0</v>
      </c>
      <c r="V267" s="18">
        <f t="shared" si="144"/>
        <v>0</v>
      </c>
      <c r="W267" s="18">
        <f t="shared" si="144"/>
        <v>0</v>
      </c>
      <c r="X267" s="18">
        <f t="shared" si="144"/>
        <v>0</v>
      </c>
      <c r="Y267" s="18"/>
      <c r="Z267" s="16"/>
      <c r="AA267" s="16"/>
      <c r="AB267" s="27">
        <v>1</v>
      </c>
      <c r="AC267" s="27"/>
      <c r="AD267" s="27"/>
      <c r="AE267" s="27"/>
      <c r="AF267" s="27"/>
      <c r="AG267" s="27"/>
      <c r="AH267" s="533"/>
      <c r="AI267" s="294"/>
    </row>
    <row r="268" spans="1:35" x14ac:dyDescent="0.2">
      <c r="A268" s="294"/>
      <c r="B268" s="941"/>
      <c r="C268" s="71">
        <v>2</v>
      </c>
      <c r="D268" s="8"/>
      <c r="E268" s="8"/>
      <c r="F268" s="8"/>
      <c r="G268" s="8"/>
      <c r="H268" s="9"/>
      <c r="I268" s="9"/>
      <c r="J268" s="87"/>
      <c r="K268" s="87"/>
      <c r="L268" s="98"/>
      <c r="M268" s="113"/>
      <c r="N268" s="10"/>
      <c r="O268" s="10"/>
      <c r="P268" s="10"/>
      <c r="Q268" s="10"/>
      <c r="R268" s="10"/>
      <c r="S268" s="10"/>
      <c r="T268" s="10"/>
      <c r="U268" s="10"/>
      <c r="V268" s="10"/>
      <c r="W268" s="10"/>
      <c r="X268" s="10"/>
      <c r="Y268" s="10"/>
      <c r="Z268" s="8"/>
      <c r="AA268" s="8"/>
      <c r="AB268" s="35"/>
      <c r="AC268" s="35"/>
      <c r="AD268" s="35"/>
      <c r="AE268" s="87"/>
      <c r="AF268" s="35"/>
      <c r="AG268" s="35"/>
      <c r="AH268" s="534"/>
      <c r="AI268" s="294"/>
    </row>
    <row r="269" spans="1:35" ht="12.75" customHeight="1" x14ac:dyDescent="0.2">
      <c r="A269" s="294"/>
      <c r="B269" s="941"/>
      <c r="C269" s="66">
        <v>2</v>
      </c>
      <c r="D269" s="3" t="s">
        <v>645</v>
      </c>
      <c r="E269" s="3" t="s">
        <v>646</v>
      </c>
      <c r="F269" s="3" t="s">
        <v>1035</v>
      </c>
      <c r="G269" s="3" t="s">
        <v>410</v>
      </c>
      <c r="H269" s="5" t="s">
        <v>699</v>
      </c>
      <c r="I269" s="5" t="str">
        <f>VLOOKUP($G269,TableInputsData[],7,FALSE)</f>
        <v>EFF9</v>
      </c>
      <c r="J269" s="26"/>
      <c r="K269" s="135"/>
      <c r="L269" s="127"/>
      <c r="M269" s="134"/>
      <c r="N269" s="60"/>
      <c r="O269" s="506">
        <v>0</v>
      </c>
      <c r="P269" s="506">
        <v>0</v>
      </c>
      <c r="Q269" s="506">
        <v>0</v>
      </c>
      <c r="R269" s="506">
        <v>0</v>
      </c>
      <c r="S269" s="12">
        <f>(Q269+R269)/2</f>
        <v>0</v>
      </c>
      <c r="T269" s="506">
        <v>0</v>
      </c>
      <c r="U269" s="506">
        <v>0</v>
      </c>
      <c r="V269" s="506">
        <v>0</v>
      </c>
      <c r="W269" s="506">
        <v>0</v>
      </c>
      <c r="X269" s="506">
        <v>0</v>
      </c>
      <c r="Y269" s="606"/>
      <c r="Z269" s="3" t="str">
        <f>VLOOKUP($D269,TableInputsData[],ReadMe!$M$3,FALSE)&amp;"  |  "&amp;VLOOKUP($E269,TableInputsData[],ReadMe!$M$3,FALSE)&amp;"  |  "&amp;VLOOKUP($G269,TableInputsData[],ReadMe!$M$3,FALSE)&amp;IF(AF269=1,"  |  "&amp;VLOOKUP($H269,TableInputsData[],ReadMe!$M$3,FALSE),"")</f>
        <v>DEPENSES OPERATIONNELLES  |  SALAIRES DE PERSONNEL  |  EFF_CAT09  |  NOMBRE D'EMPLOYÉ(E)S</v>
      </c>
      <c r="AA269" s="3"/>
      <c r="AB269" s="34">
        <f>IF(SUM(O269:X269)=0,0,1)</f>
        <v>0</v>
      </c>
      <c r="AC269" s="34"/>
      <c r="AD269" s="34"/>
      <c r="AE269" s="26"/>
      <c r="AF269" s="34">
        <v>1</v>
      </c>
      <c r="AG269" s="34"/>
      <c r="AH269" s="535"/>
      <c r="AI269" s="294"/>
    </row>
    <row r="270" spans="1:35" ht="14" x14ac:dyDescent="0.2">
      <c r="A270" s="294"/>
      <c r="B270" s="941"/>
      <c r="C270" s="66">
        <v>2</v>
      </c>
      <c r="D270" s="3" t="s">
        <v>645</v>
      </c>
      <c r="E270" s="3" t="s">
        <v>646</v>
      </c>
      <c r="F270" s="3" t="s">
        <v>21</v>
      </c>
      <c r="G270" s="3" t="s">
        <v>410</v>
      </c>
      <c r="H270" s="5" t="s">
        <v>703</v>
      </c>
      <c r="I270" s="5" t="str">
        <f>I269</f>
        <v>EFF9</v>
      </c>
      <c r="J270" s="26"/>
      <c r="K270" s="135"/>
      <c r="L270" s="127"/>
      <c r="M270" s="134"/>
      <c r="N270" s="60"/>
      <c r="O270" s="504">
        <v>0</v>
      </c>
      <c r="P270" s="504">
        <v>0</v>
      </c>
      <c r="Q270" s="504">
        <v>0</v>
      </c>
      <c r="R270" s="504">
        <v>0</v>
      </c>
      <c r="S270" s="4">
        <f>IF(S269=0,0,SUMPRODUCT(Q269:R269,Q270:R270)/S269)</f>
        <v>0</v>
      </c>
      <c r="T270" s="504">
        <v>0</v>
      </c>
      <c r="U270" s="504">
        <v>0</v>
      </c>
      <c r="V270" s="504">
        <v>0</v>
      </c>
      <c r="W270" s="504">
        <v>0</v>
      </c>
      <c r="X270" s="504">
        <v>0</v>
      </c>
      <c r="Y270" s="604" t="s">
        <v>2051</v>
      </c>
      <c r="Z270" s="3" t="str">
        <f>VLOOKUP($D270,TableInputsData[],ReadMe!$M$3,FALSE)&amp;"  |  "&amp;VLOOKUP($E270,TableInputsData[],ReadMe!$M$3,FALSE)&amp;"  |  "&amp;VLOOKUP($G270,TableInputsData[],ReadMe!$M$3,FALSE)&amp;IF(AF270=1,"  |  "&amp;VLOOKUP($H270,TableInputsData[],ReadMe!$M$3,FALSE),"")</f>
        <v>DEPENSES OPERATIONNELLES  |  SALAIRES DE PERSONNEL  |  EFF_CAT09  |  SALAIRE BRUT PAR PERSONNE ET PAR PERIODE</v>
      </c>
      <c r="AA270" s="3"/>
      <c r="AB270" s="34">
        <f>IF(SUM(O270:X270)=0,0,1)</f>
        <v>0</v>
      </c>
      <c r="AC270" s="34"/>
      <c r="AD270" s="34"/>
      <c r="AE270" s="26"/>
      <c r="AF270" s="34">
        <v>1</v>
      </c>
      <c r="AG270" s="34"/>
      <c r="AH270" s="535"/>
      <c r="AI270" s="294"/>
    </row>
    <row r="271" spans="1:35" x14ac:dyDescent="0.2">
      <c r="A271" s="294"/>
      <c r="B271" s="941"/>
      <c r="C271" s="66">
        <v>2</v>
      </c>
      <c r="D271" s="3" t="s">
        <v>645</v>
      </c>
      <c r="E271" s="3" t="s">
        <v>646</v>
      </c>
      <c r="F271" s="3" t="s">
        <v>21</v>
      </c>
      <c r="G271" s="3" t="s">
        <v>410</v>
      </c>
      <c r="H271" s="5" t="s">
        <v>672</v>
      </c>
      <c r="I271" s="5" t="str">
        <f>I270</f>
        <v>EFF9</v>
      </c>
      <c r="J271" s="26"/>
      <c r="K271" s="135"/>
      <c r="L271" s="127"/>
      <c r="M271" s="134"/>
      <c r="N271" s="60"/>
      <c r="O271" s="504">
        <v>0</v>
      </c>
      <c r="P271" s="504">
        <v>0</v>
      </c>
      <c r="Q271" s="504">
        <v>0</v>
      </c>
      <c r="R271" s="504">
        <v>0</v>
      </c>
      <c r="S271" s="4">
        <f>IF(S269=0,0,SUMPRODUCT(Q269:R269,Q271:R271)/S269)</f>
        <v>0</v>
      </c>
      <c r="T271" s="504">
        <v>0</v>
      </c>
      <c r="U271" s="504">
        <v>0</v>
      </c>
      <c r="V271" s="504">
        <v>0</v>
      </c>
      <c r="W271" s="504">
        <v>0</v>
      </c>
      <c r="X271" s="504">
        <v>0</v>
      </c>
      <c r="Y271" s="604"/>
      <c r="Z271" s="3" t="str">
        <f>VLOOKUP($D271,TableInputsData[],ReadMe!$M$3,FALSE)&amp;"  |  "&amp;VLOOKUP($E271,TableInputsData[],ReadMe!$M$3,FALSE)&amp;"  |  "&amp;VLOOKUP($G271,TableInputsData[],ReadMe!$M$3,FALSE)&amp;IF(AF271=1,"  |  "&amp;VLOOKUP($H271,TableInputsData[],ReadMe!$M$3,FALSE),"")</f>
        <v>DEPENSES OPERATIONNELLES  |  SALAIRES DE PERSONNEL  |  EFF_CAT09  |  AUTRES INDEMNITÉS ET AVANTAGES DIVERS VERSES AU PERSONNEL</v>
      </c>
      <c r="AA271" s="3"/>
      <c r="AB271" s="34">
        <f>IF(SUM(O271:X271)=0,0,1)</f>
        <v>0</v>
      </c>
      <c r="AC271" s="34"/>
      <c r="AD271" s="34"/>
      <c r="AE271" s="26"/>
      <c r="AF271" s="34">
        <v>1</v>
      </c>
      <c r="AG271" s="34"/>
      <c r="AH271" s="535"/>
      <c r="AI271" s="294"/>
    </row>
    <row r="272" spans="1:35" x14ac:dyDescent="0.2">
      <c r="A272" s="294"/>
      <c r="B272" s="941"/>
      <c r="C272" s="66">
        <v>2</v>
      </c>
      <c r="D272" s="3" t="s">
        <v>645</v>
      </c>
      <c r="E272" s="3" t="s">
        <v>646</v>
      </c>
      <c r="F272" s="3" t="s">
        <v>21</v>
      </c>
      <c r="G272" s="3" t="s">
        <v>410</v>
      </c>
      <c r="H272" s="5" t="s">
        <v>677</v>
      </c>
      <c r="I272" s="5" t="str">
        <f>I271</f>
        <v>EFF9</v>
      </c>
      <c r="J272" s="802">
        <f>VLOOKUP($G272,TableInputsData[],8,FALSE)</f>
        <v>0</v>
      </c>
      <c r="K272" s="135"/>
      <c r="L272" s="127"/>
      <c r="M272" s="134"/>
      <c r="N272" s="60"/>
      <c r="O272" s="504">
        <v>0</v>
      </c>
      <c r="P272" s="504">
        <v>0</v>
      </c>
      <c r="Q272" s="504">
        <v>0</v>
      </c>
      <c r="R272" s="504">
        <v>0</v>
      </c>
      <c r="S272" s="4">
        <f>IF(S269=0,0,SUMPRODUCT(Q269:R269,Q272:R272)/S269)</f>
        <v>0</v>
      </c>
      <c r="T272" s="7">
        <f>T270*$J272</f>
        <v>0</v>
      </c>
      <c r="U272" s="7">
        <f t="shared" ref="U272:X272" si="145">U270*$J272</f>
        <v>0</v>
      </c>
      <c r="V272" s="7">
        <f t="shared" si="145"/>
        <v>0</v>
      </c>
      <c r="W272" s="7">
        <f t="shared" si="145"/>
        <v>0</v>
      </c>
      <c r="X272" s="7">
        <f t="shared" si="145"/>
        <v>0</v>
      </c>
      <c r="Y272" s="604"/>
      <c r="Z272" s="3" t="str">
        <f>VLOOKUP($D272,TableInputsData[],ReadMe!$M$3,FALSE)&amp;"  |  "&amp;VLOOKUP($E272,TableInputsData[],ReadMe!$M$3,FALSE)&amp;"  |  "&amp;VLOOKUP($G272,TableInputsData[],ReadMe!$M$3,FALSE)&amp;IF(AF272=1,"  |  "&amp;VLOOKUP($H272,TableInputsData[],ReadMe!$M$3,FALSE),"")</f>
        <v>DEPENSES OPERATIONNELLES  |  SALAIRES DE PERSONNEL  |  EFF_CAT09  |  COTISATIONS PATRONALES DE SECURITE SOCIALE</v>
      </c>
      <c r="AA272" s="3"/>
      <c r="AB272" s="34">
        <f>IF(SUM(O272:X272)=0,0,1)</f>
        <v>0</v>
      </c>
      <c r="AC272" s="34"/>
      <c r="AD272" s="34"/>
      <c r="AE272" s="26"/>
      <c r="AF272" s="34">
        <v>1</v>
      </c>
      <c r="AG272" s="34"/>
      <c r="AH272" s="535"/>
      <c r="AI272" s="294"/>
    </row>
    <row r="273" spans="1:35" x14ac:dyDescent="0.2">
      <c r="A273" s="294"/>
      <c r="B273" s="941"/>
      <c r="C273" s="70">
        <v>2</v>
      </c>
      <c r="D273" s="6" t="s">
        <v>645</v>
      </c>
      <c r="E273" s="6" t="s">
        <v>646</v>
      </c>
      <c r="F273" s="6" t="s">
        <v>21</v>
      </c>
      <c r="G273" s="6" t="s">
        <v>410</v>
      </c>
      <c r="H273" s="11" t="s">
        <v>679</v>
      </c>
      <c r="I273" s="11" t="str">
        <f>I272</f>
        <v>EFF9</v>
      </c>
      <c r="J273" s="91"/>
      <c r="K273" s="135"/>
      <c r="L273" s="127"/>
      <c r="M273" s="134"/>
      <c r="N273" s="60"/>
      <c r="O273" s="7">
        <f t="shared" ref="O273:X273" si="146">SUM(O270:O272)</f>
        <v>0</v>
      </c>
      <c r="P273" s="7">
        <f t="shared" si="146"/>
        <v>0</v>
      </c>
      <c r="Q273" s="7">
        <f t="shared" si="146"/>
        <v>0</v>
      </c>
      <c r="R273" s="7">
        <f t="shared" si="146"/>
        <v>0</v>
      </c>
      <c r="S273" s="7">
        <f t="shared" si="146"/>
        <v>0</v>
      </c>
      <c r="T273" s="7">
        <f t="shared" si="146"/>
        <v>0</v>
      </c>
      <c r="U273" s="7">
        <f t="shared" si="146"/>
        <v>0</v>
      </c>
      <c r="V273" s="7">
        <f t="shared" si="146"/>
        <v>0</v>
      </c>
      <c r="W273" s="7">
        <f t="shared" si="146"/>
        <v>0</v>
      </c>
      <c r="X273" s="7">
        <f t="shared" si="146"/>
        <v>0</v>
      </c>
      <c r="Y273" s="7"/>
      <c r="Z273" s="6" t="str">
        <f>VLOOKUP($D273,TableInputsData[],ReadMe!$M$3,FALSE)&amp;"  |  "&amp;VLOOKUP($E273,TableInputsData[],ReadMe!$M$3,FALSE)&amp;"  |  "&amp;VLOOKUP($G273,TableInputsData[],ReadMe!$M$3,FALSE)&amp;IF(AF273=1,"  |  "&amp;VLOOKUP($H273,TableInputsData[],ReadMe!$M$3,FALSE),"")</f>
        <v>DEPENSES OPERATIONNELLES  |  SALAIRES DE PERSONNEL  |  EFF_CAT09  |  COUT PAR PERSONNE ET PAR PERIODE</v>
      </c>
      <c r="AA273" s="6"/>
      <c r="AB273" s="36">
        <f>IF(SUM(O273:X273)=0,0,1)</f>
        <v>0</v>
      </c>
      <c r="AC273" s="36"/>
      <c r="AD273" s="36"/>
      <c r="AE273" s="91"/>
      <c r="AF273" s="36">
        <v>1</v>
      </c>
      <c r="AG273" s="36"/>
      <c r="AH273" s="536"/>
      <c r="AI273" s="294"/>
    </row>
    <row r="274" spans="1:35" x14ac:dyDescent="0.2">
      <c r="A274" s="294"/>
      <c r="B274" s="941"/>
      <c r="C274" s="67">
        <v>2</v>
      </c>
      <c r="D274" s="16" t="s">
        <v>645</v>
      </c>
      <c r="E274" s="16" t="s">
        <v>646</v>
      </c>
      <c r="F274" s="16" t="s">
        <v>21</v>
      </c>
      <c r="G274" s="16" t="s">
        <v>410</v>
      </c>
      <c r="H274" s="17" t="s">
        <v>29</v>
      </c>
      <c r="I274" s="17" t="str">
        <f>I273</f>
        <v>EFF9</v>
      </c>
      <c r="J274" s="27"/>
      <c r="K274" s="27"/>
      <c r="L274" s="97"/>
      <c r="M274" s="112"/>
      <c r="N274" s="18"/>
      <c r="O274" s="18">
        <f t="shared" ref="O274:X274" si="147">O269*O273</f>
        <v>0</v>
      </c>
      <c r="P274" s="18">
        <f t="shared" si="147"/>
        <v>0</v>
      </c>
      <c r="Q274" s="18">
        <f t="shared" si="147"/>
        <v>0</v>
      </c>
      <c r="R274" s="18">
        <f t="shared" si="147"/>
        <v>0</v>
      </c>
      <c r="S274" s="18">
        <f t="shared" si="147"/>
        <v>0</v>
      </c>
      <c r="T274" s="18">
        <f t="shared" si="147"/>
        <v>0</v>
      </c>
      <c r="U274" s="18">
        <f t="shared" si="147"/>
        <v>0</v>
      </c>
      <c r="V274" s="18">
        <f t="shared" si="147"/>
        <v>0</v>
      </c>
      <c r="W274" s="18">
        <f t="shared" si="147"/>
        <v>0</v>
      </c>
      <c r="X274" s="18">
        <f t="shared" si="147"/>
        <v>0</v>
      </c>
      <c r="Y274" s="18"/>
      <c r="Z274" s="16"/>
      <c r="AA274" s="16"/>
      <c r="AB274" s="27">
        <v>1</v>
      </c>
      <c r="AC274" s="27"/>
      <c r="AD274" s="27"/>
      <c r="AE274" s="27"/>
      <c r="AF274" s="27"/>
      <c r="AG274" s="27"/>
      <c r="AH274" s="533"/>
      <c r="AI274" s="294"/>
    </row>
    <row r="275" spans="1:35" x14ac:dyDescent="0.2">
      <c r="A275" s="294"/>
      <c r="B275" s="941"/>
      <c r="C275" s="71">
        <v>2</v>
      </c>
      <c r="D275" s="8"/>
      <c r="E275" s="8"/>
      <c r="F275" s="8"/>
      <c r="G275" s="8"/>
      <c r="H275" s="9"/>
      <c r="I275" s="9"/>
      <c r="J275" s="87"/>
      <c r="K275" s="87"/>
      <c r="L275" s="98"/>
      <c r="M275" s="113"/>
      <c r="N275" s="10"/>
      <c r="O275" s="10"/>
      <c r="P275" s="10"/>
      <c r="Q275" s="10"/>
      <c r="R275" s="10"/>
      <c r="S275" s="10"/>
      <c r="T275" s="10"/>
      <c r="U275" s="10"/>
      <c r="V275" s="10"/>
      <c r="W275" s="10"/>
      <c r="X275" s="10"/>
      <c r="Y275" s="10"/>
      <c r="Z275" s="8"/>
      <c r="AA275" s="8"/>
      <c r="AB275" s="35"/>
      <c r="AC275" s="35"/>
      <c r="AD275" s="35"/>
      <c r="AE275" s="87"/>
      <c r="AF275" s="35"/>
      <c r="AG275" s="35"/>
      <c r="AH275" s="534"/>
      <c r="AI275" s="294"/>
    </row>
    <row r="276" spans="1:35" ht="12.75" customHeight="1" x14ac:dyDescent="0.2">
      <c r="A276" s="294"/>
      <c r="B276" s="941"/>
      <c r="C276" s="66">
        <v>2</v>
      </c>
      <c r="D276" s="3" t="s">
        <v>645</v>
      </c>
      <c r="E276" s="3" t="s">
        <v>646</v>
      </c>
      <c r="F276" s="3" t="s">
        <v>1035</v>
      </c>
      <c r="G276" s="3" t="s">
        <v>411</v>
      </c>
      <c r="H276" s="5" t="s">
        <v>699</v>
      </c>
      <c r="I276" s="5" t="str">
        <f>VLOOKUP($G276,TableInputsData[],7,FALSE)</f>
        <v>EFF10</v>
      </c>
      <c r="J276" s="26"/>
      <c r="K276" s="135"/>
      <c r="L276" s="127"/>
      <c r="M276" s="134"/>
      <c r="N276" s="60"/>
      <c r="O276" s="506">
        <v>0</v>
      </c>
      <c r="P276" s="506">
        <v>0</v>
      </c>
      <c r="Q276" s="506">
        <v>0</v>
      </c>
      <c r="R276" s="506">
        <v>0</v>
      </c>
      <c r="S276" s="12">
        <f>(Q276+R276)/2</f>
        <v>0</v>
      </c>
      <c r="T276" s="506">
        <v>0</v>
      </c>
      <c r="U276" s="506">
        <v>0</v>
      </c>
      <c r="V276" s="506">
        <v>0</v>
      </c>
      <c r="W276" s="506">
        <v>0</v>
      </c>
      <c r="X276" s="506">
        <v>0</v>
      </c>
      <c r="Y276" s="606"/>
      <c r="Z276" s="3" t="str">
        <f>VLOOKUP($D276,TableInputsData[],ReadMe!$M$3,FALSE)&amp;"  |  "&amp;VLOOKUP($E276,TableInputsData[],ReadMe!$M$3,FALSE)&amp;"  |  "&amp;VLOOKUP($G276,TableInputsData[],ReadMe!$M$3,FALSE)&amp;IF(AF276=1,"  |  "&amp;VLOOKUP($H276,TableInputsData[],ReadMe!$M$3,FALSE),"")</f>
        <v>DEPENSES OPERATIONNELLES  |  SALAIRES DE PERSONNEL  |  EFF_CAT10  |  NOMBRE D'EMPLOYÉ(E)S</v>
      </c>
      <c r="AA276" s="3"/>
      <c r="AB276" s="34">
        <f>IF(SUM(O276:X276)=0,0,1)</f>
        <v>0</v>
      </c>
      <c r="AC276" s="34"/>
      <c r="AD276" s="34"/>
      <c r="AE276" s="26"/>
      <c r="AF276" s="34">
        <v>1</v>
      </c>
      <c r="AG276" s="34"/>
      <c r="AH276" s="535"/>
      <c r="AI276" s="294"/>
    </row>
    <row r="277" spans="1:35" ht="14" x14ac:dyDescent="0.2">
      <c r="A277" s="294"/>
      <c r="B277" s="941"/>
      <c r="C277" s="66">
        <v>2</v>
      </c>
      <c r="D277" s="3" t="s">
        <v>645</v>
      </c>
      <c r="E277" s="3" t="s">
        <v>646</v>
      </c>
      <c r="F277" s="3" t="s">
        <v>21</v>
      </c>
      <c r="G277" s="3" t="s">
        <v>411</v>
      </c>
      <c r="H277" s="5" t="s">
        <v>703</v>
      </c>
      <c r="I277" s="5" t="str">
        <f>I276</f>
        <v>EFF10</v>
      </c>
      <c r="J277" s="26"/>
      <c r="K277" s="135"/>
      <c r="L277" s="127"/>
      <c r="M277" s="134"/>
      <c r="N277" s="60"/>
      <c r="O277" s="504">
        <v>0</v>
      </c>
      <c r="P277" s="504">
        <v>0</v>
      </c>
      <c r="Q277" s="504">
        <v>0</v>
      </c>
      <c r="R277" s="504">
        <v>0</v>
      </c>
      <c r="S277" s="4">
        <f>IF(S276=0,0,SUMPRODUCT(Q276:R276,Q277:R277)/S276)</f>
        <v>0</v>
      </c>
      <c r="T277" s="504">
        <v>0</v>
      </c>
      <c r="U277" s="504">
        <v>0</v>
      </c>
      <c r="V277" s="504">
        <v>0</v>
      </c>
      <c r="W277" s="504">
        <v>0</v>
      </c>
      <c r="X277" s="504">
        <v>0</v>
      </c>
      <c r="Y277" s="604" t="s">
        <v>2051</v>
      </c>
      <c r="Z277" s="3" t="str">
        <f>VLOOKUP($D277,TableInputsData[],ReadMe!$M$3,FALSE)&amp;"  |  "&amp;VLOOKUP($E277,TableInputsData[],ReadMe!$M$3,FALSE)&amp;"  |  "&amp;VLOOKUP($G277,TableInputsData[],ReadMe!$M$3,FALSE)&amp;IF(AF277=1,"  |  "&amp;VLOOKUP($H277,TableInputsData[],ReadMe!$M$3,FALSE),"")</f>
        <v>DEPENSES OPERATIONNELLES  |  SALAIRES DE PERSONNEL  |  EFF_CAT10  |  SALAIRE BRUT PAR PERSONNE ET PAR PERIODE</v>
      </c>
      <c r="AA277" s="3"/>
      <c r="AB277" s="34">
        <f>IF(SUM(O277:X277)=0,0,1)</f>
        <v>0</v>
      </c>
      <c r="AC277" s="34"/>
      <c r="AD277" s="34"/>
      <c r="AE277" s="26"/>
      <c r="AF277" s="34">
        <v>1</v>
      </c>
      <c r="AG277" s="34"/>
      <c r="AH277" s="535"/>
      <c r="AI277" s="294"/>
    </row>
    <row r="278" spans="1:35" x14ac:dyDescent="0.2">
      <c r="A278" s="294"/>
      <c r="B278" s="941"/>
      <c r="C278" s="66">
        <v>2</v>
      </c>
      <c r="D278" s="3" t="s">
        <v>645</v>
      </c>
      <c r="E278" s="3" t="s">
        <v>646</v>
      </c>
      <c r="F278" s="3" t="s">
        <v>21</v>
      </c>
      <c r="G278" s="3" t="s">
        <v>411</v>
      </c>
      <c r="H278" s="5" t="s">
        <v>672</v>
      </c>
      <c r="I278" s="5" t="str">
        <f>I277</f>
        <v>EFF10</v>
      </c>
      <c r="J278" s="26"/>
      <c r="K278" s="135"/>
      <c r="L278" s="127"/>
      <c r="M278" s="134"/>
      <c r="N278" s="60"/>
      <c r="O278" s="504">
        <v>0</v>
      </c>
      <c r="P278" s="504">
        <v>0</v>
      </c>
      <c r="Q278" s="504">
        <v>0</v>
      </c>
      <c r="R278" s="504">
        <v>0</v>
      </c>
      <c r="S278" s="4">
        <f>IF(S276=0,0,SUMPRODUCT(Q276:R276,Q278:R278)/S276)</f>
        <v>0</v>
      </c>
      <c r="T278" s="504">
        <v>0</v>
      </c>
      <c r="U278" s="504">
        <v>0</v>
      </c>
      <c r="V278" s="504">
        <v>0</v>
      </c>
      <c r="W278" s="504">
        <v>0</v>
      </c>
      <c r="X278" s="504">
        <v>0</v>
      </c>
      <c r="Y278" s="604"/>
      <c r="Z278" s="3" t="str">
        <f>VLOOKUP($D278,TableInputsData[],ReadMe!$M$3,FALSE)&amp;"  |  "&amp;VLOOKUP($E278,TableInputsData[],ReadMe!$M$3,FALSE)&amp;"  |  "&amp;VLOOKUP($G278,TableInputsData[],ReadMe!$M$3,FALSE)&amp;IF(AF278=1,"  |  "&amp;VLOOKUP($H278,TableInputsData[],ReadMe!$M$3,FALSE),"")</f>
        <v>DEPENSES OPERATIONNELLES  |  SALAIRES DE PERSONNEL  |  EFF_CAT10  |  AUTRES INDEMNITÉS ET AVANTAGES DIVERS VERSES AU PERSONNEL</v>
      </c>
      <c r="AA278" s="3"/>
      <c r="AB278" s="34">
        <f>IF(SUM(O278:X278)=0,0,1)</f>
        <v>0</v>
      </c>
      <c r="AC278" s="34"/>
      <c r="AD278" s="34"/>
      <c r="AE278" s="26"/>
      <c r="AF278" s="34">
        <v>1</v>
      </c>
      <c r="AG278" s="34"/>
      <c r="AH278" s="535"/>
      <c r="AI278" s="294"/>
    </row>
    <row r="279" spans="1:35" x14ac:dyDescent="0.2">
      <c r="A279" s="294"/>
      <c r="B279" s="941"/>
      <c r="C279" s="66">
        <v>2</v>
      </c>
      <c r="D279" s="3" t="s">
        <v>645</v>
      </c>
      <c r="E279" s="3" t="s">
        <v>646</v>
      </c>
      <c r="F279" s="3" t="s">
        <v>21</v>
      </c>
      <c r="G279" s="3" t="s">
        <v>411</v>
      </c>
      <c r="H279" s="5" t="s">
        <v>677</v>
      </c>
      <c r="I279" s="5" t="str">
        <f>I278</f>
        <v>EFF10</v>
      </c>
      <c r="J279" s="802">
        <f>VLOOKUP($G279,TableInputsData[],8,FALSE)</f>
        <v>0</v>
      </c>
      <c r="K279" s="135"/>
      <c r="L279" s="127"/>
      <c r="M279" s="134"/>
      <c r="N279" s="60"/>
      <c r="O279" s="504">
        <v>0</v>
      </c>
      <c r="P279" s="504">
        <v>0</v>
      </c>
      <c r="Q279" s="504">
        <v>0</v>
      </c>
      <c r="R279" s="504">
        <v>0</v>
      </c>
      <c r="S279" s="4">
        <f>IF(S276=0,0,SUMPRODUCT(Q276:R276,Q279:R279)/S276)</f>
        <v>0</v>
      </c>
      <c r="T279" s="4">
        <f>T277*$J279</f>
        <v>0</v>
      </c>
      <c r="U279" s="4">
        <f t="shared" ref="U279:X279" si="148">U277*$J279</f>
        <v>0</v>
      </c>
      <c r="V279" s="4">
        <f t="shared" si="148"/>
        <v>0</v>
      </c>
      <c r="W279" s="4">
        <f t="shared" si="148"/>
        <v>0</v>
      </c>
      <c r="X279" s="4">
        <f t="shared" si="148"/>
        <v>0</v>
      </c>
      <c r="Y279" s="604"/>
      <c r="Z279" s="3" t="str">
        <f>VLOOKUP($D279,TableInputsData[],ReadMe!$M$3,FALSE)&amp;"  |  "&amp;VLOOKUP($E279,TableInputsData[],ReadMe!$M$3,FALSE)&amp;"  |  "&amp;VLOOKUP($G279,TableInputsData[],ReadMe!$M$3,FALSE)&amp;IF(AF279=1,"  |  "&amp;VLOOKUP($H279,TableInputsData[],ReadMe!$M$3,FALSE),"")</f>
        <v>DEPENSES OPERATIONNELLES  |  SALAIRES DE PERSONNEL  |  EFF_CAT10  |  COTISATIONS PATRONALES DE SECURITE SOCIALE</v>
      </c>
      <c r="AA279" s="3"/>
      <c r="AB279" s="34">
        <f>IF(SUM(O279:X279)=0,0,1)</f>
        <v>0</v>
      </c>
      <c r="AC279" s="34"/>
      <c r="AD279" s="34"/>
      <c r="AE279" s="26"/>
      <c r="AF279" s="34">
        <v>1</v>
      </c>
      <c r="AG279" s="34"/>
      <c r="AH279" s="535"/>
      <c r="AI279" s="294"/>
    </row>
    <row r="280" spans="1:35" x14ac:dyDescent="0.2">
      <c r="A280" s="294"/>
      <c r="B280" s="941"/>
      <c r="C280" s="70">
        <v>2</v>
      </c>
      <c r="D280" s="6" t="s">
        <v>645</v>
      </c>
      <c r="E280" s="6" t="s">
        <v>646</v>
      </c>
      <c r="F280" s="6" t="s">
        <v>21</v>
      </c>
      <c r="G280" s="6" t="s">
        <v>411</v>
      </c>
      <c r="H280" s="11" t="s">
        <v>679</v>
      </c>
      <c r="I280" s="11" t="str">
        <f>I279</f>
        <v>EFF10</v>
      </c>
      <c r="J280" s="91"/>
      <c r="K280" s="135"/>
      <c r="L280" s="127"/>
      <c r="M280" s="134"/>
      <c r="N280" s="60"/>
      <c r="O280" s="7">
        <f t="shared" ref="O280:X280" si="149">SUM(O277:O279)</f>
        <v>0</v>
      </c>
      <c r="P280" s="7">
        <f t="shared" si="149"/>
        <v>0</v>
      </c>
      <c r="Q280" s="7">
        <f t="shared" si="149"/>
        <v>0</v>
      </c>
      <c r="R280" s="7">
        <f t="shared" si="149"/>
        <v>0</v>
      </c>
      <c r="S280" s="7">
        <f t="shared" si="149"/>
        <v>0</v>
      </c>
      <c r="T280" s="7">
        <f t="shared" si="149"/>
        <v>0</v>
      </c>
      <c r="U280" s="7">
        <f t="shared" si="149"/>
        <v>0</v>
      </c>
      <c r="V280" s="7">
        <f t="shared" si="149"/>
        <v>0</v>
      </c>
      <c r="W280" s="7">
        <f t="shared" si="149"/>
        <v>0</v>
      </c>
      <c r="X280" s="7">
        <f t="shared" si="149"/>
        <v>0</v>
      </c>
      <c r="Y280" s="7"/>
      <c r="Z280" s="6" t="str">
        <f>VLOOKUP($D280,TableInputsData[],ReadMe!$M$3,FALSE)&amp;"  |  "&amp;VLOOKUP($E280,TableInputsData[],ReadMe!$M$3,FALSE)&amp;"  |  "&amp;VLOOKUP($G280,TableInputsData[],ReadMe!$M$3,FALSE)&amp;IF(AF280=1,"  |  "&amp;VLOOKUP($H280,TableInputsData[],ReadMe!$M$3,FALSE),"")</f>
        <v>DEPENSES OPERATIONNELLES  |  SALAIRES DE PERSONNEL  |  EFF_CAT10  |  COUT PAR PERSONNE ET PAR PERIODE</v>
      </c>
      <c r="AA280" s="6"/>
      <c r="AB280" s="36">
        <f>IF(SUM(O280:X280)=0,0,1)</f>
        <v>0</v>
      </c>
      <c r="AC280" s="36"/>
      <c r="AD280" s="36"/>
      <c r="AE280" s="91"/>
      <c r="AF280" s="36">
        <v>1</v>
      </c>
      <c r="AG280" s="36"/>
      <c r="AH280" s="536"/>
      <c r="AI280" s="294"/>
    </row>
    <row r="281" spans="1:35" x14ac:dyDescent="0.2">
      <c r="A281" s="294"/>
      <c r="B281" s="941"/>
      <c r="C281" s="67">
        <v>2</v>
      </c>
      <c r="D281" s="16" t="s">
        <v>645</v>
      </c>
      <c r="E281" s="16" t="s">
        <v>646</v>
      </c>
      <c r="F281" s="16" t="s">
        <v>21</v>
      </c>
      <c r="G281" s="16" t="s">
        <v>411</v>
      </c>
      <c r="H281" s="17" t="s">
        <v>29</v>
      </c>
      <c r="I281" s="17" t="str">
        <f>I280</f>
        <v>EFF10</v>
      </c>
      <c r="J281" s="27"/>
      <c r="K281" s="27"/>
      <c r="L281" s="97"/>
      <c r="M281" s="112"/>
      <c r="N281" s="18"/>
      <c r="O281" s="18">
        <f t="shared" ref="O281:X281" si="150">O276*O280</f>
        <v>0</v>
      </c>
      <c r="P281" s="18">
        <f t="shared" si="150"/>
        <v>0</v>
      </c>
      <c r="Q281" s="18">
        <f t="shared" si="150"/>
        <v>0</v>
      </c>
      <c r="R281" s="18">
        <f t="shared" si="150"/>
        <v>0</v>
      </c>
      <c r="S281" s="18">
        <f t="shared" si="150"/>
        <v>0</v>
      </c>
      <c r="T281" s="18">
        <f t="shared" si="150"/>
        <v>0</v>
      </c>
      <c r="U281" s="18">
        <f t="shared" si="150"/>
        <v>0</v>
      </c>
      <c r="V281" s="18">
        <f t="shared" si="150"/>
        <v>0</v>
      </c>
      <c r="W281" s="18">
        <f t="shared" si="150"/>
        <v>0</v>
      </c>
      <c r="X281" s="18">
        <f t="shared" si="150"/>
        <v>0</v>
      </c>
      <c r="Y281" s="18"/>
      <c r="Z281" s="16"/>
      <c r="AA281" s="16"/>
      <c r="AB281" s="27">
        <v>1</v>
      </c>
      <c r="AC281" s="27"/>
      <c r="AD281" s="27"/>
      <c r="AE281" s="27"/>
      <c r="AF281" s="27"/>
      <c r="AG281" s="27"/>
      <c r="AH281" s="533"/>
      <c r="AI281" s="294"/>
    </row>
    <row r="282" spans="1:35" x14ac:dyDescent="0.2">
      <c r="A282" s="294"/>
      <c r="B282" s="941"/>
      <c r="C282" s="71">
        <v>2</v>
      </c>
      <c r="D282" s="8"/>
      <c r="E282" s="8"/>
      <c r="F282" s="8"/>
      <c r="G282" s="8"/>
      <c r="H282" s="9"/>
      <c r="I282" s="9"/>
      <c r="J282" s="87"/>
      <c r="K282" s="87"/>
      <c r="L282" s="98"/>
      <c r="M282" s="113"/>
      <c r="N282" s="10"/>
      <c r="O282" s="10"/>
      <c r="P282" s="10"/>
      <c r="Q282" s="10"/>
      <c r="R282" s="10"/>
      <c r="S282" s="10"/>
      <c r="T282" s="10"/>
      <c r="U282" s="10"/>
      <c r="V282" s="10"/>
      <c r="W282" s="10"/>
      <c r="X282" s="10"/>
      <c r="Y282" s="10"/>
      <c r="Z282" s="8"/>
      <c r="AA282" s="8"/>
      <c r="AB282" s="35"/>
      <c r="AC282" s="35"/>
      <c r="AD282" s="35"/>
      <c r="AE282" s="87"/>
      <c r="AF282" s="35"/>
      <c r="AG282" s="35"/>
      <c r="AH282" s="534"/>
      <c r="AI282" s="294"/>
    </row>
    <row r="283" spans="1:35" ht="12.75" customHeight="1" x14ac:dyDescent="0.2">
      <c r="A283" s="294"/>
      <c r="B283" s="941"/>
      <c r="C283" s="66">
        <v>2</v>
      </c>
      <c r="D283" s="3" t="s">
        <v>645</v>
      </c>
      <c r="E283" s="3" t="s">
        <v>648</v>
      </c>
      <c r="F283" s="3" t="s">
        <v>21</v>
      </c>
      <c r="G283" s="3" t="s">
        <v>861</v>
      </c>
      <c r="H283" s="5" t="s">
        <v>705</v>
      </c>
      <c r="I283" s="5"/>
      <c r="J283" s="802">
        <v>1.2E-2</v>
      </c>
      <c r="K283" s="135"/>
      <c r="L283" s="127"/>
      <c r="M283" s="134"/>
      <c r="N283" s="60"/>
      <c r="O283" s="504">
        <v>0</v>
      </c>
      <c r="P283" s="504">
        <v>0</v>
      </c>
      <c r="Q283" s="504">
        <f>Q$387*$J283</f>
        <v>0</v>
      </c>
      <c r="R283" s="504">
        <f>R$387*$J283</f>
        <v>0</v>
      </c>
      <c r="S283" s="4">
        <f>Q283+R283</f>
        <v>0</v>
      </c>
      <c r="T283" s="504">
        <f t="shared" ref="T283:X283" si="151">T$387*$J283</f>
        <v>0</v>
      </c>
      <c r="U283" s="504">
        <f t="shared" si="151"/>
        <v>0</v>
      </c>
      <c r="V283" s="504">
        <f t="shared" si="151"/>
        <v>0</v>
      </c>
      <c r="W283" s="504">
        <f t="shared" si="151"/>
        <v>0</v>
      </c>
      <c r="X283" s="504">
        <f t="shared" si="151"/>
        <v>0</v>
      </c>
      <c r="Y283" s="604" t="s">
        <v>1892</v>
      </c>
      <c r="Z283" s="3" t="str">
        <f>VLOOKUP($D283,TableInputsData[],ReadMe!$M$3,FALSE)&amp;"  |  "&amp;VLOOKUP($E283,TableInputsData[],ReadMe!$M$3,FALSE)&amp;"  |  "&amp;VLOOKUP($G283,TableInputsData[],ReadMe!$M$3,FALSE)&amp;IF(AF283=1,"  |  "&amp;VLOOKUP($H283,TableInputsData[],ReadMe!$M$3,FALSE),"")</f>
        <v>DEPENSES OPERATIONNELLES  |  IMPOTS ET TAXES SUR PERSONNEL  |  EFFECTIF_I&amp;T  |  TAXES SUR APPOINTEMENTS ET SALAIRES</v>
      </c>
      <c r="AA283" s="3"/>
      <c r="AB283" s="34">
        <f t="shared" ref="AB283:AB291" si="152">IF(SUM(O283:X283)=0,0,1)</f>
        <v>0</v>
      </c>
      <c r="AC283" s="34"/>
      <c r="AD283" s="34"/>
      <c r="AE283" s="26"/>
      <c r="AF283" s="34">
        <v>1</v>
      </c>
      <c r="AG283" s="34"/>
      <c r="AH283" s="535"/>
      <c r="AI283" s="294"/>
    </row>
    <row r="284" spans="1:35" ht="14" x14ac:dyDescent="0.2">
      <c r="A284" s="294"/>
      <c r="B284" s="941"/>
      <c r="C284" s="66">
        <v>2</v>
      </c>
      <c r="D284" s="3" t="s">
        <v>645</v>
      </c>
      <c r="E284" s="3" t="s">
        <v>648</v>
      </c>
      <c r="F284" s="3" t="s">
        <v>21</v>
      </c>
      <c r="G284" s="3" t="s">
        <v>861</v>
      </c>
      <c r="H284" s="5" t="s">
        <v>704</v>
      </c>
      <c r="I284" s="5"/>
      <c r="J284" s="802">
        <v>4.0000000000000001E-3</v>
      </c>
      <c r="K284" s="135"/>
      <c r="L284" s="127"/>
      <c r="M284" s="134"/>
      <c r="N284" s="60"/>
      <c r="O284" s="504">
        <v>0</v>
      </c>
      <c r="P284" s="504">
        <v>0</v>
      </c>
      <c r="Q284" s="504">
        <f t="shared" ref="Q284:X285" si="153">Q$387*$J284</f>
        <v>0</v>
      </c>
      <c r="R284" s="504">
        <f t="shared" si="153"/>
        <v>0</v>
      </c>
      <c r="S284" s="4">
        <f t="shared" ref="S284:S291" si="154">Q284+R284</f>
        <v>0</v>
      </c>
      <c r="T284" s="504">
        <f t="shared" si="153"/>
        <v>0</v>
      </c>
      <c r="U284" s="504">
        <f t="shared" si="153"/>
        <v>0</v>
      </c>
      <c r="V284" s="504">
        <f t="shared" si="153"/>
        <v>0</v>
      </c>
      <c r="W284" s="504">
        <f t="shared" si="153"/>
        <v>0</v>
      </c>
      <c r="X284" s="504">
        <f t="shared" si="153"/>
        <v>0</v>
      </c>
      <c r="Y284" s="604" t="s">
        <v>1892</v>
      </c>
      <c r="Z284" s="3" t="str">
        <f>VLOOKUP($D284,TableInputsData[],ReadMe!$M$3,FALSE)&amp;"  |  "&amp;VLOOKUP($E284,TableInputsData[],ReadMe!$M$3,FALSE)&amp;"  |  "&amp;VLOOKUP($G284,TableInputsData[],ReadMe!$M$3,FALSE)&amp;IF(AF284=1,"  |  "&amp;VLOOKUP($H284,TableInputsData[],ReadMe!$M$3,FALSE),"")</f>
        <v>DEPENSES OPERATIONNELLES  |  IMPOTS ET TAXES SUR PERSONNEL  |  EFFECTIF_I&amp;T  |  TAXES D'APPRENTISSAGE</v>
      </c>
      <c r="AA284" s="3"/>
      <c r="AB284" s="34">
        <f t="shared" si="152"/>
        <v>0</v>
      </c>
      <c r="AC284" s="34"/>
      <c r="AD284" s="34"/>
      <c r="AE284" s="26"/>
      <c r="AF284" s="34">
        <v>1</v>
      </c>
      <c r="AG284" s="34"/>
      <c r="AH284" s="535"/>
      <c r="AI284" s="294"/>
    </row>
    <row r="285" spans="1:35" ht="14" x14ac:dyDescent="0.2">
      <c r="A285" s="294"/>
      <c r="B285" s="941"/>
      <c r="C285" s="66">
        <v>2</v>
      </c>
      <c r="D285" s="3" t="s">
        <v>645</v>
      </c>
      <c r="E285" s="3" t="s">
        <v>648</v>
      </c>
      <c r="F285" s="3" t="s">
        <v>21</v>
      </c>
      <c r="G285" s="3" t="s">
        <v>861</v>
      </c>
      <c r="H285" s="5" t="s">
        <v>684</v>
      </c>
      <c r="I285" s="5"/>
      <c r="J285" s="802">
        <v>1.2E-2</v>
      </c>
      <c r="K285" s="135"/>
      <c r="L285" s="127"/>
      <c r="M285" s="134"/>
      <c r="N285" s="60"/>
      <c r="O285" s="504">
        <v>0</v>
      </c>
      <c r="P285" s="504">
        <v>0</v>
      </c>
      <c r="Q285" s="504">
        <f t="shared" si="153"/>
        <v>0</v>
      </c>
      <c r="R285" s="504">
        <f t="shared" si="153"/>
        <v>0</v>
      </c>
      <c r="S285" s="4">
        <f t="shared" si="154"/>
        <v>0</v>
      </c>
      <c r="T285" s="504">
        <f t="shared" si="153"/>
        <v>0</v>
      </c>
      <c r="U285" s="504">
        <f t="shared" si="153"/>
        <v>0</v>
      </c>
      <c r="V285" s="504">
        <f t="shared" si="153"/>
        <v>0</v>
      </c>
      <c r="W285" s="504">
        <f t="shared" si="153"/>
        <v>0</v>
      </c>
      <c r="X285" s="504">
        <f t="shared" si="153"/>
        <v>0</v>
      </c>
      <c r="Y285" s="604" t="s">
        <v>1892</v>
      </c>
      <c r="Z285" s="3" t="str">
        <f>VLOOKUP($D285,TableInputsData[],ReadMe!$M$3,FALSE)&amp;"  |  "&amp;VLOOKUP($E285,TableInputsData[],ReadMe!$M$3,FALSE)&amp;"  |  "&amp;VLOOKUP($G285,TableInputsData[],ReadMe!$M$3,FALSE)&amp;IF(AF285=1,"  |  "&amp;VLOOKUP($H285,TableInputsData[],ReadMe!$M$3,FALSE),"")</f>
        <v>DEPENSES OPERATIONNELLES  |  IMPOTS ET TAXES SUR PERSONNEL  |  EFFECTIF_I&amp;T  |  FORMATION PROFESSIONNELLE CONTINUE</v>
      </c>
      <c r="AA285" s="3"/>
      <c r="AB285" s="34">
        <f t="shared" si="152"/>
        <v>0</v>
      </c>
      <c r="AC285" s="34"/>
      <c r="AD285" s="34"/>
      <c r="AE285" s="26"/>
      <c r="AF285" s="34">
        <v>1</v>
      </c>
      <c r="AG285" s="34"/>
      <c r="AH285" s="535"/>
      <c r="AI285" s="294"/>
    </row>
    <row r="286" spans="1:35" x14ac:dyDescent="0.2">
      <c r="A286" s="294"/>
      <c r="B286" s="941"/>
      <c r="C286" s="66">
        <v>2</v>
      </c>
      <c r="D286" s="3" t="s">
        <v>645</v>
      </c>
      <c r="E286" s="3" t="s">
        <v>648</v>
      </c>
      <c r="F286" s="3" t="s">
        <v>21</v>
      </c>
      <c r="G286" s="3" t="s">
        <v>861</v>
      </c>
      <c r="H286" s="5" t="s">
        <v>671</v>
      </c>
      <c r="I286" s="5"/>
      <c r="J286" s="802">
        <v>0</v>
      </c>
      <c r="K286" s="135"/>
      <c r="L286" s="127"/>
      <c r="M286" s="134"/>
      <c r="N286" s="60"/>
      <c r="O286" s="504">
        <v>0</v>
      </c>
      <c r="P286" s="504">
        <v>0</v>
      </c>
      <c r="Q286" s="504">
        <v>0</v>
      </c>
      <c r="R286" s="504">
        <v>0</v>
      </c>
      <c r="S286" s="4">
        <f>Q286+R286</f>
        <v>0</v>
      </c>
      <c r="T286" s="504">
        <v>0</v>
      </c>
      <c r="U286" s="504">
        <v>0</v>
      </c>
      <c r="V286" s="504">
        <v>0</v>
      </c>
      <c r="W286" s="504">
        <v>0</v>
      </c>
      <c r="X286" s="504">
        <v>0</v>
      </c>
      <c r="Y286" s="604"/>
      <c r="Z286" s="3" t="str">
        <f>VLOOKUP($D286,TableInputsData[],ReadMe!$M$3,FALSE)&amp;"  |  "&amp;VLOOKUP($E286,TableInputsData[],ReadMe!$M$3,FALSE)&amp;"  |  "&amp;VLOOKUP($G286,TableInputsData[],ReadMe!$M$3,FALSE)&amp;IF(AF286=1,"  |  "&amp;VLOOKUP($H286,TableInputsData[],ReadMe!$M$3,FALSE),"")</f>
        <v>DEPENSES OPERATIONNELLES  |  IMPOTS ET TAXES SUR PERSONNEL  |  EFFECTIF_I&amp;T  |  AUTRES IMPOTS ET TAXES</v>
      </c>
      <c r="AA286" s="3"/>
      <c r="AB286" s="34">
        <f t="shared" si="152"/>
        <v>0</v>
      </c>
      <c r="AC286" s="34"/>
      <c r="AD286" s="34"/>
      <c r="AE286" s="26"/>
      <c r="AF286" s="34">
        <v>1</v>
      </c>
      <c r="AG286" s="34"/>
      <c r="AH286" s="535"/>
      <c r="AI286" s="294"/>
    </row>
    <row r="287" spans="1:35" x14ac:dyDescent="0.2">
      <c r="A287" s="294"/>
      <c r="B287" s="941"/>
      <c r="C287" s="66">
        <v>2</v>
      </c>
      <c r="D287" s="3" t="s">
        <v>645</v>
      </c>
      <c r="E287" s="3" t="s">
        <v>648</v>
      </c>
      <c r="F287" s="3" t="s">
        <v>21</v>
      </c>
      <c r="G287" s="3" t="s">
        <v>861</v>
      </c>
      <c r="H287" s="502" t="s">
        <v>96</v>
      </c>
      <c r="I287" s="5"/>
      <c r="J287" s="802"/>
      <c r="K287" s="135"/>
      <c r="L287" s="127"/>
      <c r="M287" s="134"/>
      <c r="N287" s="60"/>
      <c r="O287" s="504">
        <v>0</v>
      </c>
      <c r="P287" s="504">
        <v>0</v>
      </c>
      <c r="Q287" s="504">
        <v>0</v>
      </c>
      <c r="R287" s="504">
        <v>0</v>
      </c>
      <c r="S287" s="4">
        <f>Q287+R287</f>
        <v>0</v>
      </c>
      <c r="T287" s="504">
        <v>0</v>
      </c>
      <c r="U287" s="504">
        <v>0</v>
      </c>
      <c r="V287" s="504">
        <v>0</v>
      </c>
      <c r="W287" s="504">
        <v>0</v>
      </c>
      <c r="X287" s="504">
        <v>0</v>
      </c>
      <c r="Y287" s="604"/>
      <c r="Z287" s="3" t="str">
        <f>VLOOKUP($D287,TableInputsData[],ReadMe!$M$3,FALSE)&amp;"  |  "&amp;VLOOKUP($E287,TableInputsData[],ReadMe!$M$3,FALSE)&amp;"  |  "&amp;VLOOKUP($G287,TableInputsData[],ReadMe!$M$3,FALSE)&amp;IF(AF287=1,"  |  "&amp;VLOOKUP($H287,TableInputsData[],ReadMe!$M$3,FALSE),"")</f>
        <v>DEPENSES OPERATIONNELLES  |  IMPOTS ET TAXES SUR PERSONNEL  |  EFFECTIF_I&amp;T</v>
      </c>
      <c r="AA287" s="3"/>
      <c r="AB287" s="34">
        <f t="shared" si="152"/>
        <v>0</v>
      </c>
      <c r="AC287" s="34"/>
      <c r="AD287" s="34"/>
      <c r="AE287" s="26"/>
      <c r="AF287" s="34">
        <v>0</v>
      </c>
      <c r="AG287" s="34"/>
      <c r="AH287" s="535"/>
      <c r="AI287" s="294"/>
    </row>
    <row r="288" spans="1:35" x14ac:dyDescent="0.2">
      <c r="A288" s="294"/>
      <c r="B288" s="941"/>
      <c r="C288" s="66">
        <v>2</v>
      </c>
      <c r="D288" s="3" t="s">
        <v>645</v>
      </c>
      <c r="E288" s="3" t="s">
        <v>648</v>
      </c>
      <c r="F288" s="3" t="s">
        <v>21</v>
      </c>
      <c r="G288" s="3" t="s">
        <v>861</v>
      </c>
      <c r="H288" s="502" t="s">
        <v>97</v>
      </c>
      <c r="I288" s="5"/>
      <c r="J288" s="802"/>
      <c r="K288" s="135"/>
      <c r="L288" s="127"/>
      <c r="M288" s="134"/>
      <c r="N288" s="60"/>
      <c r="O288" s="504">
        <v>0</v>
      </c>
      <c r="P288" s="504">
        <v>0</v>
      </c>
      <c r="Q288" s="504">
        <v>0</v>
      </c>
      <c r="R288" s="504">
        <v>0</v>
      </c>
      <c r="S288" s="4">
        <f t="shared" ref="S288:S289" si="155">Q288+R288</f>
        <v>0</v>
      </c>
      <c r="T288" s="504">
        <v>0</v>
      </c>
      <c r="U288" s="504">
        <v>0</v>
      </c>
      <c r="V288" s="504">
        <v>0</v>
      </c>
      <c r="W288" s="504">
        <v>0</v>
      </c>
      <c r="X288" s="504">
        <v>0</v>
      </c>
      <c r="Y288" s="604"/>
      <c r="Z288" s="3" t="str">
        <f>VLOOKUP($D288,TableInputsData[],ReadMe!$M$3,FALSE)&amp;"  |  "&amp;VLOOKUP($E288,TableInputsData[],ReadMe!$M$3,FALSE)&amp;"  |  "&amp;VLOOKUP($G288,TableInputsData[],ReadMe!$M$3,FALSE)&amp;IF(AF288=1,"  |  "&amp;VLOOKUP($H288,TableInputsData[],ReadMe!$M$3,FALSE),"")</f>
        <v>DEPENSES OPERATIONNELLES  |  IMPOTS ET TAXES SUR PERSONNEL  |  EFFECTIF_I&amp;T</v>
      </c>
      <c r="AA288" s="3"/>
      <c r="AB288" s="34">
        <f t="shared" ref="AB288:AB289" si="156">IF(SUM(O288:X288)=0,0,1)</f>
        <v>0</v>
      </c>
      <c r="AC288" s="34"/>
      <c r="AD288" s="34"/>
      <c r="AE288" s="26"/>
      <c r="AF288" s="34">
        <v>0</v>
      </c>
      <c r="AG288" s="34"/>
      <c r="AH288" s="535"/>
      <c r="AI288" s="294"/>
    </row>
    <row r="289" spans="1:35" x14ac:dyDescent="0.2">
      <c r="A289" s="294"/>
      <c r="B289" s="941"/>
      <c r="C289" s="66">
        <v>2</v>
      </c>
      <c r="D289" s="3" t="s">
        <v>645</v>
      </c>
      <c r="E289" s="3" t="s">
        <v>648</v>
      </c>
      <c r="F289" s="3" t="s">
        <v>21</v>
      </c>
      <c r="G289" s="3" t="s">
        <v>861</v>
      </c>
      <c r="H289" s="502" t="s">
        <v>98</v>
      </c>
      <c r="I289" s="5"/>
      <c r="J289" s="802"/>
      <c r="K289" s="135"/>
      <c r="L289" s="127"/>
      <c r="M289" s="134"/>
      <c r="N289" s="60"/>
      <c r="O289" s="504">
        <v>0</v>
      </c>
      <c r="P289" s="504">
        <v>0</v>
      </c>
      <c r="Q289" s="504">
        <v>0</v>
      </c>
      <c r="R289" s="504">
        <v>0</v>
      </c>
      <c r="S289" s="4">
        <f t="shared" si="155"/>
        <v>0</v>
      </c>
      <c r="T289" s="504">
        <v>0</v>
      </c>
      <c r="U289" s="504">
        <v>0</v>
      </c>
      <c r="V289" s="504">
        <v>0</v>
      </c>
      <c r="W289" s="504">
        <v>0</v>
      </c>
      <c r="X289" s="504">
        <v>0</v>
      </c>
      <c r="Y289" s="604"/>
      <c r="Z289" s="3" t="str">
        <f>VLOOKUP($D289,TableInputsData[],ReadMe!$M$3,FALSE)&amp;"  |  "&amp;VLOOKUP($E289,TableInputsData[],ReadMe!$M$3,FALSE)&amp;"  |  "&amp;VLOOKUP($G289,TableInputsData[],ReadMe!$M$3,FALSE)&amp;IF(AF289=1,"  |  "&amp;VLOOKUP($H289,TableInputsData[],ReadMe!$M$3,FALSE),"")</f>
        <v>DEPENSES OPERATIONNELLES  |  IMPOTS ET TAXES SUR PERSONNEL  |  EFFECTIF_I&amp;T</v>
      </c>
      <c r="AA289" s="3"/>
      <c r="AB289" s="34">
        <f t="shared" si="156"/>
        <v>0</v>
      </c>
      <c r="AC289" s="34"/>
      <c r="AD289" s="34"/>
      <c r="AE289" s="26"/>
      <c r="AF289" s="34">
        <v>0</v>
      </c>
      <c r="AG289" s="34"/>
      <c r="AH289" s="535"/>
      <c r="AI289" s="294"/>
    </row>
    <row r="290" spans="1:35" x14ac:dyDescent="0.2">
      <c r="A290" s="294"/>
      <c r="B290" s="941"/>
      <c r="C290" s="66">
        <v>2</v>
      </c>
      <c r="D290" s="3" t="s">
        <v>645</v>
      </c>
      <c r="E290" s="3" t="s">
        <v>648</v>
      </c>
      <c r="F290" s="3" t="s">
        <v>21</v>
      </c>
      <c r="G290" s="3" t="s">
        <v>861</v>
      </c>
      <c r="H290" s="502" t="s">
        <v>99</v>
      </c>
      <c r="I290" s="5"/>
      <c r="J290" s="802"/>
      <c r="K290" s="135"/>
      <c r="L290" s="127"/>
      <c r="M290" s="134"/>
      <c r="N290" s="60"/>
      <c r="O290" s="504">
        <v>0</v>
      </c>
      <c r="P290" s="504">
        <v>0</v>
      </c>
      <c r="Q290" s="504">
        <v>0</v>
      </c>
      <c r="R290" s="504">
        <v>0</v>
      </c>
      <c r="S290" s="4">
        <f>Q290+R290</f>
        <v>0</v>
      </c>
      <c r="T290" s="504">
        <v>0</v>
      </c>
      <c r="U290" s="504">
        <v>0</v>
      </c>
      <c r="V290" s="504">
        <v>0</v>
      </c>
      <c r="W290" s="504">
        <v>0</v>
      </c>
      <c r="X290" s="504">
        <v>0</v>
      </c>
      <c r="Y290" s="604"/>
      <c r="Z290" s="3" t="str">
        <f>VLOOKUP($D290,TableInputsData[],ReadMe!$M$3,FALSE)&amp;"  |  "&amp;VLOOKUP($E290,TableInputsData[],ReadMe!$M$3,FALSE)&amp;"  |  "&amp;VLOOKUP($G290,TableInputsData[],ReadMe!$M$3,FALSE)&amp;IF(AF290=1,"  |  "&amp;VLOOKUP($H290,TableInputsData[],ReadMe!$M$3,FALSE),"")</f>
        <v>DEPENSES OPERATIONNELLES  |  IMPOTS ET TAXES SUR PERSONNEL  |  EFFECTIF_I&amp;T</v>
      </c>
      <c r="AA290" s="3"/>
      <c r="AB290" s="34">
        <f t="shared" si="152"/>
        <v>0</v>
      </c>
      <c r="AC290" s="34"/>
      <c r="AD290" s="34"/>
      <c r="AE290" s="26"/>
      <c r="AF290" s="34">
        <v>0</v>
      </c>
      <c r="AG290" s="34"/>
      <c r="AH290" s="535"/>
      <c r="AI290" s="294"/>
    </row>
    <row r="291" spans="1:35" x14ac:dyDescent="0.2">
      <c r="A291" s="294"/>
      <c r="B291" s="941"/>
      <c r="C291" s="70">
        <v>2</v>
      </c>
      <c r="D291" s="6" t="s">
        <v>645</v>
      </c>
      <c r="E291" s="6" t="s">
        <v>648</v>
      </c>
      <c r="F291" s="6" t="s">
        <v>21</v>
      </c>
      <c r="G291" s="6" t="s">
        <v>861</v>
      </c>
      <c r="H291" s="503" t="s">
        <v>100</v>
      </c>
      <c r="I291" s="11"/>
      <c r="J291" s="802"/>
      <c r="K291" s="135"/>
      <c r="L291" s="127"/>
      <c r="M291" s="134"/>
      <c r="N291" s="60"/>
      <c r="O291" s="505">
        <v>0</v>
      </c>
      <c r="P291" s="505">
        <v>0</v>
      </c>
      <c r="Q291" s="505">
        <v>0</v>
      </c>
      <c r="R291" s="505">
        <v>0</v>
      </c>
      <c r="S291" s="7">
        <f t="shared" si="154"/>
        <v>0</v>
      </c>
      <c r="T291" s="505">
        <v>0</v>
      </c>
      <c r="U291" s="505">
        <v>0</v>
      </c>
      <c r="V291" s="505">
        <v>0</v>
      </c>
      <c r="W291" s="505">
        <v>0</v>
      </c>
      <c r="X291" s="505">
        <v>0</v>
      </c>
      <c r="Y291" s="605"/>
      <c r="Z291" s="6" t="str">
        <f>VLOOKUP($D291,TableInputsData[],ReadMe!$M$3,FALSE)&amp;"  |  "&amp;VLOOKUP($E291,TableInputsData[],ReadMe!$M$3,FALSE)&amp;"  |  "&amp;VLOOKUP($G291,TableInputsData[],ReadMe!$M$3,FALSE)&amp;IF(AF291=1,"  |  "&amp;VLOOKUP($H291,TableInputsData[],ReadMe!$M$3,FALSE),"")</f>
        <v>DEPENSES OPERATIONNELLES  |  IMPOTS ET TAXES SUR PERSONNEL  |  EFFECTIF_I&amp;T</v>
      </c>
      <c r="AA291" s="6"/>
      <c r="AB291" s="36">
        <f t="shared" si="152"/>
        <v>0</v>
      </c>
      <c r="AC291" s="36"/>
      <c r="AD291" s="36"/>
      <c r="AE291" s="91"/>
      <c r="AF291" s="34">
        <v>0</v>
      </c>
      <c r="AG291" s="36"/>
      <c r="AH291" s="536"/>
      <c r="AI291" s="294"/>
    </row>
    <row r="292" spans="1:35" x14ac:dyDescent="0.2">
      <c r="A292" s="294"/>
      <c r="B292" s="941"/>
      <c r="C292" s="67">
        <v>2</v>
      </c>
      <c r="D292" s="16" t="s">
        <v>645</v>
      </c>
      <c r="E292" s="16" t="s">
        <v>648</v>
      </c>
      <c r="F292" s="16" t="s">
        <v>21</v>
      </c>
      <c r="G292" s="16" t="s">
        <v>861</v>
      </c>
      <c r="H292" s="17" t="s">
        <v>29</v>
      </c>
      <c r="I292" s="17"/>
      <c r="J292" s="27"/>
      <c r="K292" s="27"/>
      <c r="L292" s="97"/>
      <c r="M292" s="112"/>
      <c r="N292" s="18"/>
      <c r="O292" s="18">
        <f t="shared" ref="O292:X292" si="157">SUM(O283:O291)</f>
        <v>0</v>
      </c>
      <c r="P292" s="18">
        <f t="shared" si="157"/>
        <v>0</v>
      </c>
      <c r="Q292" s="18">
        <f t="shared" si="157"/>
        <v>0</v>
      </c>
      <c r="R292" s="18">
        <f t="shared" si="157"/>
        <v>0</v>
      </c>
      <c r="S292" s="18">
        <f t="shared" si="157"/>
        <v>0</v>
      </c>
      <c r="T292" s="18">
        <f t="shared" si="157"/>
        <v>0</v>
      </c>
      <c r="U292" s="18">
        <f t="shared" si="157"/>
        <v>0</v>
      </c>
      <c r="V292" s="18">
        <f t="shared" si="157"/>
        <v>0</v>
      </c>
      <c r="W292" s="18">
        <f t="shared" si="157"/>
        <v>0</v>
      </c>
      <c r="X292" s="18">
        <f t="shared" si="157"/>
        <v>0</v>
      </c>
      <c r="Y292" s="18"/>
      <c r="Z292" s="16"/>
      <c r="AA292" s="16"/>
      <c r="AB292" s="27">
        <v>1</v>
      </c>
      <c r="AC292" s="27"/>
      <c r="AD292" s="27"/>
      <c r="AE292" s="27"/>
      <c r="AF292" s="27"/>
      <c r="AG292" s="27"/>
      <c r="AH292" s="533"/>
      <c r="AI292" s="294"/>
    </row>
    <row r="293" spans="1:35" x14ac:dyDescent="0.2">
      <c r="A293" s="294"/>
      <c r="B293" s="941"/>
      <c r="C293" s="71">
        <v>2</v>
      </c>
      <c r="D293" s="8"/>
      <c r="E293" s="8"/>
      <c r="F293" s="8"/>
      <c r="G293" s="8"/>
      <c r="H293" s="9"/>
      <c r="I293" s="9"/>
      <c r="J293" s="87"/>
      <c r="K293" s="87"/>
      <c r="L293" s="98"/>
      <c r="M293" s="113"/>
      <c r="N293" s="10"/>
      <c r="O293" s="10"/>
      <c r="P293" s="10"/>
      <c r="Q293" s="10"/>
      <c r="R293" s="10"/>
      <c r="S293" s="10"/>
      <c r="T293" s="10"/>
      <c r="U293" s="10"/>
      <c r="V293" s="10"/>
      <c r="W293" s="10"/>
      <c r="X293" s="10"/>
      <c r="Y293" s="10"/>
      <c r="Z293" s="8"/>
      <c r="AA293" s="8"/>
      <c r="AB293" s="35"/>
      <c r="AC293" s="35"/>
      <c r="AD293" s="35"/>
      <c r="AE293" s="87"/>
      <c r="AF293" s="35"/>
      <c r="AG293" s="35"/>
      <c r="AH293" s="534"/>
      <c r="AI293" s="294"/>
    </row>
    <row r="294" spans="1:35" ht="12.75" customHeight="1" x14ac:dyDescent="0.2">
      <c r="A294" s="294"/>
      <c r="B294" s="941"/>
      <c r="C294" s="66">
        <v>2</v>
      </c>
      <c r="D294" s="3" t="s">
        <v>645</v>
      </c>
      <c r="E294" s="3" t="s">
        <v>650</v>
      </c>
      <c r="F294" s="3" t="s">
        <v>21</v>
      </c>
      <c r="G294" s="3" t="s">
        <v>70</v>
      </c>
      <c r="H294" s="5" t="s">
        <v>693</v>
      </c>
      <c r="I294" s="76" t="s">
        <v>1738</v>
      </c>
      <c r="J294" s="802">
        <f>VLOOKUP("ANNUAL INFLATION IN THE COUNTRY",TableInputsData[],8,FALSE)</f>
        <v>0.03</v>
      </c>
      <c r="K294" s="135"/>
      <c r="L294" s="127"/>
      <c r="M294" s="134"/>
      <c r="N294" s="60"/>
      <c r="O294" s="504">
        <v>0</v>
      </c>
      <c r="P294" s="504">
        <v>0</v>
      </c>
      <c r="Q294" s="504">
        <v>0</v>
      </c>
      <c r="R294" s="504">
        <v>0</v>
      </c>
      <c r="S294" s="4">
        <f t="shared" ref="S294:S302" si="158">Q294+R294</f>
        <v>0</v>
      </c>
      <c r="T294" s="504">
        <v>0</v>
      </c>
      <c r="U294" s="504">
        <v>0</v>
      </c>
      <c r="V294" s="504">
        <v>0</v>
      </c>
      <c r="W294" s="504">
        <v>0</v>
      </c>
      <c r="X294" s="504">
        <v>0</v>
      </c>
      <c r="Y294" s="604" t="s">
        <v>1891</v>
      </c>
      <c r="Z294" s="3" t="str">
        <f>VLOOKUP($D294,TableInputsData[],ReadMe!$M$3,FALSE)&amp;"  |  "&amp;VLOOKUP($E294,TableInputsData[],ReadMe!$M$3,FALSE)&amp;"  |  "&amp;VLOOKUP($G294,TableInputsData[],ReadMe!$M$3,FALSE)&amp;IF(AF294=1,"  |  "&amp;VLOOKUP($H294,TableInputsData[],ReadMe!$M$3,FALSE),"")</f>
        <v>DEPENSES OPERATIONNELLES  |  COUTS DE L'OFFICE  |  OFFICE  |  LOYER (OFFICE + MAGASINS)</v>
      </c>
      <c r="AA294" s="3"/>
      <c r="AB294" s="34">
        <f t="shared" ref="AB294:AB308" si="159">IF(SUM(O294:X294)=0,0,1)</f>
        <v>0</v>
      </c>
      <c r="AC294" s="34"/>
      <c r="AD294" s="34"/>
      <c r="AE294" s="26"/>
      <c r="AF294" s="34">
        <v>1</v>
      </c>
      <c r="AG294" s="34"/>
      <c r="AH294" s="535"/>
      <c r="AI294" s="294"/>
    </row>
    <row r="295" spans="1:35" ht="14" x14ac:dyDescent="0.2">
      <c r="A295" s="294"/>
      <c r="B295" s="941"/>
      <c r="C295" s="66">
        <v>2</v>
      </c>
      <c r="D295" s="3" t="s">
        <v>645</v>
      </c>
      <c r="E295" s="3" t="s">
        <v>650</v>
      </c>
      <c r="F295" s="3" t="s">
        <v>21</v>
      </c>
      <c r="G295" s="3" t="s">
        <v>70</v>
      </c>
      <c r="H295" s="5" t="s">
        <v>691</v>
      </c>
      <c r="I295" s="76" t="s">
        <v>1738</v>
      </c>
      <c r="J295" s="802">
        <f>VLOOKUP("ANNUAL INFLATION IN THE COUNTRY",TableInputsData[],8,FALSE)</f>
        <v>0.03</v>
      </c>
      <c r="K295" s="135"/>
      <c r="L295" s="127"/>
      <c r="M295" s="134"/>
      <c r="N295" s="60"/>
      <c r="O295" s="504">
        <v>0</v>
      </c>
      <c r="P295" s="504">
        <v>0</v>
      </c>
      <c r="Q295" s="504">
        <v>0</v>
      </c>
      <c r="R295" s="504">
        <v>0</v>
      </c>
      <c r="S295" s="4">
        <f t="shared" si="158"/>
        <v>0</v>
      </c>
      <c r="T295" s="504">
        <v>0</v>
      </c>
      <c r="U295" s="504">
        <v>0</v>
      </c>
      <c r="V295" s="504">
        <v>0</v>
      </c>
      <c r="W295" s="504">
        <v>0</v>
      </c>
      <c r="X295" s="504">
        <v>0</v>
      </c>
      <c r="Y295" s="604" t="s">
        <v>1888</v>
      </c>
      <c r="Z295" s="3" t="str">
        <f>VLOOKUP($D295,TableInputsData[],ReadMe!$M$3,FALSE)&amp;"  |  "&amp;VLOOKUP($E295,TableInputsData[],ReadMe!$M$3,FALSE)&amp;"  |  "&amp;VLOOKUP($G295,TableInputsData[],ReadMe!$M$3,FALSE)&amp;IF(AF295=1,"  |  "&amp;VLOOKUP($H295,TableInputsData[],ReadMe!$M$3,FALSE),"")</f>
        <v>DEPENSES OPERATIONNELLES  |  COUTS DE L'OFFICE  |  OFFICE  |  INTERNET (OFFICE + MAGASINS)</v>
      </c>
      <c r="AA295" s="3"/>
      <c r="AB295" s="34">
        <f t="shared" si="159"/>
        <v>0</v>
      </c>
      <c r="AC295" s="34"/>
      <c r="AD295" s="34"/>
      <c r="AE295" s="26"/>
      <c r="AF295" s="34">
        <v>1</v>
      </c>
      <c r="AG295" s="34"/>
      <c r="AH295" s="535"/>
      <c r="AI295" s="294"/>
    </row>
    <row r="296" spans="1:35" x14ac:dyDescent="0.2">
      <c r="A296" s="294"/>
      <c r="B296" s="941"/>
      <c r="C296" s="66">
        <v>2</v>
      </c>
      <c r="D296" s="3" t="s">
        <v>645</v>
      </c>
      <c r="E296" s="3" t="s">
        <v>650</v>
      </c>
      <c r="F296" s="3" t="s">
        <v>21</v>
      </c>
      <c r="G296" s="3" t="s">
        <v>70</v>
      </c>
      <c r="H296" s="5" t="s">
        <v>706</v>
      </c>
      <c r="I296" s="76" t="s">
        <v>1738</v>
      </c>
      <c r="J296" s="802">
        <f>VLOOKUP("ANNUAL INFLATION IN THE COUNTRY",TableInputsData[],8,FALSE)</f>
        <v>0.03</v>
      </c>
      <c r="K296" s="135"/>
      <c r="L296" s="127"/>
      <c r="M296" s="134"/>
      <c r="N296" s="60"/>
      <c r="O296" s="504">
        <v>0</v>
      </c>
      <c r="P296" s="504">
        <v>0</v>
      </c>
      <c r="Q296" s="504">
        <v>0</v>
      </c>
      <c r="R296" s="504">
        <v>0</v>
      </c>
      <c r="S296" s="4">
        <f t="shared" si="158"/>
        <v>0</v>
      </c>
      <c r="T296" s="504">
        <v>0</v>
      </c>
      <c r="U296" s="504">
        <v>0</v>
      </c>
      <c r="V296" s="504">
        <v>0</v>
      </c>
      <c r="W296" s="504">
        <v>0</v>
      </c>
      <c r="X296" s="504">
        <v>0</v>
      </c>
      <c r="Y296" s="604"/>
      <c r="Z296" s="3" t="str">
        <f>VLOOKUP($D296,TableInputsData[],ReadMe!$M$3,FALSE)&amp;"  |  "&amp;VLOOKUP($E296,TableInputsData[],ReadMe!$M$3,FALSE)&amp;"  |  "&amp;VLOOKUP($G296,TableInputsData[],ReadMe!$M$3,FALSE)&amp;IF(AF296=1,"  |  "&amp;VLOOKUP($H296,TableInputsData[],ReadMe!$M$3,FALSE),"")</f>
        <v>DEPENSES OPERATIONNELLES  |  COUTS DE L'OFFICE  |  OFFICE  |  TELECOMMUNICATIONS (FIXE + MOBILE)</v>
      </c>
      <c r="AA296" s="3"/>
      <c r="AB296" s="34">
        <f t="shared" si="159"/>
        <v>0</v>
      </c>
      <c r="AC296" s="34"/>
      <c r="AD296" s="34"/>
      <c r="AE296" s="26"/>
      <c r="AF296" s="34">
        <v>1</v>
      </c>
      <c r="AG296" s="34"/>
      <c r="AH296" s="535"/>
      <c r="AI296" s="294"/>
    </row>
    <row r="297" spans="1:35" ht="14" x14ac:dyDescent="0.2">
      <c r="A297" s="294"/>
      <c r="B297" s="941"/>
      <c r="C297" s="66">
        <v>2</v>
      </c>
      <c r="D297" s="3" t="s">
        <v>645</v>
      </c>
      <c r="E297" s="3" t="s">
        <v>650</v>
      </c>
      <c r="F297" s="3" t="s">
        <v>21</v>
      </c>
      <c r="G297" s="3" t="s">
        <v>70</v>
      </c>
      <c r="H297" s="5" t="s">
        <v>685</v>
      </c>
      <c r="I297" s="5"/>
      <c r="J297" s="802">
        <f>VLOOKUP("ANNUAL INFLATION IN THE COUNTRY",TableInputsData[],8,FALSE)</f>
        <v>0.03</v>
      </c>
      <c r="K297" s="135"/>
      <c r="L297" s="127"/>
      <c r="M297" s="134"/>
      <c r="N297" s="60"/>
      <c r="O297" s="504">
        <v>0</v>
      </c>
      <c r="P297" s="504">
        <v>0</v>
      </c>
      <c r="Q297" s="504">
        <v>0</v>
      </c>
      <c r="R297" s="504">
        <v>0</v>
      </c>
      <c r="S297" s="4">
        <f t="shared" si="158"/>
        <v>0</v>
      </c>
      <c r="T297" s="504">
        <v>0</v>
      </c>
      <c r="U297" s="504">
        <v>0</v>
      </c>
      <c r="V297" s="504">
        <v>0</v>
      </c>
      <c r="W297" s="504">
        <v>0</v>
      </c>
      <c r="X297" s="504">
        <v>0</v>
      </c>
      <c r="Y297" s="604" t="s">
        <v>1888</v>
      </c>
      <c r="Z297" s="3" t="str">
        <f>VLOOKUP($D297,TableInputsData[],ReadMe!$M$3,FALSE)&amp;"  |  "&amp;VLOOKUP($E297,TableInputsData[],ReadMe!$M$3,FALSE)&amp;"  |  "&amp;VLOOKUP($G297,TableInputsData[],ReadMe!$M$3,FALSE)&amp;IF(AF297=1,"  |  "&amp;VLOOKUP($H297,TableInputsData[],ReadMe!$M$3,FALSE),"")</f>
        <v>DEPENSES OPERATIONNELLES  |  COUTS DE L'OFFICE  |  OFFICE  |  FOURNITURES DE BUREAU</v>
      </c>
      <c r="AA297" s="3"/>
      <c r="AB297" s="34">
        <f t="shared" si="159"/>
        <v>0</v>
      </c>
      <c r="AC297" s="34"/>
      <c r="AD297" s="34"/>
      <c r="AE297" s="26"/>
      <c r="AF297" s="34">
        <v>1</v>
      </c>
      <c r="AG297" s="34"/>
      <c r="AH297" s="535"/>
      <c r="AI297" s="294"/>
    </row>
    <row r="298" spans="1:35" x14ac:dyDescent="0.2">
      <c r="A298" s="294"/>
      <c r="B298" s="941"/>
      <c r="C298" s="66">
        <v>2</v>
      </c>
      <c r="D298" s="3" t="s">
        <v>645</v>
      </c>
      <c r="E298" s="3" t="s">
        <v>650</v>
      </c>
      <c r="F298" s="3" t="s">
        <v>21</v>
      </c>
      <c r="G298" s="3" t="s">
        <v>70</v>
      </c>
      <c r="H298" s="5" t="s">
        <v>700</v>
      </c>
      <c r="I298" s="5"/>
      <c r="J298" s="802">
        <f>VLOOKUP("ANNUAL INFLATION IN THE COUNTRY",TableInputsData[],8,FALSE)</f>
        <v>0.03</v>
      </c>
      <c r="K298" s="135"/>
      <c r="L298" s="127"/>
      <c r="M298" s="134"/>
      <c r="N298" s="60"/>
      <c r="O298" s="504">
        <v>0</v>
      </c>
      <c r="P298" s="504">
        <v>0</v>
      </c>
      <c r="Q298" s="504">
        <v>0</v>
      </c>
      <c r="R298" s="504">
        <v>0</v>
      </c>
      <c r="S298" s="4">
        <f t="shared" si="158"/>
        <v>0</v>
      </c>
      <c r="T298" s="504">
        <v>0</v>
      </c>
      <c r="U298" s="504">
        <v>0</v>
      </c>
      <c r="V298" s="504">
        <v>0</v>
      </c>
      <c r="W298" s="504">
        <v>0</v>
      </c>
      <c r="X298" s="504">
        <v>0</v>
      </c>
      <c r="Y298" s="604"/>
      <c r="Z298" s="3" t="str">
        <f>VLOOKUP($D298,TableInputsData[],ReadMe!$M$3,FALSE)&amp;"  |  "&amp;VLOOKUP($E298,TableInputsData[],ReadMe!$M$3,FALSE)&amp;"  |  "&amp;VLOOKUP($G298,TableInputsData[],ReadMe!$M$3,FALSE)&amp;IF(AF298=1,"  |  "&amp;VLOOKUP($H298,TableInputsData[],ReadMe!$M$3,FALSE),"")</f>
        <v>DEPENSES OPERATIONNELLES  |  COUTS DE L'OFFICE  |  OFFICE  |  PETIT MATERIEL ET OUTILLAGE</v>
      </c>
      <c r="AA298" s="3"/>
      <c r="AB298" s="34">
        <f t="shared" si="159"/>
        <v>0</v>
      </c>
      <c r="AC298" s="34"/>
      <c r="AD298" s="34"/>
      <c r="AE298" s="26"/>
      <c r="AF298" s="34">
        <v>1</v>
      </c>
      <c r="AG298" s="34"/>
      <c r="AH298" s="535"/>
      <c r="AI298" s="294"/>
    </row>
    <row r="299" spans="1:35" x14ac:dyDescent="0.2">
      <c r="A299" s="294"/>
      <c r="B299" s="941"/>
      <c r="C299" s="66">
        <v>2</v>
      </c>
      <c r="D299" s="3" t="s">
        <v>645</v>
      </c>
      <c r="E299" s="3" t="s">
        <v>650</v>
      </c>
      <c r="F299" s="3" t="s">
        <v>21</v>
      </c>
      <c r="G299" s="3" t="s">
        <v>70</v>
      </c>
      <c r="H299" s="5" t="s">
        <v>682</v>
      </c>
      <c r="I299" s="5"/>
      <c r="J299" s="802">
        <f>VLOOKUP("ANNUAL INFLATION IN THE COUNTRY",TableInputsData[],8,FALSE)</f>
        <v>0.03</v>
      </c>
      <c r="K299" s="135"/>
      <c r="L299" s="127"/>
      <c r="M299" s="134"/>
      <c r="N299" s="60"/>
      <c r="O299" s="504">
        <v>0</v>
      </c>
      <c r="P299" s="504">
        <v>0</v>
      </c>
      <c r="Q299" s="504">
        <v>0</v>
      </c>
      <c r="R299" s="504">
        <v>0</v>
      </c>
      <c r="S299" s="4">
        <f t="shared" si="158"/>
        <v>0</v>
      </c>
      <c r="T299" s="504">
        <v>0</v>
      </c>
      <c r="U299" s="504">
        <v>0</v>
      </c>
      <c r="V299" s="504">
        <v>0</v>
      </c>
      <c r="W299" s="504">
        <v>0</v>
      </c>
      <c r="X299" s="504">
        <v>0</v>
      </c>
      <c r="Y299" s="604"/>
      <c r="Z299" s="3" t="str">
        <f>VLOOKUP($D299,TableInputsData[],ReadMe!$M$3,FALSE)&amp;"  |  "&amp;VLOOKUP($E299,TableInputsData[],ReadMe!$M$3,FALSE)&amp;"  |  "&amp;VLOOKUP($G299,TableInputsData[],ReadMe!$M$3,FALSE)&amp;IF(AF299=1,"  |  "&amp;VLOOKUP($H299,TableInputsData[],ReadMe!$M$3,FALSE),"")</f>
        <v>DEPENSES OPERATIONNELLES  |  COUTS DE L'OFFICE  |  OFFICE  |  EMBALLAGES PERDUS</v>
      </c>
      <c r="AA299" s="3"/>
      <c r="AB299" s="34">
        <f t="shared" si="159"/>
        <v>0</v>
      </c>
      <c r="AC299" s="34"/>
      <c r="AD299" s="34"/>
      <c r="AE299" s="26"/>
      <c r="AF299" s="34">
        <v>1</v>
      </c>
      <c r="AG299" s="34"/>
      <c r="AH299" s="535"/>
      <c r="AI299" s="294"/>
    </row>
    <row r="300" spans="1:35" x14ac:dyDescent="0.2">
      <c r="A300" s="294"/>
      <c r="B300" s="941"/>
      <c r="C300" s="66">
        <v>2</v>
      </c>
      <c r="D300" s="3" t="s">
        <v>645</v>
      </c>
      <c r="E300" s="3" t="s">
        <v>650</v>
      </c>
      <c r="F300" s="3" t="s">
        <v>21</v>
      </c>
      <c r="G300" s="3" t="s">
        <v>70</v>
      </c>
      <c r="H300" s="5" t="s">
        <v>694</v>
      </c>
      <c r="I300" s="76"/>
      <c r="J300" s="802">
        <f>VLOOKUP("ANNUAL INFLATION IN THE COUNTRY",TableInputsData[],8,FALSE)</f>
        <v>0.03</v>
      </c>
      <c r="K300" s="135"/>
      <c r="L300" s="127"/>
      <c r="M300" s="134"/>
      <c r="N300" s="60"/>
      <c r="O300" s="504">
        <v>0</v>
      </c>
      <c r="P300" s="504">
        <v>0</v>
      </c>
      <c r="Q300" s="504">
        <v>0</v>
      </c>
      <c r="R300" s="504">
        <v>0</v>
      </c>
      <c r="S300" s="4">
        <f t="shared" si="158"/>
        <v>0</v>
      </c>
      <c r="T300" s="504">
        <v>0</v>
      </c>
      <c r="U300" s="504">
        <v>0</v>
      </c>
      <c r="V300" s="504">
        <v>0</v>
      </c>
      <c r="W300" s="504">
        <v>0</v>
      </c>
      <c r="X300" s="504">
        <v>0</v>
      </c>
      <c r="Y300" s="604"/>
      <c r="Z300" s="3" t="str">
        <f>VLOOKUP($D300,TableInputsData[],ReadMe!$M$3,FALSE)&amp;"  |  "&amp;VLOOKUP($E300,TableInputsData[],ReadMe!$M$3,FALSE)&amp;"  |  "&amp;VLOOKUP($G300,TableInputsData[],ReadMe!$M$3,FALSE)&amp;IF(AF300=1,"  |  "&amp;VLOOKUP($H300,TableInputsData[],ReadMe!$M$3,FALSE),"")</f>
        <v>DEPENSES OPERATIONNELLES  |  COUTS DE L'OFFICE  |  OFFICE  |  MATIERES COMBUSTIBLES</v>
      </c>
      <c r="AA300" s="3"/>
      <c r="AB300" s="34">
        <f t="shared" si="159"/>
        <v>0</v>
      </c>
      <c r="AC300" s="34"/>
      <c r="AD300" s="34"/>
      <c r="AE300" s="26"/>
      <c r="AF300" s="34">
        <v>1</v>
      </c>
      <c r="AG300" s="34"/>
      <c r="AH300" s="535"/>
      <c r="AI300" s="294"/>
    </row>
    <row r="301" spans="1:35" ht="14" x14ac:dyDescent="0.2">
      <c r="A301" s="294"/>
      <c r="B301" s="941"/>
      <c r="C301" s="66">
        <v>2</v>
      </c>
      <c r="D301" s="3" t="s">
        <v>645</v>
      </c>
      <c r="E301" s="3" t="s">
        <v>650</v>
      </c>
      <c r="F301" s="3" t="s">
        <v>21</v>
      </c>
      <c r="G301" s="3" t="s">
        <v>70</v>
      </c>
      <c r="H301" s="5" t="s">
        <v>686</v>
      </c>
      <c r="I301" s="76" t="s">
        <v>1738</v>
      </c>
      <c r="J301" s="802">
        <f>VLOOKUP("ANNUAL INFLATION IN THE COUNTRY",TableInputsData[],8,FALSE)</f>
        <v>0.03</v>
      </c>
      <c r="K301" s="135"/>
      <c r="L301" s="127"/>
      <c r="M301" s="134"/>
      <c r="N301" s="60"/>
      <c r="O301" s="504">
        <v>0</v>
      </c>
      <c r="P301" s="504">
        <v>0</v>
      </c>
      <c r="Q301" s="504">
        <v>0</v>
      </c>
      <c r="R301" s="504">
        <v>0</v>
      </c>
      <c r="S301" s="4">
        <f t="shared" si="158"/>
        <v>0</v>
      </c>
      <c r="T301" s="504">
        <v>0</v>
      </c>
      <c r="U301" s="504">
        <v>0</v>
      </c>
      <c r="V301" s="504">
        <v>0</v>
      </c>
      <c r="W301" s="504">
        <v>0</v>
      </c>
      <c r="X301" s="504">
        <v>0</v>
      </c>
      <c r="Y301" s="604" t="s">
        <v>1888</v>
      </c>
      <c r="Z301" s="3" t="str">
        <f>VLOOKUP($D301,TableInputsData[],ReadMe!$M$3,FALSE)&amp;"  |  "&amp;VLOOKUP($E301,TableInputsData[],ReadMe!$M$3,FALSE)&amp;"  |  "&amp;VLOOKUP($G301,TableInputsData[],ReadMe!$M$3,FALSE)&amp;IF(AF301=1,"  |  "&amp;VLOOKUP($H301,TableInputsData[],ReadMe!$M$3,FALSE),"")</f>
        <v>DEPENSES OPERATIONNELLES  |  COUTS DE L'OFFICE  |  OFFICE  |  FOURNITURES NON STOCKABLES - EAU</v>
      </c>
      <c r="AA301" s="3"/>
      <c r="AB301" s="34">
        <f t="shared" si="159"/>
        <v>0</v>
      </c>
      <c r="AC301" s="34"/>
      <c r="AD301" s="34"/>
      <c r="AE301" s="26"/>
      <c r="AF301" s="34">
        <v>1</v>
      </c>
      <c r="AG301" s="34"/>
      <c r="AH301" s="535"/>
      <c r="AI301" s="294"/>
    </row>
    <row r="302" spans="1:35" ht="14" x14ac:dyDescent="0.2">
      <c r="A302" s="294"/>
      <c r="B302" s="941"/>
      <c r="C302" s="66">
        <v>2</v>
      </c>
      <c r="D302" s="3" t="s">
        <v>645</v>
      </c>
      <c r="E302" s="3" t="s">
        <v>650</v>
      </c>
      <c r="F302" s="3" t="s">
        <v>21</v>
      </c>
      <c r="G302" s="3" t="s">
        <v>70</v>
      </c>
      <c r="H302" s="5" t="s">
        <v>687</v>
      </c>
      <c r="I302" s="76" t="s">
        <v>1738</v>
      </c>
      <c r="J302" s="802">
        <f>VLOOKUP("ANNUAL INFLATION IN THE COUNTRY",TableInputsData[],8,FALSE)</f>
        <v>0.03</v>
      </c>
      <c r="K302" s="135"/>
      <c r="L302" s="127"/>
      <c r="M302" s="134"/>
      <c r="N302" s="60"/>
      <c r="O302" s="504">
        <v>0</v>
      </c>
      <c r="P302" s="504">
        <v>0</v>
      </c>
      <c r="Q302" s="504">
        <v>0</v>
      </c>
      <c r="R302" s="504">
        <v>0</v>
      </c>
      <c r="S302" s="4">
        <f t="shared" si="158"/>
        <v>0</v>
      </c>
      <c r="T302" s="504">
        <v>0</v>
      </c>
      <c r="U302" s="504">
        <v>0</v>
      </c>
      <c r="V302" s="504">
        <v>0</v>
      </c>
      <c r="W302" s="504">
        <v>0</v>
      </c>
      <c r="X302" s="504">
        <v>0</v>
      </c>
      <c r="Y302" s="604" t="s">
        <v>1888</v>
      </c>
      <c r="Z302" s="3" t="str">
        <f>VLOOKUP($D302,TableInputsData[],ReadMe!$M$3,FALSE)&amp;"  |  "&amp;VLOOKUP($E302,TableInputsData[],ReadMe!$M$3,FALSE)&amp;"  |  "&amp;VLOOKUP($G302,TableInputsData[],ReadMe!$M$3,FALSE)&amp;IF(AF302=1,"  |  "&amp;VLOOKUP($H302,TableInputsData[],ReadMe!$M$3,FALSE),"")</f>
        <v>DEPENSES OPERATIONNELLES  |  COUTS DE L'OFFICE  |  OFFICE  |  FOURNITURES NON STOCKABLES - ELECTRICITE</v>
      </c>
      <c r="AA302" s="3"/>
      <c r="AB302" s="34">
        <f t="shared" si="159"/>
        <v>0</v>
      </c>
      <c r="AC302" s="34"/>
      <c r="AD302" s="34"/>
      <c r="AE302" s="26"/>
      <c r="AF302" s="34">
        <v>1</v>
      </c>
      <c r="AG302" s="34"/>
      <c r="AH302" s="535"/>
      <c r="AI302" s="294"/>
    </row>
    <row r="303" spans="1:35" ht="14" x14ac:dyDescent="0.2">
      <c r="A303" s="294"/>
      <c r="B303" s="941"/>
      <c r="C303" s="66">
        <v>2</v>
      </c>
      <c r="D303" s="3" t="s">
        <v>645</v>
      </c>
      <c r="E303" s="3" t="s">
        <v>650</v>
      </c>
      <c r="F303" s="3" t="s">
        <v>21</v>
      </c>
      <c r="G303" s="3" t="s">
        <v>70</v>
      </c>
      <c r="H303" s="5" t="s">
        <v>697</v>
      </c>
      <c r="I303" s="76" t="s">
        <v>1738</v>
      </c>
      <c r="J303" s="802">
        <f>VLOOKUP("ANNUAL INFLATION IN THE COUNTRY",TableInputsData[],8,FALSE)</f>
        <v>0.03</v>
      </c>
      <c r="K303" s="135"/>
      <c r="L303" s="127"/>
      <c r="M303" s="134"/>
      <c r="N303" s="60"/>
      <c r="O303" s="504">
        <v>0</v>
      </c>
      <c r="P303" s="504">
        <v>0</v>
      </c>
      <c r="Q303" s="504">
        <v>0</v>
      </c>
      <c r="R303" s="504">
        <v>0</v>
      </c>
      <c r="S303" s="4">
        <f t="shared" ref="S303:S308" si="160">Q303+R303</f>
        <v>0</v>
      </c>
      <c r="T303" s="504">
        <v>0</v>
      </c>
      <c r="U303" s="504">
        <v>0</v>
      </c>
      <c r="V303" s="504">
        <v>0</v>
      </c>
      <c r="W303" s="504">
        <v>0</v>
      </c>
      <c r="X303" s="504">
        <v>0</v>
      </c>
      <c r="Y303" s="604" t="s">
        <v>1888</v>
      </c>
      <c r="Z303" s="3" t="str">
        <f>VLOOKUP($D303,TableInputsData[],ReadMe!$M$3,FALSE)&amp;"  |  "&amp;VLOOKUP($E303,TableInputsData[],ReadMe!$M$3,FALSE)&amp;"  |  "&amp;VLOOKUP($G303,TableInputsData[],ReadMe!$M$3,FALSE)&amp;IF(AF303=1,"  |  "&amp;VLOOKUP($H303,TableInputsData[],ReadMe!$M$3,FALSE),"")</f>
        <v>DEPENSES OPERATIONNELLES  |  COUTS DE L'OFFICE  |  OFFICE  |  NETTOYAGE (OFFICES + MAGASINS)</v>
      </c>
      <c r="AA303" s="3"/>
      <c r="AB303" s="34">
        <f t="shared" si="159"/>
        <v>0</v>
      </c>
      <c r="AC303" s="34"/>
      <c r="AD303" s="34"/>
      <c r="AE303" s="26"/>
      <c r="AF303" s="34">
        <v>1</v>
      </c>
      <c r="AG303" s="34"/>
      <c r="AH303" s="535"/>
      <c r="AI303" s="294"/>
    </row>
    <row r="304" spans="1:35" x14ac:dyDescent="0.2">
      <c r="A304" s="294"/>
      <c r="B304" s="941"/>
      <c r="C304" s="66">
        <v>2</v>
      </c>
      <c r="D304" s="3" t="s">
        <v>645</v>
      </c>
      <c r="E304" s="3" t="s">
        <v>650</v>
      </c>
      <c r="F304" s="3" t="s">
        <v>21</v>
      </c>
      <c r="G304" s="3" t="s">
        <v>70</v>
      </c>
      <c r="H304" s="502" t="s">
        <v>96</v>
      </c>
      <c r="I304" s="5"/>
      <c r="J304" s="802">
        <f>VLOOKUP("ANNUAL INFLATION IN THE COUNTRY",TableInputsData[],8,FALSE)</f>
        <v>0.03</v>
      </c>
      <c r="K304" s="135"/>
      <c r="L304" s="127"/>
      <c r="M304" s="134"/>
      <c r="N304" s="60"/>
      <c r="O304" s="504">
        <v>0</v>
      </c>
      <c r="P304" s="504">
        <v>0</v>
      </c>
      <c r="Q304" s="504">
        <v>0</v>
      </c>
      <c r="R304" s="504">
        <v>0</v>
      </c>
      <c r="S304" s="4">
        <f t="shared" si="160"/>
        <v>0</v>
      </c>
      <c r="T304" s="504">
        <v>0</v>
      </c>
      <c r="U304" s="504">
        <v>0</v>
      </c>
      <c r="V304" s="504">
        <v>0</v>
      </c>
      <c r="W304" s="504">
        <v>0</v>
      </c>
      <c r="X304" s="504">
        <v>0</v>
      </c>
      <c r="Y304" s="604"/>
      <c r="Z304" s="3" t="str">
        <f>VLOOKUP($D304,TableInputsData[],ReadMe!$M$3,FALSE)&amp;"  |  "&amp;VLOOKUP($E304,TableInputsData[],ReadMe!$M$3,FALSE)&amp;"  |  "&amp;VLOOKUP($G304,TableInputsData[],ReadMe!$M$3,FALSE)&amp;IF(AF304=1,"  |  "&amp;VLOOKUP($H304,TableInputsData[],ReadMe!$M$3,FALSE),"")</f>
        <v>DEPENSES OPERATIONNELLES  |  COUTS DE L'OFFICE  |  OFFICE</v>
      </c>
      <c r="AA304" s="3"/>
      <c r="AB304" s="34">
        <f t="shared" si="159"/>
        <v>0</v>
      </c>
      <c r="AC304" s="34"/>
      <c r="AD304" s="34"/>
      <c r="AE304" s="26"/>
      <c r="AF304" s="34">
        <v>0</v>
      </c>
      <c r="AG304" s="34"/>
      <c r="AH304" s="535"/>
      <c r="AI304" s="294"/>
    </row>
    <row r="305" spans="1:35" x14ac:dyDescent="0.2">
      <c r="A305" s="294"/>
      <c r="B305" s="941"/>
      <c r="C305" s="66">
        <v>2</v>
      </c>
      <c r="D305" s="3" t="s">
        <v>645</v>
      </c>
      <c r="E305" s="3" t="s">
        <v>650</v>
      </c>
      <c r="F305" s="3" t="s">
        <v>21</v>
      </c>
      <c r="G305" s="3" t="s">
        <v>70</v>
      </c>
      <c r="H305" s="502" t="s">
        <v>97</v>
      </c>
      <c r="I305" s="5"/>
      <c r="J305" s="802">
        <f>VLOOKUP("ANNUAL INFLATION IN THE COUNTRY",TableInputsData[],8,FALSE)</f>
        <v>0.03</v>
      </c>
      <c r="K305" s="135"/>
      <c r="L305" s="127"/>
      <c r="M305" s="134"/>
      <c r="N305" s="60"/>
      <c r="O305" s="504">
        <v>0</v>
      </c>
      <c r="P305" s="504">
        <v>0</v>
      </c>
      <c r="Q305" s="504">
        <v>0</v>
      </c>
      <c r="R305" s="504">
        <v>0</v>
      </c>
      <c r="S305" s="4">
        <f t="shared" si="160"/>
        <v>0</v>
      </c>
      <c r="T305" s="504">
        <v>0</v>
      </c>
      <c r="U305" s="504">
        <v>0</v>
      </c>
      <c r="V305" s="504">
        <v>0</v>
      </c>
      <c r="W305" s="504">
        <v>0</v>
      </c>
      <c r="X305" s="504">
        <v>0</v>
      </c>
      <c r="Y305" s="604"/>
      <c r="Z305" s="3" t="str">
        <f>VLOOKUP($D305,TableInputsData[],ReadMe!$M$3,FALSE)&amp;"  |  "&amp;VLOOKUP($E305,TableInputsData[],ReadMe!$M$3,FALSE)&amp;"  |  "&amp;VLOOKUP($G305,TableInputsData[],ReadMe!$M$3,FALSE)&amp;IF(AF305=1,"  |  "&amp;VLOOKUP($H305,TableInputsData[],ReadMe!$M$3,FALSE),"")</f>
        <v>DEPENSES OPERATIONNELLES  |  COUTS DE L'OFFICE  |  OFFICE</v>
      </c>
      <c r="AA305" s="3"/>
      <c r="AB305" s="34">
        <f t="shared" si="159"/>
        <v>0</v>
      </c>
      <c r="AC305" s="34"/>
      <c r="AD305" s="34"/>
      <c r="AE305" s="26"/>
      <c r="AF305" s="34">
        <v>0</v>
      </c>
      <c r="AG305" s="34"/>
      <c r="AH305" s="535"/>
      <c r="AI305" s="294"/>
    </row>
    <row r="306" spans="1:35" x14ac:dyDescent="0.2">
      <c r="A306" s="294"/>
      <c r="B306" s="941"/>
      <c r="C306" s="66">
        <v>2</v>
      </c>
      <c r="D306" s="3" t="s">
        <v>645</v>
      </c>
      <c r="E306" s="3" t="s">
        <v>650</v>
      </c>
      <c r="F306" s="3" t="s">
        <v>21</v>
      </c>
      <c r="G306" s="3" t="s">
        <v>70</v>
      </c>
      <c r="H306" s="502" t="s">
        <v>98</v>
      </c>
      <c r="I306" s="5"/>
      <c r="J306" s="802">
        <f>VLOOKUP("ANNUAL INFLATION IN THE COUNTRY",TableInputsData[],8,FALSE)</f>
        <v>0.03</v>
      </c>
      <c r="K306" s="135"/>
      <c r="L306" s="127"/>
      <c r="M306" s="134"/>
      <c r="N306" s="60"/>
      <c r="O306" s="504">
        <v>0</v>
      </c>
      <c r="P306" s="504">
        <v>0</v>
      </c>
      <c r="Q306" s="504">
        <v>0</v>
      </c>
      <c r="R306" s="504">
        <v>0</v>
      </c>
      <c r="S306" s="4">
        <f t="shared" si="160"/>
        <v>0</v>
      </c>
      <c r="T306" s="504">
        <v>0</v>
      </c>
      <c r="U306" s="504">
        <v>0</v>
      </c>
      <c r="V306" s="504">
        <v>0</v>
      </c>
      <c r="W306" s="504">
        <v>0</v>
      </c>
      <c r="X306" s="504">
        <v>0</v>
      </c>
      <c r="Y306" s="604"/>
      <c r="Z306" s="3" t="str">
        <f>VLOOKUP($D306,TableInputsData[],ReadMe!$M$3,FALSE)&amp;"  |  "&amp;VLOOKUP($E306,TableInputsData[],ReadMe!$M$3,FALSE)&amp;"  |  "&amp;VLOOKUP($G306,TableInputsData[],ReadMe!$M$3,FALSE)&amp;IF(AF306=1,"  |  "&amp;VLOOKUP($H306,TableInputsData[],ReadMe!$M$3,FALSE),"")</f>
        <v>DEPENSES OPERATIONNELLES  |  COUTS DE L'OFFICE  |  OFFICE</v>
      </c>
      <c r="AA306" s="3"/>
      <c r="AB306" s="34">
        <f t="shared" si="159"/>
        <v>0</v>
      </c>
      <c r="AC306" s="34"/>
      <c r="AD306" s="34"/>
      <c r="AE306" s="26"/>
      <c r="AF306" s="34">
        <v>0</v>
      </c>
      <c r="AG306" s="34"/>
      <c r="AH306" s="535"/>
      <c r="AI306" s="294"/>
    </row>
    <row r="307" spans="1:35" x14ac:dyDescent="0.2">
      <c r="A307" s="294"/>
      <c r="B307" s="941"/>
      <c r="C307" s="66">
        <v>2</v>
      </c>
      <c r="D307" s="3" t="s">
        <v>645</v>
      </c>
      <c r="E307" s="3" t="s">
        <v>650</v>
      </c>
      <c r="F307" s="3" t="s">
        <v>21</v>
      </c>
      <c r="G307" s="3" t="s">
        <v>70</v>
      </c>
      <c r="H307" s="502" t="s">
        <v>99</v>
      </c>
      <c r="I307" s="5"/>
      <c r="J307" s="802">
        <f>VLOOKUP("ANNUAL INFLATION IN THE COUNTRY",TableInputsData[],8,FALSE)</f>
        <v>0.03</v>
      </c>
      <c r="K307" s="135"/>
      <c r="L307" s="127"/>
      <c r="M307" s="134"/>
      <c r="N307" s="60"/>
      <c r="O307" s="504">
        <v>0</v>
      </c>
      <c r="P307" s="504">
        <v>0</v>
      </c>
      <c r="Q307" s="504">
        <v>0</v>
      </c>
      <c r="R307" s="504">
        <v>0</v>
      </c>
      <c r="S307" s="4">
        <f t="shared" si="160"/>
        <v>0</v>
      </c>
      <c r="T307" s="504">
        <v>0</v>
      </c>
      <c r="U307" s="504">
        <v>0</v>
      </c>
      <c r="V307" s="504">
        <v>0</v>
      </c>
      <c r="W307" s="504">
        <v>0</v>
      </c>
      <c r="X307" s="504">
        <v>0</v>
      </c>
      <c r="Y307" s="604"/>
      <c r="Z307" s="3" t="str">
        <f>VLOOKUP($D307,TableInputsData[],ReadMe!$M$3,FALSE)&amp;"  |  "&amp;VLOOKUP($E307,TableInputsData[],ReadMe!$M$3,FALSE)&amp;"  |  "&amp;VLOOKUP($G307,TableInputsData[],ReadMe!$M$3,FALSE)&amp;IF(AF307=1,"  |  "&amp;VLOOKUP($H307,TableInputsData[],ReadMe!$M$3,FALSE),"")</f>
        <v>DEPENSES OPERATIONNELLES  |  COUTS DE L'OFFICE  |  OFFICE</v>
      </c>
      <c r="AA307" s="3"/>
      <c r="AB307" s="34">
        <f t="shared" si="159"/>
        <v>0</v>
      </c>
      <c r="AC307" s="34"/>
      <c r="AD307" s="34"/>
      <c r="AE307" s="26"/>
      <c r="AF307" s="34">
        <v>0</v>
      </c>
      <c r="AG307" s="34"/>
      <c r="AH307" s="535"/>
      <c r="AI307" s="294"/>
    </row>
    <row r="308" spans="1:35" x14ac:dyDescent="0.2">
      <c r="A308" s="294"/>
      <c r="B308" s="941"/>
      <c r="C308" s="70">
        <v>2</v>
      </c>
      <c r="D308" s="6" t="s">
        <v>645</v>
      </c>
      <c r="E308" s="6" t="s">
        <v>650</v>
      </c>
      <c r="F308" s="6" t="s">
        <v>21</v>
      </c>
      <c r="G308" s="6" t="s">
        <v>70</v>
      </c>
      <c r="H308" s="503" t="s">
        <v>100</v>
      </c>
      <c r="I308" s="11"/>
      <c r="J308" s="802">
        <f>VLOOKUP("ANNUAL INFLATION IN THE COUNTRY",TableInputsData[],8,FALSE)</f>
        <v>0.03</v>
      </c>
      <c r="K308" s="135"/>
      <c r="L308" s="127"/>
      <c r="M308" s="134"/>
      <c r="N308" s="60"/>
      <c r="O308" s="505">
        <v>0</v>
      </c>
      <c r="P308" s="505">
        <v>0</v>
      </c>
      <c r="Q308" s="505">
        <v>0</v>
      </c>
      <c r="R308" s="505">
        <v>0</v>
      </c>
      <c r="S308" s="7">
        <f t="shared" si="160"/>
        <v>0</v>
      </c>
      <c r="T308" s="505">
        <v>0</v>
      </c>
      <c r="U308" s="505">
        <v>0</v>
      </c>
      <c r="V308" s="505">
        <v>0</v>
      </c>
      <c r="W308" s="505">
        <v>0</v>
      </c>
      <c r="X308" s="505">
        <v>0</v>
      </c>
      <c r="Y308" s="605"/>
      <c r="Z308" s="6" t="str">
        <f>VLOOKUP($D308,TableInputsData[],ReadMe!$M$3,FALSE)&amp;"  |  "&amp;VLOOKUP($E308,TableInputsData[],ReadMe!$M$3,FALSE)&amp;"  |  "&amp;VLOOKUP($G308,TableInputsData[],ReadMe!$M$3,FALSE)&amp;IF(AF308=1,"  |  "&amp;VLOOKUP($H308,TableInputsData[],ReadMe!$M$3,FALSE),"")</f>
        <v>DEPENSES OPERATIONNELLES  |  COUTS DE L'OFFICE  |  OFFICE</v>
      </c>
      <c r="AA308" s="6"/>
      <c r="AB308" s="36">
        <f t="shared" si="159"/>
        <v>0</v>
      </c>
      <c r="AC308" s="36"/>
      <c r="AD308" s="36"/>
      <c r="AE308" s="91"/>
      <c r="AF308" s="34">
        <v>0</v>
      </c>
      <c r="AG308" s="36"/>
      <c r="AH308" s="536"/>
      <c r="AI308" s="294"/>
    </row>
    <row r="309" spans="1:35" x14ac:dyDescent="0.2">
      <c r="A309" s="294"/>
      <c r="B309" s="941"/>
      <c r="C309" s="67">
        <v>2</v>
      </c>
      <c r="D309" s="16" t="s">
        <v>645</v>
      </c>
      <c r="E309" s="16" t="s">
        <v>650</v>
      </c>
      <c r="F309" s="16" t="s">
        <v>21</v>
      </c>
      <c r="G309" s="16" t="s">
        <v>70</v>
      </c>
      <c r="H309" s="17" t="s">
        <v>29</v>
      </c>
      <c r="I309" s="17"/>
      <c r="J309" s="27"/>
      <c r="K309" s="27"/>
      <c r="L309" s="97"/>
      <c r="M309" s="112"/>
      <c r="N309" s="18"/>
      <c r="O309" s="18">
        <f t="shared" ref="O309:X309" si="161">SUM(O294:O308)</f>
        <v>0</v>
      </c>
      <c r="P309" s="18">
        <f t="shared" si="161"/>
        <v>0</v>
      </c>
      <c r="Q309" s="18">
        <f t="shared" si="161"/>
        <v>0</v>
      </c>
      <c r="R309" s="18">
        <f t="shared" si="161"/>
        <v>0</v>
      </c>
      <c r="S309" s="18">
        <f t="shared" si="161"/>
        <v>0</v>
      </c>
      <c r="T309" s="18">
        <f>SUM(T294:T308)</f>
        <v>0</v>
      </c>
      <c r="U309" s="18">
        <f t="shared" si="161"/>
        <v>0</v>
      </c>
      <c r="V309" s="18">
        <f t="shared" si="161"/>
        <v>0</v>
      </c>
      <c r="W309" s="18">
        <f t="shared" si="161"/>
        <v>0</v>
      </c>
      <c r="X309" s="18">
        <f t="shared" si="161"/>
        <v>0</v>
      </c>
      <c r="Y309" s="18"/>
      <c r="Z309" s="16"/>
      <c r="AA309" s="16"/>
      <c r="AB309" s="27">
        <v>1</v>
      </c>
      <c r="AC309" s="27"/>
      <c r="AD309" s="27"/>
      <c r="AE309" s="27"/>
      <c r="AF309" s="27"/>
      <c r="AG309" s="27"/>
      <c r="AH309" s="533"/>
      <c r="AI309" s="294"/>
    </row>
    <row r="310" spans="1:35" x14ac:dyDescent="0.2">
      <c r="A310" s="294"/>
      <c r="B310" s="941"/>
      <c r="C310" s="71">
        <v>2</v>
      </c>
      <c r="D310" s="8"/>
      <c r="E310" s="8"/>
      <c r="F310" s="8"/>
      <c r="G310" s="8"/>
      <c r="H310" s="9"/>
      <c r="I310" s="9"/>
      <c r="J310" s="87"/>
      <c r="K310" s="87"/>
      <c r="L310" s="98"/>
      <c r="M310" s="113"/>
      <c r="N310" s="10"/>
      <c r="O310" s="10"/>
      <c r="P310" s="10"/>
      <c r="Q310" s="10"/>
      <c r="R310" s="10"/>
      <c r="S310" s="10"/>
      <c r="T310" s="10"/>
      <c r="U310" s="10"/>
      <c r="V310" s="10"/>
      <c r="W310" s="10"/>
      <c r="X310" s="10"/>
      <c r="Y310" s="10"/>
      <c r="Z310" s="8"/>
      <c r="AA310" s="8"/>
      <c r="AB310" s="35"/>
      <c r="AC310" s="35"/>
      <c r="AD310" s="35"/>
      <c r="AE310" s="87"/>
      <c r="AF310" s="35"/>
      <c r="AG310" s="35"/>
      <c r="AH310" s="534"/>
      <c r="AI310" s="294"/>
    </row>
    <row r="311" spans="1:35" ht="12.75" customHeight="1" x14ac:dyDescent="0.2">
      <c r="A311" s="294"/>
      <c r="B311" s="941"/>
      <c r="C311" s="66">
        <v>2</v>
      </c>
      <c r="D311" s="3" t="s">
        <v>645</v>
      </c>
      <c r="E311" s="3" t="s">
        <v>657</v>
      </c>
      <c r="F311" s="3" t="s">
        <v>21</v>
      </c>
      <c r="G311" s="3" t="s">
        <v>862</v>
      </c>
      <c r="H311" s="5" t="s">
        <v>696</v>
      </c>
      <c r="I311" s="5"/>
      <c r="J311" s="802"/>
      <c r="K311" s="135"/>
      <c r="L311" s="127"/>
      <c r="M311" s="134"/>
      <c r="N311" s="60"/>
      <c r="O311" s="504">
        <v>0</v>
      </c>
      <c r="P311" s="504">
        <v>0</v>
      </c>
      <c r="Q311" s="504">
        <v>0</v>
      </c>
      <c r="R311" s="504">
        <v>0</v>
      </c>
      <c r="S311" s="4">
        <f t="shared" ref="S311:S319" si="162">Q311+R311</f>
        <v>0</v>
      </c>
      <c r="T311" s="504">
        <v>0</v>
      </c>
      <c r="U311" s="504">
        <v>0</v>
      </c>
      <c r="V311" s="504">
        <v>0</v>
      </c>
      <c r="W311" s="504">
        <v>0</v>
      </c>
      <c r="X311" s="504">
        <v>0</v>
      </c>
      <c r="Y311" s="604"/>
      <c r="Z311" s="3" t="str">
        <f>VLOOKUP($D311,TableInputsData[],ReadMe!$M$3,FALSE)&amp;"  |  "&amp;VLOOKUP($E311,TableInputsData[],ReadMe!$M$3,FALSE)&amp;"  |  "&amp;VLOOKUP($G311,TableInputsData[],ReadMe!$M$3,FALSE)&amp;IF(AF311=1,"  |  "&amp;VLOOKUP($H311,TableInputsData[],ReadMe!$M$3,FALSE),"")</f>
        <v>DEPENSES OPERATIONNELLES  |  AUTRES CHARGES  |  AUTRES CHARGES  |  MEDECINE DU TRAVAIL ET PHARMACIE</v>
      </c>
      <c r="AA311" s="3"/>
      <c r="AB311" s="34">
        <f t="shared" ref="AB311:AB319" si="163">IF(SUM(O311:X311)=0,0,1)</f>
        <v>0</v>
      </c>
      <c r="AC311" s="34"/>
      <c r="AD311" s="34"/>
      <c r="AE311" s="26"/>
      <c r="AF311" s="34">
        <v>1</v>
      </c>
      <c r="AG311" s="34"/>
      <c r="AH311" s="535"/>
      <c r="AI311" s="294"/>
    </row>
    <row r="312" spans="1:35" x14ac:dyDescent="0.2">
      <c r="A312" s="294"/>
      <c r="B312" s="941"/>
      <c r="C312" s="66">
        <v>2</v>
      </c>
      <c r="D312" s="3" t="s">
        <v>645</v>
      </c>
      <c r="E312" s="3" t="s">
        <v>657</v>
      </c>
      <c r="F312" s="3" t="s">
        <v>21</v>
      </c>
      <c r="G312" s="3" t="s">
        <v>862</v>
      </c>
      <c r="H312" s="5" t="s">
        <v>690</v>
      </c>
      <c r="I312" s="5"/>
      <c r="J312" s="802"/>
      <c r="K312" s="135"/>
      <c r="L312" s="127"/>
      <c r="M312" s="134"/>
      <c r="N312" s="60"/>
      <c r="O312" s="504">
        <v>0</v>
      </c>
      <c r="P312" s="504">
        <v>0</v>
      </c>
      <c r="Q312" s="504">
        <v>0</v>
      </c>
      <c r="R312" s="504">
        <v>0</v>
      </c>
      <c r="S312" s="4">
        <f t="shared" si="162"/>
        <v>0</v>
      </c>
      <c r="T312" s="504">
        <v>0</v>
      </c>
      <c r="U312" s="504">
        <v>0</v>
      </c>
      <c r="V312" s="504">
        <v>0</v>
      </c>
      <c r="W312" s="504">
        <v>0</v>
      </c>
      <c r="X312" s="504">
        <v>0</v>
      </c>
      <c r="Y312" s="604"/>
      <c r="Z312" s="3" t="str">
        <f>VLOOKUP($D312,TableInputsData[],ReadMe!$M$3,FALSE)&amp;"  |  "&amp;VLOOKUP($E312,TableInputsData[],ReadMe!$M$3,FALSE)&amp;"  |  "&amp;VLOOKUP($G312,TableInputsData[],ReadMe!$M$3,FALSE)&amp;IF(AF312=1,"  |  "&amp;VLOOKUP($H312,TableInputsData[],ReadMe!$M$3,FALSE),"")</f>
        <v>DEPENSES OPERATIONNELLES  |  AUTRES CHARGES  |  AUTRES CHARGES  |  INDEMNITES DE FONCTION ET REMUNERATIONS D'ADMINISTRATEURS</v>
      </c>
      <c r="AA312" s="3"/>
      <c r="AB312" s="34">
        <f t="shared" si="163"/>
        <v>0</v>
      </c>
      <c r="AC312" s="34"/>
      <c r="AD312" s="34"/>
      <c r="AE312" s="26"/>
      <c r="AF312" s="34">
        <v>1</v>
      </c>
      <c r="AG312" s="34"/>
      <c r="AH312" s="535"/>
      <c r="AI312" s="294"/>
    </row>
    <row r="313" spans="1:35" x14ac:dyDescent="0.2">
      <c r="A313" s="294"/>
      <c r="B313" s="941"/>
      <c r="C313" s="66">
        <v>2</v>
      </c>
      <c r="D313" s="3" t="s">
        <v>645</v>
      </c>
      <c r="E313" s="3" t="s">
        <v>657</v>
      </c>
      <c r="F313" s="3" t="s">
        <v>21</v>
      </c>
      <c r="G313" s="3" t="s">
        <v>862</v>
      </c>
      <c r="H313" s="5" t="s">
        <v>681</v>
      </c>
      <c r="I313" s="5"/>
      <c r="J313" s="802"/>
      <c r="K313" s="135"/>
      <c r="L313" s="127"/>
      <c r="M313" s="134"/>
      <c r="N313" s="60"/>
      <c r="O313" s="504">
        <v>0</v>
      </c>
      <c r="P313" s="504">
        <v>0</v>
      </c>
      <c r="Q313" s="504">
        <v>0</v>
      </c>
      <c r="R313" s="504">
        <v>0</v>
      </c>
      <c r="S313" s="4">
        <f t="shared" si="162"/>
        <v>0</v>
      </c>
      <c r="T313" s="504">
        <v>0</v>
      </c>
      <c r="U313" s="504">
        <v>0</v>
      </c>
      <c r="V313" s="504">
        <v>0</v>
      </c>
      <c r="W313" s="504">
        <v>0</v>
      </c>
      <c r="X313" s="504">
        <v>0</v>
      </c>
      <c r="Y313" s="604"/>
      <c r="Z313" s="3" t="str">
        <f>VLOOKUP($D313,TableInputsData[],ReadMe!$M$3,FALSE)&amp;"  |  "&amp;VLOOKUP($E313,TableInputsData[],ReadMe!$M$3,FALSE)&amp;"  |  "&amp;VLOOKUP($G313,TableInputsData[],ReadMe!$M$3,FALSE)&amp;IF(AF313=1,"  |  "&amp;VLOOKUP($H313,TableInputsData[],ReadMe!$M$3,FALSE),"")</f>
        <v>DEPENSES OPERATIONNELLES  |  AUTRES CHARGES  |  AUTRES CHARGES  |  DONS</v>
      </c>
      <c r="AA313" s="3"/>
      <c r="AB313" s="34">
        <f t="shared" si="163"/>
        <v>0</v>
      </c>
      <c r="AC313" s="34"/>
      <c r="AD313" s="34"/>
      <c r="AE313" s="26"/>
      <c r="AF313" s="34">
        <v>1</v>
      </c>
      <c r="AG313" s="34"/>
      <c r="AH313" s="535"/>
      <c r="AI313" s="294"/>
    </row>
    <row r="314" spans="1:35" x14ac:dyDescent="0.2">
      <c r="A314" s="294"/>
      <c r="B314" s="941"/>
      <c r="C314" s="66">
        <v>2</v>
      </c>
      <c r="D314" s="3" t="s">
        <v>645</v>
      </c>
      <c r="E314" s="3" t="s">
        <v>657</v>
      </c>
      <c r="F314" s="3" t="s">
        <v>21</v>
      </c>
      <c r="G314" s="3" t="s">
        <v>862</v>
      </c>
      <c r="H314" s="5" t="s">
        <v>695</v>
      </c>
      <c r="I314" s="5"/>
      <c r="J314" s="802"/>
      <c r="K314" s="135"/>
      <c r="L314" s="127"/>
      <c r="M314" s="134"/>
      <c r="N314" s="60"/>
      <c r="O314" s="504">
        <v>0</v>
      </c>
      <c r="P314" s="504">
        <v>0</v>
      </c>
      <c r="Q314" s="504">
        <v>0</v>
      </c>
      <c r="R314" s="504">
        <v>0</v>
      </c>
      <c r="S314" s="4">
        <f t="shared" si="162"/>
        <v>0</v>
      </c>
      <c r="T314" s="504">
        <v>0</v>
      </c>
      <c r="U314" s="504">
        <v>0</v>
      </c>
      <c r="V314" s="504">
        <v>0</v>
      </c>
      <c r="W314" s="504">
        <v>0</v>
      </c>
      <c r="X314" s="504">
        <v>0</v>
      </c>
      <c r="Y314" s="604"/>
      <c r="Z314" s="3" t="str">
        <f>VLOOKUP($D314,TableInputsData[],ReadMe!$M$3,FALSE)&amp;"  |  "&amp;VLOOKUP($E314,TableInputsData[],ReadMe!$M$3,FALSE)&amp;"  |  "&amp;VLOOKUP($G314,TableInputsData[],ReadMe!$M$3,FALSE)&amp;IF(AF314=1,"  |  "&amp;VLOOKUP($H314,TableInputsData[],ReadMe!$M$3,FALSE),"")</f>
        <v>DEPENSES OPERATIONNELLES  |  AUTRES CHARGES  |  AUTRES CHARGES  |  MECENAT</v>
      </c>
      <c r="AA314" s="3"/>
      <c r="AB314" s="34">
        <f t="shared" si="163"/>
        <v>0</v>
      </c>
      <c r="AC314" s="34"/>
      <c r="AD314" s="34"/>
      <c r="AE314" s="26"/>
      <c r="AF314" s="34">
        <v>1</v>
      </c>
      <c r="AG314" s="34"/>
      <c r="AH314" s="535"/>
      <c r="AI314" s="294"/>
    </row>
    <row r="315" spans="1:35" x14ac:dyDescent="0.2">
      <c r="A315" s="294"/>
      <c r="B315" s="941"/>
      <c r="C315" s="66">
        <v>2</v>
      </c>
      <c r="D315" s="3" t="s">
        <v>645</v>
      </c>
      <c r="E315" s="3" t="s">
        <v>657</v>
      </c>
      <c r="F315" s="3" t="s">
        <v>21</v>
      </c>
      <c r="G315" s="3" t="s">
        <v>862</v>
      </c>
      <c r="H315" s="502" t="s">
        <v>96</v>
      </c>
      <c r="I315" s="5"/>
      <c r="J315" s="802"/>
      <c r="K315" s="135"/>
      <c r="L315" s="127"/>
      <c r="M315" s="134"/>
      <c r="N315" s="60"/>
      <c r="O315" s="504">
        <v>0</v>
      </c>
      <c r="P315" s="504">
        <v>0</v>
      </c>
      <c r="Q315" s="504">
        <v>0</v>
      </c>
      <c r="R315" s="504">
        <v>0</v>
      </c>
      <c r="S315" s="4">
        <f t="shared" si="162"/>
        <v>0</v>
      </c>
      <c r="T315" s="504">
        <v>0</v>
      </c>
      <c r="U315" s="504">
        <v>0</v>
      </c>
      <c r="V315" s="504">
        <v>0</v>
      </c>
      <c r="W315" s="504">
        <v>0</v>
      </c>
      <c r="X315" s="504">
        <v>0</v>
      </c>
      <c r="Y315" s="604"/>
      <c r="Z315" s="3" t="str">
        <f>VLOOKUP($D315,TableInputsData[],ReadMe!$M$3,FALSE)&amp;"  |  "&amp;VLOOKUP($E315,TableInputsData[],ReadMe!$M$3,FALSE)&amp;"  |  "&amp;VLOOKUP($G315,TableInputsData[],ReadMe!$M$3,FALSE)&amp;IF(AF315=1,"  |  "&amp;VLOOKUP($H315,TableInputsData[],ReadMe!$M$3,FALSE),"")</f>
        <v>DEPENSES OPERATIONNELLES  |  AUTRES CHARGES  |  AUTRES CHARGES</v>
      </c>
      <c r="AA315" s="3"/>
      <c r="AB315" s="34">
        <f t="shared" si="163"/>
        <v>0</v>
      </c>
      <c r="AC315" s="34"/>
      <c r="AD315" s="34"/>
      <c r="AE315" s="26"/>
      <c r="AF315" s="34">
        <v>0</v>
      </c>
      <c r="AG315" s="34"/>
      <c r="AH315" s="535"/>
      <c r="AI315" s="294"/>
    </row>
    <row r="316" spans="1:35" x14ac:dyDescent="0.2">
      <c r="A316" s="294"/>
      <c r="B316" s="941"/>
      <c r="C316" s="66">
        <v>2</v>
      </c>
      <c r="D316" s="3" t="s">
        <v>645</v>
      </c>
      <c r="E316" s="3" t="s">
        <v>657</v>
      </c>
      <c r="F316" s="3" t="s">
        <v>21</v>
      </c>
      <c r="G316" s="3" t="s">
        <v>862</v>
      </c>
      <c r="H316" s="502" t="s">
        <v>97</v>
      </c>
      <c r="I316" s="5"/>
      <c r="J316" s="802"/>
      <c r="K316" s="135"/>
      <c r="L316" s="127"/>
      <c r="M316" s="134"/>
      <c r="N316" s="60"/>
      <c r="O316" s="504">
        <v>0</v>
      </c>
      <c r="P316" s="504">
        <v>0</v>
      </c>
      <c r="Q316" s="504">
        <v>0</v>
      </c>
      <c r="R316" s="504">
        <v>0</v>
      </c>
      <c r="S316" s="4">
        <f t="shared" ref="S316:S317" si="164">Q316+R316</f>
        <v>0</v>
      </c>
      <c r="T316" s="504">
        <v>0</v>
      </c>
      <c r="U316" s="504">
        <v>0</v>
      </c>
      <c r="V316" s="504">
        <v>0</v>
      </c>
      <c r="W316" s="504">
        <v>0</v>
      </c>
      <c r="X316" s="504">
        <v>0</v>
      </c>
      <c r="Y316" s="604"/>
      <c r="Z316" s="3" t="str">
        <f>VLOOKUP($D316,TableInputsData[],ReadMe!$M$3,FALSE)&amp;"  |  "&amp;VLOOKUP($E316,TableInputsData[],ReadMe!$M$3,FALSE)&amp;"  |  "&amp;VLOOKUP($G316,TableInputsData[],ReadMe!$M$3,FALSE)&amp;IF(AF316=1,"  |  "&amp;VLOOKUP($H316,TableInputsData[],ReadMe!$M$3,FALSE),"")</f>
        <v>DEPENSES OPERATIONNELLES  |  AUTRES CHARGES  |  AUTRES CHARGES</v>
      </c>
      <c r="AA316" s="3"/>
      <c r="AB316" s="34">
        <f t="shared" ref="AB316:AB317" si="165">IF(SUM(O316:X316)=0,0,1)</f>
        <v>0</v>
      </c>
      <c r="AC316" s="34"/>
      <c r="AD316" s="34"/>
      <c r="AE316" s="26"/>
      <c r="AF316" s="34">
        <v>0</v>
      </c>
      <c r="AG316" s="34"/>
      <c r="AH316" s="535"/>
      <c r="AI316" s="294"/>
    </row>
    <row r="317" spans="1:35" x14ac:dyDescent="0.2">
      <c r="A317" s="294"/>
      <c r="B317" s="941"/>
      <c r="C317" s="66">
        <v>2</v>
      </c>
      <c r="D317" s="3" t="s">
        <v>645</v>
      </c>
      <c r="E317" s="3" t="s">
        <v>657</v>
      </c>
      <c r="F317" s="3" t="s">
        <v>21</v>
      </c>
      <c r="G317" s="3" t="s">
        <v>862</v>
      </c>
      <c r="H317" s="502" t="s">
        <v>98</v>
      </c>
      <c r="I317" s="5"/>
      <c r="J317" s="802"/>
      <c r="K317" s="135"/>
      <c r="L317" s="127"/>
      <c r="M317" s="134"/>
      <c r="N317" s="60"/>
      <c r="O317" s="504">
        <v>0</v>
      </c>
      <c r="P317" s="504">
        <v>0</v>
      </c>
      <c r="Q317" s="504">
        <v>0</v>
      </c>
      <c r="R317" s="504">
        <v>0</v>
      </c>
      <c r="S317" s="4">
        <f t="shared" si="164"/>
        <v>0</v>
      </c>
      <c r="T317" s="504">
        <v>0</v>
      </c>
      <c r="U317" s="504">
        <v>0</v>
      </c>
      <c r="V317" s="504">
        <v>0</v>
      </c>
      <c r="W317" s="504">
        <v>0</v>
      </c>
      <c r="X317" s="504">
        <v>0</v>
      </c>
      <c r="Y317" s="604"/>
      <c r="Z317" s="3" t="str">
        <f>VLOOKUP($D317,TableInputsData[],ReadMe!$M$3,FALSE)&amp;"  |  "&amp;VLOOKUP($E317,TableInputsData[],ReadMe!$M$3,FALSE)&amp;"  |  "&amp;VLOOKUP($G317,TableInputsData[],ReadMe!$M$3,FALSE)&amp;IF(AF317=1,"  |  "&amp;VLOOKUP($H317,TableInputsData[],ReadMe!$M$3,FALSE),"")</f>
        <v>DEPENSES OPERATIONNELLES  |  AUTRES CHARGES  |  AUTRES CHARGES</v>
      </c>
      <c r="AA317" s="3"/>
      <c r="AB317" s="34">
        <f t="shared" si="165"/>
        <v>0</v>
      </c>
      <c r="AC317" s="34"/>
      <c r="AD317" s="34"/>
      <c r="AE317" s="26"/>
      <c r="AF317" s="34">
        <v>0</v>
      </c>
      <c r="AG317" s="34"/>
      <c r="AH317" s="535"/>
      <c r="AI317" s="294"/>
    </row>
    <row r="318" spans="1:35" x14ac:dyDescent="0.2">
      <c r="A318" s="294"/>
      <c r="B318" s="941"/>
      <c r="C318" s="66">
        <v>2</v>
      </c>
      <c r="D318" s="3" t="s">
        <v>645</v>
      </c>
      <c r="E318" s="3" t="s">
        <v>657</v>
      </c>
      <c r="F318" s="3" t="s">
        <v>21</v>
      </c>
      <c r="G318" s="3" t="s">
        <v>862</v>
      </c>
      <c r="H318" s="502" t="s">
        <v>99</v>
      </c>
      <c r="I318" s="5"/>
      <c r="J318" s="802"/>
      <c r="K318" s="135"/>
      <c r="L318" s="127"/>
      <c r="M318" s="134"/>
      <c r="N318" s="60"/>
      <c r="O318" s="504">
        <v>0</v>
      </c>
      <c r="P318" s="504">
        <v>0</v>
      </c>
      <c r="Q318" s="504">
        <v>0</v>
      </c>
      <c r="R318" s="504">
        <v>0</v>
      </c>
      <c r="S318" s="4">
        <f t="shared" si="162"/>
        <v>0</v>
      </c>
      <c r="T318" s="504">
        <v>0</v>
      </c>
      <c r="U318" s="504">
        <v>0</v>
      </c>
      <c r="V318" s="504">
        <v>0</v>
      </c>
      <c r="W318" s="504">
        <v>0</v>
      </c>
      <c r="X318" s="504">
        <v>0</v>
      </c>
      <c r="Y318" s="604"/>
      <c r="Z318" s="3" t="str">
        <f>VLOOKUP($D318,TableInputsData[],ReadMe!$M$3,FALSE)&amp;"  |  "&amp;VLOOKUP($E318,TableInputsData[],ReadMe!$M$3,FALSE)&amp;"  |  "&amp;VLOOKUP($G318,TableInputsData[],ReadMe!$M$3,FALSE)&amp;IF(AF318=1,"  |  "&amp;VLOOKUP($H318,TableInputsData[],ReadMe!$M$3,FALSE),"")</f>
        <v>DEPENSES OPERATIONNELLES  |  AUTRES CHARGES  |  AUTRES CHARGES</v>
      </c>
      <c r="AA318" s="3"/>
      <c r="AB318" s="34">
        <f t="shared" si="163"/>
        <v>0</v>
      </c>
      <c r="AC318" s="34"/>
      <c r="AD318" s="34"/>
      <c r="AE318" s="26"/>
      <c r="AF318" s="34">
        <v>0</v>
      </c>
      <c r="AG318" s="34"/>
      <c r="AH318" s="535"/>
      <c r="AI318" s="294"/>
    </row>
    <row r="319" spans="1:35" x14ac:dyDescent="0.2">
      <c r="A319" s="294"/>
      <c r="B319" s="941"/>
      <c r="C319" s="70">
        <v>2</v>
      </c>
      <c r="D319" s="6" t="s">
        <v>645</v>
      </c>
      <c r="E319" s="6" t="s">
        <v>657</v>
      </c>
      <c r="F319" s="6" t="s">
        <v>21</v>
      </c>
      <c r="G319" s="6" t="s">
        <v>862</v>
      </c>
      <c r="H319" s="503" t="s">
        <v>100</v>
      </c>
      <c r="I319" s="11"/>
      <c r="J319" s="802"/>
      <c r="K319" s="135"/>
      <c r="L319" s="127"/>
      <c r="M319" s="134"/>
      <c r="N319" s="60"/>
      <c r="O319" s="505">
        <v>0</v>
      </c>
      <c r="P319" s="505">
        <v>0</v>
      </c>
      <c r="Q319" s="505">
        <v>0</v>
      </c>
      <c r="R319" s="505">
        <v>0</v>
      </c>
      <c r="S319" s="7">
        <f t="shared" si="162"/>
        <v>0</v>
      </c>
      <c r="T319" s="505">
        <v>0</v>
      </c>
      <c r="U319" s="505">
        <v>0</v>
      </c>
      <c r="V319" s="505">
        <v>0</v>
      </c>
      <c r="W319" s="505">
        <v>0</v>
      </c>
      <c r="X319" s="505">
        <v>0</v>
      </c>
      <c r="Y319" s="605"/>
      <c r="Z319" s="6" t="str">
        <f>VLOOKUP($D319,TableInputsData[],ReadMe!$M$3,FALSE)&amp;"  |  "&amp;VLOOKUP($E319,TableInputsData[],ReadMe!$M$3,FALSE)&amp;"  |  "&amp;VLOOKUP($G319,TableInputsData[],ReadMe!$M$3,FALSE)&amp;IF(AF319=1,"  |  "&amp;VLOOKUP($H319,TableInputsData[],ReadMe!$M$3,FALSE),"")</f>
        <v>DEPENSES OPERATIONNELLES  |  AUTRES CHARGES  |  AUTRES CHARGES</v>
      </c>
      <c r="AA319" s="6"/>
      <c r="AB319" s="36">
        <f t="shared" si="163"/>
        <v>0</v>
      </c>
      <c r="AC319" s="36"/>
      <c r="AD319" s="36"/>
      <c r="AE319" s="91"/>
      <c r="AF319" s="36">
        <v>0</v>
      </c>
      <c r="AG319" s="36"/>
      <c r="AH319" s="536"/>
      <c r="AI319" s="294"/>
    </row>
    <row r="320" spans="1:35" x14ac:dyDescent="0.2">
      <c r="A320" s="294"/>
      <c r="B320" s="941"/>
      <c r="C320" s="67">
        <v>2</v>
      </c>
      <c r="D320" s="16" t="s">
        <v>645</v>
      </c>
      <c r="E320" s="16" t="s">
        <v>657</v>
      </c>
      <c r="F320" s="16" t="s">
        <v>21</v>
      </c>
      <c r="G320" s="16" t="s">
        <v>862</v>
      </c>
      <c r="H320" s="17" t="s">
        <v>29</v>
      </c>
      <c r="I320" s="17"/>
      <c r="J320" s="27"/>
      <c r="K320" s="27"/>
      <c r="L320" s="97"/>
      <c r="M320" s="112"/>
      <c r="N320" s="18"/>
      <c r="O320" s="18">
        <f>SUM(O311:O319)</f>
        <v>0</v>
      </c>
      <c r="P320" s="18">
        <f t="shared" ref="P320:X320" si="166">SUM(P311:P319)</f>
        <v>0</v>
      </c>
      <c r="Q320" s="18">
        <f t="shared" si="166"/>
        <v>0</v>
      </c>
      <c r="R320" s="18">
        <f t="shared" si="166"/>
        <v>0</v>
      </c>
      <c r="S320" s="18">
        <f t="shared" si="166"/>
        <v>0</v>
      </c>
      <c r="T320" s="18">
        <f t="shared" si="166"/>
        <v>0</v>
      </c>
      <c r="U320" s="18">
        <f t="shared" si="166"/>
        <v>0</v>
      </c>
      <c r="V320" s="18">
        <f t="shared" si="166"/>
        <v>0</v>
      </c>
      <c r="W320" s="18">
        <f t="shared" si="166"/>
        <v>0</v>
      </c>
      <c r="X320" s="18">
        <f t="shared" si="166"/>
        <v>0</v>
      </c>
      <c r="Y320" s="18"/>
      <c r="Z320" s="16"/>
      <c r="AA320" s="16"/>
      <c r="AB320" s="27">
        <v>1</v>
      </c>
      <c r="AC320" s="27"/>
      <c r="AD320" s="27"/>
      <c r="AE320" s="27"/>
      <c r="AF320" s="27"/>
      <c r="AG320" s="27"/>
      <c r="AH320" s="533"/>
      <c r="AI320" s="294"/>
    </row>
    <row r="321" spans="1:35" x14ac:dyDescent="0.2">
      <c r="A321" s="294"/>
      <c r="B321" s="941"/>
      <c r="C321" s="71">
        <v>2</v>
      </c>
      <c r="D321" s="8"/>
      <c r="E321" s="8"/>
      <c r="F321" s="8"/>
      <c r="G321" s="8"/>
      <c r="H321" s="9"/>
      <c r="I321" s="9"/>
      <c r="J321" s="87"/>
      <c r="K321" s="87"/>
      <c r="L321" s="98"/>
      <c r="M321" s="113"/>
      <c r="N321" s="10"/>
      <c r="O321" s="10"/>
      <c r="P321" s="10"/>
      <c r="Q321" s="10"/>
      <c r="R321" s="10"/>
      <c r="S321" s="10"/>
      <c r="T321" s="10"/>
      <c r="U321" s="10"/>
      <c r="V321" s="10"/>
      <c r="W321" s="10"/>
      <c r="X321" s="10"/>
      <c r="Y321" s="10"/>
      <c r="Z321" s="8"/>
      <c r="AA321" s="8"/>
      <c r="AB321" s="35"/>
      <c r="AC321" s="35"/>
      <c r="AD321" s="35"/>
      <c r="AE321" s="87"/>
      <c r="AF321" s="35"/>
      <c r="AG321" s="35"/>
      <c r="AH321" s="534"/>
      <c r="AI321" s="294"/>
    </row>
    <row r="322" spans="1:35" ht="12.75" customHeight="1" x14ac:dyDescent="0.2">
      <c r="A322" s="294"/>
      <c r="B322" s="941"/>
      <c r="C322" s="66">
        <v>2</v>
      </c>
      <c r="D322" s="3" t="s">
        <v>645</v>
      </c>
      <c r="E322" s="3" t="s">
        <v>658</v>
      </c>
      <c r="F322" s="3" t="s">
        <v>1035</v>
      </c>
      <c r="G322" s="3" t="s">
        <v>663</v>
      </c>
      <c r="H322" s="5" t="s">
        <v>698</v>
      </c>
      <c r="I322" s="76" t="s">
        <v>752</v>
      </c>
      <c r="J322" s="802"/>
      <c r="K322" s="135"/>
      <c r="L322" s="127"/>
      <c r="M322" s="134"/>
      <c r="N322" s="60"/>
      <c r="O322" s="506">
        <v>0</v>
      </c>
      <c r="P322" s="506">
        <v>0</v>
      </c>
      <c r="Q322" s="506">
        <v>0</v>
      </c>
      <c r="R322" s="506">
        <v>0</v>
      </c>
      <c r="S322" s="12">
        <f>(Q322+R322)/2</f>
        <v>0</v>
      </c>
      <c r="T322" s="506">
        <v>1</v>
      </c>
      <c r="U322" s="506">
        <v>1</v>
      </c>
      <c r="V322" s="506">
        <v>1</v>
      </c>
      <c r="W322" s="506">
        <v>1</v>
      </c>
      <c r="X322" s="506">
        <v>1</v>
      </c>
      <c r="Y322" s="606" t="s">
        <v>1889</v>
      </c>
      <c r="Z322" s="3" t="str">
        <f>VLOOKUP($D322,TableInputsData[],ReadMe!$M$3,FALSE)&amp;"  |  "&amp;VLOOKUP($E322,TableInputsData[],ReadMe!$M$3,FALSE)&amp;"  |  "&amp;VLOOKUP($G322,TableInputsData[],ReadMe!$M$3,FALSE)&amp;IF(AF322=1,"  |  "&amp;VLOOKUP($H322,TableInputsData[],ReadMe!$M$3,FALSE),"")</f>
        <v>DEPENSES OPERATIONNELLES  |  VOYAGE &amp; DEPLACEMENT  |  VOYAGE  |  NOMBRE DE PERSONNES VOYAGEANT</v>
      </c>
      <c r="AA322" s="3"/>
      <c r="AB322" s="34">
        <f>IF(SUM(O322:X322)=0,0,1)</f>
        <v>1</v>
      </c>
      <c r="AC322" s="34"/>
      <c r="AD322" s="34"/>
      <c r="AE322" s="26"/>
      <c r="AF322" s="34">
        <v>1</v>
      </c>
      <c r="AG322" s="34"/>
      <c r="AH322" s="535"/>
      <c r="AI322" s="294"/>
    </row>
    <row r="323" spans="1:35" ht="14" x14ac:dyDescent="0.2">
      <c r="A323" s="294"/>
      <c r="B323" s="941"/>
      <c r="C323" s="70">
        <v>2</v>
      </c>
      <c r="D323" s="6" t="s">
        <v>645</v>
      </c>
      <c r="E323" s="6" t="s">
        <v>658</v>
      </c>
      <c r="F323" s="6" t="s">
        <v>21</v>
      </c>
      <c r="G323" s="6" t="s">
        <v>663</v>
      </c>
      <c r="H323" s="11" t="s">
        <v>678</v>
      </c>
      <c r="I323" s="11"/>
      <c r="J323" s="802">
        <f>VLOOKUP("ANNUAL INFLATION IN THE COUNTRY",TableInputsData[],8,FALSE)</f>
        <v>0.03</v>
      </c>
      <c r="K323" s="135"/>
      <c r="L323" s="127"/>
      <c r="M323" s="134"/>
      <c r="N323" s="60"/>
      <c r="O323" s="505">
        <v>0</v>
      </c>
      <c r="P323" s="505">
        <v>0</v>
      </c>
      <c r="Q323" s="505">
        <v>0</v>
      </c>
      <c r="R323" s="505">
        <v>0</v>
      </c>
      <c r="S323" s="7">
        <f>IF(S322=0,0,SUMPRODUCT(Q322:R322,Q323:R323)/S322)</f>
        <v>0</v>
      </c>
      <c r="T323" s="505">
        <v>0</v>
      </c>
      <c r="U323" s="505">
        <f t="shared" ref="U323:X323" si="167">T323*(1+$J323)</f>
        <v>0</v>
      </c>
      <c r="V323" s="505">
        <f t="shared" si="167"/>
        <v>0</v>
      </c>
      <c r="W323" s="505">
        <f t="shared" si="167"/>
        <v>0</v>
      </c>
      <c r="X323" s="505">
        <f t="shared" si="167"/>
        <v>0</v>
      </c>
      <c r="Y323" s="605" t="s">
        <v>1890</v>
      </c>
      <c r="Z323" s="6" t="str">
        <f>VLOOKUP($D323,TableInputsData[],ReadMe!$M$3,FALSE)&amp;"  |  "&amp;VLOOKUP($E323,TableInputsData[],ReadMe!$M$3,FALSE)&amp;"  |  "&amp;VLOOKUP($G323,TableInputsData[],ReadMe!$M$3,FALSE)&amp;IF(AF323=1,"  |  "&amp;VLOOKUP($H323,TableInputsData[],ReadMe!$M$3,FALSE),"")</f>
        <v>DEPENSES OPERATIONNELLES  |  VOYAGE &amp; DEPLACEMENT  |  VOYAGE  |  COUT MOYEN DU VOYAGE PAR PERSONNE</v>
      </c>
      <c r="AA323" s="6"/>
      <c r="AB323" s="36">
        <f>IF(SUM(O323:X323)=0,0,1)</f>
        <v>0</v>
      </c>
      <c r="AC323" s="36"/>
      <c r="AD323" s="36"/>
      <c r="AE323" s="91"/>
      <c r="AF323" s="36">
        <v>1</v>
      </c>
      <c r="AG323" s="36"/>
      <c r="AH323" s="536"/>
      <c r="AI323" s="294"/>
    </row>
    <row r="324" spans="1:35" x14ac:dyDescent="0.2">
      <c r="A324" s="294"/>
      <c r="B324" s="941"/>
      <c r="C324" s="67">
        <v>2</v>
      </c>
      <c r="D324" s="16" t="s">
        <v>645</v>
      </c>
      <c r="E324" s="16" t="s">
        <v>658</v>
      </c>
      <c r="F324" s="16" t="s">
        <v>21</v>
      </c>
      <c r="G324" s="16" t="s">
        <v>663</v>
      </c>
      <c r="H324" s="17" t="s">
        <v>29</v>
      </c>
      <c r="I324" s="17"/>
      <c r="J324" s="27"/>
      <c r="K324" s="27"/>
      <c r="L324" s="97"/>
      <c r="M324" s="112"/>
      <c r="N324" s="18"/>
      <c r="O324" s="18">
        <f>O322*O323</f>
        <v>0</v>
      </c>
      <c r="P324" s="18">
        <f t="shared" ref="P324:X324" si="168">P322*P323</f>
        <v>0</v>
      </c>
      <c r="Q324" s="18">
        <f t="shared" si="168"/>
        <v>0</v>
      </c>
      <c r="R324" s="18">
        <f t="shared" si="168"/>
        <v>0</v>
      </c>
      <c r="S324" s="18">
        <f t="shared" si="168"/>
        <v>0</v>
      </c>
      <c r="T324" s="18">
        <f t="shared" si="168"/>
        <v>0</v>
      </c>
      <c r="U324" s="18">
        <f t="shared" si="168"/>
        <v>0</v>
      </c>
      <c r="V324" s="18">
        <f t="shared" si="168"/>
        <v>0</v>
      </c>
      <c r="W324" s="18">
        <f t="shared" si="168"/>
        <v>0</v>
      </c>
      <c r="X324" s="18">
        <f t="shared" si="168"/>
        <v>0</v>
      </c>
      <c r="Y324" s="18"/>
      <c r="Z324" s="16"/>
      <c r="AA324" s="16"/>
      <c r="AB324" s="27">
        <v>1</v>
      </c>
      <c r="AC324" s="27"/>
      <c r="AD324" s="27"/>
      <c r="AE324" s="27"/>
      <c r="AF324" s="27"/>
      <c r="AG324" s="27"/>
      <c r="AH324" s="533"/>
      <c r="AI324" s="294"/>
    </row>
    <row r="325" spans="1:35" x14ac:dyDescent="0.2">
      <c r="A325" s="294"/>
      <c r="B325" s="941"/>
      <c r="C325" s="71">
        <v>2</v>
      </c>
      <c r="D325" s="8"/>
      <c r="E325" s="8"/>
      <c r="F325" s="8"/>
      <c r="G325" s="8"/>
      <c r="H325" s="9"/>
      <c r="I325" s="9"/>
      <c r="J325" s="87"/>
      <c r="K325" s="87"/>
      <c r="L325" s="98"/>
      <c r="M325" s="113"/>
      <c r="N325" s="10"/>
      <c r="O325" s="10"/>
      <c r="P325" s="10"/>
      <c r="Q325" s="10"/>
      <c r="R325" s="10"/>
      <c r="S325" s="10"/>
      <c r="T325" s="10"/>
      <c r="U325" s="10"/>
      <c r="V325" s="10"/>
      <c r="W325" s="10"/>
      <c r="X325" s="10"/>
      <c r="Y325" s="10"/>
      <c r="Z325" s="8"/>
      <c r="AA325" s="8"/>
      <c r="AB325" s="35"/>
      <c r="AC325" s="35"/>
      <c r="AD325" s="35"/>
      <c r="AE325" s="87"/>
      <c r="AF325" s="35"/>
      <c r="AG325" s="35"/>
      <c r="AH325" s="534"/>
      <c r="AI325" s="294"/>
    </row>
    <row r="326" spans="1:35" ht="12.75" customHeight="1" x14ac:dyDescent="0.2">
      <c r="A326" s="294"/>
      <c r="B326" s="941"/>
      <c r="C326" s="66">
        <v>2</v>
      </c>
      <c r="D326" s="3" t="s">
        <v>645</v>
      </c>
      <c r="E326" s="3" t="s">
        <v>659</v>
      </c>
      <c r="F326" s="3" t="s">
        <v>21</v>
      </c>
      <c r="G326" s="3" t="s">
        <v>659</v>
      </c>
      <c r="H326" s="5" t="s">
        <v>668</v>
      </c>
      <c r="I326" s="76" t="s">
        <v>1738</v>
      </c>
      <c r="J326" s="802">
        <f>VLOOKUP("ANNUAL INFLATION IN THE COUNTRY",TableInputsData[],8,FALSE)</f>
        <v>0.03</v>
      </c>
      <c r="K326" s="135"/>
      <c r="L326" s="127"/>
      <c r="M326" s="134"/>
      <c r="N326" s="60"/>
      <c r="O326" s="504">
        <v>0</v>
      </c>
      <c r="P326" s="504">
        <v>0</v>
      </c>
      <c r="Q326" s="504">
        <v>0</v>
      </c>
      <c r="R326" s="504">
        <v>0</v>
      </c>
      <c r="S326" s="4">
        <f>Q326+R326</f>
        <v>0</v>
      </c>
      <c r="T326" s="504">
        <v>0</v>
      </c>
      <c r="U326" s="504">
        <v>0</v>
      </c>
      <c r="V326" s="504">
        <v>0</v>
      </c>
      <c r="W326" s="504">
        <v>0</v>
      </c>
      <c r="X326" s="504">
        <v>0</v>
      </c>
      <c r="Y326" s="604"/>
      <c r="Z326" s="3" t="str">
        <f>VLOOKUP($D326,TableInputsData[],ReadMe!$M$3,FALSE)&amp;"  |  "&amp;VLOOKUP($E326,TableInputsData[],ReadMe!$M$3,FALSE)&amp;"  |  "&amp;VLOOKUP($G326,TableInputsData[],ReadMe!$M$3,FALSE)&amp;IF(AF326=1,"  |  "&amp;VLOOKUP($H326,TableInputsData[],ReadMe!$M$3,FALSE),"")</f>
        <v>DEPENSES OPERATIONNELLES  |  ASSURANCES  |  ASSURANCES  |  ASSURANCE DU BATIMENT</v>
      </c>
      <c r="AA326" s="3"/>
      <c r="AB326" s="34">
        <f>IF(SUM(O326:X326)=0,0,1)</f>
        <v>0</v>
      </c>
      <c r="AC326" s="34"/>
      <c r="AD326" s="34"/>
      <c r="AE326" s="26"/>
      <c r="AF326" s="34">
        <v>1</v>
      </c>
      <c r="AG326" s="34"/>
      <c r="AH326" s="535"/>
      <c r="AI326" s="294"/>
    </row>
    <row r="327" spans="1:35" x14ac:dyDescent="0.2">
      <c r="A327" s="294"/>
      <c r="B327" s="941"/>
      <c r="C327" s="66">
        <v>2</v>
      </c>
      <c r="D327" s="3" t="s">
        <v>645</v>
      </c>
      <c r="E327" s="3" t="s">
        <v>659</v>
      </c>
      <c r="F327" s="3" t="s">
        <v>21</v>
      </c>
      <c r="G327" s="3" t="s">
        <v>659</v>
      </c>
      <c r="H327" s="5" t="s">
        <v>667</v>
      </c>
      <c r="I327" s="76" t="s">
        <v>1738</v>
      </c>
      <c r="J327" s="802">
        <f>VLOOKUP("ANNUAL INFLATION IN THE COUNTRY",TableInputsData[],8,FALSE)</f>
        <v>0.03</v>
      </c>
      <c r="K327" s="135"/>
      <c r="L327" s="127"/>
      <c r="M327" s="134"/>
      <c r="N327" s="60"/>
      <c r="O327" s="504">
        <v>0</v>
      </c>
      <c r="P327" s="504">
        <v>0</v>
      </c>
      <c r="Q327" s="504">
        <v>0</v>
      </c>
      <c r="R327" s="504">
        <v>0</v>
      </c>
      <c r="S327" s="4">
        <f>Q327+R327</f>
        <v>0</v>
      </c>
      <c r="T327" s="504">
        <v>0</v>
      </c>
      <c r="U327" s="504">
        <v>0</v>
      </c>
      <c r="V327" s="504">
        <v>0</v>
      </c>
      <c r="W327" s="504">
        <v>0</v>
      </c>
      <c r="X327" s="504">
        <v>0</v>
      </c>
      <c r="Y327" s="604"/>
      <c r="Z327" s="3" t="str">
        <f>VLOOKUP($D327,TableInputsData[],ReadMe!$M$3,FALSE)&amp;"  |  "&amp;VLOOKUP($E327,TableInputsData[],ReadMe!$M$3,FALSE)&amp;"  |  "&amp;VLOOKUP($G327,TableInputsData[],ReadMe!$M$3,FALSE)&amp;IF(AF327=1,"  |  "&amp;VLOOKUP($H327,TableInputsData[],ReadMe!$M$3,FALSE),"")</f>
        <v>DEPENSES OPERATIONNELLES  |  ASSURANCES  |  ASSURANCES  |  ASSURANCE DE L'ENTREPRISE</v>
      </c>
      <c r="AA327" s="3"/>
      <c r="AB327" s="34">
        <f>IF(SUM(O327:X327)=0,0,1)</f>
        <v>0</v>
      </c>
      <c r="AC327" s="34"/>
      <c r="AD327" s="34"/>
      <c r="AE327" s="26"/>
      <c r="AF327" s="34">
        <v>1</v>
      </c>
      <c r="AG327" s="34"/>
      <c r="AH327" s="535"/>
      <c r="AI327" s="294"/>
    </row>
    <row r="328" spans="1:35" x14ac:dyDescent="0.2">
      <c r="A328" s="294"/>
      <c r="B328" s="941"/>
      <c r="C328" s="66">
        <v>2</v>
      </c>
      <c r="D328" s="3" t="s">
        <v>645</v>
      </c>
      <c r="E328" s="3" t="s">
        <v>659</v>
      </c>
      <c r="F328" s="3" t="s">
        <v>21</v>
      </c>
      <c r="G328" s="3" t="s">
        <v>659</v>
      </c>
      <c r="H328" s="502" t="s">
        <v>96</v>
      </c>
      <c r="I328" s="5"/>
      <c r="J328" s="802">
        <f>VLOOKUP("ANNUAL INFLATION IN THE COUNTRY",TableInputsData[],8,FALSE)</f>
        <v>0.03</v>
      </c>
      <c r="K328" s="135"/>
      <c r="L328" s="127"/>
      <c r="M328" s="134"/>
      <c r="N328" s="60"/>
      <c r="O328" s="504">
        <v>0</v>
      </c>
      <c r="P328" s="504">
        <v>0</v>
      </c>
      <c r="Q328" s="504">
        <v>0</v>
      </c>
      <c r="R328" s="504">
        <v>0</v>
      </c>
      <c r="S328" s="4">
        <f>Q328+R328</f>
        <v>0</v>
      </c>
      <c r="T328" s="504">
        <v>0</v>
      </c>
      <c r="U328" s="504">
        <v>0</v>
      </c>
      <c r="V328" s="504">
        <v>0</v>
      </c>
      <c r="W328" s="504">
        <v>0</v>
      </c>
      <c r="X328" s="504">
        <v>0</v>
      </c>
      <c r="Y328" s="604"/>
      <c r="Z328" s="3" t="str">
        <f>VLOOKUP($D328,TableInputsData[],ReadMe!$M$3,FALSE)&amp;"  |  "&amp;VLOOKUP($E328,TableInputsData[],ReadMe!$M$3,FALSE)&amp;"  |  "&amp;VLOOKUP($G328,TableInputsData[],ReadMe!$M$3,FALSE)&amp;IF(AF328=1,"  |  "&amp;VLOOKUP($H328,TableInputsData[],ReadMe!$M$3,FALSE),"")</f>
        <v>DEPENSES OPERATIONNELLES  |  ASSURANCES  |  ASSURANCES</v>
      </c>
      <c r="AA328" s="3"/>
      <c r="AB328" s="34">
        <f>IF(SUM(O328:X328)=0,0,1)</f>
        <v>0</v>
      </c>
      <c r="AC328" s="34"/>
      <c r="AD328" s="34"/>
      <c r="AE328" s="26"/>
      <c r="AF328" s="34">
        <v>0</v>
      </c>
      <c r="AG328" s="34"/>
      <c r="AH328" s="535"/>
      <c r="AI328" s="294"/>
    </row>
    <row r="329" spans="1:35" x14ac:dyDescent="0.2">
      <c r="A329" s="294"/>
      <c r="B329" s="941"/>
      <c r="C329" s="66">
        <v>2</v>
      </c>
      <c r="D329" s="3" t="s">
        <v>645</v>
      </c>
      <c r="E329" s="3" t="s">
        <v>659</v>
      </c>
      <c r="F329" s="3" t="s">
        <v>21</v>
      </c>
      <c r="G329" s="3" t="s">
        <v>659</v>
      </c>
      <c r="H329" s="502" t="s">
        <v>97</v>
      </c>
      <c r="I329" s="5"/>
      <c r="J329" s="802">
        <f>VLOOKUP("ANNUAL INFLATION IN THE COUNTRY",TableInputsData[],8,FALSE)</f>
        <v>0.03</v>
      </c>
      <c r="K329" s="135"/>
      <c r="L329" s="127"/>
      <c r="M329" s="134"/>
      <c r="N329" s="60"/>
      <c r="O329" s="504">
        <v>0</v>
      </c>
      <c r="P329" s="504">
        <v>0</v>
      </c>
      <c r="Q329" s="504">
        <v>0</v>
      </c>
      <c r="R329" s="504">
        <v>0</v>
      </c>
      <c r="S329" s="4">
        <f t="shared" ref="S329:S330" si="169">Q329+R329</f>
        <v>0</v>
      </c>
      <c r="T329" s="504">
        <v>0</v>
      </c>
      <c r="U329" s="504">
        <v>0</v>
      </c>
      <c r="V329" s="504">
        <v>0</v>
      </c>
      <c r="W329" s="504">
        <v>0</v>
      </c>
      <c r="X329" s="504">
        <v>0</v>
      </c>
      <c r="Y329" s="604"/>
      <c r="Z329" s="3" t="str">
        <f>VLOOKUP($D329,TableInputsData[],ReadMe!$M$3,FALSE)&amp;"  |  "&amp;VLOOKUP($E329,TableInputsData[],ReadMe!$M$3,FALSE)&amp;"  |  "&amp;VLOOKUP($G329,TableInputsData[],ReadMe!$M$3,FALSE)&amp;IF(AF329=1,"  |  "&amp;VLOOKUP($H329,TableInputsData[],ReadMe!$M$3,FALSE),"")</f>
        <v>DEPENSES OPERATIONNELLES  |  ASSURANCES  |  ASSURANCES</v>
      </c>
      <c r="AA329" s="3"/>
      <c r="AB329" s="34">
        <f t="shared" ref="AB329:AB330" si="170">IF(SUM(O329:X329)=0,0,1)</f>
        <v>0</v>
      </c>
      <c r="AC329" s="34"/>
      <c r="AD329" s="34"/>
      <c r="AE329" s="26"/>
      <c r="AF329" s="34">
        <v>0</v>
      </c>
      <c r="AG329" s="34"/>
      <c r="AH329" s="535"/>
      <c r="AI329" s="294"/>
    </row>
    <row r="330" spans="1:35" x14ac:dyDescent="0.2">
      <c r="A330" s="294"/>
      <c r="B330" s="941"/>
      <c r="C330" s="66">
        <v>2</v>
      </c>
      <c r="D330" s="3" t="s">
        <v>645</v>
      </c>
      <c r="E330" s="3" t="s">
        <v>659</v>
      </c>
      <c r="F330" s="3" t="s">
        <v>21</v>
      </c>
      <c r="G330" s="3" t="s">
        <v>659</v>
      </c>
      <c r="H330" s="502" t="s">
        <v>98</v>
      </c>
      <c r="I330" s="5"/>
      <c r="J330" s="802">
        <f>VLOOKUP("ANNUAL INFLATION IN THE COUNTRY",TableInputsData[],8,FALSE)</f>
        <v>0.03</v>
      </c>
      <c r="K330" s="135"/>
      <c r="L330" s="127"/>
      <c r="M330" s="134"/>
      <c r="N330" s="60"/>
      <c r="O330" s="504">
        <v>0</v>
      </c>
      <c r="P330" s="504">
        <v>0</v>
      </c>
      <c r="Q330" s="504">
        <v>0</v>
      </c>
      <c r="R330" s="504">
        <v>0</v>
      </c>
      <c r="S330" s="4">
        <f t="shared" si="169"/>
        <v>0</v>
      </c>
      <c r="T330" s="504">
        <v>0</v>
      </c>
      <c r="U330" s="504">
        <v>0</v>
      </c>
      <c r="V330" s="504">
        <v>0</v>
      </c>
      <c r="W330" s="504">
        <v>0</v>
      </c>
      <c r="X330" s="504">
        <v>0</v>
      </c>
      <c r="Y330" s="604"/>
      <c r="Z330" s="3" t="str">
        <f>VLOOKUP($D330,TableInputsData[],ReadMe!$M$3,FALSE)&amp;"  |  "&amp;VLOOKUP($E330,TableInputsData[],ReadMe!$M$3,FALSE)&amp;"  |  "&amp;VLOOKUP($G330,TableInputsData[],ReadMe!$M$3,FALSE)&amp;IF(AF330=1,"  |  "&amp;VLOOKUP($H330,TableInputsData[],ReadMe!$M$3,FALSE),"")</f>
        <v>DEPENSES OPERATIONNELLES  |  ASSURANCES  |  ASSURANCES</v>
      </c>
      <c r="AA330" s="3"/>
      <c r="AB330" s="34">
        <f t="shared" si="170"/>
        <v>0</v>
      </c>
      <c r="AC330" s="34"/>
      <c r="AD330" s="34"/>
      <c r="AE330" s="26"/>
      <c r="AF330" s="34">
        <v>0</v>
      </c>
      <c r="AG330" s="34"/>
      <c r="AH330" s="535"/>
      <c r="AI330" s="294"/>
    </row>
    <row r="331" spans="1:35" x14ac:dyDescent="0.2">
      <c r="A331" s="294"/>
      <c r="B331" s="941"/>
      <c r="C331" s="66">
        <v>2</v>
      </c>
      <c r="D331" s="3" t="s">
        <v>645</v>
      </c>
      <c r="E331" s="3" t="s">
        <v>659</v>
      </c>
      <c r="F331" s="3" t="s">
        <v>21</v>
      </c>
      <c r="G331" s="3" t="s">
        <v>659</v>
      </c>
      <c r="H331" s="502" t="s">
        <v>99</v>
      </c>
      <c r="I331" s="5"/>
      <c r="J331" s="802">
        <f>VLOOKUP("ANNUAL INFLATION IN THE COUNTRY",TableInputsData[],8,FALSE)</f>
        <v>0.03</v>
      </c>
      <c r="K331" s="135"/>
      <c r="L331" s="127"/>
      <c r="M331" s="134"/>
      <c r="N331" s="60"/>
      <c r="O331" s="504">
        <v>0</v>
      </c>
      <c r="P331" s="504">
        <v>0</v>
      </c>
      <c r="Q331" s="504">
        <v>0</v>
      </c>
      <c r="R331" s="504">
        <v>0</v>
      </c>
      <c r="S331" s="4">
        <f>Q331+R331</f>
        <v>0</v>
      </c>
      <c r="T331" s="504">
        <v>0</v>
      </c>
      <c r="U331" s="504">
        <v>0</v>
      </c>
      <c r="V331" s="504">
        <v>0</v>
      </c>
      <c r="W331" s="504">
        <v>0</v>
      </c>
      <c r="X331" s="504">
        <v>0</v>
      </c>
      <c r="Y331" s="604"/>
      <c r="Z331" s="3" t="str">
        <f>VLOOKUP($D331,TableInputsData[],ReadMe!$M$3,FALSE)&amp;"  |  "&amp;VLOOKUP($E331,TableInputsData[],ReadMe!$M$3,FALSE)&amp;"  |  "&amp;VLOOKUP($G331,TableInputsData[],ReadMe!$M$3,FALSE)&amp;IF(AF331=1,"  |  "&amp;VLOOKUP($H331,TableInputsData[],ReadMe!$M$3,FALSE),"")</f>
        <v>DEPENSES OPERATIONNELLES  |  ASSURANCES  |  ASSURANCES</v>
      </c>
      <c r="AA331" s="3"/>
      <c r="AB331" s="34">
        <f>IF(SUM(O331:X331)=0,0,1)</f>
        <v>0</v>
      </c>
      <c r="AC331" s="34"/>
      <c r="AD331" s="34"/>
      <c r="AE331" s="26"/>
      <c r="AF331" s="34">
        <v>0</v>
      </c>
      <c r="AG331" s="34"/>
      <c r="AH331" s="535"/>
      <c r="AI331" s="294"/>
    </row>
    <row r="332" spans="1:35" x14ac:dyDescent="0.2">
      <c r="A332" s="294"/>
      <c r="B332" s="941"/>
      <c r="C332" s="70">
        <v>2</v>
      </c>
      <c r="D332" s="6" t="s">
        <v>645</v>
      </c>
      <c r="E332" s="6" t="s">
        <v>659</v>
      </c>
      <c r="F332" s="6" t="s">
        <v>21</v>
      </c>
      <c r="G332" s="6" t="s">
        <v>659</v>
      </c>
      <c r="H332" s="503" t="s">
        <v>100</v>
      </c>
      <c r="I332" s="11"/>
      <c r="J332" s="802">
        <f>VLOOKUP("ANNUAL INFLATION IN THE COUNTRY",TableInputsData[],8,FALSE)</f>
        <v>0.03</v>
      </c>
      <c r="K332" s="135"/>
      <c r="L332" s="127"/>
      <c r="M332" s="134"/>
      <c r="N332" s="60"/>
      <c r="O332" s="505">
        <v>0</v>
      </c>
      <c r="P332" s="505">
        <v>0</v>
      </c>
      <c r="Q332" s="505">
        <v>0</v>
      </c>
      <c r="R332" s="505">
        <v>0</v>
      </c>
      <c r="S332" s="7">
        <f>Q332+R332</f>
        <v>0</v>
      </c>
      <c r="T332" s="505">
        <v>0</v>
      </c>
      <c r="U332" s="505">
        <v>0</v>
      </c>
      <c r="V332" s="505">
        <v>0</v>
      </c>
      <c r="W332" s="505">
        <v>0</v>
      </c>
      <c r="X332" s="505">
        <v>0</v>
      </c>
      <c r="Y332" s="605"/>
      <c r="Z332" s="6" t="str">
        <f>VLOOKUP($D332,TableInputsData[],ReadMe!$M$3,FALSE)&amp;"  |  "&amp;VLOOKUP($E332,TableInputsData[],ReadMe!$M$3,FALSE)&amp;"  |  "&amp;VLOOKUP($G332,TableInputsData[],ReadMe!$M$3,FALSE)&amp;IF(AF332=1,"  |  "&amp;VLOOKUP($H332,TableInputsData[],ReadMe!$M$3,FALSE),"")</f>
        <v>DEPENSES OPERATIONNELLES  |  ASSURANCES  |  ASSURANCES</v>
      </c>
      <c r="AA332" s="6"/>
      <c r="AB332" s="36">
        <f>IF(SUM(O332:X332)=0,0,1)</f>
        <v>0</v>
      </c>
      <c r="AC332" s="36"/>
      <c r="AD332" s="36"/>
      <c r="AE332" s="91"/>
      <c r="AF332" s="36">
        <v>0</v>
      </c>
      <c r="AG332" s="36"/>
      <c r="AH332" s="536"/>
      <c r="AI332" s="294"/>
    </row>
    <row r="333" spans="1:35" x14ac:dyDescent="0.2">
      <c r="A333" s="294"/>
      <c r="B333" s="941"/>
      <c r="C333" s="67">
        <v>2</v>
      </c>
      <c r="D333" s="16" t="s">
        <v>645</v>
      </c>
      <c r="E333" s="16" t="s">
        <v>659</v>
      </c>
      <c r="F333" s="16" t="s">
        <v>21</v>
      </c>
      <c r="G333" s="16" t="s">
        <v>659</v>
      </c>
      <c r="H333" s="17" t="s">
        <v>29</v>
      </c>
      <c r="I333" s="17"/>
      <c r="J333" s="27"/>
      <c r="K333" s="27"/>
      <c r="L333" s="97"/>
      <c r="M333" s="112"/>
      <c r="N333" s="18"/>
      <c r="O333" s="18">
        <f>SUM(O326:O332)</f>
        <v>0</v>
      </c>
      <c r="P333" s="18">
        <f t="shared" ref="P333:X333" si="171">SUM(P326:P332)</f>
        <v>0</v>
      </c>
      <c r="Q333" s="18">
        <f t="shared" si="171"/>
        <v>0</v>
      </c>
      <c r="R333" s="18">
        <f t="shared" si="171"/>
        <v>0</v>
      </c>
      <c r="S333" s="18">
        <f t="shared" si="171"/>
        <v>0</v>
      </c>
      <c r="T333" s="18">
        <f t="shared" si="171"/>
        <v>0</v>
      </c>
      <c r="U333" s="18">
        <f t="shared" si="171"/>
        <v>0</v>
      </c>
      <c r="V333" s="18">
        <f t="shared" si="171"/>
        <v>0</v>
      </c>
      <c r="W333" s="18">
        <f t="shared" si="171"/>
        <v>0</v>
      </c>
      <c r="X333" s="18">
        <f t="shared" si="171"/>
        <v>0</v>
      </c>
      <c r="Y333" s="18"/>
      <c r="Z333" s="16"/>
      <c r="AA333" s="16"/>
      <c r="AB333" s="27">
        <v>1</v>
      </c>
      <c r="AC333" s="27"/>
      <c r="AD333" s="27"/>
      <c r="AE333" s="27"/>
      <c r="AF333" s="27"/>
      <c r="AG333" s="27"/>
      <c r="AH333" s="533"/>
      <c r="AI333" s="294"/>
    </row>
    <row r="334" spans="1:35" x14ac:dyDescent="0.2">
      <c r="A334" s="294"/>
      <c r="B334" s="941"/>
      <c r="C334" s="71">
        <v>2</v>
      </c>
      <c r="D334" s="8"/>
      <c r="E334" s="8"/>
      <c r="F334" s="8"/>
      <c r="G334" s="8"/>
      <c r="H334" s="9"/>
      <c r="I334" s="9"/>
      <c r="J334" s="87"/>
      <c r="K334" s="87"/>
      <c r="L334" s="98"/>
      <c r="M334" s="113"/>
      <c r="N334" s="10"/>
      <c r="O334" s="10"/>
      <c r="P334" s="10"/>
      <c r="Q334" s="10"/>
      <c r="R334" s="10"/>
      <c r="S334" s="10"/>
      <c r="T334" s="10"/>
      <c r="U334" s="10"/>
      <c r="V334" s="10"/>
      <c r="W334" s="10"/>
      <c r="X334" s="10"/>
      <c r="Y334" s="10"/>
      <c r="Z334" s="8"/>
      <c r="AA334" s="8"/>
      <c r="AB334" s="35"/>
      <c r="AC334" s="35"/>
      <c r="AD334" s="35"/>
      <c r="AE334" s="87"/>
      <c r="AF334" s="35"/>
      <c r="AG334" s="35"/>
      <c r="AH334" s="534"/>
      <c r="AI334" s="294"/>
    </row>
    <row r="335" spans="1:35" ht="12.75" customHeight="1" x14ac:dyDescent="0.2">
      <c r="A335" s="294"/>
      <c r="B335" s="941"/>
      <c r="C335" s="66">
        <v>2</v>
      </c>
      <c r="D335" s="3" t="s">
        <v>645</v>
      </c>
      <c r="E335" s="3" t="s">
        <v>660</v>
      </c>
      <c r="F335" s="3" t="s">
        <v>21</v>
      </c>
      <c r="G335" s="3" t="s">
        <v>660</v>
      </c>
      <c r="H335" s="5" t="s">
        <v>683</v>
      </c>
      <c r="I335" s="5"/>
      <c r="J335" s="802"/>
      <c r="K335" s="135"/>
      <c r="L335" s="127"/>
      <c r="M335" s="134"/>
      <c r="N335" s="60"/>
      <c r="O335" s="504">
        <v>0</v>
      </c>
      <c r="P335" s="504">
        <v>0</v>
      </c>
      <c r="Q335" s="504">
        <v>0</v>
      </c>
      <c r="R335" s="504">
        <v>0</v>
      </c>
      <c r="S335" s="4">
        <f t="shared" ref="S335:S352" si="172">Q335+R335</f>
        <v>0</v>
      </c>
      <c r="T335" s="504">
        <v>0</v>
      </c>
      <c r="U335" s="504">
        <v>0</v>
      </c>
      <c r="V335" s="504">
        <v>0</v>
      </c>
      <c r="W335" s="504">
        <v>0</v>
      </c>
      <c r="X335" s="504">
        <v>0</v>
      </c>
      <c r="Y335" s="604"/>
      <c r="Z335" s="3" t="str">
        <f>VLOOKUP($D335,TableInputsData[],ReadMe!$M$3,FALSE)&amp;"  |  "&amp;VLOOKUP($E335,TableInputsData[],ReadMe!$M$3,FALSE)&amp;"  |  "&amp;VLOOKUP($G335,TableInputsData[],ReadMe!$M$3,FALSE)&amp;IF(AF335=1,"  |  "&amp;VLOOKUP($H335,TableInputsData[],ReadMe!$M$3,FALSE),"")</f>
        <v>DEPENSES OPERATIONNELLES  |  ENTRETIEN  |  ENTRETIEN  |  ENTRETIEN ET REPARATION DES BIENS MOBILIERS</v>
      </c>
      <c r="AA335" s="3"/>
      <c r="AB335" s="34">
        <f t="shared" ref="AB335:AB342" si="173">IF(SUM(O335:X335)=0,0,1)</f>
        <v>0</v>
      </c>
      <c r="AC335" s="34"/>
      <c r="AD335" s="34"/>
      <c r="AE335" s="26"/>
      <c r="AF335" s="34">
        <v>1</v>
      </c>
      <c r="AG335" s="34"/>
      <c r="AH335" s="535"/>
      <c r="AI335" s="294"/>
    </row>
    <row r="336" spans="1:35" x14ac:dyDescent="0.2">
      <c r="A336" s="294"/>
      <c r="B336" s="941"/>
      <c r="C336" s="66">
        <v>2</v>
      </c>
      <c r="D336" s="3" t="s">
        <v>645</v>
      </c>
      <c r="E336" s="3" t="s">
        <v>660</v>
      </c>
      <c r="F336" s="3" t="s">
        <v>21</v>
      </c>
      <c r="G336" s="3" t="s">
        <v>660</v>
      </c>
      <c r="H336" s="5" t="s">
        <v>673</v>
      </c>
      <c r="I336" s="5"/>
      <c r="J336" s="802"/>
      <c r="K336" s="135"/>
      <c r="L336" s="127"/>
      <c r="M336" s="134"/>
      <c r="N336" s="60"/>
      <c r="O336" s="504">
        <v>0</v>
      </c>
      <c r="P336" s="504">
        <v>0</v>
      </c>
      <c r="Q336" s="504">
        <v>0</v>
      </c>
      <c r="R336" s="504">
        <v>0</v>
      </c>
      <c r="S336" s="4">
        <f t="shared" si="172"/>
        <v>0</v>
      </c>
      <c r="T336" s="504">
        <v>0</v>
      </c>
      <c r="U336" s="504">
        <v>0</v>
      </c>
      <c r="V336" s="504">
        <v>0</v>
      </c>
      <c r="W336" s="504">
        <v>0</v>
      </c>
      <c r="X336" s="504">
        <v>0</v>
      </c>
      <c r="Y336" s="604"/>
      <c r="Z336" s="3" t="str">
        <f>VLOOKUP($D336,TableInputsData[],ReadMe!$M$3,FALSE)&amp;"  |  "&amp;VLOOKUP($E336,TableInputsData[],ReadMe!$M$3,FALSE)&amp;"  |  "&amp;VLOOKUP($G336,TableInputsData[],ReadMe!$M$3,FALSE)&amp;IF(AF336=1,"  |  "&amp;VLOOKUP($H336,TableInputsData[],ReadMe!$M$3,FALSE),"")</f>
        <v>DEPENSES OPERATIONNELLES  |  ENTRETIEN  |  ENTRETIEN  |  CHARGES DE DEMENTELLEMENT ET REMISE EN ETAT</v>
      </c>
      <c r="AA336" s="3"/>
      <c r="AB336" s="34">
        <f t="shared" si="173"/>
        <v>0</v>
      </c>
      <c r="AC336" s="34"/>
      <c r="AD336" s="34"/>
      <c r="AE336" s="26"/>
      <c r="AF336" s="34">
        <v>1</v>
      </c>
      <c r="AG336" s="34"/>
      <c r="AH336" s="535"/>
      <c r="AI336" s="294"/>
    </row>
    <row r="337" spans="1:35" x14ac:dyDescent="0.2">
      <c r="A337" s="294"/>
      <c r="B337" s="941"/>
      <c r="C337" s="66">
        <v>2</v>
      </c>
      <c r="D337" s="3" t="s">
        <v>645</v>
      </c>
      <c r="E337" s="3" t="s">
        <v>660</v>
      </c>
      <c r="F337" s="3" t="s">
        <v>21</v>
      </c>
      <c r="G337" s="3" t="s">
        <v>660</v>
      </c>
      <c r="H337" s="5" t="s">
        <v>669</v>
      </c>
      <c r="I337" s="5"/>
      <c r="J337" s="802">
        <v>0.1</v>
      </c>
      <c r="K337" s="135"/>
      <c r="L337" s="127"/>
      <c r="M337" s="134"/>
      <c r="N337" s="60"/>
      <c r="O337" s="504">
        <v>0</v>
      </c>
      <c r="P337" s="504">
        <v>0</v>
      </c>
      <c r="Q337" s="504">
        <v>0</v>
      </c>
      <c r="R337" s="504">
        <v>0</v>
      </c>
      <c r="S337" s="4">
        <f t="shared" si="172"/>
        <v>0</v>
      </c>
      <c r="T337" s="504">
        <v>0</v>
      </c>
      <c r="U337" s="504">
        <v>0</v>
      </c>
      <c r="V337" s="504">
        <v>0</v>
      </c>
      <c r="W337" s="504">
        <v>0</v>
      </c>
      <c r="X337" s="504">
        <v>0</v>
      </c>
      <c r="Y337" s="604"/>
      <c r="Z337" s="3" t="str">
        <f>VLOOKUP($D337,TableInputsData[],ReadMe!$M$3,FALSE)&amp;"  |  "&amp;VLOOKUP($E337,TableInputsData[],ReadMe!$M$3,FALSE)&amp;"  |  "&amp;VLOOKUP($G337,TableInputsData[],ReadMe!$M$3,FALSE)&amp;IF(AF337=1,"  |  "&amp;VLOOKUP($H337,TableInputsData[],ReadMe!$M$3,FALSE),"")</f>
        <v>DEPENSES OPERATIONNELLES  |  ENTRETIEN  |  ENTRETIEN  |  AUTRE ENTRETIENS ET REPARATION</v>
      </c>
      <c r="AA337" s="3"/>
      <c r="AB337" s="34">
        <f t="shared" si="173"/>
        <v>0</v>
      </c>
      <c r="AC337" s="34"/>
      <c r="AD337" s="34"/>
      <c r="AE337" s="26"/>
      <c r="AF337" s="34">
        <v>1</v>
      </c>
      <c r="AG337" s="34"/>
      <c r="AH337" s="535"/>
      <c r="AI337" s="294"/>
    </row>
    <row r="338" spans="1:35" x14ac:dyDescent="0.2">
      <c r="A338" s="294"/>
      <c r="B338" s="941"/>
      <c r="C338" s="66">
        <v>2</v>
      </c>
      <c r="D338" s="3" t="s">
        <v>645</v>
      </c>
      <c r="E338" s="3" t="s">
        <v>660</v>
      </c>
      <c r="F338" s="3" t="s">
        <v>21</v>
      </c>
      <c r="G338" s="3" t="s">
        <v>660</v>
      </c>
      <c r="H338" s="502" t="s">
        <v>96</v>
      </c>
      <c r="I338" s="5"/>
      <c r="J338" s="802"/>
      <c r="K338" s="135"/>
      <c r="L338" s="127"/>
      <c r="M338" s="134"/>
      <c r="N338" s="60"/>
      <c r="O338" s="504">
        <v>0</v>
      </c>
      <c r="P338" s="504">
        <v>0</v>
      </c>
      <c r="Q338" s="504">
        <v>0</v>
      </c>
      <c r="R338" s="504">
        <v>0</v>
      </c>
      <c r="S338" s="4">
        <f>Q338+R338</f>
        <v>0</v>
      </c>
      <c r="T338" s="504">
        <v>0</v>
      </c>
      <c r="U338" s="504">
        <v>0</v>
      </c>
      <c r="V338" s="504">
        <v>0</v>
      </c>
      <c r="W338" s="504">
        <v>0</v>
      </c>
      <c r="X338" s="504">
        <v>0</v>
      </c>
      <c r="Y338" s="604"/>
      <c r="Z338" s="3" t="str">
        <f>VLOOKUP($D338,TableInputsData[],ReadMe!$M$3,FALSE)&amp;"  |  "&amp;VLOOKUP($E338,TableInputsData[],ReadMe!$M$3,FALSE)&amp;"  |  "&amp;VLOOKUP($G338,TableInputsData[],ReadMe!$M$3,FALSE)&amp;IF(AF338=1,"  |  "&amp;VLOOKUP($H338,TableInputsData[],ReadMe!$M$3,FALSE),"")</f>
        <v>DEPENSES OPERATIONNELLES  |  ENTRETIEN  |  ENTRETIEN</v>
      </c>
      <c r="AA338" s="3"/>
      <c r="AB338" s="34">
        <f t="shared" si="173"/>
        <v>0</v>
      </c>
      <c r="AC338" s="34"/>
      <c r="AD338" s="34"/>
      <c r="AE338" s="26"/>
      <c r="AF338" s="34">
        <v>0</v>
      </c>
      <c r="AG338" s="34"/>
      <c r="AH338" s="535"/>
      <c r="AI338" s="294"/>
    </row>
    <row r="339" spans="1:35" x14ac:dyDescent="0.2">
      <c r="A339" s="294"/>
      <c r="B339" s="941"/>
      <c r="C339" s="66">
        <v>2</v>
      </c>
      <c r="D339" s="3" t="s">
        <v>645</v>
      </c>
      <c r="E339" s="3" t="s">
        <v>660</v>
      </c>
      <c r="F339" s="3" t="s">
        <v>21</v>
      </c>
      <c r="G339" s="3" t="s">
        <v>660</v>
      </c>
      <c r="H339" s="502" t="s">
        <v>97</v>
      </c>
      <c r="I339" s="5"/>
      <c r="J339" s="802"/>
      <c r="K339" s="135"/>
      <c r="L339" s="127"/>
      <c r="M339" s="134"/>
      <c r="N339" s="60"/>
      <c r="O339" s="504">
        <v>0</v>
      </c>
      <c r="P339" s="504">
        <v>0</v>
      </c>
      <c r="Q339" s="504">
        <v>0</v>
      </c>
      <c r="R339" s="504">
        <v>0</v>
      </c>
      <c r="S339" s="4">
        <f t="shared" ref="S339:S340" si="174">Q339+R339</f>
        <v>0</v>
      </c>
      <c r="T339" s="504">
        <v>0</v>
      </c>
      <c r="U339" s="504">
        <v>0</v>
      </c>
      <c r="V339" s="504">
        <v>0</v>
      </c>
      <c r="W339" s="504">
        <v>0</v>
      </c>
      <c r="X339" s="504">
        <v>0</v>
      </c>
      <c r="Y339" s="604"/>
      <c r="Z339" s="3" t="str">
        <f>VLOOKUP($D339,TableInputsData[],ReadMe!$M$3,FALSE)&amp;"  |  "&amp;VLOOKUP($E339,TableInputsData[],ReadMe!$M$3,FALSE)&amp;"  |  "&amp;VLOOKUP($G339,TableInputsData[],ReadMe!$M$3,FALSE)&amp;IF(AF339=1,"  |  "&amp;VLOOKUP($H339,TableInputsData[],ReadMe!$M$3,FALSE),"")</f>
        <v>DEPENSES OPERATIONNELLES  |  ENTRETIEN  |  ENTRETIEN</v>
      </c>
      <c r="AA339" s="3"/>
      <c r="AB339" s="34">
        <f t="shared" ref="AB339:AB340" si="175">IF(SUM(O339:X339)=0,0,1)</f>
        <v>0</v>
      </c>
      <c r="AC339" s="34"/>
      <c r="AD339" s="34"/>
      <c r="AE339" s="26"/>
      <c r="AF339" s="34">
        <v>0</v>
      </c>
      <c r="AG339" s="34"/>
      <c r="AH339" s="535"/>
      <c r="AI339" s="294"/>
    </row>
    <row r="340" spans="1:35" x14ac:dyDescent="0.2">
      <c r="A340" s="294"/>
      <c r="B340" s="941"/>
      <c r="C340" s="66">
        <v>2</v>
      </c>
      <c r="D340" s="3" t="s">
        <v>645</v>
      </c>
      <c r="E340" s="3" t="s">
        <v>660</v>
      </c>
      <c r="F340" s="3" t="s">
        <v>21</v>
      </c>
      <c r="G340" s="3" t="s">
        <v>660</v>
      </c>
      <c r="H340" s="502" t="s">
        <v>98</v>
      </c>
      <c r="I340" s="5"/>
      <c r="J340" s="802"/>
      <c r="K340" s="135"/>
      <c r="L340" s="127"/>
      <c r="M340" s="134"/>
      <c r="N340" s="60"/>
      <c r="O340" s="504">
        <v>0</v>
      </c>
      <c r="P340" s="504">
        <v>0</v>
      </c>
      <c r="Q340" s="504">
        <v>0</v>
      </c>
      <c r="R340" s="504">
        <v>0</v>
      </c>
      <c r="S340" s="4">
        <f t="shared" si="174"/>
        <v>0</v>
      </c>
      <c r="T340" s="504">
        <v>0</v>
      </c>
      <c r="U340" s="504">
        <v>0</v>
      </c>
      <c r="V340" s="504">
        <v>0</v>
      </c>
      <c r="W340" s="504">
        <v>0</v>
      </c>
      <c r="X340" s="504">
        <v>0</v>
      </c>
      <c r="Y340" s="604"/>
      <c r="Z340" s="3" t="str">
        <f>VLOOKUP($D340,TableInputsData[],ReadMe!$M$3,FALSE)&amp;"  |  "&amp;VLOOKUP($E340,TableInputsData[],ReadMe!$M$3,FALSE)&amp;"  |  "&amp;VLOOKUP($G340,TableInputsData[],ReadMe!$M$3,FALSE)&amp;IF(AF340=1,"  |  "&amp;VLOOKUP($H340,TableInputsData[],ReadMe!$M$3,FALSE),"")</f>
        <v>DEPENSES OPERATIONNELLES  |  ENTRETIEN  |  ENTRETIEN</v>
      </c>
      <c r="AA340" s="3"/>
      <c r="AB340" s="34">
        <f t="shared" si="175"/>
        <v>0</v>
      </c>
      <c r="AC340" s="34"/>
      <c r="AD340" s="34"/>
      <c r="AE340" s="26"/>
      <c r="AF340" s="34">
        <v>0</v>
      </c>
      <c r="AG340" s="34"/>
      <c r="AH340" s="535"/>
      <c r="AI340" s="294"/>
    </row>
    <row r="341" spans="1:35" x14ac:dyDescent="0.2">
      <c r="A341" s="294"/>
      <c r="B341" s="941"/>
      <c r="C341" s="66">
        <v>2</v>
      </c>
      <c r="D341" s="3" t="s">
        <v>645</v>
      </c>
      <c r="E341" s="3" t="s">
        <v>660</v>
      </c>
      <c r="F341" s="3" t="s">
        <v>21</v>
      </c>
      <c r="G341" s="3" t="s">
        <v>660</v>
      </c>
      <c r="H341" s="502" t="s">
        <v>99</v>
      </c>
      <c r="I341" s="5"/>
      <c r="J341" s="802"/>
      <c r="K341" s="135"/>
      <c r="L341" s="127"/>
      <c r="M341" s="134"/>
      <c r="N341" s="60"/>
      <c r="O341" s="504">
        <v>0</v>
      </c>
      <c r="P341" s="504">
        <v>0</v>
      </c>
      <c r="Q341" s="504">
        <v>0</v>
      </c>
      <c r="R341" s="504">
        <v>0</v>
      </c>
      <c r="S341" s="4">
        <f>Q341+R341</f>
        <v>0</v>
      </c>
      <c r="T341" s="504">
        <v>0</v>
      </c>
      <c r="U341" s="504">
        <v>0</v>
      </c>
      <c r="V341" s="504">
        <v>0</v>
      </c>
      <c r="W341" s="504">
        <v>0</v>
      </c>
      <c r="X341" s="504">
        <v>0</v>
      </c>
      <c r="Y341" s="604"/>
      <c r="Z341" s="3" t="str">
        <f>VLOOKUP($D341,TableInputsData[],ReadMe!$M$3,FALSE)&amp;"  |  "&amp;VLOOKUP($E341,TableInputsData[],ReadMe!$M$3,FALSE)&amp;"  |  "&amp;VLOOKUP($G341,TableInputsData[],ReadMe!$M$3,FALSE)&amp;IF(AF341=1,"  |  "&amp;VLOOKUP($H341,TableInputsData[],ReadMe!$M$3,FALSE),"")</f>
        <v>DEPENSES OPERATIONNELLES  |  ENTRETIEN  |  ENTRETIEN</v>
      </c>
      <c r="AA341" s="3"/>
      <c r="AB341" s="34">
        <f t="shared" si="173"/>
        <v>0</v>
      </c>
      <c r="AC341" s="34"/>
      <c r="AD341" s="34"/>
      <c r="AE341" s="26"/>
      <c r="AF341" s="34">
        <v>0</v>
      </c>
      <c r="AG341" s="34"/>
      <c r="AH341" s="535"/>
      <c r="AI341" s="294"/>
    </row>
    <row r="342" spans="1:35" x14ac:dyDescent="0.2">
      <c r="A342" s="294"/>
      <c r="B342" s="941"/>
      <c r="C342" s="70">
        <v>2</v>
      </c>
      <c r="D342" s="6" t="s">
        <v>645</v>
      </c>
      <c r="E342" s="6" t="s">
        <v>660</v>
      </c>
      <c r="F342" s="6" t="s">
        <v>21</v>
      </c>
      <c r="G342" s="6" t="s">
        <v>660</v>
      </c>
      <c r="H342" s="503" t="s">
        <v>100</v>
      </c>
      <c r="I342" s="11"/>
      <c r="J342" s="802"/>
      <c r="K342" s="135"/>
      <c r="L342" s="127"/>
      <c r="M342" s="134"/>
      <c r="N342" s="60"/>
      <c r="O342" s="505">
        <v>0</v>
      </c>
      <c r="P342" s="505">
        <v>0</v>
      </c>
      <c r="Q342" s="505">
        <v>0</v>
      </c>
      <c r="R342" s="505">
        <v>0</v>
      </c>
      <c r="S342" s="7">
        <f>Q342+R342</f>
        <v>0</v>
      </c>
      <c r="T342" s="505">
        <v>0</v>
      </c>
      <c r="U342" s="505">
        <v>0</v>
      </c>
      <c r="V342" s="505">
        <v>0</v>
      </c>
      <c r="W342" s="505">
        <v>0</v>
      </c>
      <c r="X342" s="505">
        <v>0</v>
      </c>
      <c r="Y342" s="605"/>
      <c r="Z342" s="6" t="str">
        <f>VLOOKUP($D342,TableInputsData[],ReadMe!$M$3,FALSE)&amp;"  |  "&amp;VLOOKUP($E342,TableInputsData[],ReadMe!$M$3,FALSE)&amp;"  |  "&amp;VLOOKUP($G342,TableInputsData[],ReadMe!$M$3,FALSE)&amp;IF(AF342=1,"  |  "&amp;VLOOKUP($H342,TableInputsData[],ReadMe!$M$3,FALSE),"")</f>
        <v>DEPENSES OPERATIONNELLES  |  ENTRETIEN  |  ENTRETIEN</v>
      </c>
      <c r="AA342" s="6"/>
      <c r="AB342" s="36">
        <f t="shared" si="173"/>
        <v>0</v>
      </c>
      <c r="AC342" s="36"/>
      <c r="AD342" s="36"/>
      <c r="AE342" s="91"/>
      <c r="AF342" s="36">
        <v>0</v>
      </c>
      <c r="AG342" s="36"/>
      <c r="AH342" s="536"/>
      <c r="AI342" s="294"/>
    </row>
    <row r="343" spans="1:35" x14ac:dyDescent="0.2">
      <c r="A343" s="294"/>
      <c r="B343" s="941"/>
      <c r="C343" s="67">
        <v>2</v>
      </c>
      <c r="D343" s="16" t="s">
        <v>645</v>
      </c>
      <c r="E343" s="16" t="s">
        <v>660</v>
      </c>
      <c r="F343" s="16" t="s">
        <v>21</v>
      </c>
      <c r="G343" s="16" t="s">
        <v>660</v>
      </c>
      <c r="H343" s="17" t="s">
        <v>29</v>
      </c>
      <c r="I343" s="17"/>
      <c r="J343" s="27"/>
      <c r="K343" s="27"/>
      <c r="L343" s="97"/>
      <c r="M343" s="112"/>
      <c r="N343" s="18"/>
      <c r="O343" s="18">
        <f>SUM(O335:O342)</f>
        <v>0</v>
      </c>
      <c r="P343" s="18">
        <f t="shared" ref="P343:X343" si="176">SUM(P335:P342)</f>
        <v>0</v>
      </c>
      <c r="Q343" s="18">
        <f t="shared" si="176"/>
        <v>0</v>
      </c>
      <c r="R343" s="18">
        <f t="shared" si="176"/>
        <v>0</v>
      </c>
      <c r="S343" s="18">
        <f t="shared" si="176"/>
        <v>0</v>
      </c>
      <c r="T343" s="18">
        <f t="shared" si="176"/>
        <v>0</v>
      </c>
      <c r="U343" s="18">
        <f t="shared" si="176"/>
        <v>0</v>
      </c>
      <c r="V343" s="18">
        <f t="shared" si="176"/>
        <v>0</v>
      </c>
      <c r="W343" s="18">
        <f t="shared" si="176"/>
        <v>0</v>
      </c>
      <c r="X343" s="18">
        <f t="shared" si="176"/>
        <v>0</v>
      </c>
      <c r="Y343" s="18"/>
      <c r="Z343" s="16"/>
      <c r="AA343" s="16"/>
      <c r="AB343" s="27">
        <v>1</v>
      </c>
      <c r="AC343" s="27"/>
      <c r="AD343" s="27"/>
      <c r="AE343" s="27"/>
      <c r="AF343" s="27"/>
      <c r="AG343" s="27"/>
      <c r="AH343" s="533"/>
      <c r="AI343" s="294"/>
    </row>
    <row r="344" spans="1:35" x14ac:dyDescent="0.2">
      <c r="A344" s="294"/>
      <c r="B344" s="941"/>
      <c r="C344" s="71">
        <v>2</v>
      </c>
      <c r="D344" s="8"/>
      <c r="E344" s="8"/>
      <c r="F344" s="8"/>
      <c r="G344" s="8"/>
      <c r="H344" s="9"/>
      <c r="I344" s="9"/>
      <c r="J344" s="87"/>
      <c r="K344" s="87"/>
      <c r="L344" s="98"/>
      <c r="M344" s="113"/>
      <c r="N344" s="10"/>
      <c r="O344" s="10"/>
      <c r="P344" s="10"/>
      <c r="Q344" s="10"/>
      <c r="R344" s="10"/>
      <c r="S344" s="10"/>
      <c r="T344" s="10"/>
      <c r="U344" s="10"/>
      <c r="V344" s="10"/>
      <c r="W344" s="10"/>
      <c r="X344" s="10"/>
      <c r="Y344" s="10"/>
      <c r="Z344" s="8"/>
      <c r="AA344" s="8"/>
      <c r="AB344" s="35"/>
      <c r="AC344" s="35"/>
      <c r="AD344" s="35"/>
      <c r="AE344" s="87"/>
      <c r="AF344" s="35"/>
      <c r="AG344" s="35"/>
      <c r="AH344" s="534"/>
      <c r="AI344" s="294"/>
    </row>
    <row r="345" spans="1:35" ht="12.75" customHeight="1" x14ac:dyDescent="0.2">
      <c r="A345" s="294"/>
      <c r="B345" s="941"/>
      <c r="C345" s="66">
        <v>2</v>
      </c>
      <c r="D345" s="3" t="s">
        <v>645</v>
      </c>
      <c r="E345" s="3" t="s">
        <v>661</v>
      </c>
      <c r="F345" s="3" t="s">
        <v>21</v>
      </c>
      <c r="G345" s="3" t="s">
        <v>661</v>
      </c>
      <c r="H345" s="5" t="s">
        <v>688</v>
      </c>
      <c r="I345" s="5"/>
      <c r="J345" s="802"/>
      <c r="K345" s="135"/>
      <c r="L345" s="127"/>
      <c r="M345" s="134"/>
      <c r="N345" s="60"/>
      <c r="O345" s="504">
        <v>0</v>
      </c>
      <c r="P345" s="504">
        <v>0</v>
      </c>
      <c r="Q345" s="504">
        <v>0</v>
      </c>
      <c r="R345" s="504">
        <v>0</v>
      </c>
      <c r="S345" s="4">
        <f t="shared" si="172"/>
        <v>0</v>
      </c>
      <c r="T345" s="504">
        <v>0</v>
      </c>
      <c r="U345" s="504">
        <v>0</v>
      </c>
      <c r="V345" s="504">
        <v>0</v>
      </c>
      <c r="W345" s="504">
        <v>0</v>
      </c>
      <c r="X345" s="504">
        <v>0</v>
      </c>
      <c r="Y345" s="604"/>
      <c r="Z345" s="3" t="str">
        <f>VLOOKUP($D345,TableInputsData[],ReadMe!$M$3,FALSE)&amp;"  |  "&amp;VLOOKUP($E345,TableInputsData[],ReadMe!$M$3,FALSE)&amp;"  |  "&amp;VLOOKUP($G345,TableInputsData[],ReadMe!$M$3,FALSE)&amp;IF(AF345=1,"  |  "&amp;VLOOKUP($H345,TableInputsData[],ReadMe!$M$3,FALSE),"")</f>
        <v>DEPENSES OPERATIONNELLES  |  TIERCES PARTIES  |  TIERCES PARTIES  |  FRAIS DE DEMARRAGE LEGAUX (NOTAIRE, OBLIGATIONS GOUVERNEMENTALES ...)</v>
      </c>
      <c r="AA345" s="3"/>
      <c r="AB345" s="34">
        <f t="shared" ref="AB345:AB357" si="177">IF(SUM(O345:X345)=0,0,1)</f>
        <v>0</v>
      </c>
      <c r="AC345" s="34"/>
      <c r="AD345" s="34"/>
      <c r="AE345" s="26"/>
      <c r="AF345" s="34">
        <v>1</v>
      </c>
      <c r="AG345" s="34"/>
      <c r="AH345" s="535"/>
      <c r="AI345" s="294"/>
    </row>
    <row r="346" spans="1:35" x14ac:dyDescent="0.2">
      <c r="A346" s="294"/>
      <c r="B346" s="941"/>
      <c r="C346" s="66">
        <v>2</v>
      </c>
      <c r="D346" s="3" t="s">
        <v>645</v>
      </c>
      <c r="E346" s="3" t="s">
        <v>661</v>
      </c>
      <c r="F346" s="3" t="s">
        <v>21</v>
      </c>
      <c r="G346" s="3" t="s">
        <v>661</v>
      </c>
      <c r="H346" s="5" t="s">
        <v>689</v>
      </c>
      <c r="I346" s="5"/>
      <c r="J346" s="802"/>
      <c r="K346" s="135"/>
      <c r="L346" s="127"/>
      <c r="M346" s="134"/>
      <c r="N346" s="60"/>
      <c r="O346" s="504">
        <v>0</v>
      </c>
      <c r="P346" s="504">
        <v>0</v>
      </c>
      <c r="Q346" s="504">
        <v>0</v>
      </c>
      <c r="R346" s="504">
        <v>0</v>
      </c>
      <c r="S346" s="4">
        <f t="shared" si="172"/>
        <v>0</v>
      </c>
      <c r="T346" s="504">
        <v>0</v>
      </c>
      <c r="U346" s="504">
        <v>0</v>
      </c>
      <c r="V346" s="504">
        <v>0</v>
      </c>
      <c r="W346" s="504">
        <v>0</v>
      </c>
      <c r="X346" s="504">
        <v>0</v>
      </c>
      <c r="Y346" s="604"/>
      <c r="Z346" s="3" t="str">
        <f>VLOOKUP($D346,TableInputsData[],ReadMe!$M$3,FALSE)&amp;"  |  "&amp;VLOOKUP($E346,TableInputsData[],ReadMe!$M$3,FALSE)&amp;"  |  "&amp;VLOOKUP($G346,TableInputsData[],ReadMe!$M$3,FALSE)&amp;IF(AF346=1,"  |  "&amp;VLOOKUP($H346,TableInputsData[],ReadMe!$M$3,FALSE),"")</f>
        <v>DEPENSES OPERATIONNELLES  |  TIERCES PARTIES  |  TIERCES PARTIES  |  FRAIS DE SUIVI PRET FACTURE D'AVANCE</v>
      </c>
      <c r="AA346" s="3"/>
      <c r="AB346" s="34">
        <f t="shared" si="177"/>
        <v>0</v>
      </c>
      <c r="AC346" s="34"/>
      <c r="AD346" s="34"/>
      <c r="AE346" s="26"/>
      <c r="AF346" s="34">
        <v>1</v>
      </c>
      <c r="AG346" s="34"/>
      <c r="AH346" s="535"/>
      <c r="AI346" s="294"/>
    </row>
    <row r="347" spans="1:35" x14ac:dyDescent="0.2">
      <c r="A347" s="294"/>
      <c r="B347" s="941"/>
      <c r="C347" s="66">
        <v>2</v>
      </c>
      <c r="D347" s="3" t="s">
        <v>645</v>
      </c>
      <c r="E347" s="3" t="s">
        <v>661</v>
      </c>
      <c r="F347" s="3" t="s">
        <v>21</v>
      </c>
      <c r="G347" s="3" t="s">
        <v>661</v>
      </c>
      <c r="H347" s="5" t="s">
        <v>670</v>
      </c>
      <c r="I347" s="5"/>
      <c r="J347" s="802"/>
      <c r="K347" s="135"/>
      <c r="L347" s="127"/>
      <c r="M347" s="134"/>
      <c r="N347" s="60"/>
      <c r="O347" s="504">
        <v>0</v>
      </c>
      <c r="P347" s="504">
        <v>0</v>
      </c>
      <c r="Q347" s="504">
        <v>0</v>
      </c>
      <c r="R347" s="504">
        <v>0</v>
      </c>
      <c r="S347" s="4">
        <f t="shared" si="172"/>
        <v>0</v>
      </c>
      <c r="T347" s="504">
        <v>0</v>
      </c>
      <c r="U347" s="504">
        <v>0</v>
      </c>
      <c r="V347" s="504">
        <v>0</v>
      </c>
      <c r="W347" s="504">
        <v>0</v>
      </c>
      <c r="X347" s="504">
        <v>0</v>
      </c>
      <c r="Y347" s="604"/>
      <c r="Z347" s="3" t="str">
        <f>VLOOKUP($D347,TableInputsData[],ReadMe!$M$3,FALSE)&amp;"  |  "&amp;VLOOKUP($E347,TableInputsData[],ReadMe!$M$3,FALSE)&amp;"  |  "&amp;VLOOKUP($G347,TableInputsData[],ReadMe!$M$3,FALSE)&amp;IF(AF347=1,"  |  "&amp;VLOOKUP($H347,TableInputsData[],ReadMe!$M$3,FALSE),"")</f>
        <v>DEPENSES OPERATIONNELLES  |  TIERCES PARTIES  |  TIERCES PARTIES  |  AUTRES FRAIS DE DÉMARRAGE (SI NON ACTIVE)</v>
      </c>
      <c r="AA347" s="3"/>
      <c r="AB347" s="34">
        <f t="shared" si="177"/>
        <v>0</v>
      </c>
      <c r="AC347" s="34"/>
      <c r="AD347" s="34"/>
      <c r="AE347" s="26"/>
      <c r="AF347" s="34">
        <v>1</v>
      </c>
      <c r="AG347" s="34"/>
      <c r="AH347" s="535"/>
      <c r="AI347" s="294"/>
    </row>
    <row r="348" spans="1:35" x14ac:dyDescent="0.2">
      <c r="A348" s="294"/>
      <c r="B348" s="941"/>
      <c r="C348" s="66">
        <v>2</v>
      </c>
      <c r="D348" s="3" t="s">
        <v>645</v>
      </c>
      <c r="E348" s="3" t="s">
        <v>661</v>
      </c>
      <c r="F348" s="3" t="s">
        <v>21</v>
      </c>
      <c r="G348" s="3" t="s">
        <v>661</v>
      </c>
      <c r="H348" s="5" t="s">
        <v>707</v>
      </c>
      <c r="I348" s="5"/>
      <c r="J348" s="802"/>
      <c r="K348" s="135"/>
      <c r="L348" s="127"/>
      <c r="M348" s="134"/>
      <c r="N348" s="60"/>
      <c r="O348" s="504">
        <v>0</v>
      </c>
      <c r="P348" s="504">
        <v>0</v>
      </c>
      <c r="Q348" s="504">
        <v>0</v>
      </c>
      <c r="R348" s="504">
        <v>0</v>
      </c>
      <c r="S348" s="4">
        <f t="shared" si="172"/>
        <v>0</v>
      </c>
      <c r="T348" s="504">
        <v>0</v>
      </c>
      <c r="U348" s="504">
        <v>0</v>
      </c>
      <c r="V348" s="504">
        <v>0</v>
      </c>
      <c r="W348" s="504">
        <v>0</v>
      </c>
      <c r="X348" s="504">
        <v>0</v>
      </c>
      <c r="Y348" s="604"/>
      <c r="Z348" s="3" t="str">
        <f>VLOOKUP($D348,TableInputsData[],ReadMe!$M$3,FALSE)&amp;"  |  "&amp;VLOOKUP($E348,TableInputsData[],ReadMe!$M$3,FALSE)&amp;"  |  "&amp;VLOOKUP($G348,TableInputsData[],ReadMe!$M$3,FALSE)&amp;IF(AF348=1,"  |  "&amp;VLOOKUP($H348,TableInputsData[],ReadMe!$M$3,FALSE),"")</f>
        <v>DEPENSES OPERATIONNELLES  |  TIERCES PARTIES  |  TIERCES PARTIES  |  TRANSPORT DE MARCHANDISES (CARBURANT)</v>
      </c>
      <c r="AA348" s="3"/>
      <c r="AB348" s="34">
        <f t="shared" si="177"/>
        <v>0</v>
      </c>
      <c r="AC348" s="34"/>
      <c r="AD348" s="34"/>
      <c r="AE348" s="26"/>
      <c r="AF348" s="34">
        <v>1</v>
      </c>
      <c r="AG348" s="34"/>
      <c r="AH348" s="535"/>
      <c r="AI348" s="294"/>
    </row>
    <row r="349" spans="1:35" x14ac:dyDescent="0.2">
      <c r="A349" s="294"/>
      <c r="B349" s="941"/>
      <c r="C349" s="66">
        <v>2</v>
      </c>
      <c r="D349" s="3" t="s">
        <v>645</v>
      </c>
      <c r="E349" s="3" t="s">
        <v>661</v>
      </c>
      <c r="F349" s="3" t="s">
        <v>21</v>
      </c>
      <c r="G349" s="3" t="s">
        <v>661</v>
      </c>
      <c r="H349" s="5" t="s">
        <v>692</v>
      </c>
      <c r="I349" s="5"/>
      <c r="J349" s="802"/>
      <c r="K349" s="135"/>
      <c r="L349" s="127"/>
      <c r="M349" s="134"/>
      <c r="N349" s="60"/>
      <c r="O349" s="504">
        <v>0</v>
      </c>
      <c r="P349" s="504">
        <v>0</v>
      </c>
      <c r="Q349" s="504">
        <v>0</v>
      </c>
      <c r="R349" s="504">
        <v>0</v>
      </c>
      <c r="S349" s="4">
        <f t="shared" si="172"/>
        <v>0</v>
      </c>
      <c r="T349" s="504">
        <v>0</v>
      </c>
      <c r="U349" s="504">
        <v>0</v>
      </c>
      <c r="V349" s="504">
        <v>0</v>
      </c>
      <c r="W349" s="504">
        <v>0</v>
      </c>
      <c r="X349" s="504">
        <v>0</v>
      </c>
      <c r="Y349" s="604"/>
      <c r="Z349" s="3" t="str">
        <f>VLOOKUP($D349,TableInputsData[],ReadMe!$M$3,FALSE)&amp;"  |  "&amp;VLOOKUP($E349,TableInputsData[],ReadMe!$M$3,FALSE)&amp;"  |  "&amp;VLOOKUP($G349,TableInputsData[],ReadMe!$M$3,FALSE)&amp;IF(AF349=1,"  |  "&amp;VLOOKUP($H349,TableInputsData[],ReadMe!$M$3,FALSE),"")</f>
        <v>DEPENSES OPERATIONNELLES  |  TIERCES PARTIES  |  TIERCES PARTIES  |  LIVRAISON DE MARCHANDISES</v>
      </c>
      <c r="AA349" s="3"/>
      <c r="AB349" s="34">
        <f t="shared" si="177"/>
        <v>0</v>
      </c>
      <c r="AC349" s="34"/>
      <c r="AD349" s="34"/>
      <c r="AE349" s="26"/>
      <c r="AF349" s="34">
        <v>1</v>
      </c>
      <c r="AG349" s="34"/>
      <c r="AH349" s="535"/>
      <c r="AI349" s="294"/>
    </row>
    <row r="350" spans="1:35" x14ac:dyDescent="0.2">
      <c r="A350" s="294"/>
      <c r="B350" s="941"/>
      <c r="C350" s="66">
        <v>2</v>
      </c>
      <c r="D350" s="3" t="s">
        <v>645</v>
      </c>
      <c r="E350" s="3" t="s">
        <v>661</v>
      </c>
      <c r="F350" s="3" t="s">
        <v>21</v>
      </c>
      <c r="G350" s="3" t="s">
        <v>661</v>
      </c>
      <c r="H350" s="5" t="s">
        <v>674</v>
      </c>
      <c r="I350" s="5"/>
      <c r="J350" s="802"/>
      <c r="K350" s="135"/>
      <c r="L350" s="127"/>
      <c r="M350" s="134"/>
      <c r="N350" s="60"/>
      <c r="O350" s="504">
        <v>0</v>
      </c>
      <c r="P350" s="504">
        <v>0</v>
      </c>
      <c r="Q350" s="504">
        <v>0</v>
      </c>
      <c r="R350" s="504">
        <v>0</v>
      </c>
      <c r="S350" s="4">
        <f t="shared" si="172"/>
        <v>0</v>
      </c>
      <c r="T350" s="504">
        <v>0</v>
      </c>
      <c r="U350" s="504">
        <v>0</v>
      </c>
      <c r="V350" s="504">
        <v>0</v>
      </c>
      <c r="W350" s="504">
        <v>0</v>
      </c>
      <c r="X350" s="504">
        <v>0</v>
      </c>
      <c r="Y350" s="604"/>
      <c r="Z350" s="3" t="str">
        <f>VLOOKUP($D350,TableInputsData[],ReadMe!$M$3,FALSE)&amp;"  |  "&amp;VLOOKUP($E350,TableInputsData[],ReadMe!$M$3,FALSE)&amp;"  |  "&amp;VLOOKUP($G350,TableInputsData[],ReadMe!$M$3,FALSE)&amp;IF(AF350=1,"  |  "&amp;VLOOKUP($H350,TableInputsData[],ReadMe!$M$3,FALSE),"")</f>
        <v>DEPENSES OPERATIONNELLES  |  TIERCES PARTIES  |  TIERCES PARTIES  |  COMMISSIONS ET COURTAGES SUR VENTES</v>
      </c>
      <c r="AA350" s="3"/>
      <c r="AB350" s="34">
        <f t="shared" si="177"/>
        <v>0</v>
      </c>
      <c r="AC350" s="34"/>
      <c r="AD350" s="34"/>
      <c r="AE350" s="26"/>
      <c r="AF350" s="34">
        <v>1</v>
      </c>
      <c r="AG350" s="34"/>
      <c r="AH350" s="535"/>
      <c r="AI350" s="294"/>
    </row>
    <row r="351" spans="1:35" ht="14" x14ac:dyDescent="0.2">
      <c r="A351" s="294"/>
      <c r="B351" s="941"/>
      <c r="C351" s="66">
        <v>2</v>
      </c>
      <c r="D351" s="3" t="s">
        <v>645</v>
      </c>
      <c r="E351" s="3" t="s">
        <v>661</v>
      </c>
      <c r="F351" s="3" t="s">
        <v>21</v>
      </c>
      <c r="G351" s="3" t="s">
        <v>661</v>
      </c>
      <c r="H351" s="5" t="s">
        <v>676</v>
      </c>
      <c r="I351" s="5"/>
      <c r="J351" s="802">
        <f>VLOOKUP("ANNUAL INFLATION IN THE COUNTRY",TableInputsData[],8,FALSE)</f>
        <v>0.03</v>
      </c>
      <c r="K351" s="135"/>
      <c r="L351" s="127"/>
      <c r="M351" s="134"/>
      <c r="N351" s="60"/>
      <c r="O351" s="504">
        <v>0</v>
      </c>
      <c r="P351" s="504">
        <v>0</v>
      </c>
      <c r="Q351" s="504">
        <v>0</v>
      </c>
      <c r="R351" s="504">
        <v>0</v>
      </c>
      <c r="S351" s="4">
        <f t="shared" si="172"/>
        <v>0</v>
      </c>
      <c r="T351" s="504">
        <v>0</v>
      </c>
      <c r="U351" s="504">
        <v>0</v>
      </c>
      <c r="V351" s="504">
        <v>0</v>
      </c>
      <c r="W351" s="504">
        <v>0</v>
      </c>
      <c r="X351" s="504">
        <v>0</v>
      </c>
      <c r="Y351" s="604" t="s">
        <v>1888</v>
      </c>
      <c r="Z351" s="3" t="str">
        <f>VLOOKUP($D351,TableInputsData[],ReadMe!$M$3,FALSE)&amp;"  |  "&amp;VLOOKUP($E351,TableInputsData[],ReadMe!$M$3,FALSE)&amp;"  |  "&amp;VLOOKUP($G351,TableInputsData[],ReadMe!$M$3,FALSE)&amp;IF(AF351=1,"  |  "&amp;VLOOKUP($H351,TableInputsData[],ReadMe!$M$3,FALSE),"")</f>
        <v>DEPENSES OPERATIONNELLES  |  TIERCES PARTIES  |  TIERCES PARTIES  |  CONSEILLER JURIDIQUE</v>
      </c>
      <c r="AA351" s="3"/>
      <c r="AB351" s="34">
        <f t="shared" si="177"/>
        <v>0</v>
      </c>
      <c r="AC351" s="34"/>
      <c r="AD351" s="34"/>
      <c r="AE351" s="26"/>
      <c r="AF351" s="34">
        <v>1</v>
      </c>
      <c r="AG351" s="34"/>
      <c r="AH351" s="535"/>
      <c r="AI351" s="294"/>
    </row>
    <row r="352" spans="1:35" ht="14" x14ac:dyDescent="0.2">
      <c r="A352" s="294"/>
      <c r="B352" s="941"/>
      <c r="C352" s="66">
        <v>2</v>
      </c>
      <c r="D352" s="3" t="s">
        <v>645</v>
      </c>
      <c r="E352" s="3" t="s">
        <v>661</v>
      </c>
      <c r="F352" s="3" t="s">
        <v>21</v>
      </c>
      <c r="G352" s="3" t="s">
        <v>661</v>
      </c>
      <c r="H352" s="5" t="s">
        <v>675</v>
      </c>
      <c r="I352" s="5"/>
      <c r="J352" s="802">
        <f>VLOOKUP("ANNUAL INFLATION IN THE COUNTRY",TableInputsData[],8,FALSE)</f>
        <v>0.03</v>
      </c>
      <c r="K352" s="135"/>
      <c r="L352" s="127"/>
      <c r="M352" s="134"/>
      <c r="N352" s="60"/>
      <c r="O352" s="504">
        <v>0</v>
      </c>
      <c r="P352" s="504">
        <v>0</v>
      </c>
      <c r="Q352" s="504">
        <v>0</v>
      </c>
      <c r="R352" s="504">
        <v>0</v>
      </c>
      <c r="S352" s="4">
        <f t="shared" si="172"/>
        <v>0</v>
      </c>
      <c r="T352" s="504">
        <v>0</v>
      </c>
      <c r="U352" s="504">
        <v>0</v>
      </c>
      <c r="V352" s="504">
        <v>0</v>
      </c>
      <c r="W352" s="504">
        <v>0</v>
      </c>
      <c r="X352" s="504">
        <v>0</v>
      </c>
      <c r="Y352" s="604" t="s">
        <v>1888</v>
      </c>
      <c r="Z352" s="3" t="str">
        <f>VLOOKUP($D352,TableInputsData[],ReadMe!$M$3,FALSE)&amp;"  |  "&amp;VLOOKUP($E352,TableInputsData[],ReadMe!$M$3,FALSE)&amp;"  |  "&amp;VLOOKUP($G352,TableInputsData[],ReadMe!$M$3,FALSE)&amp;IF(AF352=1,"  |  "&amp;VLOOKUP($H352,TableInputsData[],ReadMe!$M$3,FALSE),"")</f>
        <v>DEPENSES OPERATIONNELLES  |  TIERCES PARTIES  |  TIERCES PARTIES  |  COMPTABILITÉ &amp; FISCALITÉ</v>
      </c>
      <c r="AA352" s="3"/>
      <c r="AB352" s="34">
        <f t="shared" si="177"/>
        <v>0</v>
      </c>
      <c r="AC352" s="34"/>
      <c r="AD352" s="34"/>
      <c r="AE352" s="26"/>
      <c r="AF352" s="34">
        <v>1</v>
      </c>
      <c r="AG352" s="34"/>
      <c r="AH352" s="535"/>
      <c r="AI352" s="294"/>
    </row>
    <row r="353" spans="1:35" x14ac:dyDescent="0.2">
      <c r="A353" s="294"/>
      <c r="B353" s="941"/>
      <c r="C353" s="66">
        <v>2</v>
      </c>
      <c r="D353" s="3" t="s">
        <v>645</v>
      </c>
      <c r="E353" s="3" t="s">
        <v>661</v>
      </c>
      <c r="F353" s="3" t="s">
        <v>21</v>
      </c>
      <c r="G353" s="3" t="s">
        <v>661</v>
      </c>
      <c r="H353" s="502" t="s">
        <v>96</v>
      </c>
      <c r="I353" s="5"/>
      <c r="J353" s="802"/>
      <c r="K353" s="135"/>
      <c r="L353" s="127"/>
      <c r="M353" s="134"/>
      <c r="N353" s="60"/>
      <c r="O353" s="504">
        <v>0</v>
      </c>
      <c r="P353" s="504">
        <v>0</v>
      </c>
      <c r="Q353" s="504">
        <v>0</v>
      </c>
      <c r="R353" s="504">
        <v>0</v>
      </c>
      <c r="S353" s="4">
        <f>Q353+R353</f>
        <v>0</v>
      </c>
      <c r="T353" s="504">
        <v>0</v>
      </c>
      <c r="U353" s="504">
        <v>0</v>
      </c>
      <c r="V353" s="504">
        <v>0</v>
      </c>
      <c r="W353" s="504">
        <v>0</v>
      </c>
      <c r="X353" s="504">
        <v>0</v>
      </c>
      <c r="Y353" s="604"/>
      <c r="Z353" s="3" t="str">
        <f>VLOOKUP($D353,TableInputsData[],ReadMe!$M$3,FALSE)&amp;"  |  "&amp;VLOOKUP($E353,TableInputsData[],ReadMe!$M$3,FALSE)&amp;"  |  "&amp;VLOOKUP($G353,TableInputsData[],ReadMe!$M$3,FALSE)&amp;IF(AF353=1,"  |  "&amp;VLOOKUP($H353,TableInputsData[],ReadMe!$M$3,FALSE),"")</f>
        <v>DEPENSES OPERATIONNELLES  |  TIERCES PARTIES  |  TIERCES PARTIES</v>
      </c>
      <c r="AA353" s="3"/>
      <c r="AB353" s="34">
        <f t="shared" si="177"/>
        <v>0</v>
      </c>
      <c r="AC353" s="34"/>
      <c r="AD353" s="34"/>
      <c r="AE353" s="26"/>
      <c r="AF353" s="34">
        <v>0</v>
      </c>
      <c r="AG353" s="34"/>
      <c r="AH353" s="535"/>
      <c r="AI353" s="294"/>
    </row>
    <row r="354" spans="1:35" x14ac:dyDescent="0.2">
      <c r="A354" s="294"/>
      <c r="B354" s="941"/>
      <c r="C354" s="66">
        <v>2</v>
      </c>
      <c r="D354" s="3" t="s">
        <v>645</v>
      </c>
      <c r="E354" s="3" t="s">
        <v>661</v>
      </c>
      <c r="F354" s="3" t="s">
        <v>21</v>
      </c>
      <c r="G354" s="3" t="s">
        <v>661</v>
      </c>
      <c r="H354" s="502" t="s">
        <v>97</v>
      </c>
      <c r="I354" s="5"/>
      <c r="J354" s="802"/>
      <c r="K354" s="135"/>
      <c r="L354" s="127"/>
      <c r="M354" s="134"/>
      <c r="N354" s="60"/>
      <c r="O354" s="504">
        <v>0</v>
      </c>
      <c r="P354" s="504">
        <v>0</v>
      </c>
      <c r="Q354" s="504">
        <v>0</v>
      </c>
      <c r="R354" s="504">
        <v>0</v>
      </c>
      <c r="S354" s="4">
        <f>Q354+R354</f>
        <v>0</v>
      </c>
      <c r="T354" s="504">
        <v>0</v>
      </c>
      <c r="U354" s="504">
        <v>0</v>
      </c>
      <c r="V354" s="504">
        <v>0</v>
      </c>
      <c r="W354" s="504">
        <v>0</v>
      </c>
      <c r="X354" s="504">
        <v>0</v>
      </c>
      <c r="Y354" s="604"/>
      <c r="Z354" s="3" t="str">
        <f>VLOOKUP($D354,TableInputsData[],ReadMe!$M$3,FALSE)&amp;"  |  "&amp;VLOOKUP($E354,TableInputsData[],ReadMe!$M$3,FALSE)&amp;"  |  "&amp;VLOOKUP($G354,TableInputsData[],ReadMe!$M$3,FALSE)&amp;IF(AF354=1,"  |  "&amp;VLOOKUP($H354,TableInputsData[],ReadMe!$M$3,FALSE),"")</f>
        <v>DEPENSES OPERATIONNELLES  |  TIERCES PARTIES  |  TIERCES PARTIES</v>
      </c>
      <c r="AA354" s="3"/>
      <c r="AB354" s="34">
        <f t="shared" si="177"/>
        <v>0</v>
      </c>
      <c r="AC354" s="34"/>
      <c r="AD354" s="34"/>
      <c r="AE354" s="26"/>
      <c r="AF354" s="34">
        <v>0</v>
      </c>
      <c r="AG354" s="34"/>
      <c r="AH354" s="535"/>
      <c r="AI354" s="294"/>
    </row>
    <row r="355" spans="1:35" x14ac:dyDescent="0.2">
      <c r="A355" s="294"/>
      <c r="B355" s="941"/>
      <c r="C355" s="66">
        <v>2</v>
      </c>
      <c r="D355" s="3" t="s">
        <v>645</v>
      </c>
      <c r="E355" s="3" t="s">
        <v>661</v>
      </c>
      <c r="F355" s="3" t="s">
        <v>21</v>
      </c>
      <c r="G355" s="3" t="s">
        <v>661</v>
      </c>
      <c r="H355" s="502" t="s">
        <v>98</v>
      </c>
      <c r="I355" s="5"/>
      <c r="J355" s="802"/>
      <c r="K355" s="135"/>
      <c r="L355" s="127"/>
      <c r="M355" s="134"/>
      <c r="N355" s="60"/>
      <c r="O355" s="504">
        <v>0</v>
      </c>
      <c r="P355" s="504">
        <v>0</v>
      </c>
      <c r="Q355" s="504">
        <v>0</v>
      </c>
      <c r="R355" s="504">
        <v>0</v>
      </c>
      <c r="S355" s="4">
        <f>Q355+R355</f>
        <v>0</v>
      </c>
      <c r="T355" s="504">
        <v>0</v>
      </c>
      <c r="U355" s="504">
        <v>0</v>
      </c>
      <c r="V355" s="504">
        <v>0</v>
      </c>
      <c r="W355" s="504">
        <v>0</v>
      </c>
      <c r="X355" s="504">
        <v>0</v>
      </c>
      <c r="Y355" s="604"/>
      <c r="Z355" s="3" t="str">
        <f>VLOOKUP($D355,TableInputsData[],ReadMe!$M$3,FALSE)&amp;"  |  "&amp;VLOOKUP($E355,TableInputsData[],ReadMe!$M$3,FALSE)&amp;"  |  "&amp;VLOOKUP($G355,TableInputsData[],ReadMe!$M$3,FALSE)&amp;IF(AF355=1,"  |  "&amp;VLOOKUP($H355,TableInputsData[],ReadMe!$M$3,FALSE),"")</f>
        <v>DEPENSES OPERATIONNELLES  |  TIERCES PARTIES  |  TIERCES PARTIES</v>
      </c>
      <c r="AA355" s="3"/>
      <c r="AB355" s="34">
        <f t="shared" si="177"/>
        <v>0</v>
      </c>
      <c r="AC355" s="34"/>
      <c r="AD355" s="34"/>
      <c r="AE355" s="26"/>
      <c r="AF355" s="34">
        <v>0</v>
      </c>
      <c r="AG355" s="34"/>
      <c r="AH355" s="535"/>
      <c r="AI355" s="294"/>
    </row>
    <row r="356" spans="1:35" x14ac:dyDescent="0.2">
      <c r="A356" s="294"/>
      <c r="B356" s="941"/>
      <c r="C356" s="66">
        <v>2</v>
      </c>
      <c r="D356" s="3" t="s">
        <v>645</v>
      </c>
      <c r="E356" s="3" t="s">
        <v>661</v>
      </c>
      <c r="F356" s="3" t="s">
        <v>21</v>
      </c>
      <c r="G356" s="3" t="s">
        <v>661</v>
      </c>
      <c r="H356" s="502" t="s">
        <v>99</v>
      </c>
      <c r="I356" s="5"/>
      <c r="J356" s="802"/>
      <c r="K356" s="135"/>
      <c r="L356" s="127"/>
      <c r="M356" s="134"/>
      <c r="N356" s="60"/>
      <c r="O356" s="504">
        <v>0</v>
      </c>
      <c r="P356" s="504">
        <v>0</v>
      </c>
      <c r="Q356" s="504">
        <v>0</v>
      </c>
      <c r="R356" s="504">
        <v>0</v>
      </c>
      <c r="S356" s="4">
        <f>Q356+R356</f>
        <v>0</v>
      </c>
      <c r="T356" s="504">
        <v>0</v>
      </c>
      <c r="U356" s="504">
        <v>0</v>
      </c>
      <c r="V356" s="504">
        <v>0</v>
      </c>
      <c r="W356" s="504">
        <v>0</v>
      </c>
      <c r="X356" s="504">
        <v>0</v>
      </c>
      <c r="Y356" s="604"/>
      <c r="Z356" s="3" t="str">
        <f>VLOOKUP($D356,TableInputsData[],ReadMe!$M$3,FALSE)&amp;"  |  "&amp;VLOOKUP($E356,TableInputsData[],ReadMe!$M$3,FALSE)&amp;"  |  "&amp;VLOOKUP($G356,TableInputsData[],ReadMe!$M$3,FALSE)&amp;IF(AF356=1,"  |  "&amp;VLOOKUP($H356,TableInputsData[],ReadMe!$M$3,FALSE),"")</f>
        <v>DEPENSES OPERATIONNELLES  |  TIERCES PARTIES  |  TIERCES PARTIES</v>
      </c>
      <c r="AA356" s="3"/>
      <c r="AB356" s="34">
        <f t="shared" si="177"/>
        <v>0</v>
      </c>
      <c r="AC356" s="34"/>
      <c r="AD356" s="34"/>
      <c r="AE356" s="26"/>
      <c r="AF356" s="34">
        <v>0</v>
      </c>
      <c r="AG356" s="34"/>
      <c r="AH356" s="535"/>
      <c r="AI356" s="294"/>
    </row>
    <row r="357" spans="1:35" x14ac:dyDescent="0.2">
      <c r="A357" s="294"/>
      <c r="B357" s="941"/>
      <c r="C357" s="70">
        <v>2</v>
      </c>
      <c r="D357" s="6" t="s">
        <v>645</v>
      </c>
      <c r="E357" s="6" t="s">
        <v>661</v>
      </c>
      <c r="F357" s="6" t="s">
        <v>21</v>
      </c>
      <c r="G357" s="6" t="s">
        <v>661</v>
      </c>
      <c r="H357" s="503" t="s">
        <v>100</v>
      </c>
      <c r="I357" s="11"/>
      <c r="J357" s="802"/>
      <c r="K357" s="135"/>
      <c r="L357" s="127"/>
      <c r="M357" s="134"/>
      <c r="N357" s="60"/>
      <c r="O357" s="505">
        <v>0</v>
      </c>
      <c r="P357" s="505">
        <v>0</v>
      </c>
      <c r="Q357" s="505">
        <v>0</v>
      </c>
      <c r="R357" s="505">
        <v>0</v>
      </c>
      <c r="S357" s="7">
        <f>Q357+R357</f>
        <v>0</v>
      </c>
      <c r="T357" s="505">
        <v>0</v>
      </c>
      <c r="U357" s="505">
        <v>0</v>
      </c>
      <c r="V357" s="505">
        <v>0</v>
      </c>
      <c r="W357" s="505">
        <v>0</v>
      </c>
      <c r="X357" s="505">
        <v>0</v>
      </c>
      <c r="Y357" s="605"/>
      <c r="Z357" s="6" t="str">
        <f>VLOOKUP($D357,TableInputsData[],ReadMe!$M$3,FALSE)&amp;"  |  "&amp;VLOOKUP($E357,TableInputsData[],ReadMe!$M$3,FALSE)&amp;"  |  "&amp;VLOOKUP($G357,TableInputsData[],ReadMe!$M$3,FALSE)&amp;IF(AF357=1,"  |  "&amp;VLOOKUP($H357,TableInputsData[],ReadMe!$M$3,FALSE),"")</f>
        <v>DEPENSES OPERATIONNELLES  |  TIERCES PARTIES  |  TIERCES PARTIES</v>
      </c>
      <c r="AA357" s="6"/>
      <c r="AB357" s="36">
        <f t="shared" si="177"/>
        <v>0</v>
      </c>
      <c r="AC357" s="36"/>
      <c r="AD357" s="36"/>
      <c r="AE357" s="91"/>
      <c r="AF357" s="36">
        <v>0</v>
      </c>
      <c r="AG357" s="36"/>
      <c r="AH357" s="536"/>
      <c r="AI357" s="294"/>
    </row>
    <row r="358" spans="1:35" x14ac:dyDescent="0.2">
      <c r="A358" s="294"/>
      <c r="B358" s="941"/>
      <c r="C358" s="67">
        <v>2</v>
      </c>
      <c r="D358" s="16" t="s">
        <v>645</v>
      </c>
      <c r="E358" s="16" t="s">
        <v>661</v>
      </c>
      <c r="F358" s="16" t="s">
        <v>21</v>
      </c>
      <c r="G358" s="16" t="s">
        <v>661</v>
      </c>
      <c r="H358" s="17" t="s">
        <v>29</v>
      </c>
      <c r="I358" s="17"/>
      <c r="J358" s="27"/>
      <c r="K358" s="27"/>
      <c r="L358" s="97"/>
      <c r="M358" s="112"/>
      <c r="N358" s="849"/>
      <c r="O358" s="18">
        <f>SUM(O345:O357)</f>
        <v>0</v>
      </c>
      <c r="P358" s="18">
        <f t="shared" ref="P358:X358" si="178">SUM(P345:P357)</f>
        <v>0</v>
      </c>
      <c r="Q358" s="18">
        <f t="shared" si="178"/>
        <v>0</v>
      </c>
      <c r="R358" s="18">
        <f t="shared" si="178"/>
        <v>0</v>
      </c>
      <c r="S358" s="18">
        <f t="shared" si="178"/>
        <v>0</v>
      </c>
      <c r="T358" s="18">
        <f t="shared" si="178"/>
        <v>0</v>
      </c>
      <c r="U358" s="18">
        <f t="shared" si="178"/>
        <v>0</v>
      </c>
      <c r="V358" s="18">
        <f t="shared" si="178"/>
        <v>0</v>
      </c>
      <c r="W358" s="18">
        <f t="shared" si="178"/>
        <v>0</v>
      </c>
      <c r="X358" s="18">
        <f t="shared" si="178"/>
        <v>0</v>
      </c>
      <c r="Y358" s="18"/>
      <c r="Z358" s="16"/>
      <c r="AA358" s="16"/>
      <c r="AB358" s="27">
        <v>1</v>
      </c>
      <c r="AC358" s="27"/>
      <c r="AD358" s="27"/>
      <c r="AE358" s="27"/>
      <c r="AF358" s="27"/>
      <c r="AG358" s="27"/>
      <c r="AH358" s="533"/>
      <c r="AI358" s="294"/>
    </row>
    <row r="359" spans="1:35" x14ac:dyDescent="0.2">
      <c r="A359" s="294"/>
      <c r="B359" s="941"/>
      <c r="C359" s="72">
        <v>2</v>
      </c>
      <c r="D359" s="13"/>
      <c r="E359" s="13"/>
      <c r="F359" s="13"/>
      <c r="G359" s="13"/>
      <c r="H359" s="14"/>
      <c r="I359" s="14"/>
      <c r="J359" s="88"/>
      <c r="K359" s="88"/>
      <c r="L359" s="99"/>
      <c r="M359" s="114"/>
      <c r="N359" s="850"/>
      <c r="O359" s="15"/>
      <c r="P359" s="15"/>
      <c r="Q359" s="15"/>
      <c r="R359" s="15"/>
      <c r="S359" s="15"/>
      <c r="T359" s="15"/>
      <c r="U359" s="15"/>
      <c r="V359" s="15"/>
      <c r="W359" s="15"/>
      <c r="X359" s="15"/>
      <c r="Y359" s="15"/>
      <c r="Z359" s="13"/>
      <c r="AA359" s="13"/>
      <c r="AB359" s="37"/>
      <c r="AC359" s="37"/>
      <c r="AD359" s="37"/>
      <c r="AE359" s="88"/>
      <c r="AF359" s="37"/>
      <c r="AG359" s="37"/>
      <c r="AH359" s="537"/>
      <c r="AI359" s="294"/>
    </row>
    <row r="360" spans="1:35" x14ac:dyDescent="0.2">
      <c r="A360" s="294"/>
      <c r="B360" s="941"/>
      <c r="C360" s="64">
        <v>2</v>
      </c>
      <c r="D360" s="19" t="s">
        <v>645</v>
      </c>
      <c r="E360" s="19" t="s">
        <v>642</v>
      </c>
      <c r="F360" s="19" t="s">
        <v>21</v>
      </c>
      <c r="G360" s="19" t="s">
        <v>46</v>
      </c>
      <c r="H360" s="20" t="s">
        <v>29</v>
      </c>
      <c r="I360" s="522" t="str">
        <f t="shared" ref="I360:I369" si="179">$H$2</f>
        <v>TYPICAL CASE</v>
      </c>
      <c r="J360" s="773"/>
      <c r="K360" s="28"/>
      <c r="L360" s="100"/>
      <c r="M360" s="115"/>
      <c r="N360" s="851"/>
      <c r="O360" s="31">
        <f>SUMIFS(O$201:O$358,$D$201:$D$358,$D360,$E$201:$E$358,$E360,$H$201:$H$358,$H360)*IF(O$4="ACTUAL",1,$AH360)</f>
        <v>0</v>
      </c>
      <c r="P360" s="31">
        <f t="shared" ref="O360:X368" si="180">SUMIFS(P$201:P$358,$D$201:$D$358,$D360,$E$201:$E$358,$E360,$H$201:$H$358,$H360)*IF(P$4="ACTUAL",1,$AH360)</f>
        <v>0</v>
      </c>
      <c r="Q360" s="31">
        <f t="shared" si="180"/>
        <v>0</v>
      </c>
      <c r="R360" s="31">
        <f t="shared" si="180"/>
        <v>0</v>
      </c>
      <c r="S360" s="31">
        <f t="shared" si="180"/>
        <v>0</v>
      </c>
      <c r="T360" s="31">
        <f t="shared" si="180"/>
        <v>0</v>
      </c>
      <c r="U360" s="31">
        <f t="shared" si="180"/>
        <v>0</v>
      </c>
      <c r="V360" s="31">
        <f t="shared" si="180"/>
        <v>0</v>
      </c>
      <c r="W360" s="31">
        <f t="shared" si="180"/>
        <v>0</v>
      </c>
      <c r="X360" s="31">
        <f t="shared" si="180"/>
        <v>0</v>
      </c>
      <c r="Y360" s="31"/>
      <c r="Z360" s="19" t="str">
        <f>VLOOKUP($D360,TableInputsData[],ReadMe!$M$3,FALSE)&amp;"  |  "&amp;VLOOKUP($E360,TableInputsData[],ReadMe!$M$3,FALSE)&amp;"  |  "&amp;VLOOKUP($G360,TableInputsData[],ReadMe!$M$3,FALSE)&amp;IF(AF360=1,"  |  "&amp;VLOOKUP($H360,TableInputsData[],ReadMe!$M$3,FALSE),"")</f>
        <v>DEPENSES OPERATIONNELLES  |  COUT DE MARKETING  |  MARKETING  |  TOTAL</v>
      </c>
      <c r="AA360" s="19"/>
      <c r="AB360" s="28">
        <v>1</v>
      </c>
      <c r="AC360" s="28">
        <v>1</v>
      </c>
      <c r="AD360" s="28"/>
      <c r="AE360" s="28">
        <v>1</v>
      </c>
      <c r="AF360" s="28">
        <v>1</v>
      </c>
      <c r="AG360" s="28"/>
      <c r="AH360" s="526">
        <f>VLOOKUP($E360,TableInputsData[],$AH$2,FALSE)</f>
        <v>1</v>
      </c>
      <c r="AI360" s="294"/>
    </row>
    <row r="361" spans="1:35" x14ac:dyDescent="0.2">
      <c r="A361" s="294"/>
      <c r="B361" s="941"/>
      <c r="C361" s="65">
        <v>2</v>
      </c>
      <c r="D361" s="21" t="s">
        <v>645</v>
      </c>
      <c r="E361" s="21" t="s">
        <v>646</v>
      </c>
      <c r="F361" s="21" t="s">
        <v>21</v>
      </c>
      <c r="G361" s="21" t="s">
        <v>753</v>
      </c>
      <c r="H361" s="22" t="s">
        <v>29</v>
      </c>
      <c r="I361" s="523" t="str">
        <f t="shared" si="179"/>
        <v>TYPICAL CASE</v>
      </c>
      <c r="J361" s="774"/>
      <c r="K361" s="29"/>
      <c r="L361" s="101"/>
      <c r="M361" s="116"/>
      <c r="N361" s="852"/>
      <c r="O361" s="32">
        <f t="shared" si="180"/>
        <v>0</v>
      </c>
      <c r="P361" s="32">
        <f t="shared" si="180"/>
        <v>0</v>
      </c>
      <c r="Q361" s="32">
        <f t="shared" si="180"/>
        <v>0</v>
      </c>
      <c r="R361" s="32">
        <f t="shared" si="180"/>
        <v>0</v>
      </c>
      <c r="S361" s="32">
        <f t="shared" si="180"/>
        <v>0</v>
      </c>
      <c r="T361" s="32">
        <f t="shared" si="180"/>
        <v>0</v>
      </c>
      <c r="U361" s="32">
        <f t="shared" si="180"/>
        <v>0</v>
      </c>
      <c r="V361" s="32">
        <f t="shared" si="180"/>
        <v>0</v>
      </c>
      <c r="W361" s="32">
        <f t="shared" si="180"/>
        <v>0</v>
      </c>
      <c r="X361" s="32">
        <f t="shared" si="180"/>
        <v>0</v>
      </c>
      <c r="Y361" s="32"/>
      <c r="Z361" s="21" t="str">
        <f>VLOOKUP($D361,TableInputsData[],ReadMe!$M$3,FALSE)&amp;"  |  "&amp;VLOOKUP($E361,TableInputsData[],ReadMe!$M$3,FALSE)&amp;"  |  "&amp;VLOOKUP($G361,TableInputsData[],ReadMe!$M$3,FALSE)&amp;IF(AF361=1,"  |  "&amp;VLOOKUP($H361,TableInputsData[],ReadMe!$M$3,FALSE),"")</f>
        <v>DEPENSES OPERATIONNELLES  |  SALAIRES DE PERSONNEL  |  EFFECTIF_CAT  |  TOTAL</v>
      </c>
      <c r="AA361" s="21"/>
      <c r="AB361" s="29">
        <v>1</v>
      </c>
      <c r="AC361" s="29">
        <v>1</v>
      </c>
      <c r="AD361" s="29">
        <v>1</v>
      </c>
      <c r="AE361" s="29">
        <v>1</v>
      </c>
      <c r="AF361" s="29">
        <v>1</v>
      </c>
      <c r="AG361" s="29"/>
      <c r="AH361" s="530">
        <f>VLOOKUP($E361,TableInputsData[],$AH$2,FALSE)</f>
        <v>1</v>
      </c>
      <c r="AI361" s="294"/>
    </row>
    <row r="362" spans="1:35" x14ac:dyDescent="0.2">
      <c r="A362" s="294"/>
      <c r="B362" s="941"/>
      <c r="C362" s="65">
        <v>2</v>
      </c>
      <c r="D362" s="21" t="s">
        <v>645</v>
      </c>
      <c r="E362" s="21" t="s">
        <v>648</v>
      </c>
      <c r="F362" s="21" t="s">
        <v>21</v>
      </c>
      <c r="G362" s="21" t="s">
        <v>861</v>
      </c>
      <c r="H362" s="22" t="s">
        <v>29</v>
      </c>
      <c r="I362" s="523" t="str">
        <f t="shared" si="179"/>
        <v>TYPICAL CASE</v>
      </c>
      <c r="J362" s="774"/>
      <c r="K362" s="29"/>
      <c r="L362" s="101"/>
      <c r="M362" s="116"/>
      <c r="N362" s="852"/>
      <c r="O362" s="32">
        <f t="shared" si="180"/>
        <v>0</v>
      </c>
      <c r="P362" s="32">
        <f t="shared" si="180"/>
        <v>0</v>
      </c>
      <c r="Q362" s="32">
        <f t="shared" si="180"/>
        <v>0</v>
      </c>
      <c r="R362" s="32">
        <f t="shared" si="180"/>
        <v>0</v>
      </c>
      <c r="S362" s="32">
        <f t="shared" si="180"/>
        <v>0</v>
      </c>
      <c r="T362" s="32">
        <f t="shared" si="180"/>
        <v>0</v>
      </c>
      <c r="U362" s="32">
        <f t="shared" si="180"/>
        <v>0</v>
      </c>
      <c r="V362" s="32">
        <f t="shared" si="180"/>
        <v>0</v>
      </c>
      <c r="W362" s="32">
        <f t="shared" si="180"/>
        <v>0</v>
      </c>
      <c r="X362" s="32">
        <f t="shared" si="180"/>
        <v>0</v>
      </c>
      <c r="Y362" s="32"/>
      <c r="Z362" s="21" t="str">
        <f>VLOOKUP($D362,TableInputsData[],ReadMe!$M$3,FALSE)&amp;"  |  "&amp;VLOOKUP($E362,TableInputsData[],ReadMe!$M$3,FALSE)&amp;"  |  "&amp;VLOOKUP($G362,TableInputsData[],ReadMe!$M$3,FALSE)&amp;IF(AF362=1,"  |  "&amp;VLOOKUP($H362,TableInputsData[],ReadMe!$M$3,FALSE),"")</f>
        <v>DEPENSES OPERATIONNELLES  |  IMPOTS ET TAXES SUR PERSONNEL  |  EFFECTIF_I&amp;T  |  TOTAL</v>
      </c>
      <c r="AA362" s="21"/>
      <c r="AB362" s="29">
        <v>1</v>
      </c>
      <c r="AC362" s="29">
        <v>1</v>
      </c>
      <c r="AD362" s="29"/>
      <c r="AE362" s="29">
        <v>1</v>
      </c>
      <c r="AF362" s="29">
        <v>1</v>
      </c>
      <c r="AG362" s="29"/>
      <c r="AH362" s="530">
        <f>VLOOKUP($E362,TableInputsData[],$AH$2,FALSE)</f>
        <v>1</v>
      </c>
      <c r="AI362" s="294"/>
    </row>
    <row r="363" spans="1:35" x14ac:dyDescent="0.2">
      <c r="A363" s="294"/>
      <c r="B363" s="941"/>
      <c r="C363" s="65">
        <v>2</v>
      </c>
      <c r="D363" s="21" t="s">
        <v>645</v>
      </c>
      <c r="E363" s="21" t="s">
        <v>650</v>
      </c>
      <c r="F363" s="21" t="s">
        <v>21</v>
      </c>
      <c r="G363" s="21" t="s">
        <v>70</v>
      </c>
      <c r="H363" s="22" t="s">
        <v>29</v>
      </c>
      <c r="I363" s="523" t="str">
        <f t="shared" si="179"/>
        <v>TYPICAL CASE</v>
      </c>
      <c r="J363" s="774"/>
      <c r="K363" s="29"/>
      <c r="L363" s="101"/>
      <c r="M363" s="116"/>
      <c r="N363" s="852"/>
      <c r="O363" s="32">
        <f t="shared" si="180"/>
        <v>0</v>
      </c>
      <c r="P363" s="32">
        <f t="shared" si="180"/>
        <v>0</v>
      </c>
      <c r="Q363" s="32">
        <f t="shared" si="180"/>
        <v>0</v>
      </c>
      <c r="R363" s="32">
        <f t="shared" si="180"/>
        <v>0</v>
      </c>
      <c r="S363" s="32">
        <f t="shared" si="180"/>
        <v>0</v>
      </c>
      <c r="T363" s="32">
        <f t="shared" si="180"/>
        <v>0</v>
      </c>
      <c r="U363" s="32">
        <f t="shared" si="180"/>
        <v>0</v>
      </c>
      <c r="V363" s="32">
        <f t="shared" si="180"/>
        <v>0</v>
      </c>
      <c r="W363" s="32">
        <f t="shared" si="180"/>
        <v>0</v>
      </c>
      <c r="X363" s="32">
        <f t="shared" si="180"/>
        <v>0</v>
      </c>
      <c r="Y363" s="32"/>
      <c r="Z363" s="21" t="str">
        <f>VLOOKUP($D363,TableInputsData[],ReadMe!$M$3,FALSE)&amp;"  |  "&amp;VLOOKUP($E363,TableInputsData[],ReadMe!$M$3,FALSE)&amp;"  |  "&amp;VLOOKUP($G363,TableInputsData[],ReadMe!$M$3,FALSE)&amp;IF(AF363=1,"  |  "&amp;VLOOKUP($H363,TableInputsData[],ReadMe!$M$3,FALSE),"")</f>
        <v>DEPENSES OPERATIONNELLES  |  COUTS DE L'OFFICE  |  OFFICE  |  TOTAL</v>
      </c>
      <c r="AA363" s="21"/>
      <c r="AB363" s="29">
        <v>1</v>
      </c>
      <c r="AC363" s="29">
        <v>1</v>
      </c>
      <c r="AD363" s="29"/>
      <c r="AE363" s="29">
        <v>1</v>
      </c>
      <c r="AF363" s="29">
        <v>1</v>
      </c>
      <c r="AG363" s="29"/>
      <c r="AH363" s="530">
        <f>VLOOKUP($E363,TableInputsData[],$AH$2,FALSE)</f>
        <v>1</v>
      </c>
      <c r="AI363" s="294"/>
    </row>
    <row r="364" spans="1:35" x14ac:dyDescent="0.2">
      <c r="A364" s="294"/>
      <c r="B364" s="941"/>
      <c r="C364" s="65">
        <v>2</v>
      </c>
      <c r="D364" s="21" t="s">
        <v>645</v>
      </c>
      <c r="E364" s="21" t="s">
        <v>657</v>
      </c>
      <c r="F364" s="21" t="s">
        <v>21</v>
      </c>
      <c r="G364" s="21" t="s">
        <v>862</v>
      </c>
      <c r="H364" s="22" t="s">
        <v>29</v>
      </c>
      <c r="I364" s="523" t="str">
        <f t="shared" si="179"/>
        <v>TYPICAL CASE</v>
      </c>
      <c r="J364" s="774"/>
      <c r="K364" s="29"/>
      <c r="L364" s="101"/>
      <c r="M364" s="116"/>
      <c r="N364" s="852"/>
      <c r="O364" s="32">
        <f t="shared" si="180"/>
        <v>0</v>
      </c>
      <c r="P364" s="32">
        <f t="shared" si="180"/>
        <v>0</v>
      </c>
      <c r="Q364" s="32">
        <f t="shared" si="180"/>
        <v>0</v>
      </c>
      <c r="R364" s="32">
        <f t="shared" si="180"/>
        <v>0</v>
      </c>
      <c r="S364" s="32">
        <f t="shared" si="180"/>
        <v>0</v>
      </c>
      <c r="T364" s="32">
        <f t="shared" si="180"/>
        <v>0</v>
      </c>
      <c r="U364" s="32">
        <f t="shared" si="180"/>
        <v>0</v>
      </c>
      <c r="V364" s="32">
        <f t="shared" si="180"/>
        <v>0</v>
      </c>
      <c r="W364" s="32">
        <f t="shared" si="180"/>
        <v>0</v>
      </c>
      <c r="X364" s="32">
        <f t="shared" si="180"/>
        <v>0</v>
      </c>
      <c r="Y364" s="32"/>
      <c r="Z364" s="21" t="str">
        <f>VLOOKUP($D364,TableInputsData[],ReadMe!$M$3,FALSE)&amp;"  |  "&amp;VLOOKUP($E364,TableInputsData[],ReadMe!$M$3,FALSE)&amp;"  |  "&amp;VLOOKUP($G364,TableInputsData[],ReadMe!$M$3,FALSE)&amp;IF(AF364=1,"  |  "&amp;VLOOKUP($H364,TableInputsData[],ReadMe!$M$3,FALSE),"")</f>
        <v>DEPENSES OPERATIONNELLES  |  AUTRES CHARGES  |  AUTRES CHARGES  |  TOTAL</v>
      </c>
      <c r="AA364" s="21"/>
      <c r="AB364" s="29">
        <v>1</v>
      </c>
      <c r="AC364" s="29">
        <v>1</v>
      </c>
      <c r="AD364" s="29"/>
      <c r="AE364" s="29">
        <v>1</v>
      </c>
      <c r="AF364" s="29">
        <v>1</v>
      </c>
      <c r="AG364" s="29"/>
      <c r="AH364" s="530">
        <f>VLOOKUP($E364,TableInputsData[],$AH$2,FALSE)</f>
        <v>1</v>
      </c>
      <c r="AI364" s="294"/>
    </row>
    <row r="365" spans="1:35" x14ac:dyDescent="0.2">
      <c r="A365" s="294"/>
      <c r="B365" s="941"/>
      <c r="C365" s="65">
        <v>2</v>
      </c>
      <c r="D365" s="21" t="s">
        <v>645</v>
      </c>
      <c r="E365" s="21" t="s">
        <v>658</v>
      </c>
      <c r="F365" s="21" t="s">
        <v>21</v>
      </c>
      <c r="G365" s="21" t="s">
        <v>663</v>
      </c>
      <c r="H365" s="22" t="s">
        <v>29</v>
      </c>
      <c r="I365" s="523" t="str">
        <f t="shared" si="179"/>
        <v>TYPICAL CASE</v>
      </c>
      <c r="J365" s="774"/>
      <c r="K365" s="29"/>
      <c r="L365" s="101"/>
      <c r="M365" s="116"/>
      <c r="N365" s="852"/>
      <c r="O365" s="32">
        <f t="shared" si="180"/>
        <v>0</v>
      </c>
      <c r="P365" s="32">
        <f t="shared" si="180"/>
        <v>0</v>
      </c>
      <c r="Q365" s="32">
        <f t="shared" si="180"/>
        <v>0</v>
      </c>
      <c r="R365" s="32">
        <f t="shared" si="180"/>
        <v>0</v>
      </c>
      <c r="S365" s="32">
        <f t="shared" si="180"/>
        <v>0</v>
      </c>
      <c r="T365" s="32">
        <f t="shared" si="180"/>
        <v>0</v>
      </c>
      <c r="U365" s="32">
        <f t="shared" si="180"/>
        <v>0</v>
      </c>
      <c r="V365" s="32">
        <f t="shared" si="180"/>
        <v>0</v>
      </c>
      <c r="W365" s="32">
        <f t="shared" si="180"/>
        <v>0</v>
      </c>
      <c r="X365" s="32">
        <f t="shared" si="180"/>
        <v>0</v>
      </c>
      <c r="Y365" s="32"/>
      <c r="Z365" s="21" t="str">
        <f>VLOOKUP($D365,TableInputsData[],ReadMe!$M$3,FALSE)&amp;"  |  "&amp;VLOOKUP($E365,TableInputsData[],ReadMe!$M$3,FALSE)&amp;"  |  "&amp;VLOOKUP($G365,TableInputsData[],ReadMe!$M$3,FALSE)&amp;IF(AF365=1,"  |  "&amp;VLOOKUP($H365,TableInputsData[],ReadMe!$M$3,FALSE),"")</f>
        <v>DEPENSES OPERATIONNELLES  |  VOYAGE &amp; DEPLACEMENT  |  VOYAGE  |  TOTAL</v>
      </c>
      <c r="AA365" s="21"/>
      <c r="AB365" s="29">
        <v>1</v>
      </c>
      <c r="AC365" s="29">
        <v>1</v>
      </c>
      <c r="AD365" s="29"/>
      <c r="AE365" s="29">
        <v>1</v>
      </c>
      <c r="AF365" s="29">
        <v>1</v>
      </c>
      <c r="AG365" s="29"/>
      <c r="AH365" s="530">
        <f>VLOOKUP($E365,TableInputsData[],$AH$2,FALSE)</f>
        <v>1</v>
      </c>
      <c r="AI365" s="294"/>
    </row>
    <row r="366" spans="1:35" x14ac:dyDescent="0.2">
      <c r="A366" s="294"/>
      <c r="B366" s="941"/>
      <c r="C366" s="65">
        <v>2</v>
      </c>
      <c r="D366" s="21" t="s">
        <v>645</v>
      </c>
      <c r="E366" s="21" t="s">
        <v>659</v>
      </c>
      <c r="F366" s="21" t="s">
        <v>21</v>
      </c>
      <c r="G366" s="21" t="s">
        <v>659</v>
      </c>
      <c r="H366" s="22" t="s">
        <v>29</v>
      </c>
      <c r="I366" s="523" t="str">
        <f t="shared" si="179"/>
        <v>TYPICAL CASE</v>
      </c>
      <c r="J366" s="774"/>
      <c r="K366" s="29"/>
      <c r="L366" s="101"/>
      <c r="M366" s="116"/>
      <c r="N366" s="852"/>
      <c r="O366" s="32">
        <f t="shared" si="180"/>
        <v>0</v>
      </c>
      <c r="P366" s="32">
        <f t="shared" si="180"/>
        <v>0</v>
      </c>
      <c r="Q366" s="32">
        <f t="shared" si="180"/>
        <v>0</v>
      </c>
      <c r="R366" s="32">
        <f t="shared" si="180"/>
        <v>0</v>
      </c>
      <c r="S366" s="32">
        <f t="shared" si="180"/>
        <v>0</v>
      </c>
      <c r="T366" s="32">
        <f t="shared" si="180"/>
        <v>0</v>
      </c>
      <c r="U366" s="32">
        <f t="shared" si="180"/>
        <v>0</v>
      </c>
      <c r="V366" s="32">
        <f t="shared" si="180"/>
        <v>0</v>
      </c>
      <c r="W366" s="32">
        <f t="shared" si="180"/>
        <v>0</v>
      </c>
      <c r="X366" s="32">
        <f t="shared" si="180"/>
        <v>0</v>
      </c>
      <c r="Y366" s="32"/>
      <c r="Z366" s="21" t="str">
        <f>VLOOKUP($D366,TableInputsData[],ReadMe!$M$3,FALSE)&amp;"  |  "&amp;VLOOKUP($E366,TableInputsData[],ReadMe!$M$3,FALSE)&amp;"  |  "&amp;VLOOKUP($G366,TableInputsData[],ReadMe!$M$3,FALSE)&amp;IF(AF366=1,"  |  "&amp;VLOOKUP($H366,TableInputsData[],ReadMe!$M$3,FALSE),"")</f>
        <v>DEPENSES OPERATIONNELLES  |  ASSURANCES  |  ASSURANCES  |  TOTAL</v>
      </c>
      <c r="AA366" s="21"/>
      <c r="AB366" s="29">
        <v>1</v>
      </c>
      <c r="AC366" s="29">
        <v>1</v>
      </c>
      <c r="AD366" s="29"/>
      <c r="AE366" s="29">
        <v>1</v>
      </c>
      <c r="AF366" s="29">
        <v>1</v>
      </c>
      <c r="AG366" s="29"/>
      <c r="AH366" s="530">
        <f>VLOOKUP($E366,TableInputsData[],$AH$2,FALSE)</f>
        <v>1</v>
      </c>
      <c r="AI366" s="294"/>
    </row>
    <row r="367" spans="1:35" x14ac:dyDescent="0.2">
      <c r="A367" s="294"/>
      <c r="B367" s="941"/>
      <c r="C367" s="65">
        <v>2</v>
      </c>
      <c r="D367" s="21" t="s">
        <v>645</v>
      </c>
      <c r="E367" s="21" t="s">
        <v>660</v>
      </c>
      <c r="F367" s="21" t="s">
        <v>21</v>
      </c>
      <c r="G367" s="21" t="s">
        <v>660</v>
      </c>
      <c r="H367" s="22" t="s">
        <v>29</v>
      </c>
      <c r="I367" s="523" t="str">
        <f t="shared" si="179"/>
        <v>TYPICAL CASE</v>
      </c>
      <c r="J367" s="774"/>
      <c r="K367" s="29"/>
      <c r="L367" s="101"/>
      <c r="M367" s="116"/>
      <c r="N367" s="852"/>
      <c r="O367" s="32">
        <f t="shared" si="180"/>
        <v>0</v>
      </c>
      <c r="P367" s="32">
        <f t="shared" si="180"/>
        <v>0</v>
      </c>
      <c r="Q367" s="32">
        <f t="shared" si="180"/>
        <v>0</v>
      </c>
      <c r="R367" s="32">
        <f t="shared" si="180"/>
        <v>0</v>
      </c>
      <c r="S367" s="32">
        <f t="shared" si="180"/>
        <v>0</v>
      </c>
      <c r="T367" s="32">
        <f t="shared" si="180"/>
        <v>0</v>
      </c>
      <c r="U367" s="32">
        <f t="shared" si="180"/>
        <v>0</v>
      </c>
      <c r="V367" s="32">
        <f t="shared" si="180"/>
        <v>0</v>
      </c>
      <c r="W367" s="32">
        <f t="shared" si="180"/>
        <v>0</v>
      </c>
      <c r="X367" s="32">
        <f t="shared" si="180"/>
        <v>0</v>
      </c>
      <c r="Y367" s="32"/>
      <c r="Z367" s="21" t="str">
        <f>VLOOKUP($D367,TableInputsData[],ReadMe!$M$3,FALSE)&amp;"  |  "&amp;VLOOKUP($E367,TableInputsData[],ReadMe!$M$3,FALSE)&amp;"  |  "&amp;VLOOKUP($G367,TableInputsData[],ReadMe!$M$3,FALSE)&amp;IF(AF367=1,"  |  "&amp;VLOOKUP($H367,TableInputsData[],ReadMe!$M$3,FALSE),"")</f>
        <v>DEPENSES OPERATIONNELLES  |  ENTRETIEN  |  ENTRETIEN  |  TOTAL</v>
      </c>
      <c r="AA367" s="21"/>
      <c r="AB367" s="29">
        <v>1</v>
      </c>
      <c r="AC367" s="29">
        <v>1</v>
      </c>
      <c r="AD367" s="29"/>
      <c r="AE367" s="29">
        <v>1</v>
      </c>
      <c r="AF367" s="29">
        <v>1</v>
      </c>
      <c r="AG367" s="29"/>
      <c r="AH367" s="530">
        <f>VLOOKUP($E367,TableInputsData[],$AH$2,FALSE)</f>
        <v>1</v>
      </c>
      <c r="AI367" s="294"/>
    </row>
    <row r="368" spans="1:35" x14ac:dyDescent="0.2">
      <c r="A368" s="294"/>
      <c r="B368" s="941"/>
      <c r="C368" s="85">
        <v>2</v>
      </c>
      <c r="D368" s="42" t="s">
        <v>645</v>
      </c>
      <c r="E368" s="42" t="s">
        <v>661</v>
      </c>
      <c r="F368" s="42" t="s">
        <v>21</v>
      </c>
      <c r="G368" s="42" t="s">
        <v>661</v>
      </c>
      <c r="H368" s="43" t="s">
        <v>29</v>
      </c>
      <c r="I368" s="525" t="str">
        <f t="shared" si="179"/>
        <v>TYPICAL CASE</v>
      </c>
      <c r="J368" s="776"/>
      <c r="K368" s="44"/>
      <c r="L368" s="107"/>
      <c r="M368" s="123"/>
      <c r="N368" s="853"/>
      <c r="O368" s="142">
        <f t="shared" si="180"/>
        <v>0</v>
      </c>
      <c r="P368" s="142">
        <f t="shared" si="180"/>
        <v>0</v>
      </c>
      <c r="Q368" s="142">
        <f t="shared" si="180"/>
        <v>0</v>
      </c>
      <c r="R368" s="142">
        <f t="shared" si="180"/>
        <v>0</v>
      </c>
      <c r="S368" s="142">
        <f t="shared" si="180"/>
        <v>0</v>
      </c>
      <c r="T368" s="142">
        <f t="shared" si="180"/>
        <v>0</v>
      </c>
      <c r="U368" s="142">
        <f t="shared" si="180"/>
        <v>0</v>
      </c>
      <c r="V368" s="142">
        <f t="shared" si="180"/>
        <v>0</v>
      </c>
      <c r="W368" s="142">
        <f t="shared" si="180"/>
        <v>0</v>
      </c>
      <c r="X368" s="142">
        <f t="shared" si="180"/>
        <v>0</v>
      </c>
      <c r="Y368" s="142"/>
      <c r="Z368" s="42" t="str">
        <f>VLOOKUP($D368,TableInputsData[],ReadMe!$M$3,FALSE)&amp;"  |  "&amp;VLOOKUP($E368,TableInputsData[],ReadMe!$M$3,FALSE)&amp;"  |  "&amp;VLOOKUP($G368,TableInputsData[],ReadMe!$M$3,FALSE)&amp;IF(AF368=1,"  |  "&amp;VLOOKUP($H368,TableInputsData[],ReadMe!$M$3,FALSE),"")</f>
        <v>DEPENSES OPERATIONNELLES  |  TIERCES PARTIES  |  TIERCES PARTIES  |  TOTAL</v>
      </c>
      <c r="AA368" s="42"/>
      <c r="AB368" s="44">
        <v>1</v>
      </c>
      <c r="AC368" s="44">
        <v>1</v>
      </c>
      <c r="AD368" s="44"/>
      <c r="AE368" s="44">
        <v>1</v>
      </c>
      <c r="AF368" s="44">
        <v>1</v>
      </c>
      <c r="AG368" s="44"/>
      <c r="AH368" s="532">
        <f>VLOOKUP($E368,TableInputsData[],$AH$2,FALSE)</f>
        <v>1</v>
      </c>
      <c r="AI368" s="294"/>
    </row>
    <row r="369" spans="1:35" x14ac:dyDescent="0.2">
      <c r="A369" s="294"/>
      <c r="B369" s="941"/>
      <c r="C369" s="67">
        <v>2</v>
      </c>
      <c r="D369" s="16" t="s">
        <v>645</v>
      </c>
      <c r="E369" s="16" t="s">
        <v>645</v>
      </c>
      <c r="F369" s="16" t="s">
        <v>21</v>
      </c>
      <c r="G369" s="16" t="s">
        <v>664</v>
      </c>
      <c r="H369" s="17" t="s">
        <v>29</v>
      </c>
      <c r="I369" s="521" t="str">
        <f t="shared" si="179"/>
        <v>TYPICAL CASE</v>
      </c>
      <c r="J369" s="777"/>
      <c r="K369" s="27"/>
      <c r="L369" s="97"/>
      <c r="M369" s="112"/>
      <c r="N369" s="849"/>
      <c r="O369" s="18">
        <f>SUM(O360:O368)</f>
        <v>0</v>
      </c>
      <c r="P369" s="18">
        <f t="shared" ref="P369:X369" si="181">SUM(P360:P368)</f>
        <v>0</v>
      </c>
      <c r="Q369" s="18">
        <f t="shared" si="181"/>
        <v>0</v>
      </c>
      <c r="R369" s="18">
        <f t="shared" si="181"/>
        <v>0</v>
      </c>
      <c r="S369" s="18">
        <f t="shared" si="181"/>
        <v>0</v>
      </c>
      <c r="T369" s="18">
        <f t="shared" si="181"/>
        <v>0</v>
      </c>
      <c r="U369" s="18">
        <f t="shared" si="181"/>
        <v>0</v>
      </c>
      <c r="V369" s="18">
        <f t="shared" si="181"/>
        <v>0</v>
      </c>
      <c r="W369" s="18">
        <f t="shared" si="181"/>
        <v>0</v>
      </c>
      <c r="X369" s="18">
        <f t="shared" si="181"/>
        <v>0</v>
      </c>
      <c r="Y369" s="18"/>
      <c r="Z369" s="16" t="str">
        <f>VLOOKUP($D369,TableInputsData[],ReadMe!$M$3,FALSE)&amp;"  |  "&amp;VLOOKUP($E369,TableInputsData[],ReadMe!$M$3,FALSE)&amp;"  |  "&amp;VLOOKUP($G369,TableInputsData[],ReadMe!$M$3,FALSE)&amp;IF(AF369=1,"  |  "&amp;VLOOKUP($H369,TableInputsData[],ReadMe!$M$3,FALSE),"")</f>
        <v>DEPENSES OPERATIONNELLES  |  DEPENSES OPERATIONNELLES  |  TOUTES LES CHARGES  |  TOTAL</v>
      </c>
      <c r="AA369" s="16"/>
      <c r="AB369" s="27">
        <v>1</v>
      </c>
      <c r="AC369" s="27">
        <v>1</v>
      </c>
      <c r="AD369" s="27">
        <v>1</v>
      </c>
      <c r="AE369" s="27"/>
      <c r="AF369" s="27">
        <v>1</v>
      </c>
      <c r="AG369" s="27"/>
      <c r="AH369" s="533"/>
      <c r="AI369" s="294"/>
    </row>
    <row r="370" spans="1:35" x14ac:dyDescent="0.2">
      <c r="A370" s="294"/>
      <c r="B370" s="941"/>
      <c r="C370" s="71">
        <v>2</v>
      </c>
      <c r="D370" s="8" t="s">
        <v>111</v>
      </c>
      <c r="E370" s="8"/>
      <c r="F370" s="8"/>
      <c r="G370" s="8"/>
      <c r="H370" s="9"/>
      <c r="I370" s="9"/>
      <c r="J370" s="87"/>
      <c r="K370" s="87"/>
      <c r="L370" s="98"/>
      <c r="M370" s="113"/>
      <c r="N370" s="854"/>
      <c r="O370" s="10" t="b">
        <f>EXACT(SUM(O360:O368),O369)</f>
        <v>1</v>
      </c>
      <c r="P370" s="10" t="b">
        <f t="shared" ref="P370:X370" si="182">EXACT(SUM(P360:P368),P369)</f>
        <v>1</v>
      </c>
      <c r="Q370" s="10" t="b">
        <f t="shared" si="182"/>
        <v>1</v>
      </c>
      <c r="R370" s="10" t="b">
        <f t="shared" si="182"/>
        <v>1</v>
      </c>
      <c r="S370" s="10" t="b">
        <f t="shared" si="182"/>
        <v>1</v>
      </c>
      <c r="T370" s="10" t="b">
        <f t="shared" si="182"/>
        <v>1</v>
      </c>
      <c r="U370" s="10" t="b">
        <f t="shared" si="182"/>
        <v>1</v>
      </c>
      <c r="V370" s="10" t="b">
        <f t="shared" si="182"/>
        <v>1</v>
      </c>
      <c r="W370" s="10" t="b">
        <f t="shared" si="182"/>
        <v>1</v>
      </c>
      <c r="X370" s="10" t="b">
        <f t="shared" si="182"/>
        <v>1</v>
      </c>
      <c r="Y370" s="10"/>
      <c r="Z370" s="8"/>
      <c r="AA370" s="10" t="b">
        <f>AND(TableFinanceData[[#This Row],[YEAR-2]:[YEAR6]])</f>
        <v>1</v>
      </c>
      <c r="AB370" s="35">
        <v>1</v>
      </c>
      <c r="AC370" s="35"/>
      <c r="AD370" s="35"/>
      <c r="AE370" s="87"/>
      <c r="AF370" s="35"/>
      <c r="AG370" s="35"/>
      <c r="AH370" s="534"/>
      <c r="AI370" s="294"/>
    </row>
    <row r="371" spans="1:35" x14ac:dyDescent="0.2">
      <c r="A371" s="294"/>
      <c r="B371" s="941"/>
      <c r="C371" s="70">
        <v>2</v>
      </c>
      <c r="D371" s="6"/>
      <c r="E371" s="6"/>
      <c r="F371" s="6"/>
      <c r="G371" s="6"/>
      <c r="H371" s="11"/>
      <c r="I371" s="11"/>
      <c r="J371" s="91"/>
      <c r="K371" s="91"/>
      <c r="L371" s="105"/>
      <c r="M371" s="121"/>
      <c r="N371" s="855"/>
      <c r="O371" s="7"/>
      <c r="P371" s="7"/>
      <c r="Q371" s="7"/>
      <c r="R371" s="7"/>
      <c r="S371" s="7"/>
      <c r="T371" s="7"/>
      <c r="U371" s="7"/>
      <c r="V371" s="7"/>
      <c r="W371" s="7"/>
      <c r="X371" s="7"/>
      <c r="Y371" s="7"/>
      <c r="Z371" s="6"/>
      <c r="AA371" s="6"/>
      <c r="AB371" s="36"/>
      <c r="AC371" s="36"/>
      <c r="AD371" s="36"/>
      <c r="AE371" s="91"/>
      <c r="AF371" s="36"/>
      <c r="AG371" s="36"/>
      <c r="AH371" s="536"/>
      <c r="AI371" s="294"/>
    </row>
    <row r="372" spans="1:35" x14ac:dyDescent="0.2">
      <c r="A372" s="294"/>
      <c r="B372" s="941"/>
      <c r="C372" s="64">
        <v>2</v>
      </c>
      <c r="D372" s="19" t="s">
        <v>645</v>
      </c>
      <c r="E372" s="19" t="s">
        <v>645</v>
      </c>
      <c r="F372" s="19" t="s">
        <v>21</v>
      </c>
      <c r="G372" s="19" t="s">
        <v>664</v>
      </c>
      <c r="H372" s="20" t="s">
        <v>29</v>
      </c>
      <c r="I372" s="20"/>
      <c r="J372" s="28"/>
      <c r="K372" s="28"/>
      <c r="L372" s="100"/>
      <c r="M372" s="115"/>
      <c r="N372" s="851"/>
      <c r="O372" s="31">
        <f t="shared" ref="O372:X372" si="183">+O369</f>
        <v>0</v>
      </c>
      <c r="P372" s="31">
        <f t="shared" si="183"/>
        <v>0</v>
      </c>
      <c r="Q372" s="31">
        <f t="shared" si="183"/>
        <v>0</v>
      </c>
      <c r="R372" s="31">
        <f t="shared" si="183"/>
        <v>0</v>
      </c>
      <c r="S372" s="31">
        <f t="shared" si="183"/>
        <v>0</v>
      </c>
      <c r="T372" s="31">
        <f t="shared" si="183"/>
        <v>0</v>
      </c>
      <c r="U372" s="31">
        <f t="shared" si="183"/>
        <v>0</v>
      </c>
      <c r="V372" s="31">
        <f t="shared" si="183"/>
        <v>0</v>
      </c>
      <c r="W372" s="31">
        <f t="shared" si="183"/>
        <v>0</v>
      </c>
      <c r="X372" s="31">
        <f t="shared" si="183"/>
        <v>0</v>
      </c>
      <c r="Y372" s="31"/>
      <c r="Z372" s="19" t="str">
        <f>VLOOKUP($D372,TableInputsData[],ReadMe!$M$3,FALSE)&amp;"  |  "&amp;VLOOKUP($E372,TableInputsData[],ReadMe!$M$3,FALSE)&amp;"  |  "&amp;VLOOKUP($G372,TableInputsData[],ReadMe!$M$3,FALSE)&amp;IF(AF372=1,"  |  "&amp;VLOOKUP($H372,TableInputsData[],ReadMe!$M$3,FALSE),"")</f>
        <v>DEPENSES OPERATIONNELLES  |  DEPENSES OPERATIONNELLES  |  TOUTES LES CHARGES  |  TOTAL</v>
      </c>
      <c r="AA372" s="19"/>
      <c r="AB372" s="28">
        <v>1</v>
      </c>
      <c r="AC372" s="28"/>
      <c r="AD372" s="28"/>
      <c r="AE372" s="28"/>
      <c r="AF372" s="28">
        <v>1</v>
      </c>
      <c r="AG372" s="28"/>
      <c r="AH372" s="526"/>
      <c r="AI372" s="294"/>
    </row>
    <row r="373" spans="1:35" ht="14" x14ac:dyDescent="0.2">
      <c r="A373" s="294"/>
      <c r="B373" s="941"/>
      <c r="C373" s="68">
        <v>2</v>
      </c>
      <c r="D373" s="23" t="s">
        <v>645</v>
      </c>
      <c r="E373" s="23" t="s">
        <v>645</v>
      </c>
      <c r="F373" s="23" t="s">
        <v>112</v>
      </c>
      <c r="G373" s="23" t="s">
        <v>664</v>
      </c>
      <c r="H373" s="45" t="s">
        <v>621</v>
      </c>
      <c r="I373" s="24"/>
      <c r="J373" s="30"/>
      <c r="K373" s="30"/>
      <c r="L373" s="102"/>
      <c r="M373" s="117"/>
      <c r="N373" s="856"/>
      <c r="O373" s="46"/>
      <c r="P373" s="46" t="str">
        <f>IF(O372=0,"",P372/O372)</f>
        <v/>
      </c>
      <c r="Q373" s="46"/>
      <c r="R373" s="46"/>
      <c r="S373" s="46" t="str">
        <f>IF(P372=0,"",S372/P372)</f>
        <v/>
      </c>
      <c r="T373" s="46" t="str">
        <f>IF(S372=0,"",T372/S372)</f>
        <v/>
      </c>
      <c r="U373" s="46" t="str">
        <f>IF(T372=0,"",U372/T372)</f>
        <v/>
      </c>
      <c r="V373" s="46" t="str">
        <f>IF(U372=0,"",V372/U372)</f>
        <v/>
      </c>
      <c r="W373" s="46" t="str">
        <f>IF(V372=0,"",W372/V372)</f>
        <v/>
      </c>
      <c r="X373" s="46" t="str">
        <f>IF(W372=0,"",X372/W372)</f>
        <v/>
      </c>
      <c r="Y373" s="600"/>
      <c r="Z373" s="23" t="str">
        <f>VLOOKUP($D373,TableInputsData[],ReadMe!$M$3,FALSE)&amp;"  |  "&amp;VLOOKUP($E373,TableInputsData[],ReadMe!$M$3,FALSE)&amp;"  |  "&amp;VLOOKUP($G373,TableInputsData[],ReadMe!$M$3,FALSE)&amp;IF(AF373=1,"  |  "&amp;VLOOKUP($H373,TableInputsData[],ReadMe!$M$3,FALSE),"")</f>
        <v>DEPENSES OPERATIONNELLES  |  DEPENSES OPERATIONNELLES  |  TOUTES LES CHARGES  |  % VARIATION D'UNE ANNEE SUR L'AUTRE</v>
      </c>
      <c r="AA373" s="23"/>
      <c r="AB373" s="30">
        <v>1</v>
      </c>
      <c r="AC373" s="30"/>
      <c r="AD373" s="30"/>
      <c r="AE373" s="30"/>
      <c r="AF373" s="30">
        <v>1</v>
      </c>
      <c r="AG373" s="30"/>
      <c r="AH373" s="531"/>
      <c r="AI373" s="294"/>
    </row>
    <row r="374" spans="1:35" x14ac:dyDescent="0.2">
      <c r="A374" s="294"/>
      <c r="B374" s="941"/>
      <c r="C374" s="72">
        <v>2</v>
      </c>
      <c r="D374" s="13"/>
      <c r="E374" s="13"/>
      <c r="F374" s="13"/>
      <c r="G374" s="13"/>
      <c r="H374" s="14"/>
      <c r="I374" s="14"/>
      <c r="J374" s="88"/>
      <c r="K374" s="88"/>
      <c r="L374" s="99"/>
      <c r="M374" s="114"/>
      <c r="N374" s="850"/>
      <c r="O374" s="15"/>
      <c r="P374" s="15"/>
      <c r="Q374" s="15"/>
      <c r="R374" s="15"/>
      <c r="S374" s="15"/>
      <c r="T374" s="15"/>
      <c r="U374" s="15"/>
      <c r="V374" s="15"/>
      <c r="W374" s="15"/>
      <c r="X374" s="15"/>
      <c r="Y374" s="15"/>
      <c r="Z374" s="13"/>
      <c r="AA374" s="13"/>
      <c r="AB374" s="37"/>
      <c r="AC374" s="37"/>
      <c r="AD374" s="37"/>
      <c r="AE374" s="88"/>
      <c r="AF374" s="37"/>
      <c r="AG374" s="37"/>
      <c r="AH374" s="537"/>
      <c r="AI374" s="294"/>
    </row>
    <row r="375" spans="1:35" ht="14" x14ac:dyDescent="0.2">
      <c r="A375" s="294"/>
      <c r="B375" s="941"/>
      <c r="C375" s="64">
        <v>2</v>
      </c>
      <c r="D375" s="19" t="s">
        <v>645</v>
      </c>
      <c r="E375" s="19" t="s">
        <v>642</v>
      </c>
      <c r="F375" s="19" t="s">
        <v>112</v>
      </c>
      <c r="G375" s="19" t="s">
        <v>46</v>
      </c>
      <c r="H375" s="47" t="str">
        <f>"% "&amp;E375&amp;" / REVENUE"</f>
        <v>% MARKETING COST / REVENUE</v>
      </c>
      <c r="I375" s="20"/>
      <c r="J375" s="28"/>
      <c r="K375" s="28"/>
      <c r="L375" s="100"/>
      <c r="M375" s="115"/>
      <c r="N375" s="851"/>
      <c r="O375" s="48">
        <f>IF(O$192=0,0,SUMIFS(O$360:O$369,$D$360:$D$369,$D375,$E$360:$E$369,$E375)/O$192)</f>
        <v>0</v>
      </c>
      <c r="P375" s="48">
        <f t="shared" ref="P375:X384" si="184">IF(P$192=0,0,SUMIFS(P$360:P$369,$D$360:$D$369,$D375,$E$360:$E$369,$E375)/P$192)</f>
        <v>0</v>
      </c>
      <c r="Q375" s="48">
        <f t="shared" si="184"/>
        <v>0</v>
      </c>
      <c r="R375" s="48">
        <f t="shared" si="184"/>
        <v>0</v>
      </c>
      <c r="S375" s="48">
        <f t="shared" si="184"/>
        <v>0</v>
      </c>
      <c r="T375" s="48">
        <f t="shared" si="184"/>
        <v>0</v>
      </c>
      <c r="U375" s="48">
        <f t="shared" si="184"/>
        <v>0</v>
      </c>
      <c r="V375" s="48">
        <f t="shared" si="184"/>
        <v>0</v>
      </c>
      <c r="W375" s="48">
        <f t="shared" si="184"/>
        <v>0</v>
      </c>
      <c r="X375" s="48">
        <f t="shared" si="184"/>
        <v>0</v>
      </c>
      <c r="Y375" s="601"/>
      <c r="Z375" s="19" t="str">
        <f>VLOOKUP($D375,TableInputsData[],ReadMe!$M$3,FALSE)&amp;"  |  "&amp;VLOOKUP($E375,TableInputsData[],ReadMe!$M$3,FALSE)&amp;"  |  "&amp;VLOOKUP($G375,TableInputsData[],ReadMe!$M$3,FALSE)&amp;IF(AF375=1,"  |  "&amp;VLOOKUP($H375,TableInputsData[],ReadMe!$M$3,FALSE),"")</f>
        <v>DEPENSES OPERATIONNELLES  |  COUT DE MARKETING  |  MARKETING  |  % COUTS DE MARKETING / CHIFFRE D'AFFAIRES</v>
      </c>
      <c r="AA375" s="19"/>
      <c r="AB375" s="28">
        <v>1</v>
      </c>
      <c r="AC375" s="28"/>
      <c r="AD375" s="28"/>
      <c r="AE375" s="28"/>
      <c r="AF375" s="28">
        <v>1</v>
      </c>
      <c r="AG375" s="28"/>
      <c r="AH375" s="526"/>
      <c r="AI375" s="294"/>
    </row>
    <row r="376" spans="1:35" ht="14" x14ac:dyDescent="0.2">
      <c r="A376" s="294"/>
      <c r="B376" s="941"/>
      <c r="C376" s="65">
        <v>2</v>
      </c>
      <c r="D376" s="21" t="s">
        <v>645</v>
      </c>
      <c r="E376" s="21" t="s">
        <v>646</v>
      </c>
      <c r="F376" s="21" t="s">
        <v>112</v>
      </c>
      <c r="G376" s="21" t="s">
        <v>753</v>
      </c>
      <c r="H376" s="40" t="str">
        <f t="shared" ref="H376:H384" si="185">"% "&amp;E376&amp;" / REVENUE"</f>
        <v>% STAFF SALARIES / REVENUE</v>
      </c>
      <c r="I376" s="22"/>
      <c r="J376" s="29"/>
      <c r="K376" s="29"/>
      <c r="L376" s="101"/>
      <c r="M376" s="116"/>
      <c r="N376" s="852"/>
      <c r="O376" s="41">
        <f t="shared" ref="O376:O384" si="186">IF(O$192=0,0,SUMIFS(O$360:O$369,$D$360:$D$369,$D376,$E$360:$E$369,$E376)/O$192)</f>
        <v>0</v>
      </c>
      <c r="P376" s="41">
        <f t="shared" si="184"/>
        <v>0</v>
      </c>
      <c r="Q376" s="41">
        <f t="shared" si="184"/>
        <v>0</v>
      </c>
      <c r="R376" s="41">
        <f t="shared" si="184"/>
        <v>0</v>
      </c>
      <c r="S376" s="41">
        <f t="shared" si="184"/>
        <v>0</v>
      </c>
      <c r="T376" s="41">
        <f t="shared" si="184"/>
        <v>0</v>
      </c>
      <c r="U376" s="41">
        <f t="shared" si="184"/>
        <v>0</v>
      </c>
      <c r="V376" s="41">
        <f t="shared" si="184"/>
        <v>0</v>
      </c>
      <c r="W376" s="41">
        <f t="shared" si="184"/>
        <v>0</v>
      </c>
      <c r="X376" s="41">
        <f t="shared" si="184"/>
        <v>0</v>
      </c>
      <c r="Y376" s="599"/>
      <c r="Z376" s="21" t="str">
        <f>VLOOKUP($D376,TableInputsData[],ReadMe!$M$3,FALSE)&amp;"  |  "&amp;VLOOKUP($E376,TableInputsData[],ReadMe!$M$3,FALSE)&amp;"  |  "&amp;VLOOKUP($G376,TableInputsData[],ReadMe!$M$3,FALSE)&amp;IF(AF376=1,"  |  "&amp;VLOOKUP($H376,TableInputsData[],ReadMe!$M$3,FALSE),"")</f>
        <v>DEPENSES OPERATIONNELLES  |  SALAIRES DE PERSONNEL  |  EFFECTIF_CAT  |  % SALAIRES DU PERSONNEL / CHIFFRE D'AFFAIRES</v>
      </c>
      <c r="AA376" s="21"/>
      <c r="AB376" s="29">
        <v>1</v>
      </c>
      <c r="AC376" s="29"/>
      <c r="AD376" s="29"/>
      <c r="AE376" s="29"/>
      <c r="AF376" s="29">
        <v>1</v>
      </c>
      <c r="AG376" s="29"/>
      <c r="AH376" s="530"/>
      <c r="AI376" s="294"/>
    </row>
    <row r="377" spans="1:35" ht="14" x14ac:dyDescent="0.2">
      <c r="A377" s="294"/>
      <c r="B377" s="941"/>
      <c r="C377" s="65">
        <v>2</v>
      </c>
      <c r="D377" s="21" t="s">
        <v>645</v>
      </c>
      <c r="E377" s="21" t="s">
        <v>648</v>
      </c>
      <c r="F377" s="21" t="s">
        <v>112</v>
      </c>
      <c r="G377" s="21" t="s">
        <v>861</v>
      </c>
      <c r="H377" s="40" t="str">
        <f t="shared" si="185"/>
        <v>% TAXES AND DUTIES ON STAFF / REVENUE</v>
      </c>
      <c r="I377" s="22"/>
      <c r="J377" s="29"/>
      <c r="K377" s="29"/>
      <c r="L377" s="101"/>
      <c r="M377" s="116"/>
      <c r="N377" s="852"/>
      <c r="O377" s="41">
        <f t="shared" si="186"/>
        <v>0</v>
      </c>
      <c r="P377" s="41">
        <f t="shared" si="184"/>
        <v>0</v>
      </c>
      <c r="Q377" s="41">
        <f t="shared" si="184"/>
        <v>0</v>
      </c>
      <c r="R377" s="41">
        <f t="shared" si="184"/>
        <v>0</v>
      </c>
      <c r="S377" s="41">
        <f t="shared" si="184"/>
        <v>0</v>
      </c>
      <c r="T377" s="41">
        <f t="shared" si="184"/>
        <v>0</v>
      </c>
      <c r="U377" s="41">
        <f t="shared" si="184"/>
        <v>0</v>
      </c>
      <c r="V377" s="41">
        <f t="shared" si="184"/>
        <v>0</v>
      </c>
      <c r="W377" s="41">
        <f t="shared" si="184"/>
        <v>0</v>
      </c>
      <c r="X377" s="41">
        <f t="shared" si="184"/>
        <v>0</v>
      </c>
      <c r="Y377" s="599"/>
      <c r="Z377" s="21" t="str">
        <f>VLOOKUP($D377,TableInputsData[],ReadMe!$M$3,FALSE)&amp;"  |  "&amp;VLOOKUP($E377,TableInputsData[],ReadMe!$M$3,FALSE)&amp;"  |  "&amp;VLOOKUP($G377,TableInputsData[],ReadMe!$M$3,FALSE)&amp;IF(AF377=1,"  |  "&amp;VLOOKUP($H377,TableInputsData[],ReadMe!$M$3,FALSE),"")</f>
        <v>DEPENSES OPERATIONNELLES  |  IMPOTS ET TAXES SUR PERSONNEL  |  EFFECTIF_I&amp;T  |  % IMPOTS ET TAXES SUR LE PERSONNEL / CHIFFRE D'AFFAIRES</v>
      </c>
      <c r="AA377" s="21"/>
      <c r="AB377" s="29">
        <v>1</v>
      </c>
      <c r="AC377" s="29"/>
      <c r="AD377" s="29"/>
      <c r="AE377" s="29"/>
      <c r="AF377" s="29">
        <v>1</v>
      </c>
      <c r="AG377" s="29"/>
      <c r="AH377" s="530"/>
      <c r="AI377" s="294"/>
    </row>
    <row r="378" spans="1:35" ht="14" x14ac:dyDescent="0.2">
      <c r="A378" s="294"/>
      <c r="B378" s="941"/>
      <c r="C378" s="65">
        <v>2</v>
      </c>
      <c r="D378" s="21" t="s">
        <v>645</v>
      </c>
      <c r="E378" s="21" t="s">
        <v>650</v>
      </c>
      <c r="F378" s="21" t="s">
        <v>112</v>
      </c>
      <c r="G378" s="21" t="s">
        <v>70</v>
      </c>
      <c r="H378" s="40" t="str">
        <f t="shared" si="185"/>
        <v>% OFFICE COSTS / REVENUE</v>
      </c>
      <c r="I378" s="22"/>
      <c r="J378" s="29"/>
      <c r="K378" s="29"/>
      <c r="L378" s="101"/>
      <c r="M378" s="116"/>
      <c r="N378" s="852"/>
      <c r="O378" s="41">
        <f t="shared" si="186"/>
        <v>0</v>
      </c>
      <c r="P378" s="41">
        <f t="shared" si="184"/>
        <v>0</v>
      </c>
      <c r="Q378" s="41">
        <f t="shared" si="184"/>
        <v>0</v>
      </c>
      <c r="R378" s="41">
        <f t="shared" si="184"/>
        <v>0</v>
      </c>
      <c r="S378" s="41">
        <f t="shared" si="184"/>
        <v>0</v>
      </c>
      <c r="T378" s="41">
        <f t="shared" si="184"/>
        <v>0</v>
      </c>
      <c r="U378" s="41">
        <f t="shared" si="184"/>
        <v>0</v>
      </c>
      <c r="V378" s="41">
        <f t="shared" si="184"/>
        <v>0</v>
      </c>
      <c r="W378" s="41">
        <f t="shared" si="184"/>
        <v>0</v>
      </c>
      <c r="X378" s="41">
        <f t="shared" si="184"/>
        <v>0</v>
      </c>
      <c r="Y378" s="599"/>
      <c r="Z378" s="21" t="str">
        <f>VLOOKUP($D378,TableInputsData[],ReadMe!$M$3,FALSE)&amp;"  |  "&amp;VLOOKUP($E378,TableInputsData[],ReadMe!$M$3,FALSE)&amp;"  |  "&amp;VLOOKUP($G378,TableInputsData[],ReadMe!$M$3,FALSE)&amp;IF(AF378=1,"  |  "&amp;VLOOKUP($H378,TableInputsData[],ReadMe!$M$3,FALSE),"")</f>
        <v>DEPENSES OPERATIONNELLES  |  COUTS DE L'OFFICE  |  OFFICE  |  % FRAIS DE BUREAU / CHIFFRE D'AFFAIRESS</v>
      </c>
      <c r="AA378" s="21"/>
      <c r="AB378" s="29">
        <v>1</v>
      </c>
      <c r="AC378" s="29"/>
      <c r="AD378" s="29"/>
      <c r="AE378" s="29"/>
      <c r="AF378" s="29">
        <v>1</v>
      </c>
      <c r="AG378" s="29"/>
      <c r="AH378" s="530"/>
      <c r="AI378" s="294"/>
    </row>
    <row r="379" spans="1:35" ht="14" x14ac:dyDescent="0.2">
      <c r="A379" s="294"/>
      <c r="B379" s="941"/>
      <c r="C379" s="65">
        <v>2</v>
      </c>
      <c r="D379" s="21" t="s">
        <v>645</v>
      </c>
      <c r="E379" s="21" t="s">
        <v>657</v>
      </c>
      <c r="F379" s="21" t="s">
        <v>112</v>
      </c>
      <c r="G379" s="21" t="s">
        <v>862</v>
      </c>
      <c r="H379" s="40" t="str">
        <f t="shared" si="185"/>
        <v>% OTHER EXPENSES / REVENUE</v>
      </c>
      <c r="I379" s="22"/>
      <c r="J379" s="29"/>
      <c r="K379" s="29"/>
      <c r="L379" s="101"/>
      <c r="M379" s="116"/>
      <c r="N379" s="852"/>
      <c r="O379" s="41">
        <f t="shared" si="186"/>
        <v>0</v>
      </c>
      <c r="P379" s="41">
        <f t="shared" si="184"/>
        <v>0</v>
      </c>
      <c r="Q379" s="41">
        <f t="shared" si="184"/>
        <v>0</v>
      </c>
      <c r="R379" s="41">
        <f t="shared" si="184"/>
        <v>0</v>
      </c>
      <c r="S379" s="41">
        <f t="shared" si="184"/>
        <v>0</v>
      </c>
      <c r="T379" s="41">
        <f t="shared" si="184"/>
        <v>0</v>
      </c>
      <c r="U379" s="41">
        <f t="shared" si="184"/>
        <v>0</v>
      </c>
      <c r="V379" s="41">
        <f t="shared" si="184"/>
        <v>0</v>
      </c>
      <c r="W379" s="41">
        <f t="shared" si="184"/>
        <v>0</v>
      </c>
      <c r="X379" s="41">
        <f t="shared" si="184"/>
        <v>0</v>
      </c>
      <c r="Y379" s="599"/>
      <c r="Z379" s="21" t="str">
        <f>VLOOKUP($D379,TableInputsData[],ReadMe!$M$3,FALSE)&amp;"  |  "&amp;VLOOKUP($E379,TableInputsData[],ReadMe!$M$3,FALSE)&amp;"  |  "&amp;VLOOKUP($G379,TableInputsData[],ReadMe!$M$3,FALSE)&amp;IF(AF379=1,"  |  "&amp;VLOOKUP($H379,TableInputsData[],ReadMe!$M$3,FALSE),"")</f>
        <v>DEPENSES OPERATIONNELLES  |  AUTRES CHARGES  |  AUTRES CHARGES  |  % AUTRES DEPENSES / CHIFFRE D'AFFAIRESS</v>
      </c>
      <c r="AA379" s="21"/>
      <c r="AB379" s="29">
        <v>1</v>
      </c>
      <c r="AC379" s="29"/>
      <c r="AD379" s="29"/>
      <c r="AE379" s="29"/>
      <c r="AF379" s="29">
        <v>1</v>
      </c>
      <c r="AG379" s="29"/>
      <c r="AH379" s="530"/>
      <c r="AI379" s="294"/>
    </row>
    <row r="380" spans="1:35" ht="14" x14ac:dyDescent="0.2">
      <c r="A380" s="294"/>
      <c r="B380" s="941"/>
      <c r="C380" s="65">
        <v>2</v>
      </c>
      <c r="D380" s="21" t="s">
        <v>645</v>
      </c>
      <c r="E380" s="21" t="s">
        <v>658</v>
      </c>
      <c r="F380" s="21" t="s">
        <v>112</v>
      </c>
      <c r="G380" s="21" t="s">
        <v>663</v>
      </c>
      <c r="H380" s="40" t="str">
        <f t="shared" si="185"/>
        <v>% TRAVEL &amp; TRANSPORTATION / REVENUE</v>
      </c>
      <c r="I380" s="22"/>
      <c r="J380" s="29"/>
      <c r="K380" s="29"/>
      <c r="L380" s="101"/>
      <c r="M380" s="116"/>
      <c r="N380" s="852"/>
      <c r="O380" s="41">
        <f t="shared" si="186"/>
        <v>0</v>
      </c>
      <c r="P380" s="41">
        <f t="shared" si="184"/>
        <v>0</v>
      </c>
      <c r="Q380" s="41">
        <f t="shared" si="184"/>
        <v>0</v>
      </c>
      <c r="R380" s="41">
        <f t="shared" si="184"/>
        <v>0</v>
      </c>
      <c r="S380" s="41">
        <f t="shared" si="184"/>
        <v>0</v>
      </c>
      <c r="T380" s="41">
        <f t="shared" si="184"/>
        <v>0</v>
      </c>
      <c r="U380" s="41">
        <f t="shared" si="184"/>
        <v>0</v>
      </c>
      <c r="V380" s="41">
        <f t="shared" si="184"/>
        <v>0</v>
      </c>
      <c r="W380" s="41">
        <f t="shared" si="184"/>
        <v>0</v>
      </c>
      <c r="X380" s="41">
        <f t="shared" si="184"/>
        <v>0</v>
      </c>
      <c r="Y380" s="599"/>
      <c r="Z380" s="21" t="str">
        <f>VLOOKUP($D380,TableInputsData[],ReadMe!$M$3,FALSE)&amp;"  |  "&amp;VLOOKUP($E380,TableInputsData[],ReadMe!$M$3,FALSE)&amp;"  |  "&amp;VLOOKUP($G380,TableInputsData[],ReadMe!$M$3,FALSE)&amp;IF(AF380=1,"  |  "&amp;VLOOKUP($H380,TableInputsData[],ReadMe!$M$3,FALSE),"")</f>
        <v>DEPENSES OPERATIONNELLES  |  VOYAGE &amp; DEPLACEMENT  |  VOYAGE  |  % DEPLACEMENTS ET TRANSPORTS / CHIFFRE D'AFFAIRESS</v>
      </c>
      <c r="AA380" s="21"/>
      <c r="AB380" s="29">
        <v>1</v>
      </c>
      <c r="AC380" s="29"/>
      <c r="AD380" s="29"/>
      <c r="AE380" s="29"/>
      <c r="AF380" s="29">
        <v>1</v>
      </c>
      <c r="AG380" s="29"/>
      <c r="AH380" s="530"/>
      <c r="AI380" s="294"/>
    </row>
    <row r="381" spans="1:35" ht="14" x14ac:dyDescent="0.2">
      <c r="A381" s="294"/>
      <c r="B381" s="941"/>
      <c r="C381" s="65">
        <v>2</v>
      </c>
      <c r="D381" s="21" t="s">
        <v>645</v>
      </c>
      <c r="E381" s="21" t="s">
        <v>659</v>
      </c>
      <c r="F381" s="21" t="s">
        <v>112</v>
      </c>
      <c r="G381" s="21" t="s">
        <v>659</v>
      </c>
      <c r="H381" s="40" t="str">
        <f t="shared" si="185"/>
        <v>% INSURANCE / REVENUE</v>
      </c>
      <c r="I381" s="22"/>
      <c r="J381" s="29"/>
      <c r="K381" s="29"/>
      <c r="L381" s="101"/>
      <c r="M381" s="116"/>
      <c r="N381" s="852"/>
      <c r="O381" s="41">
        <f t="shared" si="186"/>
        <v>0</v>
      </c>
      <c r="P381" s="41">
        <f t="shared" si="184"/>
        <v>0</v>
      </c>
      <c r="Q381" s="41">
        <f t="shared" si="184"/>
        <v>0</v>
      </c>
      <c r="R381" s="41">
        <f t="shared" si="184"/>
        <v>0</v>
      </c>
      <c r="S381" s="41">
        <f t="shared" si="184"/>
        <v>0</v>
      </c>
      <c r="T381" s="41">
        <f t="shared" si="184"/>
        <v>0</v>
      </c>
      <c r="U381" s="41">
        <f t="shared" si="184"/>
        <v>0</v>
      </c>
      <c r="V381" s="41">
        <f t="shared" si="184"/>
        <v>0</v>
      </c>
      <c r="W381" s="41">
        <f t="shared" si="184"/>
        <v>0</v>
      </c>
      <c r="X381" s="41">
        <f t="shared" si="184"/>
        <v>0</v>
      </c>
      <c r="Y381" s="599"/>
      <c r="Z381" s="21" t="str">
        <f>VLOOKUP($D381,TableInputsData[],ReadMe!$M$3,FALSE)&amp;"  |  "&amp;VLOOKUP($E381,TableInputsData[],ReadMe!$M$3,FALSE)&amp;"  |  "&amp;VLOOKUP($G381,TableInputsData[],ReadMe!$M$3,FALSE)&amp;IF(AF381=1,"  |  "&amp;VLOOKUP($H381,TableInputsData[],ReadMe!$M$3,FALSE),"")</f>
        <v>DEPENSES OPERATIONNELLES  |  ASSURANCES  |  ASSURANCES  |  % ASSURANCES / CHIFFRE D'AFFAIRESS</v>
      </c>
      <c r="AA381" s="21"/>
      <c r="AB381" s="29">
        <v>1</v>
      </c>
      <c r="AC381" s="29"/>
      <c r="AD381" s="29"/>
      <c r="AE381" s="29"/>
      <c r="AF381" s="29">
        <v>1</v>
      </c>
      <c r="AG381" s="29"/>
      <c r="AH381" s="530"/>
      <c r="AI381" s="294"/>
    </row>
    <row r="382" spans="1:35" ht="14" x14ac:dyDescent="0.2">
      <c r="A382" s="294"/>
      <c r="B382" s="941"/>
      <c r="C382" s="65">
        <v>2</v>
      </c>
      <c r="D382" s="21" t="s">
        <v>645</v>
      </c>
      <c r="E382" s="21" t="s">
        <v>660</v>
      </c>
      <c r="F382" s="21" t="s">
        <v>112</v>
      </c>
      <c r="G382" s="21" t="s">
        <v>660</v>
      </c>
      <c r="H382" s="40" t="str">
        <f t="shared" si="185"/>
        <v>% MAINTENANCE / REVENUE</v>
      </c>
      <c r="I382" s="22"/>
      <c r="J382" s="29"/>
      <c r="K382" s="29"/>
      <c r="L382" s="101"/>
      <c r="M382" s="116"/>
      <c r="N382" s="852"/>
      <c r="O382" s="41">
        <f t="shared" si="186"/>
        <v>0</v>
      </c>
      <c r="P382" s="41">
        <f t="shared" si="184"/>
        <v>0</v>
      </c>
      <c r="Q382" s="41">
        <f t="shared" si="184"/>
        <v>0</v>
      </c>
      <c r="R382" s="41">
        <f t="shared" si="184"/>
        <v>0</v>
      </c>
      <c r="S382" s="41">
        <f t="shared" si="184"/>
        <v>0</v>
      </c>
      <c r="T382" s="41">
        <f t="shared" si="184"/>
        <v>0</v>
      </c>
      <c r="U382" s="41">
        <f t="shared" si="184"/>
        <v>0</v>
      </c>
      <c r="V382" s="41">
        <f t="shared" si="184"/>
        <v>0</v>
      </c>
      <c r="W382" s="41">
        <f t="shared" si="184"/>
        <v>0</v>
      </c>
      <c r="X382" s="41">
        <f t="shared" si="184"/>
        <v>0</v>
      </c>
      <c r="Y382" s="599"/>
      <c r="Z382" s="21" t="str">
        <f>VLOOKUP($D382,TableInputsData[],ReadMe!$M$3,FALSE)&amp;"  |  "&amp;VLOOKUP($E382,TableInputsData[],ReadMe!$M$3,FALSE)&amp;"  |  "&amp;VLOOKUP($G382,TableInputsData[],ReadMe!$M$3,FALSE)&amp;IF(AF382=1,"  |  "&amp;VLOOKUP($H382,TableInputsData[],ReadMe!$M$3,FALSE),"")</f>
        <v>DEPENSES OPERATIONNELLES  |  ENTRETIEN  |  ENTRETIEN  |  % ENTRETIEN / CHIFFRE D'AFFAIRESS</v>
      </c>
      <c r="AA382" s="21"/>
      <c r="AB382" s="29">
        <v>1</v>
      </c>
      <c r="AC382" s="29"/>
      <c r="AD382" s="29"/>
      <c r="AE382" s="29"/>
      <c r="AF382" s="29">
        <v>1</v>
      </c>
      <c r="AG382" s="29"/>
      <c r="AH382" s="530"/>
      <c r="AI382" s="294"/>
    </row>
    <row r="383" spans="1:35" ht="14" x14ac:dyDescent="0.2">
      <c r="A383" s="294"/>
      <c r="B383" s="941"/>
      <c r="C383" s="85">
        <v>2</v>
      </c>
      <c r="D383" s="42" t="s">
        <v>645</v>
      </c>
      <c r="E383" s="42" t="s">
        <v>661</v>
      </c>
      <c r="F383" s="42" t="s">
        <v>112</v>
      </c>
      <c r="G383" s="42" t="s">
        <v>661</v>
      </c>
      <c r="H383" s="49" t="str">
        <f t="shared" si="185"/>
        <v>% THIRD PARTIES / REVENUE</v>
      </c>
      <c r="I383" s="43"/>
      <c r="J383" s="44"/>
      <c r="K383" s="44"/>
      <c r="L383" s="107"/>
      <c r="M383" s="123"/>
      <c r="N383" s="853"/>
      <c r="O383" s="50">
        <f t="shared" si="186"/>
        <v>0</v>
      </c>
      <c r="P383" s="50">
        <f t="shared" si="184"/>
        <v>0</v>
      </c>
      <c r="Q383" s="50">
        <f t="shared" si="184"/>
        <v>0</v>
      </c>
      <c r="R383" s="50">
        <f t="shared" si="184"/>
        <v>0</v>
      </c>
      <c r="S383" s="50">
        <f t="shared" si="184"/>
        <v>0</v>
      </c>
      <c r="T383" s="50">
        <f t="shared" si="184"/>
        <v>0</v>
      </c>
      <c r="U383" s="50">
        <f t="shared" si="184"/>
        <v>0</v>
      </c>
      <c r="V383" s="50">
        <f t="shared" si="184"/>
        <v>0</v>
      </c>
      <c r="W383" s="50">
        <f t="shared" si="184"/>
        <v>0</v>
      </c>
      <c r="X383" s="50">
        <f t="shared" si="184"/>
        <v>0</v>
      </c>
      <c r="Y383" s="602"/>
      <c r="Z383" s="42" t="str">
        <f>VLOOKUP($D383,TableInputsData[],ReadMe!$M$3,FALSE)&amp;"  |  "&amp;VLOOKUP($E383,TableInputsData[],ReadMe!$M$3,FALSE)&amp;"  |  "&amp;VLOOKUP($G383,TableInputsData[],ReadMe!$M$3,FALSE)&amp;IF(AF383=1,"  |  "&amp;VLOOKUP($H383,TableInputsData[],ReadMe!$M$3,FALSE),"")</f>
        <v>DEPENSES OPERATIONNELLES  |  TIERCES PARTIES  |  TIERCES PARTIES  |  % TIERS / CHIFFRE D'AFFAIRESS</v>
      </c>
      <c r="AA383" s="42"/>
      <c r="AB383" s="44">
        <v>1</v>
      </c>
      <c r="AC383" s="44"/>
      <c r="AD383" s="44"/>
      <c r="AE383" s="44"/>
      <c r="AF383" s="44">
        <v>1</v>
      </c>
      <c r="AG383" s="44"/>
      <c r="AH383" s="532"/>
      <c r="AI383" s="294"/>
    </row>
    <row r="384" spans="1:35" ht="14" x14ac:dyDescent="0.2">
      <c r="A384" s="294"/>
      <c r="B384" s="941"/>
      <c r="C384" s="67">
        <v>2</v>
      </c>
      <c r="D384" s="16" t="s">
        <v>645</v>
      </c>
      <c r="E384" s="16" t="s">
        <v>645</v>
      </c>
      <c r="F384" s="16" t="s">
        <v>112</v>
      </c>
      <c r="G384" s="16" t="s">
        <v>664</v>
      </c>
      <c r="H384" s="51" t="str">
        <f t="shared" si="185"/>
        <v>% OPERATING EXPENSES / REVENUE</v>
      </c>
      <c r="I384" s="17"/>
      <c r="J384" s="27"/>
      <c r="K384" s="27"/>
      <c r="L384" s="97"/>
      <c r="M384" s="112"/>
      <c r="N384" s="849"/>
      <c r="O384" s="52">
        <f t="shared" si="186"/>
        <v>0</v>
      </c>
      <c r="P384" s="52">
        <f t="shared" si="184"/>
        <v>0</v>
      </c>
      <c r="Q384" s="52">
        <f t="shared" si="184"/>
        <v>0</v>
      </c>
      <c r="R384" s="52">
        <f t="shared" si="184"/>
        <v>0</v>
      </c>
      <c r="S384" s="52">
        <f t="shared" si="184"/>
        <v>0</v>
      </c>
      <c r="T384" s="52">
        <f t="shared" si="184"/>
        <v>0</v>
      </c>
      <c r="U384" s="52">
        <f t="shared" si="184"/>
        <v>0</v>
      </c>
      <c r="V384" s="52">
        <f t="shared" si="184"/>
        <v>0</v>
      </c>
      <c r="W384" s="52">
        <f t="shared" si="184"/>
        <v>0</v>
      </c>
      <c r="X384" s="52">
        <f t="shared" si="184"/>
        <v>0</v>
      </c>
      <c r="Y384" s="603"/>
      <c r="Z384" s="16" t="str">
        <f>VLOOKUP($D384,TableInputsData[],ReadMe!$M$3,FALSE)&amp;"  |  "&amp;VLOOKUP($E384,TableInputsData[],ReadMe!$M$3,FALSE)&amp;"  |  "&amp;VLOOKUP($G384,TableInputsData[],ReadMe!$M$3,FALSE)&amp;IF(AF384=1,"  |  "&amp;VLOOKUP($H384,TableInputsData[],ReadMe!$M$3,FALSE),"")</f>
        <v>DEPENSES OPERATIONNELLES  |  DEPENSES OPERATIONNELLES  |  TOUTES LES CHARGES  |  % DEPENSES D'EXPLOITATION / CHIFFRE D'AFFAIRESS</v>
      </c>
      <c r="AA384" s="16"/>
      <c r="AB384" s="27">
        <v>1</v>
      </c>
      <c r="AC384" s="27"/>
      <c r="AD384" s="27"/>
      <c r="AE384" s="27"/>
      <c r="AF384" s="27">
        <v>1</v>
      </c>
      <c r="AG384" s="27"/>
      <c r="AH384" s="533"/>
      <c r="AI384" s="294"/>
    </row>
    <row r="385" spans="1:35" x14ac:dyDescent="0.2">
      <c r="A385" s="294"/>
      <c r="B385" s="941"/>
      <c r="C385" s="71">
        <v>2</v>
      </c>
      <c r="D385" s="8" t="s">
        <v>111</v>
      </c>
      <c r="E385" s="8"/>
      <c r="F385" s="8"/>
      <c r="G385" s="8"/>
      <c r="H385" s="9"/>
      <c r="I385" s="9"/>
      <c r="J385" s="87"/>
      <c r="K385" s="87"/>
      <c r="L385" s="98"/>
      <c r="M385" s="113"/>
      <c r="N385" s="854"/>
      <c r="O385" s="10" t="b">
        <f>EXACT(ROUND(SUM(O375:O383),2),ROUND(O384,2))</f>
        <v>1</v>
      </c>
      <c r="P385" s="10" t="b">
        <f t="shared" ref="P385:X385" si="187">EXACT(ROUND(SUM(P375:P383),2),ROUND(P384,2))</f>
        <v>1</v>
      </c>
      <c r="Q385" s="10" t="b">
        <f t="shared" si="187"/>
        <v>1</v>
      </c>
      <c r="R385" s="10" t="b">
        <f t="shared" si="187"/>
        <v>1</v>
      </c>
      <c r="S385" s="10" t="b">
        <f t="shared" si="187"/>
        <v>1</v>
      </c>
      <c r="T385" s="10" t="b">
        <f t="shared" si="187"/>
        <v>1</v>
      </c>
      <c r="U385" s="10" t="b">
        <f t="shared" si="187"/>
        <v>1</v>
      </c>
      <c r="V385" s="10" t="b">
        <f t="shared" si="187"/>
        <v>1</v>
      </c>
      <c r="W385" s="10" t="b">
        <f t="shared" si="187"/>
        <v>1</v>
      </c>
      <c r="X385" s="10" t="b">
        <f t="shared" si="187"/>
        <v>1</v>
      </c>
      <c r="Y385" s="10"/>
      <c r="Z385" s="8"/>
      <c r="AA385" s="10" t="b">
        <f>AND(TableFinanceData[[#This Row],[YEAR-2]:[YEAR6]])</f>
        <v>1</v>
      </c>
      <c r="AB385" s="35">
        <v>1</v>
      </c>
      <c r="AC385" s="35"/>
      <c r="AD385" s="35"/>
      <c r="AE385" s="87"/>
      <c r="AF385" s="35"/>
      <c r="AG385" s="35"/>
      <c r="AH385" s="534"/>
      <c r="AI385" s="294"/>
    </row>
    <row r="386" spans="1:35" x14ac:dyDescent="0.2">
      <c r="A386" s="294"/>
      <c r="B386" s="941"/>
      <c r="C386" s="72">
        <v>2</v>
      </c>
      <c r="D386" s="13"/>
      <c r="E386" s="13"/>
      <c r="F386" s="13"/>
      <c r="G386" s="13"/>
      <c r="H386" s="14"/>
      <c r="I386" s="14"/>
      <c r="J386" s="88"/>
      <c r="K386" s="88"/>
      <c r="L386" s="99"/>
      <c r="M386" s="114"/>
      <c r="N386" s="850"/>
      <c r="O386" s="15"/>
      <c r="P386" s="15"/>
      <c r="Q386" s="15"/>
      <c r="R386" s="15"/>
      <c r="S386" s="15"/>
      <c r="T386" s="15"/>
      <c r="U386" s="15"/>
      <c r="V386" s="15"/>
      <c r="W386" s="15"/>
      <c r="X386" s="15"/>
      <c r="Y386" s="15"/>
      <c r="Z386" s="13"/>
      <c r="AA386" s="15"/>
      <c r="AB386" s="37"/>
      <c r="AC386" s="37"/>
      <c r="AD386" s="37"/>
      <c r="AE386" s="88"/>
      <c r="AF386" s="37"/>
      <c r="AG386" s="37"/>
      <c r="AH386" s="537"/>
      <c r="AI386" s="294"/>
    </row>
    <row r="387" spans="1:35" x14ac:dyDescent="0.2">
      <c r="A387" s="294"/>
      <c r="B387" s="941"/>
      <c r="C387" s="64">
        <v>2</v>
      </c>
      <c r="D387" s="19" t="s">
        <v>645</v>
      </c>
      <c r="E387" s="19" t="s">
        <v>646</v>
      </c>
      <c r="F387" s="19" t="s">
        <v>21</v>
      </c>
      <c r="G387" s="19" t="s">
        <v>1893</v>
      </c>
      <c r="H387" s="20" t="s">
        <v>1893</v>
      </c>
      <c r="I387" s="522" t="str">
        <f t="shared" ref="I387:I389" si="188">$H$2</f>
        <v>TYPICAL CASE</v>
      </c>
      <c r="J387" s="773"/>
      <c r="K387" s="28"/>
      <c r="L387" s="100"/>
      <c r="M387" s="115"/>
      <c r="N387" s="851"/>
      <c r="O387" s="31">
        <f>(O214*O$213+O221*O$220+O228*O$227+O235*O$234+O242*O$241+O249*O$248+O256*O$255+O263*O$262+O270*O$269+O277*O$276)*IF(O$4="ACTUAL",1,$AH387)</f>
        <v>0</v>
      </c>
      <c r="P387" s="31">
        <f t="shared" ref="P387:X387" si="189">(P214*P$213+P221*P$220+P228*P$227+P235*P$234+P242*P$241+P249*P$248+P256*P$255+P263*P$262+P270*P$269+P277*P$276)*IF(P$4="ACTUAL",1,$AH387)</f>
        <v>0</v>
      </c>
      <c r="Q387" s="31">
        <f t="shared" si="189"/>
        <v>0</v>
      </c>
      <c r="R387" s="31">
        <f t="shared" si="189"/>
        <v>0</v>
      </c>
      <c r="S387" s="31">
        <f t="shared" si="189"/>
        <v>0</v>
      </c>
      <c r="T387" s="31">
        <f t="shared" si="189"/>
        <v>0</v>
      </c>
      <c r="U387" s="31">
        <f t="shared" si="189"/>
        <v>0</v>
      </c>
      <c r="V387" s="31">
        <f t="shared" si="189"/>
        <v>0</v>
      </c>
      <c r="W387" s="31">
        <f t="shared" si="189"/>
        <v>0</v>
      </c>
      <c r="X387" s="31">
        <f t="shared" si="189"/>
        <v>0</v>
      </c>
      <c r="Y387" s="31"/>
      <c r="Z387" s="19"/>
      <c r="AA387" s="19"/>
      <c r="AB387" s="28">
        <v>1</v>
      </c>
      <c r="AC387" s="28"/>
      <c r="AD387" s="28"/>
      <c r="AE387" s="28"/>
      <c r="AF387" s="28"/>
      <c r="AG387" s="28"/>
      <c r="AH387" s="526">
        <f>VLOOKUP($E387,TableInputsData[],$AH$2,FALSE)</f>
        <v>1</v>
      </c>
      <c r="AI387" s="294"/>
    </row>
    <row r="388" spans="1:35" x14ac:dyDescent="0.2">
      <c r="A388" s="294"/>
      <c r="B388" s="941"/>
      <c r="C388" s="65">
        <v>2</v>
      </c>
      <c r="D388" s="21" t="s">
        <v>645</v>
      </c>
      <c r="E388" s="21" t="s">
        <v>646</v>
      </c>
      <c r="F388" s="21" t="s">
        <v>21</v>
      </c>
      <c r="G388" s="21" t="s">
        <v>1895</v>
      </c>
      <c r="H388" s="22" t="s">
        <v>1895</v>
      </c>
      <c r="I388" s="523" t="str">
        <f t="shared" si="188"/>
        <v>TYPICAL CASE</v>
      </c>
      <c r="J388" s="774"/>
      <c r="K388" s="29"/>
      <c r="L388" s="101"/>
      <c r="M388" s="116"/>
      <c r="N388" s="852"/>
      <c r="O388" s="32">
        <f>(O215*O$213+O222*O$220+O229*O$227+O236*O$234+O243*O$241+O250*O$248+O257*O$255+O264*O$262+O271*O$269+O278*O$276)*IF(O$4="ACTUAL",1,$AH388)</f>
        <v>0</v>
      </c>
      <c r="P388" s="32">
        <f t="shared" ref="P388:X388" si="190">(P215*P$213+P222*P$220+P229*P$227+P236*P$234+P243*P$241+P250*P$248+P257*P$255+P264*P$262+P271*P$269+P278*P$276)*IF(P$4="ACTUAL",1,$AH388)</f>
        <v>0</v>
      </c>
      <c r="Q388" s="32">
        <f t="shared" si="190"/>
        <v>0</v>
      </c>
      <c r="R388" s="32">
        <f t="shared" si="190"/>
        <v>0</v>
      </c>
      <c r="S388" s="32">
        <f t="shared" si="190"/>
        <v>0</v>
      </c>
      <c r="T388" s="32">
        <f t="shared" si="190"/>
        <v>0</v>
      </c>
      <c r="U388" s="32">
        <f t="shared" si="190"/>
        <v>0</v>
      </c>
      <c r="V388" s="32">
        <f t="shared" si="190"/>
        <v>0</v>
      </c>
      <c r="W388" s="32">
        <f t="shared" si="190"/>
        <v>0</v>
      </c>
      <c r="X388" s="32">
        <f t="shared" si="190"/>
        <v>0</v>
      </c>
      <c r="Y388" s="32"/>
      <c r="Z388" s="21"/>
      <c r="AA388" s="21"/>
      <c r="AB388" s="29">
        <v>1</v>
      </c>
      <c r="AC388" s="29"/>
      <c r="AD388" s="29"/>
      <c r="AE388" s="29"/>
      <c r="AF388" s="29"/>
      <c r="AG388" s="29"/>
      <c r="AH388" s="530">
        <f>VLOOKUP($E388,TableInputsData[],$AH$2,FALSE)</f>
        <v>1</v>
      </c>
      <c r="AI388" s="294"/>
    </row>
    <row r="389" spans="1:35" x14ac:dyDescent="0.2">
      <c r="A389" s="294"/>
      <c r="B389" s="941"/>
      <c r="C389" s="803">
        <v>2</v>
      </c>
      <c r="D389" s="804" t="s">
        <v>645</v>
      </c>
      <c r="E389" s="804" t="s">
        <v>646</v>
      </c>
      <c r="F389" s="804" t="s">
        <v>21</v>
      </c>
      <c r="G389" s="804" t="s">
        <v>1894</v>
      </c>
      <c r="H389" s="805" t="s">
        <v>1894</v>
      </c>
      <c r="I389" s="806" t="str">
        <f t="shared" si="188"/>
        <v>TYPICAL CASE</v>
      </c>
      <c r="J389" s="807"/>
      <c r="K389" s="808"/>
      <c r="L389" s="809"/>
      <c r="M389" s="810"/>
      <c r="N389" s="857"/>
      <c r="O389" s="811">
        <f>(O216*O$213+O223*O$220+O230*O$227+O237*O$234+O244*O$241+O251*O$248+O258*O$255+O265*O$262+O272*O$269+O279*O$276)*IF(O$4="ACTUAL",1,$AH389)</f>
        <v>0</v>
      </c>
      <c r="P389" s="811">
        <f t="shared" ref="P389:X389" si="191">(P216*P$213+P223*P$220+P230*P$227+P237*P$234+P244*P$241+P251*P$248+P258*P$255+P265*P$262+P272*P$269+P279*P$276)*IF(P$4="ACTUAL",1,$AH389)</f>
        <v>0</v>
      </c>
      <c r="Q389" s="811">
        <f t="shared" si="191"/>
        <v>0</v>
      </c>
      <c r="R389" s="811">
        <f t="shared" si="191"/>
        <v>0</v>
      </c>
      <c r="S389" s="811">
        <f t="shared" si="191"/>
        <v>0</v>
      </c>
      <c r="T389" s="811">
        <f t="shared" si="191"/>
        <v>0</v>
      </c>
      <c r="U389" s="811">
        <f t="shared" si="191"/>
        <v>0</v>
      </c>
      <c r="V389" s="811">
        <f t="shared" si="191"/>
        <v>0</v>
      </c>
      <c r="W389" s="811">
        <f t="shared" si="191"/>
        <v>0</v>
      </c>
      <c r="X389" s="811">
        <f t="shared" si="191"/>
        <v>0</v>
      </c>
      <c r="Y389" s="811"/>
      <c r="Z389" s="804"/>
      <c r="AA389" s="804"/>
      <c r="AB389" s="808">
        <v>1</v>
      </c>
      <c r="AC389" s="808"/>
      <c r="AD389" s="808"/>
      <c r="AE389" s="808"/>
      <c r="AF389" s="808"/>
      <c r="AG389" s="808"/>
      <c r="AH389" s="812">
        <f>VLOOKUP($E389,TableInputsData[],$AH$2,FALSE)</f>
        <v>1</v>
      </c>
      <c r="AI389" s="294"/>
    </row>
    <row r="390" spans="1:35" x14ac:dyDescent="0.2">
      <c r="A390" s="294"/>
      <c r="B390" s="941"/>
      <c r="C390" s="71">
        <v>2</v>
      </c>
      <c r="D390" s="8" t="s">
        <v>111</v>
      </c>
      <c r="E390" s="8"/>
      <c r="F390" s="8"/>
      <c r="G390" s="8"/>
      <c r="H390" s="9"/>
      <c r="I390" s="9"/>
      <c r="J390" s="87"/>
      <c r="K390" s="87"/>
      <c r="L390" s="98"/>
      <c r="M390" s="113"/>
      <c r="N390" s="854"/>
      <c r="O390" s="10" t="b">
        <f>EXACT(SUM(O387:O389),O361)</f>
        <v>1</v>
      </c>
      <c r="P390" s="10" t="b">
        <f t="shared" ref="P390:X390" si="192">EXACT(SUM(P387:P389),P361)</f>
        <v>1</v>
      </c>
      <c r="Q390" s="10" t="b">
        <f t="shared" si="192"/>
        <v>1</v>
      </c>
      <c r="R390" s="10" t="b">
        <f t="shared" si="192"/>
        <v>1</v>
      </c>
      <c r="S390" s="10" t="b">
        <f t="shared" si="192"/>
        <v>1</v>
      </c>
      <c r="T390" s="10" t="b">
        <f t="shared" si="192"/>
        <v>1</v>
      </c>
      <c r="U390" s="10" t="b">
        <f t="shared" si="192"/>
        <v>1</v>
      </c>
      <c r="V390" s="10" t="b">
        <f t="shared" si="192"/>
        <v>1</v>
      </c>
      <c r="W390" s="10" t="b">
        <f t="shared" si="192"/>
        <v>1</v>
      </c>
      <c r="X390" s="10" t="b">
        <f t="shared" si="192"/>
        <v>1</v>
      </c>
      <c r="Y390" s="10"/>
      <c r="Z390" s="8"/>
      <c r="AA390" s="10" t="b">
        <f>AND(TableFinanceData[[#This Row],[YEAR-2]:[YEAR6]])</f>
        <v>1</v>
      </c>
      <c r="AB390" s="35"/>
      <c r="AC390" s="35"/>
      <c r="AD390" s="35"/>
      <c r="AE390" s="87"/>
      <c r="AF390" s="35"/>
      <c r="AG390" s="35"/>
      <c r="AH390" s="534"/>
      <c r="AI390" s="294"/>
    </row>
    <row r="391" spans="1:35" x14ac:dyDescent="0.2">
      <c r="A391" s="294"/>
      <c r="B391" s="941"/>
      <c r="C391" s="72">
        <v>2</v>
      </c>
      <c r="D391" s="13"/>
      <c r="E391" s="13"/>
      <c r="F391" s="13"/>
      <c r="G391" s="13"/>
      <c r="H391" s="14"/>
      <c r="I391" s="14"/>
      <c r="J391" s="88"/>
      <c r="K391" s="88"/>
      <c r="L391" s="99"/>
      <c r="M391" s="114"/>
      <c r="N391" s="850"/>
      <c r="O391" s="15"/>
      <c r="P391" s="15"/>
      <c r="Q391" s="15"/>
      <c r="R391" s="15"/>
      <c r="S391" s="15"/>
      <c r="T391" s="15"/>
      <c r="U391" s="15"/>
      <c r="V391" s="15"/>
      <c r="W391" s="15"/>
      <c r="X391" s="15"/>
      <c r="Y391" s="15"/>
      <c r="Z391" s="13"/>
      <c r="AA391" s="13"/>
      <c r="AB391" s="37"/>
      <c r="AC391" s="37"/>
      <c r="AD391" s="37"/>
      <c r="AE391" s="88"/>
      <c r="AF391" s="37"/>
      <c r="AG391" s="37"/>
      <c r="AH391" s="537"/>
      <c r="AI391" s="294"/>
    </row>
    <row r="392" spans="1:35" x14ac:dyDescent="0.2">
      <c r="A392" s="294"/>
      <c r="B392" s="941"/>
      <c r="C392" s="64">
        <v>2</v>
      </c>
      <c r="D392" s="19" t="s">
        <v>645</v>
      </c>
      <c r="E392" s="19" t="s">
        <v>646</v>
      </c>
      <c r="F392" s="19" t="s">
        <v>1035</v>
      </c>
      <c r="G392" s="19" t="s">
        <v>402</v>
      </c>
      <c r="H392" s="20" t="str">
        <f>VLOOKUP(G392,$G$213:$I$281,2,FALSE)</f>
        <v>NUMBER OF EMPLOYEES</v>
      </c>
      <c r="I392" s="20" t="str">
        <f>VLOOKUP($G392,TableInputsData[],7,FALSE)</f>
        <v>TRAVAILLEURS SAISONNIERS</v>
      </c>
      <c r="J392" s="28"/>
      <c r="K392" s="28"/>
      <c r="L392" s="100"/>
      <c r="M392" s="115"/>
      <c r="N392" s="851"/>
      <c r="O392" s="54">
        <f>SUMIFS(O$213:O$281,$F$213:$F$281,$F392,$G$213:$G$281,$G392)</f>
        <v>0</v>
      </c>
      <c r="P392" s="54">
        <f t="shared" ref="P392:X392" si="193">SUMIFS(P$213:P$281,$F$213:$F$281,$F392,$G$213:$G$281,$G392)</f>
        <v>0</v>
      </c>
      <c r="Q392" s="54">
        <f t="shared" si="193"/>
        <v>0</v>
      </c>
      <c r="R392" s="54">
        <f t="shared" si="193"/>
        <v>0</v>
      </c>
      <c r="S392" s="54">
        <f t="shared" si="193"/>
        <v>0</v>
      </c>
      <c r="T392" s="54">
        <f t="shared" si="193"/>
        <v>0</v>
      </c>
      <c r="U392" s="54">
        <f t="shared" si="193"/>
        <v>0</v>
      </c>
      <c r="V392" s="54">
        <f t="shared" si="193"/>
        <v>0</v>
      </c>
      <c r="W392" s="54">
        <f t="shared" si="193"/>
        <v>0</v>
      </c>
      <c r="X392" s="54">
        <f t="shared" si="193"/>
        <v>0</v>
      </c>
      <c r="Y392" s="54"/>
      <c r="Z392" s="19" t="str">
        <f>VLOOKUP($D392,TableInputsData[],ReadMe!$M$3,FALSE)&amp;"  |  "&amp;VLOOKUP($E392,TableInputsData[],ReadMe!$M$3,FALSE)&amp;"  |  "&amp;VLOOKUP($G392,TableInputsData[],ReadMe!$M$3,FALSE)&amp;IF(AF392=1,"  |  "&amp;VLOOKUP($H392,TableInputsData[],ReadMe!$M$3,FALSE),"")</f>
        <v>DEPENSES OPERATIONNELLES  |  SALAIRES DE PERSONNEL  |  EFF_CAT01  |  NOMBRE D'EMPLOYÉ(E)S</v>
      </c>
      <c r="AA392" s="19"/>
      <c r="AB392" s="28">
        <v>1</v>
      </c>
      <c r="AC392" s="28">
        <v>2</v>
      </c>
      <c r="AD392" s="28"/>
      <c r="AE392" s="28">
        <f>IF(OR(LEFT(I392,3)&lt;&gt;"EFF",SUM(O392:X392)&gt;0),2,"")</f>
        <v>2</v>
      </c>
      <c r="AF392" s="28">
        <v>1</v>
      </c>
      <c r="AG392" s="28"/>
      <c r="AH392" s="526"/>
      <c r="AI392" s="294"/>
    </row>
    <row r="393" spans="1:35" x14ac:dyDescent="0.2">
      <c r="A393" s="294"/>
      <c r="B393" s="941"/>
      <c r="C393" s="65">
        <v>2</v>
      </c>
      <c r="D393" s="21" t="s">
        <v>645</v>
      </c>
      <c r="E393" s="21" t="s">
        <v>646</v>
      </c>
      <c r="F393" s="21" t="s">
        <v>1035</v>
      </c>
      <c r="G393" s="21" t="s">
        <v>403</v>
      </c>
      <c r="H393" s="22" t="str">
        <f t="shared" ref="H393:H401" si="194">VLOOKUP(G393,$G$213:$I$281,2,FALSE)</f>
        <v>NUMBER OF EMPLOYEES</v>
      </c>
      <c r="I393" s="22" t="str">
        <f>VLOOKUP($G393,TableInputsData[],7,FALSE)</f>
        <v>VENTE &amp; MARKETING</v>
      </c>
      <c r="J393" s="29"/>
      <c r="K393" s="29"/>
      <c r="L393" s="101"/>
      <c r="M393" s="116"/>
      <c r="N393" s="852"/>
      <c r="O393" s="53">
        <f t="shared" ref="O393:X401" si="195">SUMIFS(O$213:O$281,$F$213:$F$281,$F393,$G$213:$G$281,$G393)</f>
        <v>0</v>
      </c>
      <c r="P393" s="53">
        <f t="shared" si="195"/>
        <v>0</v>
      </c>
      <c r="Q393" s="53">
        <f t="shared" si="195"/>
        <v>0</v>
      </c>
      <c r="R393" s="53">
        <f t="shared" si="195"/>
        <v>0</v>
      </c>
      <c r="S393" s="53">
        <f t="shared" si="195"/>
        <v>0</v>
      </c>
      <c r="T393" s="53">
        <f t="shared" si="195"/>
        <v>0</v>
      </c>
      <c r="U393" s="53">
        <f t="shared" si="195"/>
        <v>0</v>
      </c>
      <c r="V393" s="53">
        <f t="shared" si="195"/>
        <v>0</v>
      </c>
      <c r="W393" s="53">
        <f t="shared" si="195"/>
        <v>0</v>
      </c>
      <c r="X393" s="53">
        <f t="shared" si="195"/>
        <v>0</v>
      </c>
      <c r="Y393" s="53"/>
      <c r="Z393" s="21" t="str">
        <f>VLOOKUP($D393,TableInputsData[],ReadMe!$M$3,FALSE)&amp;"  |  "&amp;VLOOKUP($E393,TableInputsData[],ReadMe!$M$3,FALSE)&amp;"  |  "&amp;VLOOKUP($G393,TableInputsData[],ReadMe!$M$3,FALSE)&amp;IF(AF393=1,"  |  "&amp;VLOOKUP($H393,TableInputsData[],ReadMe!$M$3,FALSE),"")</f>
        <v>DEPENSES OPERATIONNELLES  |  SALAIRES DE PERSONNEL  |  EFF_CAT02  |  NOMBRE D'EMPLOYÉ(E)S</v>
      </c>
      <c r="AA393" s="21"/>
      <c r="AB393" s="29">
        <v>1</v>
      </c>
      <c r="AC393" s="29">
        <v>2</v>
      </c>
      <c r="AD393" s="29"/>
      <c r="AE393" s="29">
        <f t="shared" ref="AE393:AE401" si="196">IF(OR(LEFT(I393,3)&lt;&gt;"EFF",SUM(O393:X393)&gt;0),2,"")</f>
        <v>2</v>
      </c>
      <c r="AF393" s="29">
        <v>1</v>
      </c>
      <c r="AG393" s="29"/>
      <c r="AH393" s="530"/>
      <c r="AI393" s="294"/>
    </row>
    <row r="394" spans="1:35" x14ac:dyDescent="0.2">
      <c r="A394" s="294"/>
      <c r="B394" s="941"/>
      <c r="C394" s="65">
        <v>2</v>
      </c>
      <c r="D394" s="21" t="s">
        <v>645</v>
      </c>
      <c r="E394" s="21" t="s">
        <v>646</v>
      </c>
      <c r="F394" s="21" t="s">
        <v>1035</v>
      </c>
      <c r="G394" s="21" t="s">
        <v>404</v>
      </c>
      <c r="H394" s="22" t="str">
        <f t="shared" si="194"/>
        <v>NUMBER OF EMPLOYEES</v>
      </c>
      <c r="I394" s="22" t="str">
        <f>VLOOKUP($G394,TableInputsData[],7,FALSE)</f>
        <v>ADMINISTRATION</v>
      </c>
      <c r="J394" s="29"/>
      <c r="K394" s="29"/>
      <c r="L394" s="101"/>
      <c r="M394" s="116"/>
      <c r="N394" s="852"/>
      <c r="O394" s="53">
        <f t="shared" si="195"/>
        <v>0</v>
      </c>
      <c r="P394" s="53">
        <f t="shared" si="195"/>
        <v>0</v>
      </c>
      <c r="Q394" s="53">
        <f t="shared" si="195"/>
        <v>0</v>
      </c>
      <c r="R394" s="53">
        <f t="shared" si="195"/>
        <v>0</v>
      </c>
      <c r="S394" s="53">
        <f t="shared" si="195"/>
        <v>0</v>
      </c>
      <c r="T394" s="53">
        <f t="shared" si="195"/>
        <v>0</v>
      </c>
      <c r="U394" s="53">
        <f t="shared" si="195"/>
        <v>0</v>
      </c>
      <c r="V394" s="53">
        <f t="shared" si="195"/>
        <v>0</v>
      </c>
      <c r="W394" s="53">
        <f t="shared" si="195"/>
        <v>0</v>
      </c>
      <c r="X394" s="53">
        <f t="shared" si="195"/>
        <v>0</v>
      </c>
      <c r="Y394" s="53"/>
      <c r="Z394" s="21" t="str">
        <f>VLOOKUP($D394,TableInputsData[],ReadMe!$M$3,FALSE)&amp;"  |  "&amp;VLOOKUP($E394,TableInputsData[],ReadMe!$M$3,FALSE)&amp;"  |  "&amp;VLOOKUP($G394,TableInputsData[],ReadMe!$M$3,FALSE)&amp;IF(AF394=1,"  |  "&amp;VLOOKUP($H394,TableInputsData[],ReadMe!$M$3,FALSE),"")</f>
        <v>DEPENSES OPERATIONNELLES  |  SALAIRES DE PERSONNEL  |  EFF_CAT03  |  NOMBRE D'EMPLOYÉ(E)S</v>
      </c>
      <c r="AA394" s="21"/>
      <c r="AB394" s="29">
        <v>1</v>
      </c>
      <c r="AC394" s="29">
        <v>2</v>
      </c>
      <c r="AD394" s="29"/>
      <c r="AE394" s="29">
        <f t="shared" si="196"/>
        <v>2</v>
      </c>
      <c r="AF394" s="29">
        <v>1</v>
      </c>
      <c r="AG394" s="29"/>
      <c r="AH394" s="530"/>
      <c r="AI394" s="294"/>
    </row>
    <row r="395" spans="1:35" x14ac:dyDescent="0.2">
      <c r="A395" s="294"/>
      <c r="B395" s="941"/>
      <c r="C395" s="65">
        <v>2</v>
      </c>
      <c r="D395" s="21" t="s">
        <v>645</v>
      </c>
      <c r="E395" s="21" t="s">
        <v>646</v>
      </c>
      <c r="F395" s="21" t="s">
        <v>1035</v>
      </c>
      <c r="G395" s="21" t="s">
        <v>405</v>
      </c>
      <c r="H395" s="22" t="str">
        <f t="shared" si="194"/>
        <v>NUMBER OF EMPLOYEES</v>
      </c>
      <c r="I395" s="22" t="str">
        <f>VLOOKUP($G395,TableInputsData[],7,FALSE)</f>
        <v>OPERATIONS</v>
      </c>
      <c r="J395" s="29"/>
      <c r="K395" s="29"/>
      <c r="L395" s="101"/>
      <c r="M395" s="116"/>
      <c r="N395" s="852"/>
      <c r="O395" s="53">
        <f t="shared" si="195"/>
        <v>0</v>
      </c>
      <c r="P395" s="53">
        <f t="shared" si="195"/>
        <v>0</v>
      </c>
      <c r="Q395" s="53">
        <f t="shared" si="195"/>
        <v>0</v>
      </c>
      <c r="R395" s="53">
        <f t="shared" si="195"/>
        <v>0</v>
      </c>
      <c r="S395" s="53">
        <f t="shared" si="195"/>
        <v>0</v>
      </c>
      <c r="T395" s="53">
        <f t="shared" si="195"/>
        <v>0</v>
      </c>
      <c r="U395" s="53">
        <f t="shared" si="195"/>
        <v>0</v>
      </c>
      <c r="V395" s="53">
        <f t="shared" si="195"/>
        <v>0</v>
      </c>
      <c r="W395" s="53">
        <f t="shared" si="195"/>
        <v>0</v>
      </c>
      <c r="X395" s="53">
        <f t="shared" si="195"/>
        <v>0</v>
      </c>
      <c r="Y395" s="53"/>
      <c r="Z395" s="21" t="str">
        <f>VLOOKUP($D395,TableInputsData[],ReadMe!$M$3,FALSE)&amp;"  |  "&amp;VLOOKUP($E395,TableInputsData[],ReadMe!$M$3,FALSE)&amp;"  |  "&amp;VLOOKUP($G395,TableInputsData[],ReadMe!$M$3,FALSE)&amp;IF(AF395=1,"  |  "&amp;VLOOKUP($H395,TableInputsData[],ReadMe!$M$3,FALSE),"")</f>
        <v>DEPENSES OPERATIONNELLES  |  SALAIRES DE PERSONNEL  |  EFF_CAT04  |  NOMBRE D'EMPLOYÉ(E)S</v>
      </c>
      <c r="AA395" s="21"/>
      <c r="AB395" s="29">
        <v>1</v>
      </c>
      <c r="AC395" s="29">
        <v>2</v>
      </c>
      <c r="AD395" s="29"/>
      <c r="AE395" s="29">
        <f t="shared" si="196"/>
        <v>2</v>
      </c>
      <c r="AF395" s="29">
        <v>1</v>
      </c>
      <c r="AG395" s="29"/>
      <c r="AH395" s="530"/>
      <c r="AI395" s="294"/>
    </row>
    <row r="396" spans="1:35" x14ac:dyDescent="0.2">
      <c r="A396" s="294"/>
      <c r="B396" s="941"/>
      <c r="C396" s="65">
        <v>2</v>
      </c>
      <c r="D396" s="21" t="s">
        <v>645</v>
      </c>
      <c r="E396" s="21" t="s">
        <v>646</v>
      </c>
      <c r="F396" s="21" t="s">
        <v>1035</v>
      </c>
      <c r="G396" s="21" t="s">
        <v>406</v>
      </c>
      <c r="H396" s="22" t="str">
        <f t="shared" si="194"/>
        <v>NUMBER OF EMPLOYEES</v>
      </c>
      <c r="I396" s="22" t="str">
        <f>VLOOKUP($G396,TableInputsData[],7,FALSE)</f>
        <v>VENDEUR BOUTIQUE</v>
      </c>
      <c r="J396" s="29"/>
      <c r="K396" s="29"/>
      <c r="L396" s="101"/>
      <c r="M396" s="116"/>
      <c r="N396" s="852"/>
      <c r="O396" s="53">
        <f t="shared" si="195"/>
        <v>0</v>
      </c>
      <c r="P396" s="53">
        <f t="shared" si="195"/>
        <v>0</v>
      </c>
      <c r="Q396" s="53">
        <f t="shared" si="195"/>
        <v>0</v>
      </c>
      <c r="R396" s="53">
        <f t="shared" si="195"/>
        <v>0</v>
      </c>
      <c r="S396" s="53">
        <f t="shared" si="195"/>
        <v>0</v>
      </c>
      <c r="T396" s="53">
        <f t="shared" si="195"/>
        <v>0</v>
      </c>
      <c r="U396" s="53">
        <f t="shared" si="195"/>
        <v>0</v>
      </c>
      <c r="V396" s="53">
        <f t="shared" si="195"/>
        <v>0</v>
      </c>
      <c r="W396" s="53">
        <f t="shared" si="195"/>
        <v>0</v>
      </c>
      <c r="X396" s="53">
        <f t="shared" si="195"/>
        <v>0</v>
      </c>
      <c r="Y396" s="53"/>
      <c r="Z396" s="21" t="str">
        <f>VLOOKUP($D396,TableInputsData[],ReadMe!$M$3,FALSE)&amp;"  |  "&amp;VLOOKUP($E396,TableInputsData[],ReadMe!$M$3,FALSE)&amp;"  |  "&amp;VLOOKUP($G396,TableInputsData[],ReadMe!$M$3,FALSE)&amp;IF(AF396=1,"  |  "&amp;VLOOKUP($H396,TableInputsData[],ReadMe!$M$3,FALSE),"")</f>
        <v>DEPENSES OPERATIONNELLES  |  SALAIRES DE PERSONNEL  |  EFF_CAT05  |  NOMBRE D'EMPLOYÉ(E)S</v>
      </c>
      <c r="AA396" s="21"/>
      <c r="AB396" s="29">
        <v>1</v>
      </c>
      <c r="AC396" s="29">
        <v>2</v>
      </c>
      <c r="AD396" s="29"/>
      <c r="AE396" s="29">
        <f t="shared" si="196"/>
        <v>2</v>
      </c>
      <c r="AF396" s="29">
        <v>1</v>
      </c>
      <c r="AG396" s="29"/>
      <c r="AH396" s="530"/>
      <c r="AI396" s="294"/>
    </row>
    <row r="397" spans="1:35" x14ac:dyDescent="0.2">
      <c r="A397" s="294"/>
      <c r="B397" s="941"/>
      <c r="C397" s="65">
        <v>2</v>
      </c>
      <c r="D397" s="21" t="s">
        <v>645</v>
      </c>
      <c r="E397" s="21" t="s">
        <v>646</v>
      </c>
      <c r="F397" s="21" t="s">
        <v>1035</v>
      </c>
      <c r="G397" s="21" t="s">
        <v>407</v>
      </c>
      <c r="H397" s="22" t="str">
        <f t="shared" si="194"/>
        <v>NUMBER OF EMPLOYEES</v>
      </c>
      <c r="I397" s="22" t="str">
        <f>VLOOKUP($G397,TableInputsData[],7,FALSE)</f>
        <v>CADRE - DIRECTEURS</v>
      </c>
      <c r="J397" s="29"/>
      <c r="K397" s="29"/>
      <c r="L397" s="101"/>
      <c r="M397" s="116"/>
      <c r="N397" s="852"/>
      <c r="O397" s="53">
        <f t="shared" si="195"/>
        <v>0</v>
      </c>
      <c r="P397" s="53">
        <f t="shared" si="195"/>
        <v>0</v>
      </c>
      <c r="Q397" s="53">
        <f t="shared" si="195"/>
        <v>0</v>
      </c>
      <c r="R397" s="53">
        <f t="shared" si="195"/>
        <v>0</v>
      </c>
      <c r="S397" s="53">
        <f t="shared" si="195"/>
        <v>0</v>
      </c>
      <c r="T397" s="53">
        <f t="shared" si="195"/>
        <v>0</v>
      </c>
      <c r="U397" s="53">
        <f t="shared" si="195"/>
        <v>0</v>
      </c>
      <c r="V397" s="53">
        <f t="shared" si="195"/>
        <v>0</v>
      </c>
      <c r="W397" s="53">
        <f t="shared" si="195"/>
        <v>0</v>
      </c>
      <c r="X397" s="53">
        <f t="shared" si="195"/>
        <v>0</v>
      </c>
      <c r="Y397" s="53"/>
      <c r="Z397" s="21" t="str">
        <f>VLOOKUP($D397,TableInputsData[],ReadMe!$M$3,FALSE)&amp;"  |  "&amp;VLOOKUP($E397,TableInputsData[],ReadMe!$M$3,FALSE)&amp;"  |  "&amp;VLOOKUP($G397,TableInputsData[],ReadMe!$M$3,FALSE)&amp;IF(AF397=1,"  |  "&amp;VLOOKUP($H397,TableInputsData[],ReadMe!$M$3,FALSE),"")</f>
        <v>DEPENSES OPERATIONNELLES  |  SALAIRES DE PERSONNEL  |  EFF_CAT06  |  NOMBRE D'EMPLOYÉ(E)S</v>
      </c>
      <c r="AA397" s="21"/>
      <c r="AB397" s="29">
        <v>1</v>
      </c>
      <c r="AC397" s="29">
        <v>2</v>
      </c>
      <c r="AD397" s="29"/>
      <c r="AE397" s="29">
        <f t="shared" si="196"/>
        <v>2</v>
      </c>
      <c r="AF397" s="29">
        <v>1</v>
      </c>
      <c r="AG397" s="29"/>
      <c r="AH397" s="530"/>
      <c r="AI397" s="294"/>
    </row>
    <row r="398" spans="1:35" x14ac:dyDescent="0.2">
      <c r="A398" s="294"/>
      <c r="B398" s="941"/>
      <c r="C398" s="65">
        <v>2</v>
      </c>
      <c r="D398" s="21" t="s">
        <v>645</v>
      </c>
      <c r="E398" s="21" t="s">
        <v>646</v>
      </c>
      <c r="F398" s="21" t="s">
        <v>1035</v>
      </c>
      <c r="G398" s="21" t="s">
        <v>408</v>
      </c>
      <c r="H398" s="22" t="str">
        <f t="shared" si="194"/>
        <v>NUMBER OF EMPLOYEES</v>
      </c>
      <c r="I398" s="22" t="str">
        <f>VLOOKUP($G398,TableInputsData[],7,FALSE)</f>
        <v>CADRE - DIRECTEUR GENERAL</v>
      </c>
      <c r="J398" s="29"/>
      <c r="K398" s="29"/>
      <c r="L398" s="101"/>
      <c r="M398" s="116"/>
      <c r="N398" s="852"/>
      <c r="O398" s="53">
        <f t="shared" si="195"/>
        <v>0</v>
      </c>
      <c r="P398" s="53">
        <f t="shared" si="195"/>
        <v>0</v>
      </c>
      <c r="Q398" s="53">
        <f t="shared" si="195"/>
        <v>0</v>
      </c>
      <c r="R398" s="53">
        <f t="shared" si="195"/>
        <v>0</v>
      </c>
      <c r="S398" s="53">
        <f t="shared" si="195"/>
        <v>0</v>
      </c>
      <c r="T398" s="53">
        <f t="shared" si="195"/>
        <v>0</v>
      </c>
      <c r="U398" s="53">
        <f t="shared" si="195"/>
        <v>0</v>
      </c>
      <c r="V398" s="53">
        <f t="shared" si="195"/>
        <v>0</v>
      </c>
      <c r="W398" s="53">
        <f t="shared" si="195"/>
        <v>0</v>
      </c>
      <c r="X398" s="53">
        <f t="shared" si="195"/>
        <v>0</v>
      </c>
      <c r="Y398" s="53"/>
      <c r="Z398" s="21" t="str">
        <f>VLOOKUP($D398,TableInputsData[],ReadMe!$M$3,FALSE)&amp;"  |  "&amp;VLOOKUP($E398,TableInputsData[],ReadMe!$M$3,FALSE)&amp;"  |  "&amp;VLOOKUP($G398,TableInputsData[],ReadMe!$M$3,FALSE)&amp;IF(AF398=1,"  |  "&amp;VLOOKUP($H398,TableInputsData[],ReadMe!$M$3,FALSE),"")</f>
        <v>DEPENSES OPERATIONNELLES  |  SALAIRES DE PERSONNEL  |  EFF_CAT07  |  NOMBRE D'EMPLOYÉ(E)S</v>
      </c>
      <c r="AA398" s="21"/>
      <c r="AB398" s="29">
        <v>1</v>
      </c>
      <c r="AC398" s="29">
        <v>2</v>
      </c>
      <c r="AD398" s="29"/>
      <c r="AE398" s="29">
        <f t="shared" si="196"/>
        <v>2</v>
      </c>
      <c r="AF398" s="29">
        <v>1</v>
      </c>
      <c r="AG398" s="29"/>
      <c r="AH398" s="530"/>
      <c r="AI398" s="294"/>
    </row>
    <row r="399" spans="1:35" x14ac:dyDescent="0.2">
      <c r="A399" s="294"/>
      <c r="B399" s="941"/>
      <c r="C399" s="65">
        <v>2</v>
      </c>
      <c r="D399" s="21" t="s">
        <v>645</v>
      </c>
      <c r="E399" s="21" t="s">
        <v>646</v>
      </c>
      <c r="F399" s="21" t="s">
        <v>1035</v>
      </c>
      <c r="G399" s="21" t="s">
        <v>409</v>
      </c>
      <c r="H399" s="22" t="str">
        <f t="shared" si="194"/>
        <v>NUMBER OF EMPLOYEES</v>
      </c>
      <c r="I399" s="22" t="str">
        <f>VLOOKUP($G399,TableInputsData[],7,FALSE)</f>
        <v>EFF8</v>
      </c>
      <c r="J399" s="29"/>
      <c r="K399" s="29"/>
      <c r="L399" s="101"/>
      <c r="M399" s="116"/>
      <c r="N399" s="852"/>
      <c r="O399" s="53">
        <f t="shared" si="195"/>
        <v>0</v>
      </c>
      <c r="P399" s="53">
        <f t="shared" si="195"/>
        <v>0</v>
      </c>
      <c r="Q399" s="53">
        <f t="shared" si="195"/>
        <v>0</v>
      </c>
      <c r="R399" s="53">
        <f t="shared" si="195"/>
        <v>0</v>
      </c>
      <c r="S399" s="53">
        <f t="shared" si="195"/>
        <v>0</v>
      </c>
      <c r="T399" s="53">
        <f t="shared" si="195"/>
        <v>0</v>
      </c>
      <c r="U399" s="53">
        <f t="shared" si="195"/>
        <v>0</v>
      </c>
      <c r="V399" s="53">
        <f t="shared" si="195"/>
        <v>0</v>
      </c>
      <c r="W399" s="53">
        <f t="shared" si="195"/>
        <v>0</v>
      </c>
      <c r="X399" s="53">
        <f t="shared" si="195"/>
        <v>0</v>
      </c>
      <c r="Y399" s="53"/>
      <c r="Z399" s="21" t="str">
        <f>VLOOKUP($D399,TableInputsData[],ReadMe!$M$3,FALSE)&amp;"  |  "&amp;VLOOKUP($E399,TableInputsData[],ReadMe!$M$3,FALSE)&amp;"  |  "&amp;VLOOKUP($G399,TableInputsData[],ReadMe!$M$3,FALSE)&amp;IF(AF399=1,"  |  "&amp;VLOOKUP($H399,TableInputsData[],ReadMe!$M$3,FALSE),"")</f>
        <v>DEPENSES OPERATIONNELLES  |  SALAIRES DE PERSONNEL  |  EFF_CAT08  |  NOMBRE D'EMPLOYÉ(E)S</v>
      </c>
      <c r="AA399" s="21"/>
      <c r="AB399" s="29">
        <v>1</v>
      </c>
      <c r="AC399" s="29">
        <v>2</v>
      </c>
      <c r="AD399" s="29"/>
      <c r="AE399" s="29" t="str">
        <f t="shared" si="196"/>
        <v/>
      </c>
      <c r="AF399" s="29">
        <v>1</v>
      </c>
      <c r="AG399" s="29"/>
      <c r="AH399" s="530"/>
      <c r="AI399" s="294"/>
    </row>
    <row r="400" spans="1:35" x14ac:dyDescent="0.2">
      <c r="A400" s="294"/>
      <c r="B400" s="941"/>
      <c r="C400" s="65">
        <v>2</v>
      </c>
      <c r="D400" s="21" t="s">
        <v>645</v>
      </c>
      <c r="E400" s="21" t="s">
        <v>646</v>
      </c>
      <c r="F400" s="21" t="s">
        <v>1035</v>
      </c>
      <c r="G400" s="21" t="s">
        <v>410</v>
      </c>
      <c r="H400" s="22" t="str">
        <f t="shared" si="194"/>
        <v>NUMBER OF EMPLOYEES</v>
      </c>
      <c r="I400" s="22" t="str">
        <f>VLOOKUP($G400,TableInputsData[],7,FALSE)</f>
        <v>EFF9</v>
      </c>
      <c r="J400" s="29"/>
      <c r="K400" s="29"/>
      <c r="L400" s="101"/>
      <c r="M400" s="116"/>
      <c r="N400" s="852"/>
      <c r="O400" s="53">
        <f t="shared" si="195"/>
        <v>0</v>
      </c>
      <c r="P400" s="53">
        <f t="shared" si="195"/>
        <v>0</v>
      </c>
      <c r="Q400" s="53">
        <f t="shared" si="195"/>
        <v>0</v>
      </c>
      <c r="R400" s="53">
        <f t="shared" si="195"/>
        <v>0</v>
      </c>
      <c r="S400" s="53">
        <f t="shared" si="195"/>
        <v>0</v>
      </c>
      <c r="T400" s="53">
        <f t="shared" si="195"/>
        <v>0</v>
      </c>
      <c r="U400" s="53">
        <f t="shared" si="195"/>
        <v>0</v>
      </c>
      <c r="V400" s="53">
        <f t="shared" si="195"/>
        <v>0</v>
      </c>
      <c r="W400" s="53">
        <f t="shared" si="195"/>
        <v>0</v>
      </c>
      <c r="X400" s="53">
        <f t="shared" si="195"/>
        <v>0</v>
      </c>
      <c r="Y400" s="53"/>
      <c r="Z400" s="21" t="str">
        <f>VLOOKUP($D400,TableInputsData[],ReadMe!$M$3,FALSE)&amp;"  |  "&amp;VLOOKUP($E400,TableInputsData[],ReadMe!$M$3,FALSE)&amp;"  |  "&amp;VLOOKUP($G400,TableInputsData[],ReadMe!$M$3,FALSE)&amp;IF(AF400=1,"  |  "&amp;VLOOKUP($H400,TableInputsData[],ReadMe!$M$3,FALSE),"")</f>
        <v>DEPENSES OPERATIONNELLES  |  SALAIRES DE PERSONNEL  |  EFF_CAT09  |  NOMBRE D'EMPLOYÉ(E)S</v>
      </c>
      <c r="AA400" s="21"/>
      <c r="AB400" s="29">
        <v>1</v>
      </c>
      <c r="AC400" s="29">
        <v>2</v>
      </c>
      <c r="AD400" s="29"/>
      <c r="AE400" s="29" t="str">
        <f t="shared" si="196"/>
        <v/>
      </c>
      <c r="AF400" s="29">
        <v>1</v>
      </c>
      <c r="AG400" s="29"/>
      <c r="AH400" s="530"/>
      <c r="AI400" s="294"/>
    </row>
    <row r="401" spans="1:35" x14ac:dyDescent="0.2">
      <c r="A401" s="294"/>
      <c r="B401" s="941"/>
      <c r="C401" s="85">
        <v>2</v>
      </c>
      <c r="D401" s="42" t="s">
        <v>645</v>
      </c>
      <c r="E401" s="42" t="s">
        <v>646</v>
      </c>
      <c r="F401" s="42" t="s">
        <v>1035</v>
      </c>
      <c r="G401" s="42" t="s">
        <v>411</v>
      </c>
      <c r="H401" s="43" t="str">
        <f t="shared" si="194"/>
        <v>NUMBER OF EMPLOYEES</v>
      </c>
      <c r="I401" s="43" t="str">
        <f>VLOOKUP($G401,TableInputsData[],7,FALSE)</f>
        <v>EFF10</v>
      </c>
      <c r="J401" s="44"/>
      <c r="K401" s="44"/>
      <c r="L401" s="107"/>
      <c r="M401" s="123"/>
      <c r="N401" s="853"/>
      <c r="O401" s="373">
        <f t="shared" si="195"/>
        <v>0</v>
      </c>
      <c r="P401" s="373">
        <f t="shared" si="195"/>
        <v>0</v>
      </c>
      <c r="Q401" s="373">
        <f t="shared" si="195"/>
        <v>0</v>
      </c>
      <c r="R401" s="373">
        <f t="shared" si="195"/>
        <v>0</v>
      </c>
      <c r="S401" s="373">
        <f t="shared" si="195"/>
        <v>0</v>
      </c>
      <c r="T401" s="373">
        <f t="shared" si="195"/>
        <v>0</v>
      </c>
      <c r="U401" s="373">
        <f t="shared" si="195"/>
        <v>0</v>
      </c>
      <c r="V401" s="373">
        <f t="shared" si="195"/>
        <v>0</v>
      </c>
      <c r="W401" s="373">
        <f t="shared" si="195"/>
        <v>0</v>
      </c>
      <c r="X401" s="373">
        <f t="shared" si="195"/>
        <v>0</v>
      </c>
      <c r="Y401" s="373"/>
      <c r="Z401" s="42" t="str">
        <f>VLOOKUP($D401,TableInputsData[],ReadMe!$M$3,FALSE)&amp;"  |  "&amp;VLOOKUP($E401,TableInputsData[],ReadMe!$M$3,FALSE)&amp;"  |  "&amp;VLOOKUP($G401,TableInputsData[],ReadMe!$M$3,FALSE)&amp;IF(AF401=1,"  |  "&amp;VLOOKUP($H401,TableInputsData[],ReadMe!$M$3,FALSE),"")</f>
        <v>DEPENSES OPERATIONNELLES  |  SALAIRES DE PERSONNEL  |  EFF_CAT10  |  NOMBRE D'EMPLOYÉ(E)S</v>
      </c>
      <c r="AA401" s="42"/>
      <c r="AB401" s="44">
        <v>1</v>
      </c>
      <c r="AC401" s="44">
        <v>2</v>
      </c>
      <c r="AD401" s="44"/>
      <c r="AE401" s="44" t="str">
        <f t="shared" si="196"/>
        <v/>
      </c>
      <c r="AF401" s="44">
        <v>1</v>
      </c>
      <c r="AG401" s="44"/>
      <c r="AH401" s="532"/>
      <c r="AI401" s="294"/>
    </row>
    <row r="402" spans="1:35" x14ac:dyDescent="0.2">
      <c r="A402" s="294"/>
      <c r="B402" s="941"/>
      <c r="C402" s="64">
        <v>2</v>
      </c>
      <c r="D402" s="19" t="s">
        <v>645</v>
      </c>
      <c r="E402" s="19" t="s">
        <v>646</v>
      </c>
      <c r="F402" s="19" t="s">
        <v>1035</v>
      </c>
      <c r="G402" s="19" t="s">
        <v>753</v>
      </c>
      <c r="H402" s="20" t="str">
        <f>H401</f>
        <v>NUMBER OF EMPLOYEES</v>
      </c>
      <c r="I402" s="20" t="s">
        <v>29</v>
      </c>
      <c r="J402" s="28"/>
      <c r="K402" s="28"/>
      <c r="L402" s="100"/>
      <c r="M402" s="115"/>
      <c r="N402" s="851"/>
      <c r="O402" s="54">
        <f>SUM(O392:O401)</f>
        <v>0</v>
      </c>
      <c r="P402" s="54">
        <f t="shared" ref="P402:X402" si="197">SUM(P392:P401)</f>
        <v>0</v>
      </c>
      <c r="Q402" s="54">
        <f t="shared" si="197"/>
        <v>0</v>
      </c>
      <c r="R402" s="54">
        <f t="shared" si="197"/>
        <v>0</v>
      </c>
      <c r="S402" s="54">
        <f t="shared" si="197"/>
        <v>0</v>
      </c>
      <c r="T402" s="54">
        <f t="shared" si="197"/>
        <v>0</v>
      </c>
      <c r="U402" s="54">
        <f t="shared" si="197"/>
        <v>0</v>
      </c>
      <c r="V402" s="54">
        <f t="shared" si="197"/>
        <v>0</v>
      </c>
      <c r="W402" s="54">
        <f t="shared" si="197"/>
        <v>0</v>
      </c>
      <c r="X402" s="54">
        <f t="shared" si="197"/>
        <v>0</v>
      </c>
      <c r="Y402" s="54"/>
      <c r="Z402" s="19" t="str">
        <f>VLOOKUP($D402,TableInputsData[],ReadMe!$M$3,FALSE)&amp;"  |  "&amp;VLOOKUP($E402,TableInputsData[],ReadMe!$M$3,FALSE)&amp;"  |  "&amp;VLOOKUP($G402,TableInputsData[],ReadMe!$M$3,FALSE)&amp;IF(AF402=1,"  |  "&amp;VLOOKUP($H402,TableInputsData[],ReadMe!$M$3,FALSE),"")</f>
        <v>DEPENSES OPERATIONNELLES  |  SALAIRES DE PERSONNEL  |  EFFECTIF_CAT  |  NOMBRE D'EMPLOYÉ(E)S</v>
      </c>
      <c r="AA402" s="19"/>
      <c r="AB402" s="28">
        <v>1</v>
      </c>
      <c r="AC402" s="28"/>
      <c r="AD402" s="28"/>
      <c r="AE402" s="28"/>
      <c r="AF402" s="28">
        <v>1</v>
      </c>
      <c r="AG402" s="28"/>
      <c r="AH402" s="526"/>
      <c r="AI402" s="294"/>
    </row>
    <row r="403" spans="1:35" ht="14" x14ac:dyDescent="0.2">
      <c r="A403" s="294"/>
      <c r="B403" s="941"/>
      <c r="C403" s="68">
        <v>2</v>
      </c>
      <c r="D403" s="23" t="s">
        <v>645</v>
      </c>
      <c r="E403" s="23" t="s">
        <v>646</v>
      </c>
      <c r="F403" s="23" t="s">
        <v>112</v>
      </c>
      <c r="G403" s="23" t="s">
        <v>753</v>
      </c>
      <c r="H403" s="45" t="s">
        <v>621</v>
      </c>
      <c r="I403" s="24"/>
      <c r="J403" s="30"/>
      <c r="K403" s="30"/>
      <c r="L403" s="102"/>
      <c r="M403" s="117"/>
      <c r="N403" s="856"/>
      <c r="O403" s="46"/>
      <c r="P403" s="46" t="str">
        <f>IF(O402=0,"",P402/O402)</f>
        <v/>
      </c>
      <c r="Q403" s="46"/>
      <c r="R403" s="46"/>
      <c r="S403" s="46" t="str">
        <f>IF(P402=0,"",S402/P402)</f>
        <v/>
      </c>
      <c r="T403" s="46" t="str">
        <f>IF(S402=0,"",T402/S402)</f>
        <v/>
      </c>
      <c r="U403" s="46" t="str">
        <f>IF(T402=0,"",U402/T402)</f>
        <v/>
      </c>
      <c r="V403" s="46" t="str">
        <f>IF(U402=0,"",V402/U402)</f>
        <v/>
      </c>
      <c r="W403" s="46" t="str">
        <f>IF(V402=0,"",W402/V402)</f>
        <v/>
      </c>
      <c r="X403" s="46" t="str">
        <f>IF(W402=0,"",X402/W402)</f>
        <v/>
      </c>
      <c r="Y403" s="600"/>
      <c r="Z403" s="23" t="str">
        <f>VLOOKUP($D403,TableInputsData[],ReadMe!$M$3,FALSE)&amp;"  |  "&amp;VLOOKUP($E403,TableInputsData[],ReadMe!$M$3,FALSE)&amp;"  |  "&amp;VLOOKUP($G403,TableInputsData[],ReadMe!$M$3,FALSE)&amp;IF(AF403=1,"  |  "&amp;VLOOKUP($H403,TableInputsData[],ReadMe!$M$3,FALSE),"")</f>
        <v>DEPENSES OPERATIONNELLES  |  SALAIRES DE PERSONNEL  |  EFFECTIF_CAT  |  % VARIATION D'UNE ANNEE SUR L'AUTRE</v>
      </c>
      <c r="AA403" s="23"/>
      <c r="AB403" s="30">
        <v>1</v>
      </c>
      <c r="AC403" s="30"/>
      <c r="AD403" s="30"/>
      <c r="AE403" s="30"/>
      <c r="AF403" s="30">
        <v>1</v>
      </c>
      <c r="AG403" s="30"/>
      <c r="AH403" s="531"/>
      <c r="AI403" s="294"/>
    </row>
    <row r="404" spans="1:35" x14ac:dyDescent="0.2">
      <c r="A404" s="294"/>
      <c r="B404" s="941"/>
      <c r="C404" s="71">
        <v>2</v>
      </c>
      <c r="D404" s="8"/>
      <c r="E404" s="8"/>
      <c r="F404" s="8"/>
      <c r="G404" s="8"/>
      <c r="H404" s="9"/>
      <c r="I404" s="9"/>
      <c r="J404" s="87"/>
      <c r="K404" s="87"/>
      <c r="L404" s="98"/>
      <c r="M404" s="113"/>
      <c r="N404" s="854"/>
      <c r="O404" s="10"/>
      <c r="P404" s="10"/>
      <c r="Q404" s="10"/>
      <c r="R404" s="10"/>
      <c r="S404" s="10"/>
      <c r="T404" s="10"/>
      <c r="U404" s="10"/>
      <c r="V404" s="10"/>
      <c r="W404" s="10"/>
      <c r="X404" s="10"/>
      <c r="Y404" s="10"/>
      <c r="Z404" s="8"/>
      <c r="AA404" s="8"/>
      <c r="AB404" s="35"/>
      <c r="AC404" s="35"/>
      <c r="AD404" s="35"/>
      <c r="AE404" s="87"/>
      <c r="AF404" s="35"/>
      <c r="AG404" s="35"/>
      <c r="AH404" s="534"/>
      <c r="AI404" s="294"/>
    </row>
    <row r="405" spans="1:35" x14ac:dyDescent="0.2">
      <c r="A405" s="294"/>
      <c r="B405" s="942"/>
      <c r="C405" s="73">
        <v>2</v>
      </c>
      <c r="D405" s="55"/>
      <c r="E405" s="55"/>
      <c r="F405" s="55"/>
      <c r="G405" s="55"/>
      <c r="H405" s="56"/>
      <c r="I405" s="56"/>
      <c r="J405" s="92"/>
      <c r="K405" s="92"/>
      <c r="L405" s="106"/>
      <c r="M405" s="122"/>
      <c r="N405" s="858"/>
      <c r="O405" s="57"/>
      <c r="P405" s="57"/>
      <c r="Q405" s="57"/>
      <c r="R405" s="57"/>
      <c r="S405" s="57"/>
      <c r="T405" s="57"/>
      <c r="U405" s="57"/>
      <c r="V405" s="57"/>
      <c r="W405" s="57"/>
      <c r="X405" s="57"/>
      <c r="Y405" s="57"/>
      <c r="Z405" s="55"/>
      <c r="AA405" s="55"/>
      <c r="AB405" s="58"/>
      <c r="AC405" s="58"/>
      <c r="AD405" s="58"/>
      <c r="AE405" s="92"/>
      <c r="AF405" s="58"/>
      <c r="AG405" s="58"/>
      <c r="AH405" s="538"/>
      <c r="AI405" s="294"/>
    </row>
    <row r="406" spans="1:35" ht="15" customHeight="1" x14ac:dyDescent="0.2">
      <c r="A406" s="294"/>
      <c r="B406" s="939" t="s">
        <v>1492</v>
      </c>
      <c r="C406" s="73">
        <v>3</v>
      </c>
      <c r="D406" s="55"/>
      <c r="E406" s="55"/>
      <c r="F406" s="55"/>
      <c r="G406" s="55"/>
      <c r="H406" s="56"/>
      <c r="I406" s="56"/>
      <c r="J406" s="92"/>
      <c r="K406" s="92"/>
      <c r="L406" s="106"/>
      <c r="M406" s="122"/>
      <c r="N406" s="858"/>
      <c r="O406" s="57"/>
      <c r="P406" s="57"/>
      <c r="Q406" s="57"/>
      <c r="R406" s="57"/>
      <c r="S406" s="57"/>
      <c r="T406" s="57"/>
      <c r="U406" s="57"/>
      <c r="V406" s="57"/>
      <c r="W406" s="57"/>
      <c r="X406" s="57"/>
      <c r="Y406" s="57"/>
      <c r="Z406" s="55"/>
      <c r="AA406" s="55"/>
      <c r="AB406" s="58"/>
      <c r="AC406" s="58"/>
      <c r="AD406" s="58"/>
      <c r="AE406" s="92"/>
      <c r="AF406" s="58"/>
      <c r="AG406" s="58"/>
      <c r="AH406" s="538"/>
      <c r="AI406" s="294"/>
    </row>
    <row r="407" spans="1:35" x14ac:dyDescent="0.2">
      <c r="A407" s="294"/>
      <c r="B407" s="922"/>
      <c r="C407" s="71">
        <v>3</v>
      </c>
      <c r="D407" s="8"/>
      <c r="E407" s="8"/>
      <c r="F407" s="8"/>
      <c r="G407" s="8"/>
      <c r="H407" s="9"/>
      <c r="I407" s="9"/>
      <c r="J407" s="87"/>
      <c r="K407" s="87"/>
      <c r="L407" s="98"/>
      <c r="M407" s="113"/>
      <c r="N407" s="854"/>
      <c r="O407" s="10"/>
      <c r="P407" s="10"/>
      <c r="Q407" s="10"/>
      <c r="R407" s="10"/>
      <c r="S407" s="10"/>
      <c r="T407" s="10"/>
      <c r="U407" s="10"/>
      <c r="V407" s="10"/>
      <c r="W407" s="10"/>
      <c r="X407" s="10"/>
      <c r="Y407" s="10"/>
      <c r="Z407" s="8"/>
      <c r="AA407" s="8"/>
      <c r="AB407" s="35"/>
      <c r="AC407" s="35"/>
      <c r="AD407" s="35"/>
      <c r="AE407" s="87"/>
      <c r="AF407" s="35"/>
      <c r="AG407" s="35"/>
      <c r="AH407" s="534"/>
      <c r="AI407" s="294"/>
    </row>
    <row r="408" spans="1:35" ht="12.75" customHeight="1" x14ac:dyDescent="0.2">
      <c r="A408" s="294"/>
      <c r="B408" s="922"/>
      <c r="C408" s="66">
        <v>3</v>
      </c>
      <c r="D408" s="3" t="s">
        <v>762</v>
      </c>
      <c r="E408" s="3" t="s">
        <v>755</v>
      </c>
      <c r="F408" s="3" t="s">
        <v>21</v>
      </c>
      <c r="G408" s="3" t="s">
        <v>774</v>
      </c>
      <c r="H408" s="5" t="s">
        <v>768</v>
      </c>
      <c r="I408" s="502"/>
      <c r="J408" s="26"/>
      <c r="K408" s="508">
        <v>2020</v>
      </c>
      <c r="L408" s="509">
        <v>0</v>
      </c>
      <c r="M408" s="510">
        <v>0.25</v>
      </c>
      <c r="N408" s="859">
        <v>0</v>
      </c>
      <c r="O408" s="4">
        <f>IF($K408=O$5,$L408,0)</f>
        <v>0</v>
      </c>
      <c r="P408" s="4">
        <f>IF($K408=P$5,$L408,0)</f>
        <v>0</v>
      </c>
      <c r="Q408" s="127"/>
      <c r="R408" s="60"/>
      <c r="S408" s="4">
        <f t="shared" ref="S408:X423" si="198">IF($K408=S$5,$L408,0)</f>
        <v>0</v>
      </c>
      <c r="T408" s="4">
        <f t="shared" si="198"/>
        <v>0</v>
      </c>
      <c r="U408" s="4">
        <f t="shared" si="198"/>
        <v>0</v>
      </c>
      <c r="V408" s="4">
        <f t="shared" si="198"/>
        <v>0</v>
      </c>
      <c r="W408" s="4">
        <f t="shared" si="198"/>
        <v>0</v>
      </c>
      <c r="X408" s="4">
        <f t="shared" si="198"/>
        <v>0</v>
      </c>
      <c r="Y408" s="604"/>
      <c r="Z408" s="3" t="str">
        <f>VLOOKUP($D408,TableInputsData[],ReadMe!$M$3,FALSE)&amp;"  |  "&amp;VLOOKUP($E408,TableInputsData[],ReadMe!$M$3,FALSE)&amp;"  |  "&amp;VLOOKUP($H408,TableInputsData[],ReadMe!$M$3,FALSE)</f>
        <v>ACTIFS MATERIEL IMMOBILISES  |  INVESTISSEMENTS  |  MATERIEL DE BUREAU</v>
      </c>
      <c r="AA408" s="3"/>
      <c r="AB408" s="34">
        <f>IF(L408+SUM(O408:X408)=0,0,1)</f>
        <v>0</v>
      </c>
      <c r="AC408" s="34"/>
      <c r="AD408" s="34"/>
      <c r="AE408" s="26"/>
      <c r="AF408" s="34">
        <v>1</v>
      </c>
      <c r="AG408" s="34"/>
      <c r="AH408" s="535"/>
      <c r="AI408" s="294"/>
    </row>
    <row r="409" spans="1:35" x14ac:dyDescent="0.2">
      <c r="A409" s="294"/>
      <c r="B409" s="922"/>
      <c r="C409" s="66">
        <v>3</v>
      </c>
      <c r="D409" s="3" t="s">
        <v>762</v>
      </c>
      <c r="E409" s="3" t="s">
        <v>755</v>
      </c>
      <c r="F409" s="3" t="s">
        <v>21</v>
      </c>
      <c r="G409" s="3" t="s">
        <v>775</v>
      </c>
      <c r="H409" s="5" t="s">
        <v>768</v>
      </c>
      <c r="I409" s="502"/>
      <c r="J409" s="26"/>
      <c r="K409" s="508">
        <v>2021</v>
      </c>
      <c r="L409" s="509">
        <v>0</v>
      </c>
      <c r="M409" s="510">
        <v>0.25</v>
      </c>
      <c r="N409" s="859">
        <v>0</v>
      </c>
      <c r="O409" s="4">
        <f t="shared" ref="O409:P447" si="199">IF($K409=O$5,$L409,0)</f>
        <v>0</v>
      </c>
      <c r="P409" s="4">
        <f t="shared" si="199"/>
        <v>0</v>
      </c>
      <c r="Q409" s="127"/>
      <c r="R409" s="60"/>
      <c r="S409" s="4">
        <f t="shared" si="198"/>
        <v>0</v>
      </c>
      <c r="T409" s="4">
        <f t="shared" si="198"/>
        <v>0</v>
      </c>
      <c r="U409" s="4">
        <f t="shared" si="198"/>
        <v>0</v>
      </c>
      <c r="V409" s="4">
        <f t="shared" si="198"/>
        <v>0</v>
      </c>
      <c r="W409" s="4">
        <f t="shared" si="198"/>
        <v>0</v>
      </c>
      <c r="X409" s="4">
        <f t="shared" si="198"/>
        <v>0</v>
      </c>
      <c r="Y409" s="604"/>
      <c r="Z409" s="3" t="str">
        <f>VLOOKUP($D409,TableInputsData[],ReadMe!$M$3,FALSE)&amp;"  |  "&amp;VLOOKUP($E409,TableInputsData[],ReadMe!$M$3,FALSE)&amp;"  |  "&amp;VLOOKUP($H409,TableInputsData[],ReadMe!$M$3,FALSE)</f>
        <v>ACTIFS MATERIEL IMMOBILISES  |  INVESTISSEMENTS  |  MATERIEL DE BUREAU</v>
      </c>
      <c r="AA409" s="3"/>
      <c r="AB409" s="34">
        <f t="shared" ref="AB409:AB447" si="200">IF(L409+SUM(O409:X409)=0,0,1)</f>
        <v>0</v>
      </c>
      <c r="AC409" s="34"/>
      <c r="AD409" s="34"/>
      <c r="AE409" s="26"/>
      <c r="AF409" s="34">
        <v>1</v>
      </c>
      <c r="AG409" s="34"/>
      <c r="AH409" s="535"/>
      <c r="AI409" s="294"/>
    </row>
    <row r="410" spans="1:35" ht="12.75" customHeight="1" x14ac:dyDescent="0.2">
      <c r="A410" s="294"/>
      <c r="B410" s="922"/>
      <c r="C410" s="66">
        <v>3</v>
      </c>
      <c r="D410" s="3" t="s">
        <v>762</v>
      </c>
      <c r="E410" s="3" t="s">
        <v>755</v>
      </c>
      <c r="F410" s="3" t="s">
        <v>21</v>
      </c>
      <c r="G410" s="3" t="s">
        <v>776</v>
      </c>
      <c r="H410" s="5" t="s">
        <v>768</v>
      </c>
      <c r="I410" s="502"/>
      <c r="J410" s="26"/>
      <c r="K410" s="508">
        <v>2022</v>
      </c>
      <c r="L410" s="509">
        <v>0</v>
      </c>
      <c r="M410" s="510">
        <v>0.25</v>
      </c>
      <c r="N410" s="859">
        <v>0</v>
      </c>
      <c r="O410" s="4">
        <f t="shared" si="199"/>
        <v>0</v>
      </c>
      <c r="P410" s="4">
        <f t="shared" si="199"/>
        <v>0</v>
      </c>
      <c r="Q410" s="127"/>
      <c r="R410" s="60"/>
      <c r="S410" s="4">
        <f t="shared" si="198"/>
        <v>0</v>
      </c>
      <c r="T410" s="4">
        <f t="shared" si="198"/>
        <v>0</v>
      </c>
      <c r="U410" s="4">
        <f t="shared" si="198"/>
        <v>0</v>
      </c>
      <c r="V410" s="4">
        <f t="shared" si="198"/>
        <v>0</v>
      </c>
      <c r="W410" s="4">
        <f t="shared" si="198"/>
        <v>0</v>
      </c>
      <c r="X410" s="4">
        <f t="shared" si="198"/>
        <v>0</v>
      </c>
      <c r="Y410" s="604"/>
      <c r="Z410" s="3" t="str">
        <f>VLOOKUP($D410,TableInputsData[],ReadMe!$M$3,FALSE)&amp;"  |  "&amp;VLOOKUP($E410,TableInputsData[],ReadMe!$M$3,FALSE)&amp;"  |  "&amp;VLOOKUP($H410,TableInputsData[],ReadMe!$M$3,FALSE)</f>
        <v>ACTIFS MATERIEL IMMOBILISES  |  INVESTISSEMENTS  |  MATERIEL DE BUREAU</v>
      </c>
      <c r="AA410" s="3"/>
      <c r="AB410" s="34">
        <f t="shared" si="200"/>
        <v>0</v>
      </c>
      <c r="AC410" s="34"/>
      <c r="AD410" s="34"/>
      <c r="AE410" s="26"/>
      <c r="AF410" s="34">
        <v>1</v>
      </c>
      <c r="AG410" s="34"/>
      <c r="AH410" s="535"/>
      <c r="AI410" s="294"/>
    </row>
    <row r="411" spans="1:35" x14ac:dyDescent="0.2">
      <c r="A411" s="294"/>
      <c r="B411" s="922"/>
      <c r="C411" s="66">
        <v>3</v>
      </c>
      <c r="D411" s="3" t="s">
        <v>762</v>
      </c>
      <c r="E411" s="3" t="s">
        <v>755</v>
      </c>
      <c r="F411" s="3" t="s">
        <v>21</v>
      </c>
      <c r="G411" s="3" t="s">
        <v>777</v>
      </c>
      <c r="H411" s="5" t="s">
        <v>768</v>
      </c>
      <c r="I411" s="502"/>
      <c r="J411" s="26"/>
      <c r="K411" s="508">
        <v>2023</v>
      </c>
      <c r="L411" s="509">
        <v>0</v>
      </c>
      <c r="M411" s="510">
        <v>0.25</v>
      </c>
      <c r="N411" s="859">
        <v>0</v>
      </c>
      <c r="O411" s="4">
        <f t="shared" si="199"/>
        <v>0</v>
      </c>
      <c r="P411" s="4">
        <f t="shared" si="199"/>
        <v>0</v>
      </c>
      <c r="Q411" s="127"/>
      <c r="R411" s="60"/>
      <c r="S411" s="4">
        <f t="shared" si="198"/>
        <v>0</v>
      </c>
      <c r="T411" s="4">
        <f t="shared" si="198"/>
        <v>0</v>
      </c>
      <c r="U411" s="4">
        <f t="shared" si="198"/>
        <v>0</v>
      </c>
      <c r="V411" s="4">
        <f t="shared" si="198"/>
        <v>0</v>
      </c>
      <c r="W411" s="4">
        <f t="shared" si="198"/>
        <v>0</v>
      </c>
      <c r="X411" s="4">
        <f t="shared" si="198"/>
        <v>0</v>
      </c>
      <c r="Y411" s="604"/>
      <c r="Z411" s="3" t="str">
        <f>VLOOKUP($D411,TableInputsData[],ReadMe!$M$3,FALSE)&amp;"  |  "&amp;VLOOKUP($E411,TableInputsData[],ReadMe!$M$3,FALSE)&amp;"  |  "&amp;VLOOKUP($H411,TableInputsData[],ReadMe!$M$3,FALSE)</f>
        <v>ACTIFS MATERIEL IMMOBILISES  |  INVESTISSEMENTS  |  MATERIEL DE BUREAU</v>
      </c>
      <c r="AA411" s="3"/>
      <c r="AB411" s="34">
        <f t="shared" si="200"/>
        <v>0</v>
      </c>
      <c r="AC411" s="34"/>
      <c r="AD411" s="34"/>
      <c r="AE411" s="26"/>
      <c r="AF411" s="34">
        <v>1</v>
      </c>
      <c r="AG411" s="34"/>
      <c r="AH411" s="535"/>
      <c r="AI411" s="294"/>
    </row>
    <row r="412" spans="1:35" ht="12.75" customHeight="1" x14ac:dyDescent="0.2">
      <c r="A412" s="294"/>
      <c r="B412" s="922"/>
      <c r="C412" s="66">
        <v>3</v>
      </c>
      <c r="D412" s="3" t="s">
        <v>762</v>
      </c>
      <c r="E412" s="3" t="s">
        <v>755</v>
      </c>
      <c r="F412" s="3" t="s">
        <v>21</v>
      </c>
      <c r="G412" s="3" t="s">
        <v>778</v>
      </c>
      <c r="H412" s="5" t="s">
        <v>768</v>
      </c>
      <c r="I412" s="502"/>
      <c r="J412" s="26"/>
      <c r="K412" s="508">
        <v>2024</v>
      </c>
      <c r="L412" s="509">
        <v>0</v>
      </c>
      <c r="M412" s="510">
        <v>0.25</v>
      </c>
      <c r="N412" s="859">
        <v>0</v>
      </c>
      <c r="O412" s="4">
        <f t="shared" si="199"/>
        <v>0</v>
      </c>
      <c r="P412" s="4">
        <f t="shared" si="199"/>
        <v>0</v>
      </c>
      <c r="Q412" s="127"/>
      <c r="R412" s="60"/>
      <c r="S412" s="4">
        <f t="shared" si="198"/>
        <v>0</v>
      </c>
      <c r="T412" s="4">
        <f t="shared" si="198"/>
        <v>0</v>
      </c>
      <c r="U412" s="4">
        <f t="shared" si="198"/>
        <v>0</v>
      </c>
      <c r="V412" s="4">
        <f t="shared" si="198"/>
        <v>0</v>
      </c>
      <c r="W412" s="4">
        <f t="shared" si="198"/>
        <v>0</v>
      </c>
      <c r="X412" s="4">
        <f t="shared" si="198"/>
        <v>0</v>
      </c>
      <c r="Y412" s="604"/>
      <c r="Z412" s="3" t="str">
        <f>VLOOKUP($D412,TableInputsData[],ReadMe!$M$3,FALSE)&amp;"  |  "&amp;VLOOKUP($E412,TableInputsData[],ReadMe!$M$3,FALSE)&amp;"  |  "&amp;VLOOKUP($H412,TableInputsData[],ReadMe!$M$3,FALSE)</f>
        <v>ACTIFS MATERIEL IMMOBILISES  |  INVESTISSEMENTS  |  MATERIEL DE BUREAU</v>
      </c>
      <c r="AA412" s="3"/>
      <c r="AB412" s="34">
        <f t="shared" si="200"/>
        <v>0</v>
      </c>
      <c r="AC412" s="34"/>
      <c r="AD412" s="34"/>
      <c r="AE412" s="26"/>
      <c r="AF412" s="34">
        <v>1</v>
      </c>
      <c r="AG412" s="34"/>
      <c r="AH412" s="535"/>
      <c r="AI412" s="294"/>
    </row>
    <row r="413" spans="1:35" x14ac:dyDescent="0.2">
      <c r="A413" s="294"/>
      <c r="B413" s="922"/>
      <c r="C413" s="66">
        <v>3</v>
      </c>
      <c r="D413" s="3" t="s">
        <v>762</v>
      </c>
      <c r="E413" s="3" t="s">
        <v>755</v>
      </c>
      <c r="F413" s="3" t="s">
        <v>21</v>
      </c>
      <c r="G413" s="3" t="s">
        <v>779</v>
      </c>
      <c r="H413" s="5" t="s">
        <v>768</v>
      </c>
      <c r="I413" s="502"/>
      <c r="J413" s="26"/>
      <c r="K413" s="508">
        <v>2025</v>
      </c>
      <c r="L413" s="509">
        <v>0</v>
      </c>
      <c r="M413" s="510">
        <v>0.25</v>
      </c>
      <c r="N413" s="859">
        <v>0</v>
      </c>
      <c r="O413" s="4">
        <f t="shared" si="199"/>
        <v>0</v>
      </c>
      <c r="P413" s="4">
        <f t="shared" si="199"/>
        <v>0</v>
      </c>
      <c r="Q413" s="127"/>
      <c r="R413" s="60"/>
      <c r="S413" s="4">
        <f t="shared" si="198"/>
        <v>0</v>
      </c>
      <c r="T413" s="4">
        <f t="shared" si="198"/>
        <v>0</v>
      </c>
      <c r="U413" s="4">
        <f t="shared" si="198"/>
        <v>0</v>
      </c>
      <c r="V413" s="4">
        <f t="shared" si="198"/>
        <v>0</v>
      </c>
      <c r="W413" s="4">
        <f t="shared" si="198"/>
        <v>0</v>
      </c>
      <c r="X413" s="4">
        <f t="shared" si="198"/>
        <v>0</v>
      </c>
      <c r="Y413" s="604"/>
      <c r="Z413" s="3" t="str">
        <f>VLOOKUP($D413,TableInputsData[],ReadMe!$M$3,FALSE)&amp;"  |  "&amp;VLOOKUP($E413,TableInputsData[],ReadMe!$M$3,FALSE)&amp;"  |  "&amp;VLOOKUP($H413,TableInputsData[],ReadMe!$M$3,FALSE)</f>
        <v>ACTIFS MATERIEL IMMOBILISES  |  INVESTISSEMENTS  |  MATERIEL DE BUREAU</v>
      </c>
      <c r="AA413" s="3"/>
      <c r="AB413" s="34">
        <f t="shared" si="200"/>
        <v>0</v>
      </c>
      <c r="AC413" s="34"/>
      <c r="AD413" s="34"/>
      <c r="AE413" s="26"/>
      <c r="AF413" s="34">
        <v>1</v>
      </c>
      <c r="AG413" s="34"/>
      <c r="AH413" s="535"/>
      <c r="AI413" s="294"/>
    </row>
    <row r="414" spans="1:35" ht="12.75" customHeight="1" x14ac:dyDescent="0.2">
      <c r="A414" s="294"/>
      <c r="B414" s="922"/>
      <c r="C414" s="66">
        <v>3</v>
      </c>
      <c r="D414" s="3" t="s">
        <v>762</v>
      </c>
      <c r="E414" s="3" t="s">
        <v>755</v>
      </c>
      <c r="F414" s="3" t="s">
        <v>21</v>
      </c>
      <c r="G414" s="3" t="s">
        <v>780</v>
      </c>
      <c r="H414" s="5" t="s">
        <v>768</v>
      </c>
      <c r="I414" s="502"/>
      <c r="J414" s="26"/>
      <c r="K414" s="508">
        <v>2026</v>
      </c>
      <c r="L414" s="509">
        <v>0</v>
      </c>
      <c r="M414" s="510">
        <v>0.25</v>
      </c>
      <c r="N414" s="859">
        <v>0</v>
      </c>
      <c r="O414" s="4">
        <f t="shared" si="199"/>
        <v>0</v>
      </c>
      <c r="P414" s="4">
        <f t="shared" si="199"/>
        <v>0</v>
      </c>
      <c r="Q414" s="127"/>
      <c r="R414" s="60"/>
      <c r="S414" s="4">
        <f t="shared" si="198"/>
        <v>0</v>
      </c>
      <c r="T414" s="4">
        <f t="shared" si="198"/>
        <v>0</v>
      </c>
      <c r="U414" s="4">
        <f t="shared" si="198"/>
        <v>0</v>
      </c>
      <c r="V414" s="4">
        <f t="shared" si="198"/>
        <v>0</v>
      </c>
      <c r="W414" s="4">
        <f t="shared" si="198"/>
        <v>0</v>
      </c>
      <c r="X414" s="4">
        <f t="shared" si="198"/>
        <v>0</v>
      </c>
      <c r="Y414" s="604"/>
      <c r="Z414" s="3" t="str">
        <f>VLOOKUP($D414,TableInputsData[],ReadMe!$M$3,FALSE)&amp;"  |  "&amp;VLOOKUP($E414,TableInputsData[],ReadMe!$M$3,FALSE)&amp;"  |  "&amp;VLOOKUP($H414,TableInputsData[],ReadMe!$M$3,FALSE)</f>
        <v>ACTIFS MATERIEL IMMOBILISES  |  INVESTISSEMENTS  |  MATERIEL DE BUREAU</v>
      </c>
      <c r="AA414" s="3"/>
      <c r="AB414" s="34">
        <f t="shared" si="200"/>
        <v>0</v>
      </c>
      <c r="AC414" s="34"/>
      <c r="AD414" s="34"/>
      <c r="AE414" s="26"/>
      <c r="AF414" s="34">
        <v>1</v>
      </c>
      <c r="AG414" s="34"/>
      <c r="AH414" s="535"/>
      <c r="AI414" s="294"/>
    </row>
    <row r="415" spans="1:35" x14ac:dyDescent="0.2">
      <c r="A415" s="294"/>
      <c r="B415" s="922"/>
      <c r="C415" s="66">
        <v>3</v>
      </c>
      <c r="D415" s="3" t="s">
        <v>762</v>
      </c>
      <c r="E415" s="3" t="s">
        <v>755</v>
      </c>
      <c r="F415" s="3" t="s">
        <v>21</v>
      </c>
      <c r="G415" s="3" t="s">
        <v>781</v>
      </c>
      <c r="H415" s="5" t="s">
        <v>768</v>
      </c>
      <c r="I415" s="502"/>
      <c r="J415" s="26"/>
      <c r="K415" s="508"/>
      <c r="L415" s="509"/>
      <c r="M415" s="510"/>
      <c r="N415" s="859"/>
      <c r="O415" s="4">
        <f t="shared" si="199"/>
        <v>0</v>
      </c>
      <c r="P415" s="4">
        <f t="shared" si="199"/>
        <v>0</v>
      </c>
      <c r="Q415" s="127"/>
      <c r="R415" s="60"/>
      <c r="S415" s="4">
        <f t="shared" si="198"/>
        <v>0</v>
      </c>
      <c r="T415" s="4">
        <f t="shared" si="198"/>
        <v>0</v>
      </c>
      <c r="U415" s="4">
        <f t="shared" si="198"/>
        <v>0</v>
      </c>
      <c r="V415" s="4">
        <f t="shared" si="198"/>
        <v>0</v>
      </c>
      <c r="W415" s="4">
        <f t="shared" si="198"/>
        <v>0</v>
      </c>
      <c r="X415" s="4">
        <f t="shared" si="198"/>
        <v>0</v>
      </c>
      <c r="Y415" s="604"/>
      <c r="Z415" s="3" t="str">
        <f>VLOOKUP($D415,TableInputsData[],ReadMe!$M$3,FALSE)&amp;"  |  "&amp;VLOOKUP($E415,TableInputsData[],ReadMe!$M$3,FALSE)&amp;"  |  "&amp;VLOOKUP($H415,TableInputsData[],ReadMe!$M$3,FALSE)</f>
        <v>ACTIFS MATERIEL IMMOBILISES  |  INVESTISSEMENTS  |  MATERIEL DE BUREAU</v>
      </c>
      <c r="AA415" s="3"/>
      <c r="AB415" s="34">
        <f t="shared" si="200"/>
        <v>0</v>
      </c>
      <c r="AC415" s="34"/>
      <c r="AD415" s="34"/>
      <c r="AE415" s="26"/>
      <c r="AF415" s="34">
        <v>1</v>
      </c>
      <c r="AG415" s="34"/>
      <c r="AH415" s="535"/>
      <c r="AI415" s="294"/>
    </row>
    <row r="416" spans="1:35" ht="12.75" customHeight="1" x14ac:dyDescent="0.2">
      <c r="A416" s="294"/>
      <c r="B416" s="922"/>
      <c r="C416" s="66">
        <v>3</v>
      </c>
      <c r="D416" s="3" t="s">
        <v>762</v>
      </c>
      <c r="E416" s="3" t="s">
        <v>755</v>
      </c>
      <c r="F416" s="3" t="s">
        <v>21</v>
      </c>
      <c r="G416" s="3" t="s">
        <v>782</v>
      </c>
      <c r="H416" s="5" t="s">
        <v>768</v>
      </c>
      <c r="I416" s="502"/>
      <c r="J416" s="26"/>
      <c r="K416" s="508"/>
      <c r="L416" s="509"/>
      <c r="M416" s="510"/>
      <c r="N416" s="859"/>
      <c r="O416" s="4">
        <f t="shared" si="199"/>
        <v>0</v>
      </c>
      <c r="P416" s="4">
        <f t="shared" si="199"/>
        <v>0</v>
      </c>
      <c r="Q416" s="127"/>
      <c r="R416" s="60"/>
      <c r="S416" s="4">
        <f t="shared" si="198"/>
        <v>0</v>
      </c>
      <c r="T416" s="4">
        <f t="shared" si="198"/>
        <v>0</v>
      </c>
      <c r="U416" s="4">
        <f t="shared" si="198"/>
        <v>0</v>
      </c>
      <c r="V416" s="4">
        <f t="shared" si="198"/>
        <v>0</v>
      </c>
      <c r="W416" s="4">
        <f t="shared" si="198"/>
        <v>0</v>
      </c>
      <c r="X416" s="4">
        <f t="shared" si="198"/>
        <v>0</v>
      </c>
      <c r="Y416" s="604"/>
      <c r="Z416" s="3" t="str">
        <f>VLOOKUP($D416,TableInputsData[],ReadMe!$M$3,FALSE)&amp;"  |  "&amp;VLOOKUP($E416,TableInputsData[],ReadMe!$M$3,FALSE)&amp;"  |  "&amp;VLOOKUP($H416,TableInputsData[],ReadMe!$M$3,FALSE)</f>
        <v>ACTIFS MATERIEL IMMOBILISES  |  INVESTISSEMENTS  |  MATERIEL DE BUREAU</v>
      </c>
      <c r="AA416" s="3"/>
      <c r="AB416" s="34">
        <f t="shared" si="200"/>
        <v>0</v>
      </c>
      <c r="AC416" s="34"/>
      <c r="AD416" s="34"/>
      <c r="AE416" s="26"/>
      <c r="AF416" s="34">
        <v>1</v>
      </c>
      <c r="AG416" s="34"/>
      <c r="AH416" s="535"/>
      <c r="AI416" s="294"/>
    </row>
    <row r="417" spans="1:35" x14ac:dyDescent="0.2">
      <c r="A417" s="294"/>
      <c r="B417" s="922"/>
      <c r="C417" s="66">
        <v>3</v>
      </c>
      <c r="D417" s="3" t="s">
        <v>762</v>
      </c>
      <c r="E417" s="3" t="s">
        <v>755</v>
      </c>
      <c r="F417" s="3" t="s">
        <v>21</v>
      </c>
      <c r="G417" s="3" t="s">
        <v>783</v>
      </c>
      <c r="H417" s="5" t="s">
        <v>768</v>
      </c>
      <c r="I417" s="502"/>
      <c r="J417" s="26"/>
      <c r="K417" s="508"/>
      <c r="L417" s="509"/>
      <c r="M417" s="510"/>
      <c r="N417" s="859"/>
      <c r="O417" s="4">
        <f t="shared" si="199"/>
        <v>0</v>
      </c>
      <c r="P417" s="4">
        <f t="shared" si="199"/>
        <v>0</v>
      </c>
      <c r="Q417" s="127"/>
      <c r="R417" s="60"/>
      <c r="S417" s="4">
        <f t="shared" si="198"/>
        <v>0</v>
      </c>
      <c r="T417" s="4">
        <f t="shared" si="198"/>
        <v>0</v>
      </c>
      <c r="U417" s="4">
        <f t="shared" si="198"/>
        <v>0</v>
      </c>
      <c r="V417" s="4">
        <f t="shared" si="198"/>
        <v>0</v>
      </c>
      <c r="W417" s="4">
        <f t="shared" si="198"/>
        <v>0</v>
      </c>
      <c r="X417" s="4">
        <f t="shared" si="198"/>
        <v>0</v>
      </c>
      <c r="Y417" s="604"/>
      <c r="Z417" s="3" t="str">
        <f>VLOOKUP($D417,TableInputsData[],ReadMe!$M$3,FALSE)&amp;"  |  "&amp;VLOOKUP($E417,TableInputsData[],ReadMe!$M$3,FALSE)&amp;"  |  "&amp;VLOOKUP($H417,TableInputsData[],ReadMe!$M$3,FALSE)</f>
        <v>ACTIFS MATERIEL IMMOBILISES  |  INVESTISSEMENTS  |  MATERIEL DE BUREAU</v>
      </c>
      <c r="AA417" s="3"/>
      <c r="AB417" s="34">
        <f t="shared" si="200"/>
        <v>0</v>
      </c>
      <c r="AC417" s="34"/>
      <c r="AD417" s="34"/>
      <c r="AE417" s="26"/>
      <c r="AF417" s="34">
        <v>1</v>
      </c>
      <c r="AG417" s="34"/>
      <c r="AH417" s="535"/>
      <c r="AI417" s="294"/>
    </row>
    <row r="418" spans="1:35" ht="12.75" customHeight="1" x14ac:dyDescent="0.2">
      <c r="A418" s="294"/>
      <c r="B418" s="922"/>
      <c r="C418" s="66">
        <v>3</v>
      </c>
      <c r="D418" s="3" t="s">
        <v>762</v>
      </c>
      <c r="E418" s="3" t="s">
        <v>755</v>
      </c>
      <c r="F418" s="3" t="s">
        <v>21</v>
      </c>
      <c r="G418" s="3" t="s">
        <v>784</v>
      </c>
      <c r="H418" s="5" t="s">
        <v>768</v>
      </c>
      <c r="I418" s="502"/>
      <c r="J418" s="26"/>
      <c r="K418" s="508"/>
      <c r="L418" s="509"/>
      <c r="M418" s="510"/>
      <c r="N418" s="859"/>
      <c r="O418" s="4">
        <f t="shared" si="199"/>
        <v>0</v>
      </c>
      <c r="P418" s="4">
        <f t="shared" si="199"/>
        <v>0</v>
      </c>
      <c r="Q418" s="127"/>
      <c r="R418" s="60"/>
      <c r="S418" s="4">
        <f t="shared" si="198"/>
        <v>0</v>
      </c>
      <c r="T418" s="4">
        <f t="shared" si="198"/>
        <v>0</v>
      </c>
      <c r="U418" s="4">
        <f t="shared" si="198"/>
        <v>0</v>
      </c>
      <c r="V418" s="4">
        <f t="shared" si="198"/>
        <v>0</v>
      </c>
      <c r="W418" s="4">
        <f t="shared" si="198"/>
        <v>0</v>
      </c>
      <c r="X418" s="4">
        <f t="shared" si="198"/>
        <v>0</v>
      </c>
      <c r="Y418" s="604"/>
      <c r="Z418" s="3" t="str">
        <f>VLOOKUP($D418,TableInputsData[],ReadMe!$M$3,FALSE)&amp;"  |  "&amp;VLOOKUP($E418,TableInputsData[],ReadMe!$M$3,FALSE)&amp;"  |  "&amp;VLOOKUP($H418,TableInputsData[],ReadMe!$M$3,FALSE)</f>
        <v>ACTIFS MATERIEL IMMOBILISES  |  INVESTISSEMENTS  |  MATERIEL DE BUREAU</v>
      </c>
      <c r="AA418" s="3"/>
      <c r="AB418" s="34">
        <f t="shared" si="200"/>
        <v>0</v>
      </c>
      <c r="AC418" s="34"/>
      <c r="AD418" s="34"/>
      <c r="AE418" s="26"/>
      <c r="AF418" s="34">
        <v>1</v>
      </c>
      <c r="AG418" s="34"/>
      <c r="AH418" s="535"/>
      <c r="AI418" s="294"/>
    </row>
    <row r="419" spans="1:35" x14ac:dyDescent="0.2">
      <c r="A419" s="294"/>
      <c r="B419" s="922"/>
      <c r="C419" s="66">
        <v>3</v>
      </c>
      <c r="D419" s="3" t="s">
        <v>762</v>
      </c>
      <c r="E419" s="3" t="s">
        <v>755</v>
      </c>
      <c r="F419" s="3" t="s">
        <v>21</v>
      </c>
      <c r="G419" s="3" t="s">
        <v>785</v>
      </c>
      <c r="H419" s="5" t="s">
        <v>768</v>
      </c>
      <c r="I419" s="502"/>
      <c r="J419" s="26"/>
      <c r="K419" s="508"/>
      <c r="L419" s="509"/>
      <c r="M419" s="510"/>
      <c r="N419" s="859"/>
      <c r="O419" s="4">
        <f t="shared" si="199"/>
        <v>0</v>
      </c>
      <c r="P419" s="4">
        <f t="shared" si="199"/>
        <v>0</v>
      </c>
      <c r="Q419" s="127"/>
      <c r="R419" s="60"/>
      <c r="S419" s="4">
        <f t="shared" si="198"/>
        <v>0</v>
      </c>
      <c r="T419" s="4">
        <f t="shared" si="198"/>
        <v>0</v>
      </c>
      <c r="U419" s="4">
        <f t="shared" si="198"/>
        <v>0</v>
      </c>
      <c r="V419" s="4">
        <f t="shared" si="198"/>
        <v>0</v>
      </c>
      <c r="W419" s="4">
        <f t="shared" si="198"/>
        <v>0</v>
      </c>
      <c r="X419" s="4">
        <f t="shared" si="198"/>
        <v>0</v>
      </c>
      <c r="Y419" s="604"/>
      <c r="Z419" s="3" t="str">
        <f>VLOOKUP($D419,TableInputsData[],ReadMe!$M$3,FALSE)&amp;"  |  "&amp;VLOOKUP($E419,TableInputsData[],ReadMe!$M$3,FALSE)&amp;"  |  "&amp;VLOOKUP($H419,TableInputsData[],ReadMe!$M$3,FALSE)</f>
        <v>ACTIFS MATERIEL IMMOBILISES  |  INVESTISSEMENTS  |  MATERIEL DE BUREAU</v>
      </c>
      <c r="AA419" s="3"/>
      <c r="AB419" s="34">
        <f t="shared" si="200"/>
        <v>0</v>
      </c>
      <c r="AC419" s="34"/>
      <c r="AD419" s="34"/>
      <c r="AE419" s="26"/>
      <c r="AF419" s="34">
        <v>1</v>
      </c>
      <c r="AG419" s="34"/>
      <c r="AH419" s="535"/>
      <c r="AI419" s="294"/>
    </row>
    <row r="420" spans="1:35" ht="12.75" customHeight="1" x14ac:dyDescent="0.2">
      <c r="A420" s="294"/>
      <c r="B420" s="922"/>
      <c r="C420" s="66">
        <v>3</v>
      </c>
      <c r="D420" s="3" t="s">
        <v>762</v>
      </c>
      <c r="E420" s="3" t="s">
        <v>755</v>
      </c>
      <c r="F420" s="3" t="s">
        <v>21</v>
      </c>
      <c r="G420" s="3" t="s">
        <v>786</v>
      </c>
      <c r="H420" s="5" t="s">
        <v>768</v>
      </c>
      <c r="I420" s="502"/>
      <c r="J420" s="26"/>
      <c r="K420" s="508"/>
      <c r="L420" s="509"/>
      <c r="M420" s="510"/>
      <c r="N420" s="859"/>
      <c r="O420" s="4">
        <f t="shared" si="199"/>
        <v>0</v>
      </c>
      <c r="P420" s="4">
        <f t="shared" si="199"/>
        <v>0</v>
      </c>
      <c r="Q420" s="127"/>
      <c r="R420" s="60"/>
      <c r="S420" s="4">
        <f t="shared" si="198"/>
        <v>0</v>
      </c>
      <c r="T420" s="4">
        <f t="shared" si="198"/>
        <v>0</v>
      </c>
      <c r="U420" s="4">
        <f t="shared" si="198"/>
        <v>0</v>
      </c>
      <c r="V420" s="4">
        <f t="shared" si="198"/>
        <v>0</v>
      </c>
      <c r="W420" s="4">
        <f t="shared" si="198"/>
        <v>0</v>
      </c>
      <c r="X420" s="4">
        <f t="shared" si="198"/>
        <v>0</v>
      </c>
      <c r="Y420" s="604"/>
      <c r="Z420" s="3" t="str">
        <f>VLOOKUP($D420,TableInputsData[],ReadMe!$M$3,FALSE)&amp;"  |  "&amp;VLOOKUP($E420,TableInputsData[],ReadMe!$M$3,FALSE)&amp;"  |  "&amp;VLOOKUP($H420,TableInputsData[],ReadMe!$M$3,FALSE)</f>
        <v>ACTIFS MATERIEL IMMOBILISES  |  INVESTISSEMENTS  |  MATERIEL DE BUREAU</v>
      </c>
      <c r="AA420" s="3"/>
      <c r="AB420" s="34">
        <f t="shared" si="200"/>
        <v>0</v>
      </c>
      <c r="AC420" s="34"/>
      <c r="AD420" s="34"/>
      <c r="AE420" s="26"/>
      <c r="AF420" s="34">
        <v>1</v>
      </c>
      <c r="AG420" s="34"/>
      <c r="AH420" s="535"/>
      <c r="AI420" s="294"/>
    </row>
    <row r="421" spans="1:35" x14ac:dyDescent="0.2">
      <c r="A421" s="294"/>
      <c r="B421" s="922"/>
      <c r="C421" s="66">
        <v>3</v>
      </c>
      <c r="D421" s="3" t="s">
        <v>762</v>
      </c>
      <c r="E421" s="3" t="s">
        <v>755</v>
      </c>
      <c r="F421" s="3" t="s">
        <v>21</v>
      </c>
      <c r="G421" s="3" t="s">
        <v>787</v>
      </c>
      <c r="H421" s="5" t="s">
        <v>768</v>
      </c>
      <c r="I421" s="502"/>
      <c r="J421" s="26"/>
      <c r="K421" s="508"/>
      <c r="L421" s="509"/>
      <c r="M421" s="510"/>
      <c r="N421" s="859"/>
      <c r="O421" s="4">
        <f t="shared" si="199"/>
        <v>0</v>
      </c>
      <c r="P421" s="4">
        <f t="shared" si="199"/>
        <v>0</v>
      </c>
      <c r="Q421" s="127"/>
      <c r="R421" s="60"/>
      <c r="S421" s="4">
        <f t="shared" si="198"/>
        <v>0</v>
      </c>
      <c r="T421" s="4">
        <f t="shared" si="198"/>
        <v>0</v>
      </c>
      <c r="U421" s="4">
        <f t="shared" si="198"/>
        <v>0</v>
      </c>
      <c r="V421" s="4">
        <f t="shared" si="198"/>
        <v>0</v>
      </c>
      <c r="W421" s="4">
        <f t="shared" si="198"/>
        <v>0</v>
      </c>
      <c r="X421" s="4">
        <f t="shared" si="198"/>
        <v>0</v>
      </c>
      <c r="Y421" s="604"/>
      <c r="Z421" s="3" t="str">
        <f>VLOOKUP($D421,TableInputsData[],ReadMe!$M$3,FALSE)&amp;"  |  "&amp;VLOOKUP($E421,TableInputsData[],ReadMe!$M$3,FALSE)&amp;"  |  "&amp;VLOOKUP($H421,TableInputsData[],ReadMe!$M$3,FALSE)</f>
        <v>ACTIFS MATERIEL IMMOBILISES  |  INVESTISSEMENTS  |  MATERIEL DE BUREAU</v>
      </c>
      <c r="AA421" s="3"/>
      <c r="AB421" s="34">
        <f t="shared" si="200"/>
        <v>0</v>
      </c>
      <c r="AC421" s="34"/>
      <c r="AD421" s="34"/>
      <c r="AE421" s="26"/>
      <c r="AF421" s="34">
        <v>1</v>
      </c>
      <c r="AG421" s="34"/>
      <c r="AH421" s="535"/>
      <c r="AI421" s="294"/>
    </row>
    <row r="422" spans="1:35" ht="12.75" customHeight="1" x14ac:dyDescent="0.2">
      <c r="A422" s="294"/>
      <c r="B422" s="922"/>
      <c r="C422" s="66">
        <v>3</v>
      </c>
      <c r="D422" s="3" t="s">
        <v>762</v>
      </c>
      <c r="E422" s="3" t="s">
        <v>755</v>
      </c>
      <c r="F422" s="3" t="s">
        <v>21</v>
      </c>
      <c r="G422" s="3" t="s">
        <v>788</v>
      </c>
      <c r="H422" s="5" t="s">
        <v>768</v>
      </c>
      <c r="I422" s="502"/>
      <c r="J422" s="26"/>
      <c r="K422" s="508"/>
      <c r="L422" s="509"/>
      <c r="M422" s="510"/>
      <c r="N422" s="859"/>
      <c r="O422" s="4">
        <f t="shared" si="199"/>
        <v>0</v>
      </c>
      <c r="P422" s="4">
        <f t="shared" si="199"/>
        <v>0</v>
      </c>
      <c r="Q422" s="127"/>
      <c r="R422" s="60"/>
      <c r="S422" s="4">
        <f t="shared" si="198"/>
        <v>0</v>
      </c>
      <c r="T422" s="4">
        <f t="shared" si="198"/>
        <v>0</v>
      </c>
      <c r="U422" s="4">
        <f t="shared" si="198"/>
        <v>0</v>
      </c>
      <c r="V422" s="4">
        <f t="shared" si="198"/>
        <v>0</v>
      </c>
      <c r="W422" s="4">
        <f t="shared" si="198"/>
        <v>0</v>
      </c>
      <c r="X422" s="4">
        <f t="shared" si="198"/>
        <v>0</v>
      </c>
      <c r="Y422" s="604"/>
      <c r="Z422" s="3" t="str">
        <f>VLOOKUP($D422,TableInputsData[],ReadMe!$M$3,FALSE)&amp;"  |  "&amp;VLOOKUP($E422,TableInputsData[],ReadMe!$M$3,FALSE)&amp;"  |  "&amp;VLOOKUP($H422,TableInputsData[],ReadMe!$M$3,FALSE)</f>
        <v>ACTIFS MATERIEL IMMOBILISES  |  INVESTISSEMENTS  |  MATERIEL DE BUREAU</v>
      </c>
      <c r="AA422" s="3"/>
      <c r="AB422" s="34">
        <f t="shared" si="200"/>
        <v>0</v>
      </c>
      <c r="AC422" s="34"/>
      <c r="AD422" s="34"/>
      <c r="AE422" s="26"/>
      <c r="AF422" s="34">
        <v>1</v>
      </c>
      <c r="AG422" s="34"/>
      <c r="AH422" s="535"/>
      <c r="AI422" s="294"/>
    </row>
    <row r="423" spans="1:35" x14ac:dyDescent="0.2">
      <c r="A423" s="294"/>
      <c r="B423" s="922"/>
      <c r="C423" s="66">
        <v>3</v>
      </c>
      <c r="D423" s="3" t="s">
        <v>762</v>
      </c>
      <c r="E423" s="3" t="s">
        <v>755</v>
      </c>
      <c r="F423" s="3" t="s">
        <v>21</v>
      </c>
      <c r="G423" s="3" t="s">
        <v>789</v>
      </c>
      <c r="H423" s="5" t="s">
        <v>768</v>
      </c>
      <c r="I423" s="502"/>
      <c r="J423" s="26"/>
      <c r="K423" s="508"/>
      <c r="L423" s="509"/>
      <c r="M423" s="510"/>
      <c r="N423" s="859"/>
      <c r="O423" s="4">
        <f t="shared" si="199"/>
        <v>0</v>
      </c>
      <c r="P423" s="4">
        <f t="shared" si="199"/>
        <v>0</v>
      </c>
      <c r="Q423" s="127"/>
      <c r="R423" s="60"/>
      <c r="S423" s="4">
        <f t="shared" si="198"/>
        <v>0</v>
      </c>
      <c r="T423" s="4">
        <f t="shared" si="198"/>
        <v>0</v>
      </c>
      <c r="U423" s="4">
        <f t="shared" si="198"/>
        <v>0</v>
      </c>
      <c r="V423" s="4">
        <f t="shared" si="198"/>
        <v>0</v>
      </c>
      <c r="W423" s="4">
        <f t="shared" si="198"/>
        <v>0</v>
      </c>
      <c r="X423" s="4">
        <f t="shared" si="198"/>
        <v>0</v>
      </c>
      <c r="Y423" s="604"/>
      <c r="Z423" s="3" t="str">
        <f>VLOOKUP($D423,TableInputsData[],ReadMe!$M$3,FALSE)&amp;"  |  "&amp;VLOOKUP($E423,TableInputsData[],ReadMe!$M$3,FALSE)&amp;"  |  "&amp;VLOOKUP($H423,TableInputsData[],ReadMe!$M$3,FALSE)</f>
        <v>ACTIFS MATERIEL IMMOBILISES  |  INVESTISSEMENTS  |  MATERIEL DE BUREAU</v>
      </c>
      <c r="AA423" s="3"/>
      <c r="AB423" s="34">
        <f t="shared" si="200"/>
        <v>0</v>
      </c>
      <c r="AC423" s="34"/>
      <c r="AD423" s="34"/>
      <c r="AE423" s="26"/>
      <c r="AF423" s="34">
        <v>1</v>
      </c>
      <c r="AG423" s="34"/>
      <c r="AH423" s="535"/>
      <c r="AI423" s="294"/>
    </row>
    <row r="424" spans="1:35" ht="12.75" customHeight="1" x14ac:dyDescent="0.2">
      <c r="A424" s="294"/>
      <c r="B424" s="922"/>
      <c r="C424" s="66">
        <v>3</v>
      </c>
      <c r="D424" s="3" t="s">
        <v>762</v>
      </c>
      <c r="E424" s="3" t="s">
        <v>755</v>
      </c>
      <c r="F424" s="3" t="s">
        <v>21</v>
      </c>
      <c r="G424" s="3" t="s">
        <v>790</v>
      </c>
      <c r="H424" s="5" t="s">
        <v>768</v>
      </c>
      <c r="I424" s="502"/>
      <c r="J424" s="26"/>
      <c r="K424" s="508"/>
      <c r="L424" s="509"/>
      <c r="M424" s="510"/>
      <c r="N424" s="859"/>
      <c r="O424" s="4">
        <f t="shared" si="199"/>
        <v>0</v>
      </c>
      <c r="P424" s="4">
        <f t="shared" si="199"/>
        <v>0</v>
      </c>
      <c r="Q424" s="127"/>
      <c r="R424" s="60"/>
      <c r="S424" s="4">
        <f t="shared" ref="S424:X447" si="201">IF($K424=S$5,$L424,0)</f>
        <v>0</v>
      </c>
      <c r="T424" s="4">
        <f t="shared" si="201"/>
        <v>0</v>
      </c>
      <c r="U424" s="4">
        <f t="shared" si="201"/>
        <v>0</v>
      </c>
      <c r="V424" s="4">
        <f t="shared" si="201"/>
        <v>0</v>
      </c>
      <c r="W424" s="4">
        <f t="shared" si="201"/>
        <v>0</v>
      </c>
      <c r="X424" s="4">
        <f t="shared" si="201"/>
        <v>0</v>
      </c>
      <c r="Y424" s="604"/>
      <c r="Z424" s="3" t="str">
        <f>VLOOKUP($D424,TableInputsData[],ReadMe!$M$3,FALSE)&amp;"  |  "&amp;VLOOKUP($E424,TableInputsData[],ReadMe!$M$3,FALSE)&amp;"  |  "&amp;VLOOKUP($H424,TableInputsData[],ReadMe!$M$3,FALSE)</f>
        <v>ACTIFS MATERIEL IMMOBILISES  |  INVESTISSEMENTS  |  MATERIEL DE BUREAU</v>
      </c>
      <c r="AA424" s="3"/>
      <c r="AB424" s="34">
        <f t="shared" si="200"/>
        <v>0</v>
      </c>
      <c r="AC424" s="34"/>
      <c r="AD424" s="34"/>
      <c r="AE424" s="26"/>
      <c r="AF424" s="34">
        <v>1</v>
      </c>
      <c r="AG424" s="34"/>
      <c r="AH424" s="535"/>
      <c r="AI424" s="294"/>
    </row>
    <row r="425" spans="1:35" x14ac:dyDescent="0.2">
      <c r="A425" s="294"/>
      <c r="B425" s="922"/>
      <c r="C425" s="66">
        <v>3</v>
      </c>
      <c r="D425" s="3" t="s">
        <v>762</v>
      </c>
      <c r="E425" s="3" t="s">
        <v>755</v>
      </c>
      <c r="F425" s="3" t="s">
        <v>21</v>
      </c>
      <c r="G425" s="3" t="s">
        <v>791</v>
      </c>
      <c r="H425" s="5" t="s">
        <v>768</v>
      </c>
      <c r="I425" s="502"/>
      <c r="J425" s="26"/>
      <c r="K425" s="508"/>
      <c r="L425" s="509"/>
      <c r="M425" s="510"/>
      <c r="N425" s="859"/>
      <c r="O425" s="4">
        <f t="shared" si="199"/>
        <v>0</v>
      </c>
      <c r="P425" s="4">
        <f t="shared" si="199"/>
        <v>0</v>
      </c>
      <c r="Q425" s="127"/>
      <c r="R425" s="60"/>
      <c r="S425" s="4">
        <f t="shared" si="201"/>
        <v>0</v>
      </c>
      <c r="T425" s="4">
        <f t="shared" si="201"/>
        <v>0</v>
      </c>
      <c r="U425" s="4">
        <f t="shared" si="201"/>
        <v>0</v>
      </c>
      <c r="V425" s="4">
        <f t="shared" si="201"/>
        <v>0</v>
      </c>
      <c r="W425" s="4">
        <f t="shared" si="201"/>
        <v>0</v>
      </c>
      <c r="X425" s="4">
        <f t="shared" si="201"/>
        <v>0</v>
      </c>
      <c r="Y425" s="604"/>
      <c r="Z425" s="3" t="str">
        <f>VLOOKUP($D425,TableInputsData[],ReadMe!$M$3,FALSE)&amp;"  |  "&amp;VLOOKUP($E425,TableInputsData[],ReadMe!$M$3,FALSE)&amp;"  |  "&amp;VLOOKUP($H425,TableInputsData[],ReadMe!$M$3,FALSE)</f>
        <v>ACTIFS MATERIEL IMMOBILISES  |  INVESTISSEMENTS  |  MATERIEL DE BUREAU</v>
      </c>
      <c r="AA425" s="3"/>
      <c r="AB425" s="34">
        <f t="shared" si="200"/>
        <v>0</v>
      </c>
      <c r="AC425" s="34"/>
      <c r="AD425" s="34"/>
      <c r="AE425" s="26"/>
      <c r="AF425" s="34">
        <v>1</v>
      </c>
      <c r="AG425" s="34"/>
      <c r="AH425" s="535"/>
      <c r="AI425" s="294"/>
    </row>
    <row r="426" spans="1:35" ht="12.75" customHeight="1" x14ac:dyDescent="0.2">
      <c r="A426" s="294"/>
      <c r="B426" s="922"/>
      <c r="C426" s="66">
        <v>3</v>
      </c>
      <c r="D426" s="3" t="s">
        <v>762</v>
      </c>
      <c r="E426" s="3" t="s">
        <v>755</v>
      </c>
      <c r="F426" s="3" t="s">
        <v>21</v>
      </c>
      <c r="G426" s="3" t="s">
        <v>792</v>
      </c>
      <c r="H426" s="5" t="s">
        <v>768</v>
      </c>
      <c r="I426" s="502"/>
      <c r="J426" s="26"/>
      <c r="K426" s="508"/>
      <c r="L426" s="509"/>
      <c r="M426" s="510"/>
      <c r="N426" s="859"/>
      <c r="O426" s="4">
        <f t="shared" si="199"/>
        <v>0</v>
      </c>
      <c r="P426" s="4">
        <f t="shared" si="199"/>
        <v>0</v>
      </c>
      <c r="Q426" s="127"/>
      <c r="R426" s="60"/>
      <c r="S426" s="4">
        <f t="shared" si="201"/>
        <v>0</v>
      </c>
      <c r="T426" s="4">
        <f t="shared" si="201"/>
        <v>0</v>
      </c>
      <c r="U426" s="4">
        <f t="shared" si="201"/>
        <v>0</v>
      </c>
      <c r="V426" s="4">
        <f t="shared" si="201"/>
        <v>0</v>
      </c>
      <c r="W426" s="4">
        <f t="shared" si="201"/>
        <v>0</v>
      </c>
      <c r="X426" s="4">
        <f t="shared" si="201"/>
        <v>0</v>
      </c>
      <c r="Y426" s="604"/>
      <c r="Z426" s="3" t="str">
        <f>VLOOKUP($D426,TableInputsData[],ReadMe!$M$3,FALSE)&amp;"  |  "&amp;VLOOKUP($E426,TableInputsData[],ReadMe!$M$3,FALSE)&amp;"  |  "&amp;VLOOKUP($H426,TableInputsData[],ReadMe!$M$3,FALSE)</f>
        <v>ACTIFS MATERIEL IMMOBILISES  |  INVESTISSEMENTS  |  MATERIEL DE BUREAU</v>
      </c>
      <c r="AA426" s="3"/>
      <c r="AB426" s="34">
        <f t="shared" si="200"/>
        <v>0</v>
      </c>
      <c r="AC426" s="34"/>
      <c r="AD426" s="34"/>
      <c r="AE426" s="26"/>
      <c r="AF426" s="34">
        <v>1</v>
      </c>
      <c r="AG426" s="34"/>
      <c r="AH426" s="535"/>
      <c r="AI426" s="294"/>
    </row>
    <row r="427" spans="1:35" x14ac:dyDescent="0.2">
      <c r="A427" s="294"/>
      <c r="B427" s="922"/>
      <c r="C427" s="66">
        <v>3</v>
      </c>
      <c r="D427" s="3" t="s">
        <v>762</v>
      </c>
      <c r="E427" s="3" t="s">
        <v>755</v>
      </c>
      <c r="F427" s="3" t="s">
        <v>21</v>
      </c>
      <c r="G427" s="3" t="s">
        <v>793</v>
      </c>
      <c r="H427" s="5" t="s">
        <v>768</v>
      </c>
      <c r="I427" s="502"/>
      <c r="J427" s="26"/>
      <c r="K427" s="508"/>
      <c r="L427" s="509"/>
      <c r="M427" s="510"/>
      <c r="N427" s="859"/>
      <c r="O427" s="4">
        <f t="shared" si="199"/>
        <v>0</v>
      </c>
      <c r="P427" s="4">
        <f t="shared" si="199"/>
        <v>0</v>
      </c>
      <c r="Q427" s="127"/>
      <c r="R427" s="60"/>
      <c r="S427" s="4">
        <f t="shared" si="201"/>
        <v>0</v>
      </c>
      <c r="T427" s="4">
        <f t="shared" si="201"/>
        <v>0</v>
      </c>
      <c r="U427" s="4">
        <f t="shared" si="201"/>
        <v>0</v>
      </c>
      <c r="V427" s="4">
        <f t="shared" si="201"/>
        <v>0</v>
      </c>
      <c r="W427" s="4">
        <f t="shared" si="201"/>
        <v>0</v>
      </c>
      <c r="X427" s="4">
        <f t="shared" si="201"/>
        <v>0</v>
      </c>
      <c r="Y427" s="604"/>
      <c r="Z427" s="3" t="str">
        <f>VLOOKUP($D427,TableInputsData[],ReadMe!$M$3,FALSE)&amp;"  |  "&amp;VLOOKUP($E427,TableInputsData[],ReadMe!$M$3,FALSE)&amp;"  |  "&amp;VLOOKUP($H427,TableInputsData[],ReadMe!$M$3,FALSE)</f>
        <v>ACTIFS MATERIEL IMMOBILISES  |  INVESTISSEMENTS  |  MATERIEL DE BUREAU</v>
      </c>
      <c r="AA427" s="3"/>
      <c r="AB427" s="34">
        <f t="shared" si="200"/>
        <v>0</v>
      </c>
      <c r="AC427" s="34"/>
      <c r="AD427" s="34"/>
      <c r="AE427" s="26"/>
      <c r="AF427" s="34">
        <v>1</v>
      </c>
      <c r="AG427" s="34"/>
      <c r="AH427" s="535"/>
      <c r="AI427" s="294"/>
    </row>
    <row r="428" spans="1:35" ht="12.75" customHeight="1" x14ac:dyDescent="0.2">
      <c r="A428" s="294"/>
      <c r="B428" s="922"/>
      <c r="C428" s="66">
        <v>3</v>
      </c>
      <c r="D428" s="3" t="s">
        <v>762</v>
      </c>
      <c r="E428" s="3" t="s">
        <v>755</v>
      </c>
      <c r="F428" s="3" t="s">
        <v>21</v>
      </c>
      <c r="G428" s="3" t="s">
        <v>794</v>
      </c>
      <c r="H428" s="5" t="s">
        <v>768</v>
      </c>
      <c r="I428" s="502"/>
      <c r="J428" s="26"/>
      <c r="K428" s="508"/>
      <c r="L428" s="509"/>
      <c r="M428" s="510"/>
      <c r="N428" s="859"/>
      <c r="O428" s="4">
        <f t="shared" si="199"/>
        <v>0</v>
      </c>
      <c r="P428" s="4">
        <f t="shared" si="199"/>
        <v>0</v>
      </c>
      <c r="Q428" s="127"/>
      <c r="R428" s="60"/>
      <c r="S428" s="4">
        <f t="shared" si="201"/>
        <v>0</v>
      </c>
      <c r="T428" s="4">
        <f t="shared" si="201"/>
        <v>0</v>
      </c>
      <c r="U428" s="4">
        <f t="shared" si="201"/>
        <v>0</v>
      </c>
      <c r="V428" s="4">
        <f t="shared" si="201"/>
        <v>0</v>
      </c>
      <c r="W428" s="4">
        <f t="shared" si="201"/>
        <v>0</v>
      </c>
      <c r="X428" s="4">
        <f t="shared" si="201"/>
        <v>0</v>
      </c>
      <c r="Y428" s="604"/>
      <c r="Z428" s="3" t="str">
        <f>VLOOKUP($D428,TableInputsData[],ReadMe!$M$3,FALSE)&amp;"  |  "&amp;VLOOKUP($E428,TableInputsData[],ReadMe!$M$3,FALSE)&amp;"  |  "&amp;VLOOKUP($H428,TableInputsData[],ReadMe!$M$3,FALSE)</f>
        <v>ACTIFS MATERIEL IMMOBILISES  |  INVESTISSEMENTS  |  MATERIEL DE BUREAU</v>
      </c>
      <c r="AA428" s="3"/>
      <c r="AB428" s="34">
        <f t="shared" si="200"/>
        <v>0</v>
      </c>
      <c r="AC428" s="34"/>
      <c r="AD428" s="34"/>
      <c r="AE428" s="26"/>
      <c r="AF428" s="34">
        <v>1</v>
      </c>
      <c r="AG428" s="34"/>
      <c r="AH428" s="535"/>
      <c r="AI428" s="294"/>
    </row>
    <row r="429" spans="1:35" x14ac:dyDescent="0.2">
      <c r="A429" s="294"/>
      <c r="B429" s="922"/>
      <c r="C429" s="66">
        <v>3</v>
      </c>
      <c r="D429" s="3" t="s">
        <v>762</v>
      </c>
      <c r="E429" s="3" t="s">
        <v>755</v>
      </c>
      <c r="F429" s="3" t="s">
        <v>21</v>
      </c>
      <c r="G429" s="3" t="s">
        <v>795</v>
      </c>
      <c r="H429" s="5" t="s">
        <v>768</v>
      </c>
      <c r="I429" s="502"/>
      <c r="J429" s="26"/>
      <c r="K429" s="508"/>
      <c r="L429" s="509"/>
      <c r="M429" s="510"/>
      <c r="N429" s="859"/>
      <c r="O429" s="4">
        <f t="shared" si="199"/>
        <v>0</v>
      </c>
      <c r="P429" s="4">
        <f t="shared" si="199"/>
        <v>0</v>
      </c>
      <c r="Q429" s="127"/>
      <c r="R429" s="60"/>
      <c r="S429" s="4">
        <f t="shared" si="201"/>
        <v>0</v>
      </c>
      <c r="T429" s="4">
        <f t="shared" si="201"/>
        <v>0</v>
      </c>
      <c r="U429" s="4">
        <f t="shared" si="201"/>
        <v>0</v>
      </c>
      <c r="V429" s="4">
        <f t="shared" si="201"/>
        <v>0</v>
      </c>
      <c r="W429" s="4">
        <f t="shared" si="201"/>
        <v>0</v>
      </c>
      <c r="X429" s="4">
        <f t="shared" si="201"/>
        <v>0</v>
      </c>
      <c r="Y429" s="604"/>
      <c r="Z429" s="3" t="str">
        <f>VLOOKUP($D429,TableInputsData[],ReadMe!$M$3,FALSE)&amp;"  |  "&amp;VLOOKUP($E429,TableInputsData[],ReadMe!$M$3,FALSE)&amp;"  |  "&amp;VLOOKUP($H429,TableInputsData[],ReadMe!$M$3,FALSE)</f>
        <v>ACTIFS MATERIEL IMMOBILISES  |  INVESTISSEMENTS  |  MATERIEL DE BUREAU</v>
      </c>
      <c r="AA429" s="3"/>
      <c r="AB429" s="34">
        <f t="shared" si="200"/>
        <v>0</v>
      </c>
      <c r="AC429" s="34"/>
      <c r="AD429" s="34"/>
      <c r="AE429" s="26"/>
      <c r="AF429" s="34">
        <v>1</v>
      </c>
      <c r="AG429" s="34"/>
      <c r="AH429" s="535"/>
      <c r="AI429" s="294"/>
    </row>
    <row r="430" spans="1:35" ht="12.75" customHeight="1" x14ac:dyDescent="0.2">
      <c r="A430" s="294"/>
      <c r="B430" s="922"/>
      <c r="C430" s="66">
        <v>3</v>
      </c>
      <c r="D430" s="3" t="s">
        <v>762</v>
      </c>
      <c r="E430" s="3" t="s">
        <v>755</v>
      </c>
      <c r="F430" s="3" t="s">
        <v>21</v>
      </c>
      <c r="G430" s="3" t="s">
        <v>796</v>
      </c>
      <c r="H430" s="5" t="s">
        <v>768</v>
      </c>
      <c r="I430" s="502"/>
      <c r="J430" s="26"/>
      <c r="K430" s="508"/>
      <c r="L430" s="509"/>
      <c r="M430" s="510"/>
      <c r="N430" s="859"/>
      <c r="O430" s="4">
        <f t="shared" si="199"/>
        <v>0</v>
      </c>
      <c r="P430" s="4">
        <f t="shared" si="199"/>
        <v>0</v>
      </c>
      <c r="Q430" s="127"/>
      <c r="R430" s="60"/>
      <c r="S430" s="4">
        <f t="shared" si="201"/>
        <v>0</v>
      </c>
      <c r="T430" s="4">
        <f t="shared" si="201"/>
        <v>0</v>
      </c>
      <c r="U430" s="4">
        <f t="shared" si="201"/>
        <v>0</v>
      </c>
      <c r="V430" s="4">
        <f t="shared" si="201"/>
        <v>0</v>
      </c>
      <c r="W430" s="4">
        <f t="shared" si="201"/>
        <v>0</v>
      </c>
      <c r="X430" s="4">
        <f t="shared" si="201"/>
        <v>0</v>
      </c>
      <c r="Y430" s="604"/>
      <c r="Z430" s="3" t="str">
        <f>VLOOKUP($D430,TableInputsData[],ReadMe!$M$3,FALSE)&amp;"  |  "&amp;VLOOKUP($E430,TableInputsData[],ReadMe!$M$3,FALSE)&amp;"  |  "&amp;VLOOKUP($H430,TableInputsData[],ReadMe!$M$3,FALSE)</f>
        <v>ACTIFS MATERIEL IMMOBILISES  |  INVESTISSEMENTS  |  MATERIEL DE BUREAU</v>
      </c>
      <c r="AA430" s="3"/>
      <c r="AB430" s="34">
        <f t="shared" si="200"/>
        <v>0</v>
      </c>
      <c r="AC430" s="34"/>
      <c r="AD430" s="34"/>
      <c r="AE430" s="26"/>
      <c r="AF430" s="34">
        <v>1</v>
      </c>
      <c r="AG430" s="34"/>
      <c r="AH430" s="535"/>
      <c r="AI430" s="294"/>
    </row>
    <row r="431" spans="1:35" x14ac:dyDescent="0.2">
      <c r="A431" s="294"/>
      <c r="B431" s="922"/>
      <c r="C431" s="66">
        <v>3</v>
      </c>
      <c r="D431" s="3" t="s">
        <v>762</v>
      </c>
      <c r="E431" s="3" t="s">
        <v>755</v>
      </c>
      <c r="F431" s="3" t="s">
        <v>21</v>
      </c>
      <c r="G431" s="3" t="s">
        <v>797</v>
      </c>
      <c r="H431" s="5" t="s">
        <v>768</v>
      </c>
      <c r="I431" s="502"/>
      <c r="J431" s="26"/>
      <c r="K431" s="508"/>
      <c r="L431" s="509"/>
      <c r="M431" s="510"/>
      <c r="N431" s="859"/>
      <c r="O431" s="4">
        <f t="shared" si="199"/>
        <v>0</v>
      </c>
      <c r="P431" s="4">
        <f t="shared" si="199"/>
        <v>0</v>
      </c>
      <c r="Q431" s="127"/>
      <c r="R431" s="60"/>
      <c r="S431" s="4">
        <f t="shared" si="201"/>
        <v>0</v>
      </c>
      <c r="T431" s="4">
        <f t="shared" si="201"/>
        <v>0</v>
      </c>
      <c r="U431" s="4">
        <f t="shared" si="201"/>
        <v>0</v>
      </c>
      <c r="V431" s="4">
        <f t="shared" si="201"/>
        <v>0</v>
      </c>
      <c r="W431" s="4">
        <f t="shared" si="201"/>
        <v>0</v>
      </c>
      <c r="X431" s="4">
        <f t="shared" si="201"/>
        <v>0</v>
      </c>
      <c r="Y431" s="604"/>
      <c r="Z431" s="3" t="str">
        <f>VLOOKUP($D431,TableInputsData[],ReadMe!$M$3,FALSE)&amp;"  |  "&amp;VLOOKUP($E431,TableInputsData[],ReadMe!$M$3,FALSE)&amp;"  |  "&amp;VLOOKUP($H431,TableInputsData[],ReadMe!$M$3,FALSE)</f>
        <v>ACTIFS MATERIEL IMMOBILISES  |  INVESTISSEMENTS  |  MATERIEL DE BUREAU</v>
      </c>
      <c r="AA431" s="3"/>
      <c r="AB431" s="34">
        <f t="shared" si="200"/>
        <v>0</v>
      </c>
      <c r="AC431" s="34"/>
      <c r="AD431" s="34"/>
      <c r="AE431" s="26"/>
      <c r="AF431" s="34">
        <v>1</v>
      </c>
      <c r="AG431" s="34"/>
      <c r="AH431" s="535"/>
      <c r="AI431" s="294"/>
    </row>
    <row r="432" spans="1:35" ht="12.75" customHeight="1" x14ac:dyDescent="0.2">
      <c r="A432" s="294"/>
      <c r="B432" s="922"/>
      <c r="C432" s="66">
        <v>3</v>
      </c>
      <c r="D432" s="3" t="s">
        <v>762</v>
      </c>
      <c r="E432" s="3" t="s">
        <v>755</v>
      </c>
      <c r="F432" s="3" t="s">
        <v>21</v>
      </c>
      <c r="G432" s="3" t="s">
        <v>798</v>
      </c>
      <c r="H432" s="5" t="s">
        <v>768</v>
      </c>
      <c r="I432" s="502"/>
      <c r="J432" s="26"/>
      <c r="K432" s="508"/>
      <c r="L432" s="509"/>
      <c r="M432" s="510"/>
      <c r="N432" s="859"/>
      <c r="O432" s="4">
        <f t="shared" si="199"/>
        <v>0</v>
      </c>
      <c r="P432" s="4">
        <f t="shared" si="199"/>
        <v>0</v>
      </c>
      <c r="Q432" s="127"/>
      <c r="R432" s="60"/>
      <c r="S432" s="4">
        <f t="shared" si="201"/>
        <v>0</v>
      </c>
      <c r="T432" s="4">
        <f t="shared" si="201"/>
        <v>0</v>
      </c>
      <c r="U432" s="4">
        <f t="shared" si="201"/>
        <v>0</v>
      </c>
      <c r="V432" s="4">
        <f t="shared" si="201"/>
        <v>0</v>
      </c>
      <c r="W432" s="4">
        <f t="shared" si="201"/>
        <v>0</v>
      </c>
      <c r="X432" s="4">
        <f t="shared" si="201"/>
        <v>0</v>
      </c>
      <c r="Y432" s="604"/>
      <c r="Z432" s="3" t="str">
        <f>VLOOKUP($D432,TableInputsData[],ReadMe!$M$3,FALSE)&amp;"  |  "&amp;VLOOKUP($E432,TableInputsData[],ReadMe!$M$3,FALSE)&amp;"  |  "&amp;VLOOKUP($H432,TableInputsData[],ReadMe!$M$3,FALSE)</f>
        <v>ACTIFS MATERIEL IMMOBILISES  |  INVESTISSEMENTS  |  MATERIEL DE BUREAU</v>
      </c>
      <c r="AA432" s="3"/>
      <c r="AB432" s="34">
        <f t="shared" si="200"/>
        <v>0</v>
      </c>
      <c r="AC432" s="34"/>
      <c r="AD432" s="34"/>
      <c r="AE432" s="26"/>
      <c r="AF432" s="34">
        <v>1</v>
      </c>
      <c r="AG432" s="34"/>
      <c r="AH432" s="535"/>
      <c r="AI432" s="294"/>
    </row>
    <row r="433" spans="1:35" x14ac:dyDescent="0.2">
      <c r="A433" s="294"/>
      <c r="B433" s="922"/>
      <c r="C433" s="66">
        <v>3</v>
      </c>
      <c r="D433" s="3" t="s">
        <v>762</v>
      </c>
      <c r="E433" s="3" t="s">
        <v>755</v>
      </c>
      <c r="F433" s="3" t="s">
        <v>21</v>
      </c>
      <c r="G433" s="3" t="s">
        <v>799</v>
      </c>
      <c r="H433" s="5" t="s">
        <v>768</v>
      </c>
      <c r="I433" s="502"/>
      <c r="J433" s="26"/>
      <c r="K433" s="508"/>
      <c r="L433" s="509"/>
      <c r="M433" s="510"/>
      <c r="N433" s="859"/>
      <c r="O433" s="4">
        <f t="shared" si="199"/>
        <v>0</v>
      </c>
      <c r="P433" s="4">
        <f t="shared" si="199"/>
        <v>0</v>
      </c>
      <c r="Q433" s="127"/>
      <c r="R433" s="60"/>
      <c r="S433" s="4">
        <f t="shared" si="201"/>
        <v>0</v>
      </c>
      <c r="T433" s="4">
        <f t="shared" si="201"/>
        <v>0</v>
      </c>
      <c r="U433" s="4">
        <f t="shared" si="201"/>
        <v>0</v>
      </c>
      <c r="V433" s="4">
        <f t="shared" si="201"/>
        <v>0</v>
      </c>
      <c r="W433" s="4">
        <f t="shared" si="201"/>
        <v>0</v>
      </c>
      <c r="X433" s="4">
        <f t="shared" si="201"/>
        <v>0</v>
      </c>
      <c r="Y433" s="604"/>
      <c r="Z433" s="3" t="str">
        <f>VLOOKUP($D433,TableInputsData[],ReadMe!$M$3,FALSE)&amp;"  |  "&amp;VLOOKUP($E433,TableInputsData[],ReadMe!$M$3,FALSE)&amp;"  |  "&amp;VLOOKUP($H433,TableInputsData[],ReadMe!$M$3,FALSE)</f>
        <v>ACTIFS MATERIEL IMMOBILISES  |  INVESTISSEMENTS  |  MATERIEL DE BUREAU</v>
      </c>
      <c r="AA433" s="3"/>
      <c r="AB433" s="34">
        <f t="shared" si="200"/>
        <v>0</v>
      </c>
      <c r="AC433" s="34"/>
      <c r="AD433" s="34"/>
      <c r="AE433" s="26"/>
      <c r="AF433" s="34">
        <v>1</v>
      </c>
      <c r="AG433" s="34"/>
      <c r="AH433" s="535"/>
      <c r="AI433" s="294"/>
    </row>
    <row r="434" spans="1:35" ht="12.75" customHeight="1" x14ac:dyDescent="0.2">
      <c r="A434" s="294"/>
      <c r="B434" s="922"/>
      <c r="C434" s="66">
        <v>3</v>
      </c>
      <c r="D434" s="3" t="s">
        <v>762</v>
      </c>
      <c r="E434" s="3" t="s">
        <v>755</v>
      </c>
      <c r="F434" s="3" t="s">
        <v>21</v>
      </c>
      <c r="G434" s="3" t="s">
        <v>800</v>
      </c>
      <c r="H434" s="5" t="s">
        <v>768</v>
      </c>
      <c r="I434" s="502"/>
      <c r="J434" s="26"/>
      <c r="K434" s="508"/>
      <c r="L434" s="509"/>
      <c r="M434" s="510"/>
      <c r="N434" s="859"/>
      <c r="O434" s="4">
        <f t="shared" si="199"/>
        <v>0</v>
      </c>
      <c r="P434" s="4">
        <f t="shared" si="199"/>
        <v>0</v>
      </c>
      <c r="Q434" s="127"/>
      <c r="R434" s="60"/>
      <c r="S434" s="4">
        <f t="shared" si="201"/>
        <v>0</v>
      </c>
      <c r="T434" s="4">
        <f t="shared" si="201"/>
        <v>0</v>
      </c>
      <c r="U434" s="4">
        <f t="shared" si="201"/>
        <v>0</v>
      </c>
      <c r="V434" s="4">
        <f t="shared" si="201"/>
        <v>0</v>
      </c>
      <c r="W434" s="4">
        <f t="shared" si="201"/>
        <v>0</v>
      </c>
      <c r="X434" s="4">
        <f t="shared" si="201"/>
        <v>0</v>
      </c>
      <c r="Y434" s="604"/>
      <c r="Z434" s="3" t="str">
        <f>VLOOKUP($D434,TableInputsData[],ReadMe!$M$3,FALSE)&amp;"  |  "&amp;VLOOKUP($E434,TableInputsData[],ReadMe!$M$3,FALSE)&amp;"  |  "&amp;VLOOKUP($H434,TableInputsData[],ReadMe!$M$3,FALSE)</f>
        <v>ACTIFS MATERIEL IMMOBILISES  |  INVESTISSEMENTS  |  MATERIEL DE BUREAU</v>
      </c>
      <c r="AA434" s="3"/>
      <c r="AB434" s="34">
        <f t="shared" si="200"/>
        <v>0</v>
      </c>
      <c r="AC434" s="34"/>
      <c r="AD434" s="34"/>
      <c r="AE434" s="26"/>
      <c r="AF434" s="34">
        <v>1</v>
      </c>
      <c r="AG434" s="34"/>
      <c r="AH434" s="535"/>
      <c r="AI434" s="294"/>
    </row>
    <row r="435" spans="1:35" x14ac:dyDescent="0.2">
      <c r="A435" s="294"/>
      <c r="B435" s="922"/>
      <c r="C435" s="66">
        <v>3</v>
      </c>
      <c r="D435" s="3" t="s">
        <v>762</v>
      </c>
      <c r="E435" s="3" t="s">
        <v>755</v>
      </c>
      <c r="F435" s="3" t="s">
        <v>21</v>
      </c>
      <c r="G435" s="3" t="s">
        <v>801</v>
      </c>
      <c r="H435" s="5" t="s">
        <v>768</v>
      </c>
      <c r="I435" s="502"/>
      <c r="J435" s="26"/>
      <c r="K435" s="508"/>
      <c r="L435" s="509"/>
      <c r="M435" s="510"/>
      <c r="N435" s="859"/>
      <c r="O435" s="4">
        <f t="shared" si="199"/>
        <v>0</v>
      </c>
      <c r="P435" s="4">
        <f t="shared" si="199"/>
        <v>0</v>
      </c>
      <c r="Q435" s="127"/>
      <c r="R435" s="60"/>
      <c r="S435" s="4">
        <f t="shared" si="201"/>
        <v>0</v>
      </c>
      <c r="T435" s="4">
        <f t="shared" si="201"/>
        <v>0</v>
      </c>
      <c r="U435" s="4">
        <f t="shared" si="201"/>
        <v>0</v>
      </c>
      <c r="V435" s="4">
        <f t="shared" si="201"/>
        <v>0</v>
      </c>
      <c r="W435" s="4">
        <f t="shared" si="201"/>
        <v>0</v>
      </c>
      <c r="X435" s="4">
        <f t="shared" si="201"/>
        <v>0</v>
      </c>
      <c r="Y435" s="604"/>
      <c r="Z435" s="3" t="str">
        <f>VLOOKUP($D435,TableInputsData[],ReadMe!$M$3,FALSE)&amp;"  |  "&amp;VLOOKUP($E435,TableInputsData[],ReadMe!$M$3,FALSE)&amp;"  |  "&amp;VLOOKUP($H435,TableInputsData[],ReadMe!$M$3,FALSE)</f>
        <v>ACTIFS MATERIEL IMMOBILISES  |  INVESTISSEMENTS  |  MATERIEL DE BUREAU</v>
      </c>
      <c r="AA435" s="3"/>
      <c r="AB435" s="34">
        <f t="shared" si="200"/>
        <v>0</v>
      </c>
      <c r="AC435" s="34"/>
      <c r="AD435" s="34"/>
      <c r="AE435" s="26"/>
      <c r="AF435" s="34">
        <v>1</v>
      </c>
      <c r="AG435" s="34"/>
      <c r="AH435" s="535"/>
      <c r="AI435" s="294"/>
    </row>
    <row r="436" spans="1:35" ht="12.75" customHeight="1" x14ac:dyDescent="0.2">
      <c r="A436" s="294"/>
      <c r="B436" s="922"/>
      <c r="C436" s="66">
        <v>3</v>
      </c>
      <c r="D436" s="3" t="s">
        <v>762</v>
      </c>
      <c r="E436" s="3" t="s">
        <v>755</v>
      </c>
      <c r="F436" s="3" t="s">
        <v>21</v>
      </c>
      <c r="G436" s="3" t="s">
        <v>802</v>
      </c>
      <c r="H436" s="5" t="s">
        <v>768</v>
      </c>
      <c r="I436" s="502"/>
      <c r="J436" s="26"/>
      <c r="K436" s="508"/>
      <c r="L436" s="509"/>
      <c r="M436" s="510"/>
      <c r="N436" s="859"/>
      <c r="O436" s="4">
        <f t="shared" si="199"/>
        <v>0</v>
      </c>
      <c r="P436" s="4">
        <f t="shared" si="199"/>
        <v>0</v>
      </c>
      <c r="Q436" s="127"/>
      <c r="R436" s="60"/>
      <c r="S436" s="4">
        <f t="shared" si="201"/>
        <v>0</v>
      </c>
      <c r="T436" s="4">
        <f t="shared" si="201"/>
        <v>0</v>
      </c>
      <c r="U436" s="4">
        <f t="shared" si="201"/>
        <v>0</v>
      </c>
      <c r="V436" s="4">
        <f t="shared" si="201"/>
        <v>0</v>
      </c>
      <c r="W436" s="4">
        <f t="shared" si="201"/>
        <v>0</v>
      </c>
      <c r="X436" s="4">
        <f t="shared" si="201"/>
        <v>0</v>
      </c>
      <c r="Y436" s="604"/>
      <c r="Z436" s="3" t="str">
        <f>VLOOKUP($D436,TableInputsData[],ReadMe!$M$3,FALSE)&amp;"  |  "&amp;VLOOKUP($E436,TableInputsData[],ReadMe!$M$3,FALSE)&amp;"  |  "&amp;VLOOKUP($H436,TableInputsData[],ReadMe!$M$3,FALSE)</f>
        <v>ACTIFS MATERIEL IMMOBILISES  |  INVESTISSEMENTS  |  MATERIEL DE BUREAU</v>
      </c>
      <c r="AA436" s="3"/>
      <c r="AB436" s="34">
        <f t="shared" si="200"/>
        <v>0</v>
      </c>
      <c r="AC436" s="34"/>
      <c r="AD436" s="34"/>
      <c r="AE436" s="26"/>
      <c r="AF436" s="34">
        <v>1</v>
      </c>
      <c r="AG436" s="34"/>
      <c r="AH436" s="535"/>
      <c r="AI436" s="294"/>
    </row>
    <row r="437" spans="1:35" x14ac:dyDescent="0.2">
      <c r="A437" s="294"/>
      <c r="B437" s="922"/>
      <c r="C437" s="66">
        <v>3</v>
      </c>
      <c r="D437" s="3" t="s">
        <v>762</v>
      </c>
      <c r="E437" s="3" t="s">
        <v>755</v>
      </c>
      <c r="F437" s="3" t="s">
        <v>21</v>
      </c>
      <c r="G437" s="3" t="s">
        <v>803</v>
      </c>
      <c r="H437" s="5" t="s">
        <v>768</v>
      </c>
      <c r="I437" s="502"/>
      <c r="J437" s="26"/>
      <c r="K437" s="508"/>
      <c r="L437" s="509"/>
      <c r="M437" s="510"/>
      <c r="N437" s="859"/>
      <c r="O437" s="4">
        <f t="shared" si="199"/>
        <v>0</v>
      </c>
      <c r="P437" s="4">
        <f t="shared" si="199"/>
        <v>0</v>
      </c>
      <c r="Q437" s="127"/>
      <c r="R437" s="60"/>
      <c r="S437" s="4">
        <f t="shared" si="201"/>
        <v>0</v>
      </c>
      <c r="T437" s="4">
        <f t="shared" si="201"/>
        <v>0</v>
      </c>
      <c r="U437" s="4">
        <f t="shared" si="201"/>
        <v>0</v>
      </c>
      <c r="V437" s="4">
        <f t="shared" si="201"/>
        <v>0</v>
      </c>
      <c r="W437" s="4">
        <f t="shared" si="201"/>
        <v>0</v>
      </c>
      <c r="X437" s="4">
        <f t="shared" si="201"/>
        <v>0</v>
      </c>
      <c r="Y437" s="604"/>
      <c r="Z437" s="3" t="str">
        <f>VLOOKUP($D437,TableInputsData[],ReadMe!$M$3,FALSE)&amp;"  |  "&amp;VLOOKUP($E437,TableInputsData[],ReadMe!$M$3,FALSE)&amp;"  |  "&amp;VLOOKUP($H437,TableInputsData[],ReadMe!$M$3,FALSE)</f>
        <v>ACTIFS MATERIEL IMMOBILISES  |  INVESTISSEMENTS  |  MATERIEL DE BUREAU</v>
      </c>
      <c r="AA437" s="3"/>
      <c r="AB437" s="34">
        <f t="shared" si="200"/>
        <v>0</v>
      </c>
      <c r="AC437" s="34"/>
      <c r="AD437" s="34"/>
      <c r="AE437" s="26"/>
      <c r="AF437" s="34">
        <v>1</v>
      </c>
      <c r="AG437" s="34"/>
      <c r="AH437" s="535"/>
      <c r="AI437" s="294"/>
    </row>
    <row r="438" spans="1:35" ht="12.75" customHeight="1" x14ac:dyDescent="0.2">
      <c r="A438" s="294"/>
      <c r="B438" s="922"/>
      <c r="C438" s="66">
        <v>3</v>
      </c>
      <c r="D438" s="3" t="s">
        <v>762</v>
      </c>
      <c r="E438" s="3" t="s">
        <v>755</v>
      </c>
      <c r="F438" s="3" t="s">
        <v>21</v>
      </c>
      <c r="G438" s="3" t="s">
        <v>804</v>
      </c>
      <c r="H438" s="5" t="s">
        <v>768</v>
      </c>
      <c r="I438" s="502"/>
      <c r="J438" s="26"/>
      <c r="K438" s="508"/>
      <c r="L438" s="509"/>
      <c r="M438" s="510"/>
      <c r="N438" s="859"/>
      <c r="O438" s="4">
        <f t="shared" si="199"/>
        <v>0</v>
      </c>
      <c r="P438" s="4">
        <f t="shared" si="199"/>
        <v>0</v>
      </c>
      <c r="Q438" s="127"/>
      <c r="R438" s="60"/>
      <c r="S438" s="4">
        <f t="shared" si="201"/>
        <v>0</v>
      </c>
      <c r="T438" s="4">
        <f t="shared" si="201"/>
        <v>0</v>
      </c>
      <c r="U438" s="4">
        <f t="shared" si="201"/>
        <v>0</v>
      </c>
      <c r="V438" s="4">
        <f t="shared" si="201"/>
        <v>0</v>
      </c>
      <c r="W438" s="4">
        <f t="shared" si="201"/>
        <v>0</v>
      </c>
      <c r="X438" s="4">
        <f t="shared" si="201"/>
        <v>0</v>
      </c>
      <c r="Y438" s="604"/>
      <c r="Z438" s="3" t="str">
        <f>VLOOKUP($D438,TableInputsData[],ReadMe!$M$3,FALSE)&amp;"  |  "&amp;VLOOKUP($E438,TableInputsData[],ReadMe!$M$3,FALSE)&amp;"  |  "&amp;VLOOKUP($H438,TableInputsData[],ReadMe!$M$3,FALSE)</f>
        <v>ACTIFS MATERIEL IMMOBILISES  |  INVESTISSEMENTS  |  MATERIEL DE BUREAU</v>
      </c>
      <c r="AA438" s="3"/>
      <c r="AB438" s="34">
        <f t="shared" si="200"/>
        <v>0</v>
      </c>
      <c r="AC438" s="34"/>
      <c r="AD438" s="34"/>
      <c r="AE438" s="26"/>
      <c r="AF438" s="34">
        <v>1</v>
      </c>
      <c r="AG438" s="34"/>
      <c r="AH438" s="535"/>
      <c r="AI438" s="294"/>
    </row>
    <row r="439" spans="1:35" x14ac:dyDescent="0.2">
      <c r="A439" s="294"/>
      <c r="B439" s="922"/>
      <c r="C439" s="66">
        <v>3</v>
      </c>
      <c r="D439" s="3" t="s">
        <v>762</v>
      </c>
      <c r="E439" s="3" t="s">
        <v>755</v>
      </c>
      <c r="F439" s="3" t="s">
        <v>21</v>
      </c>
      <c r="G439" s="3" t="s">
        <v>805</v>
      </c>
      <c r="H439" s="5" t="s">
        <v>768</v>
      </c>
      <c r="I439" s="502"/>
      <c r="J439" s="26"/>
      <c r="K439" s="508"/>
      <c r="L439" s="509"/>
      <c r="M439" s="510"/>
      <c r="N439" s="859"/>
      <c r="O439" s="4">
        <f t="shared" si="199"/>
        <v>0</v>
      </c>
      <c r="P439" s="4">
        <f t="shared" si="199"/>
        <v>0</v>
      </c>
      <c r="Q439" s="127"/>
      <c r="R439" s="60"/>
      <c r="S439" s="4">
        <f t="shared" si="201"/>
        <v>0</v>
      </c>
      <c r="T439" s="4">
        <f t="shared" si="201"/>
        <v>0</v>
      </c>
      <c r="U439" s="4">
        <f t="shared" si="201"/>
        <v>0</v>
      </c>
      <c r="V439" s="4">
        <f t="shared" si="201"/>
        <v>0</v>
      </c>
      <c r="W439" s="4">
        <f t="shared" si="201"/>
        <v>0</v>
      </c>
      <c r="X439" s="4">
        <f t="shared" si="201"/>
        <v>0</v>
      </c>
      <c r="Y439" s="604"/>
      <c r="Z439" s="3" t="str">
        <f>VLOOKUP($D439,TableInputsData[],ReadMe!$M$3,FALSE)&amp;"  |  "&amp;VLOOKUP($E439,TableInputsData[],ReadMe!$M$3,FALSE)&amp;"  |  "&amp;VLOOKUP($H439,TableInputsData[],ReadMe!$M$3,FALSE)</f>
        <v>ACTIFS MATERIEL IMMOBILISES  |  INVESTISSEMENTS  |  MATERIEL DE BUREAU</v>
      </c>
      <c r="AA439" s="3"/>
      <c r="AB439" s="34">
        <f t="shared" si="200"/>
        <v>0</v>
      </c>
      <c r="AC439" s="34"/>
      <c r="AD439" s="34"/>
      <c r="AE439" s="26"/>
      <c r="AF439" s="34">
        <v>1</v>
      </c>
      <c r="AG439" s="34"/>
      <c r="AH439" s="535"/>
      <c r="AI439" s="294"/>
    </row>
    <row r="440" spans="1:35" ht="12.75" customHeight="1" x14ac:dyDescent="0.2">
      <c r="A440" s="294"/>
      <c r="B440" s="922"/>
      <c r="C440" s="66">
        <v>3</v>
      </c>
      <c r="D440" s="3" t="s">
        <v>762</v>
      </c>
      <c r="E440" s="3" t="s">
        <v>755</v>
      </c>
      <c r="F440" s="3" t="s">
        <v>21</v>
      </c>
      <c r="G440" s="3" t="s">
        <v>806</v>
      </c>
      <c r="H440" s="5" t="s">
        <v>768</v>
      </c>
      <c r="I440" s="502"/>
      <c r="J440" s="26"/>
      <c r="K440" s="508"/>
      <c r="L440" s="509"/>
      <c r="M440" s="510"/>
      <c r="N440" s="859"/>
      <c r="O440" s="4">
        <f t="shared" si="199"/>
        <v>0</v>
      </c>
      <c r="P440" s="4">
        <f t="shared" si="199"/>
        <v>0</v>
      </c>
      <c r="Q440" s="127"/>
      <c r="R440" s="60"/>
      <c r="S440" s="4">
        <f t="shared" si="201"/>
        <v>0</v>
      </c>
      <c r="T440" s="4">
        <f t="shared" si="201"/>
        <v>0</v>
      </c>
      <c r="U440" s="4">
        <f t="shared" si="201"/>
        <v>0</v>
      </c>
      <c r="V440" s="4">
        <f t="shared" si="201"/>
        <v>0</v>
      </c>
      <c r="W440" s="4">
        <f t="shared" si="201"/>
        <v>0</v>
      </c>
      <c r="X440" s="4">
        <f t="shared" si="201"/>
        <v>0</v>
      </c>
      <c r="Y440" s="604"/>
      <c r="Z440" s="3" t="str">
        <f>VLOOKUP($D440,TableInputsData[],ReadMe!$M$3,FALSE)&amp;"  |  "&amp;VLOOKUP($E440,TableInputsData[],ReadMe!$M$3,FALSE)&amp;"  |  "&amp;VLOOKUP($H440,TableInputsData[],ReadMe!$M$3,FALSE)</f>
        <v>ACTIFS MATERIEL IMMOBILISES  |  INVESTISSEMENTS  |  MATERIEL DE BUREAU</v>
      </c>
      <c r="AA440" s="3"/>
      <c r="AB440" s="34">
        <f t="shared" si="200"/>
        <v>0</v>
      </c>
      <c r="AC440" s="34"/>
      <c r="AD440" s="34"/>
      <c r="AE440" s="26"/>
      <c r="AF440" s="34">
        <v>1</v>
      </c>
      <c r="AG440" s="34"/>
      <c r="AH440" s="535"/>
      <c r="AI440" s="294"/>
    </row>
    <row r="441" spans="1:35" x14ac:dyDescent="0.2">
      <c r="A441" s="294"/>
      <c r="B441" s="922"/>
      <c r="C441" s="66">
        <v>3</v>
      </c>
      <c r="D441" s="3" t="s">
        <v>762</v>
      </c>
      <c r="E441" s="3" t="s">
        <v>755</v>
      </c>
      <c r="F441" s="3" t="s">
        <v>21</v>
      </c>
      <c r="G441" s="3" t="s">
        <v>807</v>
      </c>
      <c r="H441" s="5" t="s">
        <v>768</v>
      </c>
      <c r="I441" s="502"/>
      <c r="J441" s="26"/>
      <c r="K441" s="508"/>
      <c r="L441" s="509"/>
      <c r="M441" s="510"/>
      <c r="N441" s="859"/>
      <c r="O441" s="4">
        <f t="shared" si="199"/>
        <v>0</v>
      </c>
      <c r="P441" s="4">
        <f t="shared" si="199"/>
        <v>0</v>
      </c>
      <c r="Q441" s="127"/>
      <c r="R441" s="60"/>
      <c r="S441" s="4">
        <f t="shared" si="201"/>
        <v>0</v>
      </c>
      <c r="T441" s="4">
        <f t="shared" si="201"/>
        <v>0</v>
      </c>
      <c r="U441" s="4">
        <f t="shared" si="201"/>
        <v>0</v>
      </c>
      <c r="V441" s="4">
        <f t="shared" si="201"/>
        <v>0</v>
      </c>
      <c r="W441" s="4">
        <f t="shared" si="201"/>
        <v>0</v>
      </c>
      <c r="X441" s="4">
        <f t="shared" si="201"/>
        <v>0</v>
      </c>
      <c r="Y441" s="604"/>
      <c r="Z441" s="3" t="str">
        <f>VLOOKUP($D441,TableInputsData[],ReadMe!$M$3,FALSE)&amp;"  |  "&amp;VLOOKUP($E441,TableInputsData[],ReadMe!$M$3,FALSE)&amp;"  |  "&amp;VLOOKUP($H441,TableInputsData[],ReadMe!$M$3,FALSE)</f>
        <v>ACTIFS MATERIEL IMMOBILISES  |  INVESTISSEMENTS  |  MATERIEL DE BUREAU</v>
      </c>
      <c r="AA441" s="3"/>
      <c r="AB441" s="34">
        <f t="shared" si="200"/>
        <v>0</v>
      </c>
      <c r="AC441" s="34"/>
      <c r="AD441" s="34"/>
      <c r="AE441" s="26"/>
      <c r="AF441" s="34">
        <v>1</v>
      </c>
      <c r="AG441" s="34"/>
      <c r="AH441" s="535"/>
      <c r="AI441" s="294"/>
    </row>
    <row r="442" spans="1:35" ht="12.75" customHeight="1" x14ac:dyDescent="0.2">
      <c r="A442" s="294"/>
      <c r="B442" s="922"/>
      <c r="C442" s="66">
        <v>3</v>
      </c>
      <c r="D442" s="3" t="s">
        <v>762</v>
      </c>
      <c r="E442" s="3" t="s">
        <v>755</v>
      </c>
      <c r="F442" s="3" t="s">
        <v>21</v>
      </c>
      <c r="G442" s="3" t="s">
        <v>808</v>
      </c>
      <c r="H442" s="5" t="s">
        <v>768</v>
      </c>
      <c r="I442" s="502"/>
      <c r="J442" s="26"/>
      <c r="K442" s="508"/>
      <c r="L442" s="509"/>
      <c r="M442" s="510"/>
      <c r="N442" s="859"/>
      <c r="O442" s="4">
        <f t="shared" si="199"/>
        <v>0</v>
      </c>
      <c r="P442" s="4">
        <f t="shared" si="199"/>
        <v>0</v>
      </c>
      <c r="Q442" s="127"/>
      <c r="R442" s="60"/>
      <c r="S442" s="4">
        <f t="shared" si="201"/>
        <v>0</v>
      </c>
      <c r="T442" s="4">
        <f t="shared" si="201"/>
        <v>0</v>
      </c>
      <c r="U442" s="4">
        <f t="shared" si="201"/>
        <v>0</v>
      </c>
      <c r="V442" s="4">
        <f t="shared" si="201"/>
        <v>0</v>
      </c>
      <c r="W442" s="4">
        <f t="shared" si="201"/>
        <v>0</v>
      </c>
      <c r="X442" s="4">
        <f t="shared" si="201"/>
        <v>0</v>
      </c>
      <c r="Y442" s="604"/>
      <c r="Z442" s="3" t="str">
        <f>VLOOKUP($D442,TableInputsData[],ReadMe!$M$3,FALSE)&amp;"  |  "&amp;VLOOKUP($E442,TableInputsData[],ReadMe!$M$3,FALSE)&amp;"  |  "&amp;VLOOKUP($H442,TableInputsData[],ReadMe!$M$3,FALSE)</f>
        <v>ACTIFS MATERIEL IMMOBILISES  |  INVESTISSEMENTS  |  MATERIEL DE BUREAU</v>
      </c>
      <c r="AA442" s="3"/>
      <c r="AB442" s="34">
        <f t="shared" si="200"/>
        <v>0</v>
      </c>
      <c r="AC442" s="34"/>
      <c r="AD442" s="34"/>
      <c r="AE442" s="26"/>
      <c r="AF442" s="34">
        <v>1</v>
      </c>
      <c r="AG442" s="34"/>
      <c r="AH442" s="535"/>
      <c r="AI442" s="294"/>
    </row>
    <row r="443" spans="1:35" x14ac:dyDescent="0.2">
      <c r="A443" s="294"/>
      <c r="B443" s="922"/>
      <c r="C443" s="66">
        <v>3</v>
      </c>
      <c r="D443" s="3" t="s">
        <v>762</v>
      </c>
      <c r="E443" s="3" t="s">
        <v>755</v>
      </c>
      <c r="F443" s="3" t="s">
        <v>21</v>
      </c>
      <c r="G443" s="3" t="s">
        <v>809</v>
      </c>
      <c r="H443" s="5" t="s">
        <v>768</v>
      </c>
      <c r="I443" s="502"/>
      <c r="J443" s="26"/>
      <c r="K443" s="508"/>
      <c r="L443" s="509"/>
      <c r="M443" s="510"/>
      <c r="N443" s="859"/>
      <c r="O443" s="4">
        <f t="shared" si="199"/>
        <v>0</v>
      </c>
      <c r="P443" s="4">
        <f t="shared" si="199"/>
        <v>0</v>
      </c>
      <c r="Q443" s="127"/>
      <c r="R443" s="60"/>
      <c r="S443" s="4">
        <f t="shared" si="201"/>
        <v>0</v>
      </c>
      <c r="T443" s="4">
        <f t="shared" si="201"/>
        <v>0</v>
      </c>
      <c r="U443" s="4">
        <f t="shared" si="201"/>
        <v>0</v>
      </c>
      <c r="V443" s="4">
        <f t="shared" si="201"/>
        <v>0</v>
      </c>
      <c r="W443" s="4">
        <f t="shared" si="201"/>
        <v>0</v>
      </c>
      <c r="X443" s="4">
        <f t="shared" si="201"/>
        <v>0</v>
      </c>
      <c r="Y443" s="604"/>
      <c r="Z443" s="3" t="str">
        <f>VLOOKUP($D443,TableInputsData[],ReadMe!$M$3,FALSE)&amp;"  |  "&amp;VLOOKUP($E443,TableInputsData[],ReadMe!$M$3,FALSE)&amp;"  |  "&amp;VLOOKUP($H443,TableInputsData[],ReadMe!$M$3,FALSE)</f>
        <v>ACTIFS MATERIEL IMMOBILISES  |  INVESTISSEMENTS  |  MATERIEL DE BUREAU</v>
      </c>
      <c r="AA443" s="3"/>
      <c r="AB443" s="34">
        <f t="shared" si="200"/>
        <v>0</v>
      </c>
      <c r="AC443" s="34"/>
      <c r="AD443" s="34"/>
      <c r="AE443" s="26"/>
      <c r="AF443" s="34">
        <v>1</v>
      </c>
      <c r="AG443" s="34"/>
      <c r="AH443" s="535"/>
      <c r="AI443" s="294"/>
    </row>
    <row r="444" spans="1:35" ht="12.75" customHeight="1" x14ac:dyDescent="0.2">
      <c r="A444" s="294"/>
      <c r="B444" s="922"/>
      <c r="C444" s="66">
        <v>3</v>
      </c>
      <c r="D444" s="3" t="s">
        <v>762</v>
      </c>
      <c r="E444" s="3" t="s">
        <v>755</v>
      </c>
      <c r="F444" s="3" t="s">
        <v>21</v>
      </c>
      <c r="G444" s="3" t="s">
        <v>810</v>
      </c>
      <c r="H444" s="5" t="s">
        <v>768</v>
      </c>
      <c r="I444" s="502"/>
      <c r="J444" s="26"/>
      <c r="K444" s="508"/>
      <c r="L444" s="509"/>
      <c r="M444" s="510"/>
      <c r="N444" s="859"/>
      <c r="O444" s="4">
        <f t="shared" si="199"/>
        <v>0</v>
      </c>
      <c r="P444" s="4">
        <f t="shared" si="199"/>
        <v>0</v>
      </c>
      <c r="Q444" s="127"/>
      <c r="R444" s="60"/>
      <c r="S444" s="4">
        <f t="shared" si="201"/>
        <v>0</v>
      </c>
      <c r="T444" s="4">
        <f t="shared" si="201"/>
        <v>0</v>
      </c>
      <c r="U444" s="4">
        <f t="shared" si="201"/>
        <v>0</v>
      </c>
      <c r="V444" s="4">
        <f t="shared" si="201"/>
        <v>0</v>
      </c>
      <c r="W444" s="4">
        <f t="shared" si="201"/>
        <v>0</v>
      </c>
      <c r="X444" s="4">
        <f t="shared" si="201"/>
        <v>0</v>
      </c>
      <c r="Y444" s="604"/>
      <c r="Z444" s="3" t="str">
        <f>VLOOKUP($D444,TableInputsData[],ReadMe!$M$3,FALSE)&amp;"  |  "&amp;VLOOKUP($E444,TableInputsData[],ReadMe!$M$3,FALSE)&amp;"  |  "&amp;VLOOKUP($H444,TableInputsData[],ReadMe!$M$3,FALSE)</f>
        <v>ACTIFS MATERIEL IMMOBILISES  |  INVESTISSEMENTS  |  MATERIEL DE BUREAU</v>
      </c>
      <c r="AA444" s="3"/>
      <c r="AB444" s="34">
        <f t="shared" si="200"/>
        <v>0</v>
      </c>
      <c r="AC444" s="34"/>
      <c r="AD444" s="34"/>
      <c r="AE444" s="26"/>
      <c r="AF444" s="34">
        <v>1</v>
      </c>
      <c r="AG444" s="34"/>
      <c r="AH444" s="535"/>
      <c r="AI444" s="294"/>
    </row>
    <row r="445" spans="1:35" x14ac:dyDescent="0.2">
      <c r="A445" s="294"/>
      <c r="B445" s="922"/>
      <c r="C445" s="66">
        <v>3</v>
      </c>
      <c r="D445" s="3" t="s">
        <v>762</v>
      </c>
      <c r="E445" s="3" t="s">
        <v>755</v>
      </c>
      <c r="F445" s="3" t="s">
        <v>21</v>
      </c>
      <c r="G445" s="3" t="s">
        <v>811</v>
      </c>
      <c r="H445" s="5" t="s">
        <v>768</v>
      </c>
      <c r="I445" s="502"/>
      <c r="J445" s="26"/>
      <c r="K445" s="508"/>
      <c r="L445" s="509"/>
      <c r="M445" s="510"/>
      <c r="N445" s="859"/>
      <c r="O445" s="4">
        <f t="shared" si="199"/>
        <v>0</v>
      </c>
      <c r="P445" s="4">
        <f t="shared" si="199"/>
        <v>0</v>
      </c>
      <c r="Q445" s="127"/>
      <c r="R445" s="60"/>
      <c r="S445" s="4">
        <f t="shared" si="201"/>
        <v>0</v>
      </c>
      <c r="T445" s="4">
        <f t="shared" si="201"/>
        <v>0</v>
      </c>
      <c r="U445" s="4">
        <f t="shared" si="201"/>
        <v>0</v>
      </c>
      <c r="V445" s="4">
        <f t="shared" si="201"/>
        <v>0</v>
      </c>
      <c r="W445" s="4">
        <f t="shared" si="201"/>
        <v>0</v>
      </c>
      <c r="X445" s="4">
        <f t="shared" si="201"/>
        <v>0</v>
      </c>
      <c r="Y445" s="604"/>
      <c r="Z445" s="3" t="str">
        <f>VLOOKUP($D445,TableInputsData[],ReadMe!$M$3,FALSE)&amp;"  |  "&amp;VLOOKUP($E445,TableInputsData[],ReadMe!$M$3,FALSE)&amp;"  |  "&amp;VLOOKUP($H445,TableInputsData[],ReadMe!$M$3,FALSE)</f>
        <v>ACTIFS MATERIEL IMMOBILISES  |  INVESTISSEMENTS  |  MATERIEL DE BUREAU</v>
      </c>
      <c r="AA445" s="3"/>
      <c r="AB445" s="34">
        <f t="shared" si="200"/>
        <v>0</v>
      </c>
      <c r="AC445" s="34"/>
      <c r="AD445" s="34"/>
      <c r="AE445" s="26"/>
      <c r="AF445" s="34">
        <v>1</v>
      </c>
      <c r="AG445" s="34"/>
      <c r="AH445" s="535"/>
      <c r="AI445" s="294"/>
    </row>
    <row r="446" spans="1:35" ht="12.75" customHeight="1" x14ac:dyDescent="0.2">
      <c r="A446" s="294"/>
      <c r="B446" s="922"/>
      <c r="C446" s="66">
        <v>3</v>
      </c>
      <c r="D446" s="3" t="s">
        <v>762</v>
      </c>
      <c r="E446" s="3" t="s">
        <v>755</v>
      </c>
      <c r="F446" s="3" t="s">
        <v>21</v>
      </c>
      <c r="G446" s="3" t="s">
        <v>812</v>
      </c>
      <c r="H446" s="5" t="s">
        <v>768</v>
      </c>
      <c r="I446" s="502"/>
      <c r="J446" s="26"/>
      <c r="K446" s="508"/>
      <c r="L446" s="509"/>
      <c r="M446" s="510"/>
      <c r="N446" s="859"/>
      <c r="O446" s="4">
        <f t="shared" si="199"/>
        <v>0</v>
      </c>
      <c r="P446" s="4">
        <f t="shared" si="199"/>
        <v>0</v>
      </c>
      <c r="Q446" s="127"/>
      <c r="R446" s="60"/>
      <c r="S446" s="4">
        <f t="shared" si="201"/>
        <v>0</v>
      </c>
      <c r="T446" s="4">
        <f t="shared" si="201"/>
        <v>0</v>
      </c>
      <c r="U446" s="4">
        <f t="shared" si="201"/>
        <v>0</v>
      </c>
      <c r="V446" s="4">
        <f t="shared" si="201"/>
        <v>0</v>
      </c>
      <c r="W446" s="4">
        <f t="shared" si="201"/>
        <v>0</v>
      </c>
      <c r="X446" s="4">
        <f t="shared" si="201"/>
        <v>0</v>
      </c>
      <c r="Y446" s="604"/>
      <c r="Z446" s="3" t="str">
        <f>VLOOKUP($D446,TableInputsData[],ReadMe!$M$3,FALSE)&amp;"  |  "&amp;VLOOKUP($E446,TableInputsData[],ReadMe!$M$3,FALSE)&amp;"  |  "&amp;VLOOKUP($H446,TableInputsData[],ReadMe!$M$3,FALSE)</f>
        <v>ACTIFS MATERIEL IMMOBILISES  |  INVESTISSEMENTS  |  MATERIEL DE BUREAU</v>
      </c>
      <c r="AA446" s="3"/>
      <c r="AB446" s="34">
        <f t="shared" si="200"/>
        <v>0</v>
      </c>
      <c r="AC446" s="34"/>
      <c r="AD446" s="34"/>
      <c r="AE446" s="26"/>
      <c r="AF446" s="34">
        <v>1</v>
      </c>
      <c r="AG446" s="34"/>
      <c r="AH446" s="535"/>
      <c r="AI446" s="294"/>
    </row>
    <row r="447" spans="1:35" x14ac:dyDescent="0.2">
      <c r="A447" s="294"/>
      <c r="B447" s="922"/>
      <c r="C447" s="70">
        <v>3</v>
      </c>
      <c r="D447" s="3" t="s">
        <v>762</v>
      </c>
      <c r="E447" s="6" t="s">
        <v>755</v>
      </c>
      <c r="F447" s="6" t="s">
        <v>21</v>
      </c>
      <c r="G447" s="3" t="s">
        <v>813</v>
      </c>
      <c r="H447" s="11" t="s">
        <v>768</v>
      </c>
      <c r="I447" s="503"/>
      <c r="J447" s="91"/>
      <c r="K447" s="511"/>
      <c r="L447" s="512"/>
      <c r="M447" s="513"/>
      <c r="N447" s="860"/>
      <c r="O447" s="4">
        <f t="shared" si="199"/>
        <v>0</v>
      </c>
      <c r="P447" s="4">
        <f t="shared" si="199"/>
        <v>0</v>
      </c>
      <c r="Q447" s="127"/>
      <c r="R447" s="60"/>
      <c r="S447" s="4">
        <f t="shared" si="201"/>
        <v>0</v>
      </c>
      <c r="T447" s="4">
        <f t="shared" si="201"/>
        <v>0</v>
      </c>
      <c r="U447" s="4">
        <f t="shared" si="201"/>
        <v>0</v>
      </c>
      <c r="V447" s="4">
        <f t="shared" si="201"/>
        <v>0</v>
      </c>
      <c r="W447" s="4">
        <f t="shared" si="201"/>
        <v>0</v>
      </c>
      <c r="X447" s="4">
        <f t="shared" si="201"/>
        <v>0</v>
      </c>
      <c r="Y447" s="605"/>
      <c r="Z447" s="6" t="str">
        <f>VLOOKUP($D447,TableInputsData[],ReadMe!$M$3,FALSE)&amp;"  |  "&amp;VLOOKUP($E447,TableInputsData[],ReadMe!$M$3,FALSE)&amp;"  |  "&amp;VLOOKUP($H447,TableInputsData[],ReadMe!$M$3,FALSE)</f>
        <v>ACTIFS MATERIEL IMMOBILISES  |  INVESTISSEMENTS  |  MATERIEL DE BUREAU</v>
      </c>
      <c r="AA447" s="6"/>
      <c r="AB447" s="34">
        <f t="shared" si="200"/>
        <v>0</v>
      </c>
      <c r="AC447" s="36"/>
      <c r="AD447" s="36"/>
      <c r="AE447" s="91"/>
      <c r="AF447" s="36">
        <v>1</v>
      </c>
      <c r="AG447" s="36"/>
      <c r="AH447" s="536"/>
      <c r="AI447" s="294"/>
    </row>
    <row r="448" spans="1:35" x14ac:dyDescent="0.2">
      <c r="A448" s="294"/>
      <c r="B448" s="922"/>
      <c r="C448" s="67">
        <v>3</v>
      </c>
      <c r="D448" s="16" t="s">
        <v>762</v>
      </c>
      <c r="E448" s="16" t="s">
        <v>755</v>
      </c>
      <c r="F448" s="16" t="s">
        <v>21</v>
      </c>
      <c r="G448" s="16" t="s">
        <v>846</v>
      </c>
      <c r="H448" s="17" t="s">
        <v>1168</v>
      </c>
      <c r="I448" s="17"/>
      <c r="J448" s="27"/>
      <c r="K448" s="27"/>
      <c r="L448" s="18">
        <f>SUM(L408:L447)</f>
        <v>0</v>
      </c>
      <c r="M448" s="112"/>
      <c r="N448" s="18">
        <f>SUM(N408:N447)</f>
        <v>0</v>
      </c>
      <c r="O448" s="18">
        <f>SUM(O408:O447)</f>
        <v>0</v>
      </c>
      <c r="P448" s="18">
        <f t="shared" ref="P448:X448" si="202">SUM(P408:P447)</f>
        <v>0</v>
      </c>
      <c r="Q448" s="18"/>
      <c r="R448" s="18"/>
      <c r="S448" s="18">
        <f t="shared" si="202"/>
        <v>0</v>
      </c>
      <c r="T448" s="18">
        <f t="shared" si="202"/>
        <v>0</v>
      </c>
      <c r="U448" s="18">
        <f t="shared" si="202"/>
        <v>0</v>
      </c>
      <c r="V448" s="18">
        <f t="shared" si="202"/>
        <v>0</v>
      </c>
      <c r="W448" s="18">
        <f t="shared" si="202"/>
        <v>0</v>
      </c>
      <c r="X448" s="18">
        <f t="shared" si="202"/>
        <v>0</v>
      </c>
      <c r="Y448" s="18"/>
      <c r="Z448" s="16"/>
      <c r="AA448" s="16"/>
      <c r="AB448" s="27">
        <v>1</v>
      </c>
      <c r="AC448" s="27">
        <v>1</v>
      </c>
      <c r="AD448" s="27"/>
      <c r="AE448" s="27"/>
      <c r="AF448" s="27">
        <v>1</v>
      </c>
      <c r="AG448" s="27"/>
      <c r="AH448" s="533"/>
      <c r="AI448" s="294"/>
    </row>
    <row r="449" spans="1:35" x14ac:dyDescent="0.2">
      <c r="A449" s="294"/>
      <c r="B449" s="922"/>
      <c r="C449" s="66">
        <v>3</v>
      </c>
      <c r="D449" s="3"/>
      <c r="E449" s="3"/>
      <c r="F449" s="3"/>
      <c r="G449" s="3"/>
      <c r="H449" s="5"/>
      <c r="I449" s="5"/>
      <c r="J449" s="26"/>
      <c r="K449" s="26"/>
      <c r="L449" s="96"/>
      <c r="M449" s="118"/>
      <c r="N449" s="861"/>
      <c r="O449" s="4"/>
      <c r="P449" s="4"/>
      <c r="Q449" s="4"/>
      <c r="R449" s="4"/>
      <c r="S449" s="4"/>
      <c r="T449" s="4"/>
      <c r="U449" s="4"/>
      <c r="V449" s="4"/>
      <c r="W449" s="4"/>
      <c r="X449" s="4"/>
      <c r="Y449" s="4"/>
      <c r="Z449" s="3"/>
      <c r="AA449" s="3"/>
      <c r="AB449" s="34"/>
      <c r="AC449" s="34"/>
      <c r="AD449" s="34"/>
      <c r="AE449" s="26"/>
      <c r="AF449" s="34"/>
      <c r="AG449" s="34"/>
      <c r="AH449" s="535"/>
      <c r="AI449" s="294"/>
    </row>
    <row r="450" spans="1:35" ht="12.75" customHeight="1" x14ac:dyDescent="0.2">
      <c r="A450" s="294"/>
      <c r="B450" s="922"/>
      <c r="C450" s="66">
        <v>3</v>
      </c>
      <c r="D450" s="3" t="s">
        <v>762</v>
      </c>
      <c r="E450" s="3" t="s">
        <v>755</v>
      </c>
      <c r="F450" s="3" t="s">
        <v>21</v>
      </c>
      <c r="G450" s="3" t="s">
        <v>814</v>
      </c>
      <c r="H450" s="5" t="s">
        <v>771</v>
      </c>
      <c r="I450" s="502"/>
      <c r="J450" s="26"/>
      <c r="K450" s="508">
        <v>2020</v>
      </c>
      <c r="L450" s="509">
        <v>0</v>
      </c>
      <c r="M450" s="510">
        <v>0.1</v>
      </c>
      <c r="N450" s="859">
        <v>0</v>
      </c>
      <c r="O450" s="4">
        <f t="shared" ref="O450:P459" si="203">IF($K450=O$5,$L450,0)</f>
        <v>0</v>
      </c>
      <c r="P450" s="4">
        <f t="shared" si="203"/>
        <v>0</v>
      </c>
      <c r="Q450" s="127"/>
      <c r="R450" s="60"/>
      <c r="S450" s="4">
        <f t="shared" ref="S450:X459" si="204">IF($K450=S$5,$L450,0)</f>
        <v>0</v>
      </c>
      <c r="T450" s="4">
        <f t="shared" si="204"/>
        <v>0</v>
      </c>
      <c r="U450" s="4">
        <f t="shared" si="204"/>
        <v>0</v>
      </c>
      <c r="V450" s="4">
        <f t="shared" si="204"/>
        <v>0</v>
      </c>
      <c r="W450" s="4">
        <f t="shared" si="204"/>
        <v>0</v>
      </c>
      <c r="X450" s="4">
        <f t="shared" si="204"/>
        <v>0</v>
      </c>
      <c r="Y450" s="607"/>
      <c r="Z450" s="3" t="str">
        <f>VLOOKUP($D450,TableInputsData[],ReadMe!$M$3,FALSE)&amp;"  |  "&amp;VLOOKUP($E450,TableInputsData[],ReadMe!$M$3,FALSE)&amp;"  |  "&amp;VLOOKUP($H450,TableInputsData[],ReadMe!$M$3,FALSE)</f>
        <v>ACTIFS MATERIEL IMMOBILISES  |  INVESTISSEMENTS  |  MATERIEL DE PRODUCTION</v>
      </c>
      <c r="AA450" s="3"/>
      <c r="AB450" s="34">
        <f t="shared" ref="AB450:AB459" si="205">IF(L450+SUM(O450:X450)=0,0,1)</f>
        <v>0</v>
      </c>
      <c r="AC450" s="34"/>
      <c r="AD450" s="34"/>
      <c r="AE450" s="26"/>
      <c r="AF450" s="34">
        <v>1</v>
      </c>
      <c r="AG450" s="34"/>
      <c r="AH450" s="535"/>
      <c r="AI450" s="294"/>
    </row>
    <row r="451" spans="1:35" x14ac:dyDescent="0.2">
      <c r="A451" s="294"/>
      <c r="B451" s="922"/>
      <c r="C451" s="66">
        <v>3</v>
      </c>
      <c r="D451" s="3" t="s">
        <v>762</v>
      </c>
      <c r="E451" s="3" t="s">
        <v>755</v>
      </c>
      <c r="F451" s="3" t="s">
        <v>21</v>
      </c>
      <c r="G451" s="3" t="s">
        <v>815</v>
      </c>
      <c r="H451" s="5" t="s">
        <v>771</v>
      </c>
      <c r="I451" s="502"/>
      <c r="J451" s="26"/>
      <c r="K451" s="508">
        <v>2021</v>
      </c>
      <c r="L451" s="509">
        <v>0</v>
      </c>
      <c r="M451" s="510">
        <v>0.1</v>
      </c>
      <c r="N451" s="859">
        <v>0</v>
      </c>
      <c r="O451" s="4">
        <f t="shared" si="203"/>
        <v>0</v>
      </c>
      <c r="P451" s="4">
        <f t="shared" si="203"/>
        <v>0</v>
      </c>
      <c r="Q451" s="127"/>
      <c r="R451" s="60"/>
      <c r="S451" s="4">
        <f t="shared" si="204"/>
        <v>0</v>
      </c>
      <c r="T451" s="4">
        <f t="shared" si="204"/>
        <v>0</v>
      </c>
      <c r="U451" s="4">
        <f t="shared" si="204"/>
        <v>0</v>
      </c>
      <c r="V451" s="4">
        <f t="shared" si="204"/>
        <v>0</v>
      </c>
      <c r="W451" s="4">
        <f t="shared" si="204"/>
        <v>0</v>
      </c>
      <c r="X451" s="4">
        <f t="shared" si="204"/>
        <v>0</v>
      </c>
      <c r="Y451" s="607"/>
      <c r="Z451" s="3" t="str">
        <f>VLOOKUP($D451,TableInputsData[],ReadMe!$M$3,FALSE)&amp;"  |  "&amp;VLOOKUP($E451,TableInputsData[],ReadMe!$M$3,FALSE)&amp;"  |  "&amp;VLOOKUP($H451,TableInputsData[],ReadMe!$M$3,FALSE)</f>
        <v>ACTIFS MATERIEL IMMOBILISES  |  INVESTISSEMENTS  |  MATERIEL DE PRODUCTION</v>
      </c>
      <c r="AA451" s="3"/>
      <c r="AB451" s="34">
        <f t="shared" si="205"/>
        <v>0</v>
      </c>
      <c r="AC451" s="34"/>
      <c r="AD451" s="34"/>
      <c r="AE451" s="26"/>
      <c r="AF451" s="34">
        <v>1</v>
      </c>
      <c r="AG451" s="34"/>
      <c r="AH451" s="535"/>
      <c r="AI451" s="294"/>
    </row>
    <row r="452" spans="1:35" x14ac:dyDescent="0.2">
      <c r="A452" s="294"/>
      <c r="B452" s="922"/>
      <c r="C452" s="66">
        <v>3</v>
      </c>
      <c r="D452" s="3" t="s">
        <v>762</v>
      </c>
      <c r="E452" s="3" t="s">
        <v>755</v>
      </c>
      <c r="F452" s="3" t="s">
        <v>21</v>
      </c>
      <c r="G452" s="3" t="s">
        <v>816</v>
      </c>
      <c r="H452" s="5" t="s">
        <v>771</v>
      </c>
      <c r="I452" s="502"/>
      <c r="J452" s="26"/>
      <c r="K452" s="508">
        <v>2022</v>
      </c>
      <c r="L452" s="509">
        <v>0</v>
      </c>
      <c r="M452" s="510">
        <v>0.1</v>
      </c>
      <c r="N452" s="859">
        <v>0</v>
      </c>
      <c r="O452" s="4">
        <f t="shared" si="203"/>
        <v>0</v>
      </c>
      <c r="P452" s="4">
        <f t="shared" si="203"/>
        <v>0</v>
      </c>
      <c r="Q452" s="127"/>
      <c r="R452" s="60"/>
      <c r="S452" s="4">
        <f t="shared" si="204"/>
        <v>0</v>
      </c>
      <c r="T452" s="4">
        <f t="shared" si="204"/>
        <v>0</v>
      </c>
      <c r="U452" s="4">
        <f t="shared" si="204"/>
        <v>0</v>
      </c>
      <c r="V452" s="4">
        <f t="shared" si="204"/>
        <v>0</v>
      </c>
      <c r="W452" s="4">
        <f t="shared" si="204"/>
        <v>0</v>
      </c>
      <c r="X452" s="4">
        <f t="shared" si="204"/>
        <v>0</v>
      </c>
      <c r="Y452" s="607"/>
      <c r="Z452" s="3" t="str">
        <f>VLOOKUP($D452,TableInputsData[],ReadMe!$M$3,FALSE)&amp;"  |  "&amp;VLOOKUP($E452,TableInputsData[],ReadMe!$M$3,FALSE)&amp;"  |  "&amp;VLOOKUP($H452,TableInputsData[],ReadMe!$M$3,FALSE)</f>
        <v>ACTIFS MATERIEL IMMOBILISES  |  INVESTISSEMENTS  |  MATERIEL DE PRODUCTION</v>
      </c>
      <c r="AA452" s="3"/>
      <c r="AB452" s="34">
        <f t="shared" si="205"/>
        <v>0</v>
      </c>
      <c r="AC452" s="34"/>
      <c r="AD452" s="34"/>
      <c r="AE452" s="26"/>
      <c r="AF452" s="34">
        <v>1</v>
      </c>
      <c r="AG452" s="34"/>
      <c r="AH452" s="535"/>
      <c r="AI452" s="294"/>
    </row>
    <row r="453" spans="1:35" x14ac:dyDescent="0.2">
      <c r="A453" s="294"/>
      <c r="B453" s="922"/>
      <c r="C453" s="66">
        <v>3</v>
      </c>
      <c r="D453" s="3" t="s">
        <v>762</v>
      </c>
      <c r="E453" s="3" t="s">
        <v>755</v>
      </c>
      <c r="F453" s="3" t="s">
        <v>21</v>
      </c>
      <c r="G453" s="3" t="s">
        <v>817</v>
      </c>
      <c r="H453" s="5" t="s">
        <v>771</v>
      </c>
      <c r="I453" s="502"/>
      <c r="J453" s="26"/>
      <c r="K453" s="508">
        <v>2023</v>
      </c>
      <c r="L453" s="509">
        <v>0</v>
      </c>
      <c r="M453" s="510">
        <v>0.1</v>
      </c>
      <c r="N453" s="859">
        <v>0</v>
      </c>
      <c r="O453" s="4">
        <f t="shared" si="203"/>
        <v>0</v>
      </c>
      <c r="P453" s="4">
        <f t="shared" si="203"/>
        <v>0</v>
      </c>
      <c r="Q453" s="127"/>
      <c r="R453" s="60"/>
      <c r="S453" s="4">
        <f t="shared" si="204"/>
        <v>0</v>
      </c>
      <c r="T453" s="4">
        <f t="shared" si="204"/>
        <v>0</v>
      </c>
      <c r="U453" s="4">
        <f t="shared" si="204"/>
        <v>0</v>
      </c>
      <c r="V453" s="4">
        <f t="shared" si="204"/>
        <v>0</v>
      </c>
      <c r="W453" s="4">
        <f t="shared" si="204"/>
        <v>0</v>
      </c>
      <c r="X453" s="4">
        <f t="shared" si="204"/>
        <v>0</v>
      </c>
      <c r="Y453" s="607"/>
      <c r="Z453" s="3" t="str">
        <f>VLOOKUP($D453,TableInputsData[],ReadMe!$M$3,FALSE)&amp;"  |  "&amp;VLOOKUP($E453,TableInputsData[],ReadMe!$M$3,FALSE)&amp;"  |  "&amp;VLOOKUP($H453,TableInputsData[],ReadMe!$M$3,FALSE)</f>
        <v>ACTIFS MATERIEL IMMOBILISES  |  INVESTISSEMENTS  |  MATERIEL DE PRODUCTION</v>
      </c>
      <c r="AA453" s="3"/>
      <c r="AB453" s="34">
        <f t="shared" si="205"/>
        <v>0</v>
      </c>
      <c r="AC453" s="34"/>
      <c r="AD453" s="34"/>
      <c r="AE453" s="26"/>
      <c r="AF453" s="34">
        <v>1</v>
      </c>
      <c r="AG453" s="34"/>
      <c r="AH453" s="535"/>
      <c r="AI453" s="294"/>
    </row>
    <row r="454" spans="1:35" x14ac:dyDescent="0.2">
      <c r="A454" s="294"/>
      <c r="B454" s="922"/>
      <c r="C454" s="66">
        <v>3</v>
      </c>
      <c r="D454" s="3" t="s">
        <v>762</v>
      </c>
      <c r="E454" s="3" t="s">
        <v>755</v>
      </c>
      <c r="F454" s="3" t="s">
        <v>21</v>
      </c>
      <c r="G454" s="3" t="s">
        <v>818</v>
      </c>
      <c r="H454" s="5" t="s">
        <v>771</v>
      </c>
      <c r="I454" s="502"/>
      <c r="J454" s="26"/>
      <c r="K454" s="508">
        <v>2024</v>
      </c>
      <c r="L454" s="509">
        <v>0</v>
      </c>
      <c r="M454" s="510">
        <v>0.1</v>
      </c>
      <c r="N454" s="859">
        <v>0</v>
      </c>
      <c r="O454" s="4">
        <f t="shared" si="203"/>
        <v>0</v>
      </c>
      <c r="P454" s="4">
        <f t="shared" si="203"/>
        <v>0</v>
      </c>
      <c r="Q454" s="127"/>
      <c r="R454" s="60"/>
      <c r="S454" s="4">
        <f t="shared" si="204"/>
        <v>0</v>
      </c>
      <c r="T454" s="4">
        <f t="shared" si="204"/>
        <v>0</v>
      </c>
      <c r="U454" s="4">
        <f t="shared" si="204"/>
        <v>0</v>
      </c>
      <c r="V454" s="4">
        <f t="shared" si="204"/>
        <v>0</v>
      </c>
      <c r="W454" s="4">
        <f t="shared" si="204"/>
        <v>0</v>
      </c>
      <c r="X454" s="4">
        <f t="shared" si="204"/>
        <v>0</v>
      </c>
      <c r="Y454" s="607"/>
      <c r="Z454" s="3" t="str">
        <f>VLOOKUP($D454,TableInputsData[],ReadMe!$M$3,FALSE)&amp;"  |  "&amp;VLOOKUP($E454,TableInputsData[],ReadMe!$M$3,FALSE)&amp;"  |  "&amp;VLOOKUP($H454,TableInputsData[],ReadMe!$M$3,FALSE)</f>
        <v>ACTIFS MATERIEL IMMOBILISES  |  INVESTISSEMENTS  |  MATERIEL DE PRODUCTION</v>
      </c>
      <c r="AA454" s="3"/>
      <c r="AB454" s="34">
        <f t="shared" si="205"/>
        <v>0</v>
      </c>
      <c r="AC454" s="34"/>
      <c r="AD454" s="34"/>
      <c r="AE454" s="26"/>
      <c r="AF454" s="34">
        <v>1</v>
      </c>
      <c r="AG454" s="34"/>
      <c r="AH454" s="535"/>
      <c r="AI454" s="294"/>
    </row>
    <row r="455" spans="1:35" x14ac:dyDescent="0.2">
      <c r="A455" s="294"/>
      <c r="B455" s="922"/>
      <c r="C455" s="66">
        <v>3</v>
      </c>
      <c r="D455" s="3" t="s">
        <v>762</v>
      </c>
      <c r="E455" s="3" t="s">
        <v>755</v>
      </c>
      <c r="F455" s="3" t="s">
        <v>21</v>
      </c>
      <c r="G455" s="3" t="s">
        <v>819</v>
      </c>
      <c r="H455" s="5" t="s">
        <v>771</v>
      </c>
      <c r="I455" s="502"/>
      <c r="J455" s="26"/>
      <c r="K455" s="508">
        <v>2025</v>
      </c>
      <c r="L455" s="509">
        <v>0</v>
      </c>
      <c r="M455" s="510">
        <v>0.1</v>
      </c>
      <c r="N455" s="859">
        <v>0</v>
      </c>
      <c r="O455" s="4">
        <f t="shared" si="203"/>
        <v>0</v>
      </c>
      <c r="P455" s="4">
        <f t="shared" si="203"/>
        <v>0</v>
      </c>
      <c r="Q455" s="127"/>
      <c r="R455" s="60"/>
      <c r="S455" s="4">
        <f t="shared" si="204"/>
        <v>0</v>
      </c>
      <c r="T455" s="4">
        <f t="shared" si="204"/>
        <v>0</v>
      </c>
      <c r="U455" s="4">
        <f t="shared" si="204"/>
        <v>0</v>
      </c>
      <c r="V455" s="4">
        <f t="shared" si="204"/>
        <v>0</v>
      </c>
      <c r="W455" s="4">
        <f t="shared" si="204"/>
        <v>0</v>
      </c>
      <c r="X455" s="4">
        <f t="shared" si="204"/>
        <v>0</v>
      </c>
      <c r="Y455" s="607"/>
      <c r="Z455" s="3" t="str">
        <f>VLOOKUP($D455,TableInputsData[],ReadMe!$M$3,FALSE)&amp;"  |  "&amp;VLOOKUP($E455,TableInputsData[],ReadMe!$M$3,FALSE)&amp;"  |  "&amp;VLOOKUP($H455,TableInputsData[],ReadMe!$M$3,FALSE)</f>
        <v>ACTIFS MATERIEL IMMOBILISES  |  INVESTISSEMENTS  |  MATERIEL DE PRODUCTION</v>
      </c>
      <c r="AA455" s="3"/>
      <c r="AB455" s="34">
        <f t="shared" si="205"/>
        <v>0</v>
      </c>
      <c r="AC455" s="34"/>
      <c r="AD455" s="34"/>
      <c r="AE455" s="26"/>
      <c r="AF455" s="34">
        <v>1</v>
      </c>
      <c r="AG455" s="34"/>
      <c r="AH455" s="535"/>
      <c r="AI455" s="294"/>
    </row>
    <row r="456" spans="1:35" x14ac:dyDescent="0.2">
      <c r="A456" s="294"/>
      <c r="B456" s="922"/>
      <c r="C456" s="66">
        <v>3</v>
      </c>
      <c r="D456" s="3" t="s">
        <v>762</v>
      </c>
      <c r="E456" s="3" t="s">
        <v>755</v>
      </c>
      <c r="F456" s="3" t="s">
        <v>21</v>
      </c>
      <c r="G456" s="3" t="s">
        <v>820</v>
      </c>
      <c r="H456" s="5" t="s">
        <v>771</v>
      </c>
      <c r="I456" s="502"/>
      <c r="J456" s="26"/>
      <c r="K456" s="508">
        <v>2026</v>
      </c>
      <c r="L456" s="509">
        <v>0</v>
      </c>
      <c r="M456" s="510">
        <v>0.1</v>
      </c>
      <c r="N456" s="859">
        <v>0</v>
      </c>
      <c r="O456" s="4">
        <f t="shared" si="203"/>
        <v>0</v>
      </c>
      <c r="P456" s="4">
        <f t="shared" si="203"/>
        <v>0</v>
      </c>
      <c r="Q456" s="127"/>
      <c r="R456" s="60"/>
      <c r="S456" s="4">
        <f t="shared" si="204"/>
        <v>0</v>
      </c>
      <c r="T456" s="4">
        <f t="shared" si="204"/>
        <v>0</v>
      </c>
      <c r="U456" s="4">
        <f t="shared" si="204"/>
        <v>0</v>
      </c>
      <c r="V456" s="4">
        <f t="shared" si="204"/>
        <v>0</v>
      </c>
      <c r="W456" s="4">
        <f t="shared" si="204"/>
        <v>0</v>
      </c>
      <c r="X456" s="4">
        <f t="shared" si="204"/>
        <v>0</v>
      </c>
      <c r="Y456" s="607"/>
      <c r="Z456" s="3" t="str">
        <f>VLOOKUP($D456,TableInputsData[],ReadMe!$M$3,FALSE)&amp;"  |  "&amp;VLOOKUP($E456,TableInputsData[],ReadMe!$M$3,FALSE)&amp;"  |  "&amp;VLOOKUP($H456,TableInputsData[],ReadMe!$M$3,FALSE)</f>
        <v>ACTIFS MATERIEL IMMOBILISES  |  INVESTISSEMENTS  |  MATERIEL DE PRODUCTION</v>
      </c>
      <c r="AA456" s="3"/>
      <c r="AB456" s="34">
        <f t="shared" si="205"/>
        <v>0</v>
      </c>
      <c r="AC456" s="34"/>
      <c r="AD456" s="34"/>
      <c r="AE456" s="26"/>
      <c r="AF456" s="34">
        <v>1</v>
      </c>
      <c r="AG456" s="34"/>
      <c r="AH456" s="535"/>
      <c r="AI456" s="294"/>
    </row>
    <row r="457" spans="1:35" x14ac:dyDescent="0.2">
      <c r="A457" s="294"/>
      <c r="B457" s="922"/>
      <c r="C457" s="66">
        <v>3</v>
      </c>
      <c r="D457" s="3" t="s">
        <v>762</v>
      </c>
      <c r="E457" s="3" t="s">
        <v>755</v>
      </c>
      <c r="F457" s="3" t="s">
        <v>21</v>
      </c>
      <c r="G457" s="3" t="s">
        <v>821</v>
      </c>
      <c r="H457" s="5" t="s">
        <v>771</v>
      </c>
      <c r="I457" s="502"/>
      <c r="J457" s="26"/>
      <c r="K457" s="508"/>
      <c r="L457" s="509"/>
      <c r="M457" s="510"/>
      <c r="N457" s="859"/>
      <c r="O457" s="4">
        <f t="shared" si="203"/>
        <v>0</v>
      </c>
      <c r="P457" s="4">
        <f t="shared" si="203"/>
        <v>0</v>
      </c>
      <c r="Q457" s="127"/>
      <c r="R457" s="60"/>
      <c r="S457" s="4">
        <f t="shared" si="204"/>
        <v>0</v>
      </c>
      <c r="T457" s="4">
        <f t="shared" si="204"/>
        <v>0</v>
      </c>
      <c r="U457" s="4">
        <f t="shared" si="204"/>
        <v>0</v>
      </c>
      <c r="V457" s="4">
        <f t="shared" si="204"/>
        <v>0</v>
      </c>
      <c r="W457" s="4">
        <f t="shared" si="204"/>
        <v>0</v>
      </c>
      <c r="X457" s="4">
        <f t="shared" si="204"/>
        <v>0</v>
      </c>
      <c r="Y457" s="607"/>
      <c r="Z457" s="3" t="str">
        <f>VLOOKUP($D457,TableInputsData[],ReadMe!$M$3,FALSE)&amp;"  |  "&amp;VLOOKUP($E457,TableInputsData[],ReadMe!$M$3,FALSE)&amp;"  |  "&amp;VLOOKUP($H457,TableInputsData[],ReadMe!$M$3,FALSE)</f>
        <v>ACTIFS MATERIEL IMMOBILISES  |  INVESTISSEMENTS  |  MATERIEL DE PRODUCTION</v>
      </c>
      <c r="AA457" s="3"/>
      <c r="AB457" s="34">
        <f t="shared" si="205"/>
        <v>0</v>
      </c>
      <c r="AC457" s="34"/>
      <c r="AD457" s="34"/>
      <c r="AE457" s="26"/>
      <c r="AF457" s="34">
        <v>1</v>
      </c>
      <c r="AG457" s="34"/>
      <c r="AH457" s="535"/>
      <c r="AI457" s="294"/>
    </row>
    <row r="458" spans="1:35" x14ac:dyDescent="0.2">
      <c r="A458" s="294"/>
      <c r="B458" s="922"/>
      <c r="C458" s="66">
        <v>3</v>
      </c>
      <c r="D458" s="3" t="s">
        <v>762</v>
      </c>
      <c r="E458" s="3" t="s">
        <v>755</v>
      </c>
      <c r="F458" s="3" t="s">
        <v>21</v>
      </c>
      <c r="G458" s="3" t="s">
        <v>822</v>
      </c>
      <c r="H458" s="5" t="s">
        <v>771</v>
      </c>
      <c r="I458" s="502"/>
      <c r="J458" s="26"/>
      <c r="K458" s="508"/>
      <c r="L458" s="509"/>
      <c r="M458" s="510"/>
      <c r="N458" s="859"/>
      <c r="O458" s="4">
        <f t="shared" si="203"/>
        <v>0</v>
      </c>
      <c r="P458" s="4">
        <f t="shared" si="203"/>
        <v>0</v>
      </c>
      <c r="Q458" s="127"/>
      <c r="R458" s="60"/>
      <c r="S458" s="4">
        <f t="shared" si="204"/>
        <v>0</v>
      </c>
      <c r="T458" s="4">
        <f t="shared" si="204"/>
        <v>0</v>
      </c>
      <c r="U458" s="4">
        <f t="shared" si="204"/>
        <v>0</v>
      </c>
      <c r="V458" s="4">
        <f t="shared" si="204"/>
        <v>0</v>
      </c>
      <c r="W458" s="4">
        <f t="shared" si="204"/>
        <v>0</v>
      </c>
      <c r="X458" s="4">
        <f t="shared" si="204"/>
        <v>0</v>
      </c>
      <c r="Y458" s="607"/>
      <c r="Z458" s="3" t="str">
        <f>VLOOKUP($D458,TableInputsData[],ReadMe!$M$3,FALSE)&amp;"  |  "&amp;VLOOKUP($E458,TableInputsData[],ReadMe!$M$3,FALSE)&amp;"  |  "&amp;VLOOKUP($H458,TableInputsData[],ReadMe!$M$3,FALSE)</f>
        <v>ACTIFS MATERIEL IMMOBILISES  |  INVESTISSEMENTS  |  MATERIEL DE PRODUCTION</v>
      </c>
      <c r="AA458" s="3"/>
      <c r="AB458" s="34">
        <f t="shared" si="205"/>
        <v>0</v>
      </c>
      <c r="AC458" s="34"/>
      <c r="AD458" s="34"/>
      <c r="AE458" s="26"/>
      <c r="AF458" s="34">
        <v>1</v>
      </c>
      <c r="AG458" s="34"/>
      <c r="AH458" s="535"/>
      <c r="AI458" s="294"/>
    </row>
    <row r="459" spans="1:35" x14ac:dyDescent="0.2">
      <c r="A459" s="294"/>
      <c r="B459" s="922"/>
      <c r="C459" s="66">
        <v>3</v>
      </c>
      <c r="D459" s="3" t="s">
        <v>762</v>
      </c>
      <c r="E459" s="3" t="s">
        <v>755</v>
      </c>
      <c r="F459" s="3" t="s">
        <v>21</v>
      </c>
      <c r="G459" s="3" t="s">
        <v>823</v>
      </c>
      <c r="H459" s="5" t="s">
        <v>771</v>
      </c>
      <c r="I459" s="502"/>
      <c r="J459" s="26"/>
      <c r="K459" s="508"/>
      <c r="L459" s="509"/>
      <c r="M459" s="510"/>
      <c r="N459" s="859"/>
      <c r="O459" s="4">
        <f t="shared" si="203"/>
        <v>0</v>
      </c>
      <c r="P459" s="4">
        <f t="shared" si="203"/>
        <v>0</v>
      </c>
      <c r="Q459" s="127"/>
      <c r="R459" s="60"/>
      <c r="S459" s="4">
        <f t="shared" si="204"/>
        <v>0</v>
      </c>
      <c r="T459" s="4">
        <f t="shared" si="204"/>
        <v>0</v>
      </c>
      <c r="U459" s="4">
        <f t="shared" si="204"/>
        <v>0</v>
      </c>
      <c r="V459" s="4">
        <f t="shared" si="204"/>
        <v>0</v>
      </c>
      <c r="W459" s="4">
        <f t="shared" si="204"/>
        <v>0</v>
      </c>
      <c r="X459" s="4">
        <f t="shared" si="204"/>
        <v>0</v>
      </c>
      <c r="Y459" s="607"/>
      <c r="Z459" s="3" t="str">
        <f>VLOOKUP($D459,TableInputsData[],ReadMe!$M$3,FALSE)&amp;"  |  "&amp;VLOOKUP($E459,TableInputsData[],ReadMe!$M$3,FALSE)&amp;"  |  "&amp;VLOOKUP($H459,TableInputsData[],ReadMe!$M$3,FALSE)</f>
        <v>ACTIFS MATERIEL IMMOBILISES  |  INVESTISSEMENTS  |  MATERIEL DE PRODUCTION</v>
      </c>
      <c r="AA459" s="3"/>
      <c r="AB459" s="34">
        <f t="shared" si="205"/>
        <v>0</v>
      </c>
      <c r="AC459" s="34"/>
      <c r="AD459" s="34"/>
      <c r="AE459" s="26"/>
      <c r="AF459" s="34">
        <v>1</v>
      </c>
      <c r="AG459" s="34"/>
      <c r="AH459" s="535"/>
      <c r="AI459" s="294"/>
    </row>
    <row r="460" spans="1:35" x14ac:dyDescent="0.2">
      <c r="A460" s="294"/>
      <c r="B460" s="922"/>
      <c r="C460" s="67">
        <v>3</v>
      </c>
      <c r="D460" s="16" t="s">
        <v>762</v>
      </c>
      <c r="E460" s="16" t="s">
        <v>755</v>
      </c>
      <c r="F460" s="16" t="s">
        <v>21</v>
      </c>
      <c r="G460" s="16" t="s">
        <v>845</v>
      </c>
      <c r="H460" s="17" t="s">
        <v>1167</v>
      </c>
      <c r="I460" s="17"/>
      <c r="J460" s="27"/>
      <c r="K460" s="27"/>
      <c r="L460" s="18">
        <f>SUM(L450:L459)</f>
        <v>0</v>
      </c>
      <c r="M460" s="112"/>
      <c r="N460" s="18">
        <f>SUM(N450:N459)</f>
        <v>0</v>
      </c>
      <c r="O460" s="18">
        <f>SUM(O450:O459)</f>
        <v>0</v>
      </c>
      <c r="P460" s="18">
        <f t="shared" ref="P460:X460" si="206">SUM(P450:P459)</f>
        <v>0</v>
      </c>
      <c r="Q460" s="18"/>
      <c r="R460" s="18"/>
      <c r="S460" s="18">
        <f t="shared" si="206"/>
        <v>0</v>
      </c>
      <c r="T460" s="18">
        <f t="shared" si="206"/>
        <v>0</v>
      </c>
      <c r="U460" s="18">
        <f t="shared" si="206"/>
        <v>0</v>
      </c>
      <c r="V460" s="18">
        <f t="shared" si="206"/>
        <v>0</v>
      </c>
      <c r="W460" s="18">
        <f t="shared" si="206"/>
        <v>0</v>
      </c>
      <c r="X460" s="18">
        <f t="shared" si="206"/>
        <v>0</v>
      </c>
      <c r="Y460" s="18"/>
      <c r="Z460" s="16"/>
      <c r="AA460" s="16"/>
      <c r="AB460" s="27">
        <v>1</v>
      </c>
      <c r="AC460" s="27">
        <v>1</v>
      </c>
      <c r="AD460" s="27"/>
      <c r="AE460" s="27"/>
      <c r="AF460" s="27">
        <v>1</v>
      </c>
      <c r="AG460" s="27"/>
      <c r="AH460" s="533"/>
      <c r="AI460" s="294"/>
    </row>
    <row r="461" spans="1:35" x14ac:dyDescent="0.2">
      <c r="A461" s="294"/>
      <c r="B461" s="922"/>
      <c r="C461" s="66">
        <v>3</v>
      </c>
      <c r="D461" s="3"/>
      <c r="E461" s="3"/>
      <c r="F461" s="3"/>
      <c r="G461" s="3"/>
      <c r="H461" s="5"/>
      <c r="I461" s="5"/>
      <c r="J461" s="26"/>
      <c r="K461" s="26"/>
      <c r="L461" s="96"/>
      <c r="M461" s="118"/>
      <c r="N461" s="861"/>
      <c r="O461" s="4"/>
      <c r="P461" s="4"/>
      <c r="Q461" s="4"/>
      <c r="R461" s="4"/>
      <c r="S461" s="4"/>
      <c r="T461" s="4"/>
      <c r="U461" s="4"/>
      <c r="V461" s="4"/>
      <c r="W461" s="4"/>
      <c r="X461" s="4"/>
      <c r="Y461" s="4"/>
      <c r="Z461" s="3"/>
      <c r="AA461" s="3"/>
      <c r="AB461" s="34"/>
      <c r="AC461" s="34"/>
      <c r="AD461" s="34"/>
      <c r="AE461" s="26"/>
      <c r="AF461" s="34"/>
      <c r="AG461" s="34"/>
      <c r="AH461" s="535"/>
      <c r="AI461" s="294"/>
    </row>
    <row r="462" spans="1:35" ht="12.75" customHeight="1" x14ac:dyDescent="0.2">
      <c r="A462" s="294"/>
      <c r="B462" s="922"/>
      <c r="C462" s="66">
        <v>3</v>
      </c>
      <c r="D462" s="3" t="s">
        <v>762</v>
      </c>
      <c r="E462" s="3" t="s">
        <v>755</v>
      </c>
      <c r="F462" s="3" t="s">
        <v>21</v>
      </c>
      <c r="G462" s="3" t="s">
        <v>824</v>
      </c>
      <c r="H462" s="3" t="s">
        <v>773</v>
      </c>
      <c r="I462" s="502"/>
      <c r="J462" s="26"/>
      <c r="K462" s="508">
        <v>2020</v>
      </c>
      <c r="L462" s="509">
        <v>0</v>
      </c>
      <c r="M462" s="510">
        <v>0.1</v>
      </c>
      <c r="N462" s="859">
        <v>0</v>
      </c>
      <c r="O462" s="4">
        <f t="shared" ref="O462:P481" si="207">IF($K462=O$5,$L462,0)</f>
        <v>0</v>
      </c>
      <c r="P462" s="4">
        <f t="shared" si="207"/>
        <v>0</v>
      </c>
      <c r="Q462" s="127"/>
      <c r="R462" s="60"/>
      <c r="S462" s="4">
        <f t="shared" ref="S462:X481" si="208">IF($K462=S$5,$L462,0)</f>
        <v>0</v>
      </c>
      <c r="T462" s="4">
        <f t="shared" si="208"/>
        <v>0</v>
      </c>
      <c r="U462" s="4">
        <f t="shared" si="208"/>
        <v>0</v>
      </c>
      <c r="V462" s="4">
        <f t="shared" si="208"/>
        <v>0</v>
      </c>
      <c r="W462" s="4">
        <f t="shared" si="208"/>
        <v>0</v>
      </c>
      <c r="X462" s="4">
        <f t="shared" si="208"/>
        <v>0</v>
      </c>
      <c r="Y462" s="607"/>
      <c r="Z462" s="3" t="str">
        <f>VLOOKUP($D462,TableInputsData[],ReadMe!$M$3,FALSE)&amp;"  |  "&amp;VLOOKUP($E462,TableInputsData[],ReadMe!$M$3,FALSE)&amp;"  |  "&amp;VLOOKUP($H462,TableInputsData[],ReadMe!$M$3,FALSE)</f>
        <v>ACTIFS MATERIEL IMMOBILISES  |  INVESTISSEMENTS  |  AUTRES ACTIFS</v>
      </c>
      <c r="AA462" s="3"/>
      <c r="AB462" s="34">
        <f t="shared" ref="AB462:AB481" si="209">IF(L462+SUM(O462:X462)=0,0,1)</f>
        <v>0</v>
      </c>
      <c r="AC462" s="34"/>
      <c r="AD462" s="34"/>
      <c r="AE462" s="26"/>
      <c r="AF462" s="34">
        <v>1</v>
      </c>
      <c r="AG462" s="34"/>
      <c r="AH462" s="535"/>
      <c r="AI462" s="294"/>
    </row>
    <row r="463" spans="1:35" x14ac:dyDescent="0.2">
      <c r="A463" s="294"/>
      <c r="B463" s="922"/>
      <c r="C463" s="66">
        <v>3</v>
      </c>
      <c r="D463" s="3" t="s">
        <v>762</v>
      </c>
      <c r="E463" s="3" t="s">
        <v>755</v>
      </c>
      <c r="F463" s="3" t="s">
        <v>21</v>
      </c>
      <c r="G463" s="3" t="s">
        <v>825</v>
      </c>
      <c r="H463" s="3" t="s">
        <v>773</v>
      </c>
      <c r="I463" s="502"/>
      <c r="J463" s="26"/>
      <c r="K463" s="508">
        <v>2021</v>
      </c>
      <c r="L463" s="509">
        <v>0</v>
      </c>
      <c r="M463" s="510">
        <v>0.1</v>
      </c>
      <c r="N463" s="859">
        <v>0</v>
      </c>
      <c r="O463" s="4">
        <f t="shared" si="207"/>
        <v>0</v>
      </c>
      <c r="P463" s="4">
        <f t="shared" si="207"/>
        <v>0</v>
      </c>
      <c r="Q463" s="127"/>
      <c r="R463" s="60"/>
      <c r="S463" s="4">
        <f t="shared" si="208"/>
        <v>0</v>
      </c>
      <c r="T463" s="4">
        <f t="shared" si="208"/>
        <v>0</v>
      </c>
      <c r="U463" s="4">
        <f t="shared" si="208"/>
        <v>0</v>
      </c>
      <c r="V463" s="4">
        <f t="shared" si="208"/>
        <v>0</v>
      </c>
      <c r="W463" s="4">
        <f t="shared" si="208"/>
        <v>0</v>
      </c>
      <c r="X463" s="4">
        <f t="shared" si="208"/>
        <v>0</v>
      </c>
      <c r="Y463" s="607"/>
      <c r="Z463" s="3" t="str">
        <f>VLOOKUP($D463,TableInputsData[],ReadMe!$M$3,FALSE)&amp;"  |  "&amp;VLOOKUP($E463,TableInputsData[],ReadMe!$M$3,FALSE)&amp;"  |  "&amp;VLOOKUP($H463,TableInputsData[],ReadMe!$M$3,FALSE)</f>
        <v>ACTIFS MATERIEL IMMOBILISES  |  INVESTISSEMENTS  |  AUTRES ACTIFS</v>
      </c>
      <c r="AA463" s="3"/>
      <c r="AB463" s="34">
        <f t="shared" si="209"/>
        <v>0</v>
      </c>
      <c r="AC463" s="34"/>
      <c r="AD463" s="34"/>
      <c r="AE463" s="26"/>
      <c r="AF463" s="34">
        <v>1</v>
      </c>
      <c r="AG463" s="34"/>
      <c r="AH463" s="535"/>
      <c r="AI463" s="294"/>
    </row>
    <row r="464" spans="1:35" x14ac:dyDescent="0.2">
      <c r="A464" s="294"/>
      <c r="B464" s="922"/>
      <c r="C464" s="66">
        <v>3</v>
      </c>
      <c r="D464" s="3" t="s">
        <v>762</v>
      </c>
      <c r="E464" s="3" t="s">
        <v>755</v>
      </c>
      <c r="F464" s="3" t="s">
        <v>21</v>
      </c>
      <c r="G464" s="3" t="s">
        <v>826</v>
      </c>
      <c r="H464" s="3" t="s">
        <v>773</v>
      </c>
      <c r="I464" s="502"/>
      <c r="J464" s="26"/>
      <c r="K464" s="508">
        <v>2022</v>
      </c>
      <c r="L464" s="509">
        <v>0</v>
      </c>
      <c r="M464" s="510">
        <v>0.1</v>
      </c>
      <c r="N464" s="859">
        <v>0</v>
      </c>
      <c r="O464" s="4">
        <f t="shared" si="207"/>
        <v>0</v>
      </c>
      <c r="P464" s="4">
        <f t="shared" si="207"/>
        <v>0</v>
      </c>
      <c r="Q464" s="127"/>
      <c r="R464" s="60"/>
      <c r="S464" s="4">
        <f t="shared" si="208"/>
        <v>0</v>
      </c>
      <c r="T464" s="4">
        <f t="shared" si="208"/>
        <v>0</v>
      </c>
      <c r="U464" s="4">
        <f t="shared" si="208"/>
        <v>0</v>
      </c>
      <c r="V464" s="4">
        <f t="shared" si="208"/>
        <v>0</v>
      </c>
      <c r="W464" s="4">
        <f t="shared" si="208"/>
        <v>0</v>
      </c>
      <c r="X464" s="4">
        <f t="shared" si="208"/>
        <v>0</v>
      </c>
      <c r="Y464" s="607"/>
      <c r="Z464" s="3" t="str">
        <f>VLOOKUP($D464,TableInputsData[],ReadMe!$M$3,FALSE)&amp;"  |  "&amp;VLOOKUP($E464,TableInputsData[],ReadMe!$M$3,FALSE)&amp;"  |  "&amp;VLOOKUP($H464,TableInputsData[],ReadMe!$M$3,FALSE)</f>
        <v>ACTIFS MATERIEL IMMOBILISES  |  INVESTISSEMENTS  |  AUTRES ACTIFS</v>
      </c>
      <c r="AA464" s="3"/>
      <c r="AB464" s="34">
        <f t="shared" si="209"/>
        <v>0</v>
      </c>
      <c r="AC464" s="34"/>
      <c r="AD464" s="34"/>
      <c r="AE464" s="26"/>
      <c r="AF464" s="34">
        <v>1</v>
      </c>
      <c r="AG464" s="34"/>
      <c r="AH464" s="535"/>
      <c r="AI464" s="294"/>
    </row>
    <row r="465" spans="1:35" x14ac:dyDescent="0.2">
      <c r="A465" s="294"/>
      <c r="B465" s="922"/>
      <c r="C465" s="66">
        <v>3</v>
      </c>
      <c r="D465" s="3" t="s">
        <v>762</v>
      </c>
      <c r="E465" s="3" t="s">
        <v>755</v>
      </c>
      <c r="F465" s="3" t="s">
        <v>21</v>
      </c>
      <c r="G465" s="3" t="s">
        <v>827</v>
      </c>
      <c r="H465" s="3" t="s">
        <v>773</v>
      </c>
      <c r="I465" s="502"/>
      <c r="J465" s="26"/>
      <c r="K465" s="508">
        <v>2023</v>
      </c>
      <c r="L465" s="509">
        <v>0</v>
      </c>
      <c r="M465" s="510">
        <v>0.1</v>
      </c>
      <c r="N465" s="859">
        <v>0</v>
      </c>
      <c r="O465" s="4">
        <f t="shared" si="207"/>
        <v>0</v>
      </c>
      <c r="P465" s="4">
        <f t="shared" si="207"/>
        <v>0</v>
      </c>
      <c r="Q465" s="127"/>
      <c r="R465" s="60"/>
      <c r="S465" s="4">
        <f t="shared" si="208"/>
        <v>0</v>
      </c>
      <c r="T465" s="4">
        <f t="shared" si="208"/>
        <v>0</v>
      </c>
      <c r="U465" s="4">
        <f t="shared" si="208"/>
        <v>0</v>
      </c>
      <c r="V465" s="4">
        <f t="shared" si="208"/>
        <v>0</v>
      </c>
      <c r="W465" s="4">
        <f t="shared" si="208"/>
        <v>0</v>
      </c>
      <c r="X465" s="4">
        <f t="shared" si="208"/>
        <v>0</v>
      </c>
      <c r="Y465" s="607"/>
      <c r="Z465" s="3" t="str">
        <f>VLOOKUP($D465,TableInputsData[],ReadMe!$M$3,FALSE)&amp;"  |  "&amp;VLOOKUP($E465,TableInputsData[],ReadMe!$M$3,FALSE)&amp;"  |  "&amp;VLOOKUP($H465,TableInputsData[],ReadMe!$M$3,FALSE)</f>
        <v>ACTIFS MATERIEL IMMOBILISES  |  INVESTISSEMENTS  |  AUTRES ACTIFS</v>
      </c>
      <c r="AA465" s="3"/>
      <c r="AB465" s="34">
        <f t="shared" si="209"/>
        <v>0</v>
      </c>
      <c r="AC465" s="34"/>
      <c r="AD465" s="34"/>
      <c r="AE465" s="26"/>
      <c r="AF465" s="34">
        <v>1</v>
      </c>
      <c r="AG465" s="34"/>
      <c r="AH465" s="535"/>
      <c r="AI465" s="294"/>
    </row>
    <row r="466" spans="1:35" x14ac:dyDescent="0.2">
      <c r="A466" s="294"/>
      <c r="B466" s="922"/>
      <c r="C466" s="66">
        <v>3</v>
      </c>
      <c r="D466" s="3" t="s">
        <v>762</v>
      </c>
      <c r="E466" s="3" t="s">
        <v>755</v>
      </c>
      <c r="F466" s="3" t="s">
        <v>21</v>
      </c>
      <c r="G466" s="3" t="s">
        <v>828</v>
      </c>
      <c r="H466" s="3" t="s">
        <v>773</v>
      </c>
      <c r="I466" s="502"/>
      <c r="J466" s="26"/>
      <c r="K466" s="508">
        <v>2024</v>
      </c>
      <c r="L466" s="509">
        <v>0</v>
      </c>
      <c r="M466" s="510">
        <v>0.1</v>
      </c>
      <c r="N466" s="859">
        <v>0</v>
      </c>
      <c r="O466" s="4">
        <f t="shared" si="207"/>
        <v>0</v>
      </c>
      <c r="P466" s="4">
        <f t="shared" si="207"/>
        <v>0</v>
      </c>
      <c r="Q466" s="127"/>
      <c r="R466" s="60"/>
      <c r="S466" s="4">
        <f t="shared" si="208"/>
        <v>0</v>
      </c>
      <c r="T466" s="4">
        <f t="shared" si="208"/>
        <v>0</v>
      </c>
      <c r="U466" s="4">
        <f t="shared" si="208"/>
        <v>0</v>
      </c>
      <c r="V466" s="4">
        <f t="shared" si="208"/>
        <v>0</v>
      </c>
      <c r="W466" s="4">
        <f t="shared" si="208"/>
        <v>0</v>
      </c>
      <c r="X466" s="4">
        <f t="shared" si="208"/>
        <v>0</v>
      </c>
      <c r="Y466" s="607"/>
      <c r="Z466" s="3" t="str">
        <f>VLOOKUP($D466,TableInputsData[],ReadMe!$M$3,FALSE)&amp;"  |  "&amp;VLOOKUP($E466,TableInputsData[],ReadMe!$M$3,FALSE)&amp;"  |  "&amp;VLOOKUP($H466,TableInputsData[],ReadMe!$M$3,FALSE)</f>
        <v>ACTIFS MATERIEL IMMOBILISES  |  INVESTISSEMENTS  |  AUTRES ACTIFS</v>
      </c>
      <c r="AA466" s="3"/>
      <c r="AB466" s="34">
        <f t="shared" si="209"/>
        <v>0</v>
      </c>
      <c r="AC466" s="34"/>
      <c r="AD466" s="34"/>
      <c r="AE466" s="26"/>
      <c r="AF466" s="34">
        <v>1</v>
      </c>
      <c r="AG466" s="34"/>
      <c r="AH466" s="535"/>
      <c r="AI466" s="294"/>
    </row>
    <row r="467" spans="1:35" x14ac:dyDescent="0.2">
      <c r="A467" s="294"/>
      <c r="B467" s="922"/>
      <c r="C467" s="66">
        <v>3</v>
      </c>
      <c r="D467" s="3" t="s">
        <v>762</v>
      </c>
      <c r="E467" s="3" t="s">
        <v>755</v>
      </c>
      <c r="F467" s="3" t="s">
        <v>21</v>
      </c>
      <c r="G467" s="3" t="s">
        <v>829</v>
      </c>
      <c r="H467" s="3" t="s">
        <v>773</v>
      </c>
      <c r="I467" s="502"/>
      <c r="J467" s="26"/>
      <c r="K467" s="508">
        <v>2025</v>
      </c>
      <c r="L467" s="509">
        <v>0</v>
      </c>
      <c r="M467" s="510">
        <v>0.1</v>
      </c>
      <c r="N467" s="859">
        <v>0</v>
      </c>
      <c r="O467" s="4">
        <f t="shared" si="207"/>
        <v>0</v>
      </c>
      <c r="P467" s="4">
        <f t="shared" si="207"/>
        <v>0</v>
      </c>
      <c r="Q467" s="127"/>
      <c r="R467" s="60"/>
      <c r="S467" s="4">
        <f t="shared" si="208"/>
        <v>0</v>
      </c>
      <c r="T467" s="4">
        <f t="shared" si="208"/>
        <v>0</v>
      </c>
      <c r="U467" s="4">
        <f t="shared" si="208"/>
        <v>0</v>
      </c>
      <c r="V467" s="4">
        <f t="shared" si="208"/>
        <v>0</v>
      </c>
      <c r="W467" s="4">
        <f t="shared" si="208"/>
        <v>0</v>
      </c>
      <c r="X467" s="4">
        <f t="shared" si="208"/>
        <v>0</v>
      </c>
      <c r="Y467" s="607"/>
      <c r="Z467" s="3" t="str">
        <f>VLOOKUP($D467,TableInputsData[],ReadMe!$M$3,FALSE)&amp;"  |  "&amp;VLOOKUP($E467,TableInputsData[],ReadMe!$M$3,FALSE)&amp;"  |  "&amp;VLOOKUP($H467,TableInputsData[],ReadMe!$M$3,FALSE)</f>
        <v>ACTIFS MATERIEL IMMOBILISES  |  INVESTISSEMENTS  |  AUTRES ACTIFS</v>
      </c>
      <c r="AA467" s="3"/>
      <c r="AB467" s="34">
        <f t="shared" si="209"/>
        <v>0</v>
      </c>
      <c r="AC467" s="34"/>
      <c r="AD467" s="34"/>
      <c r="AE467" s="26"/>
      <c r="AF467" s="34">
        <v>1</v>
      </c>
      <c r="AG467" s="34"/>
      <c r="AH467" s="535"/>
      <c r="AI467" s="294"/>
    </row>
    <row r="468" spans="1:35" x14ac:dyDescent="0.2">
      <c r="A468" s="294"/>
      <c r="B468" s="922"/>
      <c r="C468" s="66">
        <v>3</v>
      </c>
      <c r="D468" s="3" t="s">
        <v>762</v>
      </c>
      <c r="E468" s="3" t="s">
        <v>755</v>
      </c>
      <c r="F468" s="3" t="s">
        <v>21</v>
      </c>
      <c r="G468" s="3" t="s">
        <v>830</v>
      </c>
      <c r="H468" s="3" t="s">
        <v>773</v>
      </c>
      <c r="I468" s="502"/>
      <c r="J468" s="26"/>
      <c r="K468" s="508">
        <v>2026</v>
      </c>
      <c r="L468" s="509">
        <v>0</v>
      </c>
      <c r="M468" s="510">
        <v>0.1</v>
      </c>
      <c r="N468" s="859">
        <v>0</v>
      </c>
      <c r="O468" s="4">
        <f t="shared" si="207"/>
        <v>0</v>
      </c>
      <c r="P468" s="4">
        <f t="shared" si="207"/>
        <v>0</v>
      </c>
      <c r="Q468" s="127"/>
      <c r="R468" s="60"/>
      <c r="S468" s="4">
        <f t="shared" si="208"/>
        <v>0</v>
      </c>
      <c r="T468" s="4">
        <f t="shared" si="208"/>
        <v>0</v>
      </c>
      <c r="U468" s="4">
        <f t="shared" si="208"/>
        <v>0</v>
      </c>
      <c r="V468" s="4">
        <f t="shared" si="208"/>
        <v>0</v>
      </c>
      <c r="W468" s="4">
        <f t="shared" si="208"/>
        <v>0</v>
      </c>
      <c r="X468" s="4">
        <f t="shared" si="208"/>
        <v>0</v>
      </c>
      <c r="Y468" s="607"/>
      <c r="Z468" s="3" t="str">
        <f>VLOOKUP($D468,TableInputsData[],ReadMe!$M$3,FALSE)&amp;"  |  "&amp;VLOOKUP($E468,TableInputsData[],ReadMe!$M$3,FALSE)&amp;"  |  "&amp;VLOOKUP($H468,TableInputsData[],ReadMe!$M$3,FALSE)</f>
        <v>ACTIFS MATERIEL IMMOBILISES  |  INVESTISSEMENTS  |  AUTRES ACTIFS</v>
      </c>
      <c r="AA468" s="3"/>
      <c r="AB468" s="34">
        <f t="shared" si="209"/>
        <v>0</v>
      </c>
      <c r="AC468" s="34"/>
      <c r="AD468" s="34"/>
      <c r="AE468" s="26"/>
      <c r="AF468" s="34">
        <v>1</v>
      </c>
      <c r="AG468" s="34"/>
      <c r="AH468" s="535"/>
      <c r="AI468" s="294"/>
    </row>
    <row r="469" spans="1:35" x14ac:dyDescent="0.2">
      <c r="A469" s="294"/>
      <c r="B469" s="922"/>
      <c r="C469" s="66">
        <v>3</v>
      </c>
      <c r="D469" s="3" t="s">
        <v>762</v>
      </c>
      <c r="E469" s="3" t="s">
        <v>755</v>
      </c>
      <c r="F469" s="3" t="s">
        <v>21</v>
      </c>
      <c r="G469" s="3" t="s">
        <v>831</v>
      </c>
      <c r="H469" s="3" t="s">
        <v>773</v>
      </c>
      <c r="I469" s="502"/>
      <c r="J469" s="26"/>
      <c r="K469" s="508"/>
      <c r="L469" s="509"/>
      <c r="M469" s="510"/>
      <c r="N469" s="859"/>
      <c r="O469" s="4">
        <f t="shared" si="207"/>
        <v>0</v>
      </c>
      <c r="P469" s="4">
        <f t="shared" si="207"/>
        <v>0</v>
      </c>
      <c r="Q469" s="127"/>
      <c r="R469" s="60"/>
      <c r="S469" s="4">
        <f t="shared" si="208"/>
        <v>0</v>
      </c>
      <c r="T469" s="4">
        <f t="shared" si="208"/>
        <v>0</v>
      </c>
      <c r="U469" s="4">
        <f t="shared" si="208"/>
        <v>0</v>
      </c>
      <c r="V469" s="4">
        <f t="shared" si="208"/>
        <v>0</v>
      </c>
      <c r="W469" s="4">
        <f t="shared" si="208"/>
        <v>0</v>
      </c>
      <c r="X469" s="4">
        <f t="shared" si="208"/>
        <v>0</v>
      </c>
      <c r="Y469" s="607"/>
      <c r="Z469" s="3" t="str">
        <f>VLOOKUP($D469,TableInputsData[],ReadMe!$M$3,FALSE)&amp;"  |  "&amp;VLOOKUP($E469,TableInputsData[],ReadMe!$M$3,FALSE)&amp;"  |  "&amp;VLOOKUP($H469,TableInputsData[],ReadMe!$M$3,FALSE)</f>
        <v>ACTIFS MATERIEL IMMOBILISES  |  INVESTISSEMENTS  |  AUTRES ACTIFS</v>
      </c>
      <c r="AA469" s="3"/>
      <c r="AB469" s="34">
        <f t="shared" si="209"/>
        <v>0</v>
      </c>
      <c r="AC469" s="34"/>
      <c r="AD469" s="34"/>
      <c r="AE469" s="26"/>
      <c r="AF469" s="34">
        <v>1</v>
      </c>
      <c r="AG469" s="34"/>
      <c r="AH469" s="535"/>
      <c r="AI469" s="294"/>
    </row>
    <row r="470" spans="1:35" x14ac:dyDescent="0.2">
      <c r="A470" s="294"/>
      <c r="B470" s="922"/>
      <c r="C470" s="66">
        <v>3</v>
      </c>
      <c r="D470" s="3" t="s">
        <v>762</v>
      </c>
      <c r="E470" s="3" t="s">
        <v>755</v>
      </c>
      <c r="F470" s="3" t="s">
        <v>21</v>
      </c>
      <c r="G470" s="3" t="s">
        <v>832</v>
      </c>
      <c r="H470" s="3" t="s">
        <v>773</v>
      </c>
      <c r="I470" s="502"/>
      <c r="J470" s="26"/>
      <c r="K470" s="508"/>
      <c r="L470" s="509"/>
      <c r="M470" s="510"/>
      <c r="N470" s="859"/>
      <c r="O470" s="4">
        <f t="shared" si="207"/>
        <v>0</v>
      </c>
      <c r="P470" s="4">
        <f t="shared" si="207"/>
        <v>0</v>
      </c>
      <c r="Q470" s="127"/>
      <c r="R470" s="60"/>
      <c r="S470" s="4">
        <f t="shared" si="208"/>
        <v>0</v>
      </c>
      <c r="T470" s="4">
        <f t="shared" si="208"/>
        <v>0</v>
      </c>
      <c r="U470" s="4">
        <f t="shared" si="208"/>
        <v>0</v>
      </c>
      <c r="V470" s="4">
        <f t="shared" si="208"/>
        <v>0</v>
      </c>
      <c r="W470" s="4">
        <f t="shared" si="208"/>
        <v>0</v>
      </c>
      <c r="X470" s="4">
        <f t="shared" si="208"/>
        <v>0</v>
      </c>
      <c r="Y470" s="607"/>
      <c r="Z470" s="3" t="str">
        <f>VLOOKUP($D470,TableInputsData[],ReadMe!$M$3,FALSE)&amp;"  |  "&amp;VLOOKUP($E470,TableInputsData[],ReadMe!$M$3,FALSE)&amp;"  |  "&amp;VLOOKUP($H470,TableInputsData[],ReadMe!$M$3,FALSE)</f>
        <v>ACTIFS MATERIEL IMMOBILISES  |  INVESTISSEMENTS  |  AUTRES ACTIFS</v>
      </c>
      <c r="AA470" s="3"/>
      <c r="AB470" s="34">
        <f t="shared" si="209"/>
        <v>0</v>
      </c>
      <c r="AC470" s="34"/>
      <c r="AD470" s="34"/>
      <c r="AE470" s="26"/>
      <c r="AF470" s="34">
        <v>1</v>
      </c>
      <c r="AG470" s="34"/>
      <c r="AH470" s="535"/>
      <c r="AI470" s="294"/>
    </row>
    <row r="471" spans="1:35" x14ac:dyDescent="0.2">
      <c r="A471" s="294"/>
      <c r="B471" s="922"/>
      <c r="C471" s="66">
        <v>3</v>
      </c>
      <c r="D471" s="3" t="s">
        <v>762</v>
      </c>
      <c r="E471" s="3" t="s">
        <v>755</v>
      </c>
      <c r="F471" s="3" t="s">
        <v>21</v>
      </c>
      <c r="G471" s="3" t="s">
        <v>833</v>
      </c>
      <c r="H471" s="3" t="s">
        <v>773</v>
      </c>
      <c r="I471" s="502"/>
      <c r="J471" s="26"/>
      <c r="K471" s="508"/>
      <c r="L471" s="509"/>
      <c r="M471" s="510"/>
      <c r="N471" s="859"/>
      <c r="O471" s="4">
        <f t="shared" si="207"/>
        <v>0</v>
      </c>
      <c r="P471" s="4">
        <f t="shared" si="207"/>
        <v>0</v>
      </c>
      <c r="Q471" s="127"/>
      <c r="R471" s="60"/>
      <c r="S471" s="4">
        <f t="shared" si="208"/>
        <v>0</v>
      </c>
      <c r="T471" s="4">
        <f t="shared" si="208"/>
        <v>0</v>
      </c>
      <c r="U471" s="4">
        <f t="shared" si="208"/>
        <v>0</v>
      </c>
      <c r="V471" s="4">
        <f t="shared" si="208"/>
        <v>0</v>
      </c>
      <c r="W471" s="4">
        <f t="shared" si="208"/>
        <v>0</v>
      </c>
      <c r="X471" s="4">
        <f t="shared" si="208"/>
        <v>0</v>
      </c>
      <c r="Y471" s="607"/>
      <c r="Z471" s="3" t="str">
        <f>VLOOKUP($D471,TableInputsData[],ReadMe!$M$3,FALSE)&amp;"  |  "&amp;VLOOKUP($E471,TableInputsData[],ReadMe!$M$3,FALSE)&amp;"  |  "&amp;VLOOKUP($H471,TableInputsData[],ReadMe!$M$3,FALSE)</f>
        <v>ACTIFS MATERIEL IMMOBILISES  |  INVESTISSEMENTS  |  AUTRES ACTIFS</v>
      </c>
      <c r="AA471" s="3"/>
      <c r="AB471" s="34">
        <f t="shared" si="209"/>
        <v>0</v>
      </c>
      <c r="AC471" s="34"/>
      <c r="AD471" s="34"/>
      <c r="AE471" s="26"/>
      <c r="AF471" s="34">
        <v>1</v>
      </c>
      <c r="AG471" s="34"/>
      <c r="AH471" s="535"/>
      <c r="AI471" s="294"/>
    </row>
    <row r="472" spans="1:35" x14ac:dyDescent="0.2">
      <c r="A472" s="294"/>
      <c r="B472" s="922"/>
      <c r="C472" s="66">
        <v>3</v>
      </c>
      <c r="D472" s="3" t="s">
        <v>762</v>
      </c>
      <c r="E472" s="3" t="s">
        <v>755</v>
      </c>
      <c r="F472" s="3" t="s">
        <v>21</v>
      </c>
      <c r="G472" s="3" t="s">
        <v>834</v>
      </c>
      <c r="H472" s="3" t="s">
        <v>773</v>
      </c>
      <c r="I472" s="502"/>
      <c r="J472" s="26"/>
      <c r="K472" s="508"/>
      <c r="L472" s="509"/>
      <c r="M472" s="510"/>
      <c r="N472" s="859"/>
      <c r="O472" s="4">
        <f t="shared" si="207"/>
        <v>0</v>
      </c>
      <c r="P472" s="4">
        <f t="shared" si="207"/>
        <v>0</v>
      </c>
      <c r="Q472" s="127"/>
      <c r="R472" s="60"/>
      <c r="S472" s="4">
        <f t="shared" si="208"/>
        <v>0</v>
      </c>
      <c r="T472" s="4">
        <f t="shared" si="208"/>
        <v>0</v>
      </c>
      <c r="U472" s="4">
        <f t="shared" si="208"/>
        <v>0</v>
      </c>
      <c r="V472" s="4">
        <f t="shared" si="208"/>
        <v>0</v>
      </c>
      <c r="W472" s="4">
        <f t="shared" si="208"/>
        <v>0</v>
      </c>
      <c r="X472" s="4">
        <f t="shared" si="208"/>
        <v>0</v>
      </c>
      <c r="Y472" s="607"/>
      <c r="Z472" s="3" t="str">
        <f>VLOOKUP($D472,TableInputsData[],ReadMe!$M$3,FALSE)&amp;"  |  "&amp;VLOOKUP($E472,TableInputsData[],ReadMe!$M$3,FALSE)&amp;"  |  "&amp;VLOOKUP($H472,TableInputsData[],ReadMe!$M$3,FALSE)</f>
        <v>ACTIFS MATERIEL IMMOBILISES  |  INVESTISSEMENTS  |  AUTRES ACTIFS</v>
      </c>
      <c r="AA472" s="3"/>
      <c r="AB472" s="34">
        <f t="shared" si="209"/>
        <v>0</v>
      </c>
      <c r="AC472" s="34"/>
      <c r="AD472" s="34"/>
      <c r="AE472" s="26"/>
      <c r="AF472" s="34">
        <v>1</v>
      </c>
      <c r="AG472" s="34"/>
      <c r="AH472" s="535"/>
      <c r="AI472" s="294"/>
    </row>
    <row r="473" spans="1:35" x14ac:dyDescent="0.2">
      <c r="A473" s="294"/>
      <c r="B473" s="922"/>
      <c r="C473" s="66">
        <v>3</v>
      </c>
      <c r="D473" s="3" t="s">
        <v>762</v>
      </c>
      <c r="E473" s="3" t="s">
        <v>755</v>
      </c>
      <c r="F473" s="3" t="s">
        <v>21</v>
      </c>
      <c r="G473" s="3" t="s">
        <v>835</v>
      </c>
      <c r="H473" s="3" t="s">
        <v>773</v>
      </c>
      <c r="I473" s="502"/>
      <c r="J473" s="26"/>
      <c r="K473" s="508"/>
      <c r="L473" s="509"/>
      <c r="M473" s="510"/>
      <c r="N473" s="859"/>
      <c r="O473" s="4">
        <f t="shared" si="207"/>
        <v>0</v>
      </c>
      <c r="P473" s="4">
        <f t="shared" si="207"/>
        <v>0</v>
      </c>
      <c r="Q473" s="127"/>
      <c r="R473" s="60"/>
      <c r="S473" s="4">
        <f t="shared" si="208"/>
        <v>0</v>
      </c>
      <c r="T473" s="4">
        <f t="shared" si="208"/>
        <v>0</v>
      </c>
      <c r="U473" s="4">
        <f t="shared" si="208"/>
        <v>0</v>
      </c>
      <c r="V473" s="4">
        <f t="shared" si="208"/>
        <v>0</v>
      </c>
      <c r="W473" s="4">
        <f t="shared" si="208"/>
        <v>0</v>
      </c>
      <c r="X473" s="4">
        <f t="shared" si="208"/>
        <v>0</v>
      </c>
      <c r="Y473" s="607"/>
      <c r="Z473" s="3" t="str">
        <f>VLOOKUP($D473,TableInputsData[],ReadMe!$M$3,FALSE)&amp;"  |  "&amp;VLOOKUP($E473,TableInputsData[],ReadMe!$M$3,FALSE)&amp;"  |  "&amp;VLOOKUP($H473,TableInputsData[],ReadMe!$M$3,FALSE)</f>
        <v>ACTIFS MATERIEL IMMOBILISES  |  INVESTISSEMENTS  |  AUTRES ACTIFS</v>
      </c>
      <c r="AA473" s="3"/>
      <c r="AB473" s="34">
        <f t="shared" si="209"/>
        <v>0</v>
      </c>
      <c r="AC473" s="34"/>
      <c r="AD473" s="34"/>
      <c r="AE473" s="26"/>
      <c r="AF473" s="34">
        <v>1</v>
      </c>
      <c r="AG473" s="34"/>
      <c r="AH473" s="535"/>
      <c r="AI473" s="294"/>
    </row>
    <row r="474" spans="1:35" x14ac:dyDescent="0.2">
      <c r="A474" s="294"/>
      <c r="B474" s="922"/>
      <c r="C474" s="66">
        <v>3</v>
      </c>
      <c r="D474" s="3" t="s">
        <v>762</v>
      </c>
      <c r="E474" s="3" t="s">
        <v>755</v>
      </c>
      <c r="F474" s="3" t="s">
        <v>21</v>
      </c>
      <c r="G474" s="3" t="s">
        <v>836</v>
      </c>
      <c r="H474" s="3" t="s">
        <v>773</v>
      </c>
      <c r="I474" s="502"/>
      <c r="J474" s="26"/>
      <c r="K474" s="508"/>
      <c r="L474" s="509"/>
      <c r="M474" s="510"/>
      <c r="N474" s="859"/>
      <c r="O474" s="4">
        <f t="shared" si="207"/>
        <v>0</v>
      </c>
      <c r="P474" s="4">
        <f t="shared" si="207"/>
        <v>0</v>
      </c>
      <c r="Q474" s="127"/>
      <c r="R474" s="60"/>
      <c r="S474" s="4">
        <f t="shared" si="208"/>
        <v>0</v>
      </c>
      <c r="T474" s="4">
        <f t="shared" si="208"/>
        <v>0</v>
      </c>
      <c r="U474" s="4">
        <f t="shared" si="208"/>
        <v>0</v>
      </c>
      <c r="V474" s="4">
        <f t="shared" si="208"/>
        <v>0</v>
      </c>
      <c r="W474" s="4">
        <f t="shared" si="208"/>
        <v>0</v>
      </c>
      <c r="X474" s="4">
        <f t="shared" si="208"/>
        <v>0</v>
      </c>
      <c r="Y474" s="607"/>
      <c r="Z474" s="3" t="str">
        <f>VLOOKUP($D474,TableInputsData[],ReadMe!$M$3,FALSE)&amp;"  |  "&amp;VLOOKUP($E474,TableInputsData[],ReadMe!$M$3,FALSE)&amp;"  |  "&amp;VLOOKUP($H474,TableInputsData[],ReadMe!$M$3,FALSE)</f>
        <v>ACTIFS MATERIEL IMMOBILISES  |  INVESTISSEMENTS  |  AUTRES ACTIFS</v>
      </c>
      <c r="AA474" s="3"/>
      <c r="AB474" s="34">
        <f t="shared" si="209"/>
        <v>0</v>
      </c>
      <c r="AC474" s="34"/>
      <c r="AD474" s="34"/>
      <c r="AE474" s="26"/>
      <c r="AF474" s="34">
        <v>1</v>
      </c>
      <c r="AG474" s="34"/>
      <c r="AH474" s="535"/>
      <c r="AI474" s="294"/>
    </row>
    <row r="475" spans="1:35" x14ac:dyDescent="0.2">
      <c r="A475" s="294"/>
      <c r="B475" s="922"/>
      <c r="C475" s="66">
        <v>3</v>
      </c>
      <c r="D475" s="3" t="s">
        <v>762</v>
      </c>
      <c r="E475" s="3" t="s">
        <v>755</v>
      </c>
      <c r="F475" s="3" t="s">
        <v>21</v>
      </c>
      <c r="G475" s="3" t="s">
        <v>837</v>
      </c>
      <c r="H475" s="3" t="s">
        <v>773</v>
      </c>
      <c r="I475" s="502"/>
      <c r="J475" s="26"/>
      <c r="K475" s="508"/>
      <c r="L475" s="509"/>
      <c r="M475" s="510"/>
      <c r="N475" s="859"/>
      <c r="O475" s="4">
        <f t="shared" si="207"/>
        <v>0</v>
      </c>
      <c r="P475" s="4">
        <f t="shared" si="207"/>
        <v>0</v>
      </c>
      <c r="Q475" s="127"/>
      <c r="R475" s="60"/>
      <c r="S475" s="4">
        <f t="shared" si="208"/>
        <v>0</v>
      </c>
      <c r="T475" s="4">
        <f t="shared" si="208"/>
        <v>0</v>
      </c>
      <c r="U475" s="4">
        <f t="shared" si="208"/>
        <v>0</v>
      </c>
      <c r="V475" s="4">
        <f t="shared" si="208"/>
        <v>0</v>
      </c>
      <c r="W475" s="4">
        <f t="shared" si="208"/>
        <v>0</v>
      </c>
      <c r="X475" s="4">
        <f t="shared" si="208"/>
        <v>0</v>
      </c>
      <c r="Y475" s="607"/>
      <c r="Z475" s="3" t="str">
        <f>VLOOKUP($D475,TableInputsData[],ReadMe!$M$3,FALSE)&amp;"  |  "&amp;VLOOKUP($E475,TableInputsData[],ReadMe!$M$3,FALSE)&amp;"  |  "&amp;VLOOKUP($H475,TableInputsData[],ReadMe!$M$3,FALSE)</f>
        <v>ACTIFS MATERIEL IMMOBILISES  |  INVESTISSEMENTS  |  AUTRES ACTIFS</v>
      </c>
      <c r="AA475" s="3"/>
      <c r="AB475" s="34">
        <f t="shared" si="209"/>
        <v>0</v>
      </c>
      <c r="AC475" s="34"/>
      <c r="AD475" s="34"/>
      <c r="AE475" s="26"/>
      <c r="AF475" s="34">
        <v>1</v>
      </c>
      <c r="AG475" s="34"/>
      <c r="AH475" s="535"/>
      <c r="AI475" s="294"/>
    </row>
    <row r="476" spans="1:35" x14ac:dyDescent="0.2">
      <c r="A476" s="294"/>
      <c r="B476" s="922"/>
      <c r="C476" s="66">
        <v>3</v>
      </c>
      <c r="D476" s="3" t="s">
        <v>762</v>
      </c>
      <c r="E476" s="3" t="s">
        <v>755</v>
      </c>
      <c r="F476" s="3" t="s">
        <v>21</v>
      </c>
      <c r="G476" s="3" t="s">
        <v>838</v>
      </c>
      <c r="H476" s="3" t="s">
        <v>773</v>
      </c>
      <c r="I476" s="502"/>
      <c r="J476" s="26"/>
      <c r="K476" s="508"/>
      <c r="L476" s="509"/>
      <c r="M476" s="510"/>
      <c r="N476" s="859"/>
      <c r="O476" s="4">
        <f t="shared" si="207"/>
        <v>0</v>
      </c>
      <c r="P476" s="4">
        <f t="shared" si="207"/>
        <v>0</v>
      </c>
      <c r="Q476" s="127"/>
      <c r="R476" s="60"/>
      <c r="S476" s="4">
        <f t="shared" si="208"/>
        <v>0</v>
      </c>
      <c r="T476" s="4">
        <f t="shared" si="208"/>
        <v>0</v>
      </c>
      <c r="U476" s="4">
        <f t="shared" si="208"/>
        <v>0</v>
      </c>
      <c r="V476" s="4">
        <f t="shared" si="208"/>
        <v>0</v>
      </c>
      <c r="W476" s="4">
        <f t="shared" si="208"/>
        <v>0</v>
      </c>
      <c r="X476" s="4">
        <f t="shared" si="208"/>
        <v>0</v>
      </c>
      <c r="Y476" s="607"/>
      <c r="Z476" s="3" t="str">
        <f>VLOOKUP($D476,TableInputsData[],ReadMe!$M$3,FALSE)&amp;"  |  "&amp;VLOOKUP($E476,TableInputsData[],ReadMe!$M$3,FALSE)&amp;"  |  "&amp;VLOOKUP($H476,TableInputsData[],ReadMe!$M$3,FALSE)</f>
        <v>ACTIFS MATERIEL IMMOBILISES  |  INVESTISSEMENTS  |  AUTRES ACTIFS</v>
      </c>
      <c r="AA476" s="3"/>
      <c r="AB476" s="34">
        <f t="shared" si="209"/>
        <v>0</v>
      </c>
      <c r="AC476" s="34"/>
      <c r="AD476" s="34"/>
      <c r="AE476" s="26"/>
      <c r="AF476" s="34">
        <v>1</v>
      </c>
      <c r="AG476" s="34"/>
      <c r="AH476" s="535"/>
      <c r="AI476" s="294"/>
    </row>
    <row r="477" spans="1:35" x14ac:dyDescent="0.2">
      <c r="A477" s="294"/>
      <c r="B477" s="922"/>
      <c r="C477" s="66">
        <v>3</v>
      </c>
      <c r="D477" s="3" t="s">
        <v>762</v>
      </c>
      <c r="E477" s="3" t="s">
        <v>755</v>
      </c>
      <c r="F477" s="3" t="s">
        <v>21</v>
      </c>
      <c r="G477" s="3" t="s">
        <v>839</v>
      </c>
      <c r="H477" s="3" t="s">
        <v>773</v>
      </c>
      <c r="I477" s="502"/>
      <c r="J477" s="26"/>
      <c r="K477" s="508"/>
      <c r="L477" s="509"/>
      <c r="M477" s="510"/>
      <c r="N477" s="859"/>
      <c r="O477" s="4">
        <f t="shared" si="207"/>
        <v>0</v>
      </c>
      <c r="P477" s="4">
        <f t="shared" si="207"/>
        <v>0</v>
      </c>
      <c r="Q477" s="127"/>
      <c r="R477" s="60"/>
      <c r="S477" s="4">
        <f t="shared" si="208"/>
        <v>0</v>
      </c>
      <c r="T477" s="4">
        <f t="shared" si="208"/>
        <v>0</v>
      </c>
      <c r="U477" s="4">
        <f t="shared" si="208"/>
        <v>0</v>
      </c>
      <c r="V477" s="4">
        <f t="shared" si="208"/>
        <v>0</v>
      </c>
      <c r="W477" s="4">
        <f t="shared" si="208"/>
        <v>0</v>
      </c>
      <c r="X477" s="4">
        <f t="shared" si="208"/>
        <v>0</v>
      </c>
      <c r="Y477" s="607"/>
      <c r="Z477" s="3" t="str">
        <f>VLOOKUP($D477,TableInputsData[],ReadMe!$M$3,FALSE)&amp;"  |  "&amp;VLOOKUP($E477,TableInputsData[],ReadMe!$M$3,FALSE)&amp;"  |  "&amp;VLOOKUP($H477,TableInputsData[],ReadMe!$M$3,FALSE)</f>
        <v>ACTIFS MATERIEL IMMOBILISES  |  INVESTISSEMENTS  |  AUTRES ACTIFS</v>
      </c>
      <c r="AA477" s="3"/>
      <c r="AB477" s="34">
        <f t="shared" si="209"/>
        <v>0</v>
      </c>
      <c r="AC477" s="34"/>
      <c r="AD477" s="34"/>
      <c r="AE477" s="26"/>
      <c r="AF477" s="34">
        <v>1</v>
      </c>
      <c r="AG477" s="34"/>
      <c r="AH477" s="535"/>
      <c r="AI477" s="294"/>
    </row>
    <row r="478" spans="1:35" x14ac:dyDescent="0.2">
      <c r="A478" s="294"/>
      <c r="B478" s="922"/>
      <c r="C478" s="66">
        <v>3</v>
      </c>
      <c r="D478" s="3" t="s">
        <v>762</v>
      </c>
      <c r="E478" s="3" t="s">
        <v>755</v>
      </c>
      <c r="F478" s="3" t="s">
        <v>21</v>
      </c>
      <c r="G478" s="3" t="s">
        <v>840</v>
      </c>
      <c r="H478" s="3" t="s">
        <v>773</v>
      </c>
      <c r="I478" s="502"/>
      <c r="J478" s="26"/>
      <c r="K478" s="508"/>
      <c r="L478" s="509"/>
      <c r="M478" s="510"/>
      <c r="N478" s="859"/>
      <c r="O478" s="4">
        <f t="shared" si="207"/>
        <v>0</v>
      </c>
      <c r="P478" s="4">
        <f t="shared" si="207"/>
        <v>0</v>
      </c>
      <c r="Q478" s="127"/>
      <c r="R478" s="60"/>
      <c r="S478" s="4">
        <f t="shared" si="208"/>
        <v>0</v>
      </c>
      <c r="T478" s="4">
        <f t="shared" si="208"/>
        <v>0</v>
      </c>
      <c r="U478" s="4">
        <f t="shared" si="208"/>
        <v>0</v>
      </c>
      <c r="V478" s="4">
        <f t="shared" si="208"/>
        <v>0</v>
      </c>
      <c r="W478" s="4">
        <f t="shared" si="208"/>
        <v>0</v>
      </c>
      <c r="X478" s="4">
        <f t="shared" si="208"/>
        <v>0</v>
      </c>
      <c r="Y478" s="607"/>
      <c r="Z478" s="3" t="str">
        <f>VLOOKUP($D478,TableInputsData[],ReadMe!$M$3,FALSE)&amp;"  |  "&amp;VLOOKUP($E478,TableInputsData[],ReadMe!$M$3,FALSE)&amp;"  |  "&amp;VLOOKUP($H478,TableInputsData[],ReadMe!$M$3,FALSE)</f>
        <v>ACTIFS MATERIEL IMMOBILISES  |  INVESTISSEMENTS  |  AUTRES ACTIFS</v>
      </c>
      <c r="AA478" s="3"/>
      <c r="AB478" s="34">
        <f t="shared" si="209"/>
        <v>0</v>
      </c>
      <c r="AC478" s="34"/>
      <c r="AD478" s="34"/>
      <c r="AE478" s="26"/>
      <c r="AF478" s="34">
        <v>1</v>
      </c>
      <c r="AG478" s="34"/>
      <c r="AH478" s="535"/>
      <c r="AI478" s="294"/>
    </row>
    <row r="479" spans="1:35" x14ac:dyDescent="0.2">
      <c r="A479" s="294"/>
      <c r="B479" s="922"/>
      <c r="C479" s="66">
        <v>3</v>
      </c>
      <c r="D479" s="3" t="s">
        <v>762</v>
      </c>
      <c r="E479" s="3" t="s">
        <v>755</v>
      </c>
      <c r="F479" s="3" t="s">
        <v>21</v>
      </c>
      <c r="G479" s="3" t="s">
        <v>841</v>
      </c>
      <c r="H479" s="3" t="s">
        <v>773</v>
      </c>
      <c r="I479" s="502"/>
      <c r="J479" s="26"/>
      <c r="K479" s="508"/>
      <c r="L479" s="509"/>
      <c r="M479" s="510"/>
      <c r="N479" s="859"/>
      <c r="O479" s="4">
        <f t="shared" si="207"/>
        <v>0</v>
      </c>
      <c r="P479" s="4">
        <f t="shared" si="207"/>
        <v>0</v>
      </c>
      <c r="Q479" s="127"/>
      <c r="R479" s="60"/>
      <c r="S479" s="4">
        <f t="shared" si="208"/>
        <v>0</v>
      </c>
      <c r="T479" s="4">
        <f t="shared" si="208"/>
        <v>0</v>
      </c>
      <c r="U479" s="4">
        <f t="shared" si="208"/>
        <v>0</v>
      </c>
      <c r="V479" s="4">
        <f t="shared" si="208"/>
        <v>0</v>
      </c>
      <c r="W479" s="4">
        <f t="shared" si="208"/>
        <v>0</v>
      </c>
      <c r="X479" s="4">
        <f t="shared" si="208"/>
        <v>0</v>
      </c>
      <c r="Y479" s="607"/>
      <c r="Z479" s="3" t="str">
        <f>VLOOKUP($D479,TableInputsData[],ReadMe!$M$3,FALSE)&amp;"  |  "&amp;VLOOKUP($E479,TableInputsData[],ReadMe!$M$3,FALSE)&amp;"  |  "&amp;VLOOKUP($H479,TableInputsData[],ReadMe!$M$3,FALSE)</f>
        <v>ACTIFS MATERIEL IMMOBILISES  |  INVESTISSEMENTS  |  AUTRES ACTIFS</v>
      </c>
      <c r="AA479" s="3"/>
      <c r="AB479" s="34">
        <f t="shared" si="209"/>
        <v>0</v>
      </c>
      <c r="AC479" s="34"/>
      <c r="AD479" s="34"/>
      <c r="AE479" s="26"/>
      <c r="AF479" s="34">
        <v>1</v>
      </c>
      <c r="AG479" s="34"/>
      <c r="AH479" s="535"/>
      <c r="AI479" s="294"/>
    </row>
    <row r="480" spans="1:35" x14ac:dyDescent="0.2">
      <c r="A480" s="294"/>
      <c r="B480" s="922"/>
      <c r="C480" s="66">
        <v>3</v>
      </c>
      <c r="D480" s="3" t="s">
        <v>762</v>
      </c>
      <c r="E480" s="3" t="s">
        <v>755</v>
      </c>
      <c r="F480" s="3" t="s">
        <v>21</v>
      </c>
      <c r="G480" s="3" t="s">
        <v>842</v>
      </c>
      <c r="H480" s="3" t="s">
        <v>773</v>
      </c>
      <c r="I480" s="502"/>
      <c r="J480" s="26"/>
      <c r="K480" s="508"/>
      <c r="L480" s="509"/>
      <c r="M480" s="510"/>
      <c r="N480" s="859"/>
      <c r="O480" s="4">
        <f t="shared" si="207"/>
        <v>0</v>
      </c>
      <c r="P480" s="4">
        <f t="shared" si="207"/>
        <v>0</v>
      </c>
      <c r="Q480" s="127"/>
      <c r="R480" s="60"/>
      <c r="S480" s="4">
        <f t="shared" si="208"/>
        <v>0</v>
      </c>
      <c r="T480" s="4">
        <f t="shared" si="208"/>
        <v>0</v>
      </c>
      <c r="U480" s="4">
        <f t="shared" si="208"/>
        <v>0</v>
      </c>
      <c r="V480" s="4">
        <f t="shared" si="208"/>
        <v>0</v>
      </c>
      <c r="W480" s="4">
        <f t="shared" si="208"/>
        <v>0</v>
      </c>
      <c r="X480" s="4">
        <f t="shared" si="208"/>
        <v>0</v>
      </c>
      <c r="Y480" s="607"/>
      <c r="Z480" s="3" t="str">
        <f>VLOOKUP($D480,TableInputsData[],ReadMe!$M$3,FALSE)&amp;"  |  "&amp;VLOOKUP($E480,TableInputsData[],ReadMe!$M$3,FALSE)&amp;"  |  "&amp;VLOOKUP($H480,TableInputsData[],ReadMe!$M$3,FALSE)</f>
        <v>ACTIFS MATERIEL IMMOBILISES  |  INVESTISSEMENTS  |  AUTRES ACTIFS</v>
      </c>
      <c r="AA480" s="3"/>
      <c r="AB480" s="34">
        <f t="shared" si="209"/>
        <v>0</v>
      </c>
      <c r="AC480" s="34"/>
      <c r="AD480" s="34"/>
      <c r="AE480" s="26"/>
      <c r="AF480" s="34">
        <v>1</v>
      </c>
      <c r="AG480" s="34"/>
      <c r="AH480" s="535"/>
      <c r="AI480" s="294"/>
    </row>
    <row r="481" spans="1:35" x14ac:dyDescent="0.2">
      <c r="A481" s="294"/>
      <c r="B481" s="922"/>
      <c r="C481" s="66">
        <v>3</v>
      </c>
      <c r="D481" s="3" t="s">
        <v>762</v>
      </c>
      <c r="E481" s="3" t="s">
        <v>755</v>
      </c>
      <c r="F481" s="3" t="s">
        <v>21</v>
      </c>
      <c r="G481" s="3" t="s">
        <v>843</v>
      </c>
      <c r="H481" s="3" t="s">
        <v>773</v>
      </c>
      <c r="I481" s="502"/>
      <c r="J481" s="26"/>
      <c r="K481" s="508"/>
      <c r="L481" s="509"/>
      <c r="M481" s="510"/>
      <c r="N481" s="859"/>
      <c r="O481" s="4">
        <f t="shared" si="207"/>
        <v>0</v>
      </c>
      <c r="P481" s="4">
        <f t="shared" si="207"/>
        <v>0</v>
      </c>
      <c r="Q481" s="127"/>
      <c r="R481" s="60"/>
      <c r="S481" s="4">
        <f t="shared" si="208"/>
        <v>0</v>
      </c>
      <c r="T481" s="4">
        <f t="shared" si="208"/>
        <v>0</v>
      </c>
      <c r="U481" s="4">
        <f t="shared" si="208"/>
        <v>0</v>
      </c>
      <c r="V481" s="4">
        <f t="shared" si="208"/>
        <v>0</v>
      </c>
      <c r="W481" s="4">
        <f t="shared" si="208"/>
        <v>0</v>
      </c>
      <c r="X481" s="4">
        <f t="shared" si="208"/>
        <v>0</v>
      </c>
      <c r="Y481" s="607"/>
      <c r="Z481" s="3" t="str">
        <f>VLOOKUP($D481,TableInputsData[],ReadMe!$M$3,FALSE)&amp;"  |  "&amp;VLOOKUP($E481,TableInputsData[],ReadMe!$M$3,FALSE)&amp;"  |  "&amp;VLOOKUP($H481,TableInputsData[],ReadMe!$M$3,FALSE)</f>
        <v>ACTIFS MATERIEL IMMOBILISES  |  INVESTISSEMENTS  |  AUTRES ACTIFS</v>
      </c>
      <c r="AA481" s="3"/>
      <c r="AB481" s="34">
        <f t="shared" si="209"/>
        <v>0</v>
      </c>
      <c r="AC481" s="34"/>
      <c r="AD481" s="34"/>
      <c r="AE481" s="26"/>
      <c r="AF481" s="34">
        <v>1</v>
      </c>
      <c r="AG481" s="34"/>
      <c r="AH481" s="535"/>
      <c r="AI481" s="294"/>
    </row>
    <row r="482" spans="1:35" x14ac:dyDescent="0.2">
      <c r="A482" s="294"/>
      <c r="B482" s="922"/>
      <c r="C482" s="67">
        <v>3</v>
      </c>
      <c r="D482" s="16" t="s">
        <v>762</v>
      </c>
      <c r="E482" s="16" t="s">
        <v>755</v>
      </c>
      <c r="F482" s="16" t="s">
        <v>21</v>
      </c>
      <c r="G482" s="16" t="s">
        <v>844</v>
      </c>
      <c r="H482" s="17" t="s">
        <v>1166</v>
      </c>
      <c r="I482" s="17"/>
      <c r="J482" s="27"/>
      <c r="K482" s="27"/>
      <c r="L482" s="18">
        <f>SUM(L462:L481)</f>
        <v>0</v>
      </c>
      <c r="M482" s="112"/>
      <c r="N482" s="18">
        <f>SUM(N462:N481)</f>
        <v>0</v>
      </c>
      <c r="O482" s="18">
        <f>SUM(O462:O481)</f>
        <v>0</v>
      </c>
      <c r="P482" s="18">
        <f>SUM(P462:P481)</f>
        <v>0</v>
      </c>
      <c r="Q482" s="18"/>
      <c r="R482" s="18"/>
      <c r="S482" s="18">
        <f t="shared" ref="S482:X482" si="210">SUM(S462:S481)</f>
        <v>0</v>
      </c>
      <c r="T482" s="18">
        <f t="shared" si="210"/>
        <v>0</v>
      </c>
      <c r="U482" s="18">
        <f t="shared" si="210"/>
        <v>0</v>
      </c>
      <c r="V482" s="18">
        <f t="shared" si="210"/>
        <v>0</v>
      </c>
      <c r="W482" s="18">
        <f t="shared" si="210"/>
        <v>0</v>
      </c>
      <c r="X482" s="18">
        <f t="shared" si="210"/>
        <v>0</v>
      </c>
      <c r="Y482" s="18"/>
      <c r="Z482" s="16" t="str">
        <f>VLOOKUP($D482,TableInputsData[],ReadMe!$M$3,FALSE)&amp;"  |  "&amp;VLOOKUP($E482,TableInputsData[],ReadMe!$M$3,FALSE)&amp;"  |  "&amp;VLOOKUP($H482,TableInputsData[],ReadMe!$M$3,FALSE)</f>
        <v>ACTIFS MATERIEL IMMOBILISES  |  INVESTISSEMENTS  |  TOTAL AUTRES ACTIFS</v>
      </c>
      <c r="AA482" s="16"/>
      <c r="AB482" s="27">
        <v>1</v>
      </c>
      <c r="AC482" s="27">
        <v>1</v>
      </c>
      <c r="AD482" s="27"/>
      <c r="AE482" s="27"/>
      <c r="AF482" s="27">
        <v>1</v>
      </c>
      <c r="AG482" s="27"/>
      <c r="AH482" s="533"/>
      <c r="AI482" s="294"/>
    </row>
    <row r="483" spans="1:35" x14ac:dyDescent="0.2">
      <c r="A483" s="294"/>
      <c r="B483" s="922"/>
      <c r="C483" s="70">
        <v>3</v>
      </c>
      <c r="D483" s="6"/>
      <c r="E483" s="6"/>
      <c r="F483" s="6"/>
      <c r="G483" s="6"/>
      <c r="H483" s="11"/>
      <c r="I483" s="11"/>
      <c r="J483" s="91"/>
      <c r="K483" s="91"/>
      <c r="L483" s="105"/>
      <c r="M483" s="121"/>
      <c r="N483" s="7"/>
      <c r="O483" s="7"/>
      <c r="P483" s="7"/>
      <c r="Q483" s="7"/>
      <c r="R483" s="7"/>
      <c r="S483" s="7"/>
      <c r="T483" s="7"/>
      <c r="U483" s="7"/>
      <c r="V483" s="7"/>
      <c r="W483" s="7"/>
      <c r="X483" s="7"/>
      <c r="Y483" s="7"/>
      <c r="Z483" s="6"/>
      <c r="AA483" s="6"/>
      <c r="AB483" s="36"/>
      <c r="AC483" s="36"/>
      <c r="AD483" s="36"/>
      <c r="AE483" s="91"/>
      <c r="AF483" s="36"/>
      <c r="AG483" s="36"/>
      <c r="AH483" s="536"/>
      <c r="AI483" s="294"/>
    </row>
    <row r="484" spans="1:35" x14ac:dyDescent="0.2">
      <c r="A484" s="294"/>
      <c r="B484" s="922"/>
      <c r="C484" s="67">
        <v>3</v>
      </c>
      <c r="D484" s="16" t="s">
        <v>762</v>
      </c>
      <c r="E484" s="16" t="s">
        <v>755</v>
      </c>
      <c r="F484" s="16" t="s">
        <v>21</v>
      </c>
      <c r="G484" s="16" t="s">
        <v>847</v>
      </c>
      <c r="H484" s="17" t="s">
        <v>1165</v>
      </c>
      <c r="I484" s="17"/>
      <c r="J484" s="27"/>
      <c r="K484" s="27"/>
      <c r="L484" s="97">
        <f>L448+L460+L482</f>
        <v>0</v>
      </c>
      <c r="M484" s="112"/>
      <c r="N484" s="18">
        <f>N448+N460+N482</f>
        <v>0</v>
      </c>
      <c r="O484" s="97">
        <f t="shared" ref="O484:X484" si="211">O448+O460+O482</f>
        <v>0</v>
      </c>
      <c r="P484" s="97">
        <f t="shared" si="211"/>
        <v>0</v>
      </c>
      <c r="Q484" s="97"/>
      <c r="R484" s="97"/>
      <c r="S484" s="97">
        <f t="shared" si="211"/>
        <v>0</v>
      </c>
      <c r="T484" s="97">
        <f t="shared" si="211"/>
        <v>0</v>
      </c>
      <c r="U484" s="97">
        <f t="shared" si="211"/>
        <v>0</v>
      </c>
      <c r="V484" s="97">
        <f t="shared" si="211"/>
        <v>0</v>
      </c>
      <c r="W484" s="97">
        <f t="shared" si="211"/>
        <v>0</v>
      </c>
      <c r="X484" s="97">
        <f t="shared" si="211"/>
        <v>0</v>
      </c>
      <c r="Y484" s="97"/>
      <c r="Z484" s="16" t="str">
        <f>VLOOKUP($D484,TableInputsData[],ReadMe!$M$3,FALSE)&amp;"  |  "&amp;VLOOKUP($E484,TableInputsData[],ReadMe!$M$3,FALSE)&amp;"  |  "&amp;VLOOKUP($H484,TableInputsData[],ReadMe!$M$3,FALSE)</f>
        <v>ACTIFS MATERIEL IMMOBILISES  |  INVESTISSEMENTS  |  TOTAL ACTIFS IMMOBILISES</v>
      </c>
      <c r="AA484" s="16"/>
      <c r="AB484" s="27">
        <v>1</v>
      </c>
      <c r="AC484" s="27">
        <v>1</v>
      </c>
      <c r="AD484" s="27"/>
      <c r="AE484" s="27"/>
      <c r="AF484" s="27">
        <v>1</v>
      </c>
      <c r="AG484" s="27"/>
      <c r="AH484" s="533"/>
      <c r="AI484" s="294"/>
    </row>
    <row r="485" spans="1:35" x14ac:dyDescent="0.2">
      <c r="A485" s="294"/>
      <c r="B485" s="922"/>
      <c r="C485" s="71">
        <v>3</v>
      </c>
      <c r="D485" s="8"/>
      <c r="E485" s="8"/>
      <c r="F485" s="8"/>
      <c r="G485" s="8"/>
      <c r="H485" s="9"/>
      <c r="I485" s="9"/>
      <c r="J485" s="87"/>
      <c r="K485" s="87"/>
      <c r="L485" s="98"/>
      <c r="M485" s="113"/>
      <c r="N485" s="854"/>
      <c r="O485" s="10"/>
      <c r="P485" s="10"/>
      <c r="Q485" s="10"/>
      <c r="R485" s="10"/>
      <c r="S485" s="10"/>
      <c r="T485" s="10"/>
      <c r="U485" s="10"/>
      <c r="V485" s="10"/>
      <c r="W485" s="10"/>
      <c r="X485" s="10"/>
      <c r="Y485" s="10"/>
      <c r="Z485" s="8"/>
      <c r="AA485" s="8"/>
      <c r="AB485" s="35"/>
      <c r="AC485" s="35"/>
      <c r="AD485" s="35"/>
      <c r="AE485" s="87"/>
      <c r="AF485" s="35"/>
      <c r="AG485" s="35"/>
      <c r="AH485" s="534"/>
      <c r="AI485" s="294"/>
    </row>
    <row r="486" spans="1:35" ht="12.75" customHeight="1" x14ac:dyDescent="0.2">
      <c r="A486" s="294"/>
      <c r="B486" s="922"/>
      <c r="C486" s="66">
        <v>3</v>
      </c>
      <c r="D486" s="3" t="s">
        <v>763</v>
      </c>
      <c r="E486" s="3" t="s">
        <v>755</v>
      </c>
      <c r="F486" s="3" t="s">
        <v>21</v>
      </c>
      <c r="G486" s="3" t="s">
        <v>848</v>
      </c>
      <c r="H486" s="5" t="s">
        <v>763</v>
      </c>
      <c r="I486" s="502"/>
      <c r="J486" s="26"/>
      <c r="K486" s="508"/>
      <c r="L486" s="509"/>
      <c r="M486" s="510">
        <v>0.2</v>
      </c>
      <c r="N486" s="859"/>
      <c r="O486" s="4">
        <f t="shared" ref="O486:P490" si="212">IF($K486=O$5,$L486,0)</f>
        <v>0</v>
      </c>
      <c r="P486" s="4">
        <f t="shared" si="212"/>
        <v>0</v>
      </c>
      <c r="Q486" s="127"/>
      <c r="R486" s="60"/>
      <c r="S486" s="4">
        <f t="shared" ref="S486:X490" si="213">IF($K486=S$5,$L486,0)</f>
        <v>0</v>
      </c>
      <c r="T486" s="4">
        <f t="shared" si="213"/>
        <v>0</v>
      </c>
      <c r="U486" s="4">
        <f t="shared" si="213"/>
        <v>0</v>
      </c>
      <c r="V486" s="4">
        <f t="shared" si="213"/>
        <v>0</v>
      </c>
      <c r="W486" s="4">
        <f t="shared" si="213"/>
        <v>0</v>
      </c>
      <c r="X486" s="4">
        <f t="shared" si="213"/>
        <v>0</v>
      </c>
      <c r="Y486" s="607"/>
      <c r="Z486" s="3" t="str">
        <f>VLOOKUP($D486,TableInputsData[],ReadMe!$M$3,FALSE)&amp;"  |  "&amp;VLOOKUP($E486,TableInputsData[],ReadMe!$M$3,FALSE)&amp;"  |  "&amp;VLOOKUP($H486,TableInputsData[],ReadMe!$M$3,FALSE)</f>
        <v>ACTIFS IMMATERIELS  |  INVESTISSEMENTS  |  ACTIFS IMMATERIELS</v>
      </c>
      <c r="AA486" s="3"/>
      <c r="AB486" s="34">
        <f>IF(L486+SUM(O486:X486)=0,0,1)</f>
        <v>0</v>
      </c>
      <c r="AC486" s="34"/>
      <c r="AD486" s="34"/>
      <c r="AE486" s="26"/>
      <c r="AF486" s="34">
        <v>1</v>
      </c>
      <c r="AG486" s="34"/>
      <c r="AH486" s="535"/>
      <c r="AI486" s="294"/>
    </row>
    <row r="487" spans="1:35" x14ac:dyDescent="0.2">
      <c r="A487" s="294"/>
      <c r="B487" s="922"/>
      <c r="C487" s="66">
        <v>3</v>
      </c>
      <c r="D487" s="3" t="s">
        <v>763</v>
      </c>
      <c r="E487" s="3" t="s">
        <v>755</v>
      </c>
      <c r="F487" s="3" t="s">
        <v>21</v>
      </c>
      <c r="G487" s="3" t="s">
        <v>849</v>
      </c>
      <c r="H487" s="5" t="s">
        <v>763</v>
      </c>
      <c r="I487" s="502"/>
      <c r="J487" s="26"/>
      <c r="K487" s="508"/>
      <c r="L487" s="509"/>
      <c r="M487" s="510">
        <v>0.2</v>
      </c>
      <c r="N487" s="859"/>
      <c r="O487" s="4">
        <f t="shared" si="212"/>
        <v>0</v>
      </c>
      <c r="P487" s="4">
        <f t="shared" si="212"/>
        <v>0</v>
      </c>
      <c r="Q487" s="127"/>
      <c r="R487" s="60"/>
      <c r="S487" s="4">
        <f t="shared" si="213"/>
        <v>0</v>
      </c>
      <c r="T487" s="4">
        <f t="shared" si="213"/>
        <v>0</v>
      </c>
      <c r="U487" s="4">
        <f t="shared" si="213"/>
        <v>0</v>
      </c>
      <c r="V487" s="4">
        <f t="shared" si="213"/>
        <v>0</v>
      </c>
      <c r="W487" s="4">
        <f t="shared" si="213"/>
        <v>0</v>
      </c>
      <c r="X487" s="4">
        <f t="shared" si="213"/>
        <v>0</v>
      </c>
      <c r="Y487" s="607"/>
      <c r="Z487" s="3" t="str">
        <f>VLOOKUP($D487,TableInputsData[],ReadMe!$M$3,FALSE)&amp;"  |  "&amp;VLOOKUP($E487,TableInputsData[],ReadMe!$M$3,FALSE)&amp;"  |  "&amp;VLOOKUP($H487,TableInputsData[],ReadMe!$M$3,FALSE)</f>
        <v>ACTIFS IMMATERIELS  |  INVESTISSEMENTS  |  ACTIFS IMMATERIELS</v>
      </c>
      <c r="AA487" s="3"/>
      <c r="AB487" s="34">
        <f>IF(L487+SUM(O487:X487)=0,0,1)</f>
        <v>0</v>
      </c>
      <c r="AC487" s="34"/>
      <c r="AD487" s="34"/>
      <c r="AE487" s="26"/>
      <c r="AF487" s="34">
        <v>1</v>
      </c>
      <c r="AG487" s="34"/>
      <c r="AH487" s="535"/>
      <c r="AI487" s="294"/>
    </row>
    <row r="488" spans="1:35" x14ac:dyDescent="0.2">
      <c r="A488" s="294"/>
      <c r="B488" s="922"/>
      <c r="C488" s="66">
        <v>3</v>
      </c>
      <c r="D488" s="3" t="s">
        <v>763</v>
      </c>
      <c r="E488" s="3" t="s">
        <v>755</v>
      </c>
      <c r="F488" s="3" t="s">
        <v>21</v>
      </c>
      <c r="G488" s="3" t="s">
        <v>850</v>
      </c>
      <c r="H488" s="5" t="s">
        <v>763</v>
      </c>
      <c r="I488" s="502"/>
      <c r="J488" s="26"/>
      <c r="K488" s="508"/>
      <c r="L488" s="509"/>
      <c r="M488" s="510">
        <v>0.2</v>
      </c>
      <c r="N488" s="859"/>
      <c r="O488" s="4">
        <f t="shared" si="212"/>
        <v>0</v>
      </c>
      <c r="P488" s="4">
        <f t="shared" si="212"/>
        <v>0</v>
      </c>
      <c r="Q488" s="127"/>
      <c r="R488" s="60"/>
      <c r="S488" s="4">
        <f t="shared" si="213"/>
        <v>0</v>
      </c>
      <c r="T488" s="4">
        <f t="shared" si="213"/>
        <v>0</v>
      </c>
      <c r="U488" s="4">
        <f t="shared" si="213"/>
        <v>0</v>
      </c>
      <c r="V488" s="4">
        <f t="shared" si="213"/>
        <v>0</v>
      </c>
      <c r="W488" s="4">
        <f t="shared" si="213"/>
        <v>0</v>
      </c>
      <c r="X488" s="4">
        <f t="shared" si="213"/>
        <v>0</v>
      </c>
      <c r="Y488" s="607"/>
      <c r="Z488" s="3" t="str">
        <f>VLOOKUP($D488,TableInputsData[],ReadMe!$M$3,FALSE)&amp;"  |  "&amp;VLOOKUP($E488,TableInputsData[],ReadMe!$M$3,FALSE)&amp;"  |  "&amp;VLOOKUP($H488,TableInputsData[],ReadMe!$M$3,FALSE)</f>
        <v>ACTIFS IMMATERIELS  |  INVESTISSEMENTS  |  ACTIFS IMMATERIELS</v>
      </c>
      <c r="AA488" s="3"/>
      <c r="AB488" s="34">
        <f>IF(L488+SUM(O488:X488)=0,0,1)</f>
        <v>0</v>
      </c>
      <c r="AC488" s="34"/>
      <c r="AD488" s="34"/>
      <c r="AE488" s="26"/>
      <c r="AF488" s="34">
        <v>1</v>
      </c>
      <c r="AG488" s="34"/>
      <c r="AH488" s="535"/>
      <c r="AI488" s="294"/>
    </row>
    <row r="489" spans="1:35" x14ac:dyDescent="0.2">
      <c r="A489" s="294"/>
      <c r="B489" s="922"/>
      <c r="C489" s="66">
        <v>3</v>
      </c>
      <c r="D489" s="3" t="s">
        <v>763</v>
      </c>
      <c r="E489" s="3" t="s">
        <v>755</v>
      </c>
      <c r="F489" s="3" t="s">
        <v>21</v>
      </c>
      <c r="G489" s="3" t="s">
        <v>851</v>
      </c>
      <c r="H489" s="5" t="s">
        <v>763</v>
      </c>
      <c r="I489" s="502"/>
      <c r="J489" s="26"/>
      <c r="K489" s="508"/>
      <c r="L489" s="509"/>
      <c r="M489" s="510">
        <v>0.2</v>
      </c>
      <c r="N489" s="859"/>
      <c r="O489" s="4">
        <f t="shared" si="212"/>
        <v>0</v>
      </c>
      <c r="P489" s="4">
        <f t="shared" si="212"/>
        <v>0</v>
      </c>
      <c r="Q489" s="127"/>
      <c r="R489" s="60"/>
      <c r="S489" s="4">
        <f t="shared" si="213"/>
        <v>0</v>
      </c>
      <c r="T489" s="4">
        <f t="shared" si="213"/>
        <v>0</v>
      </c>
      <c r="U489" s="4">
        <f t="shared" si="213"/>
        <v>0</v>
      </c>
      <c r="V489" s="4">
        <f t="shared" si="213"/>
        <v>0</v>
      </c>
      <c r="W489" s="4">
        <f t="shared" si="213"/>
        <v>0</v>
      </c>
      <c r="X489" s="4">
        <f t="shared" si="213"/>
        <v>0</v>
      </c>
      <c r="Y489" s="607"/>
      <c r="Z489" s="3" t="str">
        <f>VLOOKUP($D489,TableInputsData[],ReadMe!$M$3,FALSE)&amp;"  |  "&amp;VLOOKUP($E489,TableInputsData[],ReadMe!$M$3,FALSE)&amp;"  |  "&amp;VLOOKUP($H489,TableInputsData[],ReadMe!$M$3,FALSE)</f>
        <v>ACTIFS IMMATERIELS  |  INVESTISSEMENTS  |  ACTIFS IMMATERIELS</v>
      </c>
      <c r="AA489" s="3"/>
      <c r="AB489" s="34">
        <f>IF(L489+SUM(O489:X489)=0,0,1)</f>
        <v>0</v>
      </c>
      <c r="AC489" s="34"/>
      <c r="AD489" s="34"/>
      <c r="AE489" s="26"/>
      <c r="AF489" s="34">
        <v>1</v>
      </c>
      <c r="AG489" s="34"/>
      <c r="AH489" s="535"/>
      <c r="AI489" s="294"/>
    </row>
    <row r="490" spans="1:35" x14ac:dyDescent="0.2">
      <c r="A490" s="294"/>
      <c r="B490" s="922"/>
      <c r="C490" s="70">
        <v>3</v>
      </c>
      <c r="D490" s="6" t="s">
        <v>763</v>
      </c>
      <c r="E490" s="6" t="s">
        <v>755</v>
      </c>
      <c r="F490" s="6" t="s">
        <v>21</v>
      </c>
      <c r="G490" s="3" t="s">
        <v>852</v>
      </c>
      <c r="H490" s="11" t="s">
        <v>763</v>
      </c>
      <c r="I490" s="503"/>
      <c r="J490" s="26"/>
      <c r="K490" s="511"/>
      <c r="L490" s="512"/>
      <c r="M490" s="513">
        <v>0.2</v>
      </c>
      <c r="N490" s="860"/>
      <c r="O490" s="4">
        <f t="shared" si="212"/>
        <v>0</v>
      </c>
      <c r="P490" s="4">
        <f t="shared" si="212"/>
        <v>0</v>
      </c>
      <c r="Q490" s="127"/>
      <c r="R490" s="60"/>
      <c r="S490" s="4">
        <f t="shared" si="213"/>
        <v>0</v>
      </c>
      <c r="T490" s="4">
        <f t="shared" si="213"/>
        <v>0</v>
      </c>
      <c r="U490" s="4">
        <f t="shared" si="213"/>
        <v>0</v>
      </c>
      <c r="V490" s="4">
        <f t="shared" si="213"/>
        <v>0</v>
      </c>
      <c r="W490" s="4">
        <f t="shared" si="213"/>
        <v>0</v>
      </c>
      <c r="X490" s="4">
        <f t="shared" si="213"/>
        <v>0</v>
      </c>
      <c r="Y490" s="608"/>
      <c r="Z490" s="6" t="str">
        <f>VLOOKUP($D490,TableInputsData[],ReadMe!$M$3,FALSE)&amp;"  |  "&amp;VLOOKUP($E490,TableInputsData[],ReadMe!$M$3,FALSE)&amp;"  |  "&amp;VLOOKUP($H490,TableInputsData[],ReadMe!$M$3,FALSE)</f>
        <v>ACTIFS IMMATERIELS  |  INVESTISSEMENTS  |  ACTIFS IMMATERIELS</v>
      </c>
      <c r="AA490" s="6"/>
      <c r="AB490" s="34">
        <f>IF(L490+SUM(O490:X490)=0,0,1)</f>
        <v>0</v>
      </c>
      <c r="AC490" s="36"/>
      <c r="AD490" s="36"/>
      <c r="AE490" s="91"/>
      <c r="AF490" s="36">
        <v>1</v>
      </c>
      <c r="AG490" s="36"/>
      <c r="AH490" s="536"/>
      <c r="AI490" s="294"/>
    </row>
    <row r="491" spans="1:35" x14ac:dyDescent="0.2">
      <c r="A491" s="294"/>
      <c r="B491" s="922"/>
      <c r="C491" s="67">
        <v>3</v>
      </c>
      <c r="D491" s="16" t="s">
        <v>763</v>
      </c>
      <c r="E491" s="16" t="s">
        <v>755</v>
      </c>
      <c r="F491" s="16" t="s">
        <v>21</v>
      </c>
      <c r="G491" s="16" t="s">
        <v>853</v>
      </c>
      <c r="H491" s="17" t="s">
        <v>1164</v>
      </c>
      <c r="I491" s="17"/>
      <c r="J491" s="27"/>
      <c r="K491" s="27"/>
      <c r="L491" s="18">
        <f>SUM(L486:L490)</f>
        <v>0</v>
      </c>
      <c r="M491" s="112"/>
      <c r="N491" s="18">
        <f>SUM(N486:N490)</f>
        <v>0</v>
      </c>
      <c r="O491" s="18">
        <f>SUM(O486:O490)</f>
        <v>0</v>
      </c>
      <c r="P491" s="18">
        <f t="shared" ref="P491:X491" si="214">SUM(P486:P490)</f>
        <v>0</v>
      </c>
      <c r="Q491" s="18"/>
      <c r="R491" s="18"/>
      <c r="S491" s="18">
        <f t="shared" si="214"/>
        <v>0</v>
      </c>
      <c r="T491" s="18">
        <f t="shared" si="214"/>
        <v>0</v>
      </c>
      <c r="U491" s="18">
        <f t="shared" si="214"/>
        <v>0</v>
      </c>
      <c r="V491" s="18">
        <f t="shared" si="214"/>
        <v>0</v>
      </c>
      <c r="W491" s="18">
        <f t="shared" si="214"/>
        <v>0</v>
      </c>
      <c r="X491" s="18">
        <f t="shared" si="214"/>
        <v>0</v>
      </c>
      <c r="Y491" s="18"/>
      <c r="Z491" s="16" t="str">
        <f>VLOOKUP($D491,TableInputsData[],ReadMe!$M$3,FALSE)&amp;"  |  "&amp;VLOOKUP($E491,TableInputsData[],ReadMe!$M$3,FALSE)&amp;"  |  "&amp;VLOOKUP($H491,TableInputsData[],ReadMe!$M$3,FALSE)</f>
        <v>ACTIFS IMMATERIELS  |  INVESTISSEMENTS  |  TOTAL ACTIFS IMMATERIELS</v>
      </c>
      <c r="AA491" s="16"/>
      <c r="AB491" s="27">
        <v>1</v>
      </c>
      <c r="AC491" s="27">
        <v>1</v>
      </c>
      <c r="AD491" s="27"/>
      <c r="AE491" s="27"/>
      <c r="AF491" s="27">
        <v>1</v>
      </c>
      <c r="AG491" s="27"/>
      <c r="AH491" s="533"/>
      <c r="AI491" s="294"/>
    </row>
    <row r="492" spans="1:35" x14ac:dyDescent="0.2">
      <c r="A492" s="294"/>
      <c r="B492" s="922"/>
      <c r="C492" s="71">
        <v>3</v>
      </c>
      <c r="D492" s="8"/>
      <c r="E492" s="8"/>
      <c r="F492" s="8"/>
      <c r="G492" s="8"/>
      <c r="H492" s="9"/>
      <c r="I492" s="9"/>
      <c r="J492" s="87"/>
      <c r="K492" s="87"/>
      <c r="L492" s="98"/>
      <c r="M492" s="113"/>
      <c r="N492" s="854"/>
      <c r="O492" s="10"/>
      <c r="P492" s="10"/>
      <c r="Q492" s="10"/>
      <c r="R492" s="10"/>
      <c r="S492" s="10"/>
      <c r="T492" s="10"/>
      <c r="U492" s="10"/>
      <c r="V492" s="10"/>
      <c r="W492" s="10"/>
      <c r="X492" s="10"/>
      <c r="Y492" s="10"/>
      <c r="Z492" s="8"/>
      <c r="AA492" s="8"/>
      <c r="AB492" s="35"/>
      <c r="AC492" s="35"/>
      <c r="AD492" s="35"/>
      <c r="AE492" s="87"/>
      <c r="AF492" s="35"/>
      <c r="AG492" s="35"/>
      <c r="AH492" s="534"/>
      <c r="AI492" s="294"/>
    </row>
    <row r="493" spans="1:35" ht="12.75" customHeight="1" x14ac:dyDescent="0.2">
      <c r="A493" s="294"/>
      <c r="B493" s="922"/>
      <c r="C493" s="66">
        <v>3</v>
      </c>
      <c r="D493" s="3" t="s">
        <v>764</v>
      </c>
      <c r="E493" s="3" t="s">
        <v>755</v>
      </c>
      <c r="F493" s="3" t="s">
        <v>21</v>
      </c>
      <c r="G493" s="3" t="s">
        <v>854</v>
      </c>
      <c r="H493" s="5" t="s">
        <v>764</v>
      </c>
      <c r="I493" s="502"/>
      <c r="J493" s="26"/>
      <c r="K493" s="508"/>
      <c r="L493" s="509"/>
      <c r="M493" s="510">
        <v>0.2</v>
      </c>
      <c r="N493" s="859"/>
      <c r="O493" s="4">
        <f t="shared" ref="O493:P497" si="215">IF($K493=O$5,$L493,0)</f>
        <v>0</v>
      </c>
      <c r="P493" s="4">
        <f t="shared" si="215"/>
        <v>0</v>
      </c>
      <c r="Q493" s="127"/>
      <c r="R493" s="60"/>
      <c r="S493" s="4">
        <f t="shared" ref="S493:X497" si="216">IF($K493=S$5,$L493,0)</f>
        <v>0</v>
      </c>
      <c r="T493" s="4">
        <f t="shared" si="216"/>
        <v>0</v>
      </c>
      <c r="U493" s="4">
        <f t="shared" si="216"/>
        <v>0</v>
      </c>
      <c r="V493" s="4">
        <f t="shared" si="216"/>
        <v>0</v>
      </c>
      <c r="W493" s="4">
        <f t="shared" si="216"/>
        <v>0</v>
      </c>
      <c r="X493" s="4">
        <f t="shared" si="216"/>
        <v>0</v>
      </c>
      <c r="Y493" s="607"/>
      <c r="Z493" s="3" t="str">
        <f>VLOOKUP($D493,TableInputsData[],ReadMe!$M$3,FALSE)&amp;"  |  "&amp;VLOOKUP($E493,TableInputsData[],ReadMe!$M$3,FALSE)&amp;"  |  "&amp;VLOOKUP($H493,TableInputsData[],ReadMe!$M$3,FALSE)</f>
        <v>FRAIS DE DEMARRAGE  |  INVESTISSEMENTS  |  FRAIS DE DEMARRAGE</v>
      </c>
      <c r="AA493" s="3"/>
      <c r="AB493" s="34">
        <f>IF(L493+SUM(O493:X493)=0,0,1)</f>
        <v>0</v>
      </c>
      <c r="AC493" s="34"/>
      <c r="AD493" s="34"/>
      <c r="AE493" s="26"/>
      <c r="AF493" s="34">
        <v>1</v>
      </c>
      <c r="AG493" s="34"/>
      <c r="AH493" s="535"/>
      <c r="AI493" s="294"/>
    </row>
    <row r="494" spans="1:35" x14ac:dyDescent="0.2">
      <c r="A494" s="294"/>
      <c r="B494" s="922"/>
      <c r="C494" s="66">
        <v>3</v>
      </c>
      <c r="D494" s="3" t="s">
        <v>764</v>
      </c>
      <c r="E494" s="3" t="s">
        <v>755</v>
      </c>
      <c r="F494" s="3" t="s">
        <v>21</v>
      </c>
      <c r="G494" s="3" t="s">
        <v>855</v>
      </c>
      <c r="H494" s="5" t="s">
        <v>764</v>
      </c>
      <c r="I494" s="502"/>
      <c r="J494" s="26"/>
      <c r="K494" s="508"/>
      <c r="L494" s="509"/>
      <c r="M494" s="510">
        <v>0.2</v>
      </c>
      <c r="N494" s="859"/>
      <c r="O494" s="4">
        <f t="shared" si="215"/>
        <v>0</v>
      </c>
      <c r="P494" s="4">
        <f t="shared" si="215"/>
        <v>0</v>
      </c>
      <c r="Q494" s="127"/>
      <c r="R494" s="60"/>
      <c r="S494" s="4">
        <f t="shared" si="216"/>
        <v>0</v>
      </c>
      <c r="T494" s="4">
        <f t="shared" si="216"/>
        <v>0</v>
      </c>
      <c r="U494" s="4">
        <f t="shared" si="216"/>
        <v>0</v>
      </c>
      <c r="V494" s="4">
        <f t="shared" si="216"/>
        <v>0</v>
      </c>
      <c r="W494" s="4">
        <f t="shared" si="216"/>
        <v>0</v>
      </c>
      <c r="X494" s="4">
        <f t="shared" si="216"/>
        <v>0</v>
      </c>
      <c r="Y494" s="607"/>
      <c r="Z494" s="3" t="str">
        <f>VLOOKUP($D494,TableInputsData[],ReadMe!$M$3,FALSE)&amp;"  |  "&amp;VLOOKUP($E494,TableInputsData[],ReadMe!$M$3,FALSE)&amp;"  |  "&amp;VLOOKUP($H494,TableInputsData[],ReadMe!$M$3,FALSE)</f>
        <v>FRAIS DE DEMARRAGE  |  INVESTISSEMENTS  |  FRAIS DE DEMARRAGE</v>
      </c>
      <c r="AA494" s="3"/>
      <c r="AB494" s="34">
        <f>IF(L494+SUM(O494:X494)=0,0,1)</f>
        <v>0</v>
      </c>
      <c r="AC494" s="34"/>
      <c r="AD494" s="34"/>
      <c r="AE494" s="26"/>
      <c r="AF494" s="34">
        <v>1</v>
      </c>
      <c r="AG494" s="34"/>
      <c r="AH494" s="535"/>
      <c r="AI494" s="294"/>
    </row>
    <row r="495" spans="1:35" x14ac:dyDescent="0.2">
      <c r="A495" s="294"/>
      <c r="B495" s="922"/>
      <c r="C495" s="66">
        <v>3</v>
      </c>
      <c r="D495" s="3" t="s">
        <v>764</v>
      </c>
      <c r="E495" s="3" t="s">
        <v>755</v>
      </c>
      <c r="F495" s="3" t="s">
        <v>21</v>
      </c>
      <c r="G495" s="3" t="s">
        <v>856</v>
      </c>
      <c r="H495" s="5" t="s">
        <v>764</v>
      </c>
      <c r="I495" s="502"/>
      <c r="J495" s="26"/>
      <c r="K495" s="508"/>
      <c r="L495" s="509"/>
      <c r="M495" s="510">
        <v>0.2</v>
      </c>
      <c r="N495" s="859"/>
      <c r="O495" s="4">
        <f t="shared" si="215"/>
        <v>0</v>
      </c>
      <c r="P495" s="4">
        <f t="shared" si="215"/>
        <v>0</v>
      </c>
      <c r="Q495" s="127"/>
      <c r="R495" s="60"/>
      <c r="S495" s="4">
        <f t="shared" si="216"/>
        <v>0</v>
      </c>
      <c r="T495" s="4">
        <f t="shared" si="216"/>
        <v>0</v>
      </c>
      <c r="U495" s="4">
        <f t="shared" si="216"/>
        <v>0</v>
      </c>
      <c r="V495" s="4">
        <f t="shared" si="216"/>
        <v>0</v>
      </c>
      <c r="W495" s="4">
        <f t="shared" si="216"/>
        <v>0</v>
      </c>
      <c r="X495" s="4">
        <f t="shared" si="216"/>
        <v>0</v>
      </c>
      <c r="Y495" s="607"/>
      <c r="Z495" s="3" t="str">
        <f>VLOOKUP($D495,TableInputsData[],ReadMe!$M$3,FALSE)&amp;"  |  "&amp;VLOOKUP($E495,TableInputsData[],ReadMe!$M$3,FALSE)&amp;"  |  "&amp;VLOOKUP($H495,TableInputsData[],ReadMe!$M$3,FALSE)</f>
        <v>FRAIS DE DEMARRAGE  |  INVESTISSEMENTS  |  FRAIS DE DEMARRAGE</v>
      </c>
      <c r="AA495" s="3"/>
      <c r="AB495" s="34">
        <f>IF(L495+SUM(O495:X495)=0,0,1)</f>
        <v>0</v>
      </c>
      <c r="AC495" s="34"/>
      <c r="AD495" s="34"/>
      <c r="AE495" s="26"/>
      <c r="AF495" s="34">
        <v>1</v>
      </c>
      <c r="AG495" s="34"/>
      <c r="AH495" s="535"/>
      <c r="AI495" s="294"/>
    </row>
    <row r="496" spans="1:35" x14ac:dyDescent="0.2">
      <c r="A496" s="294"/>
      <c r="B496" s="922"/>
      <c r="C496" s="66">
        <v>3</v>
      </c>
      <c r="D496" s="3" t="s">
        <v>764</v>
      </c>
      <c r="E496" s="3" t="s">
        <v>755</v>
      </c>
      <c r="F496" s="3" t="s">
        <v>21</v>
      </c>
      <c r="G496" s="3" t="s">
        <v>857</v>
      </c>
      <c r="H496" s="5" t="s">
        <v>764</v>
      </c>
      <c r="I496" s="502"/>
      <c r="J496" s="26"/>
      <c r="K496" s="508"/>
      <c r="L496" s="509"/>
      <c r="M496" s="510">
        <v>0.2</v>
      </c>
      <c r="N496" s="859"/>
      <c r="O496" s="4">
        <f t="shared" si="215"/>
        <v>0</v>
      </c>
      <c r="P496" s="4">
        <f t="shared" si="215"/>
        <v>0</v>
      </c>
      <c r="Q496" s="127"/>
      <c r="R496" s="60"/>
      <c r="S496" s="4">
        <f t="shared" si="216"/>
        <v>0</v>
      </c>
      <c r="T496" s="4">
        <f t="shared" si="216"/>
        <v>0</v>
      </c>
      <c r="U496" s="4">
        <f t="shared" si="216"/>
        <v>0</v>
      </c>
      <c r="V496" s="4">
        <f t="shared" si="216"/>
        <v>0</v>
      </c>
      <c r="W496" s="4">
        <f t="shared" si="216"/>
        <v>0</v>
      </c>
      <c r="X496" s="4">
        <f t="shared" si="216"/>
        <v>0</v>
      </c>
      <c r="Y496" s="607"/>
      <c r="Z496" s="3" t="str">
        <f>VLOOKUP($D496,TableInputsData[],ReadMe!$M$3,FALSE)&amp;"  |  "&amp;VLOOKUP($E496,TableInputsData[],ReadMe!$M$3,FALSE)&amp;"  |  "&amp;VLOOKUP($H496,TableInputsData[],ReadMe!$M$3,FALSE)</f>
        <v>FRAIS DE DEMARRAGE  |  INVESTISSEMENTS  |  FRAIS DE DEMARRAGE</v>
      </c>
      <c r="AA496" s="3"/>
      <c r="AB496" s="34">
        <f>IF(L496+SUM(O496:X496)=0,0,1)</f>
        <v>0</v>
      </c>
      <c r="AC496" s="34"/>
      <c r="AD496" s="34"/>
      <c r="AE496" s="26"/>
      <c r="AF496" s="34">
        <v>1</v>
      </c>
      <c r="AG496" s="34"/>
      <c r="AH496" s="535"/>
      <c r="AI496" s="294"/>
    </row>
    <row r="497" spans="1:35" x14ac:dyDescent="0.2">
      <c r="A497" s="294"/>
      <c r="B497" s="922"/>
      <c r="C497" s="70">
        <v>3</v>
      </c>
      <c r="D497" s="6" t="s">
        <v>764</v>
      </c>
      <c r="E497" s="6" t="s">
        <v>755</v>
      </c>
      <c r="F497" s="6" t="s">
        <v>21</v>
      </c>
      <c r="G497" s="3" t="s">
        <v>858</v>
      </c>
      <c r="H497" s="11" t="s">
        <v>764</v>
      </c>
      <c r="I497" s="503"/>
      <c r="J497" s="26"/>
      <c r="K497" s="511"/>
      <c r="L497" s="512"/>
      <c r="M497" s="513">
        <v>0.2</v>
      </c>
      <c r="N497" s="860"/>
      <c r="O497" s="4">
        <f t="shared" si="215"/>
        <v>0</v>
      </c>
      <c r="P497" s="4">
        <f t="shared" si="215"/>
        <v>0</v>
      </c>
      <c r="Q497" s="127"/>
      <c r="R497" s="60"/>
      <c r="S497" s="4">
        <f t="shared" si="216"/>
        <v>0</v>
      </c>
      <c r="T497" s="4">
        <f t="shared" si="216"/>
        <v>0</v>
      </c>
      <c r="U497" s="4">
        <f t="shared" si="216"/>
        <v>0</v>
      </c>
      <c r="V497" s="4">
        <f t="shared" si="216"/>
        <v>0</v>
      </c>
      <c r="W497" s="4">
        <f t="shared" si="216"/>
        <v>0</v>
      </c>
      <c r="X497" s="4">
        <f t="shared" si="216"/>
        <v>0</v>
      </c>
      <c r="Y497" s="608"/>
      <c r="Z497" s="6" t="str">
        <f>VLOOKUP($D497,TableInputsData[],ReadMe!$M$3,FALSE)&amp;"  |  "&amp;VLOOKUP($E497,TableInputsData[],ReadMe!$M$3,FALSE)&amp;"  |  "&amp;VLOOKUP($H497,TableInputsData[],ReadMe!$M$3,FALSE)</f>
        <v>FRAIS DE DEMARRAGE  |  INVESTISSEMENTS  |  FRAIS DE DEMARRAGE</v>
      </c>
      <c r="AA497" s="6"/>
      <c r="AB497" s="34">
        <f>IF(L497+SUM(O497:X497)=0,0,1)</f>
        <v>0</v>
      </c>
      <c r="AC497" s="36"/>
      <c r="AD497" s="36"/>
      <c r="AE497" s="91"/>
      <c r="AF497" s="36">
        <v>1</v>
      </c>
      <c r="AG497" s="36"/>
      <c r="AH497" s="536"/>
      <c r="AI497" s="294"/>
    </row>
    <row r="498" spans="1:35" x14ac:dyDescent="0.2">
      <c r="A498" s="294"/>
      <c r="B498" s="922"/>
      <c r="C498" s="67">
        <v>3</v>
      </c>
      <c r="D498" s="16" t="s">
        <v>764</v>
      </c>
      <c r="E498" s="16" t="s">
        <v>755</v>
      </c>
      <c r="F498" s="16" t="s">
        <v>21</v>
      </c>
      <c r="G498" s="16" t="s">
        <v>859</v>
      </c>
      <c r="H498" s="17" t="s">
        <v>1163</v>
      </c>
      <c r="I498" s="17"/>
      <c r="J498" s="27"/>
      <c r="K498" s="27"/>
      <c r="L498" s="18">
        <f>SUM(L493:L497)</f>
        <v>0</v>
      </c>
      <c r="M498" s="112"/>
      <c r="N498" s="18">
        <f>SUM(N493:N497)</f>
        <v>0</v>
      </c>
      <c r="O498" s="18">
        <f>SUM(O493:O497)</f>
        <v>0</v>
      </c>
      <c r="P498" s="18">
        <f>SUM(P493:P497)</f>
        <v>0</v>
      </c>
      <c r="Q498" s="18"/>
      <c r="R498" s="18"/>
      <c r="S498" s="18">
        <f t="shared" ref="S498:X498" si="217">SUM(S493:S497)</f>
        <v>0</v>
      </c>
      <c r="T498" s="18">
        <f t="shared" si="217"/>
        <v>0</v>
      </c>
      <c r="U498" s="18">
        <f t="shared" si="217"/>
        <v>0</v>
      </c>
      <c r="V498" s="18">
        <f t="shared" si="217"/>
        <v>0</v>
      </c>
      <c r="W498" s="18">
        <f t="shared" si="217"/>
        <v>0</v>
      </c>
      <c r="X498" s="18">
        <f t="shared" si="217"/>
        <v>0</v>
      </c>
      <c r="Y498" s="18"/>
      <c r="Z498" s="16" t="str">
        <f>VLOOKUP($D498,TableInputsData[],ReadMe!$M$3,FALSE)&amp;"  |  "&amp;VLOOKUP($E498,TableInputsData[],ReadMe!$M$3,FALSE)&amp;"  |  "&amp;VLOOKUP($H498,TableInputsData[],ReadMe!$M$3,FALSE)</f>
        <v>FRAIS DE DEMARRAGE  |  INVESTISSEMENTS  |  TOTAL FRAIS DE DEMARRAGE</v>
      </c>
      <c r="AA498" s="16"/>
      <c r="AB498" s="27">
        <v>1</v>
      </c>
      <c r="AC498" s="27">
        <v>1</v>
      </c>
      <c r="AD498" s="27"/>
      <c r="AE498" s="27"/>
      <c r="AF498" s="27">
        <v>1</v>
      </c>
      <c r="AG498" s="27"/>
      <c r="AH498" s="533"/>
      <c r="AI498" s="294"/>
    </row>
    <row r="499" spans="1:35" x14ac:dyDescent="0.2">
      <c r="A499" s="294"/>
      <c r="B499" s="922"/>
      <c r="C499" s="66">
        <v>3</v>
      </c>
      <c r="D499" s="3"/>
      <c r="E499" s="3"/>
      <c r="F499" s="3"/>
      <c r="G499" s="3"/>
      <c r="H499" s="5"/>
      <c r="I499" s="5"/>
      <c r="J499" s="26"/>
      <c r="K499" s="26"/>
      <c r="L499" s="96"/>
      <c r="M499" s="118"/>
      <c r="N499" s="861"/>
      <c r="O499" s="4"/>
      <c r="P499" s="4"/>
      <c r="Q499" s="4"/>
      <c r="R499" s="4"/>
      <c r="S499" s="4"/>
      <c r="T499" s="4"/>
      <c r="U499" s="4"/>
      <c r="V499" s="4"/>
      <c r="W499" s="4"/>
      <c r="X499" s="4"/>
      <c r="Y499" s="4"/>
      <c r="Z499" s="3"/>
      <c r="AA499" s="3"/>
      <c r="AB499" s="34"/>
      <c r="AC499" s="34"/>
      <c r="AD499" s="34"/>
      <c r="AE499" s="26"/>
      <c r="AF499" s="34"/>
      <c r="AG499" s="34"/>
      <c r="AH499" s="535"/>
      <c r="AI499" s="294"/>
    </row>
    <row r="500" spans="1:35" x14ac:dyDescent="0.2">
      <c r="A500" s="294"/>
      <c r="B500" s="922"/>
      <c r="C500" s="67">
        <v>3</v>
      </c>
      <c r="D500" s="16" t="s">
        <v>987</v>
      </c>
      <c r="E500" s="16" t="s">
        <v>755</v>
      </c>
      <c r="F500" s="16" t="s">
        <v>21</v>
      </c>
      <c r="G500" s="16" t="s">
        <v>860</v>
      </c>
      <c r="H500" s="16" t="s">
        <v>987</v>
      </c>
      <c r="I500" s="17"/>
      <c r="J500" s="27"/>
      <c r="K500" s="27"/>
      <c r="L500" s="97">
        <f>L484+L491+L498</f>
        <v>0</v>
      </c>
      <c r="M500" s="112"/>
      <c r="N500" s="18">
        <f>N484+N491+N498</f>
        <v>0</v>
      </c>
      <c r="O500" s="97">
        <f t="shared" ref="O500:X500" si="218">O484+O491+O498</f>
        <v>0</v>
      </c>
      <c r="P500" s="97">
        <f t="shared" si="218"/>
        <v>0</v>
      </c>
      <c r="Q500" s="97"/>
      <c r="R500" s="97"/>
      <c r="S500" s="97">
        <f t="shared" si="218"/>
        <v>0</v>
      </c>
      <c r="T500" s="97">
        <f t="shared" si="218"/>
        <v>0</v>
      </c>
      <c r="U500" s="97">
        <f t="shared" si="218"/>
        <v>0</v>
      </c>
      <c r="V500" s="97">
        <f t="shared" si="218"/>
        <v>0</v>
      </c>
      <c r="W500" s="97">
        <f t="shared" si="218"/>
        <v>0</v>
      </c>
      <c r="X500" s="97">
        <f t="shared" si="218"/>
        <v>0</v>
      </c>
      <c r="Y500" s="97"/>
      <c r="Z500" s="16" t="str">
        <f>VLOOKUP($D500,TableInputsData[],ReadMe!$M$3,FALSE)&amp;"  |  "&amp;VLOOKUP($E500,TableInputsData[],ReadMe!$M$3,FALSE)&amp;"  |  "&amp;VLOOKUP($H500,TableInputsData[],ReadMe!$M$3,FALSE)</f>
        <v>TOTAL ACTIF  |  INVESTISSEMENTS  |  TOTAL ACTIF</v>
      </c>
      <c r="AA500" s="16"/>
      <c r="AB500" s="27">
        <v>1</v>
      </c>
      <c r="AC500" s="27">
        <v>1</v>
      </c>
      <c r="AD500" s="27"/>
      <c r="AE500" s="27"/>
      <c r="AF500" s="27">
        <v>1</v>
      </c>
      <c r="AG500" s="27"/>
      <c r="AH500" s="533"/>
      <c r="AI500" s="294"/>
    </row>
    <row r="501" spans="1:35" x14ac:dyDescent="0.2">
      <c r="A501" s="294"/>
      <c r="B501" s="922"/>
      <c r="C501" s="66">
        <v>3</v>
      </c>
      <c r="D501" s="3"/>
      <c r="E501" s="3"/>
      <c r="F501" s="3"/>
      <c r="G501" s="3"/>
      <c r="H501" s="5"/>
      <c r="I501" s="5"/>
      <c r="J501" s="26"/>
      <c r="K501" s="26"/>
      <c r="L501" s="96"/>
      <c r="M501" s="118"/>
      <c r="N501" s="861"/>
      <c r="O501" s="4"/>
      <c r="P501" s="4"/>
      <c r="Q501" s="4"/>
      <c r="R501" s="4"/>
      <c r="S501" s="4"/>
      <c r="T501" s="4"/>
      <c r="U501" s="4"/>
      <c r="V501" s="4"/>
      <c r="W501" s="4"/>
      <c r="X501" s="4"/>
      <c r="Y501" s="4"/>
      <c r="Z501" s="3"/>
      <c r="AA501" s="3"/>
      <c r="AB501" s="34"/>
      <c r="AC501" s="34"/>
      <c r="AD501" s="34"/>
      <c r="AE501" s="26"/>
      <c r="AF501" s="34"/>
      <c r="AG501" s="34"/>
      <c r="AH501" s="535"/>
      <c r="AI501" s="294"/>
    </row>
    <row r="502" spans="1:35" x14ac:dyDescent="0.2">
      <c r="A502" s="294"/>
      <c r="B502" s="922"/>
      <c r="C502" s="66">
        <v>3</v>
      </c>
      <c r="D502" s="3" t="s">
        <v>762</v>
      </c>
      <c r="E502" s="3" t="s">
        <v>756</v>
      </c>
      <c r="F502" s="3" t="s">
        <v>21</v>
      </c>
      <c r="G502" s="3" t="s">
        <v>774</v>
      </c>
      <c r="H502" s="5" t="s">
        <v>768</v>
      </c>
      <c r="I502" s="5" t="str">
        <f t="shared" ref="I502:I541" si="219">IF(I408="","",I408)</f>
        <v/>
      </c>
      <c r="J502" s="26"/>
      <c r="K502" s="26">
        <f t="shared" ref="K502:N521" si="220">IF(K408="",0,K408)</f>
        <v>2020</v>
      </c>
      <c r="L502" s="96">
        <f t="shared" si="220"/>
        <v>0</v>
      </c>
      <c r="M502" s="111">
        <f t="shared" si="220"/>
        <v>0.25</v>
      </c>
      <c r="N502" s="4">
        <f t="shared" si="220"/>
        <v>0</v>
      </c>
      <c r="O502" s="504">
        <f>IF(O$5&lt;$K502,0,MIN($L502-SUM($N502:N502),$L502*$M502))</f>
        <v>0</v>
      </c>
      <c r="P502" s="504">
        <f>IF(P$5&lt;$K502,0,MIN($L502-SUM($N502:O502),$L502*$M502))</f>
        <v>0</v>
      </c>
      <c r="Q502" s="60"/>
      <c r="R502" s="60"/>
      <c r="S502" s="4">
        <f>IF(S$5&lt;$K502,0,MIN($L502-SUM($N502:R502),ABS($L502*$M502)))</f>
        <v>0</v>
      </c>
      <c r="T502" s="4">
        <f>IF(T$5&lt;$K502,0,MIN($L502-SUM($N502:S502),ABS($L502*$M502)))</f>
        <v>0</v>
      </c>
      <c r="U502" s="4">
        <f>IF(U$5&lt;$K502,0,MIN($L502-SUM($N502:T502),ABS($L502*$M502)))</f>
        <v>0</v>
      </c>
      <c r="V502" s="4">
        <f>IF(V$5&lt;$K502,0,MIN($L502-SUM($N502:U502),ABS($L502*$M502)))</f>
        <v>0</v>
      </c>
      <c r="W502" s="4">
        <f>IF(W$5&lt;$K502,0,MIN($L502-SUM($N502:V502),ABS($L502*$M502)))</f>
        <v>0</v>
      </c>
      <c r="X502" s="4">
        <f>IF(X$5&lt;$K502,0,MIN($L502-SUM($N502:W502),ABS($L502*$M502)))</f>
        <v>0</v>
      </c>
      <c r="Y502" s="604"/>
      <c r="Z502" s="3" t="str">
        <f>VLOOKUP($D502,TableInputsData[],ReadMe!$M$3,FALSE)&amp;"  |  "&amp;VLOOKUP($E502,TableInputsData[],ReadMe!$M$3,FALSE)&amp;"  |  "&amp;VLOOKUP($H502,TableInputsData[],ReadMe!$M$3,FALSE)</f>
        <v>ACTIFS MATERIEL IMMOBILISES  |  AMORTISSEMENTS  |  MATERIEL DE BUREAU</v>
      </c>
      <c r="AA502" s="3"/>
      <c r="AB502" s="34">
        <f>IF(L502+SUM(O502:X502)=0,0,1)</f>
        <v>0</v>
      </c>
      <c r="AC502" s="34"/>
      <c r="AD502" s="34"/>
      <c r="AE502" s="26"/>
      <c r="AF502" s="34">
        <v>1</v>
      </c>
      <c r="AG502" s="34"/>
      <c r="AH502" s="535"/>
      <c r="AI502" s="294"/>
    </row>
    <row r="503" spans="1:35" x14ac:dyDescent="0.2">
      <c r="A503" s="294"/>
      <c r="B503" s="922"/>
      <c r="C503" s="66">
        <v>3</v>
      </c>
      <c r="D503" s="3" t="s">
        <v>762</v>
      </c>
      <c r="E503" s="3" t="s">
        <v>756</v>
      </c>
      <c r="F503" s="3" t="s">
        <v>21</v>
      </c>
      <c r="G503" s="3" t="s">
        <v>775</v>
      </c>
      <c r="H503" s="5" t="s">
        <v>768</v>
      </c>
      <c r="I503" s="5" t="str">
        <f t="shared" si="219"/>
        <v/>
      </c>
      <c r="J503" s="26"/>
      <c r="K503" s="26">
        <f t="shared" si="220"/>
        <v>2021</v>
      </c>
      <c r="L503" s="96">
        <f t="shared" si="220"/>
        <v>0</v>
      </c>
      <c r="M503" s="111">
        <f t="shared" si="220"/>
        <v>0.25</v>
      </c>
      <c r="N503" s="4">
        <f t="shared" si="220"/>
        <v>0</v>
      </c>
      <c r="O503" s="504">
        <f>IF(O$5&lt;$K503,0,MIN($L503-SUM($N503:N503),$L503*$M503))</f>
        <v>0</v>
      </c>
      <c r="P503" s="504">
        <f>IF(P$5&lt;$K503,0,MIN($L503-SUM($N503:O503),$L503*$M503))</f>
        <v>0</v>
      </c>
      <c r="Q503" s="60"/>
      <c r="R503" s="60"/>
      <c r="S503" s="4">
        <f>IF(S$5&lt;$K503,0,MIN($L503-SUM($N503:R503),ABS($L503*$M503)))</f>
        <v>0</v>
      </c>
      <c r="T503" s="4">
        <f>IF(T$5&lt;$K503,0,MIN($L503-SUM($N503:S503),ABS($L503*$M503)))</f>
        <v>0</v>
      </c>
      <c r="U503" s="4">
        <f>IF(U$5&lt;$K503,0,MIN($L503-SUM($N503:T503),ABS($L503*$M503)))</f>
        <v>0</v>
      </c>
      <c r="V503" s="4">
        <f>IF(V$5&lt;$K503,0,MIN($L503-SUM($N503:U503),ABS($L503*$M503)))</f>
        <v>0</v>
      </c>
      <c r="W503" s="4">
        <f>IF(W$5&lt;$K503,0,MIN($L503-SUM($N503:V503),ABS($L503*$M503)))</f>
        <v>0</v>
      </c>
      <c r="X503" s="4">
        <f>IF(X$5&lt;$K503,0,MIN($L503-SUM($N503:W503),ABS($L503*$M503)))</f>
        <v>0</v>
      </c>
      <c r="Y503" s="604"/>
      <c r="Z503" s="3" t="str">
        <f>VLOOKUP($D503,TableInputsData[],ReadMe!$M$3,FALSE)&amp;"  |  "&amp;VLOOKUP($E503,TableInputsData[],ReadMe!$M$3,FALSE)&amp;"  |  "&amp;VLOOKUP($H503,TableInputsData[],ReadMe!$M$3,FALSE)</f>
        <v>ACTIFS MATERIEL IMMOBILISES  |  AMORTISSEMENTS  |  MATERIEL DE BUREAU</v>
      </c>
      <c r="AA503" s="3"/>
      <c r="AB503" s="34">
        <f t="shared" ref="AB503:AB541" si="221">IF(L503+SUM(O503:X503)=0,0,1)</f>
        <v>0</v>
      </c>
      <c r="AC503" s="34"/>
      <c r="AD503" s="34"/>
      <c r="AE503" s="26"/>
      <c r="AF503" s="34">
        <v>1</v>
      </c>
      <c r="AG503" s="34"/>
      <c r="AH503" s="535"/>
      <c r="AI503" s="294"/>
    </row>
    <row r="504" spans="1:35" x14ac:dyDescent="0.2">
      <c r="A504" s="294"/>
      <c r="B504" s="922"/>
      <c r="C504" s="66">
        <v>3</v>
      </c>
      <c r="D504" s="3" t="s">
        <v>762</v>
      </c>
      <c r="E504" s="3" t="s">
        <v>756</v>
      </c>
      <c r="F504" s="3" t="s">
        <v>21</v>
      </c>
      <c r="G504" s="3" t="s">
        <v>776</v>
      </c>
      <c r="H504" s="5" t="s">
        <v>768</v>
      </c>
      <c r="I504" s="5" t="str">
        <f t="shared" si="219"/>
        <v/>
      </c>
      <c r="J504" s="26"/>
      <c r="K504" s="26">
        <f t="shared" si="220"/>
        <v>2022</v>
      </c>
      <c r="L504" s="96">
        <f t="shared" si="220"/>
        <v>0</v>
      </c>
      <c r="M504" s="111">
        <f t="shared" si="220"/>
        <v>0.25</v>
      </c>
      <c r="N504" s="4">
        <f t="shared" si="220"/>
        <v>0</v>
      </c>
      <c r="O504" s="504">
        <f>IF(O$5&lt;$K504,0,MIN($L504-SUM($N504:N504),$L504*$M504))</f>
        <v>0</v>
      </c>
      <c r="P504" s="504">
        <f>IF(P$5&lt;$K504,0,MIN($L504-SUM($N504:O504),$L504*$M504))</f>
        <v>0</v>
      </c>
      <c r="Q504" s="60"/>
      <c r="R504" s="60"/>
      <c r="S504" s="4">
        <f>IF(S$5&lt;$K504,0,MIN($L504-SUM($N504:R504),ABS($L504*$M504)))</f>
        <v>0</v>
      </c>
      <c r="T504" s="4">
        <f>IF(T$5&lt;$K504,0,MIN($L504-SUM($N504:S504),ABS($L504*$M504)))</f>
        <v>0</v>
      </c>
      <c r="U504" s="4">
        <f>IF(U$5&lt;$K504,0,MIN($L504-SUM($N504:T504),ABS($L504*$M504)))</f>
        <v>0</v>
      </c>
      <c r="V504" s="4">
        <f>IF(V$5&lt;$K504,0,MIN($L504-SUM($N504:U504),ABS($L504*$M504)))</f>
        <v>0</v>
      </c>
      <c r="W504" s="4">
        <f>IF(W$5&lt;$K504,0,MIN($L504-SUM($N504:V504),ABS($L504*$M504)))</f>
        <v>0</v>
      </c>
      <c r="X504" s="4">
        <f>IF(X$5&lt;$K504,0,MIN($L504-SUM($N504:W504),ABS($L504*$M504)))</f>
        <v>0</v>
      </c>
      <c r="Y504" s="604"/>
      <c r="Z504" s="3" t="str">
        <f>VLOOKUP($D504,TableInputsData[],ReadMe!$M$3,FALSE)&amp;"  |  "&amp;VLOOKUP($E504,TableInputsData[],ReadMe!$M$3,FALSE)&amp;"  |  "&amp;VLOOKUP($H504,TableInputsData[],ReadMe!$M$3,FALSE)</f>
        <v>ACTIFS MATERIEL IMMOBILISES  |  AMORTISSEMENTS  |  MATERIEL DE BUREAU</v>
      </c>
      <c r="AA504" s="3"/>
      <c r="AB504" s="34">
        <f t="shared" si="221"/>
        <v>0</v>
      </c>
      <c r="AC504" s="34"/>
      <c r="AD504" s="34"/>
      <c r="AE504" s="26"/>
      <c r="AF504" s="34">
        <v>1</v>
      </c>
      <c r="AG504" s="34"/>
      <c r="AH504" s="535"/>
      <c r="AI504" s="294"/>
    </row>
    <row r="505" spans="1:35" x14ac:dyDescent="0.2">
      <c r="A505" s="294"/>
      <c r="B505" s="922"/>
      <c r="C505" s="66">
        <v>3</v>
      </c>
      <c r="D505" s="3" t="s">
        <v>762</v>
      </c>
      <c r="E505" s="3" t="s">
        <v>756</v>
      </c>
      <c r="F505" s="3" t="s">
        <v>21</v>
      </c>
      <c r="G505" s="3" t="s">
        <v>777</v>
      </c>
      <c r="H505" s="5" t="s">
        <v>768</v>
      </c>
      <c r="I505" s="5" t="str">
        <f t="shared" si="219"/>
        <v/>
      </c>
      <c r="J505" s="26"/>
      <c r="K505" s="26">
        <f t="shared" si="220"/>
        <v>2023</v>
      </c>
      <c r="L505" s="96">
        <f t="shared" si="220"/>
        <v>0</v>
      </c>
      <c r="M505" s="111">
        <f t="shared" si="220"/>
        <v>0.25</v>
      </c>
      <c r="N505" s="4">
        <f t="shared" si="220"/>
        <v>0</v>
      </c>
      <c r="O505" s="504">
        <f>IF(O$5&lt;$K505,0,MIN($L505-SUM($N505:N505),$L505*$M505))</f>
        <v>0</v>
      </c>
      <c r="P505" s="504">
        <f>IF(P$5&lt;$K505,0,MIN($L505-SUM($N505:O505),$L505*$M505))</f>
        <v>0</v>
      </c>
      <c r="Q505" s="60"/>
      <c r="R505" s="60"/>
      <c r="S505" s="4">
        <f>IF(S$5&lt;$K505,0,MIN($L505-SUM($N505:R505),ABS($L505*$M505)))</f>
        <v>0</v>
      </c>
      <c r="T505" s="4">
        <f>IF(T$5&lt;$K505,0,MIN($L505-SUM($N505:S505),ABS($L505*$M505)))</f>
        <v>0</v>
      </c>
      <c r="U505" s="4">
        <f>IF(U$5&lt;$K505,0,MIN($L505-SUM($N505:T505),ABS($L505*$M505)))</f>
        <v>0</v>
      </c>
      <c r="V505" s="4">
        <f>IF(V$5&lt;$K505,0,MIN($L505-SUM($N505:U505),ABS($L505*$M505)))</f>
        <v>0</v>
      </c>
      <c r="W505" s="4">
        <f>IF(W$5&lt;$K505,0,MIN($L505-SUM($N505:V505),ABS($L505*$M505)))</f>
        <v>0</v>
      </c>
      <c r="X505" s="4">
        <f>IF(X$5&lt;$K505,0,MIN($L505-SUM($N505:W505),ABS($L505*$M505)))</f>
        <v>0</v>
      </c>
      <c r="Y505" s="604"/>
      <c r="Z505" s="3" t="str">
        <f>VLOOKUP($D505,TableInputsData[],ReadMe!$M$3,FALSE)&amp;"  |  "&amp;VLOOKUP($E505,TableInputsData[],ReadMe!$M$3,FALSE)&amp;"  |  "&amp;VLOOKUP($H505,TableInputsData[],ReadMe!$M$3,FALSE)</f>
        <v>ACTIFS MATERIEL IMMOBILISES  |  AMORTISSEMENTS  |  MATERIEL DE BUREAU</v>
      </c>
      <c r="AA505" s="3"/>
      <c r="AB505" s="34">
        <f t="shared" si="221"/>
        <v>0</v>
      </c>
      <c r="AC505" s="34"/>
      <c r="AD505" s="34"/>
      <c r="AE505" s="26"/>
      <c r="AF505" s="34">
        <v>1</v>
      </c>
      <c r="AG505" s="34"/>
      <c r="AH505" s="535"/>
      <c r="AI505" s="294"/>
    </row>
    <row r="506" spans="1:35" x14ac:dyDescent="0.2">
      <c r="A506" s="294"/>
      <c r="B506" s="922"/>
      <c r="C506" s="66">
        <v>3</v>
      </c>
      <c r="D506" s="3" t="s">
        <v>762</v>
      </c>
      <c r="E506" s="3" t="s">
        <v>756</v>
      </c>
      <c r="F506" s="3" t="s">
        <v>21</v>
      </c>
      <c r="G506" s="3" t="s">
        <v>778</v>
      </c>
      <c r="H506" s="5" t="s">
        <v>768</v>
      </c>
      <c r="I506" s="5" t="str">
        <f t="shared" si="219"/>
        <v/>
      </c>
      <c r="J506" s="26"/>
      <c r="K506" s="26">
        <f t="shared" si="220"/>
        <v>2024</v>
      </c>
      <c r="L506" s="96">
        <f t="shared" si="220"/>
        <v>0</v>
      </c>
      <c r="M506" s="111">
        <f t="shared" si="220"/>
        <v>0.25</v>
      </c>
      <c r="N506" s="4">
        <f t="shared" si="220"/>
        <v>0</v>
      </c>
      <c r="O506" s="504">
        <f>IF(O$5&lt;$K506,0,MIN($L506-SUM($N506:N506),$L506*$M506))</f>
        <v>0</v>
      </c>
      <c r="P506" s="504">
        <f>IF(P$5&lt;$K506,0,MIN($L506-SUM($N506:O506),$L506*$M506))</f>
        <v>0</v>
      </c>
      <c r="Q506" s="60"/>
      <c r="R506" s="60"/>
      <c r="S506" s="4">
        <f>IF(S$5&lt;$K506,0,MIN($L506-SUM($N506:R506),ABS($L506*$M506)))</f>
        <v>0</v>
      </c>
      <c r="T506" s="4">
        <f>IF(T$5&lt;$K506,0,MIN($L506-SUM($N506:S506),ABS($L506*$M506)))</f>
        <v>0</v>
      </c>
      <c r="U506" s="4">
        <f>IF(U$5&lt;$K506,0,MIN($L506-SUM($N506:T506),ABS($L506*$M506)))</f>
        <v>0</v>
      </c>
      <c r="V506" s="4">
        <f>IF(V$5&lt;$K506,0,MIN($L506-SUM($N506:U506),ABS($L506*$M506)))</f>
        <v>0</v>
      </c>
      <c r="W506" s="4">
        <f>IF(W$5&lt;$K506,0,MIN($L506-SUM($N506:V506),ABS($L506*$M506)))</f>
        <v>0</v>
      </c>
      <c r="X506" s="4">
        <f>IF(X$5&lt;$K506,0,MIN($L506-SUM($N506:W506),ABS($L506*$M506)))</f>
        <v>0</v>
      </c>
      <c r="Y506" s="604"/>
      <c r="Z506" s="3" t="str">
        <f>VLOOKUP($D506,TableInputsData[],ReadMe!$M$3,FALSE)&amp;"  |  "&amp;VLOOKUP($E506,TableInputsData[],ReadMe!$M$3,FALSE)&amp;"  |  "&amp;VLOOKUP($H506,TableInputsData[],ReadMe!$M$3,FALSE)</f>
        <v>ACTIFS MATERIEL IMMOBILISES  |  AMORTISSEMENTS  |  MATERIEL DE BUREAU</v>
      </c>
      <c r="AA506" s="3"/>
      <c r="AB506" s="34">
        <f t="shared" si="221"/>
        <v>0</v>
      </c>
      <c r="AC506" s="34"/>
      <c r="AD506" s="34"/>
      <c r="AE506" s="26"/>
      <c r="AF506" s="34">
        <v>1</v>
      </c>
      <c r="AG506" s="34"/>
      <c r="AH506" s="535"/>
      <c r="AI506" s="294"/>
    </row>
    <row r="507" spans="1:35" x14ac:dyDescent="0.2">
      <c r="A507" s="294"/>
      <c r="B507" s="922"/>
      <c r="C507" s="66">
        <v>3</v>
      </c>
      <c r="D507" s="3" t="s">
        <v>762</v>
      </c>
      <c r="E507" s="3" t="s">
        <v>756</v>
      </c>
      <c r="F507" s="3" t="s">
        <v>21</v>
      </c>
      <c r="G507" s="3" t="s">
        <v>779</v>
      </c>
      <c r="H507" s="5" t="s">
        <v>768</v>
      </c>
      <c r="I507" s="5" t="str">
        <f t="shared" si="219"/>
        <v/>
      </c>
      <c r="J507" s="26"/>
      <c r="K507" s="26">
        <f t="shared" si="220"/>
        <v>2025</v>
      </c>
      <c r="L507" s="96">
        <f t="shared" si="220"/>
        <v>0</v>
      </c>
      <c r="M507" s="111">
        <f t="shared" si="220"/>
        <v>0.25</v>
      </c>
      <c r="N507" s="4">
        <f t="shared" si="220"/>
        <v>0</v>
      </c>
      <c r="O507" s="504">
        <f>IF(O$5&lt;$K507,0,MIN($L507-SUM($N507:N507),$L507*$M507))</f>
        <v>0</v>
      </c>
      <c r="P507" s="504">
        <f>IF(P$5&lt;$K507,0,MIN($L507-SUM($N507:O507),$L507*$M507))</f>
        <v>0</v>
      </c>
      <c r="Q507" s="60"/>
      <c r="R507" s="60"/>
      <c r="S507" s="4">
        <f>IF(S$5&lt;$K507,0,MIN($L507-SUM($N507:R507),ABS($L507*$M507)))</f>
        <v>0</v>
      </c>
      <c r="T507" s="4">
        <f>IF(T$5&lt;$K507,0,MIN($L507-SUM($N507:S507),ABS($L507*$M507)))</f>
        <v>0</v>
      </c>
      <c r="U507" s="4">
        <f>IF(U$5&lt;$K507,0,MIN($L507-SUM($N507:T507),ABS($L507*$M507)))</f>
        <v>0</v>
      </c>
      <c r="V507" s="4">
        <f>IF(V$5&lt;$K507,0,MIN($L507-SUM($N507:U507),ABS($L507*$M507)))</f>
        <v>0</v>
      </c>
      <c r="W507" s="4">
        <f>IF(W$5&lt;$K507,0,MIN($L507-SUM($N507:V507),ABS($L507*$M507)))</f>
        <v>0</v>
      </c>
      <c r="X507" s="4">
        <f>IF(X$5&lt;$K507,0,MIN($L507-SUM($N507:W507),ABS($L507*$M507)))</f>
        <v>0</v>
      </c>
      <c r="Y507" s="604"/>
      <c r="Z507" s="3" t="str">
        <f>VLOOKUP($D507,TableInputsData[],ReadMe!$M$3,FALSE)&amp;"  |  "&amp;VLOOKUP($E507,TableInputsData[],ReadMe!$M$3,FALSE)&amp;"  |  "&amp;VLOOKUP($H507,TableInputsData[],ReadMe!$M$3,FALSE)</f>
        <v>ACTIFS MATERIEL IMMOBILISES  |  AMORTISSEMENTS  |  MATERIEL DE BUREAU</v>
      </c>
      <c r="AA507" s="3"/>
      <c r="AB507" s="34">
        <f t="shared" si="221"/>
        <v>0</v>
      </c>
      <c r="AC507" s="34"/>
      <c r="AD507" s="34"/>
      <c r="AE507" s="26"/>
      <c r="AF507" s="34">
        <v>1</v>
      </c>
      <c r="AG507" s="34"/>
      <c r="AH507" s="535"/>
      <c r="AI507" s="294"/>
    </row>
    <row r="508" spans="1:35" x14ac:dyDescent="0.2">
      <c r="A508" s="294"/>
      <c r="B508" s="922"/>
      <c r="C508" s="66">
        <v>3</v>
      </c>
      <c r="D508" s="3" t="s">
        <v>762</v>
      </c>
      <c r="E508" s="3" t="s">
        <v>756</v>
      </c>
      <c r="F508" s="3" t="s">
        <v>21</v>
      </c>
      <c r="G508" s="3" t="s">
        <v>780</v>
      </c>
      <c r="H508" s="5" t="s">
        <v>768</v>
      </c>
      <c r="I508" s="5" t="str">
        <f t="shared" si="219"/>
        <v/>
      </c>
      <c r="J508" s="26"/>
      <c r="K508" s="26">
        <f t="shared" si="220"/>
        <v>2026</v>
      </c>
      <c r="L508" s="96">
        <f t="shared" si="220"/>
        <v>0</v>
      </c>
      <c r="M508" s="111">
        <f t="shared" si="220"/>
        <v>0.25</v>
      </c>
      <c r="N508" s="4">
        <f t="shared" si="220"/>
        <v>0</v>
      </c>
      <c r="O508" s="504">
        <f>IF(O$5&lt;$K508,0,MIN($L508-SUM($N508:N508),$L508*$M508))</f>
        <v>0</v>
      </c>
      <c r="P508" s="504">
        <f>IF(P$5&lt;$K508,0,MIN($L508-SUM($N508:O508),$L508*$M508))</f>
        <v>0</v>
      </c>
      <c r="Q508" s="60"/>
      <c r="R508" s="60"/>
      <c r="S508" s="4">
        <f>IF(S$5&lt;$K508,0,MIN($L508-SUM($N508:R508),ABS($L508*$M508)))</f>
        <v>0</v>
      </c>
      <c r="T508" s="4">
        <f>IF(T$5&lt;$K508,0,MIN($L508-SUM($N508:S508),ABS($L508*$M508)))</f>
        <v>0</v>
      </c>
      <c r="U508" s="4">
        <f>IF(U$5&lt;$K508,0,MIN($L508-SUM($N508:T508),ABS($L508*$M508)))</f>
        <v>0</v>
      </c>
      <c r="V508" s="4">
        <f>IF(V$5&lt;$K508,0,MIN($L508-SUM($N508:U508),ABS($L508*$M508)))</f>
        <v>0</v>
      </c>
      <c r="W508" s="4">
        <f>IF(W$5&lt;$K508,0,MIN($L508-SUM($N508:V508),ABS($L508*$M508)))</f>
        <v>0</v>
      </c>
      <c r="X508" s="4">
        <f>IF(X$5&lt;$K508,0,MIN($L508-SUM($N508:W508),ABS($L508*$M508)))</f>
        <v>0</v>
      </c>
      <c r="Y508" s="604"/>
      <c r="Z508" s="3" t="str">
        <f>VLOOKUP($D508,TableInputsData[],ReadMe!$M$3,FALSE)&amp;"  |  "&amp;VLOOKUP($E508,TableInputsData[],ReadMe!$M$3,FALSE)&amp;"  |  "&amp;VLOOKUP($H508,TableInputsData[],ReadMe!$M$3,FALSE)</f>
        <v>ACTIFS MATERIEL IMMOBILISES  |  AMORTISSEMENTS  |  MATERIEL DE BUREAU</v>
      </c>
      <c r="AA508" s="3"/>
      <c r="AB508" s="34">
        <f t="shared" si="221"/>
        <v>0</v>
      </c>
      <c r="AC508" s="34"/>
      <c r="AD508" s="34"/>
      <c r="AE508" s="26"/>
      <c r="AF508" s="34">
        <v>1</v>
      </c>
      <c r="AG508" s="34"/>
      <c r="AH508" s="535"/>
      <c r="AI508" s="294"/>
    </row>
    <row r="509" spans="1:35" x14ac:dyDescent="0.2">
      <c r="A509" s="294"/>
      <c r="B509" s="922"/>
      <c r="C509" s="66">
        <v>3</v>
      </c>
      <c r="D509" s="3" t="s">
        <v>762</v>
      </c>
      <c r="E509" s="3" t="s">
        <v>756</v>
      </c>
      <c r="F509" s="3" t="s">
        <v>21</v>
      </c>
      <c r="G509" s="3" t="s">
        <v>781</v>
      </c>
      <c r="H509" s="5" t="s">
        <v>768</v>
      </c>
      <c r="I509" s="5" t="str">
        <f t="shared" si="219"/>
        <v/>
      </c>
      <c r="J509" s="26"/>
      <c r="K509" s="26">
        <f t="shared" si="220"/>
        <v>0</v>
      </c>
      <c r="L509" s="96">
        <f t="shared" si="220"/>
        <v>0</v>
      </c>
      <c r="M509" s="111">
        <f t="shared" si="220"/>
        <v>0</v>
      </c>
      <c r="N509" s="4">
        <f t="shared" si="220"/>
        <v>0</v>
      </c>
      <c r="O509" s="504">
        <f>IF(O$5&lt;$K509,0,MIN($L509-SUM($N509:N509),$L509*$M509))</f>
        <v>0</v>
      </c>
      <c r="P509" s="504">
        <f>IF(P$5&lt;$K509,0,MIN($L509-SUM($N509:O509),$L509*$M509))</f>
        <v>0</v>
      </c>
      <c r="Q509" s="60"/>
      <c r="R509" s="60"/>
      <c r="S509" s="4">
        <f>IF(S$5&lt;$K509,0,MIN($L509-SUM($N509:R509),ABS($L509*$M509)))</f>
        <v>0</v>
      </c>
      <c r="T509" s="4">
        <f>IF(T$5&lt;$K509,0,MIN($L509-SUM($N509:S509),ABS($L509*$M509)))</f>
        <v>0</v>
      </c>
      <c r="U509" s="4">
        <f>IF(U$5&lt;$K509,0,MIN($L509-SUM($N509:T509),ABS($L509*$M509)))</f>
        <v>0</v>
      </c>
      <c r="V509" s="4">
        <f>IF(V$5&lt;$K509,0,MIN($L509-SUM($N509:U509),ABS($L509*$M509)))</f>
        <v>0</v>
      </c>
      <c r="W509" s="4">
        <f>IF(W$5&lt;$K509,0,MIN($L509-SUM($N509:V509),ABS($L509*$M509)))</f>
        <v>0</v>
      </c>
      <c r="X509" s="4">
        <f>IF(X$5&lt;$K509,0,MIN($L509-SUM($N509:W509),ABS($L509*$M509)))</f>
        <v>0</v>
      </c>
      <c r="Y509" s="604"/>
      <c r="Z509" s="3" t="str">
        <f>VLOOKUP($D509,TableInputsData[],ReadMe!$M$3,FALSE)&amp;"  |  "&amp;VLOOKUP($E509,TableInputsData[],ReadMe!$M$3,FALSE)&amp;"  |  "&amp;VLOOKUP($H509,TableInputsData[],ReadMe!$M$3,FALSE)</f>
        <v>ACTIFS MATERIEL IMMOBILISES  |  AMORTISSEMENTS  |  MATERIEL DE BUREAU</v>
      </c>
      <c r="AA509" s="3"/>
      <c r="AB509" s="34">
        <f t="shared" si="221"/>
        <v>0</v>
      </c>
      <c r="AC509" s="34"/>
      <c r="AD509" s="34"/>
      <c r="AE509" s="26"/>
      <c r="AF509" s="34">
        <v>1</v>
      </c>
      <c r="AG509" s="34"/>
      <c r="AH509" s="535"/>
      <c r="AI509" s="294"/>
    </row>
    <row r="510" spans="1:35" x14ac:dyDescent="0.2">
      <c r="A510" s="294"/>
      <c r="B510" s="922"/>
      <c r="C510" s="66">
        <v>3</v>
      </c>
      <c r="D510" s="3" t="s">
        <v>762</v>
      </c>
      <c r="E510" s="3" t="s">
        <v>756</v>
      </c>
      <c r="F510" s="3" t="s">
        <v>21</v>
      </c>
      <c r="G510" s="3" t="s">
        <v>782</v>
      </c>
      <c r="H510" s="5" t="s">
        <v>768</v>
      </c>
      <c r="I510" s="5" t="str">
        <f t="shared" si="219"/>
        <v/>
      </c>
      <c r="J510" s="26"/>
      <c r="K510" s="26">
        <f t="shared" si="220"/>
        <v>0</v>
      </c>
      <c r="L510" s="96">
        <f t="shared" si="220"/>
        <v>0</v>
      </c>
      <c r="M510" s="111">
        <f t="shared" si="220"/>
        <v>0</v>
      </c>
      <c r="N510" s="4">
        <f t="shared" si="220"/>
        <v>0</v>
      </c>
      <c r="O510" s="504">
        <f>IF(O$5&lt;$K510,0,MIN($L510-SUM($N510:N510),$L510*$M510))</f>
        <v>0</v>
      </c>
      <c r="P510" s="504">
        <f>IF(P$5&lt;$K510,0,MIN($L510-SUM($N510:O510),$L510*$M510))</f>
        <v>0</v>
      </c>
      <c r="Q510" s="60"/>
      <c r="R510" s="60"/>
      <c r="S510" s="4">
        <f>IF(S$5&lt;$K510,0,MIN($L510-SUM($N510:R510),ABS($L510*$M510)))</f>
        <v>0</v>
      </c>
      <c r="T510" s="4">
        <f>IF(T$5&lt;$K510,0,MIN($L510-SUM($N510:S510),ABS($L510*$M510)))</f>
        <v>0</v>
      </c>
      <c r="U510" s="4">
        <f>IF(U$5&lt;$K510,0,MIN($L510-SUM($N510:T510),ABS($L510*$M510)))</f>
        <v>0</v>
      </c>
      <c r="V510" s="4">
        <f>IF(V$5&lt;$K510,0,MIN($L510-SUM($N510:U510),ABS($L510*$M510)))</f>
        <v>0</v>
      </c>
      <c r="W510" s="4">
        <f>IF(W$5&lt;$K510,0,MIN($L510-SUM($N510:V510),ABS($L510*$M510)))</f>
        <v>0</v>
      </c>
      <c r="X510" s="4">
        <f>IF(X$5&lt;$K510,0,MIN($L510-SUM($N510:W510),ABS($L510*$M510)))</f>
        <v>0</v>
      </c>
      <c r="Y510" s="604"/>
      <c r="Z510" s="3" t="str">
        <f>VLOOKUP($D510,TableInputsData[],ReadMe!$M$3,FALSE)&amp;"  |  "&amp;VLOOKUP($E510,TableInputsData[],ReadMe!$M$3,FALSE)&amp;"  |  "&amp;VLOOKUP($H510,TableInputsData[],ReadMe!$M$3,FALSE)</f>
        <v>ACTIFS MATERIEL IMMOBILISES  |  AMORTISSEMENTS  |  MATERIEL DE BUREAU</v>
      </c>
      <c r="AA510" s="3"/>
      <c r="AB510" s="34">
        <f t="shared" si="221"/>
        <v>0</v>
      </c>
      <c r="AC510" s="34"/>
      <c r="AD510" s="34"/>
      <c r="AE510" s="26"/>
      <c r="AF510" s="34">
        <v>1</v>
      </c>
      <c r="AG510" s="34"/>
      <c r="AH510" s="535"/>
      <c r="AI510" s="294"/>
    </row>
    <row r="511" spans="1:35" x14ac:dyDescent="0.2">
      <c r="A511" s="294"/>
      <c r="B511" s="922"/>
      <c r="C511" s="66">
        <v>3</v>
      </c>
      <c r="D511" s="3" t="s">
        <v>762</v>
      </c>
      <c r="E511" s="3" t="s">
        <v>756</v>
      </c>
      <c r="F511" s="3" t="s">
        <v>21</v>
      </c>
      <c r="G511" s="3" t="s">
        <v>783</v>
      </c>
      <c r="H511" s="5" t="s">
        <v>768</v>
      </c>
      <c r="I511" s="5" t="str">
        <f t="shared" si="219"/>
        <v/>
      </c>
      <c r="J511" s="26"/>
      <c r="K511" s="26">
        <f t="shared" si="220"/>
        <v>0</v>
      </c>
      <c r="L511" s="96">
        <f t="shared" si="220"/>
        <v>0</v>
      </c>
      <c r="M511" s="111">
        <f t="shared" si="220"/>
        <v>0</v>
      </c>
      <c r="N511" s="4">
        <f>IF(N417="",0,N417)</f>
        <v>0</v>
      </c>
      <c r="O511" s="504">
        <f>IF(O$5&lt;$K511,0,MIN($L511-SUM($N511:N511),$L511*$M511))</f>
        <v>0</v>
      </c>
      <c r="P511" s="504">
        <f>IF(P$5&lt;$K511,0,MIN($L511-SUM($N511:O511),$L511*$M511))</f>
        <v>0</v>
      </c>
      <c r="Q511" s="60"/>
      <c r="R511" s="60"/>
      <c r="S511" s="4">
        <f>IF(S$5&lt;$K511,0,MIN($L511-SUM($N511:R511),ABS($L511*$M511)))</f>
        <v>0</v>
      </c>
      <c r="T511" s="4">
        <f>IF(T$5&lt;$K511,0,MIN($L511-SUM($N511:S511),ABS($L511*$M511)))</f>
        <v>0</v>
      </c>
      <c r="U511" s="4">
        <f>IF(U$5&lt;$K511,0,MIN($L511-SUM($N511:T511),ABS($L511*$M511)))</f>
        <v>0</v>
      </c>
      <c r="V511" s="4">
        <f>IF(V$5&lt;$K511,0,MIN($L511-SUM($N511:U511),ABS($L511*$M511)))</f>
        <v>0</v>
      </c>
      <c r="W511" s="4">
        <f>IF(W$5&lt;$K511,0,MIN($L511-SUM($N511:V511),ABS($L511*$M511)))</f>
        <v>0</v>
      </c>
      <c r="X511" s="4">
        <f>IF(X$5&lt;$K511,0,MIN($L511-SUM($N511:W511),ABS($L511*$M511)))</f>
        <v>0</v>
      </c>
      <c r="Y511" s="604"/>
      <c r="Z511" s="3" t="str">
        <f>VLOOKUP($D511,TableInputsData[],ReadMe!$M$3,FALSE)&amp;"  |  "&amp;VLOOKUP($E511,TableInputsData[],ReadMe!$M$3,FALSE)&amp;"  |  "&amp;VLOOKUP($H511,TableInputsData[],ReadMe!$M$3,FALSE)</f>
        <v>ACTIFS MATERIEL IMMOBILISES  |  AMORTISSEMENTS  |  MATERIEL DE BUREAU</v>
      </c>
      <c r="AA511" s="3"/>
      <c r="AB511" s="34">
        <f t="shared" si="221"/>
        <v>0</v>
      </c>
      <c r="AC511" s="34"/>
      <c r="AD511" s="34"/>
      <c r="AE511" s="26"/>
      <c r="AF511" s="34">
        <v>1</v>
      </c>
      <c r="AG511" s="34"/>
      <c r="AH511" s="535"/>
      <c r="AI511" s="294"/>
    </row>
    <row r="512" spans="1:35" x14ac:dyDescent="0.2">
      <c r="A512" s="294"/>
      <c r="B512" s="922"/>
      <c r="C512" s="66">
        <v>3</v>
      </c>
      <c r="D512" s="3" t="s">
        <v>762</v>
      </c>
      <c r="E512" s="3" t="s">
        <v>756</v>
      </c>
      <c r="F512" s="3" t="s">
        <v>21</v>
      </c>
      <c r="G512" s="3" t="s">
        <v>784</v>
      </c>
      <c r="H512" s="5" t="s">
        <v>768</v>
      </c>
      <c r="I512" s="5" t="str">
        <f t="shared" si="219"/>
        <v/>
      </c>
      <c r="J512" s="26"/>
      <c r="K512" s="26">
        <f t="shared" si="220"/>
        <v>0</v>
      </c>
      <c r="L512" s="96">
        <f t="shared" si="220"/>
        <v>0</v>
      </c>
      <c r="M512" s="111">
        <f t="shared" si="220"/>
        <v>0</v>
      </c>
      <c r="N512" s="4">
        <f t="shared" si="220"/>
        <v>0</v>
      </c>
      <c r="O512" s="504">
        <f>IF(O$5&lt;$K512,0,MIN($L512-SUM($N512:N512),$L512*$M512))</f>
        <v>0</v>
      </c>
      <c r="P512" s="504">
        <f>IF(P$5&lt;$K512,0,MIN($L512-SUM($N512:O512),$L512*$M512))</f>
        <v>0</v>
      </c>
      <c r="Q512" s="60"/>
      <c r="R512" s="60"/>
      <c r="S512" s="4">
        <f>IF(S$5&lt;$K512,0,MIN($L512-SUM($N512:R512),ABS($L512*$M512)))</f>
        <v>0</v>
      </c>
      <c r="T512" s="4">
        <f>IF(T$5&lt;$K512,0,MIN($L512-SUM($N512:S512),ABS($L512*$M512)))</f>
        <v>0</v>
      </c>
      <c r="U512" s="4">
        <f>IF(U$5&lt;$K512,0,MIN($L512-SUM($N512:T512),ABS($L512*$M512)))</f>
        <v>0</v>
      </c>
      <c r="V512" s="4">
        <f>IF(V$5&lt;$K512,0,MIN($L512-SUM($N512:U512),ABS($L512*$M512)))</f>
        <v>0</v>
      </c>
      <c r="W512" s="4">
        <f>IF(W$5&lt;$K512,0,MIN($L512-SUM($N512:V512),ABS($L512*$M512)))</f>
        <v>0</v>
      </c>
      <c r="X512" s="4">
        <f>IF(X$5&lt;$K512,0,MIN($L512-SUM($N512:W512),ABS($L512*$M512)))</f>
        <v>0</v>
      </c>
      <c r="Y512" s="604"/>
      <c r="Z512" s="3" t="str">
        <f>VLOOKUP($D512,TableInputsData[],ReadMe!$M$3,FALSE)&amp;"  |  "&amp;VLOOKUP($E512,TableInputsData[],ReadMe!$M$3,FALSE)&amp;"  |  "&amp;VLOOKUP($H512,TableInputsData[],ReadMe!$M$3,FALSE)</f>
        <v>ACTIFS MATERIEL IMMOBILISES  |  AMORTISSEMENTS  |  MATERIEL DE BUREAU</v>
      </c>
      <c r="AA512" s="3"/>
      <c r="AB512" s="34">
        <f t="shared" si="221"/>
        <v>0</v>
      </c>
      <c r="AC512" s="34"/>
      <c r="AD512" s="34"/>
      <c r="AE512" s="26"/>
      <c r="AF512" s="34">
        <v>1</v>
      </c>
      <c r="AG512" s="34"/>
      <c r="AH512" s="535"/>
      <c r="AI512" s="294"/>
    </row>
    <row r="513" spans="1:35" x14ac:dyDescent="0.2">
      <c r="A513" s="294"/>
      <c r="B513" s="922"/>
      <c r="C513" s="66">
        <v>3</v>
      </c>
      <c r="D513" s="3" t="s">
        <v>762</v>
      </c>
      <c r="E513" s="3" t="s">
        <v>756</v>
      </c>
      <c r="F513" s="3" t="s">
        <v>21</v>
      </c>
      <c r="G513" s="3" t="s">
        <v>785</v>
      </c>
      <c r="H513" s="5" t="s">
        <v>768</v>
      </c>
      <c r="I513" s="5" t="str">
        <f t="shared" si="219"/>
        <v/>
      </c>
      <c r="J513" s="26"/>
      <c r="K513" s="26">
        <f t="shared" si="220"/>
        <v>0</v>
      </c>
      <c r="L513" s="96">
        <f t="shared" si="220"/>
        <v>0</v>
      </c>
      <c r="M513" s="111">
        <f t="shared" si="220"/>
        <v>0</v>
      </c>
      <c r="N513" s="4">
        <f t="shared" si="220"/>
        <v>0</v>
      </c>
      <c r="O513" s="504">
        <f>IF(O$5&lt;$K513,0,MIN($L513-SUM($N513:N513),$L513*$M513))</f>
        <v>0</v>
      </c>
      <c r="P513" s="504">
        <f>IF(P$5&lt;$K513,0,MIN($L513-SUM($N513:O513),$L513*$M513))</f>
        <v>0</v>
      </c>
      <c r="Q513" s="60"/>
      <c r="R513" s="60"/>
      <c r="S513" s="4">
        <f>IF(S$5&lt;$K513,0,MIN($L513-SUM($N513:R513),ABS($L513*$M513)))</f>
        <v>0</v>
      </c>
      <c r="T513" s="4">
        <f>IF(T$5&lt;$K513,0,MIN($L513-SUM($N513:S513),ABS($L513*$M513)))</f>
        <v>0</v>
      </c>
      <c r="U513" s="4">
        <f>IF(U$5&lt;$K513,0,MIN($L513-SUM($N513:T513),ABS($L513*$M513)))</f>
        <v>0</v>
      </c>
      <c r="V513" s="4">
        <f>IF(V$5&lt;$K513,0,MIN($L513-SUM($N513:U513),ABS($L513*$M513)))</f>
        <v>0</v>
      </c>
      <c r="W513" s="4">
        <f>IF(W$5&lt;$K513,0,MIN($L513-SUM($N513:V513),ABS($L513*$M513)))</f>
        <v>0</v>
      </c>
      <c r="X513" s="4">
        <f>IF(X$5&lt;$K513,0,MIN($L513-SUM($N513:W513),ABS($L513*$M513)))</f>
        <v>0</v>
      </c>
      <c r="Y513" s="604"/>
      <c r="Z513" s="3" t="str">
        <f>VLOOKUP($D513,TableInputsData[],ReadMe!$M$3,FALSE)&amp;"  |  "&amp;VLOOKUP($E513,TableInputsData[],ReadMe!$M$3,FALSE)&amp;"  |  "&amp;VLOOKUP($H513,TableInputsData[],ReadMe!$M$3,FALSE)</f>
        <v>ACTIFS MATERIEL IMMOBILISES  |  AMORTISSEMENTS  |  MATERIEL DE BUREAU</v>
      </c>
      <c r="AA513" s="3"/>
      <c r="AB513" s="34">
        <f t="shared" si="221"/>
        <v>0</v>
      </c>
      <c r="AC513" s="34"/>
      <c r="AD513" s="34"/>
      <c r="AE513" s="26"/>
      <c r="AF513" s="34">
        <v>1</v>
      </c>
      <c r="AG513" s="34"/>
      <c r="AH513" s="535"/>
      <c r="AI513" s="294"/>
    </row>
    <row r="514" spans="1:35" x14ac:dyDescent="0.2">
      <c r="A514" s="294"/>
      <c r="B514" s="922"/>
      <c r="C514" s="66">
        <v>3</v>
      </c>
      <c r="D514" s="3" t="s">
        <v>762</v>
      </c>
      <c r="E514" s="3" t="s">
        <v>756</v>
      </c>
      <c r="F514" s="3" t="s">
        <v>21</v>
      </c>
      <c r="G514" s="3" t="s">
        <v>786</v>
      </c>
      <c r="H514" s="5" t="s">
        <v>768</v>
      </c>
      <c r="I514" s="5" t="str">
        <f t="shared" si="219"/>
        <v/>
      </c>
      <c r="J514" s="26"/>
      <c r="K514" s="26">
        <f t="shared" si="220"/>
        <v>0</v>
      </c>
      <c r="L514" s="96">
        <f t="shared" si="220"/>
        <v>0</v>
      </c>
      <c r="M514" s="111">
        <f t="shared" si="220"/>
        <v>0</v>
      </c>
      <c r="N514" s="4">
        <f t="shared" si="220"/>
        <v>0</v>
      </c>
      <c r="O514" s="504">
        <f>IF(O$5&lt;$K514,0,MIN($L514-SUM($N514:N514),$L514*$M514))</f>
        <v>0</v>
      </c>
      <c r="P514" s="504">
        <f>IF(P$5&lt;$K514,0,MIN($L514-SUM($N514:O514),$L514*$M514))</f>
        <v>0</v>
      </c>
      <c r="Q514" s="60"/>
      <c r="R514" s="60"/>
      <c r="S514" s="4">
        <f>IF(S$5&lt;$K514,0,MIN($L514-SUM($N514:R514),ABS($L514*$M514)))</f>
        <v>0</v>
      </c>
      <c r="T514" s="4">
        <f>IF(T$5&lt;$K514,0,MIN($L514-SUM($N514:S514),ABS($L514*$M514)))</f>
        <v>0</v>
      </c>
      <c r="U514" s="4">
        <f>IF(U$5&lt;$K514,0,MIN($L514-SUM($N514:T514),ABS($L514*$M514)))</f>
        <v>0</v>
      </c>
      <c r="V514" s="4">
        <f>IF(V$5&lt;$K514,0,MIN($L514-SUM($N514:U514),ABS($L514*$M514)))</f>
        <v>0</v>
      </c>
      <c r="W514" s="4">
        <f>IF(W$5&lt;$K514,0,MIN($L514-SUM($N514:V514),ABS($L514*$M514)))</f>
        <v>0</v>
      </c>
      <c r="X514" s="4">
        <f>IF(X$5&lt;$K514,0,MIN($L514-SUM($N514:W514),ABS($L514*$M514)))</f>
        <v>0</v>
      </c>
      <c r="Y514" s="604"/>
      <c r="Z514" s="3" t="str">
        <f>VLOOKUP($D514,TableInputsData[],ReadMe!$M$3,FALSE)&amp;"  |  "&amp;VLOOKUP($E514,TableInputsData[],ReadMe!$M$3,FALSE)&amp;"  |  "&amp;VLOOKUP($H514,TableInputsData[],ReadMe!$M$3,FALSE)</f>
        <v>ACTIFS MATERIEL IMMOBILISES  |  AMORTISSEMENTS  |  MATERIEL DE BUREAU</v>
      </c>
      <c r="AA514" s="3"/>
      <c r="AB514" s="34">
        <f t="shared" si="221"/>
        <v>0</v>
      </c>
      <c r="AC514" s="34"/>
      <c r="AD514" s="34"/>
      <c r="AE514" s="26"/>
      <c r="AF514" s="34">
        <v>1</v>
      </c>
      <c r="AG514" s="34"/>
      <c r="AH514" s="535"/>
      <c r="AI514" s="294"/>
    </row>
    <row r="515" spans="1:35" x14ac:dyDescent="0.2">
      <c r="A515" s="294"/>
      <c r="B515" s="922"/>
      <c r="C515" s="66">
        <v>3</v>
      </c>
      <c r="D515" s="3" t="s">
        <v>762</v>
      </c>
      <c r="E515" s="3" t="s">
        <v>756</v>
      </c>
      <c r="F515" s="3" t="s">
        <v>21</v>
      </c>
      <c r="G515" s="3" t="s">
        <v>787</v>
      </c>
      <c r="H515" s="5" t="s">
        <v>768</v>
      </c>
      <c r="I515" s="5" t="str">
        <f t="shared" si="219"/>
        <v/>
      </c>
      <c r="J515" s="26"/>
      <c r="K515" s="26">
        <f t="shared" si="220"/>
        <v>0</v>
      </c>
      <c r="L515" s="96">
        <f t="shared" si="220"/>
        <v>0</v>
      </c>
      <c r="M515" s="111">
        <f t="shared" si="220"/>
        <v>0</v>
      </c>
      <c r="N515" s="4">
        <f t="shared" si="220"/>
        <v>0</v>
      </c>
      <c r="O515" s="504">
        <f>IF(O$5&lt;$K515,0,MIN($L515-SUM($N515:N515),$L515*$M515))</f>
        <v>0</v>
      </c>
      <c r="P515" s="504">
        <f>IF(P$5&lt;$K515,0,MIN($L515-SUM($N515:O515),$L515*$M515))</f>
        <v>0</v>
      </c>
      <c r="Q515" s="60"/>
      <c r="R515" s="60"/>
      <c r="S515" s="4">
        <f>IF(S$5&lt;$K515,0,MIN($L515-SUM($N515:R515),ABS($L515*$M515)))</f>
        <v>0</v>
      </c>
      <c r="T515" s="4">
        <f>IF(T$5&lt;$K515,0,MIN($L515-SUM($N515:S515),ABS($L515*$M515)))</f>
        <v>0</v>
      </c>
      <c r="U515" s="4">
        <f>IF(U$5&lt;$K515,0,MIN($L515-SUM($N515:T515),ABS($L515*$M515)))</f>
        <v>0</v>
      </c>
      <c r="V515" s="4">
        <f>IF(V$5&lt;$K515,0,MIN($L515-SUM($N515:U515),ABS($L515*$M515)))</f>
        <v>0</v>
      </c>
      <c r="W515" s="4">
        <f>IF(W$5&lt;$K515,0,MIN($L515-SUM($N515:V515),ABS($L515*$M515)))</f>
        <v>0</v>
      </c>
      <c r="X515" s="4">
        <f>IF(X$5&lt;$K515,0,MIN($L515-SUM($N515:W515),ABS($L515*$M515)))</f>
        <v>0</v>
      </c>
      <c r="Y515" s="604"/>
      <c r="Z515" s="3" t="str">
        <f>VLOOKUP($D515,TableInputsData[],ReadMe!$M$3,FALSE)&amp;"  |  "&amp;VLOOKUP($E515,TableInputsData[],ReadMe!$M$3,FALSE)&amp;"  |  "&amp;VLOOKUP($H515,TableInputsData[],ReadMe!$M$3,FALSE)</f>
        <v>ACTIFS MATERIEL IMMOBILISES  |  AMORTISSEMENTS  |  MATERIEL DE BUREAU</v>
      </c>
      <c r="AA515" s="3"/>
      <c r="AB515" s="34">
        <f t="shared" si="221"/>
        <v>0</v>
      </c>
      <c r="AC515" s="34"/>
      <c r="AD515" s="34"/>
      <c r="AE515" s="26"/>
      <c r="AF515" s="34">
        <v>1</v>
      </c>
      <c r="AG515" s="34"/>
      <c r="AH515" s="535"/>
      <c r="AI515" s="294"/>
    </row>
    <row r="516" spans="1:35" x14ac:dyDescent="0.2">
      <c r="A516" s="294"/>
      <c r="B516" s="922"/>
      <c r="C516" s="66">
        <v>3</v>
      </c>
      <c r="D516" s="3" t="s">
        <v>762</v>
      </c>
      <c r="E516" s="3" t="s">
        <v>756</v>
      </c>
      <c r="F516" s="3" t="s">
        <v>21</v>
      </c>
      <c r="G516" s="3" t="s">
        <v>788</v>
      </c>
      <c r="H516" s="5" t="s">
        <v>768</v>
      </c>
      <c r="I516" s="5" t="str">
        <f t="shared" si="219"/>
        <v/>
      </c>
      <c r="J516" s="26"/>
      <c r="K516" s="26">
        <f t="shared" si="220"/>
        <v>0</v>
      </c>
      <c r="L516" s="96">
        <f t="shared" si="220"/>
        <v>0</v>
      </c>
      <c r="M516" s="111">
        <f t="shared" si="220"/>
        <v>0</v>
      </c>
      <c r="N516" s="4">
        <f t="shared" si="220"/>
        <v>0</v>
      </c>
      <c r="O516" s="504">
        <f>IF(O$5&lt;$K516,0,MIN($L516-SUM($N516:N516),$L516*$M516))</f>
        <v>0</v>
      </c>
      <c r="P516" s="504">
        <f>IF(P$5&lt;$K516,0,MIN($L516-SUM($N516:O516),$L516*$M516))</f>
        <v>0</v>
      </c>
      <c r="Q516" s="60"/>
      <c r="R516" s="60"/>
      <c r="S516" s="4">
        <f>IF(S$5&lt;$K516,0,MIN($L516-SUM($N516:R516),ABS($L516*$M516)))</f>
        <v>0</v>
      </c>
      <c r="T516" s="4">
        <f>IF(T$5&lt;$K516,0,MIN($L516-SUM($N516:S516),ABS($L516*$M516)))</f>
        <v>0</v>
      </c>
      <c r="U516" s="4">
        <f>IF(U$5&lt;$K516,0,MIN($L516-SUM($N516:T516),ABS($L516*$M516)))</f>
        <v>0</v>
      </c>
      <c r="V516" s="4">
        <f>IF(V$5&lt;$K516,0,MIN($L516-SUM($N516:U516),ABS($L516*$M516)))</f>
        <v>0</v>
      </c>
      <c r="W516" s="4">
        <f>IF(W$5&lt;$K516,0,MIN($L516-SUM($N516:V516),ABS($L516*$M516)))</f>
        <v>0</v>
      </c>
      <c r="X516" s="4">
        <f>IF(X$5&lt;$K516,0,MIN($L516-SUM($N516:W516),ABS($L516*$M516)))</f>
        <v>0</v>
      </c>
      <c r="Y516" s="604"/>
      <c r="Z516" s="3" t="str">
        <f>VLOOKUP($D516,TableInputsData[],ReadMe!$M$3,FALSE)&amp;"  |  "&amp;VLOOKUP($E516,TableInputsData[],ReadMe!$M$3,FALSE)&amp;"  |  "&amp;VLOOKUP($H516,TableInputsData[],ReadMe!$M$3,FALSE)</f>
        <v>ACTIFS MATERIEL IMMOBILISES  |  AMORTISSEMENTS  |  MATERIEL DE BUREAU</v>
      </c>
      <c r="AA516" s="3"/>
      <c r="AB516" s="34">
        <f t="shared" si="221"/>
        <v>0</v>
      </c>
      <c r="AC516" s="34"/>
      <c r="AD516" s="34"/>
      <c r="AE516" s="26"/>
      <c r="AF516" s="34">
        <v>1</v>
      </c>
      <c r="AG516" s="34"/>
      <c r="AH516" s="535"/>
      <c r="AI516" s="294"/>
    </row>
    <row r="517" spans="1:35" x14ac:dyDescent="0.2">
      <c r="A517" s="294"/>
      <c r="B517" s="922"/>
      <c r="C517" s="66">
        <v>3</v>
      </c>
      <c r="D517" s="3" t="s">
        <v>762</v>
      </c>
      <c r="E517" s="3" t="s">
        <v>756</v>
      </c>
      <c r="F517" s="3" t="s">
        <v>21</v>
      </c>
      <c r="G517" s="3" t="s">
        <v>789</v>
      </c>
      <c r="H517" s="5" t="s">
        <v>768</v>
      </c>
      <c r="I517" s="5" t="str">
        <f t="shared" si="219"/>
        <v/>
      </c>
      <c r="J517" s="26"/>
      <c r="K517" s="26">
        <f t="shared" si="220"/>
        <v>0</v>
      </c>
      <c r="L517" s="96">
        <f t="shared" si="220"/>
        <v>0</v>
      </c>
      <c r="M517" s="111">
        <f t="shared" si="220"/>
        <v>0</v>
      </c>
      <c r="N517" s="4">
        <f t="shared" si="220"/>
        <v>0</v>
      </c>
      <c r="O517" s="504">
        <f>IF(O$5&lt;$K517,0,MIN($L517-SUM($N517:N517),$L517*$M517))</f>
        <v>0</v>
      </c>
      <c r="P517" s="504">
        <f>IF(P$5&lt;$K517,0,MIN($L517-SUM($N517:O517),$L517*$M517))</f>
        <v>0</v>
      </c>
      <c r="Q517" s="60"/>
      <c r="R517" s="60"/>
      <c r="S517" s="4">
        <f>IF(S$5&lt;$K517,0,MIN($L517-SUM($N517:R517),ABS($L517*$M517)))</f>
        <v>0</v>
      </c>
      <c r="T517" s="4">
        <f>IF(T$5&lt;$K517,0,MIN($L517-SUM($N517:S517),ABS($L517*$M517)))</f>
        <v>0</v>
      </c>
      <c r="U517" s="4">
        <f>IF(U$5&lt;$K517,0,MIN($L517-SUM($N517:T517),ABS($L517*$M517)))</f>
        <v>0</v>
      </c>
      <c r="V517" s="4">
        <f>IF(V$5&lt;$K517,0,MIN($L517-SUM($N517:U517),ABS($L517*$M517)))</f>
        <v>0</v>
      </c>
      <c r="W517" s="4">
        <f>IF(W$5&lt;$K517,0,MIN($L517-SUM($N517:V517),ABS($L517*$M517)))</f>
        <v>0</v>
      </c>
      <c r="X517" s="4">
        <f>IF(X$5&lt;$K517,0,MIN($L517-SUM($N517:W517),ABS($L517*$M517)))</f>
        <v>0</v>
      </c>
      <c r="Y517" s="604"/>
      <c r="Z517" s="3" t="str">
        <f>VLOOKUP($D517,TableInputsData[],ReadMe!$M$3,FALSE)&amp;"  |  "&amp;VLOOKUP($E517,TableInputsData[],ReadMe!$M$3,FALSE)&amp;"  |  "&amp;VLOOKUP($H517,TableInputsData[],ReadMe!$M$3,FALSE)</f>
        <v>ACTIFS MATERIEL IMMOBILISES  |  AMORTISSEMENTS  |  MATERIEL DE BUREAU</v>
      </c>
      <c r="AA517" s="3"/>
      <c r="AB517" s="34">
        <f t="shared" si="221"/>
        <v>0</v>
      </c>
      <c r="AC517" s="34"/>
      <c r="AD517" s="34"/>
      <c r="AE517" s="26"/>
      <c r="AF517" s="34">
        <v>1</v>
      </c>
      <c r="AG517" s="34"/>
      <c r="AH517" s="535"/>
      <c r="AI517" s="294"/>
    </row>
    <row r="518" spans="1:35" x14ac:dyDescent="0.2">
      <c r="A518" s="294"/>
      <c r="B518" s="922"/>
      <c r="C518" s="66">
        <v>3</v>
      </c>
      <c r="D518" s="3" t="s">
        <v>762</v>
      </c>
      <c r="E518" s="3" t="s">
        <v>756</v>
      </c>
      <c r="F518" s="3" t="s">
        <v>21</v>
      </c>
      <c r="G518" s="3" t="s">
        <v>790</v>
      </c>
      <c r="H518" s="5" t="s">
        <v>768</v>
      </c>
      <c r="I518" s="5" t="str">
        <f t="shared" si="219"/>
        <v/>
      </c>
      <c r="J518" s="26"/>
      <c r="K518" s="26">
        <f t="shared" si="220"/>
        <v>0</v>
      </c>
      <c r="L518" s="96">
        <f t="shared" si="220"/>
        <v>0</v>
      </c>
      <c r="M518" s="111">
        <f t="shared" si="220"/>
        <v>0</v>
      </c>
      <c r="N518" s="4">
        <f t="shared" si="220"/>
        <v>0</v>
      </c>
      <c r="O518" s="504">
        <f>IF(O$5&lt;$K518,0,MIN($L518-SUM($N518:N518),$L518*$M518))</f>
        <v>0</v>
      </c>
      <c r="P518" s="504">
        <f>IF(P$5&lt;$K518,0,MIN($L518-SUM($N518:O518),$L518*$M518))</f>
        <v>0</v>
      </c>
      <c r="Q518" s="60"/>
      <c r="R518" s="60"/>
      <c r="S518" s="4">
        <f>IF(S$5&lt;$K518,0,MIN($L518-SUM($N518:R518),ABS($L518*$M518)))</f>
        <v>0</v>
      </c>
      <c r="T518" s="4">
        <f>IF(T$5&lt;$K518,0,MIN($L518-SUM($N518:S518),ABS($L518*$M518)))</f>
        <v>0</v>
      </c>
      <c r="U518" s="4">
        <f>IF(U$5&lt;$K518,0,MIN($L518-SUM($N518:T518),ABS($L518*$M518)))</f>
        <v>0</v>
      </c>
      <c r="V518" s="4">
        <f>IF(V$5&lt;$K518,0,MIN($L518-SUM($N518:U518),ABS($L518*$M518)))</f>
        <v>0</v>
      </c>
      <c r="W518" s="4">
        <f>IF(W$5&lt;$K518,0,MIN($L518-SUM($N518:V518),ABS($L518*$M518)))</f>
        <v>0</v>
      </c>
      <c r="X518" s="4">
        <f>IF(X$5&lt;$K518,0,MIN($L518-SUM($N518:W518),ABS($L518*$M518)))</f>
        <v>0</v>
      </c>
      <c r="Y518" s="604"/>
      <c r="Z518" s="3" t="str">
        <f>VLOOKUP($D518,TableInputsData[],ReadMe!$M$3,FALSE)&amp;"  |  "&amp;VLOOKUP($E518,TableInputsData[],ReadMe!$M$3,FALSE)&amp;"  |  "&amp;VLOOKUP($H518,TableInputsData[],ReadMe!$M$3,FALSE)</f>
        <v>ACTIFS MATERIEL IMMOBILISES  |  AMORTISSEMENTS  |  MATERIEL DE BUREAU</v>
      </c>
      <c r="AA518" s="3"/>
      <c r="AB518" s="34">
        <f t="shared" si="221"/>
        <v>0</v>
      </c>
      <c r="AC518" s="34"/>
      <c r="AD518" s="34"/>
      <c r="AE518" s="26"/>
      <c r="AF518" s="34">
        <v>1</v>
      </c>
      <c r="AG518" s="34"/>
      <c r="AH518" s="535"/>
      <c r="AI518" s="294"/>
    </row>
    <row r="519" spans="1:35" x14ac:dyDescent="0.2">
      <c r="A519" s="294"/>
      <c r="B519" s="922"/>
      <c r="C519" s="66">
        <v>3</v>
      </c>
      <c r="D519" s="3" t="s">
        <v>762</v>
      </c>
      <c r="E519" s="3" t="s">
        <v>756</v>
      </c>
      <c r="F519" s="3" t="s">
        <v>21</v>
      </c>
      <c r="G519" s="3" t="s">
        <v>791</v>
      </c>
      <c r="H519" s="5" t="s">
        <v>768</v>
      </c>
      <c r="I519" s="5" t="str">
        <f t="shared" si="219"/>
        <v/>
      </c>
      <c r="J519" s="26"/>
      <c r="K519" s="26">
        <f t="shared" si="220"/>
        <v>0</v>
      </c>
      <c r="L519" s="96">
        <f t="shared" si="220"/>
        <v>0</v>
      </c>
      <c r="M519" s="111">
        <f t="shared" si="220"/>
        <v>0</v>
      </c>
      <c r="N519" s="4">
        <f t="shared" si="220"/>
        <v>0</v>
      </c>
      <c r="O519" s="504">
        <f>IF(O$5&lt;$K519,0,MIN($L519-SUM($N519:N519),$L519*$M519))</f>
        <v>0</v>
      </c>
      <c r="P519" s="504">
        <f>IF(P$5&lt;$K519,0,MIN($L519-SUM($N519:O519),$L519*$M519))</f>
        <v>0</v>
      </c>
      <c r="Q519" s="60"/>
      <c r="R519" s="60"/>
      <c r="S519" s="4">
        <f>IF(S$5&lt;$K519,0,MIN($L519-SUM($N519:R519),ABS($L519*$M519)))</f>
        <v>0</v>
      </c>
      <c r="T519" s="4">
        <f>IF(T$5&lt;$K519,0,MIN($L519-SUM($N519:S519),ABS($L519*$M519)))</f>
        <v>0</v>
      </c>
      <c r="U519" s="4">
        <f>IF(U$5&lt;$K519,0,MIN($L519-SUM($N519:T519),ABS($L519*$M519)))</f>
        <v>0</v>
      </c>
      <c r="V519" s="4">
        <f>IF(V$5&lt;$K519,0,MIN($L519-SUM($N519:U519),ABS($L519*$M519)))</f>
        <v>0</v>
      </c>
      <c r="W519" s="4">
        <f>IF(W$5&lt;$K519,0,MIN($L519-SUM($N519:V519),ABS($L519*$M519)))</f>
        <v>0</v>
      </c>
      <c r="X519" s="4">
        <f>IF(X$5&lt;$K519,0,MIN($L519-SUM($N519:W519),ABS($L519*$M519)))</f>
        <v>0</v>
      </c>
      <c r="Y519" s="604"/>
      <c r="Z519" s="3" t="str">
        <f>VLOOKUP($D519,TableInputsData[],ReadMe!$M$3,FALSE)&amp;"  |  "&amp;VLOOKUP($E519,TableInputsData[],ReadMe!$M$3,FALSE)&amp;"  |  "&amp;VLOOKUP($H519,TableInputsData[],ReadMe!$M$3,FALSE)</f>
        <v>ACTIFS MATERIEL IMMOBILISES  |  AMORTISSEMENTS  |  MATERIEL DE BUREAU</v>
      </c>
      <c r="AA519" s="3"/>
      <c r="AB519" s="34">
        <f t="shared" si="221"/>
        <v>0</v>
      </c>
      <c r="AC519" s="34"/>
      <c r="AD519" s="34"/>
      <c r="AE519" s="26"/>
      <c r="AF519" s="34">
        <v>1</v>
      </c>
      <c r="AG519" s="34"/>
      <c r="AH519" s="535"/>
      <c r="AI519" s="294"/>
    </row>
    <row r="520" spans="1:35" x14ac:dyDescent="0.2">
      <c r="A520" s="294"/>
      <c r="B520" s="922"/>
      <c r="C520" s="66">
        <v>3</v>
      </c>
      <c r="D520" s="3" t="s">
        <v>762</v>
      </c>
      <c r="E520" s="3" t="s">
        <v>756</v>
      </c>
      <c r="F520" s="3" t="s">
        <v>21</v>
      </c>
      <c r="G520" s="3" t="s">
        <v>792</v>
      </c>
      <c r="H520" s="5" t="s">
        <v>768</v>
      </c>
      <c r="I520" s="5" t="str">
        <f t="shared" si="219"/>
        <v/>
      </c>
      <c r="J520" s="26"/>
      <c r="K520" s="26">
        <f t="shared" si="220"/>
        <v>0</v>
      </c>
      <c r="L520" s="96">
        <f t="shared" si="220"/>
        <v>0</v>
      </c>
      <c r="M520" s="111">
        <f t="shared" si="220"/>
        <v>0</v>
      </c>
      <c r="N520" s="4">
        <f t="shared" si="220"/>
        <v>0</v>
      </c>
      <c r="O520" s="504">
        <f>IF(O$5&lt;$K520,0,MIN($L520-SUM($N520:N520),$L520*$M520))</f>
        <v>0</v>
      </c>
      <c r="P520" s="504">
        <f>IF(P$5&lt;$K520,0,MIN($L520-SUM($N520:O520),$L520*$M520))</f>
        <v>0</v>
      </c>
      <c r="Q520" s="60"/>
      <c r="R520" s="60"/>
      <c r="S520" s="4">
        <f>IF(S$5&lt;$K520,0,MIN($L520-SUM($N520:R520),ABS($L520*$M520)))</f>
        <v>0</v>
      </c>
      <c r="T520" s="4">
        <f>IF(T$5&lt;$K520,0,MIN($L520-SUM($N520:S520),ABS($L520*$M520)))</f>
        <v>0</v>
      </c>
      <c r="U520" s="4">
        <f>IF(U$5&lt;$K520,0,MIN($L520-SUM($N520:T520),ABS($L520*$M520)))</f>
        <v>0</v>
      </c>
      <c r="V520" s="4">
        <f>IF(V$5&lt;$K520,0,MIN($L520-SUM($N520:U520),ABS($L520*$M520)))</f>
        <v>0</v>
      </c>
      <c r="W520" s="4">
        <f>IF(W$5&lt;$K520,0,MIN($L520-SUM($N520:V520),ABS($L520*$M520)))</f>
        <v>0</v>
      </c>
      <c r="X520" s="4">
        <f>IF(X$5&lt;$K520,0,MIN($L520-SUM($N520:W520),ABS($L520*$M520)))</f>
        <v>0</v>
      </c>
      <c r="Y520" s="604"/>
      <c r="Z520" s="3" t="str">
        <f>VLOOKUP($D520,TableInputsData[],ReadMe!$M$3,FALSE)&amp;"  |  "&amp;VLOOKUP($E520,TableInputsData[],ReadMe!$M$3,FALSE)&amp;"  |  "&amp;VLOOKUP($H520,TableInputsData[],ReadMe!$M$3,FALSE)</f>
        <v>ACTIFS MATERIEL IMMOBILISES  |  AMORTISSEMENTS  |  MATERIEL DE BUREAU</v>
      </c>
      <c r="AA520" s="3"/>
      <c r="AB520" s="34">
        <f t="shared" si="221"/>
        <v>0</v>
      </c>
      <c r="AC520" s="34"/>
      <c r="AD520" s="34"/>
      <c r="AE520" s="26"/>
      <c r="AF520" s="34">
        <v>1</v>
      </c>
      <c r="AG520" s="34"/>
      <c r="AH520" s="535"/>
      <c r="AI520" s="294"/>
    </row>
    <row r="521" spans="1:35" x14ac:dyDescent="0.2">
      <c r="A521" s="294"/>
      <c r="B521" s="922"/>
      <c r="C521" s="66">
        <v>3</v>
      </c>
      <c r="D521" s="3" t="s">
        <v>762</v>
      </c>
      <c r="E521" s="3" t="s">
        <v>756</v>
      </c>
      <c r="F521" s="3" t="s">
        <v>21</v>
      </c>
      <c r="G521" s="3" t="s">
        <v>793</v>
      </c>
      <c r="H521" s="5" t="s">
        <v>768</v>
      </c>
      <c r="I521" s="5" t="str">
        <f t="shared" si="219"/>
        <v/>
      </c>
      <c r="J521" s="26"/>
      <c r="K521" s="26">
        <f t="shared" si="220"/>
        <v>0</v>
      </c>
      <c r="L521" s="96">
        <f t="shared" si="220"/>
        <v>0</v>
      </c>
      <c r="M521" s="111">
        <f t="shared" si="220"/>
        <v>0</v>
      </c>
      <c r="N521" s="4">
        <f t="shared" si="220"/>
        <v>0</v>
      </c>
      <c r="O521" s="504">
        <f>IF(O$5&lt;$K521,0,MIN($L521-SUM($N521:N521),$L521*$M521))</f>
        <v>0</v>
      </c>
      <c r="P521" s="504">
        <f>IF(P$5&lt;$K521,0,MIN($L521-SUM($N521:O521),$L521*$M521))</f>
        <v>0</v>
      </c>
      <c r="Q521" s="60"/>
      <c r="R521" s="60"/>
      <c r="S521" s="4">
        <f>IF(S$5&lt;$K521,0,MIN($L521-SUM($N521:R521),ABS($L521*$M521)))</f>
        <v>0</v>
      </c>
      <c r="T521" s="4">
        <f>IF(T$5&lt;$K521,0,MIN($L521-SUM($N521:S521),ABS($L521*$M521)))</f>
        <v>0</v>
      </c>
      <c r="U521" s="4">
        <f>IF(U$5&lt;$K521,0,MIN($L521-SUM($N521:T521),ABS($L521*$M521)))</f>
        <v>0</v>
      </c>
      <c r="V521" s="4">
        <f>IF(V$5&lt;$K521,0,MIN($L521-SUM($N521:U521),ABS($L521*$M521)))</f>
        <v>0</v>
      </c>
      <c r="W521" s="4">
        <f>IF(W$5&lt;$K521,0,MIN($L521-SUM($N521:V521),ABS($L521*$M521)))</f>
        <v>0</v>
      </c>
      <c r="X521" s="4">
        <f>IF(X$5&lt;$K521,0,MIN($L521-SUM($N521:W521),ABS($L521*$M521)))</f>
        <v>0</v>
      </c>
      <c r="Y521" s="604"/>
      <c r="Z521" s="3" t="str">
        <f>VLOOKUP($D521,TableInputsData[],ReadMe!$M$3,FALSE)&amp;"  |  "&amp;VLOOKUP($E521,TableInputsData[],ReadMe!$M$3,FALSE)&amp;"  |  "&amp;VLOOKUP($H521,TableInputsData[],ReadMe!$M$3,FALSE)</f>
        <v>ACTIFS MATERIEL IMMOBILISES  |  AMORTISSEMENTS  |  MATERIEL DE BUREAU</v>
      </c>
      <c r="AA521" s="3"/>
      <c r="AB521" s="34">
        <f t="shared" si="221"/>
        <v>0</v>
      </c>
      <c r="AC521" s="34"/>
      <c r="AD521" s="34"/>
      <c r="AE521" s="26"/>
      <c r="AF521" s="34">
        <v>1</v>
      </c>
      <c r="AG521" s="34"/>
      <c r="AH521" s="535"/>
      <c r="AI521" s="294"/>
    </row>
    <row r="522" spans="1:35" x14ac:dyDescent="0.2">
      <c r="A522" s="294"/>
      <c r="B522" s="922"/>
      <c r="C522" s="66">
        <v>3</v>
      </c>
      <c r="D522" s="3" t="s">
        <v>762</v>
      </c>
      <c r="E522" s="3" t="s">
        <v>756</v>
      </c>
      <c r="F522" s="3" t="s">
        <v>21</v>
      </c>
      <c r="G522" s="3" t="s">
        <v>794</v>
      </c>
      <c r="H522" s="5" t="s">
        <v>768</v>
      </c>
      <c r="I522" s="5" t="str">
        <f t="shared" si="219"/>
        <v/>
      </c>
      <c r="J522" s="26"/>
      <c r="K522" s="26">
        <f t="shared" ref="K522:N541" si="222">IF(K428="",0,K428)</f>
        <v>0</v>
      </c>
      <c r="L522" s="96">
        <f t="shared" si="222"/>
        <v>0</v>
      </c>
      <c r="M522" s="111">
        <f t="shared" si="222"/>
        <v>0</v>
      </c>
      <c r="N522" s="4">
        <f t="shared" si="222"/>
        <v>0</v>
      </c>
      <c r="O522" s="504">
        <f>IF(O$5&lt;$K522,0,MIN($L522-SUM($N522:N522),$L522*$M522))</f>
        <v>0</v>
      </c>
      <c r="P522" s="504">
        <f>IF(P$5&lt;$K522,0,MIN($L522-SUM($N522:O522),$L522*$M522))</f>
        <v>0</v>
      </c>
      <c r="Q522" s="60"/>
      <c r="R522" s="60"/>
      <c r="S522" s="4">
        <f>IF(S$5&lt;$K522,0,MIN($L522-SUM($N522:R522),ABS($L522*$M522)))</f>
        <v>0</v>
      </c>
      <c r="T522" s="4">
        <f>IF(T$5&lt;$K522,0,MIN($L522-SUM($N522:S522),ABS($L522*$M522)))</f>
        <v>0</v>
      </c>
      <c r="U522" s="4">
        <f>IF(U$5&lt;$K522,0,MIN($L522-SUM($N522:T522),ABS($L522*$M522)))</f>
        <v>0</v>
      </c>
      <c r="V522" s="4">
        <f>IF(V$5&lt;$K522,0,MIN($L522-SUM($N522:U522),ABS($L522*$M522)))</f>
        <v>0</v>
      </c>
      <c r="W522" s="4">
        <f>IF(W$5&lt;$K522,0,MIN($L522-SUM($N522:V522),ABS($L522*$M522)))</f>
        <v>0</v>
      </c>
      <c r="X522" s="4">
        <f>IF(X$5&lt;$K522,0,MIN($L522-SUM($N522:W522),ABS($L522*$M522)))</f>
        <v>0</v>
      </c>
      <c r="Y522" s="604"/>
      <c r="Z522" s="3" t="str">
        <f>VLOOKUP($D522,TableInputsData[],ReadMe!$M$3,FALSE)&amp;"  |  "&amp;VLOOKUP($E522,TableInputsData[],ReadMe!$M$3,FALSE)&amp;"  |  "&amp;VLOOKUP($H522,TableInputsData[],ReadMe!$M$3,FALSE)</f>
        <v>ACTIFS MATERIEL IMMOBILISES  |  AMORTISSEMENTS  |  MATERIEL DE BUREAU</v>
      </c>
      <c r="AA522" s="3"/>
      <c r="AB522" s="34">
        <f t="shared" si="221"/>
        <v>0</v>
      </c>
      <c r="AC522" s="34"/>
      <c r="AD522" s="34"/>
      <c r="AE522" s="26"/>
      <c r="AF522" s="34">
        <v>1</v>
      </c>
      <c r="AG522" s="34"/>
      <c r="AH522" s="535"/>
      <c r="AI522" s="294"/>
    </row>
    <row r="523" spans="1:35" x14ac:dyDescent="0.2">
      <c r="A523" s="294"/>
      <c r="B523" s="922"/>
      <c r="C523" s="66">
        <v>3</v>
      </c>
      <c r="D523" s="3" t="s">
        <v>762</v>
      </c>
      <c r="E523" s="3" t="s">
        <v>756</v>
      </c>
      <c r="F523" s="3" t="s">
        <v>21</v>
      </c>
      <c r="G523" s="3" t="s">
        <v>795</v>
      </c>
      <c r="H523" s="5" t="s">
        <v>768</v>
      </c>
      <c r="I523" s="5" t="str">
        <f t="shared" si="219"/>
        <v/>
      </c>
      <c r="J523" s="26"/>
      <c r="K523" s="26">
        <f t="shared" si="222"/>
        <v>0</v>
      </c>
      <c r="L523" s="96">
        <f t="shared" si="222"/>
        <v>0</v>
      </c>
      <c r="M523" s="111">
        <f t="shared" si="222"/>
        <v>0</v>
      </c>
      <c r="N523" s="4">
        <f t="shared" si="222"/>
        <v>0</v>
      </c>
      <c r="O523" s="504">
        <f>IF(O$5&lt;$K523,0,MIN($L523-SUM($N523:N523),$L523*$M523))</f>
        <v>0</v>
      </c>
      <c r="P523" s="504">
        <f>IF(P$5&lt;$K523,0,MIN($L523-SUM($N523:O523),$L523*$M523))</f>
        <v>0</v>
      </c>
      <c r="Q523" s="60"/>
      <c r="R523" s="60"/>
      <c r="S523" s="4">
        <f>IF(S$5&lt;$K523,0,MIN($L523-SUM($N523:R523),ABS($L523*$M523)))</f>
        <v>0</v>
      </c>
      <c r="T523" s="4">
        <f>IF(T$5&lt;$K523,0,MIN($L523-SUM($N523:S523),ABS($L523*$M523)))</f>
        <v>0</v>
      </c>
      <c r="U523" s="4">
        <f>IF(U$5&lt;$K523,0,MIN($L523-SUM($N523:T523),ABS($L523*$M523)))</f>
        <v>0</v>
      </c>
      <c r="V523" s="4">
        <f>IF(V$5&lt;$K523,0,MIN($L523-SUM($N523:U523),ABS($L523*$M523)))</f>
        <v>0</v>
      </c>
      <c r="W523" s="4">
        <f>IF(W$5&lt;$K523,0,MIN($L523-SUM($N523:V523),ABS($L523*$M523)))</f>
        <v>0</v>
      </c>
      <c r="X523" s="4">
        <f>IF(X$5&lt;$K523,0,MIN($L523-SUM($N523:W523),ABS($L523*$M523)))</f>
        <v>0</v>
      </c>
      <c r="Y523" s="604"/>
      <c r="Z523" s="3" t="str">
        <f>VLOOKUP($D523,TableInputsData[],ReadMe!$M$3,FALSE)&amp;"  |  "&amp;VLOOKUP($E523,TableInputsData[],ReadMe!$M$3,FALSE)&amp;"  |  "&amp;VLOOKUP($H523,TableInputsData[],ReadMe!$M$3,FALSE)</f>
        <v>ACTIFS MATERIEL IMMOBILISES  |  AMORTISSEMENTS  |  MATERIEL DE BUREAU</v>
      </c>
      <c r="AA523" s="3"/>
      <c r="AB523" s="34">
        <f t="shared" si="221"/>
        <v>0</v>
      </c>
      <c r="AC523" s="34"/>
      <c r="AD523" s="34"/>
      <c r="AE523" s="26"/>
      <c r="AF523" s="34">
        <v>1</v>
      </c>
      <c r="AG523" s="34"/>
      <c r="AH523" s="535"/>
      <c r="AI523" s="294"/>
    </row>
    <row r="524" spans="1:35" x14ac:dyDescent="0.2">
      <c r="A524" s="294"/>
      <c r="B524" s="922"/>
      <c r="C524" s="66">
        <v>3</v>
      </c>
      <c r="D524" s="3" t="s">
        <v>762</v>
      </c>
      <c r="E524" s="3" t="s">
        <v>756</v>
      </c>
      <c r="F524" s="3" t="s">
        <v>21</v>
      </c>
      <c r="G524" s="3" t="s">
        <v>796</v>
      </c>
      <c r="H524" s="5" t="s">
        <v>768</v>
      </c>
      <c r="I524" s="5" t="str">
        <f t="shared" si="219"/>
        <v/>
      </c>
      <c r="J524" s="26"/>
      <c r="K524" s="26">
        <f t="shared" si="222"/>
        <v>0</v>
      </c>
      <c r="L524" s="96">
        <f t="shared" si="222"/>
        <v>0</v>
      </c>
      <c r="M524" s="111">
        <f t="shared" si="222"/>
        <v>0</v>
      </c>
      <c r="N524" s="4">
        <f t="shared" si="222"/>
        <v>0</v>
      </c>
      <c r="O524" s="504">
        <f>IF(O$5&lt;$K524,0,MIN($L524-SUM($N524:N524),$L524*$M524))</f>
        <v>0</v>
      </c>
      <c r="P524" s="504">
        <f>IF(P$5&lt;$K524,0,MIN($L524-SUM($N524:O524),$L524*$M524))</f>
        <v>0</v>
      </c>
      <c r="Q524" s="60"/>
      <c r="R524" s="60"/>
      <c r="S524" s="4">
        <f>IF(S$5&lt;$K524,0,MIN($L524-SUM($N524:R524),ABS($L524*$M524)))</f>
        <v>0</v>
      </c>
      <c r="T524" s="4">
        <f>IF(T$5&lt;$K524,0,MIN($L524-SUM($N524:S524),ABS($L524*$M524)))</f>
        <v>0</v>
      </c>
      <c r="U524" s="4">
        <f>IF(U$5&lt;$K524,0,MIN($L524-SUM($N524:T524),ABS($L524*$M524)))</f>
        <v>0</v>
      </c>
      <c r="V524" s="4">
        <f>IF(V$5&lt;$K524,0,MIN($L524-SUM($N524:U524),ABS($L524*$M524)))</f>
        <v>0</v>
      </c>
      <c r="W524" s="4">
        <f>IF(W$5&lt;$K524,0,MIN($L524-SUM($N524:V524),ABS($L524*$M524)))</f>
        <v>0</v>
      </c>
      <c r="X524" s="4">
        <f>IF(X$5&lt;$K524,0,MIN($L524-SUM($N524:W524),ABS($L524*$M524)))</f>
        <v>0</v>
      </c>
      <c r="Y524" s="604"/>
      <c r="Z524" s="3" t="str">
        <f>VLOOKUP($D524,TableInputsData[],ReadMe!$M$3,FALSE)&amp;"  |  "&amp;VLOOKUP($E524,TableInputsData[],ReadMe!$M$3,FALSE)&amp;"  |  "&amp;VLOOKUP($H524,TableInputsData[],ReadMe!$M$3,FALSE)</f>
        <v>ACTIFS MATERIEL IMMOBILISES  |  AMORTISSEMENTS  |  MATERIEL DE BUREAU</v>
      </c>
      <c r="AA524" s="3"/>
      <c r="AB524" s="34">
        <f t="shared" si="221"/>
        <v>0</v>
      </c>
      <c r="AC524" s="34"/>
      <c r="AD524" s="34"/>
      <c r="AE524" s="26"/>
      <c r="AF524" s="34">
        <v>1</v>
      </c>
      <c r="AG524" s="34"/>
      <c r="AH524" s="535"/>
      <c r="AI524" s="294"/>
    </row>
    <row r="525" spans="1:35" x14ac:dyDescent="0.2">
      <c r="A525" s="294"/>
      <c r="B525" s="922"/>
      <c r="C525" s="66">
        <v>3</v>
      </c>
      <c r="D525" s="3" t="s">
        <v>762</v>
      </c>
      <c r="E525" s="3" t="s">
        <v>756</v>
      </c>
      <c r="F525" s="3" t="s">
        <v>21</v>
      </c>
      <c r="G525" s="3" t="s">
        <v>797</v>
      </c>
      <c r="H525" s="5" t="s">
        <v>768</v>
      </c>
      <c r="I525" s="5" t="str">
        <f t="shared" si="219"/>
        <v/>
      </c>
      <c r="J525" s="26"/>
      <c r="K525" s="26">
        <f t="shared" si="222"/>
        <v>0</v>
      </c>
      <c r="L525" s="96">
        <f t="shared" si="222"/>
        <v>0</v>
      </c>
      <c r="M525" s="111">
        <f t="shared" si="222"/>
        <v>0</v>
      </c>
      <c r="N525" s="4">
        <f t="shared" si="222"/>
        <v>0</v>
      </c>
      <c r="O525" s="504">
        <f>IF(O$5&lt;$K525,0,MIN($L525-SUM($N525:N525),$L525*$M525))</f>
        <v>0</v>
      </c>
      <c r="P525" s="504">
        <f>IF(P$5&lt;$K525,0,MIN($L525-SUM($N525:O525),$L525*$M525))</f>
        <v>0</v>
      </c>
      <c r="Q525" s="60"/>
      <c r="R525" s="60"/>
      <c r="S525" s="4">
        <f>IF(S$5&lt;$K525,0,MIN($L525-SUM($N525:R525),ABS($L525*$M525)))</f>
        <v>0</v>
      </c>
      <c r="T525" s="4">
        <f>IF(T$5&lt;$K525,0,MIN($L525-SUM($N525:S525),ABS($L525*$M525)))</f>
        <v>0</v>
      </c>
      <c r="U525" s="4">
        <f>IF(U$5&lt;$K525,0,MIN($L525-SUM($N525:T525),ABS($L525*$M525)))</f>
        <v>0</v>
      </c>
      <c r="V525" s="4">
        <f>IF(V$5&lt;$K525,0,MIN($L525-SUM($N525:U525),ABS($L525*$M525)))</f>
        <v>0</v>
      </c>
      <c r="W525" s="4">
        <f>IF(W$5&lt;$K525,0,MIN($L525-SUM($N525:V525),ABS($L525*$M525)))</f>
        <v>0</v>
      </c>
      <c r="X525" s="4">
        <f>IF(X$5&lt;$K525,0,MIN($L525-SUM($N525:W525),ABS($L525*$M525)))</f>
        <v>0</v>
      </c>
      <c r="Y525" s="604"/>
      <c r="Z525" s="3" t="str">
        <f>VLOOKUP($D525,TableInputsData[],ReadMe!$M$3,FALSE)&amp;"  |  "&amp;VLOOKUP($E525,TableInputsData[],ReadMe!$M$3,FALSE)&amp;"  |  "&amp;VLOOKUP($H525,TableInputsData[],ReadMe!$M$3,FALSE)</f>
        <v>ACTIFS MATERIEL IMMOBILISES  |  AMORTISSEMENTS  |  MATERIEL DE BUREAU</v>
      </c>
      <c r="AA525" s="3"/>
      <c r="AB525" s="34">
        <f t="shared" si="221"/>
        <v>0</v>
      </c>
      <c r="AC525" s="34"/>
      <c r="AD525" s="34"/>
      <c r="AE525" s="26"/>
      <c r="AF525" s="34">
        <v>1</v>
      </c>
      <c r="AG525" s="34"/>
      <c r="AH525" s="535"/>
      <c r="AI525" s="294"/>
    </row>
    <row r="526" spans="1:35" x14ac:dyDescent="0.2">
      <c r="A526" s="294"/>
      <c r="B526" s="922"/>
      <c r="C526" s="66">
        <v>3</v>
      </c>
      <c r="D526" s="3" t="s">
        <v>762</v>
      </c>
      <c r="E526" s="3" t="s">
        <v>756</v>
      </c>
      <c r="F526" s="3" t="s">
        <v>21</v>
      </c>
      <c r="G526" s="3" t="s">
        <v>798</v>
      </c>
      <c r="H526" s="5" t="s">
        <v>768</v>
      </c>
      <c r="I526" s="5" t="str">
        <f t="shared" si="219"/>
        <v/>
      </c>
      <c r="J526" s="26"/>
      <c r="K526" s="26">
        <f t="shared" si="222"/>
        <v>0</v>
      </c>
      <c r="L526" s="96">
        <f t="shared" si="222"/>
        <v>0</v>
      </c>
      <c r="M526" s="111">
        <f t="shared" si="222"/>
        <v>0</v>
      </c>
      <c r="N526" s="4">
        <f t="shared" si="222"/>
        <v>0</v>
      </c>
      <c r="O526" s="504">
        <f>IF(O$5&lt;$K526,0,MIN($L526-SUM($N526:N526),$L526*$M526))</f>
        <v>0</v>
      </c>
      <c r="P526" s="504">
        <f>IF(P$5&lt;$K526,0,MIN($L526-SUM($N526:O526),$L526*$M526))</f>
        <v>0</v>
      </c>
      <c r="Q526" s="60"/>
      <c r="R526" s="60"/>
      <c r="S526" s="4">
        <f>IF(S$5&lt;$K526,0,MIN($L526-SUM($N526:R526),ABS($L526*$M526)))</f>
        <v>0</v>
      </c>
      <c r="T526" s="4">
        <f>IF(T$5&lt;$K526,0,MIN($L526-SUM($N526:S526),ABS($L526*$M526)))</f>
        <v>0</v>
      </c>
      <c r="U526" s="4">
        <f>IF(U$5&lt;$K526,0,MIN($L526-SUM($N526:T526),ABS($L526*$M526)))</f>
        <v>0</v>
      </c>
      <c r="V526" s="4">
        <f>IF(V$5&lt;$K526,0,MIN($L526-SUM($N526:U526),ABS($L526*$M526)))</f>
        <v>0</v>
      </c>
      <c r="W526" s="4">
        <f>IF(W$5&lt;$K526,0,MIN($L526-SUM($N526:V526),ABS($L526*$M526)))</f>
        <v>0</v>
      </c>
      <c r="X526" s="4">
        <f>IF(X$5&lt;$K526,0,MIN($L526-SUM($N526:W526),ABS($L526*$M526)))</f>
        <v>0</v>
      </c>
      <c r="Y526" s="604"/>
      <c r="Z526" s="3" t="str">
        <f>VLOOKUP($D526,TableInputsData[],ReadMe!$M$3,FALSE)&amp;"  |  "&amp;VLOOKUP($E526,TableInputsData[],ReadMe!$M$3,FALSE)&amp;"  |  "&amp;VLOOKUP($H526,TableInputsData[],ReadMe!$M$3,FALSE)</f>
        <v>ACTIFS MATERIEL IMMOBILISES  |  AMORTISSEMENTS  |  MATERIEL DE BUREAU</v>
      </c>
      <c r="AA526" s="3"/>
      <c r="AB526" s="34">
        <f t="shared" si="221"/>
        <v>0</v>
      </c>
      <c r="AC526" s="34"/>
      <c r="AD526" s="34"/>
      <c r="AE526" s="26"/>
      <c r="AF526" s="34">
        <v>1</v>
      </c>
      <c r="AG526" s="34"/>
      <c r="AH526" s="535"/>
      <c r="AI526" s="294"/>
    </row>
    <row r="527" spans="1:35" x14ac:dyDescent="0.2">
      <c r="A527" s="294"/>
      <c r="B527" s="922"/>
      <c r="C527" s="66">
        <v>3</v>
      </c>
      <c r="D527" s="3" t="s">
        <v>762</v>
      </c>
      <c r="E527" s="3" t="s">
        <v>756</v>
      </c>
      <c r="F527" s="3" t="s">
        <v>21</v>
      </c>
      <c r="G527" s="3" t="s">
        <v>799</v>
      </c>
      <c r="H527" s="5" t="s">
        <v>768</v>
      </c>
      <c r="I527" s="5" t="str">
        <f t="shared" si="219"/>
        <v/>
      </c>
      <c r="J527" s="26"/>
      <c r="K527" s="26">
        <f t="shared" si="222"/>
        <v>0</v>
      </c>
      <c r="L527" s="96">
        <f t="shared" si="222"/>
        <v>0</v>
      </c>
      <c r="M527" s="111">
        <f t="shared" si="222"/>
        <v>0</v>
      </c>
      <c r="N527" s="4">
        <f t="shared" si="222"/>
        <v>0</v>
      </c>
      <c r="O527" s="504">
        <f>IF(O$5&lt;$K527,0,MIN($L527-SUM($N527:N527),$L527*$M527))</f>
        <v>0</v>
      </c>
      <c r="P527" s="504">
        <f>IF(P$5&lt;$K527,0,MIN($L527-SUM($N527:O527),$L527*$M527))</f>
        <v>0</v>
      </c>
      <c r="Q527" s="60"/>
      <c r="R527" s="60"/>
      <c r="S527" s="4">
        <f>IF(S$5&lt;$K527,0,MIN($L527-SUM($N527:R527),ABS($L527*$M527)))</f>
        <v>0</v>
      </c>
      <c r="T527" s="4">
        <f>IF(T$5&lt;$K527,0,MIN($L527-SUM($N527:S527),ABS($L527*$M527)))</f>
        <v>0</v>
      </c>
      <c r="U527" s="4">
        <f>IF(U$5&lt;$K527,0,MIN($L527-SUM($N527:T527),ABS($L527*$M527)))</f>
        <v>0</v>
      </c>
      <c r="V527" s="4">
        <f>IF(V$5&lt;$K527,0,MIN($L527-SUM($N527:U527),ABS($L527*$M527)))</f>
        <v>0</v>
      </c>
      <c r="W527" s="4">
        <f>IF(W$5&lt;$K527,0,MIN($L527-SUM($N527:V527),ABS($L527*$M527)))</f>
        <v>0</v>
      </c>
      <c r="X527" s="4">
        <f>IF(X$5&lt;$K527,0,MIN($L527-SUM($N527:W527),ABS($L527*$M527)))</f>
        <v>0</v>
      </c>
      <c r="Y527" s="604"/>
      <c r="Z527" s="3" t="str">
        <f>VLOOKUP($D527,TableInputsData[],ReadMe!$M$3,FALSE)&amp;"  |  "&amp;VLOOKUP($E527,TableInputsData[],ReadMe!$M$3,FALSE)&amp;"  |  "&amp;VLOOKUP($H527,TableInputsData[],ReadMe!$M$3,FALSE)</f>
        <v>ACTIFS MATERIEL IMMOBILISES  |  AMORTISSEMENTS  |  MATERIEL DE BUREAU</v>
      </c>
      <c r="AA527" s="3"/>
      <c r="AB527" s="34">
        <f t="shared" si="221"/>
        <v>0</v>
      </c>
      <c r="AC527" s="34"/>
      <c r="AD527" s="34"/>
      <c r="AE527" s="26"/>
      <c r="AF527" s="34">
        <v>1</v>
      </c>
      <c r="AG527" s="34"/>
      <c r="AH527" s="535"/>
      <c r="AI527" s="294"/>
    </row>
    <row r="528" spans="1:35" x14ac:dyDescent="0.2">
      <c r="A528" s="294"/>
      <c r="B528" s="922"/>
      <c r="C528" s="66">
        <v>3</v>
      </c>
      <c r="D528" s="3" t="s">
        <v>762</v>
      </c>
      <c r="E528" s="3" t="s">
        <v>756</v>
      </c>
      <c r="F528" s="3" t="s">
        <v>21</v>
      </c>
      <c r="G528" s="3" t="s">
        <v>800</v>
      </c>
      <c r="H528" s="5" t="s">
        <v>768</v>
      </c>
      <c r="I528" s="5" t="str">
        <f t="shared" si="219"/>
        <v/>
      </c>
      <c r="J528" s="26"/>
      <c r="K528" s="26">
        <f t="shared" si="222"/>
        <v>0</v>
      </c>
      <c r="L528" s="96">
        <f t="shared" si="222"/>
        <v>0</v>
      </c>
      <c r="M528" s="111">
        <f t="shared" si="222"/>
        <v>0</v>
      </c>
      <c r="N528" s="4">
        <f t="shared" si="222"/>
        <v>0</v>
      </c>
      <c r="O528" s="504">
        <f>IF(O$5&lt;$K528,0,MIN($L528-SUM($N528:N528),$L528*$M528))</f>
        <v>0</v>
      </c>
      <c r="P528" s="504">
        <f>IF(P$5&lt;$K528,0,MIN($L528-SUM($N528:O528),$L528*$M528))</f>
        <v>0</v>
      </c>
      <c r="Q528" s="60"/>
      <c r="R528" s="60"/>
      <c r="S528" s="4">
        <f>IF(S$5&lt;$K528,0,MIN($L528-SUM($N528:R528),ABS($L528*$M528)))</f>
        <v>0</v>
      </c>
      <c r="T528" s="4">
        <f>IF(T$5&lt;$K528,0,MIN($L528-SUM($N528:S528),ABS($L528*$M528)))</f>
        <v>0</v>
      </c>
      <c r="U528" s="4">
        <f>IF(U$5&lt;$K528,0,MIN($L528-SUM($N528:T528),ABS($L528*$M528)))</f>
        <v>0</v>
      </c>
      <c r="V528" s="4">
        <f>IF(V$5&lt;$K528,0,MIN($L528-SUM($N528:U528),ABS($L528*$M528)))</f>
        <v>0</v>
      </c>
      <c r="W528" s="4">
        <f>IF(W$5&lt;$K528,0,MIN($L528-SUM($N528:V528),ABS($L528*$M528)))</f>
        <v>0</v>
      </c>
      <c r="X528" s="4">
        <f>IF(X$5&lt;$K528,0,MIN($L528-SUM($N528:W528),ABS($L528*$M528)))</f>
        <v>0</v>
      </c>
      <c r="Y528" s="604"/>
      <c r="Z528" s="3" t="str">
        <f>VLOOKUP($D528,TableInputsData[],ReadMe!$M$3,FALSE)&amp;"  |  "&amp;VLOOKUP($E528,TableInputsData[],ReadMe!$M$3,FALSE)&amp;"  |  "&amp;VLOOKUP($H528,TableInputsData[],ReadMe!$M$3,FALSE)</f>
        <v>ACTIFS MATERIEL IMMOBILISES  |  AMORTISSEMENTS  |  MATERIEL DE BUREAU</v>
      </c>
      <c r="AA528" s="3"/>
      <c r="AB528" s="34">
        <f t="shared" si="221"/>
        <v>0</v>
      </c>
      <c r="AC528" s="34"/>
      <c r="AD528" s="34"/>
      <c r="AE528" s="26"/>
      <c r="AF528" s="34">
        <v>1</v>
      </c>
      <c r="AG528" s="34"/>
      <c r="AH528" s="535"/>
      <c r="AI528" s="294"/>
    </row>
    <row r="529" spans="1:35" x14ac:dyDescent="0.2">
      <c r="A529" s="294"/>
      <c r="B529" s="922"/>
      <c r="C529" s="66">
        <v>3</v>
      </c>
      <c r="D529" s="3" t="s">
        <v>762</v>
      </c>
      <c r="E529" s="3" t="s">
        <v>756</v>
      </c>
      <c r="F529" s="3" t="s">
        <v>21</v>
      </c>
      <c r="G529" s="3" t="s">
        <v>801</v>
      </c>
      <c r="H529" s="5" t="s">
        <v>768</v>
      </c>
      <c r="I529" s="5" t="str">
        <f t="shared" si="219"/>
        <v/>
      </c>
      <c r="J529" s="26"/>
      <c r="K529" s="26">
        <f t="shared" si="222"/>
        <v>0</v>
      </c>
      <c r="L529" s="96">
        <f t="shared" si="222"/>
        <v>0</v>
      </c>
      <c r="M529" s="111">
        <f t="shared" si="222"/>
        <v>0</v>
      </c>
      <c r="N529" s="4">
        <f t="shared" si="222"/>
        <v>0</v>
      </c>
      <c r="O529" s="504">
        <f>IF(O$5&lt;$K529,0,MIN($L529-SUM($N529:N529),$L529*$M529))</f>
        <v>0</v>
      </c>
      <c r="P529" s="504">
        <f>IF(P$5&lt;$K529,0,MIN($L529-SUM($N529:O529),$L529*$M529))</f>
        <v>0</v>
      </c>
      <c r="Q529" s="60"/>
      <c r="R529" s="60"/>
      <c r="S529" s="4">
        <f>IF(S$5&lt;$K529,0,MIN($L529-SUM($N529:R529),ABS($L529*$M529)))</f>
        <v>0</v>
      </c>
      <c r="T529" s="4">
        <f>IF(T$5&lt;$K529,0,MIN($L529-SUM($N529:S529),ABS($L529*$M529)))</f>
        <v>0</v>
      </c>
      <c r="U529" s="4">
        <f>IF(U$5&lt;$K529,0,MIN($L529-SUM($N529:T529),ABS($L529*$M529)))</f>
        <v>0</v>
      </c>
      <c r="V529" s="4">
        <f>IF(V$5&lt;$K529,0,MIN($L529-SUM($N529:U529),ABS($L529*$M529)))</f>
        <v>0</v>
      </c>
      <c r="W529" s="4">
        <f>IF(W$5&lt;$K529,0,MIN($L529-SUM($N529:V529),ABS($L529*$M529)))</f>
        <v>0</v>
      </c>
      <c r="X529" s="4">
        <f>IF(X$5&lt;$K529,0,MIN($L529-SUM($N529:W529),ABS($L529*$M529)))</f>
        <v>0</v>
      </c>
      <c r="Y529" s="604"/>
      <c r="Z529" s="3" t="str">
        <f>VLOOKUP($D529,TableInputsData[],ReadMe!$M$3,FALSE)&amp;"  |  "&amp;VLOOKUP($E529,TableInputsData[],ReadMe!$M$3,FALSE)&amp;"  |  "&amp;VLOOKUP($H529,TableInputsData[],ReadMe!$M$3,FALSE)</f>
        <v>ACTIFS MATERIEL IMMOBILISES  |  AMORTISSEMENTS  |  MATERIEL DE BUREAU</v>
      </c>
      <c r="AA529" s="3"/>
      <c r="AB529" s="34">
        <f t="shared" si="221"/>
        <v>0</v>
      </c>
      <c r="AC529" s="34"/>
      <c r="AD529" s="34"/>
      <c r="AE529" s="26"/>
      <c r="AF529" s="34">
        <v>1</v>
      </c>
      <c r="AG529" s="34"/>
      <c r="AH529" s="535"/>
      <c r="AI529" s="294"/>
    </row>
    <row r="530" spans="1:35" x14ac:dyDescent="0.2">
      <c r="A530" s="294"/>
      <c r="B530" s="922"/>
      <c r="C530" s="66">
        <v>3</v>
      </c>
      <c r="D530" s="3" t="s">
        <v>762</v>
      </c>
      <c r="E530" s="3" t="s">
        <v>756</v>
      </c>
      <c r="F530" s="3" t="s">
        <v>21</v>
      </c>
      <c r="G530" s="3" t="s">
        <v>802</v>
      </c>
      <c r="H530" s="5" t="s">
        <v>768</v>
      </c>
      <c r="I530" s="5" t="str">
        <f t="shared" si="219"/>
        <v/>
      </c>
      <c r="J530" s="26"/>
      <c r="K530" s="26">
        <f t="shared" si="222"/>
        <v>0</v>
      </c>
      <c r="L530" s="96">
        <f t="shared" si="222"/>
        <v>0</v>
      </c>
      <c r="M530" s="111">
        <f t="shared" si="222"/>
        <v>0</v>
      </c>
      <c r="N530" s="4">
        <f t="shared" si="222"/>
        <v>0</v>
      </c>
      <c r="O530" s="504">
        <f>IF(O$5&lt;$K530,0,MIN($L530-SUM($N530:N530),$L530*$M530))</f>
        <v>0</v>
      </c>
      <c r="P530" s="504">
        <f>IF(P$5&lt;$K530,0,MIN($L530-SUM($N530:O530),$L530*$M530))</f>
        <v>0</v>
      </c>
      <c r="Q530" s="60"/>
      <c r="R530" s="60"/>
      <c r="S530" s="4">
        <f>IF(S$5&lt;$K530,0,MIN($L530-SUM($N530:R530),ABS($L530*$M530)))</f>
        <v>0</v>
      </c>
      <c r="T530" s="4">
        <f>IF(T$5&lt;$K530,0,MIN($L530-SUM($N530:S530),ABS($L530*$M530)))</f>
        <v>0</v>
      </c>
      <c r="U530" s="4">
        <f>IF(U$5&lt;$K530,0,MIN($L530-SUM($N530:T530),ABS($L530*$M530)))</f>
        <v>0</v>
      </c>
      <c r="V530" s="4">
        <f>IF(V$5&lt;$K530,0,MIN($L530-SUM($N530:U530),ABS($L530*$M530)))</f>
        <v>0</v>
      </c>
      <c r="W530" s="4">
        <f>IF(W$5&lt;$K530,0,MIN($L530-SUM($N530:V530),ABS($L530*$M530)))</f>
        <v>0</v>
      </c>
      <c r="X530" s="4">
        <f>IF(X$5&lt;$K530,0,MIN($L530-SUM($N530:W530),ABS($L530*$M530)))</f>
        <v>0</v>
      </c>
      <c r="Y530" s="604"/>
      <c r="Z530" s="3" t="str">
        <f>VLOOKUP($D530,TableInputsData[],ReadMe!$M$3,FALSE)&amp;"  |  "&amp;VLOOKUP($E530,TableInputsData[],ReadMe!$M$3,FALSE)&amp;"  |  "&amp;VLOOKUP($H530,TableInputsData[],ReadMe!$M$3,FALSE)</f>
        <v>ACTIFS MATERIEL IMMOBILISES  |  AMORTISSEMENTS  |  MATERIEL DE BUREAU</v>
      </c>
      <c r="AA530" s="3"/>
      <c r="AB530" s="34">
        <f t="shared" si="221"/>
        <v>0</v>
      </c>
      <c r="AC530" s="34"/>
      <c r="AD530" s="34"/>
      <c r="AE530" s="26"/>
      <c r="AF530" s="34">
        <v>1</v>
      </c>
      <c r="AG530" s="34"/>
      <c r="AH530" s="535"/>
      <c r="AI530" s="294"/>
    </row>
    <row r="531" spans="1:35" x14ac:dyDescent="0.2">
      <c r="A531" s="294"/>
      <c r="B531" s="922"/>
      <c r="C531" s="66">
        <v>3</v>
      </c>
      <c r="D531" s="3" t="s">
        <v>762</v>
      </c>
      <c r="E531" s="3" t="s">
        <v>756</v>
      </c>
      <c r="F531" s="3" t="s">
        <v>21</v>
      </c>
      <c r="G531" s="3" t="s">
        <v>803</v>
      </c>
      <c r="H531" s="5" t="s">
        <v>768</v>
      </c>
      <c r="I531" s="5" t="str">
        <f t="shared" si="219"/>
        <v/>
      </c>
      <c r="J531" s="26"/>
      <c r="K531" s="26">
        <f t="shared" si="222"/>
        <v>0</v>
      </c>
      <c r="L531" s="96">
        <f t="shared" si="222"/>
        <v>0</v>
      </c>
      <c r="M531" s="111">
        <f t="shared" si="222"/>
        <v>0</v>
      </c>
      <c r="N531" s="4">
        <f t="shared" si="222"/>
        <v>0</v>
      </c>
      <c r="O531" s="504">
        <f>IF(O$5&lt;$K531,0,MIN($L531-SUM($N531:N531),$L531*$M531))</f>
        <v>0</v>
      </c>
      <c r="P531" s="504">
        <f>IF(P$5&lt;$K531,0,MIN($L531-SUM($N531:O531),$L531*$M531))</f>
        <v>0</v>
      </c>
      <c r="Q531" s="60"/>
      <c r="R531" s="60"/>
      <c r="S531" s="4">
        <f>IF(S$5&lt;$K531,0,MIN($L531-SUM($N531:R531),ABS($L531*$M531)))</f>
        <v>0</v>
      </c>
      <c r="T531" s="4">
        <f>IF(T$5&lt;$K531,0,MIN($L531-SUM($N531:S531),ABS($L531*$M531)))</f>
        <v>0</v>
      </c>
      <c r="U531" s="4">
        <f>IF(U$5&lt;$K531,0,MIN($L531-SUM($N531:T531),ABS($L531*$M531)))</f>
        <v>0</v>
      </c>
      <c r="V531" s="4">
        <f>IF(V$5&lt;$K531,0,MIN($L531-SUM($N531:U531),ABS($L531*$M531)))</f>
        <v>0</v>
      </c>
      <c r="W531" s="4">
        <f>IF(W$5&lt;$K531,0,MIN($L531-SUM($N531:V531),ABS($L531*$M531)))</f>
        <v>0</v>
      </c>
      <c r="X531" s="4">
        <f>IF(X$5&lt;$K531,0,MIN($L531-SUM($N531:W531),ABS($L531*$M531)))</f>
        <v>0</v>
      </c>
      <c r="Y531" s="604"/>
      <c r="Z531" s="3" t="str">
        <f>VLOOKUP($D531,TableInputsData[],ReadMe!$M$3,FALSE)&amp;"  |  "&amp;VLOOKUP($E531,TableInputsData[],ReadMe!$M$3,FALSE)&amp;"  |  "&amp;VLOOKUP($H531,TableInputsData[],ReadMe!$M$3,FALSE)</f>
        <v>ACTIFS MATERIEL IMMOBILISES  |  AMORTISSEMENTS  |  MATERIEL DE BUREAU</v>
      </c>
      <c r="AA531" s="3"/>
      <c r="AB531" s="34">
        <f t="shared" si="221"/>
        <v>0</v>
      </c>
      <c r="AC531" s="34"/>
      <c r="AD531" s="34"/>
      <c r="AE531" s="26"/>
      <c r="AF531" s="34">
        <v>1</v>
      </c>
      <c r="AG531" s="34"/>
      <c r="AH531" s="535"/>
      <c r="AI531" s="294"/>
    </row>
    <row r="532" spans="1:35" x14ac:dyDescent="0.2">
      <c r="A532" s="294"/>
      <c r="B532" s="922"/>
      <c r="C532" s="66">
        <v>3</v>
      </c>
      <c r="D532" s="3" t="s">
        <v>762</v>
      </c>
      <c r="E532" s="3" t="s">
        <v>756</v>
      </c>
      <c r="F532" s="3" t="s">
        <v>21</v>
      </c>
      <c r="G532" s="3" t="s">
        <v>804</v>
      </c>
      <c r="H532" s="5" t="s">
        <v>768</v>
      </c>
      <c r="I532" s="5" t="str">
        <f t="shared" si="219"/>
        <v/>
      </c>
      <c r="J532" s="26"/>
      <c r="K532" s="26">
        <f t="shared" si="222"/>
        <v>0</v>
      </c>
      <c r="L532" s="96">
        <f t="shared" si="222"/>
        <v>0</v>
      </c>
      <c r="M532" s="111">
        <f t="shared" si="222"/>
        <v>0</v>
      </c>
      <c r="N532" s="4">
        <f t="shared" si="222"/>
        <v>0</v>
      </c>
      <c r="O532" s="504">
        <f>IF(O$5&lt;$K532,0,MIN($L532-SUM($N532:N532),$L532*$M532))</f>
        <v>0</v>
      </c>
      <c r="P532" s="504">
        <f>IF(P$5&lt;$K532,0,MIN($L532-SUM($N532:O532),$L532*$M532))</f>
        <v>0</v>
      </c>
      <c r="Q532" s="60"/>
      <c r="R532" s="60"/>
      <c r="S532" s="4">
        <f>IF(S$5&lt;$K532,0,MIN($L532-SUM($N532:R532),ABS($L532*$M532)))</f>
        <v>0</v>
      </c>
      <c r="T532" s="4">
        <f>IF(T$5&lt;$K532,0,MIN($L532-SUM($N532:S532),ABS($L532*$M532)))</f>
        <v>0</v>
      </c>
      <c r="U532" s="4">
        <f>IF(U$5&lt;$K532,0,MIN($L532-SUM($N532:T532),ABS($L532*$M532)))</f>
        <v>0</v>
      </c>
      <c r="V532" s="4">
        <f>IF(V$5&lt;$K532,0,MIN($L532-SUM($N532:U532),ABS($L532*$M532)))</f>
        <v>0</v>
      </c>
      <c r="W532" s="4">
        <f>IF(W$5&lt;$K532,0,MIN($L532-SUM($N532:V532),ABS($L532*$M532)))</f>
        <v>0</v>
      </c>
      <c r="X532" s="4">
        <f>IF(X$5&lt;$K532,0,MIN($L532-SUM($N532:W532),ABS($L532*$M532)))</f>
        <v>0</v>
      </c>
      <c r="Y532" s="604"/>
      <c r="Z532" s="3" t="str">
        <f>VLOOKUP($D532,TableInputsData[],ReadMe!$M$3,FALSE)&amp;"  |  "&amp;VLOOKUP($E532,TableInputsData[],ReadMe!$M$3,FALSE)&amp;"  |  "&amp;VLOOKUP($H532,TableInputsData[],ReadMe!$M$3,FALSE)</f>
        <v>ACTIFS MATERIEL IMMOBILISES  |  AMORTISSEMENTS  |  MATERIEL DE BUREAU</v>
      </c>
      <c r="AA532" s="3"/>
      <c r="AB532" s="34">
        <f t="shared" si="221"/>
        <v>0</v>
      </c>
      <c r="AC532" s="34"/>
      <c r="AD532" s="34"/>
      <c r="AE532" s="26"/>
      <c r="AF532" s="34">
        <v>1</v>
      </c>
      <c r="AG532" s="34"/>
      <c r="AH532" s="535"/>
      <c r="AI532" s="294"/>
    </row>
    <row r="533" spans="1:35" x14ac:dyDescent="0.2">
      <c r="A533" s="294"/>
      <c r="B533" s="922"/>
      <c r="C533" s="66">
        <v>3</v>
      </c>
      <c r="D533" s="3" t="s">
        <v>762</v>
      </c>
      <c r="E533" s="3" t="s">
        <v>756</v>
      </c>
      <c r="F533" s="3" t="s">
        <v>21</v>
      </c>
      <c r="G533" s="3" t="s">
        <v>805</v>
      </c>
      <c r="H533" s="5" t="s">
        <v>768</v>
      </c>
      <c r="I533" s="5" t="str">
        <f t="shared" si="219"/>
        <v/>
      </c>
      <c r="J533" s="26"/>
      <c r="K533" s="26">
        <f t="shared" si="222"/>
        <v>0</v>
      </c>
      <c r="L533" s="96">
        <f t="shared" si="222"/>
        <v>0</v>
      </c>
      <c r="M533" s="111">
        <f t="shared" si="222"/>
        <v>0</v>
      </c>
      <c r="N533" s="4">
        <f t="shared" si="222"/>
        <v>0</v>
      </c>
      <c r="O533" s="504">
        <f>IF(O$5&lt;$K533,0,MIN($L533-SUM($N533:N533),$L533*$M533))</f>
        <v>0</v>
      </c>
      <c r="P533" s="504">
        <f>IF(P$5&lt;$K533,0,MIN($L533-SUM($N533:O533),$L533*$M533))</f>
        <v>0</v>
      </c>
      <c r="Q533" s="60"/>
      <c r="R533" s="60"/>
      <c r="S533" s="4">
        <f>IF(S$5&lt;$K533,0,MIN($L533-SUM($N533:R533),ABS($L533*$M533)))</f>
        <v>0</v>
      </c>
      <c r="T533" s="4">
        <f>IF(T$5&lt;$K533,0,MIN($L533-SUM($N533:S533),ABS($L533*$M533)))</f>
        <v>0</v>
      </c>
      <c r="U533" s="4">
        <f>IF(U$5&lt;$K533,0,MIN($L533-SUM($N533:T533),ABS($L533*$M533)))</f>
        <v>0</v>
      </c>
      <c r="V533" s="4">
        <f>IF(V$5&lt;$K533,0,MIN($L533-SUM($N533:U533),ABS($L533*$M533)))</f>
        <v>0</v>
      </c>
      <c r="W533" s="4">
        <f>IF(W$5&lt;$K533,0,MIN($L533-SUM($N533:V533),ABS($L533*$M533)))</f>
        <v>0</v>
      </c>
      <c r="X533" s="4">
        <f>IF(X$5&lt;$K533,0,MIN($L533-SUM($N533:W533),ABS($L533*$M533)))</f>
        <v>0</v>
      </c>
      <c r="Y533" s="604"/>
      <c r="Z533" s="3" t="str">
        <f>VLOOKUP($D533,TableInputsData[],ReadMe!$M$3,FALSE)&amp;"  |  "&amp;VLOOKUP($E533,TableInputsData[],ReadMe!$M$3,FALSE)&amp;"  |  "&amp;VLOOKUP($H533,TableInputsData[],ReadMe!$M$3,FALSE)</f>
        <v>ACTIFS MATERIEL IMMOBILISES  |  AMORTISSEMENTS  |  MATERIEL DE BUREAU</v>
      </c>
      <c r="AA533" s="3"/>
      <c r="AB533" s="34">
        <f t="shared" si="221"/>
        <v>0</v>
      </c>
      <c r="AC533" s="34"/>
      <c r="AD533" s="34"/>
      <c r="AE533" s="26"/>
      <c r="AF533" s="34">
        <v>1</v>
      </c>
      <c r="AG533" s="34"/>
      <c r="AH533" s="535"/>
      <c r="AI533" s="294"/>
    </row>
    <row r="534" spans="1:35" x14ac:dyDescent="0.2">
      <c r="A534" s="294"/>
      <c r="B534" s="922"/>
      <c r="C534" s="66">
        <v>3</v>
      </c>
      <c r="D534" s="3" t="s">
        <v>762</v>
      </c>
      <c r="E534" s="3" t="s">
        <v>756</v>
      </c>
      <c r="F534" s="3" t="s">
        <v>21</v>
      </c>
      <c r="G534" s="3" t="s">
        <v>806</v>
      </c>
      <c r="H534" s="5" t="s">
        <v>768</v>
      </c>
      <c r="I534" s="5" t="str">
        <f t="shared" si="219"/>
        <v/>
      </c>
      <c r="J534" s="26"/>
      <c r="K534" s="26">
        <f t="shared" si="222"/>
        <v>0</v>
      </c>
      <c r="L534" s="96">
        <f t="shared" si="222"/>
        <v>0</v>
      </c>
      <c r="M534" s="111">
        <f t="shared" si="222"/>
        <v>0</v>
      </c>
      <c r="N534" s="4">
        <f t="shared" si="222"/>
        <v>0</v>
      </c>
      <c r="O534" s="504">
        <f>IF(O$5&lt;$K534,0,MIN($L534-SUM($N534:N534),$L534*$M534))</f>
        <v>0</v>
      </c>
      <c r="P534" s="504">
        <f>IF(P$5&lt;$K534,0,MIN($L534-SUM($N534:O534),$L534*$M534))</f>
        <v>0</v>
      </c>
      <c r="Q534" s="60"/>
      <c r="R534" s="60"/>
      <c r="S534" s="4">
        <f>IF(S$5&lt;$K534,0,MIN($L534-SUM($N534:R534),ABS($L534*$M534)))</f>
        <v>0</v>
      </c>
      <c r="T534" s="4">
        <f>IF(T$5&lt;$K534,0,MIN($L534-SUM($N534:S534),ABS($L534*$M534)))</f>
        <v>0</v>
      </c>
      <c r="U534" s="4">
        <f>IF(U$5&lt;$K534,0,MIN($L534-SUM($N534:T534),ABS($L534*$M534)))</f>
        <v>0</v>
      </c>
      <c r="V534" s="4">
        <f>IF(V$5&lt;$K534,0,MIN($L534-SUM($N534:U534),ABS($L534*$M534)))</f>
        <v>0</v>
      </c>
      <c r="W534" s="4">
        <f>IF(W$5&lt;$K534,0,MIN($L534-SUM($N534:V534),ABS($L534*$M534)))</f>
        <v>0</v>
      </c>
      <c r="X534" s="4">
        <f>IF(X$5&lt;$K534,0,MIN($L534-SUM($N534:W534),ABS($L534*$M534)))</f>
        <v>0</v>
      </c>
      <c r="Y534" s="604"/>
      <c r="Z534" s="3" t="str">
        <f>VLOOKUP($D534,TableInputsData[],ReadMe!$M$3,FALSE)&amp;"  |  "&amp;VLOOKUP($E534,TableInputsData[],ReadMe!$M$3,FALSE)&amp;"  |  "&amp;VLOOKUP($H534,TableInputsData[],ReadMe!$M$3,FALSE)</f>
        <v>ACTIFS MATERIEL IMMOBILISES  |  AMORTISSEMENTS  |  MATERIEL DE BUREAU</v>
      </c>
      <c r="AA534" s="3"/>
      <c r="AB534" s="34">
        <f t="shared" si="221"/>
        <v>0</v>
      </c>
      <c r="AC534" s="34"/>
      <c r="AD534" s="34"/>
      <c r="AE534" s="26"/>
      <c r="AF534" s="34">
        <v>1</v>
      </c>
      <c r="AG534" s="34"/>
      <c r="AH534" s="535"/>
      <c r="AI534" s="294"/>
    </row>
    <row r="535" spans="1:35" x14ac:dyDescent="0.2">
      <c r="A535" s="294"/>
      <c r="B535" s="922"/>
      <c r="C535" s="66">
        <v>3</v>
      </c>
      <c r="D535" s="3" t="s">
        <v>762</v>
      </c>
      <c r="E535" s="3" t="s">
        <v>756</v>
      </c>
      <c r="F535" s="3" t="s">
        <v>21</v>
      </c>
      <c r="G535" s="3" t="s">
        <v>807</v>
      </c>
      <c r="H535" s="5" t="s">
        <v>768</v>
      </c>
      <c r="I535" s="5" t="str">
        <f t="shared" si="219"/>
        <v/>
      </c>
      <c r="J535" s="26"/>
      <c r="K535" s="26">
        <f t="shared" si="222"/>
        <v>0</v>
      </c>
      <c r="L535" s="96">
        <f t="shared" si="222"/>
        <v>0</v>
      </c>
      <c r="M535" s="111">
        <f t="shared" si="222"/>
        <v>0</v>
      </c>
      <c r="N535" s="4">
        <f t="shared" si="222"/>
        <v>0</v>
      </c>
      <c r="O535" s="504">
        <f>IF(O$5&lt;$K535,0,MIN($L535-SUM($N535:N535),$L535*$M535))</f>
        <v>0</v>
      </c>
      <c r="P535" s="504">
        <f>IF(P$5&lt;$K535,0,MIN($L535-SUM($N535:O535),$L535*$M535))</f>
        <v>0</v>
      </c>
      <c r="Q535" s="60"/>
      <c r="R535" s="60"/>
      <c r="S535" s="4">
        <f>IF(S$5&lt;$K535,0,MIN($L535-SUM($N535:R535),ABS($L535*$M535)))</f>
        <v>0</v>
      </c>
      <c r="T535" s="4">
        <f>IF(T$5&lt;$K535,0,MIN($L535-SUM($N535:S535),ABS($L535*$M535)))</f>
        <v>0</v>
      </c>
      <c r="U535" s="4">
        <f>IF(U$5&lt;$K535,0,MIN($L535-SUM($N535:T535),ABS($L535*$M535)))</f>
        <v>0</v>
      </c>
      <c r="V535" s="4">
        <f>IF(V$5&lt;$K535,0,MIN($L535-SUM($N535:U535),ABS($L535*$M535)))</f>
        <v>0</v>
      </c>
      <c r="W535" s="4">
        <f>IF(W$5&lt;$K535,0,MIN($L535-SUM($N535:V535),ABS($L535*$M535)))</f>
        <v>0</v>
      </c>
      <c r="X535" s="4">
        <f>IF(X$5&lt;$K535,0,MIN($L535-SUM($N535:W535),ABS($L535*$M535)))</f>
        <v>0</v>
      </c>
      <c r="Y535" s="604"/>
      <c r="Z535" s="3" t="str">
        <f>VLOOKUP($D535,TableInputsData[],ReadMe!$M$3,FALSE)&amp;"  |  "&amp;VLOOKUP($E535,TableInputsData[],ReadMe!$M$3,FALSE)&amp;"  |  "&amp;VLOOKUP($H535,TableInputsData[],ReadMe!$M$3,FALSE)</f>
        <v>ACTIFS MATERIEL IMMOBILISES  |  AMORTISSEMENTS  |  MATERIEL DE BUREAU</v>
      </c>
      <c r="AA535" s="3"/>
      <c r="AB535" s="34">
        <f t="shared" si="221"/>
        <v>0</v>
      </c>
      <c r="AC535" s="34"/>
      <c r="AD535" s="34"/>
      <c r="AE535" s="26"/>
      <c r="AF535" s="34">
        <v>1</v>
      </c>
      <c r="AG535" s="34"/>
      <c r="AH535" s="535"/>
      <c r="AI535" s="294"/>
    </row>
    <row r="536" spans="1:35" x14ac:dyDescent="0.2">
      <c r="A536" s="294"/>
      <c r="B536" s="922"/>
      <c r="C536" s="66">
        <v>3</v>
      </c>
      <c r="D536" s="3" t="s">
        <v>762</v>
      </c>
      <c r="E536" s="3" t="s">
        <v>756</v>
      </c>
      <c r="F536" s="3" t="s">
        <v>21</v>
      </c>
      <c r="G536" s="3" t="s">
        <v>808</v>
      </c>
      <c r="H536" s="5" t="s">
        <v>768</v>
      </c>
      <c r="I536" s="5" t="str">
        <f t="shared" si="219"/>
        <v/>
      </c>
      <c r="J536" s="26"/>
      <c r="K536" s="26">
        <f t="shared" si="222"/>
        <v>0</v>
      </c>
      <c r="L536" s="96">
        <f t="shared" si="222"/>
        <v>0</v>
      </c>
      <c r="M536" s="111">
        <f t="shared" si="222"/>
        <v>0</v>
      </c>
      <c r="N536" s="4">
        <f t="shared" si="222"/>
        <v>0</v>
      </c>
      <c r="O536" s="504">
        <f>IF(O$5&lt;$K536,0,MIN($L536-SUM($N536:N536),$L536*$M536))</f>
        <v>0</v>
      </c>
      <c r="P536" s="504">
        <f>IF(P$5&lt;$K536,0,MIN($L536-SUM($N536:O536),$L536*$M536))</f>
        <v>0</v>
      </c>
      <c r="Q536" s="60"/>
      <c r="R536" s="60"/>
      <c r="S536" s="4">
        <f>IF(S$5&lt;$K536,0,MIN($L536-SUM($N536:R536),ABS($L536*$M536)))</f>
        <v>0</v>
      </c>
      <c r="T536" s="4">
        <f>IF(T$5&lt;$K536,0,MIN($L536-SUM($N536:S536),ABS($L536*$M536)))</f>
        <v>0</v>
      </c>
      <c r="U536" s="4">
        <f>IF(U$5&lt;$K536,0,MIN($L536-SUM($N536:T536),ABS($L536*$M536)))</f>
        <v>0</v>
      </c>
      <c r="V536" s="4">
        <f>IF(V$5&lt;$K536,0,MIN($L536-SUM($N536:U536),ABS($L536*$M536)))</f>
        <v>0</v>
      </c>
      <c r="W536" s="4">
        <f>IF(W$5&lt;$K536,0,MIN($L536-SUM($N536:V536),ABS($L536*$M536)))</f>
        <v>0</v>
      </c>
      <c r="X536" s="4">
        <f>IF(X$5&lt;$K536,0,MIN($L536-SUM($N536:W536),ABS($L536*$M536)))</f>
        <v>0</v>
      </c>
      <c r="Y536" s="604"/>
      <c r="Z536" s="3" t="str">
        <f>VLOOKUP($D536,TableInputsData[],ReadMe!$M$3,FALSE)&amp;"  |  "&amp;VLOOKUP($E536,TableInputsData[],ReadMe!$M$3,FALSE)&amp;"  |  "&amp;VLOOKUP($H536,TableInputsData[],ReadMe!$M$3,FALSE)</f>
        <v>ACTIFS MATERIEL IMMOBILISES  |  AMORTISSEMENTS  |  MATERIEL DE BUREAU</v>
      </c>
      <c r="AA536" s="3"/>
      <c r="AB536" s="34">
        <f t="shared" si="221"/>
        <v>0</v>
      </c>
      <c r="AC536" s="34"/>
      <c r="AD536" s="34"/>
      <c r="AE536" s="26"/>
      <c r="AF536" s="34">
        <v>1</v>
      </c>
      <c r="AG536" s="34"/>
      <c r="AH536" s="535"/>
      <c r="AI536" s="294"/>
    </row>
    <row r="537" spans="1:35" x14ac:dyDescent="0.2">
      <c r="A537" s="294"/>
      <c r="B537" s="922"/>
      <c r="C537" s="66">
        <v>3</v>
      </c>
      <c r="D537" s="3" t="s">
        <v>762</v>
      </c>
      <c r="E537" s="3" t="s">
        <v>756</v>
      </c>
      <c r="F537" s="3" t="s">
        <v>21</v>
      </c>
      <c r="G537" s="3" t="s">
        <v>809</v>
      </c>
      <c r="H537" s="5" t="s">
        <v>768</v>
      </c>
      <c r="I537" s="5" t="str">
        <f t="shared" si="219"/>
        <v/>
      </c>
      <c r="J537" s="26"/>
      <c r="K537" s="26">
        <f t="shared" si="222"/>
        <v>0</v>
      </c>
      <c r="L537" s="96">
        <f t="shared" si="222"/>
        <v>0</v>
      </c>
      <c r="M537" s="111">
        <f t="shared" si="222"/>
        <v>0</v>
      </c>
      <c r="N537" s="4">
        <f t="shared" si="222"/>
        <v>0</v>
      </c>
      <c r="O537" s="504">
        <f>IF(O$5&lt;$K537,0,MIN($L537-SUM($N537:N537),$L537*$M537))</f>
        <v>0</v>
      </c>
      <c r="P537" s="504">
        <f>IF(P$5&lt;$K537,0,MIN($L537-SUM($N537:O537),$L537*$M537))</f>
        <v>0</v>
      </c>
      <c r="Q537" s="60"/>
      <c r="R537" s="60"/>
      <c r="S537" s="4">
        <f>IF(S$5&lt;$K537,0,MIN($L537-SUM($N537:R537),ABS($L537*$M537)))</f>
        <v>0</v>
      </c>
      <c r="T537" s="4">
        <f>IF(T$5&lt;$K537,0,MIN($L537-SUM($N537:S537),ABS($L537*$M537)))</f>
        <v>0</v>
      </c>
      <c r="U537" s="4">
        <f>IF(U$5&lt;$K537,0,MIN($L537-SUM($N537:T537),ABS($L537*$M537)))</f>
        <v>0</v>
      </c>
      <c r="V537" s="4">
        <f>IF(V$5&lt;$K537,0,MIN($L537-SUM($N537:U537),ABS($L537*$M537)))</f>
        <v>0</v>
      </c>
      <c r="W537" s="4">
        <f>IF(W$5&lt;$K537,0,MIN($L537-SUM($N537:V537),ABS($L537*$M537)))</f>
        <v>0</v>
      </c>
      <c r="X537" s="4">
        <f>IF(X$5&lt;$K537,0,MIN($L537-SUM($N537:W537),ABS($L537*$M537)))</f>
        <v>0</v>
      </c>
      <c r="Y537" s="604"/>
      <c r="Z537" s="3" t="str">
        <f>VLOOKUP($D537,TableInputsData[],ReadMe!$M$3,FALSE)&amp;"  |  "&amp;VLOOKUP($E537,TableInputsData[],ReadMe!$M$3,FALSE)&amp;"  |  "&amp;VLOOKUP($H537,TableInputsData[],ReadMe!$M$3,FALSE)</f>
        <v>ACTIFS MATERIEL IMMOBILISES  |  AMORTISSEMENTS  |  MATERIEL DE BUREAU</v>
      </c>
      <c r="AA537" s="3"/>
      <c r="AB537" s="34">
        <f t="shared" si="221"/>
        <v>0</v>
      </c>
      <c r="AC537" s="34"/>
      <c r="AD537" s="34"/>
      <c r="AE537" s="26"/>
      <c r="AF537" s="34">
        <v>1</v>
      </c>
      <c r="AG537" s="34"/>
      <c r="AH537" s="535"/>
      <c r="AI537" s="294"/>
    </row>
    <row r="538" spans="1:35" x14ac:dyDescent="0.2">
      <c r="A538" s="294"/>
      <c r="B538" s="922"/>
      <c r="C538" s="66">
        <v>3</v>
      </c>
      <c r="D538" s="3" t="s">
        <v>762</v>
      </c>
      <c r="E538" s="3" t="s">
        <v>756</v>
      </c>
      <c r="F538" s="3" t="s">
        <v>21</v>
      </c>
      <c r="G538" s="3" t="s">
        <v>810</v>
      </c>
      <c r="H538" s="5" t="s">
        <v>768</v>
      </c>
      <c r="I538" s="5" t="str">
        <f t="shared" si="219"/>
        <v/>
      </c>
      <c r="J538" s="26"/>
      <c r="K538" s="26">
        <f t="shared" si="222"/>
        <v>0</v>
      </c>
      <c r="L538" s="96">
        <f t="shared" si="222"/>
        <v>0</v>
      </c>
      <c r="M538" s="111">
        <f t="shared" si="222"/>
        <v>0</v>
      </c>
      <c r="N538" s="4">
        <f t="shared" si="222"/>
        <v>0</v>
      </c>
      <c r="O538" s="504">
        <f>IF(O$5&lt;$K538,0,MIN($L538-SUM($N538:N538),$L538*$M538))</f>
        <v>0</v>
      </c>
      <c r="P538" s="504">
        <f>IF(P$5&lt;$K538,0,MIN($L538-SUM($N538:O538),$L538*$M538))</f>
        <v>0</v>
      </c>
      <c r="Q538" s="60"/>
      <c r="R538" s="60"/>
      <c r="S538" s="4">
        <f>IF(S$5&lt;$K538,0,MIN($L538-SUM($N538:R538),ABS($L538*$M538)))</f>
        <v>0</v>
      </c>
      <c r="T538" s="4">
        <f>IF(T$5&lt;$K538,0,MIN($L538-SUM($N538:S538),ABS($L538*$M538)))</f>
        <v>0</v>
      </c>
      <c r="U538" s="4">
        <f>IF(U$5&lt;$K538,0,MIN($L538-SUM($N538:T538),ABS($L538*$M538)))</f>
        <v>0</v>
      </c>
      <c r="V538" s="4">
        <f>IF(V$5&lt;$K538,0,MIN($L538-SUM($N538:U538),ABS($L538*$M538)))</f>
        <v>0</v>
      </c>
      <c r="W538" s="4">
        <f>IF(W$5&lt;$K538,0,MIN($L538-SUM($N538:V538),ABS($L538*$M538)))</f>
        <v>0</v>
      </c>
      <c r="X538" s="4">
        <f>IF(X$5&lt;$K538,0,MIN($L538-SUM($N538:W538),ABS($L538*$M538)))</f>
        <v>0</v>
      </c>
      <c r="Y538" s="604"/>
      <c r="Z538" s="3" t="str">
        <f>VLOOKUP($D538,TableInputsData[],ReadMe!$M$3,FALSE)&amp;"  |  "&amp;VLOOKUP($E538,TableInputsData[],ReadMe!$M$3,FALSE)&amp;"  |  "&amp;VLOOKUP($H538,TableInputsData[],ReadMe!$M$3,FALSE)</f>
        <v>ACTIFS MATERIEL IMMOBILISES  |  AMORTISSEMENTS  |  MATERIEL DE BUREAU</v>
      </c>
      <c r="AA538" s="3"/>
      <c r="AB538" s="34">
        <f t="shared" si="221"/>
        <v>0</v>
      </c>
      <c r="AC538" s="34"/>
      <c r="AD538" s="34"/>
      <c r="AE538" s="26"/>
      <c r="AF538" s="34">
        <v>1</v>
      </c>
      <c r="AG538" s="34"/>
      <c r="AH538" s="535"/>
      <c r="AI538" s="294"/>
    </row>
    <row r="539" spans="1:35" x14ac:dyDescent="0.2">
      <c r="A539" s="294"/>
      <c r="B539" s="922"/>
      <c r="C539" s="66">
        <v>3</v>
      </c>
      <c r="D539" s="3" t="s">
        <v>762</v>
      </c>
      <c r="E539" s="3" t="s">
        <v>756</v>
      </c>
      <c r="F539" s="3" t="s">
        <v>21</v>
      </c>
      <c r="G539" s="3" t="s">
        <v>811</v>
      </c>
      <c r="H539" s="5" t="s">
        <v>768</v>
      </c>
      <c r="I539" s="5" t="str">
        <f t="shared" si="219"/>
        <v/>
      </c>
      <c r="J539" s="26"/>
      <c r="K539" s="26">
        <f t="shared" si="222"/>
        <v>0</v>
      </c>
      <c r="L539" s="96">
        <f t="shared" si="222"/>
        <v>0</v>
      </c>
      <c r="M539" s="111">
        <f t="shared" si="222"/>
        <v>0</v>
      </c>
      <c r="N539" s="4">
        <f t="shared" si="222"/>
        <v>0</v>
      </c>
      <c r="O539" s="504">
        <f>IF(O$5&lt;$K539,0,MIN($L539-SUM($N539:N539),$L539*$M539))</f>
        <v>0</v>
      </c>
      <c r="P539" s="504">
        <f>IF(P$5&lt;$K539,0,MIN($L539-SUM($N539:O539),$L539*$M539))</f>
        <v>0</v>
      </c>
      <c r="Q539" s="60"/>
      <c r="R539" s="60"/>
      <c r="S539" s="4">
        <f>IF(S$5&lt;$K539,0,MIN($L539-SUM($N539:R539),ABS($L539*$M539)))</f>
        <v>0</v>
      </c>
      <c r="T539" s="4">
        <f>IF(T$5&lt;$K539,0,MIN($L539-SUM($N539:S539),ABS($L539*$M539)))</f>
        <v>0</v>
      </c>
      <c r="U539" s="4">
        <f>IF(U$5&lt;$K539,0,MIN($L539-SUM($N539:T539),ABS($L539*$M539)))</f>
        <v>0</v>
      </c>
      <c r="V539" s="4">
        <f>IF(V$5&lt;$K539,0,MIN($L539-SUM($N539:U539),ABS($L539*$M539)))</f>
        <v>0</v>
      </c>
      <c r="W539" s="4">
        <f>IF(W$5&lt;$K539,0,MIN($L539-SUM($N539:V539),ABS($L539*$M539)))</f>
        <v>0</v>
      </c>
      <c r="X539" s="4">
        <f>IF(X$5&lt;$K539,0,MIN($L539-SUM($N539:W539),ABS($L539*$M539)))</f>
        <v>0</v>
      </c>
      <c r="Y539" s="604"/>
      <c r="Z539" s="3" t="str">
        <f>VLOOKUP($D539,TableInputsData[],ReadMe!$M$3,FALSE)&amp;"  |  "&amp;VLOOKUP($E539,TableInputsData[],ReadMe!$M$3,FALSE)&amp;"  |  "&amp;VLOOKUP($H539,TableInputsData[],ReadMe!$M$3,FALSE)</f>
        <v>ACTIFS MATERIEL IMMOBILISES  |  AMORTISSEMENTS  |  MATERIEL DE BUREAU</v>
      </c>
      <c r="AA539" s="3"/>
      <c r="AB539" s="34">
        <f t="shared" si="221"/>
        <v>0</v>
      </c>
      <c r="AC539" s="34"/>
      <c r="AD539" s="34"/>
      <c r="AE539" s="26"/>
      <c r="AF539" s="34">
        <v>1</v>
      </c>
      <c r="AG539" s="34"/>
      <c r="AH539" s="535"/>
      <c r="AI539" s="294"/>
    </row>
    <row r="540" spans="1:35" x14ac:dyDescent="0.2">
      <c r="A540" s="294"/>
      <c r="B540" s="922"/>
      <c r="C540" s="66">
        <v>3</v>
      </c>
      <c r="D540" s="3" t="s">
        <v>762</v>
      </c>
      <c r="E540" s="3" t="s">
        <v>756</v>
      </c>
      <c r="F540" s="3" t="s">
        <v>21</v>
      </c>
      <c r="G540" s="3" t="s">
        <v>812</v>
      </c>
      <c r="H540" s="5" t="s">
        <v>768</v>
      </c>
      <c r="I540" s="5" t="str">
        <f t="shared" si="219"/>
        <v/>
      </c>
      <c r="J540" s="26"/>
      <c r="K540" s="26">
        <f t="shared" si="222"/>
        <v>0</v>
      </c>
      <c r="L540" s="96">
        <f t="shared" si="222"/>
        <v>0</v>
      </c>
      <c r="M540" s="111">
        <f t="shared" si="222"/>
        <v>0</v>
      </c>
      <c r="N540" s="4">
        <f t="shared" si="222"/>
        <v>0</v>
      </c>
      <c r="O540" s="504">
        <f>IF(O$5&lt;$K540,0,MIN($L540-SUM($N540:N540),$L540*$M540))</f>
        <v>0</v>
      </c>
      <c r="P540" s="504">
        <f>IF(P$5&lt;$K540,0,MIN($L540-SUM($N540:O540),$L540*$M540))</f>
        <v>0</v>
      </c>
      <c r="Q540" s="60"/>
      <c r="R540" s="60"/>
      <c r="S540" s="4">
        <f>IF(S$5&lt;$K540,0,MIN($L540-SUM($N540:R540),ABS($L540*$M540)))</f>
        <v>0</v>
      </c>
      <c r="T540" s="4">
        <f>IF(T$5&lt;$K540,0,MIN($L540-SUM($N540:S540),ABS($L540*$M540)))</f>
        <v>0</v>
      </c>
      <c r="U540" s="4">
        <f>IF(U$5&lt;$K540,0,MIN($L540-SUM($N540:T540),ABS($L540*$M540)))</f>
        <v>0</v>
      </c>
      <c r="V540" s="4">
        <f>IF(V$5&lt;$K540,0,MIN($L540-SUM($N540:U540),ABS($L540*$M540)))</f>
        <v>0</v>
      </c>
      <c r="W540" s="4">
        <f>IF(W$5&lt;$K540,0,MIN($L540-SUM($N540:V540),ABS($L540*$M540)))</f>
        <v>0</v>
      </c>
      <c r="X540" s="4">
        <f>IF(X$5&lt;$K540,0,MIN($L540-SUM($N540:W540),ABS($L540*$M540)))</f>
        <v>0</v>
      </c>
      <c r="Y540" s="604"/>
      <c r="Z540" s="3" t="str">
        <f>VLOOKUP($D540,TableInputsData[],ReadMe!$M$3,FALSE)&amp;"  |  "&amp;VLOOKUP($E540,TableInputsData[],ReadMe!$M$3,FALSE)&amp;"  |  "&amp;VLOOKUP($H540,TableInputsData[],ReadMe!$M$3,FALSE)</f>
        <v>ACTIFS MATERIEL IMMOBILISES  |  AMORTISSEMENTS  |  MATERIEL DE BUREAU</v>
      </c>
      <c r="AA540" s="3"/>
      <c r="AB540" s="34">
        <f t="shared" si="221"/>
        <v>0</v>
      </c>
      <c r="AC540" s="34"/>
      <c r="AD540" s="34"/>
      <c r="AE540" s="26"/>
      <c r="AF540" s="34">
        <v>1</v>
      </c>
      <c r="AG540" s="34"/>
      <c r="AH540" s="535"/>
      <c r="AI540" s="294"/>
    </row>
    <row r="541" spans="1:35" x14ac:dyDescent="0.2">
      <c r="A541" s="294"/>
      <c r="B541" s="922"/>
      <c r="C541" s="70">
        <v>3</v>
      </c>
      <c r="D541" s="3" t="s">
        <v>762</v>
      </c>
      <c r="E541" s="6" t="s">
        <v>756</v>
      </c>
      <c r="F541" s="6" t="s">
        <v>21</v>
      </c>
      <c r="G541" s="3" t="s">
        <v>813</v>
      </c>
      <c r="H541" s="11" t="s">
        <v>768</v>
      </c>
      <c r="I541" s="5" t="str">
        <f t="shared" si="219"/>
        <v/>
      </c>
      <c r="J541" s="26"/>
      <c r="K541" s="26">
        <f t="shared" si="222"/>
        <v>0</v>
      </c>
      <c r="L541" s="96">
        <f t="shared" si="222"/>
        <v>0</v>
      </c>
      <c r="M541" s="111">
        <f t="shared" si="222"/>
        <v>0</v>
      </c>
      <c r="N541" s="4">
        <f t="shared" si="222"/>
        <v>0</v>
      </c>
      <c r="O541" s="504">
        <f>IF(O$5&lt;$K541,0,MIN($L541-SUM($N541:N541),$L541*$M541))</f>
        <v>0</v>
      </c>
      <c r="P541" s="504">
        <f>IF(P$5&lt;$K541,0,MIN($L541-SUM($N541:O541),$L541*$M541))</f>
        <v>0</v>
      </c>
      <c r="Q541" s="60"/>
      <c r="R541" s="60"/>
      <c r="S541" s="4">
        <f>IF(S$5&lt;$K541,0,MIN($L541-SUM($N541:R541),ABS($L541*$M541)))</f>
        <v>0</v>
      </c>
      <c r="T541" s="4">
        <f>IF(T$5&lt;$K541,0,MIN($L541-SUM($N541:S541),ABS($L541*$M541)))</f>
        <v>0</v>
      </c>
      <c r="U541" s="4">
        <f>IF(U$5&lt;$K541,0,MIN($L541-SUM($N541:T541),ABS($L541*$M541)))</f>
        <v>0</v>
      </c>
      <c r="V541" s="4">
        <f>IF(V$5&lt;$K541,0,MIN($L541-SUM($N541:U541),ABS($L541*$M541)))</f>
        <v>0</v>
      </c>
      <c r="W541" s="4">
        <f>IF(W$5&lt;$K541,0,MIN($L541-SUM($N541:V541),ABS($L541*$M541)))</f>
        <v>0</v>
      </c>
      <c r="X541" s="4">
        <f>IF(X$5&lt;$K541,0,MIN($L541-SUM($N541:W541),ABS($L541*$M541)))</f>
        <v>0</v>
      </c>
      <c r="Y541" s="605"/>
      <c r="Z541" s="6" t="str">
        <f>VLOOKUP($D541,TableInputsData[],ReadMe!$M$3,FALSE)&amp;"  |  "&amp;VLOOKUP($E541,TableInputsData[],ReadMe!$M$3,FALSE)&amp;"  |  "&amp;VLOOKUP($H541,TableInputsData[],ReadMe!$M$3,FALSE)</f>
        <v>ACTIFS MATERIEL IMMOBILISES  |  AMORTISSEMENTS  |  MATERIEL DE BUREAU</v>
      </c>
      <c r="AA541" s="6"/>
      <c r="AB541" s="34">
        <f t="shared" si="221"/>
        <v>0</v>
      </c>
      <c r="AC541" s="36"/>
      <c r="AD541" s="36"/>
      <c r="AE541" s="91"/>
      <c r="AF541" s="36">
        <v>1</v>
      </c>
      <c r="AG541" s="36"/>
      <c r="AH541" s="536"/>
      <c r="AI541" s="294"/>
    </row>
    <row r="542" spans="1:35" x14ac:dyDescent="0.2">
      <c r="A542" s="294"/>
      <c r="B542" s="922"/>
      <c r="C542" s="67">
        <v>3</v>
      </c>
      <c r="D542" s="16" t="s">
        <v>762</v>
      </c>
      <c r="E542" s="16" t="s">
        <v>756</v>
      </c>
      <c r="F542" s="16" t="s">
        <v>21</v>
      </c>
      <c r="G542" s="16" t="s">
        <v>846</v>
      </c>
      <c r="H542" s="17" t="s">
        <v>1168</v>
      </c>
      <c r="I542" s="17"/>
      <c r="J542" s="27"/>
      <c r="K542" s="27"/>
      <c r="L542" s="18">
        <f>SUM(L502:L541)</f>
        <v>0</v>
      </c>
      <c r="M542" s="112"/>
      <c r="N542" s="18">
        <f>SUM(N502:N541)</f>
        <v>0</v>
      </c>
      <c r="O542" s="18">
        <f>SUM(O502:O541)</f>
        <v>0</v>
      </c>
      <c r="P542" s="18">
        <f>SUM(P502:P541)</f>
        <v>0</v>
      </c>
      <c r="Q542" s="18"/>
      <c r="R542" s="18"/>
      <c r="S542" s="18">
        <f t="shared" ref="S542:X542" si="223">SUM(S502:S541)</f>
        <v>0</v>
      </c>
      <c r="T542" s="18">
        <f t="shared" si="223"/>
        <v>0</v>
      </c>
      <c r="U542" s="18">
        <f t="shared" si="223"/>
        <v>0</v>
      </c>
      <c r="V542" s="18">
        <f t="shared" si="223"/>
        <v>0</v>
      </c>
      <c r="W542" s="18">
        <f t="shared" si="223"/>
        <v>0</v>
      </c>
      <c r="X542" s="18">
        <f t="shared" si="223"/>
        <v>0</v>
      </c>
      <c r="Y542" s="18"/>
      <c r="Z542" s="16" t="str">
        <f>VLOOKUP($D542,TableInputsData[],ReadMe!$M$3,FALSE)&amp;"  |  "&amp;VLOOKUP($E542,TableInputsData[],ReadMe!$M$3,FALSE)&amp;"  |  "&amp;VLOOKUP($H542,TableInputsData[],ReadMe!$M$3,FALSE)</f>
        <v>ACTIFS MATERIEL IMMOBILISES  |  AMORTISSEMENTS  |  TOTAL MATERIEL DE BUREAU</v>
      </c>
      <c r="AA542" s="16"/>
      <c r="AB542" s="27">
        <v>1</v>
      </c>
      <c r="AC542" s="27">
        <v>1</v>
      </c>
      <c r="AD542" s="27"/>
      <c r="AE542" s="27"/>
      <c r="AF542" s="27">
        <v>1</v>
      </c>
      <c r="AG542" s="27"/>
      <c r="AH542" s="533"/>
      <c r="AI542" s="294"/>
    </row>
    <row r="543" spans="1:35" x14ac:dyDescent="0.2">
      <c r="A543" s="294"/>
      <c r="B543" s="922"/>
      <c r="C543" s="66">
        <v>3</v>
      </c>
      <c r="D543" s="3"/>
      <c r="E543" s="3"/>
      <c r="F543" s="3"/>
      <c r="G543" s="3"/>
      <c r="H543" s="5"/>
      <c r="I543" s="5"/>
      <c r="J543" s="26"/>
      <c r="K543" s="26"/>
      <c r="L543" s="96"/>
      <c r="M543" s="118"/>
      <c r="N543" s="861"/>
      <c r="O543" s="4"/>
      <c r="P543" s="4"/>
      <c r="Q543" s="4"/>
      <c r="R543" s="4"/>
      <c r="S543" s="4"/>
      <c r="T543" s="4"/>
      <c r="U543" s="4"/>
      <c r="V543" s="4"/>
      <c r="W543" s="4"/>
      <c r="X543" s="4"/>
      <c r="Y543" s="4"/>
      <c r="Z543" s="3"/>
      <c r="AA543" s="3"/>
      <c r="AB543" s="34"/>
      <c r="AC543" s="34"/>
      <c r="AD543" s="34"/>
      <c r="AE543" s="26"/>
      <c r="AF543" s="34"/>
      <c r="AG543" s="34"/>
      <c r="AH543" s="535"/>
      <c r="AI543" s="294"/>
    </row>
    <row r="544" spans="1:35" x14ac:dyDescent="0.2">
      <c r="A544" s="294"/>
      <c r="B544" s="922"/>
      <c r="C544" s="66">
        <v>3</v>
      </c>
      <c r="D544" s="3" t="s">
        <v>762</v>
      </c>
      <c r="E544" s="3" t="s">
        <v>756</v>
      </c>
      <c r="F544" s="3" t="s">
        <v>21</v>
      </c>
      <c r="G544" s="3" t="s">
        <v>814</v>
      </c>
      <c r="H544" s="5" t="s">
        <v>771</v>
      </c>
      <c r="I544" s="5" t="str">
        <f t="shared" ref="I544:I553" si="224">IF(I450="","",I450)</f>
        <v/>
      </c>
      <c r="J544" s="26"/>
      <c r="K544" s="26">
        <f t="shared" ref="K544:N553" si="225">IF(K450="",0,K450)</f>
        <v>2020</v>
      </c>
      <c r="L544" s="96">
        <f t="shared" si="225"/>
        <v>0</v>
      </c>
      <c r="M544" s="111">
        <f t="shared" si="225"/>
        <v>0.1</v>
      </c>
      <c r="N544" s="4">
        <f t="shared" si="225"/>
        <v>0</v>
      </c>
      <c r="O544" s="504">
        <f>IF(O$5&lt;$K544,0,MIN($L544-SUM($N544:N544),$L544*$M544))</f>
        <v>0</v>
      </c>
      <c r="P544" s="504">
        <f>IF(P$5&lt;$K544,0,MIN($L544-SUM($N544:O544),$L544*$M544))</f>
        <v>0</v>
      </c>
      <c r="Q544" s="60"/>
      <c r="R544" s="60"/>
      <c r="S544" s="4">
        <f>IF(S$5&lt;$K544,0,MIN($L544-SUM($N544:R544),ABS($L544*$M544)))</f>
        <v>0</v>
      </c>
      <c r="T544" s="4">
        <f>IF(T$5&lt;$K544,0,MIN($L544-SUM($N544:S544),ABS($L544*$M544)))</f>
        <v>0</v>
      </c>
      <c r="U544" s="4">
        <f>IF(U$5&lt;$K544,0,MIN($L544-SUM($N544:T544),ABS($L544*$M544)))</f>
        <v>0</v>
      </c>
      <c r="V544" s="4">
        <f>IF(V$5&lt;$K544,0,MIN($L544-SUM($N544:U544),ABS($L544*$M544)))</f>
        <v>0</v>
      </c>
      <c r="W544" s="4">
        <f>IF(W$5&lt;$K544,0,MIN($L544-SUM($N544:V544),ABS($L544*$M544)))</f>
        <v>0</v>
      </c>
      <c r="X544" s="4">
        <f>IF(X$5&lt;$K544,0,MIN($L544-SUM($N544:W544),ABS($L544*$M544)))</f>
        <v>0</v>
      </c>
      <c r="Y544" s="604"/>
      <c r="Z544" s="3" t="str">
        <f>VLOOKUP($D544,TableInputsData[],ReadMe!$M$3,FALSE)&amp;"  |  "&amp;VLOOKUP($E544,TableInputsData[],ReadMe!$M$3,FALSE)&amp;"  |  "&amp;VLOOKUP($H544,TableInputsData[],ReadMe!$M$3,FALSE)</f>
        <v>ACTIFS MATERIEL IMMOBILISES  |  AMORTISSEMENTS  |  MATERIEL DE PRODUCTION</v>
      </c>
      <c r="AA544" s="3"/>
      <c r="AB544" s="34">
        <f t="shared" ref="AB544:AB553" si="226">IF(L544+SUM(O544:X544)=0,0,1)</f>
        <v>0</v>
      </c>
      <c r="AC544" s="34"/>
      <c r="AD544" s="34"/>
      <c r="AE544" s="26"/>
      <c r="AF544" s="34">
        <v>1</v>
      </c>
      <c r="AG544" s="34"/>
      <c r="AH544" s="535"/>
      <c r="AI544" s="294"/>
    </row>
    <row r="545" spans="1:35" x14ac:dyDescent="0.2">
      <c r="A545" s="294"/>
      <c r="B545" s="922"/>
      <c r="C545" s="66">
        <v>3</v>
      </c>
      <c r="D545" s="3" t="s">
        <v>762</v>
      </c>
      <c r="E545" s="3" t="s">
        <v>756</v>
      </c>
      <c r="F545" s="3" t="s">
        <v>21</v>
      </c>
      <c r="G545" s="3" t="s">
        <v>815</v>
      </c>
      <c r="H545" s="5" t="s">
        <v>771</v>
      </c>
      <c r="I545" s="5" t="str">
        <f t="shared" si="224"/>
        <v/>
      </c>
      <c r="J545" s="26"/>
      <c r="K545" s="26">
        <f t="shared" si="225"/>
        <v>2021</v>
      </c>
      <c r="L545" s="96">
        <f t="shared" si="225"/>
        <v>0</v>
      </c>
      <c r="M545" s="111">
        <f t="shared" si="225"/>
        <v>0.1</v>
      </c>
      <c r="N545" s="4">
        <f t="shared" si="225"/>
        <v>0</v>
      </c>
      <c r="O545" s="504">
        <f>IF(O$5&lt;$K545,0,MIN($L545-SUM($N545:N545),$L545*$M545))</f>
        <v>0</v>
      </c>
      <c r="P545" s="504">
        <f>IF(P$5&lt;$K545,0,MIN($L545-SUM($N545:O545),$L545*$M545))</f>
        <v>0</v>
      </c>
      <c r="Q545" s="60"/>
      <c r="R545" s="60"/>
      <c r="S545" s="4">
        <f>IF(S$5&lt;$K545,0,MIN($L545-SUM($N545:R545),ABS($L545*$M545)))</f>
        <v>0</v>
      </c>
      <c r="T545" s="4">
        <f>IF(T$5&lt;$K545,0,MIN($L545-SUM($N545:S545),ABS($L545*$M545)))</f>
        <v>0</v>
      </c>
      <c r="U545" s="4">
        <f>IF(U$5&lt;$K545,0,MIN($L545-SUM($N545:T545),ABS($L545*$M545)))</f>
        <v>0</v>
      </c>
      <c r="V545" s="4">
        <f>IF(V$5&lt;$K545,0,MIN($L545-SUM($N545:U545),ABS($L545*$M545)))</f>
        <v>0</v>
      </c>
      <c r="W545" s="4">
        <f>IF(W$5&lt;$K545,0,MIN($L545-SUM($N545:V545),ABS($L545*$M545)))</f>
        <v>0</v>
      </c>
      <c r="X545" s="4">
        <f>IF(X$5&lt;$K545,0,MIN($L545-SUM($N545:W545),ABS($L545*$M545)))</f>
        <v>0</v>
      </c>
      <c r="Y545" s="604"/>
      <c r="Z545" s="3" t="str">
        <f>VLOOKUP($D545,TableInputsData[],ReadMe!$M$3,FALSE)&amp;"  |  "&amp;VLOOKUP($E545,TableInputsData[],ReadMe!$M$3,FALSE)&amp;"  |  "&amp;VLOOKUP($H545,TableInputsData[],ReadMe!$M$3,FALSE)</f>
        <v>ACTIFS MATERIEL IMMOBILISES  |  AMORTISSEMENTS  |  MATERIEL DE PRODUCTION</v>
      </c>
      <c r="AA545" s="3"/>
      <c r="AB545" s="34">
        <f t="shared" si="226"/>
        <v>0</v>
      </c>
      <c r="AC545" s="34"/>
      <c r="AD545" s="34"/>
      <c r="AE545" s="26"/>
      <c r="AF545" s="34">
        <v>1</v>
      </c>
      <c r="AG545" s="34"/>
      <c r="AH545" s="535"/>
      <c r="AI545" s="294"/>
    </row>
    <row r="546" spans="1:35" x14ac:dyDescent="0.2">
      <c r="A546" s="294"/>
      <c r="B546" s="922"/>
      <c r="C546" s="66">
        <v>3</v>
      </c>
      <c r="D546" s="3" t="s">
        <v>762</v>
      </c>
      <c r="E546" s="3" t="s">
        <v>756</v>
      </c>
      <c r="F546" s="3" t="s">
        <v>21</v>
      </c>
      <c r="G546" s="3" t="s">
        <v>816</v>
      </c>
      <c r="H546" s="5" t="s">
        <v>771</v>
      </c>
      <c r="I546" s="5" t="str">
        <f t="shared" si="224"/>
        <v/>
      </c>
      <c r="J546" s="26"/>
      <c r="K546" s="26">
        <f t="shared" si="225"/>
        <v>2022</v>
      </c>
      <c r="L546" s="96">
        <f t="shared" si="225"/>
        <v>0</v>
      </c>
      <c r="M546" s="111">
        <f t="shared" si="225"/>
        <v>0.1</v>
      </c>
      <c r="N546" s="4">
        <f t="shared" si="225"/>
        <v>0</v>
      </c>
      <c r="O546" s="504">
        <f>IF(O$5&lt;$K546,0,MIN($L546-SUM($N546:N546),$L546*$M546))</f>
        <v>0</v>
      </c>
      <c r="P546" s="504">
        <f>IF(P$5&lt;$K546,0,MIN($L546-SUM($N546:O546),$L546*$M546))</f>
        <v>0</v>
      </c>
      <c r="Q546" s="60"/>
      <c r="R546" s="60"/>
      <c r="S546" s="4">
        <f>IF(S$5&lt;$K546,0,MIN($L546-SUM($N546:R546),ABS($L546*$M546)))</f>
        <v>0</v>
      </c>
      <c r="T546" s="4">
        <f>IF(T$5&lt;$K546,0,MIN($L546-SUM($N546:S546),ABS($L546*$M546)))</f>
        <v>0</v>
      </c>
      <c r="U546" s="4">
        <f>IF(U$5&lt;$K546,0,MIN($L546-SUM($N546:T546),ABS($L546*$M546)))</f>
        <v>0</v>
      </c>
      <c r="V546" s="4">
        <f>IF(V$5&lt;$K546,0,MIN($L546-SUM($N546:U546),ABS($L546*$M546)))</f>
        <v>0</v>
      </c>
      <c r="W546" s="4">
        <f>IF(W$5&lt;$K546,0,MIN($L546-SUM($N546:V546),ABS($L546*$M546)))</f>
        <v>0</v>
      </c>
      <c r="X546" s="4">
        <f>IF(X$5&lt;$K546,0,MIN($L546-SUM($N546:W546),ABS($L546*$M546)))</f>
        <v>0</v>
      </c>
      <c r="Y546" s="604"/>
      <c r="Z546" s="3" t="str">
        <f>VLOOKUP($D546,TableInputsData[],ReadMe!$M$3,FALSE)&amp;"  |  "&amp;VLOOKUP($E546,TableInputsData[],ReadMe!$M$3,FALSE)&amp;"  |  "&amp;VLOOKUP($H546,TableInputsData[],ReadMe!$M$3,FALSE)</f>
        <v>ACTIFS MATERIEL IMMOBILISES  |  AMORTISSEMENTS  |  MATERIEL DE PRODUCTION</v>
      </c>
      <c r="AA546" s="3"/>
      <c r="AB546" s="34">
        <f t="shared" si="226"/>
        <v>0</v>
      </c>
      <c r="AC546" s="34"/>
      <c r="AD546" s="34"/>
      <c r="AE546" s="26"/>
      <c r="AF546" s="34">
        <v>1</v>
      </c>
      <c r="AG546" s="34"/>
      <c r="AH546" s="535"/>
      <c r="AI546" s="294"/>
    </row>
    <row r="547" spans="1:35" x14ac:dyDescent="0.2">
      <c r="A547" s="294"/>
      <c r="B547" s="922"/>
      <c r="C547" s="66">
        <v>3</v>
      </c>
      <c r="D547" s="3" t="s">
        <v>762</v>
      </c>
      <c r="E547" s="3" t="s">
        <v>756</v>
      </c>
      <c r="F547" s="3" t="s">
        <v>21</v>
      </c>
      <c r="G547" s="3" t="s">
        <v>817</v>
      </c>
      <c r="H547" s="5" t="s">
        <v>771</v>
      </c>
      <c r="I547" s="5" t="str">
        <f t="shared" si="224"/>
        <v/>
      </c>
      <c r="J547" s="26"/>
      <c r="K547" s="26">
        <f t="shared" si="225"/>
        <v>2023</v>
      </c>
      <c r="L547" s="96">
        <f t="shared" si="225"/>
        <v>0</v>
      </c>
      <c r="M547" s="111">
        <f t="shared" si="225"/>
        <v>0.1</v>
      </c>
      <c r="N547" s="4">
        <f t="shared" si="225"/>
        <v>0</v>
      </c>
      <c r="O547" s="504">
        <f>IF(O$5&lt;$K547,0,MIN($L547-SUM($N547:N547),$L547*$M547))</f>
        <v>0</v>
      </c>
      <c r="P547" s="504">
        <f>IF(P$5&lt;$K547,0,MIN($L547-SUM($N547:O547),$L547*$M547))</f>
        <v>0</v>
      </c>
      <c r="Q547" s="60"/>
      <c r="R547" s="60"/>
      <c r="S547" s="4">
        <f>IF(S$5&lt;$K547,0,MIN($L547-SUM($N547:R547),ABS($L547*$M547)))</f>
        <v>0</v>
      </c>
      <c r="T547" s="4">
        <f>IF(T$5&lt;$K547,0,MIN($L547-SUM($N547:S547),ABS($L547*$M547)))</f>
        <v>0</v>
      </c>
      <c r="U547" s="4">
        <f>IF(U$5&lt;$K547,0,MIN($L547-SUM($N547:T547),ABS($L547*$M547)))</f>
        <v>0</v>
      </c>
      <c r="V547" s="4">
        <f>IF(V$5&lt;$K547,0,MIN($L547-SUM($N547:U547),ABS($L547*$M547)))</f>
        <v>0</v>
      </c>
      <c r="W547" s="4">
        <f>IF(W$5&lt;$K547,0,MIN($L547-SUM($N547:V547),ABS($L547*$M547)))</f>
        <v>0</v>
      </c>
      <c r="X547" s="4">
        <f>IF(X$5&lt;$K547,0,MIN($L547-SUM($N547:W547),ABS($L547*$M547)))</f>
        <v>0</v>
      </c>
      <c r="Y547" s="604"/>
      <c r="Z547" s="3" t="str">
        <f>VLOOKUP($D547,TableInputsData[],ReadMe!$M$3,FALSE)&amp;"  |  "&amp;VLOOKUP($E547,TableInputsData[],ReadMe!$M$3,FALSE)&amp;"  |  "&amp;VLOOKUP($H547,TableInputsData[],ReadMe!$M$3,FALSE)</f>
        <v>ACTIFS MATERIEL IMMOBILISES  |  AMORTISSEMENTS  |  MATERIEL DE PRODUCTION</v>
      </c>
      <c r="AA547" s="3"/>
      <c r="AB547" s="34">
        <f t="shared" si="226"/>
        <v>0</v>
      </c>
      <c r="AC547" s="34"/>
      <c r="AD547" s="34"/>
      <c r="AE547" s="26"/>
      <c r="AF547" s="34">
        <v>1</v>
      </c>
      <c r="AG547" s="34"/>
      <c r="AH547" s="535"/>
      <c r="AI547" s="294"/>
    </row>
    <row r="548" spans="1:35" x14ac:dyDescent="0.2">
      <c r="A548" s="294"/>
      <c r="B548" s="922"/>
      <c r="C548" s="66">
        <v>3</v>
      </c>
      <c r="D548" s="3" t="s">
        <v>762</v>
      </c>
      <c r="E548" s="3" t="s">
        <v>756</v>
      </c>
      <c r="F548" s="3" t="s">
        <v>21</v>
      </c>
      <c r="G548" s="3" t="s">
        <v>818</v>
      </c>
      <c r="H548" s="5" t="s">
        <v>771</v>
      </c>
      <c r="I548" s="5" t="str">
        <f t="shared" si="224"/>
        <v/>
      </c>
      <c r="J548" s="26"/>
      <c r="K548" s="26">
        <f t="shared" si="225"/>
        <v>2024</v>
      </c>
      <c r="L548" s="96">
        <f t="shared" si="225"/>
        <v>0</v>
      </c>
      <c r="M548" s="111">
        <f t="shared" si="225"/>
        <v>0.1</v>
      </c>
      <c r="N548" s="4">
        <f t="shared" si="225"/>
        <v>0</v>
      </c>
      <c r="O548" s="504">
        <f>IF(O$5&lt;$K548,0,MIN($L548-SUM($N548:N548),$L548*$M548))</f>
        <v>0</v>
      </c>
      <c r="P548" s="504">
        <f>IF(P$5&lt;$K548,0,MIN($L548-SUM($N548:O548),$L548*$M548))</f>
        <v>0</v>
      </c>
      <c r="Q548" s="60"/>
      <c r="R548" s="60"/>
      <c r="S548" s="4">
        <f>IF(S$5&lt;$K548,0,MIN($L548-SUM($N548:R548),ABS($L548*$M548)))</f>
        <v>0</v>
      </c>
      <c r="T548" s="4">
        <f>IF(T$5&lt;$K548,0,MIN($L548-SUM($N548:S548),ABS($L548*$M548)))</f>
        <v>0</v>
      </c>
      <c r="U548" s="4">
        <f>IF(U$5&lt;$K548,0,MIN($L548-SUM($N548:T548),ABS($L548*$M548)))</f>
        <v>0</v>
      </c>
      <c r="V548" s="4">
        <f>IF(V$5&lt;$K548,0,MIN($L548-SUM($N548:U548),ABS($L548*$M548)))</f>
        <v>0</v>
      </c>
      <c r="W548" s="4">
        <f>IF(W$5&lt;$K548,0,MIN($L548-SUM($N548:V548),ABS($L548*$M548)))</f>
        <v>0</v>
      </c>
      <c r="X548" s="4">
        <f>IF(X$5&lt;$K548,0,MIN($L548-SUM($N548:W548),ABS($L548*$M548)))</f>
        <v>0</v>
      </c>
      <c r="Y548" s="604"/>
      <c r="Z548" s="3" t="str">
        <f>VLOOKUP($D548,TableInputsData[],ReadMe!$M$3,FALSE)&amp;"  |  "&amp;VLOOKUP($E548,TableInputsData[],ReadMe!$M$3,FALSE)&amp;"  |  "&amp;VLOOKUP($H548,TableInputsData[],ReadMe!$M$3,FALSE)</f>
        <v>ACTIFS MATERIEL IMMOBILISES  |  AMORTISSEMENTS  |  MATERIEL DE PRODUCTION</v>
      </c>
      <c r="AA548" s="3"/>
      <c r="AB548" s="34">
        <f t="shared" si="226"/>
        <v>0</v>
      </c>
      <c r="AC548" s="34"/>
      <c r="AD548" s="34"/>
      <c r="AE548" s="26"/>
      <c r="AF548" s="34">
        <v>1</v>
      </c>
      <c r="AG548" s="34"/>
      <c r="AH548" s="535"/>
      <c r="AI548" s="294"/>
    </row>
    <row r="549" spans="1:35" x14ac:dyDescent="0.2">
      <c r="A549" s="294"/>
      <c r="B549" s="922"/>
      <c r="C549" s="66">
        <v>3</v>
      </c>
      <c r="D549" s="3" t="s">
        <v>762</v>
      </c>
      <c r="E549" s="3" t="s">
        <v>756</v>
      </c>
      <c r="F549" s="3" t="s">
        <v>21</v>
      </c>
      <c r="G549" s="3" t="s">
        <v>819</v>
      </c>
      <c r="H549" s="5" t="s">
        <v>771</v>
      </c>
      <c r="I549" s="5" t="str">
        <f t="shared" si="224"/>
        <v/>
      </c>
      <c r="J549" s="26"/>
      <c r="K549" s="26">
        <f t="shared" si="225"/>
        <v>2025</v>
      </c>
      <c r="L549" s="96">
        <f t="shared" si="225"/>
        <v>0</v>
      </c>
      <c r="M549" s="111">
        <f t="shared" si="225"/>
        <v>0.1</v>
      </c>
      <c r="N549" s="4">
        <f t="shared" si="225"/>
        <v>0</v>
      </c>
      <c r="O549" s="504">
        <f>IF(O$5&lt;$K549,0,MIN($L549-SUM($N549:N549),$L549*$M549))</f>
        <v>0</v>
      </c>
      <c r="P549" s="504">
        <f>IF(P$5&lt;$K549,0,MIN($L549-SUM($N549:O549),$L549*$M549))</f>
        <v>0</v>
      </c>
      <c r="Q549" s="60"/>
      <c r="R549" s="60"/>
      <c r="S549" s="4">
        <f>IF(S$5&lt;$K549,0,MIN($L549-SUM($N549:R549),ABS($L549*$M549)))</f>
        <v>0</v>
      </c>
      <c r="T549" s="4">
        <f>IF(T$5&lt;$K549,0,MIN($L549-SUM($N549:S549),ABS($L549*$M549)))</f>
        <v>0</v>
      </c>
      <c r="U549" s="4">
        <f>IF(U$5&lt;$K549,0,MIN($L549-SUM($N549:T549),ABS($L549*$M549)))</f>
        <v>0</v>
      </c>
      <c r="V549" s="4">
        <f>IF(V$5&lt;$K549,0,MIN($L549-SUM($N549:U549),ABS($L549*$M549)))</f>
        <v>0</v>
      </c>
      <c r="W549" s="4">
        <f>IF(W$5&lt;$K549,0,MIN($L549-SUM($N549:V549),ABS($L549*$M549)))</f>
        <v>0</v>
      </c>
      <c r="X549" s="4">
        <f>IF(X$5&lt;$K549,0,MIN($L549-SUM($N549:W549),ABS($L549*$M549)))</f>
        <v>0</v>
      </c>
      <c r="Y549" s="604"/>
      <c r="Z549" s="3" t="str">
        <f>VLOOKUP($D549,TableInputsData[],ReadMe!$M$3,FALSE)&amp;"  |  "&amp;VLOOKUP($E549,TableInputsData[],ReadMe!$M$3,FALSE)&amp;"  |  "&amp;VLOOKUP($H549,TableInputsData[],ReadMe!$M$3,FALSE)</f>
        <v>ACTIFS MATERIEL IMMOBILISES  |  AMORTISSEMENTS  |  MATERIEL DE PRODUCTION</v>
      </c>
      <c r="AA549" s="3"/>
      <c r="AB549" s="34">
        <f t="shared" si="226"/>
        <v>0</v>
      </c>
      <c r="AC549" s="34"/>
      <c r="AD549" s="34"/>
      <c r="AE549" s="26"/>
      <c r="AF549" s="34">
        <v>1</v>
      </c>
      <c r="AG549" s="34"/>
      <c r="AH549" s="535"/>
      <c r="AI549" s="294"/>
    </row>
    <row r="550" spans="1:35" x14ac:dyDescent="0.2">
      <c r="A550" s="294"/>
      <c r="B550" s="922"/>
      <c r="C550" s="66">
        <v>3</v>
      </c>
      <c r="D550" s="3" t="s">
        <v>762</v>
      </c>
      <c r="E550" s="3" t="s">
        <v>756</v>
      </c>
      <c r="F550" s="3" t="s">
        <v>21</v>
      </c>
      <c r="G550" s="3" t="s">
        <v>820</v>
      </c>
      <c r="H550" s="5" t="s">
        <v>771</v>
      </c>
      <c r="I550" s="5" t="str">
        <f t="shared" si="224"/>
        <v/>
      </c>
      <c r="J550" s="26"/>
      <c r="K550" s="26">
        <f t="shared" si="225"/>
        <v>2026</v>
      </c>
      <c r="L550" s="96">
        <f t="shared" si="225"/>
        <v>0</v>
      </c>
      <c r="M550" s="111">
        <f t="shared" si="225"/>
        <v>0.1</v>
      </c>
      <c r="N550" s="4">
        <f t="shared" si="225"/>
        <v>0</v>
      </c>
      <c r="O550" s="504">
        <f>IF(O$5&lt;$K550,0,MIN($L550-SUM($N550:N550),$L550*$M550))</f>
        <v>0</v>
      </c>
      <c r="P550" s="504">
        <f>IF(P$5&lt;$K550,0,MIN($L550-SUM($N550:O550),$L550*$M550))</f>
        <v>0</v>
      </c>
      <c r="Q550" s="60"/>
      <c r="R550" s="60"/>
      <c r="S550" s="4">
        <f>IF(S$5&lt;$K550,0,MIN($L550-SUM($N550:R550),ABS($L550*$M550)))</f>
        <v>0</v>
      </c>
      <c r="T550" s="4">
        <f>IF(T$5&lt;$K550,0,MIN($L550-SUM($N550:S550),ABS($L550*$M550)))</f>
        <v>0</v>
      </c>
      <c r="U550" s="4">
        <f>IF(U$5&lt;$K550,0,MIN($L550-SUM($N550:T550),ABS($L550*$M550)))</f>
        <v>0</v>
      </c>
      <c r="V550" s="4">
        <f>IF(V$5&lt;$K550,0,MIN($L550-SUM($N550:U550),ABS($L550*$M550)))</f>
        <v>0</v>
      </c>
      <c r="W550" s="4">
        <f>IF(W$5&lt;$K550,0,MIN($L550-SUM($N550:V550),ABS($L550*$M550)))</f>
        <v>0</v>
      </c>
      <c r="X550" s="4">
        <f>IF(X$5&lt;$K550,0,MIN($L550-SUM($N550:W550),ABS($L550*$M550)))</f>
        <v>0</v>
      </c>
      <c r="Y550" s="604"/>
      <c r="Z550" s="3" t="str">
        <f>VLOOKUP($D550,TableInputsData[],ReadMe!$M$3,FALSE)&amp;"  |  "&amp;VLOOKUP($E550,TableInputsData[],ReadMe!$M$3,FALSE)&amp;"  |  "&amp;VLOOKUP($H550,TableInputsData[],ReadMe!$M$3,FALSE)</f>
        <v>ACTIFS MATERIEL IMMOBILISES  |  AMORTISSEMENTS  |  MATERIEL DE PRODUCTION</v>
      </c>
      <c r="AA550" s="3"/>
      <c r="AB550" s="34">
        <f t="shared" si="226"/>
        <v>0</v>
      </c>
      <c r="AC550" s="34"/>
      <c r="AD550" s="34"/>
      <c r="AE550" s="26"/>
      <c r="AF550" s="34">
        <v>1</v>
      </c>
      <c r="AG550" s="34"/>
      <c r="AH550" s="535"/>
      <c r="AI550" s="294"/>
    </row>
    <row r="551" spans="1:35" x14ac:dyDescent="0.2">
      <c r="A551" s="294"/>
      <c r="B551" s="922"/>
      <c r="C551" s="66">
        <v>3</v>
      </c>
      <c r="D551" s="3" t="s">
        <v>762</v>
      </c>
      <c r="E551" s="3" t="s">
        <v>756</v>
      </c>
      <c r="F551" s="3" t="s">
        <v>21</v>
      </c>
      <c r="G551" s="3" t="s">
        <v>821</v>
      </c>
      <c r="H551" s="5" t="s">
        <v>771</v>
      </c>
      <c r="I551" s="5" t="str">
        <f t="shared" si="224"/>
        <v/>
      </c>
      <c r="J551" s="26"/>
      <c r="K551" s="26">
        <f t="shared" si="225"/>
        <v>0</v>
      </c>
      <c r="L551" s="96">
        <f t="shared" si="225"/>
        <v>0</v>
      </c>
      <c r="M551" s="111">
        <f t="shared" si="225"/>
        <v>0</v>
      </c>
      <c r="N551" s="4">
        <f t="shared" si="225"/>
        <v>0</v>
      </c>
      <c r="O551" s="504">
        <f>IF(O$5&lt;$K551,0,MIN($L551-SUM($N551:N551),$L551*$M551))</f>
        <v>0</v>
      </c>
      <c r="P551" s="504">
        <f>IF(P$5&lt;$K551,0,MIN($L551-SUM($N551:O551),$L551*$M551))</f>
        <v>0</v>
      </c>
      <c r="Q551" s="60"/>
      <c r="R551" s="60"/>
      <c r="S551" s="4">
        <f>IF(S$5&lt;$K551,0,MIN($L551-SUM($N551:R551),ABS($L551*$M551)))</f>
        <v>0</v>
      </c>
      <c r="T551" s="4">
        <f>IF(T$5&lt;$K551,0,MIN($L551-SUM($N551:S551),ABS($L551*$M551)))</f>
        <v>0</v>
      </c>
      <c r="U551" s="4">
        <f>IF(U$5&lt;$K551,0,MIN($L551-SUM($N551:T551),ABS($L551*$M551)))</f>
        <v>0</v>
      </c>
      <c r="V551" s="4">
        <f>IF(V$5&lt;$K551,0,MIN($L551-SUM($N551:U551),ABS($L551*$M551)))</f>
        <v>0</v>
      </c>
      <c r="W551" s="4">
        <f>IF(W$5&lt;$K551,0,MIN($L551-SUM($N551:V551),ABS($L551*$M551)))</f>
        <v>0</v>
      </c>
      <c r="X551" s="4">
        <f>IF(X$5&lt;$K551,0,MIN($L551-SUM($N551:W551),ABS($L551*$M551)))</f>
        <v>0</v>
      </c>
      <c r="Y551" s="604"/>
      <c r="Z551" s="3" t="str">
        <f>VLOOKUP($D551,TableInputsData[],ReadMe!$M$3,FALSE)&amp;"  |  "&amp;VLOOKUP($E551,TableInputsData[],ReadMe!$M$3,FALSE)&amp;"  |  "&amp;VLOOKUP($H551,TableInputsData[],ReadMe!$M$3,FALSE)</f>
        <v>ACTIFS MATERIEL IMMOBILISES  |  AMORTISSEMENTS  |  MATERIEL DE PRODUCTION</v>
      </c>
      <c r="AA551" s="3"/>
      <c r="AB551" s="34">
        <f t="shared" si="226"/>
        <v>0</v>
      </c>
      <c r="AC551" s="34"/>
      <c r="AD551" s="34"/>
      <c r="AE551" s="26"/>
      <c r="AF551" s="34">
        <v>1</v>
      </c>
      <c r="AG551" s="34"/>
      <c r="AH551" s="535"/>
      <c r="AI551" s="294"/>
    </row>
    <row r="552" spans="1:35" x14ac:dyDescent="0.2">
      <c r="A552" s="294"/>
      <c r="B552" s="922"/>
      <c r="C552" s="66">
        <v>3</v>
      </c>
      <c r="D552" s="3" t="s">
        <v>762</v>
      </c>
      <c r="E552" s="3" t="s">
        <v>756</v>
      </c>
      <c r="F552" s="3" t="s">
        <v>21</v>
      </c>
      <c r="G552" s="3" t="s">
        <v>822</v>
      </c>
      <c r="H552" s="5" t="s">
        <v>771</v>
      </c>
      <c r="I552" s="5" t="str">
        <f t="shared" si="224"/>
        <v/>
      </c>
      <c r="J552" s="26"/>
      <c r="K552" s="26">
        <f t="shared" si="225"/>
        <v>0</v>
      </c>
      <c r="L552" s="96">
        <f t="shared" si="225"/>
        <v>0</v>
      </c>
      <c r="M552" s="111">
        <f t="shared" si="225"/>
        <v>0</v>
      </c>
      <c r="N552" s="4">
        <f t="shared" si="225"/>
        <v>0</v>
      </c>
      <c r="O552" s="504">
        <f>IF(O$5&lt;$K552,0,MIN($L552-SUM($N552:N552),$L552*$M552))</f>
        <v>0</v>
      </c>
      <c r="P552" s="504">
        <f>IF(P$5&lt;$K552,0,MIN($L552-SUM($N552:O552),$L552*$M552))</f>
        <v>0</v>
      </c>
      <c r="Q552" s="60"/>
      <c r="R552" s="60"/>
      <c r="S552" s="4">
        <f>IF(S$5&lt;$K552,0,MIN($L552-SUM($N552:R552),ABS($L552*$M552)))</f>
        <v>0</v>
      </c>
      <c r="T552" s="4">
        <f>IF(T$5&lt;$K552,0,MIN($L552-SUM($N552:S552),ABS($L552*$M552)))</f>
        <v>0</v>
      </c>
      <c r="U552" s="4">
        <f>IF(U$5&lt;$K552,0,MIN($L552-SUM($N552:T552),ABS($L552*$M552)))</f>
        <v>0</v>
      </c>
      <c r="V552" s="4">
        <f>IF(V$5&lt;$K552,0,MIN($L552-SUM($N552:U552),ABS($L552*$M552)))</f>
        <v>0</v>
      </c>
      <c r="W552" s="4">
        <f>IF(W$5&lt;$K552,0,MIN($L552-SUM($N552:V552),ABS($L552*$M552)))</f>
        <v>0</v>
      </c>
      <c r="X552" s="4">
        <f>IF(X$5&lt;$K552,0,MIN($L552-SUM($N552:W552),ABS($L552*$M552)))</f>
        <v>0</v>
      </c>
      <c r="Y552" s="604"/>
      <c r="Z552" s="3" t="str">
        <f>VLOOKUP($D552,TableInputsData[],ReadMe!$M$3,FALSE)&amp;"  |  "&amp;VLOOKUP($E552,TableInputsData[],ReadMe!$M$3,FALSE)&amp;"  |  "&amp;VLOOKUP($H552,TableInputsData[],ReadMe!$M$3,FALSE)</f>
        <v>ACTIFS MATERIEL IMMOBILISES  |  AMORTISSEMENTS  |  MATERIEL DE PRODUCTION</v>
      </c>
      <c r="AA552" s="3"/>
      <c r="AB552" s="34">
        <f t="shared" si="226"/>
        <v>0</v>
      </c>
      <c r="AC552" s="34"/>
      <c r="AD552" s="34"/>
      <c r="AE552" s="26"/>
      <c r="AF552" s="34">
        <v>1</v>
      </c>
      <c r="AG552" s="34"/>
      <c r="AH552" s="535"/>
      <c r="AI552" s="294"/>
    </row>
    <row r="553" spans="1:35" x14ac:dyDescent="0.2">
      <c r="A553" s="294"/>
      <c r="B553" s="922"/>
      <c r="C553" s="66">
        <v>3</v>
      </c>
      <c r="D553" s="3" t="s">
        <v>762</v>
      </c>
      <c r="E553" s="3" t="s">
        <v>756</v>
      </c>
      <c r="F553" s="3" t="s">
        <v>21</v>
      </c>
      <c r="G553" s="3" t="s">
        <v>823</v>
      </c>
      <c r="H553" s="5" t="s">
        <v>771</v>
      </c>
      <c r="I553" s="5" t="str">
        <f t="shared" si="224"/>
        <v/>
      </c>
      <c r="J553" s="26"/>
      <c r="K553" s="26">
        <f t="shared" si="225"/>
        <v>0</v>
      </c>
      <c r="L553" s="96">
        <f t="shared" si="225"/>
        <v>0</v>
      </c>
      <c r="M553" s="111">
        <f t="shared" si="225"/>
        <v>0</v>
      </c>
      <c r="N553" s="4">
        <f t="shared" si="225"/>
        <v>0</v>
      </c>
      <c r="O553" s="504">
        <f>IF(O$5&lt;$K553,0,MIN($L553-SUM($N553:N553),$L553*$M553))</f>
        <v>0</v>
      </c>
      <c r="P553" s="504">
        <f>IF(P$5&lt;$K553,0,MIN($L553-SUM($N553:O553),$L553*$M553))</f>
        <v>0</v>
      </c>
      <c r="Q553" s="60"/>
      <c r="R553" s="60"/>
      <c r="S553" s="4">
        <f>IF(S$5&lt;$K553,0,MIN($L553-SUM($N553:R553),ABS($L553*$M553)))</f>
        <v>0</v>
      </c>
      <c r="T553" s="4">
        <f>IF(T$5&lt;$K553,0,MIN($L553-SUM($N553:S553),ABS($L553*$M553)))</f>
        <v>0</v>
      </c>
      <c r="U553" s="4">
        <f>IF(U$5&lt;$K553,0,MIN($L553-SUM($N553:T553),ABS($L553*$M553)))</f>
        <v>0</v>
      </c>
      <c r="V553" s="4">
        <f>IF(V$5&lt;$K553,0,MIN($L553-SUM($N553:U553),ABS($L553*$M553)))</f>
        <v>0</v>
      </c>
      <c r="W553" s="4">
        <f>IF(W$5&lt;$K553,0,MIN($L553-SUM($N553:V553),ABS($L553*$M553)))</f>
        <v>0</v>
      </c>
      <c r="X553" s="4">
        <f>IF(X$5&lt;$K553,0,MIN($L553-SUM($N553:W553),ABS($L553*$M553)))</f>
        <v>0</v>
      </c>
      <c r="Y553" s="604"/>
      <c r="Z553" s="3" t="str">
        <f>VLOOKUP($D553,TableInputsData[],ReadMe!$M$3,FALSE)&amp;"  |  "&amp;VLOOKUP($E553,TableInputsData[],ReadMe!$M$3,FALSE)&amp;"  |  "&amp;VLOOKUP($H553,TableInputsData[],ReadMe!$M$3,FALSE)</f>
        <v>ACTIFS MATERIEL IMMOBILISES  |  AMORTISSEMENTS  |  MATERIEL DE PRODUCTION</v>
      </c>
      <c r="AA553" s="3"/>
      <c r="AB553" s="34">
        <f t="shared" si="226"/>
        <v>0</v>
      </c>
      <c r="AC553" s="34"/>
      <c r="AD553" s="34"/>
      <c r="AE553" s="26"/>
      <c r="AF553" s="34">
        <v>1</v>
      </c>
      <c r="AG553" s="34"/>
      <c r="AH553" s="535"/>
      <c r="AI553" s="294"/>
    </row>
    <row r="554" spans="1:35" x14ac:dyDescent="0.2">
      <c r="A554" s="294"/>
      <c r="B554" s="922"/>
      <c r="C554" s="67">
        <v>3</v>
      </c>
      <c r="D554" s="16" t="s">
        <v>762</v>
      </c>
      <c r="E554" s="16" t="s">
        <v>756</v>
      </c>
      <c r="F554" s="16" t="s">
        <v>21</v>
      </c>
      <c r="G554" s="16" t="s">
        <v>845</v>
      </c>
      <c r="H554" s="17" t="s">
        <v>1167</v>
      </c>
      <c r="I554" s="17"/>
      <c r="J554" s="27"/>
      <c r="K554" s="27"/>
      <c r="L554" s="18">
        <f>SUM(L544:L553)</f>
        <v>0</v>
      </c>
      <c r="M554" s="112"/>
      <c r="N554" s="18">
        <f>SUM(N544:N553)</f>
        <v>0</v>
      </c>
      <c r="O554" s="18">
        <f>SUM(O544:O553)</f>
        <v>0</v>
      </c>
      <c r="P554" s="18">
        <f>SUM(P544:P553)</f>
        <v>0</v>
      </c>
      <c r="Q554" s="18"/>
      <c r="R554" s="18"/>
      <c r="S554" s="18">
        <f t="shared" ref="S554:X554" si="227">SUM(S544:S553)</f>
        <v>0</v>
      </c>
      <c r="T554" s="18">
        <f t="shared" si="227"/>
        <v>0</v>
      </c>
      <c r="U554" s="18">
        <f t="shared" si="227"/>
        <v>0</v>
      </c>
      <c r="V554" s="18">
        <f t="shared" si="227"/>
        <v>0</v>
      </c>
      <c r="W554" s="18">
        <f t="shared" si="227"/>
        <v>0</v>
      </c>
      <c r="X554" s="18">
        <f t="shared" si="227"/>
        <v>0</v>
      </c>
      <c r="Y554" s="18"/>
      <c r="Z554" s="16" t="str">
        <f>VLOOKUP($D554,TableInputsData[],ReadMe!$M$3,FALSE)&amp;"  |  "&amp;VLOOKUP($E554,TableInputsData[],ReadMe!$M$3,FALSE)&amp;"  |  "&amp;VLOOKUP($H554,TableInputsData[],ReadMe!$M$3,FALSE)</f>
        <v>ACTIFS MATERIEL IMMOBILISES  |  AMORTISSEMENTS  |  TOTAL MATERIEL DE PRODUCTION</v>
      </c>
      <c r="AA554" s="16"/>
      <c r="AB554" s="27">
        <v>1</v>
      </c>
      <c r="AC554" s="27">
        <v>1</v>
      </c>
      <c r="AD554" s="27"/>
      <c r="AE554" s="27"/>
      <c r="AF554" s="27">
        <v>1</v>
      </c>
      <c r="AG554" s="27"/>
      <c r="AH554" s="533"/>
      <c r="AI554" s="294"/>
    </row>
    <row r="555" spans="1:35" x14ac:dyDescent="0.2">
      <c r="A555" s="294"/>
      <c r="B555" s="922"/>
      <c r="C555" s="66">
        <v>3</v>
      </c>
      <c r="D555" s="3"/>
      <c r="E555" s="3"/>
      <c r="F555" s="3"/>
      <c r="G555" s="3"/>
      <c r="H555" s="5"/>
      <c r="I555" s="5"/>
      <c r="J555" s="26"/>
      <c r="K555" s="26"/>
      <c r="L555" s="96"/>
      <c r="M555" s="118"/>
      <c r="N555" s="4"/>
      <c r="O555" s="4"/>
      <c r="P555" s="4"/>
      <c r="Q555" s="4"/>
      <c r="R555" s="4"/>
      <c r="S555" s="4"/>
      <c r="T555" s="4"/>
      <c r="U555" s="4"/>
      <c r="V555" s="4"/>
      <c r="W555" s="4"/>
      <c r="X555" s="4"/>
      <c r="Y555" s="4"/>
      <c r="Z555" s="3"/>
      <c r="AA555" s="3"/>
      <c r="AB555" s="34"/>
      <c r="AC555" s="34"/>
      <c r="AD555" s="34"/>
      <c r="AE555" s="26"/>
      <c r="AF555" s="34"/>
      <c r="AG555" s="34"/>
      <c r="AH555" s="535"/>
      <c r="AI555" s="294"/>
    </row>
    <row r="556" spans="1:35" x14ac:dyDescent="0.2">
      <c r="A556" s="294"/>
      <c r="B556" s="922"/>
      <c r="C556" s="66">
        <v>3</v>
      </c>
      <c r="D556" s="3" t="s">
        <v>762</v>
      </c>
      <c r="E556" s="3" t="s">
        <v>756</v>
      </c>
      <c r="F556" s="3" t="s">
        <v>21</v>
      </c>
      <c r="G556" s="3" t="s">
        <v>824</v>
      </c>
      <c r="H556" s="3" t="s">
        <v>773</v>
      </c>
      <c r="I556" s="5" t="str">
        <f t="shared" ref="I556:I575" si="228">IF(I462="","",I462)</f>
        <v/>
      </c>
      <c r="J556" s="26"/>
      <c r="K556" s="26">
        <f t="shared" ref="K556:N575" si="229">IF(K462="",0,K462)</f>
        <v>2020</v>
      </c>
      <c r="L556" s="96">
        <f t="shared" si="229"/>
        <v>0</v>
      </c>
      <c r="M556" s="111">
        <f t="shared" si="229"/>
        <v>0.1</v>
      </c>
      <c r="N556" s="4">
        <f t="shared" si="229"/>
        <v>0</v>
      </c>
      <c r="O556" s="504">
        <f>IF(O$5&lt;$K556,0,MIN($L556-SUM($N556:N556),$L556*$M556))</f>
        <v>0</v>
      </c>
      <c r="P556" s="504">
        <f>IF(P$5&lt;$K556,0,MIN($L556-SUM($N556:O556),$L556*$M556))</f>
        <v>0</v>
      </c>
      <c r="Q556" s="60"/>
      <c r="R556" s="60"/>
      <c r="S556" s="4">
        <f>IF(S$5&lt;$K556,0,MIN($L556-SUM($N556:R556),ABS($L556*$M556)))</f>
        <v>0</v>
      </c>
      <c r="T556" s="4">
        <f>IF(T$5&lt;$K556,0,MIN($L556-SUM($N556:S556),ABS($L556*$M556)))</f>
        <v>0</v>
      </c>
      <c r="U556" s="4">
        <f>IF(U$5&lt;$K556,0,MIN($L556-SUM($N556:T556),ABS($L556*$M556)))</f>
        <v>0</v>
      </c>
      <c r="V556" s="4">
        <f>IF(V$5&lt;$K556,0,MIN($L556-SUM($N556:U556),ABS($L556*$M556)))</f>
        <v>0</v>
      </c>
      <c r="W556" s="4">
        <f>IF(W$5&lt;$K556,0,MIN($L556-SUM($N556:V556),ABS($L556*$M556)))</f>
        <v>0</v>
      </c>
      <c r="X556" s="4">
        <f>IF(X$5&lt;$K556,0,MIN($L556-SUM($N556:W556),ABS($L556*$M556)))</f>
        <v>0</v>
      </c>
      <c r="Y556" s="604"/>
      <c r="Z556" s="3" t="str">
        <f>VLOOKUP($D556,TableInputsData[],ReadMe!$M$3,FALSE)&amp;"  |  "&amp;VLOOKUP($E556,TableInputsData[],ReadMe!$M$3,FALSE)&amp;"  |  "&amp;VLOOKUP($H556,TableInputsData[],ReadMe!$M$3,FALSE)</f>
        <v>ACTIFS MATERIEL IMMOBILISES  |  AMORTISSEMENTS  |  AUTRES ACTIFS</v>
      </c>
      <c r="AA556" s="3"/>
      <c r="AB556" s="34">
        <f t="shared" ref="AB556:AB575" si="230">IF(L556+SUM(O556:X556)=0,0,1)</f>
        <v>0</v>
      </c>
      <c r="AC556" s="34"/>
      <c r="AD556" s="34"/>
      <c r="AE556" s="26"/>
      <c r="AF556" s="34">
        <v>1</v>
      </c>
      <c r="AG556" s="34"/>
      <c r="AH556" s="535"/>
      <c r="AI556" s="294"/>
    </row>
    <row r="557" spans="1:35" x14ac:dyDescent="0.2">
      <c r="A557" s="294"/>
      <c r="B557" s="922"/>
      <c r="C557" s="66">
        <v>3</v>
      </c>
      <c r="D557" s="3" t="s">
        <v>762</v>
      </c>
      <c r="E557" s="3" t="s">
        <v>756</v>
      </c>
      <c r="F557" s="3" t="s">
        <v>21</v>
      </c>
      <c r="G557" s="3" t="s">
        <v>825</v>
      </c>
      <c r="H557" s="3" t="s">
        <v>773</v>
      </c>
      <c r="I557" s="5" t="str">
        <f t="shared" si="228"/>
        <v/>
      </c>
      <c r="J557" s="26"/>
      <c r="K557" s="26">
        <f t="shared" si="229"/>
        <v>2021</v>
      </c>
      <c r="L557" s="96">
        <f t="shared" si="229"/>
        <v>0</v>
      </c>
      <c r="M557" s="111">
        <f t="shared" si="229"/>
        <v>0.1</v>
      </c>
      <c r="N557" s="4">
        <f t="shared" si="229"/>
        <v>0</v>
      </c>
      <c r="O557" s="504">
        <f>IF(O$5&lt;$K557,0,MIN($L557-SUM($N557:N557),$L557*$M557))</f>
        <v>0</v>
      </c>
      <c r="P557" s="504">
        <f>IF(P$5&lt;$K557,0,MIN($L557-SUM($N557:O557),$L557*$M557))</f>
        <v>0</v>
      </c>
      <c r="Q557" s="60"/>
      <c r="R557" s="60"/>
      <c r="S557" s="4">
        <f>IF(S$5&lt;$K557,0,MIN($L557-SUM($N557:R557),ABS($L557*$M557)))</f>
        <v>0</v>
      </c>
      <c r="T557" s="4">
        <f>IF(T$5&lt;$K557,0,MIN($L557-SUM($N557:S557),ABS($L557*$M557)))</f>
        <v>0</v>
      </c>
      <c r="U557" s="4">
        <f>IF(U$5&lt;$K557,0,MIN($L557-SUM($N557:T557),ABS($L557*$M557)))</f>
        <v>0</v>
      </c>
      <c r="V557" s="4">
        <f>IF(V$5&lt;$K557,0,MIN($L557-SUM($N557:U557),ABS($L557*$M557)))</f>
        <v>0</v>
      </c>
      <c r="W557" s="4">
        <f>IF(W$5&lt;$K557,0,MIN($L557-SUM($N557:V557),ABS($L557*$M557)))</f>
        <v>0</v>
      </c>
      <c r="X557" s="4">
        <f>IF(X$5&lt;$K557,0,MIN($L557-SUM($N557:W557),ABS($L557*$M557)))</f>
        <v>0</v>
      </c>
      <c r="Y557" s="604"/>
      <c r="Z557" s="3" t="str">
        <f>VLOOKUP($D557,TableInputsData[],ReadMe!$M$3,FALSE)&amp;"  |  "&amp;VLOOKUP($E557,TableInputsData[],ReadMe!$M$3,FALSE)&amp;"  |  "&amp;VLOOKUP($H557,TableInputsData[],ReadMe!$M$3,FALSE)</f>
        <v>ACTIFS MATERIEL IMMOBILISES  |  AMORTISSEMENTS  |  AUTRES ACTIFS</v>
      </c>
      <c r="AA557" s="3"/>
      <c r="AB557" s="34">
        <f t="shared" si="230"/>
        <v>0</v>
      </c>
      <c r="AC557" s="34"/>
      <c r="AD557" s="34"/>
      <c r="AE557" s="26"/>
      <c r="AF557" s="34">
        <v>1</v>
      </c>
      <c r="AG557" s="34"/>
      <c r="AH557" s="535"/>
      <c r="AI557" s="294"/>
    </row>
    <row r="558" spans="1:35" x14ac:dyDescent="0.2">
      <c r="A558" s="294"/>
      <c r="B558" s="922"/>
      <c r="C558" s="66">
        <v>3</v>
      </c>
      <c r="D558" s="3" t="s">
        <v>762</v>
      </c>
      <c r="E558" s="3" t="s">
        <v>756</v>
      </c>
      <c r="F558" s="3" t="s">
        <v>21</v>
      </c>
      <c r="G558" s="3" t="s">
        <v>826</v>
      </c>
      <c r="H558" s="3" t="s">
        <v>773</v>
      </c>
      <c r="I558" s="5" t="str">
        <f t="shared" si="228"/>
        <v/>
      </c>
      <c r="J558" s="26"/>
      <c r="K558" s="26">
        <f t="shared" si="229"/>
        <v>2022</v>
      </c>
      <c r="L558" s="96">
        <f t="shared" si="229"/>
        <v>0</v>
      </c>
      <c r="M558" s="111">
        <f t="shared" si="229"/>
        <v>0.1</v>
      </c>
      <c r="N558" s="4">
        <f t="shared" si="229"/>
        <v>0</v>
      </c>
      <c r="O558" s="504">
        <f>IF(O$5&lt;$K558,0,MIN($L558-SUM($N558:N558),$L558*$M558))</f>
        <v>0</v>
      </c>
      <c r="P558" s="504">
        <f>IF(P$5&lt;$K558,0,MIN($L558-SUM($N558:O558),$L558*$M558))</f>
        <v>0</v>
      </c>
      <c r="Q558" s="60"/>
      <c r="R558" s="60"/>
      <c r="S558" s="4">
        <f>IF(S$5&lt;$K558,0,MIN($L558-SUM($N558:R558),ABS($L558*$M558)))</f>
        <v>0</v>
      </c>
      <c r="T558" s="4">
        <f>IF(T$5&lt;$K558,0,MIN($L558-SUM($N558:S558),ABS($L558*$M558)))</f>
        <v>0</v>
      </c>
      <c r="U558" s="4">
        <f>IF(U$5&lt;$K558,0,MIN($L558-SUM($N558:T558),ABS($L558*$M558)))</f>
        <v>0</v>
      </c>
      <c r="V558" s="4">
        <f>IF(V$5&lt;$K558,0,MIN($L558-SUM($N558:U558),ABS($L558*$M558)))</f>
        <v>0</v>
      </c>
      <c r="W558" s="4">
        <f>IF(W$5&lt;$K558,0,MIN($L558-SUM($N558:V558),ABS($L558*$M558)))</f>
        <v>0</v>
      </c>
      <c r="X558" s="4">
        <f>IF(X$5&lt;$K558,0,MIN($L558-SUM($N558:W558),ABS($L558*$M558)))</f>
        <v>0</v>
      </c>
      <c r="Y558" s="604"/>
      <c r="Z558" s="3" t="str">
        <f>VLOOKUP($D558,TableInputsData[],ReadMe!$M$3,FALSE)&amp;"  |  "&amp;VLOOKUP($E558,TableInputsData[],ReadMe!$M$3,FALSE)&amp;"  |  "&amp;VLOOKUP($H558,TableInputsData[],ReadMe!$M$3,FALSE)</f>
        <v>ACTIFS MATERIEL IMMOBILISES  |  AMORTISSEMENTS  |  AUTRES ACTIFS</v>
      </c>
      <c r="AA558" s="3"/>
      <c r="AB558" s="34">
        <f t="shared" si="230"/>
        <v>0</v>
      </c>
      <c r="AC558" s="34"/>
      <c r="AD558" s="34"/>
      <c r="AE558" s="26"/>
      <c r="AF558" s="34">
        <v>1</v>
      </c>
      <c r="AG558" s="34"/>
      <c r="AH558" s="535"/>
      <c r="AI558" s="294"/>
    </row>
    <row r="559" spans="1:35" x14ac:dyDescent="0.2">
      <c r="A559" s="294"/>
      <c r="B559" s="922"/>
      <c r="C559" s="66">
        <v>3</v>
      </c>
      <c r="D559" s="3" t="s">
        <v>762</v>
      </c>
      <c r="E559" s="3" t="s">
        <v>756</v>
      </c>
      <c r="F559" s="3" t="s">
        <v>21</v>
      </c>
      <c r="G559" s="3" t="s">
        <v>827</v>
      </c>
      <c r="H559" s="3" t="s">
        <v>773</v>
      </c>
      <c r="I559" s="5" t="str">
        <f t="shared" si="228"/>
        <v/>
      </c>
      <c r="J559" s="26"/>
      <c r="K559" s="26">
        <f t="shared" si="229"/>
        <v>2023</v>
      </c>
      <c r="L559" s="96">
        <f t="shared" si="229"/>
        <v>0</v>
      </c>
      <c r="M559" s="111">
        <f t="shared" si="229"/>
        <v>0.1</v>
      </c>
      <c r="N559" s="4">
        <f t="shared" si="229"/>
        <v>0</v>
      </c>
      <c r="O559" s="504">
        <f>IF(O$5&lt;$K559,0,MIN($L559-SUM($N559:N559),$L559*$M559))</f>
        <v>0</v>
      </c>
      <c r="P559" s="504">
        <f>IF(P$5&lt;$K559,0,MIN($L559-SUM($N559:O559),$L559*$M559))</f>
        <v>0</v>
      </c>
      <c r="Q559" s="60"/>
      <c r="R559" s="60"/>
      <c r="S559" s="4">
        <f>IF(S$5&lt;$K559,0,MIN($L559-SUM($N559:R559),ABS($L559*$M559)))</f>
        <v>0</v>
      </c>
      <c r="T559" s="4">
        <f>IF(T$5&lt;$K559,0,MIN($L559-SUM($N559:S559),ABS($L559*$M559)))</f>
        <v>0</v>
      </c>
      <c r="U559" s="4">
        <f>IF(U$5&lt;$K559,0,MIN($L559-SUM($N559:T559),ABS($L559*$M559)))</f>
        <v>0</v>
      </c>
      <c r="V559" s="4">
        <f>IF(V$5&lt;$K559,0,MIN($L559-SUM($N559:U559),ABS($L559*$M559)))</f>
        <v>0</v>
      </c>
      <c r="W559" s="4">
        <f>IF(W$5&lt;$K559,0,MIN($L559-SUM($N559:V559),ABS($L559*$M559)))</f>
        <v>0</v>
      </c>
      <c r="X559" s="4">
        <f>IF(X$5&lt;$K559,0,MIN($L559-SUM($N559:W559),ABS($L559*$M559)))</f>
        <v>0</v>
      </c>
      <c r="Y559" s="604"/>
      <c r="Z559" s="3" t="str">
        <f>VLOOKUP($D559,TableInputsData[],ReadMe!$M$3,FALSE)&amp;"  |  "&amp;VLOOKUP($E559,TableInputsData[],ReadMe!$M$3,FALSE)&amp;"  |  "&amp;VLOOKUP($H559,TableInputsData[],ReadMe!$M$3,FALSE)</f>
        <v>ACTIFS MATERIEL IMMOBILISES  |  AMORTISSEMENTS  |  AUTRES ACTIFS</v>
      </c>
      <c r="AA559" s="3"/>
      <c r="AB559" s="34">
        <f t="shared" si="230"/>
        <v>0</v>
      </c>
      <c r="AC559" s="34"/>
      <c r="AD559" s="34"/>
      <c r="AE559" s="26"/>
      <c r="AF559" s="34">
        <v>1</v>
      </c>
      <c r="AG559" s="34"/>
      <c r="AH559" s="535"/>
      <c r="AI559" s="294"/>
    </row>
    <row r="560" spans="1:35" x14ac:dyDescent="0.2">
      <c r="A560" s="294"/>
      <c r="B560" s="922"/>
      <c r="C560" s="66">
        <v>3</v>
      </c>
      <c r="D560" s="3" t="s">
        <v>762</v>
      </c>
      <c r="E560" s="3" t="s">
        <v>756</v>
      </c>
      <c r="F560" s="3" t="s">
        <v>21</v>
      </c>
      <c r="G560" s="3" t="s">
        <v>828</v>
      </c>
      <c r="H560" s="3" t="s">
        <v>773</v>
      </c>
      <c r="I560" s="5" t="str">
        <f t="shared" si="228"/>
        <v/>
      </c>
      <c r="J560" s="26"/>
      <c r="K560" s="26">
        <f t="shared" si="229"/>
        <v>2024</v>
      </c>
      <c r="L560" s="96">
        <f t="shared" si="229"/>
        <v>0</v>
      </c>
      <c r="M560" s="111">
        <f t="shared" si="229"/>
        <v>0.1</v>
      </c>
      <c r="N560" s="4">
        <f t="shared" si="229"/>
        <v>0</v>
      </c>
      <c r="O560" s="504">
        <f>IF(O$5&lt;$K560,0,MIN($L560-SUM($N560:N560),$L560*$M560))</f>
        <v>0</v>
      </c>
      <c r="P560" s="504">
        <f>IF(P$5&lt;$K560,0,MIN($L560-SUM($N560:O560),$L560*$M560))</f>
        <v>0</v>
      </c>
      <c r="Q560" s="60"/>
      <c r="R560" s="60"/>
      <c r="S560" s="4">
        <f>IF(S$5&lt;$K560,0,MIN($L560-SUM($N560:R560),ABS($L560*$M560)))</f>
        <v>0</v>
      </c>
      <c r="T560" s="4">
        <f>IF(T$5&lt;$K560,0,MIN($L560-SUM($N560:S560),ABS($L560*$M560)))</f>
        <v>0</v>
      </c>
      <c r="U560" s="4">
        <f>IF(U$5&lt;$K560,0,MIN($L560-SUM($N560:T560),ABS($L560*$M560)))</f>
        <v>0</v>
      </c>
      <c r="V560" s="4">
        <f>IF(V$5&lt;$K560,0,MIN($L560-SUM($N560:U560),ABS($L560*$M560)))</f>
        <v>0</v>
      </c>
      <c r="W560" s="4">
        <f>IF(W$5&lt;$K560,0,MIN($L560-SUM($N560:V560),ABS($L560*$M560)))</f>
        <v>0</v>
      </c>
      <c r="X560" s="4">
        <f>IF(X$5&lt;$K560,0,MIN($L560-SUM($N560:W560),ABS($L560*$M560)))</f>
        <v>0</v>
      </c>
      <c r="Y560" s="604"/>
      <c r="Z560" s="3" t="str">
        <f>VLOOKUP($D560,TableInputsData[],ReadMe!$M$3,FALSE)&amp;"  |  "&amp;VLOOKUP($E560,TableInputsData[],ReadMe!$M$3,FALSE)&amp;"  |  "&amp;VLOOKUP($H560,TableInputsData[],ReadMe!$M$3,FALSE)</f>
        <v>ACTIFS MATERIEL IMMOBILISES  |  AMORTISSEMENTS  |  AUTRES ACTIFS</v>
      </c>
      <c r="AA560" s="3"/>
      <c r="AB560" s="34">
        <f t="shared" si="230"/>
        <v>0</v>
      </c>
      <c r="AC560" s="34"/>
      <c r="AD560" s="34"/>
      <c r="AE560" s="26"/>
      <c r="AF560" s="34">
        <v>1</v>
      </c>
      <c r="AG560" s="34"/>
      <c r="AH560" s="535"/>
      <c r="AI560" s="294"/>
    </row>
    <row r="561" spans="1:35" x14ac:dyDescent="0.2">
      <c r="A561" s="294"/>
      <c r="B561" s="922"/>
      <c r="C561" s="66">
        <v>3</v>
      </c>
      <c r="D561" s="3" t="s">
        <v>762</v>
      </c>
      <c r="E561" s="3" t="s">
        <v>756</v>
      </c>
      <c r="F561" s="3" t="s">
        <v>21</v>
      </c>
      <c r="G561" s="3" t="s">
        <v>829</v>
      </c>
      <c r="H561" s="3" t="s">
        <v>773</v>
      </c>
      <c r="I561" s="5" t="str">
        <f t="shared" si="228"/>
        <v/>
      </c>
      <c r="J561" s="26"/>
      <c r="K561" s="26">
        <f t="shared" si="229"/>
        <v>2025</v>
      </c>
      <c r="L561" s="96">
        <f t="shared" si="229"/>
        <v>0</v>
      </c>
      <c r="M561" s="111">
        <f t="shared" si="229"/>
        <v>0.1</v>
      </c>
      <c r="N561" s="4">
        <f t="shared" si="229"/>
        <v>0</v>
      </c>
      <c r="O561" s="504">
        <f>IF(O$5&lt;$K561,0,MIN($L561-SUM($N561:N561),$L561*$M561))</f>
        <v>0</v>
      </c>
      <c r="P561" s="504">
        <f>IF(P$5&lt;$K561,0,MIN($L561-SUM($N561:O561),$L561*$M561))</f>
        <v>0</v>
      </c>
      <c r="Q561" s="60"/>
      <c r="R561" s="60"/>
      <c r="S561" s="4">
        <f>IF(S$5&lt;$K561,0,MIN($L561-SUM($N561:R561),ABS($L561*$M561)))</f>
        <v>0</v>
      </c>
      <c r="T561" s="4">
        <f>IF(T$5&lt;$K561,0,MIN($L561-SUM($N561:S561),ABS($L561*$M561)))</f>
        <v>0</v>
      </c>
      <c r="U561" s="4">
        <f>IF(U$5&lt;$K561,0,MIN($L561-SUM($N561:T561),ABS($L561*$M561)))</f>
        <v>0</v>
      </c>
      <c r="V561" s="4">
        <f>IF(V$5&lt;$K561,0,MIN($L561-SUM($N561:U561),ABS($L561*$M561)))</f>
        <v>0</v>
      </c>
      <c r="W561" s="4">
        <f>IF(W$5&lt;$K561,0,MIN($L561-SUM($N561:V561),ABS($L561*$M561)))</f>
        <v>0</v>
      </c>
      <c r="X561" s="4">
        <f>IF(X$5&lt;$K561,0,MIN($L561-SUM($N561:W561),ABS($L561*$M561)))</f>
        <v>0</v>
      </c>
      <c r="Y561" s="604"/>
      <c r="Z561" s="3" t="str">
        <f>VLOOKUP($D561,TableInputsData[],ReadMe!$M$3,FALSE)&amp;"  |  "&amp;VLOOKUP($E561,TableInputsData[],ReadMe!$M$3,FALSE)&amp;"  |  "&amp;VLOOKUP($H561,TableInputsData[],ReadMe!$M$3,FALSE)</f>
        <v>ACTIFS MATERIEL IMMOBILISES  |  AMORTISSEMENTS  |  AUTRES ACTIFS</v>
      </c>
      <c r="AA561" s="3"/>
      <c r="AB561" s="34">
        <f t="shared" si="230"/>
        <v>0</v>
      </c>
      <c r="AC561" s="34"/>
      <c r="AD561" s="34"/>
      <c r="AE561" s="26"/>
      <c r="AF561" s="34">
        <v>1</v>
      </c>
      <c r="AG561" s="34"/>
      <c r="AH561" s="535"/>
      <c r="AI561" s="294"/>
    </row>
    <row r="562" spans="1:35" x14ac:dyDescent="0.2">
      <c r="A562" s="294"/>
      <c r="B562" s="922"/>
      <c r="C562" s="66">
        <v>3</v>
      </c>
      <c r="D562" s="3" t="s">
        <v>762</v>
      </c>
      <c r="E562" s="3" t="s">
        <v>756</v>
      </c>
      <c r="F562" s="3" t="s">
        <v>21</v>
      </c>
      <c r="G562" s="3" t="s">
        <v>830</v>
      </c>
      <c r="H562" s="3" t="s">
        <v>773</v>
      </c>
      <c r="I562" s="5" t="str">
        <f t="shared" si="228"/>
        <v/>
      </c>
      <c r="J562" s="26"/>
      <c r="K562" s="26">
        <f t="shared" si="229"/>
        <v>2026</v>
      </c>
      <c r="L562" s="96">
        <f t="shared" si="229"/>
        <v>0</v>
      </c>
      <c r="M562" s="111">
        <f t="shared" si="229"/>
        <v>0.1</v>
      </c>
      <c r="N562" s="4">
        <f t="shared" si="229"/>
        <v>0</v>
      </c>
      <c r="O562" s="504">
        <f>IF(O$5&lt;$K562,0,MIN($L562-SUM($N562:N562),$L562*$M562))</f>
        <v>0</v>
      </c>
      <c r="P562" s="504">
        <f>IF(P$5&lt;$K562,0,MIN($L562-SUM($N562:O562),$L562*$M562))</f>
        <v>0</v>
      </c>
      <c r="Q562" s="60"/>
      <c r="R562" s="60"/>
      <c r="S562" s="4">
        <f>IF(S$5&lt;$K562,0,MIN($L562-SUM($N562:R562),ABS($L562*$M562)))</f>
        <v>0</v>
      </c>
      <c r="T562" s="4">
        <f>IF(T$5&lt;$K562,0,MIN($L562-SUM($N562:S562),ABS($L562*$M562)))</f>
        <v>0</v>
      </c>
      <c r="U562" s="4">
        <f>IF(U$5&lt;$K562,0,MIN($L562-SUM($N562:T562),ABS($L562*$M562)))</f>
        <v>0</v>
      </c>
      <c r="V562" s="4">
        <f>IF(V$5&lt;$K562,0,MIN($L562-SUM($N562:U562),ABS($L562*$M562)))</f>
        <v>0</v>
      </c>
      <c r="W562" s="4">
        <f>IF(W$5&lt;$K562,0,MIN($L562-SUM($N562:V562),ABS($L562*$M562)))</f>
        <v>0</v>
      </c>
      <c r="X562" s="4">
        <f>IF(X$5&lt;$K562,0,MIN($L562-SUM($N562:W562),ABS($L562*$M562)))</f>
        <v>0</v>
      </c>
      <c r="Y562" s="604"/>
      <c r="Z562" s="3" t="str">
        <f>VLOOKUP($D562,TableInputsData[],ReadMe!$M$3,FALSE)&amp;"  |  "&amp;VLOOKUP($E562,TableInputsData[],ReadMe!$M$3,FALSE)&amp;"  |  "&amp;VLOOKUP($H562,TableInputsData[],ReadMe!$M$3,FALSE)</f>
        <v>ACTIFS MATERIEL IMMOBILISES  |  AMORTISSEMENTS  |  AUTRES ACTIFS</v>
      </c>
      <c r="AA562" s="3"/>
      <c r="AB562" s="34">
        <f t="shared" si="230"/>
        <v>0</v>
      </c>
      <c r="AC562" s="34"/>
      <c r="AD562" s="34"/>
      <c r="AE562" s="26"/>
      <c r="AF562" s="34">
        <v>1</v>
      </c>
      <c r="AG562" s="34"/>
      <c r="AH562" s="535"/>
      <c r="AI562" s="294"/>
    </row>
    <row r="563" spans="1:35" x14ac:dyDescent="0.2">
      <c r="A563" s="294"/>
      <c r="B563" s="922"/>
      <c r="C563" s="66">
        <v>3</v>
      </c>
      <c r="D563" s="3" t="s">
        <v>762</v>
      </c>
      <c r="E563" s="3" t="s">
        <v>756</v>
      </c>
      <c r="F563" s="3" t="s">
        <v>21</v>
      </c>
      <c r="G563" s="3" t="s">
        <v>831</v>
      </c>
      <c r="H563" s="3" t="s">
        <v>773</v>
      </c>
      <c r="I563" s="5" t="str">
        <f t="shared" si="228"/>
        <v/>
      </c>
      <c r="J563" s="26"/>
      <c r="K563" s="26">
        <f t="shared" si="229"/>
        <v>0</v>
      </c>
      <c r="L563" s="96">
        <f t="shared" si="229"/>
        <v>0</v>
      </c>
      <c r="M563" s="111">
        <f t="shared" si="229"/>
        <v>0</v>
      </c>
      <c r="N563" s="4">
        <f t="shared" si="229"/>
        <v>0</v>
      </c>
      <c r="O563" s="504">
        <f>IF(O$5&lt;$K563,0,MIN($L563-SUM($N563:N563),$L563*$M563))</f>
        <v>0</v>
      </c>
      <c r="P563" s="504">
        <f>IF(P$5&lt;$K563,0,MIN($L563-SUM($N563:O563),$L563*$M563))</f>
        <v>0</v>
      </c>
      <c r="Q563" s="60"/>
      <c r="R563" s="60"/>
      <c r="S563" s="4">
        <f>IF(S$5&lt;$K563,0,MIN($L563-SUM($N563:R563),ABS($L563*$M563)))</f>
        <v>0</v>
      </c>
      <c r="T563" s="4">
        <f>IF(T$5&lt;$K563,0,MIN($L563-SUM($N563:S563),ABS($L563*$M563)))</f>
        <v>0</v>
      </c>
      <c r="U563" s="4">
        <f>IF(U$5&lt;$K563,0,MIN($L563-SUM($N563:T563),ABS($L563*$M563)))</f>
        <v>0</v>
      </c>
      <c r="V563" s="4">
        <f>IF(V$5&lt;$K563,0,MIN($L563-SUM($N563:U563),ABS($L563*$M563)))</f>
        <v>0</v>
      </c>
      <c r="W563" s="4">
        <f>IF(W$5&lt;$K563,0,MIN($L563-SUM($N563:V563),ABS($L563*$M563)))</f>
        <v>0</v>
      </c>
      <c r="X563" s="4">
        <f>IF(X$5&lt;$K563,0,MIN($L563-SUM($N563:W563),ABS($L563*$M563)))</f>
        <v>0</v>
      </c>
      <c r="Y563" s="604"/>
      <c r="Z563" s="3" t="str">
        <f>VLOOKUP($D563,TableInputsData[],ReadMe!$M$3,FALSE)&amp;"  |  "&amp;VLOOKUP($E563,TableInputsData[],ReadMe!$M$3,FALSE)&amp;"  |  "&amp;VLOOKUP($H563,TableInputsData[],ReadMe!$M$3,FALSE)</f>
        <v>ACTIFS MATERIEL IMMOBILISES  |  AMORTISSEMENTS  |  AUTRES ACTIFS</v>
      </c>
      <c r="AA563" s="3"/>
      <c r="AB563" s="34">
        <f t="shared" si="230"/>
        <v>0</v>
      </c>
      <c r="AC563" s="34"/>
      <c r="AD563" s="34"/>
      <c r="AE563" s="26"/>
      <c r="AF563" s="34">
        <v>1</v>
      </c>
      <c r="AG563" s="34"/>
      <c r="AH563" s="535"/>
      <c r="AI563" s="294"/>
    </row>
    <row r="564" spans="1:35" x14ac:dyDescent="0.2">
      <c r="A564" s="294"/>
      <c r="B564" s="922"/>
      <c r="C564" s="66">
        <v>3</v>
      </c>
      <c r="D564" s="3" t="s">
        <v>762</v>
      </c>
      <c r="E564" s="3" t="s">
        <v>756</v>
      </c>
      <c r="F564" s="3" t="s">
        <v>21</v>
      </c>
      <c r="G564" s="3" t="s">
        <v>832</v>
      </c>
      <c r="H564" s="3" t="s">
        <v>773</v>
      </c>
      <c r="I564" s="5" t="str">
        <f t="shared" si="228"/>
        <v/>
      </c>
      <c r="J564" s="26"/>
      <c r="K564" s="26">
        <f t="shared" si="229"/>
        <v>0</v>
      </c>
      <c r="L564" s="96">
        <f t="shared" si="229"/>
        <v>0</v>
      </c>
      <c r="M564" s="111">
        <f t="shared" si="229"/>
        <v>0</v>
      </c>
      <c r="N564" s="4">
        <f t="shared" si="229"/>
        <v>0</v>
      </c>
      <c r="O564" s="504">
        <f>IF(O$5&lt;$K564,0,MIN($L564-SUM($N564:N564),$L564*$M564))</f>
        <v>0</v>
      </c>
      <c r="P564" s="504">
        <f>IF(P$5&lt;$K564,0,MIN($L564-SUM($N564:O564),$L564*$M564))</f>
        <v>0</v>
      </c>
      <c r="Q564" s="60"/>
      <c r="R564" s="60"/>
      <c r="S564" s="4">
        <f>IF(S$5&lt;$K564,0,MIN($L564-SUM($N564:R564),ABS($L564*$M564)))</f>
        <v>0</v>
      </c>
      <c r="T564" s="4">
        <f>IF(T$5&lt;$K564,0,MIN($L564-SUM($N564:S564),ABS($L564*$M564)))</f>
        <v>0</v>
      </c>
      <c r="U564" s="4">
        <f>IF(U$5&lt;$K564,0,MIN($L564-SUM($N564:T564),ABS($L564*$M564)))</f>
        <v>0</v>
      </c>
      <c r="V564" s="4">
        <f>IF(V$5&lt;$K564,0,MIN($L564-SUM($N564:U564),ABS($L564*$M564)))</f>
        <v>0</v>
      </c>
      <c r="W564" s="4">
        <f>IF(W$5&lt;$K564,0,MIN($L564-SUM($N564:V564),ABS($L564*$M564)))</f>
        <v>0</v>
      </c>
      <c r="X564" s="4">
        <f>IF(X$5&lt;$K564,0,MIN($L564-SUM($N564:W564),ABS($L564*$M564)))</f>
        <v>0</v>
      </c>
      <c r="Y564" s="604"/>
      <c r="Z564" s="3" t="str">
        <f>VLOOKUP($D564,TableInputsData[],ReadMe!$M$3,FALSE)&amp;"  |  "&amp;VLOOKUP($E564,TableInputsData[],ReadMe!$M$3,FALSE)&amp;"  |  "&amp;VLOOKUP($H564,TableInputsData[],ReadMe!$M$3,FALSE)</f>
        <v>ACTIFS MATERIEL IMMOBILISES  |  AMORTISSEMENTS  |  AUTRES ACTIFS</v>
      </c>
      <c r="AA564" s="3"/>
      <c r="AB564" s="34">
        <f t="shared" si="230"/>
        <v>0</v>
      </c>
      <c r="AC564" s="34"/>
      <c r="AD564" s="34"/>
      <c r="AE564" s="26"/>
      <c r="AF564" s="34">
        <v>1</v>
      </c>
      <c r="AG564" s="34"/>
      <c r="AH564" s="535"/>
      <c r="AI564" s="294"/>
    </row>
    <row r="565" spans="1:35" x14ac:dyDescent="0.2">
      <c r="A565" s="294"/>
      <c r="B565" s="922"/>
      <c r="C565" s="66">
        <v>3</v>
      </c>
      <c r="D565" s="3" t="s">
        <v>762</v>
      </c>
      <c r="E565" s="3" t="s">
        <v>756</v>
      </c>
      <c r="F565" s="3" t="s">
        <v>21</v>
      </c>
      <c r="G565" s="3" t="s">
        <v>833</v>
      </c>
      <c r="H565" s="3" t="s">
        <v>773</v>
      </c>
      <c r="I565" s="5" t="str">
        <f t="shared" si="228"/>
        <v/>
      </c>
      <c r="J565" s="26"/>
      <c r="K565" s="26">
        <f t="shared" si="229"/>
        <v>0</v>
      </c>
      <c r="L565" s="96">
        <f t="shared" si="229"/>
        <v>0</v>
      </c>
      <c r="M565" s="111">
        <f t="shared" si="229"/>
        <v>0</v>
      </c>
      <c r="N565" s="4">
        <f t="shared" si="229"/>
        <v>0</v>
      </c>
      <c r="O565" s="504">
        <f>IF(O$5&lt;$K565,0,MIN($L565-SUM($N565:N565),$L565*$M565))</f>
        <v>0</v>
      </c>
      <c r="P565" s="504">
        <f>IF(P$5&lt;$K565,0,MIN($L565-SUM($N565:O565),$L565*$M565))</f>
        <v>0</v>
      </c>
      <c r="Q565" s="60"/>
      <c r="R565" s="60"/>
      <c r="S565" s="4">
        <f>IF(S$5&lt;$K565,0,MIN($L565-SUM($N565:R565),ABS($L565*$M565)))</f>
        <v>0</v>
      </c>
      <c r="T565" s="4">
        <f>IF(T$5&lt;$K565,0,MIN($L565-SUM($N565:S565),ABS($L565*$M565)))</f>
        <v>0</v>
      </c>
      <c r="U565" s="4">
        <f>IF(U$5&lt;$K565,0,MIN($L565-SUM($N565:T565),ABS($L565*$M565)))</f>
        <v>0</v>
      </c>
      <c r="V565" s="4">
        <f>IF(V$5&lt;$K565,0,MIN($L565-SUM($N565:U565),ABS($L565*$M565)))</f>
        <v>0</v>
      </c>
      <c r="W565" s="4">
        <f>IF(W$5&lt;$K565,0,MIN($L565-SUM($N565:V565),ABS($L565*$M565)))</f>
        <v>0</v>
      </c>
      <c r="X565" s="4">
        <f>IF(X$5&lt;$K565,0,MIN($L565-SUM($N565:W565),ABS($L565*$M565)))</f>
        <v>0</v>
      </c>
      <c r="Y565" s="604"/>
      <c r="Z565" s="3" t="str">
        <f>VLOOKUP($D565,TableInputsData[],ReadMe!$M$3,FALSE)&amp;"  |  "&amp;VLOOKUP($E565,TableInputsData[],ReadMe!$M$3,FALSE)&amp;"  |  "&amp;VLOOKUP($H565,TableInputsData[],ReadMe!$M$3,FALSE)</f>
        <v>ACTIFS MATERIEL IMMOBILISES  |  AMORTISSEMENTS  |  AUTRES ACTIFS</v>
      </c>
      <c r="AA565" s="3"/>
      <c r="AB565" s="34">
        <f t="shared" si="230"/>
        <v>0</v>
      </c>
      <c r="AC565" s="34"/>
      <c r="AD565" s="34"/>
      <c r="AE565" s="26"/>
      <c r="AF565" s="34">
        <v>1</v>
      </c>
      <c r="AG565" s="34"/>
      <c r="AH565" s="535"/>
      <c r="AI565" s="294"/>
    </row>
    <row r="566" spans="1:35" x14ac:dyDescent="0.2">
      <c r="A566" s="294"/>
      <c r="B566" s="922"/>
      <c r="C566" s="66">
        <v>3</v>
      </c>
      <c r="D566" s="3" t="s">
        <v>762</v>
      </c>
      <c r="E566" s="3" t="s">
        <v>756</v>
      </c>
      <c r="F566" s="3" t="s">
        <v>21</v>
      </c>
      <c r="G566" s="3" t="s">
        <v>834</v>
      </c>
      <c r="H566" s="3" t="s">
        <v>773</v>
      </c>
      <c r="I566" s="5" t="str">
        <f t="shared" si="228"/>
        <v/>
      </c>
      <c r="J566" s="26"/>
      <c r="K566" s="26">
        <f t="shared" si="229"/>
        <v>0</v>
      </c>
      <c r="L566" s="96">
        <f t="shared" si="229"/>
        <v>0</v>
      </c>
      <c r="M566" s="111">
        <f t="shared" si="229"/>
        <v>0</v>
      </c>
      <c r="N566" s="4">
        <f t="shared" si="229"/>
        <v>0</v>
      </c>
      <c r="O566" s="504">
        <f>IF(O$5&lt;$K566,0,MIN($L566-SUM($N566:N566),$L566*$M566))</f>
        <v>0</v>
      </c>
      <c r="P566" s="504">
        <f>IF(P$5&lt;$K566,0,MIN($L566-SUM($N566:O566),$L566*$M566))</f>
        <v>0</v>
      </c>
      <c r="Q566" s="60"/>
      <c r="R566" s="60"/>
      <c r="S566" s="4">
        <f>IF(S$5&lt;$K566,0,MIN($L566-SUM($N566:R566),ABS($L566*$M566)))</f>
        <v>0</v>
      </c>
      <c r="T566" s="4">
        <f>IF(T$5&lt;$K566,0,MIN($L566-SUM($N566:S566),ABS($L566*$M566)))</f>
        <v>0</v>
      </c>
      <c r="U566" s="4">
        <f>IF(U$5&lt;$K566,0,MIN($L566-SUM($N566:T566),ABS($L566*$M566)))</f>
        <v>0</v>
      </c>
      <c r="V566" s="4">
        <f>IF(V$5&lt;$K566,0,MIN($L566-SUM($N566:U566),ABS($L566*$M566)))</f>
        <v>0</v>
      </c>
      <c r="W566" s="4">
        <f>IF(W$5&lt;$K566,0,MIN($L566-SUM($N566:V566),ABS($L566*$M566)))</f>
        <v>0</v>
      </c>
      <c r="X566" s="4">
        <f>IF(X$5&lt;$K566,0,MIN($L566-SUM($N566:W566),ABS($L566*$M566)))</f>
        <v>0</v>
      </c>
      <c r="Y566" s="604"/>
      <c r="Z566" s="3" t="str">
        <f>VLOOKUP($D566,TableInputsData[],ReadMe!$M$3,FALSE)&amp;"  |  "&amp;VLOOKUP($E566,TableInputsData[],ReadMe!$M$3,FALSE)&amp;"  |  "&amp;VLOOKUP($H566,TableInputsData[],ReadMe!$M$3,FALSE)</f>
        <v>ACTIFS MATERIEL IMMOBILISES  |  AMORTISSEMENTS  |  AUTRES ACTIFS</v>
      </c>
      <c r="AA566" s="3"/>
      <c r="AB566" s="34">
        <f t="shared" si="230"/>
        <v>0</v>
      </c>
      <c r="AC566" s="34"/>
      <c r="AD566" s="34"/>
      <c r="AE566" s="26"/>
      <c r="AF566" s="34">
        <v>1</v>
      </c>
      <c r="AG566" s="34"/>
      <c r="AH566" s="535"/>
      <c r="AI566" s="294"/>
    </row>
    <row r="567" spans="1:35" x14ac:dyDescent="0.2">
      <c r="A567" s="294"/>
      <c r="B567" s="922"/>
      <c r="C567" s="66">
        <v>3</v>
      </c>
      <c r="D567" s="3" t="s">
        <v>762</v>
      </c>
      <c r="E567" s="3" t="s">
        <v>756</v>
      </c>
      <c r="F567" s="3" t="s">
        <v>21</v>
      </c>
      <c r="G567" s="3" t="s">
        <v>835</v>
      </c>
      <c r="H567" s="3" t="s">
        <v>773</v>
      </c>
      <c r="I567" s="5" t="str">
        <f t="shared" si="228"/>
        <v/>
      </c>
      <c r="J567" s="26"/>
      <c r="K567" s="26">
        <f t="shared" si="229"/>
        <v>0</v>
      </c>
      <c r="L567" s="96">
        <f t="shared" si="229"/>
        <v>0</v>
      </c>
      <c r="M567" s="111">
        <f t="shared" si="229"/>
        <v>0</v>
      </c>
      <c r="N567" s="4">
        <f t="shared" si="229"/>
        <v>0</v>
      </c>
      <c r="O567" s="504">
        <f>IF(O$5&lt;$K567,0,MIN($L567-SUM($N567:N567),$L567*$M567))</f>
        <v>0</v>
      </c>
      <c r="P567" s="504">
        <f>IF(P$5&lt;$K567,0,MIN($L567-SUM($N567:O567),$L567*$M567))</f>
        <v>0</v>
      </c>
      <c r="Q567" s="60"/>
      <c r="R567" s="60"/>
      <c r="S567" s="4">
        <f>IF(S$5&lt;$K567,0,MIN($L567-SUM($N567:R567),ABS($L567*$M567)))</f>
        <v>0</v>
      </c>
      <c r="T567" s="4">
        <f>IF(T$5&lt;$K567,0,MIN($L567-SUM($N567:S567),ABS($L567*$M567)))</f>
        <v>0</v>
      </c>
      <c r="U567" s="4">
        <f>IF(U$5&lt;$K567,0,MIN($L567-SUM($N567:T567),ABS($L567*$M567)))</f>
        <v>0</v>
      </c>
      <c r="V567" s="4">
        <f>IF(V$5&lt;$K567,0,MIN($L567-SUM($N567:U567),ABS($L567*$M567)))</f>
        <v>0</v>
      </c>
      <c r="W567" s="4">
        <f>IF(W$5&lt;$K567,0,MIN($L567-SUM($N567:V567),ABS($L567*$M567)))</f>
        <v>0</v>
      </c>
      <c r="X567" s="4">
        <f>IF(X$5&lt;$K567,0,MIN($L567-SUM($N567:W567),ABS($L567*$M567)))</f>
        <v>0</v>
      </c>
      <c r="Y567" s="604"/>
      <c r="Z567" s="3" t="str">
        <f>VLOOKUP($D567,TableInputsData[],ReadMe!$M$3,FALSE)&amp;"  |  "&amp;VLOOKUP($E567,TableInputsData[],ReadMe!$M$3,FALSE)&amp;"  |  "&amp;VLOOKUP($H567,TableInputsData[],ReadMe!$M$3,FALSE)</f>
        <v>ACTIFS MATERIEL IMMOBILISES  |  AMORTISSEMENTS  |  AUTRES ACTIFS</v>
      </c>
      <c r="AA567" s="3"/>
      <c r="AB567" s="34">
        <f t="shared" si="230"/>
        <v>0</v>
      </c>
      <c r="AC567" s="34"/>
      <c r="AD567" s="34"/>
      <c r="AE567" s="26"/>
      <c r="AF567" s="34">
        <v>1</v>
      </c>
      <c r="AG567" s="34"/>
      <c r="AH567" s="535"/>
      <c r="AI567" s="294"/>
    </row>
    <row r="568" spans="1:35" x14ac:dyDescent="0.2">
      <c r="A568" s="294"/>
      <c r="B568" s="922"/>
      <c r="C568" s="66">
        <v>3</v>
      </c>
      <c r="D568" s="3" t="s">
        <v>762</v>
      </c>
      <c r="E568" s="3" t="s">
        <v>756</v>
      </c>
      <c r="F568" s="3" t="s">
        <v>21</v>
      </c>
      <c r="G568" s="3" t="s">
        <v>836</v>
      </c>
      <c r="H568" s="3" t="s">
        <v>773</v>
      </c>
      <c r="I568" s="5" t="str">
        <f t="shared" si="228"/>
        <v/>
      </c>
      <c r="J568" s="26"/>
      <c r="K568" s="26">
        <f t="shared" si="229"/>
        <v>0</v>
      </c>
      <c r="L568" s="96">
        <f t="shared" si="229"/>
        <v>0</v>
      </c>
      <c r="M568" s="111">
        <f t="shared" si="229"/>
        <v>0</v>
      </c>
      <c r="N568" s="4">
        <f t="shared" si="229"/>
        <v>0</v>
      </c>
      <c r="O568" s="504">
        <f>IF(O$5&lt;$K568,0,MIN($L568-SUM($N568:N568),$L568*$M568))</f>
        <v>0</v>
      </c>
      <c r="P568" s="504">
        <f>IF(P$5&lt;$K568,0,MIN($L568-SUM($N568:O568),$L568*$M568))</f>
        <v>0</v>
      </c>
      <c r="Q568" s="60"/>
      <c r="R568" s="60"/>
      <c r="S568" s="4">
        <f>IF(S$5&lt;$K568,0,MIN($L568-SUM($N568:R568),ABS($L568*$M568)))</f>
        <v>0</v>
      </c>
      <c r="T568" s="4">
        <f>IF(T$5&lt;$K568,0,MIN($L568-SUM($N568:S568),ABS($L568*$M568)))</f>
        <v>0</v>
      </c>
      <c r="U568" s="4">
        <f>IF(U$5&lt;$K568,0,MIN($L568-SUM($N568:T568),ABS($L568*$M568)))</f>
        <v>0</v>
      </c>
      <c r="V568" s="4">
        <f>IF(V$5&lt;$K568,0,MIN($L568-SUM($N568:U568),ABS($L568*$M568)))</f>
        <v>0</v>
      </c>
      <c r="W568" s="4">
        <f>IF(W$5&lt;$K568,0,MIN($L568-SUM($N568:V568),ABS($L568*$M568)))</f>
        <v>0</v>
      </c>
      <c r="X568" s="4">
        <f>IF(X$5&lt;$K568,0,MIN($L568-SUM($N568:W568),ABS($L568*$M568)))</f>
        <v>0</v>
      </c>
      <c r="Y568" s="604"/>
      <c r="Z568" s="3" t="str">
        <f>VLOOKUP($D568,TableInputsData[],ReadMe!$M$3,FALSE)&amp;"  |  "&amp;VLOOKUP($E568,TableInputsData[],ReadMe!$M$3,FALSE)&amp;"  |  "&amp;VLOOKUP($H568,TableInputsData[],ReadMe!$M$3,FALSE)</f>
        <v>ACTIFS MATERIEL IMMOBILISES  |  AMORTISSEMENTS  |  AUTRES ACTIFS</v>
      </c>
      <c r="AA568" s="3"/>
      <c r="AB568" s="34">
        <f t="shared" si="230"/>
        <v>0</v>
      </c>
      <c r="AC568" s="34"/>
      <c r="AD568" s="34"/>
      <c r="AE568" s="26"/>
      <c r="AF568" s="34">
        <v>1</v>
      </c>
      <c r="AG568" s="34"/>
      <c r="AH568" s="535"/>
      <c r="AI568" s="294"/>
    </row>
    <row r="569" spans="1:35" x14ac:dyDescent="0.2">
      <c r="A569" s="294"/>
      <c r="B569" s="922"/>
      <c r="C569" s="66">
        <v>3</v>
      </c>
      <c r="D569" s="3" t="s">
        <v>762</v>
      </c>
      <c r="E569" s="3" t="s">
        <v>756</v>
      </c>
      <c r="F569" s="3" t="s">
        <v>21</v>
      </c>
      <c r="G569" s="3" t="s">
        <v>837</v>
      </c>
      <c r="H569" s="3" t="s">
        <v>773</v>
      </c>
      <c r="I569" s="5" t="str">
        <f t="shared" si="228"/>
        <v/>
      </c>
      <c r="J569" s="26"/>
      <c r="K569" s="26">
        <f t="shared" si="229"/>
        <v>0</v>
      </c>
      <c r="L569" s="96">
        <f t="shared" si="229"/>
        <v>0</v>
      </c>
      <c r="M569" s="111">
        <f t="shared" si="229"/>
        <v>0</v>
      </c>
      <c r="N569" s="4">
        <f t="shared" si="229"/>
        <v>0</v>
      </c>
      <c r="O569" s="504">
        <f>IF(O$5&lt;$K569,0,MIN($L569-SUM($N569:N569),$L569*$M569))</f>
        <v>0</v>
      </c>
      <c r="P569" s="504">
        <f>IF(P$5&lt;$K569,0,MIN($L569-SUM($N569:O569),$L569*$M569))</f>
        <v>0</v>
      </c>
      <c r="Q569" s="60"/>
      <c r="R569" s="60"/>
      <c r="S569" s="4">
        <f>IF(S$5&lt;$K569,0,MIN($L569-SUM($N569:R569),ABS($L569*$M569)))</f>
        <v>0</v>
      </c>
      <c r="T569" s="4">
        <f>IF(T$5&lt;$K569,0,MIN($L569-SUM($N569:S569),ABS($L569*$M569)))</f>
        <v>0</v>
      </c>
      <c r="U569" s="4">
        <f>IF(U$5&lt;$K569,0,MIN($L569-SUM($N569:T569),ABS($L569*$M569)))</f>
        <v>0</v>
      </c>
      <c r="V569" s="4">
        <f>IF(V$5&lt;$K569,0,MIN($L569-SUM($N569:U569),ABS($L569*$M569)))</f>
        <v>0</v>
      </c>
      <c r="W569" s="4">
        <f>IF(W$5&lt;$K569,0,MIN($L569-SUM($N569:V569),ABS($L569*$M569)))</f>
        <v>0</v>
      </c>
      <c r="X569" s="4">
        <f>IF(X$5&lt;$K569,0,MIN($L569-SUM($N569:W569),ABS($L569*$M569)))</f>
        <v>0</v>
      </c>
      <c r="Y569" s="604"/>
      <c r="Z569" s="3" t="str">
        <f>VLOOKUP($D569,TableInputsData[],ReadMe!$M$3,FALSE)&amp;"  |  "&amp;VLOOKUP($E569,TableInputsData[],ReadMe!$M$3,FALSE)&amp;"  |  "&amp;VLOOKUP($H569,TableInputsData[],ReadMe!$M$3,FALSE)</f>
        <v>ACTIFS MATERIEL IMMOBILISES  |  AMORTISSEMENTS  |  AUTRES ACTIFS</v>
      </c>
      <c r="AA569" s="3"/>
      <c r="AB569" s="34">
        <f t="shared" si="230"/>
        <v>0</v>
      </c>
      <c r="AC569" s="34"/>
      <c r="AD569" s="34"/>
      <c r="AE569" s="26"/>
      <c r="AF569" s="34">
        <v>1</v>
      </c>
      <c r="AG569" s="34"/>
      <c r="AH569" s="535"/>
      <c r="AI569" s="294"/>
    </row>
    <row r="570" spans="1:35" x14ac:dyDescent="0.2">
      <c r="A570" s="294"/>
      <c r="B570" s="922"/>
      <c r="C570" s="66">
        <v>3</v>
      </c>
      <c r="D570" s="3" t="s">
        <v>762</v>
      </c>
      <c r="E570" s="3" t="s">
        <v>756</v>
      </c>
      <c r="F570" s="3" t="s">
        <v>21</v>
      </c>
      <c r="G570" s="3" t="s">
        <v>838</v>
      </c>
      <c r="H570" s="3" t="s">
        <v>773</v>
      </c>
      <c r="I570" s="5" t="str">
        <f t="shared" si="228"/>
        <v/>
      </c>
      <c r="J570" s="26"/>
      <c r="K570" s="26">
        <f t="shared" si="229"/>
        <v>0</v>
      </c>
      <c r="L570" s="96">
        <f t="shared" si="229"/>
        <v>0</v>
      </c>
      <c r="M570" s="111">
        <f t="shared" si="229"/>
        <v>0</v>
      </c>
      <c r="N570" s="4">
        <f t="shared" si="229"/>
        <v>0</v>
      </c>
      <c r="O570" s="504">
        <f>IF(O$5&lt;$K570,0,MIN($L570-SUM($N570:N570),$L570*$M570))</f>
        <v>0</v>
      </c>
      <c r="P570" s="504">
        <f>IF(P$5&lt;$K570,0,MIN($L570-SUM($N570:O570),$L570*$M570))</f>
        <v>0</v>
      </c>
      <c r="Q570" s="60"/>
      <c r="R570" s="60"/>
      <c r="S570" s="4">
        <f>IF(S$5&lt;$K570,0,MIN($L570-SUM($N570:R570),ABS($L570*$M570)))</f>
        <v>0</v>
      </c>
      <c r="T570" s="4">
        <f>IF(T$5&lt;$K570,0,MIN($L570-SUM($N570:S570),ABS($L570*$M570)))</f>
        <v>0</v>
      </c>
      <c r="U570" s="4">
        <f>IF(U$5&lt;$K570,0,MIN($L570-SUM($N570:T570),ABS($L570*$M570)))</f>
        <v>0</v>
      </c>
      <c r="V570" s="4">
        <f>IF(V$5&lt;$K570,0,MIN($L570-SUM($N570:U570),ABS($L570*$M570)))</f>
        <v>0</v>
      </c>
      <c r="W570" s="4">
        <f>IF(W$5&lt;$K570,0,MIN($L570-SUM($N570:V570),ABS($L570*$M570)))</f>
        <v>0</v>
      </c>
      <c r="X570" s="4">
        <f>IF(X$5&lt;$K570,0,MIN($L570-SUM($N570:W570),ABS($L570*$M570)))</f>
        <v>0</v>
      </c>
      <c r="Y570" s="604"/>
      <c r="Z570" s="3" t="str">
        <f>VLOOKUP($D570,TableInputsData[],ReadMe!$M$3,FALSE)&amp;"  |  "&amp;VLOOKUP($E570,TableInputsData[],ReadMe!$M$3,FALSE)&amp;"  |  "&amp;VLOOKUP($H570,TableInputsData[],ReadMe!$M$3,FALSE)</f>
        <v>ACTIFS MATERIEL IMMOBILISES  |  AMORTISSEMENTS  |  AUTRES ACTIFS</v>
      </c>
      <c r="AA570" s="3"/>
      <c r="AB570" s="34">
        <f t="shared" si="230"/>
        <v>0</v>
      </c>
      <c r="AC570" s="34"/>
      <c r="AD570" s="34"/>
      <c r="AE570" s="26"/>
      <c r="AF570" s="34">
        <v>1</v>
      </c>
      <c r="AG570" s="34"/>
      <c r="AH570" s="535"/>
      <c r="AI570" s="294"/>
    </row>
    <row r="571" spans="1:35" x14ac:dyDescent="0.2">
      <c r="A571" s="294"/>
      <c r="B571" s="922"/>
      <c r="C571" s="66">
        <v>3</v>
      </c>
      <c r="D571" s="3" t="s">
        <v>762</v>
      </c>
      <c r="E571" s="3" t="s">
        <v>756</v>
      </c>
      <c r="F571" s="3" t="s">
        <v>21</v>
      </c>
      <c r="G571" s="3" t="s">
        <v>839</v>
      </c>
      <c r="H571" s="3" t="s">
        <v>773</v>
      </c>
      <c r="I571" s="5" t="str">
        <f t="shared" si="228"/>
        <v/>
      </c>
      <c r="J571" s="26"/>
      <c r="K571" s="26">
        <f t="shared" si="229"/>
        <v>0</v>
      </c>
      <c r="L571" s="96">
        <f t="shared" si="229"/>
        <v>0</v>
      </c>
      <c r="M571" s="111">
        <f t="shared" si="229"/>
        <v>0</v>
      </c>
      <c r="N571" s="4">
        <f t="shared" si="229"/>
        <v>0</v>
      </c>
      <c r="O571" s="504">
        <f>IF(O$5&lt;$K571,0,MIN($L571-SUM($N571:N571),$L571*$M571))</f>
        <v>0</v>
      </c>
      <c r="P571" s="504">
        <f>IF(P$5&lt;$K571,0,MIN($L571-SUM($N571:O571),$L571*$M571))</f>
        <v>0</v>
      </c>
      <c r="Q571" s="60"/>
      <c r="R571" s="60"/>
      <c r="S571" s="4">
        <f>IF(S$5&lt;$K571,0,MIN($L571-SUM($N571:R571),ABS($L571*$M571)))</f>
        <v>0</v>
      </c>
      <c r="T571" s="4">
        <f>IF(T$5&lt;$K571,0,MIN($L571-SUM($N571:S571),ABS($L571*$M571)))</f>
        <v>0</v>
      </c>
      <c r="U571" s="4">
        <f>IF(U$5&lt;$K571,0,MIN($L571-SUM($N571:T571),ABS($L571*$M571)))</f>
        <v>0</v>
      </c>
      <c r="V571" s="4">
        <f>IF(V$5&lt;$K571,0,MIN($L571-SUM($N571:U571),ABS($L571*$M571)))</f>
        <v>0</v>
      </c>
      <c r="W571" s="4">
        <f>IF(W$5&lt;$K571,0,MIN($L571-SUM($N571:V571),ABS($L571*$M571)))</f>
        <v>0</v>
      </c>
      <c r="X571" s="4">
        <f>IF(X$5&lt;$K571,0,MIN($L571-SUM($N571:W571),ABS($L571*$M571)))</f>
        <v>0</v>
      </c>
      <c r="Y571" s="604"/>
      <c r="Z571" s="3" t="str">
        <f>VLOOKUP($D571,TableInputsData[],ReadMe!$M$3,FALSE)&amp;"  |  "&amp;VLOOKUP($E571,TableInputsData[],ReadMe!$M$3,FALSE)&amp;"  |  "&amp;VLOOKUP($H571,TableInputsData[],ReadMe!$M$3,FALSE)</f>
        <v>ACTIFS MATERIEL IMMOBILISES  |  AMORTISSEMENTS  |  AUTRES ACTIFS</v>
      </c>
      <c r="AA571" s="3"/>
      <c r="AB571" s="34">
        <f t="shared" si="230"/>
        <v>0</v>
      </c>
      <c r="AC571" s="34"/>
      <c r="AD571" s="34"/>
      <c r="AE571" s="26"/>
      <c r="AF571" s="34">
        <v>1</v>
      </c>
      <c r="AG571" s="34"/>
      <c r="AH571" s="535"/>
      <c r="AI571" s="294"/>
    </row>
    <row r="572" spans="1:35" x14ac:dyDescent="0.2">
      <c r="A572" s="294"/>
      <c r="B572" s="922"/>
      <c r="C572" s="66">
        <v>3</v>
      </c>
      <c r="D572" s="3" t="s">
        <v>762</v>
      </c>
      <c r="E572" s="3" t="s">
        <v>756</v>
      </c>
      <c r="F572" s="3" t="s">
        <v>21</v>
      </c>
      <c r="G572" s="3" t="s">
        <v>840</v>
      </c>
      <c r="H572" s="3" t="s">
        <v>773</v>
      </c>
      <c r="I572" s="5" t="str">
        <f t="shared" si="228"/>
        <v/>
      </c>
      <c r="J572" s="26"/>
      <c r="K572" s="26">
        <f t="shared" si="229"/>
        <v>0</v>
      </c>
      <c r="L572" s="96">
        <f t="shared" si="229"/>
        <v>0</v>
      </c>
      <c r="M572" s="111">
        <f t="shared" si="229"/>
        <v>0</v>
      </c>
      <c r="N572" s="4">
        <f t="shared" si="229"/>
        <v>0</v>
      </c>
      <c r="O572" s="504">
        <f>IF(O$5&lt;$K572,0,MIN($L572-SUM($N572:N572),$L572*$M572))</f>
        <v>0</v>
      </c>
      <c r="P572" s="504">
        <f>IF(P$5&lt;$K572,0,MIN($L572-SUM($N572:O572),$L572*$M572))</f>
        <v>0</v>
      </c>
      <c r="Q572" s="60"/>
      <c r="R572" s="60"/>
      <c r="S572" s="4">
        <f>IF(S$5&lt;$K572,0,MIN($L572-SUM($N572:R572),ABS($L572*$M572)))</f>
        <v>0</v>
      </c>
      <c r="T572" s="4">
        <f>IF(T$5&lt;$K572,0,MIN($L572-SUM($N572:S572),ABS($L572*$M572)))</f>
        <v>0</v>
      </c>
      <c r="U572" s="4">
        <f>IF(U$5&lt;$K572,0,MIN($L572-SUM($N572:T572),ABS($L572*$M572)))</f>
        <v>0</v>
      </c>
      <c r="V572" s="4">
        <f>IF(V$5&lt;$K572,0,MIN($L572-SUM($N572:U572),ABS($L572*$M572)))</f>
        <v>0</v>
      </c>
      <c r="W572" s="4">
        <f>IF(W$5&lt;$K572,0,MIN($L572-SUM($N572:V572),ABS($L572*$M572)))</f>
        <v>0</v>
      </c>
      <c r="X572" s="4">
        <f>IF(X$5&lt;$K572,0,MIN($L572-SUM($N572:W572),ABS($L572*$M572)))</f>
        <v>0</v>
      </c>
      <c r="Y572" s="604"/>
      <c r="Z572" s="3" t="str">
        <f>VLOOKUP($D572,TableInputsData[],ReadMe!$M$3,FALSE)&amp;"  |  "&amp;VLOOKUP($E572,TableInputsData[],ReadMe!$M$3,FALSE)&amp;"  |  "&amp;VLOOKUP($H572,TableInputsData[],ReadMe!$M$3,FALSE)</f>
        <v>ACTIFS MATERIEL IMMOBILISES  |  AMORTISSEMENTS  |  AUTRES ACTIFS</v>
      </c>
      <c r="AA572" s="3"/>
      <c r="AB572" s="34">
        <f t="shared" si="230"/>
        <v>0</v>
      </c>
      <c r="AC572" s="34"/>
      <c r="AD572" s="34"/>
      <c r="AE572" s="26"/>
      <c r="AF572" s="34">
        <v>1</v>
      </c>
      <c r="AG572" s="34"/>
      <c r="AH572" s="535"/>
      <c r="AI572" s="294"/>
    </row>
    <row r="573" spans="1:35" x14ac:dyDescent="0.2">
      <c r="A573" s="294"/>
      <c r="B573" s="922"/>
      <c r="C573" s="66">
        <v>3</v>
      </c>
      <c r="D573" s="3" t="s">
        <v>762</v>
      </c>
      <c r="E573" s="3" t="s">
        <v>756</v>
      </c>
      <c r="F573" s="3" t="s">
        <v>21</v>
      </c>
      <c r="G573" s="3" t="s">
        <v>841</v>
      </c>
      <c r="H573" s="3" t="s">
        <v>773</v>
      </c>
      <c r="I573" s="5" t="str">
        <f t="shared" si="228"/>
        <v/>
      </c>
      <c r="J573" s="26"/>
      <c r="K573" s="26">
        <f t="shared" si="229"/>
        <v>0</v>
      </c>
      <c r="L573" s="96">
        <f t="shared" si="229"/>
        <v>0</v>
      </c>
      <c r="M573" s="111">
        <f t="shared" si="229"/>
        <v>0</v>
      </c>
      <c r="N573" s="4">
        <f t="shared" si="229"/>
        <v>0</v>
      </c>
      <c r="O573" s="504">
        <f>IF(O$5&lt;$K573,0,MIN($L573-SUM($N573:N573),$L573*$M573))</f>
        <v>0</v>
      </c>
      <c r="P573" s="504">
        <f>IF(P$5&lt;$K573,0,MIN($L573-SUM($N573:O573),$L573*$M573))</f>
        <v>0</v>
      </c>
      <c r="Q573" s="60"/>
      <c r="R573" s="60"/>
      <c r="S573" s="4">
        <f>IF(S$5&lt;$K573,0,MIN($L573-SUM($N573:R573),ABS($L573*$M573)))</f>
        <v>0</v>
      </c>
      <c r="T573" s="4">
        <f>IF(T$5&lt;$K573,0,MIN($L573-SUM($N573:S573),ABS($L573*$M573)))</f>
        <v>0</v>
      </c>
      <c r="U573" s="4">
        <f>IF(U$5&lt;$K573,0,MIN($L573-SUM($N573:T573),ABS($L573*$M573)))</f>
        <v>0</v>
      </c>
      <c r="V573" s="4">
        <f>IF(V$5&lt;$K573,0,MIN($L573-SUM($N573:U573),ABS($L573*$M573)))</f>
        <v>0</v>
      </c>
      <c r="W573" s="4">
        <f>IF(W$5&lt;$K573,0,MIN($L573-SUM($N573:V573),ABS($L573*$M573)))</f>
        <v>0</v>
      </c>
      <c r="X573" s="4">
        <f>IF(X$5&lt;$K573,0,MIN($L573-SUM($N573:W573),ABS($L573*$M573)))</f>
        <v>0</v>
      </c>
      <c r="Y573" s="604"/>
      <c r="Z573" s="3" t="str">
        <f>VLOOKUP($D573,TableInputsData[],ReadMe!$M$3,FALSE)&amp;"  |  "&amp;VLOOKUP($E573,TableInputsData[],ReadMe!$M$3,FALSE)&amp;"  |  "&amp;VLOOKUP($H573,TableInputsData[],ReadMe!$M$3,FALSE)</f>
        <v>ACTIFS MATERIEL IMMOBILISES  |  AMORTISSEMENTS  |  AUTRES ACTIFS</v>
      </c>
      <c r="AA573" s="3"/>
      <c r="AB573" s="34">
        <f t="shared" si="230"/>
        <v>0</v>
      </c>
      <c r="AC573" s="34"/>
      <c r="AD573" s="34"/>
      <c r="AE573" s="26"/>
      <c r="AF573" s="34">
        <v>1</v>
      </c>
      <c r="AG573" s="34"/>
      <c r="AH573" s="535"/>
      <c r="AI573" s="294"/>
    </row>
    <row r="574" spans="1:35" x14ac:dyDescent="0.2">
      <c r="A574" s="294"/>
      <c r="B574" s="922"/>
      <c r="C574" s="66">
        <v>3</v>
      </c>
      <c r="D574" s="3" t="s">
        <v>762</v>
      </c>
      <c r="E574" s="3" t="s">
        <v>756</v>
      </c>
      <c r="F574" s="3" t="s">
        <v>21</v>
      </c>
      <c r="G574" s="3" t="s">
        <v>842</v>
      </c>
      <c r="H574" s="3" t="s">
        <v>773</v>
      </c>
      <c r="I574" s="5" t="str">
        <f t="shared" si="228"/>
        <v/>
      </c>
      <c r="J574" s="26"/>
      <c r="K574" s="26">
        <f t="shared" si="229"/>
        <v>0</v>
      </c>
      <c r="L574" s="96">
        <f t="shared" si="229"/>
        <v>0</v>
      </c>
      <c r="M574" s="111">
        <f t="shared" si="229"/>
        <v>0</v>
      </c>
      <c r="N574" s="4">
        <f t="shared" si="229"/>
        <v>0</v>
      </c>
      <c r="O574" s="504">
        <f>IF(O$5&lt;$K574,0,MIN($L574-SUM($N574:N574),$L574*$M574))</f>
        <v>0</v>
      </c>
      <c r="P574" s="504">
        <f>IF(P$5&lt;$K574,0,MIN($L574-SUM($N574:O574),$L574*$M574))</f>
        <v>0</v>
      </c>
      <c r="Q574" s="60"/>
      <c r="R574" s="60"/>
      <c r="S574" s="4">
        <f>IF(S$5&lt;$K574,0,MIN($L574-SUM($N574:R574),ABS($L574*$M574)))</f>
        <v>0</v>
      </c>
      <c r="T574" s="4">
        <f>IF(T$5&lt;$K574,0,MIN($L574-SUM($N574:S574),ABS($L574*$M574)))</f>
        <v>0</v>
      </c>
      <c r="U574" s="4">
        <f>IF(U$5&lt;$K574,0,MIN($L574-SUM($N574:T574),ABS($L574*$M574)))</f>
        <v>0</v>
      </c>
      <c r="V574" s="4">
        <f>IF(V$5&lt;$K574,0,MIN($L574-SUM($N574:U574),ABS($L574*$M574)))</f>
        <v>0</v>
      </c>
      <c r="W574" s="4">
        <f>IF(W$5&lt;$K574,0,MIN($L574-SUM($N574:V574),ABS($L574*$M574)))</f>
        <v>0</v>
      </c>
      <c r="X574" s="4">
        <f>IF(X$5&lt;$K574,0,MIN($L574-SUM($N574:W574),ABS($L574*$M574)))</f>
        <v>0</v>
      </c>
      <c r="Y574" s="604"/>
      <c r="Z574" s="3" t="str">
        <f>VLOOKUP($D574,TableInputsData[],ReadMe!$M$3,FALSE)&amp;"  |  "&amp;VLOOKUP($E574,TableInputsData[],ReadMe!$M$3,FALSE)&amp;"  |  "&amp;VLOOKUP($H574,TableInputsData[],ReadMe!$M$3,FALSE)</f>
        <v>ACTIFS MATERIEL IMMOBILISES  |  AMORTISSEMENTS  |  AUTRES ACTIFS</v>
      </c>
      <c r="AA574" s="3"/>
      <c r="AB574" s="34">
        <f t="shared" si="230"/>
        <v>0</v>
      </c>
      <c r="AC574" s="34"/>
      <c r="AD574" s="34"/>
      <c r="AE574" s="26"/>
      <c r="AF574" s="34">
        <v>1</v>
      </c>
      <c r="AG574" s="34"/>
      <c r="AH574" s="535"/>
      <c r="AI574" s="294"/>
    </row>
    <row r="575" spans="1:35" x14ac:dyDescent="0.2">
      <c r="A575" s="294"/>
      <c r="B575" s="922"/>
      <c r="C575" s="66">
        <v>3</v>
      </c>
      <c r="D575" s="3" t="s">
        <v>762</v>
      </c>
      <c r="E575" s="3" t="s">
        <v>756</v>
      </c>
      <c r="F575" s="3" t="s">
        <v>21</v>
      </c>
      <c r="G575" s="3" t="s">
        <v>843</v>
      </c>
      <c r="H575" s="3" t="s">
        <v>773</v>
      </c>
      <c r="I575" s="5" t="str">
        <f t="shared" si="228"/>
        <v/>
      </c>
      <c r="J575" s="26"/>
      <c r="K575" s="26">
        <f t="shared" si="229"/>
        <v>0</v>
      </c>
      <c r="L575" s="96">
        <f t="shared" si="229"/>
        <v>0</v>
      </c>
      <c r="M575" s="111">
        <f t="shared" si="229"/>
        <v>0</v>
      </c>
      <c r="N575" s="4">
        <f t="shared" si="229"/>
        <v>0</v>
      </c>
      <c r="O575" s="504">
        <f>IF(O$5&lt;$K575,0,MIN($L575-SUM($N575:N575),$L575*$M575))</f>
        <v>0</v>
      </c>
      <c r="P575" s="504">
        <f>IF(P$5&lt;$K575,0,MIN($L575-SUM($N575:O575),$L575*$M575))</f>
        <v>0</v>
      </c>
      <c r="Q575" s="60"/>
      <c r="R575" s="60"/>
      <c r="S575" s="4">
        <f>IF(S$5&lt;$K575,0,MIN($L575-SUM($N575:R575),ABS($L575*$M575)))</f>
        <v>0</v>
      </c>
      <c r="T575" s="4">
        <f>IF(T$5&lt;$K575,0,MIN($L575-SUM($N575:S575),ABS($L575*$M575)))</f>
        <v>0</v>
      </c>
      <c r="U575" s="4">
        <f>IF(U$5&lt;$K575,0,MIN($L575-SUM($N575:T575),ABS($L575*$M575)))</f>
        <v>0</v>
      </c>
      <c r="V575" s="4">
        <f>IF(V$5&lt;$K575,0,MIN($L575-SUM($N575:U575),ABS($L575*$M575)))</f>
        <v>0</v>
      </c>
      <c r="W575" s="4">
        <f>IF(W$5&lt;$K575,0,MIN($L575-SUM($N575:V575),ABS($L575*$M575)))</f>
        <v>0</v>
      </c>
      <c r="X575" s="4">
        <f>IF(X$5&lt;$K575,0,MIN($L575-SUM($N575:W575),ABS($L575*$M575)))</f>
        <v>0</v>
      </c>
      <c r="Y575" s="604"/>
      <c r="Z575" s="3" t="str">
        <f>VLOOKUP($D575,TableInputsData[],ReadMe!$M$3,FALSE)&amp;"  |  "&amp;VLOOKUP($E575,TableInputsData[],ReadMe!$M$3,FALSE)&amp;"  |  "&amp;VLOOKUP($H575,TableInputsData[],ReadMe!$M$3,FALSE)</f>
        <v>ACTIFS MATERIEL IMMOBILISES  |  AMORTISSEMENTS  |  AUTRES ACTIFS</v>
      </c>
      <c r="AA575" s="3"/>
      <c r="AB575" s="34">
        <f t="shared" si="230"/>
        <v>0</v>
      </c>
      <c r="AC575" s="34"/>
      <c r="AD575" s="34"/>
      <c r="AE575" s="26"/>
      <c r="AF575" s="34">
        <v>1</v>
      </c>
      <c r="AG575" s="34"/>
      <c r="AH575" s="535"/>
      <c r="AI575" s="294"/>
    </row>
    <row r="576" spans="1:35" x14ac:dyDescent="0.2">
      <c r="A576" s="294"/>
      <c r="B576" s="922"/>
      <c r="C576" s="67">
        <v>3</v>
      </c>
      <c r="D576" s="16" t="s">
        <v>762</v>
      </c>
      <c r="E576" s="16" t="s">
        <v>756</v>
      </c>
      <c r="F576" s="16" t="s">
        <v>21</v>
      </c>
      <c r="G576" s="16" t="s">
        <v>844</v>
      </c>
      <c r="H576" s="17" t="s">
        <v>1166</v>
      </c>
      <c r="I576" s="17"/>
      <c r="J576" s="27"/>
      <c r="K576" s="27"/>
      <c r="L576" s="18">
        <f>SUM(L556:L575)</f>
        <v>0</v>
      </c>
      <c r="M576" s="112"/>
      <c r="N576" s="18">
        <f>SUM(N556:N575)</f>
        <v>0</v>
      </c>
      <c r="O576" s="18">
        <f>SUM(O556:O575)</f>
        <v>0</v>
      </c>
      <c r="P576" s="18">
        <f>SUM(P556:P575)</f>
        <v>0</v>
      </c>
      <c r="Q576" s="18"/>
      <c r="R576" s="18"/>
      <c r="S576" s="18">
        <f t="shared" ref="S576:X576" si="231">SUM(S556:S575)</f>
        <v>0</v>
      </c>
      <c r="T576" s="18">
        <f t="shared" si="231"/>
        <v>0</v>
      </c>
      <c r="U576" s="18">
        <f t="shared" si="231"/>
        <v>0</v>
      </c>
      <c r="V576" s="18">
        <f t="shared" si="231"/>
        <v>0</v>
      </c>
      <c r="W576" s="18">
        <f t="shared" si="231"/>
        <v>0</v>
      </c>
      <c r="X576" s="18">
        <f t="shared" si="231"/>
        <v>0</v>
      </c>
      <c r="Y576" s="18"/>
      <c r="Z576" s="16" t="str">
        <f>VLOOKUP($D576,TableInputsData[],ReadMe!$M$3,FALSE)&amp;"  |  "&amp;VLOOKUP($E576,TableInputsData[],ReadMe!$M$3,FALSE)&amp;"  |  "&amp;VLOOKUP($H576,TableInputsData[],ReadMe!$M$3,FALSE)</f>
        <v>ACTIFS MATERIEL IMMOBILISES  |  AMORTISSEMENTS  |  TOTAL AUTRES ACTIFS</v>
      </c>
      <c r="AA576" s="16"/>
      <c r="AB576" s="27">
        <v>1</v>
      </c>
      <c r="AC576" s="27">
        <v>1</v>
      </c>
      <c r="AD576" s="27"/>
      <c r="AE576" s="27"/>
      <c r="AF576" s="27">
        <v>1</v>
      </c>
      <c r="AG576" s="27"/>
      <c r="AH576" s="533"/>
      <c r="AI576" s="294"/>
    </row>
    <row r="577" spans="1:35" x14ac:dyDescent="0.2">
      <c r="A577" s="294"/>
      <c r="B577" s="922"/>
      <c r="C577" s="70">
        <v>3</v>
      </c>
      <c r="D577" s="6"/>
      <c r="E577" s="6"/>
      <c r="F577" s="6"/>
      <c r="G577" s="6"/>
      <c r="H577" s="11"/>
      <c r="I577" s="11"/>
      <c r="J577" s="91"/>
      <c r="K577" s="91"/>
      <c r="L577" s="105"/>
      <c r="M577" s="121"/>
      <c r="N577" s="855"/>
      <c r="O577" s="7"/>
      <c r="P577" s="7"/>
      <c r="Q577" s="7"/>
      <c r="R577" s="7"/>
      <c r="S577" s="7"/>
      <c r="T577" s="7"/>
      <c r="U577" s="7"/>
      <c r="V577" s="7"/>
      <c r="W577" s="7"/>
      <c r="X577" s="7"/>
      <c r="Y577" s="7"/>
      <c r="Z577" s="6"/>
      <c r="AA577" s="6"/>
      <c r="AB577" s="36"/>
      <c r="AC577" s="36"/>
      <c r="AD577" s="36"/>
      <c r="AE577" s="91"/>
      <c r="AF577" s="36"/>
      <c r="AG577" s="36"/>
      <c r="AH577" s="536"/>
      <c r="AI577" s="294"/>
    </row>
    <row r="578" spans="1:35" x14ac:dyDescent="0.2">
      <c r="A578" s="294"/>
      <c r="B578" s="922"/>
      <c r="C578" s="67">
        <v>3</v>
      </c>
      <c r="D578" s="16" t="s">
        <v>762</v>
      </c>
      <c r="E578" s="16" t="s">
        <v>756</v>
      </c>
      <c r="F578" s="16" t="s">
        <v>21</v>
      </c>
      <c r="G578" s="16" t="s">
        <v>847</v>
      </c>
      <c r="H578" s="17" t="s">
        <v>1165</v>
      </c>
      <c r="I578" s="17"/>
      <c r="J578" s="27"/>
      <c r="K578" s="27"/>
      <c r="L578" s="97">
        <f>L542+L554+L576</f>
        <v>0</v>
      </c>
      <c r="M578" s="112"/>
      <c r="N578" s="18">
        <f>N542+N554+N576</f>
        <v>0</v>
      </c>
      <c r="O578" s="97">
        <f>O542+O554+O576</f>
        <v>0</v>
      </c>
      <c r="P578" s="97">
        <f t="shared" ref="P578:X578" si="232">P542+P554+P576</f>
        <v>0</v>
      </c>
      <c r="Q578" s="97"/>
      <c r="R578" s="97"/>
      <c r="S578" s="97">
        <f t="shared" si="232"/>
        <v>0</v>
      </c>
      <c r="T578" s="97">
        <f t="shared" si="232"/>
        <v>0</v>
      </c>
      <c r="U578" s="97">
        <f t="shared" si="232"/>
        <v>0</v>
      </c>
      <c r="V578" s="97">
        <f t="shared" si="232"/>
        <v>0</v>
      </c>
      <c r="W578" s="97">
        <f t="shared" si="232"/>
        <v>0</v>
      </c>
      <c r="X578" s="97">
        <f t="shared" si="232"/>
        <v>0</v>
      </c>
      <c r="Y578" s="97"/>
      <c r="Z578" s="16" t="str">
        <f>VLOOKUP($D578,TableInputsData[],ReadMe!$M$3,FALSE)&amp;"  |  "&amp;VLOOKUP($E578,TableInputsData[],ReadMe!$M$3,FALSE)&amp;"  |  "&amp;VLOOKUP($H578,TableInputsData[],ReadMe!$M$3,FALSE)</f>
        <v>ACTIFS MATERIEL IMMOBILISES  |  AMORTISSEMENTS  |  TOTAL ACTIFS IMMOBILISES</v>
      </c>
      <c r="AA578" s="16"/>
      <c r="AB578" s="27">
        <v>1</v>
      </c>
      <c r="AC578" s="27">
        <v>1</v>
      </c>
      <c r="AD578" s="27"/>
      <c r="AE578" s="27"/>
      <c r="AF578" s="27">
        <v>1</v>
      </c>
      <c r="AG578" s="27"/>
      <c r="AH578" s="533"/>
      <c r="AI578" s="294"/>
    </row>
    <row r="579" spans="1:35" x14ac:dyDescent="0.2">
      <c r="A579" s="294"/>
      <c r="B579" s="922"/>
      <c r="C579" s="71">
        <v>3</v>
      </c>
      <c r="D579" s="8"/>
      <c r="E579" s="8"/>
      <c r="F579" s="8"/>
      <c r="G579" s="8"/>
      <c r="H579" s="9"/>
      <c r="I579" s="9"/>
      <c r="J579" s="87"/>
      <c r="K579" s="87"/>
      <c r="L579" s="98"/>
      <c r="M579" s="113"/>
      <c r="N579" s="10"/>
      <c r="O579" s="10"/>
      <c r="P579" s="10"/>
      <c r="Q579" s="10"/>
      <c r="R579" s="10"/>
      <c r="S579" s="10"/>
      <c r="T579" s="10"/>
      <c r="U579" s="10"/>
      <c r="V579" s="10"/>
      <c r="W579" s="10"/>
      <c r="X579" s="10"/>
      <c r="Y579" s="10"/>
      <c r="Z579" s="8"/>
      <c r="AA579" s="8"/>
      <c r="AB579" s="35"/>
      <c r="AC579" s="35"/>
      <c r="AD579" s="35"/>
      <c r="AE579" s="87"/>
      <c r="AF579" s="35"/>
      <c r="AG579" s="35"/>
      <c r="AH579" s="534"/>
      <c r="AI579" s="294"/>
    </row>
    <row r="580" spans="1:35" x14ac:dyDescent="0.2">
      <c r="A580" s="294"/>
      <c r="B580" s="922"/>
      <c r="C580" s="66">
        <v>3</v>
      </c>
      <c r="D580" s="3" t="s">
        <v>763</v>
      </c>
      <c r="E580" s="3" t="s">
        <v>756</v>
      </c>
      <c r="F580" s="3" t="s">
        <v>21</v>
      </c>
      <c r="G580" s="3" t="s">
        <v>848</v>
      </c>
      <c r="H580" s="5" t="s">
        <v>763</v>
      </c>
      <c r="I580" s="5" t="str">
        <f>IF(I486="","",I486)</f>
        <v/>
      </c>
      <c r="J580" s="26"/>
      <c r="K580" s="26">
        <f t="shared" ref="K580:N584" si="233">IF(K486="",0,K486)</f>
        <v>0</v>
      </c>
      <c r="L580" s="96">
        <f t="shared" si="233"/>
        <v>0</v>
      </c>
      <c r="M580" s="111">
        <f t="shared" si="233"/>
        <v>0.2</v>
      </c>
      <c r="N580" s="4">
        <f t="shared" si="233"/>
        <v>0</v>
      </c>
      <c r="O580" s="504">
        <f>IF(O$5&lt;$K580,0,MIN($L580-SUM($N580:N580),$L580*$M580))</f>
        <v>0</v>
      </c>
      <c r="P580" s="504">
        <f>IF(P$5&lt;$K580,0,MIN($L580-SUM($N580:O580),$L580*$M580))</f>
        <v>0</v>
      </c>
      <c r="Q580" s="60"/>
      <c r="R580" s="60"/>
      <c r="S580" s="4">
        <f>IF(S$5&lt;$K580,0,MIN($L580-SUM($N580:R580),ABS($L580*$M580)))</f>
        <v>0</v>
      </c>
      <c r="T580" s="4">
        <f>IF(T$5&lt;$K580,0,MIN($L580-SUM($N580:S580),ABS($L580*$M580)))</f>
        <v>0</v>
      </c>
      <c r="U580" s="4">
        <f>IF(U$5&lt;$K580,0,MIN($L580-SUM($N580:T580),ABS($L580*$M580)))</f>
        <v>0</v>
      </c>
      <c r="V580" s="4">
        <f>IF(V$5&lt;$K580,0,MIN($L580-SUM($N580:U580),ABS($L580*$M580)))</f>
        <v>0</v>
      </c>
      <c r="W580" s="4">
        <f>IF(W$5&lt;$K580,0,MIN($L580-SUM($N580:V580),ABS($L580*$M580)))</f>
        <v>0</v>
      </c>
      <c r="X580" s="4">
        <f>IF(X$5&lt;$K580,0,MIN($L580-SUM($N580:W580),ABS($L580*$M580)))</f>
        <v>0</v>
      </c>
      <c r="Y580" s="4"/>
      <c r="Z580" s="3" t="str">
        <f>VLOOKUP($D580,TableInputsData[],ReadMe!$M$3,FALSE)&amp;"  |  "&amp;VLOOKUP($E580,TableInputsData[],ReadMe!$M$3,FALSE)&amp;"  |  "&amp;VLOOKUP($H580,TableInputsData[],ReadMe!$M$3,FALSE)</f>
        <v>ACTIFS IMMATERIELS  |  AMORTISSEMENTS  |  ACTIFS IMMATERIELS</v>
      </c>
      <c r="AA580" s="3"/>
      <c r="AB580" s="34">
        <f>IF(L580+SUM(O580:X580)=0,0,1)</f>
        <v>0</v>
      </c>
      <c r="AC580" s="34"/>
      <c r="AD580" s="34"/>
      <c r="AE580" s="26"/>
      <c r="AF580" s="34">
        <v>1</v>
      </c>
      <c r="AG580" s="34"/>
      <c r="AH580" s="535"/>
      <c r="AI580" s="294"/>
    </row>
    <row r="581" spans="1:35" x14ac:dyDescent="0.2">
      <c r="A581" s="294"/>
      <c r="B581" s="922"/>
      <c r="C581" s="66">
        <v>3</v>
      </c>
      <c r="D581" s="3" t="s">
        <v>763</v>
      </c>
      <c r="E581" s="3" t="s">
        <v>756</v>
      </c>
      <c r="F581" s="3" t="s">
        <v>21</v>
      </c>
      <c r="G581" s="3" t="s">
        <v>849</v>
      </c>
      <c r="H581" s="5" t="s">
        <v>763</v>
      </c>
      <c r="I581" s="5" t="str">
        <f>IF(I487="","",I487)</f>
        <v/>
      </c>
      <c r="J581" s="26"/>
      <c r="K581" s="26">
        <f t="shared" si="233"/>
        <v>0</v>
      </c>
      <c r="L581" s="96">
        <f t="shared" si="233"/>
        <v>0</v>
      </c>
      <c r="M581" s="111">
        <f t="shared" si="233"/>
        <v>0.2</v>
      </c>
      <c r="N581" s="4">
        <f t="shared" si="233"/>
        <v>0</v>
      </c>
      <c r="O581" s="504">
        <f>IF(O$5&lt;$K581,0,MIN($L581-SUM($N581:N581),$L581*$M581))</f>
        <v>0</v>
      </c>
      <c r="P581" s="504">
        <f>IF(P$5&lt;$K581,0,MIN($L581-SUM($N581:O581),$L581*$M581))</f>
        <v>0</v>
      </c>
      <c r="Q581" s="60"/>
      <c r="R581" s="60"/>
      <c r="S581" s="4">
        <f>IF(S$5&lt;$K581,0,MIN($L581-SUM($N581:R581),ABS($L581*$M581)))</f>
        <v>0</v>
      </c>
      <c r="T581" s="4">
        <f>IF(T$5&lt;$K581,0,MIN($L581-SUM($N581:S581),ABS($L581*$M581)))</f>
        <v>0</v>
      </c>
      <c r="U581" s="4">
        <f>IF(U$5&lt;$K581,0,MIN($L581-SUM($N581:T581),ABS($L581*$M581)))</f>
        <v>0</v>
      </c>
      <c r="V581" s="4">
        <f>IF(V$5&lt;$K581,0,MIN($L581-SUM($N581:U581),ABS($L581*$M581)))</f>
        <v>0</v>
      </c>
      <c r="W581" s="4">
        <f>IF(W$5&lt;$K581,0,MIN($L581-SUM($N581:V581),ABS($L581*$M581)))</f>
        <v>0</v>
      </c>
      <c r="X581" s="4">
        <f>IF(X$5&lt;$K581,0,MIN($L581-SUM($N581:W581),ABS($L581*$M581)))</f>
        <v>0</v>
      </c>
      <c r="Y581" s="4"/>
      <c r="Z581" s="3" t="str">
        <f>VLOOKUP($D581,TableInputsData[],ReadMe!$M$3,FALSE)&amp;"  |  "&amp;VLOOKUP($E581,TableInputsData[],ReadMe!$M$3,FALSE)&amp;"  |  "&amp;VLOOKUP($H581,TableInputsData[],ReadMe!$M$3,FALSE)</f>
        <v>ACTIFS IMMATERIELS  |  AMORTISSEMENTS  |  ACTIFS IMMATERIELS</v>
      </c>
      <c r="AA581" s="3"/>
      <c r="AB581" s="34">
        <f>IF(L581+SUM(O581:X581)=0,0,1)</f>
        <v>0</v>
      </c>
      <c r="AC581" s="34"/>
      <c r="AD581" s="34"/>
      <c r="AE581" s="26"/>
      <c r="AF581" s="34">
        <v>1</v>
      </c>
      <c r="AG581" s="34"/>
      <c r="AH581" s="535"/>
      <c r="AI581" s="294"/>
    </row>
    <row r="582" spans="1:35" x14ac:dyDescent="0.2">
      <c r="A582" s="294"/>
      <c r="B582" s="922"/>
      <c r="C582" s="66">
        <v>3</v>
      </c>
      <c r="D582" s="3" t="s">
        <v>763</v>
      </c>
      <c r="E582" s="3" t="s">
        <v>756</v>
      </c>
      <c r="F582" s="3" t="s">
        <v>21</v>
      </c>
      <c r="G582" s="3" t="s">
        <v>850</v>
      </c>
      <c r="H582" s="5" t="s">
        <v>763</v>
      </c>
      <c r="I582" s="5" t="str">
        <f>IF(I488="","",I488)</f>
        <v/>
      </c>
      <c r="J582" s="26"/>
      <c r="K582" s="26">
        <f t="shared" si="233"/>
        <v>0</v>
      </c>
      <c r="L582" s="96">
        <f t="shared" si="233"/>
        <v>0</v>
      </c>
      <c r="M582" s="111">
        <f t="shared" si="233"/>
        <v>0.2</v>
      </c>
      <c r="N582" s="4">
        <f t="shared" si="233"/>
        <v>0</v>
      </c>
      <c r="O582" s="504">
        <f>IF(O$5&lt;$K582,0,MIN($L582-SUM($N582:N582),$L582*$M582))</f>
        <v>0</v>
      </c>
      <c r="P582" s="504">
        <f>IF(P$5&lt;$K582,0,MIN($L582-SUM($N582:O582),$L582*$M582))</f>
        <v>0</v>
      </c>
      <c r="Q582" s="60"/>
      <c r="R582" s="60"/>
      <c r="S582" s="4">
        <f>IF(S$5&lt;$K582,0,MIN($L582-SUM($N582:R582),ABS($L582*$M582)))</f>
        <v>0</v>
      </c>
      <c r="T582" s="4">
        <f>IF(T$5&lt;$K582,0,MIN($L582-SUM($N582:S582),ABS($L582*$M582)))</f>
        <v>0</v>
      </c>
      <c r="U582" s="4">
        <f>IF(U$5&lt;$K582,0,MIN($L582-SUM($N582:T582),ABS($L582*$M582)))</f>
        <v>0</v>
      </c>
      <c r="V582" s="4">
        <f>IF(V$5&lt;$K582,0,MIN($L582-SUM($N582:U582),ABS($L582*$M582)))</f>
        <v>0</v>
      </c>
      <c r="W582" s="4">
        <f>IF(W$5&lt;$K582,0,MIN($L582-SUM($N582:V582),ABS($L582*$M582)))</f>
        <v>0</v>
      </c>
      <c r="X582" s="4">
        <f>IF(X$5&lt;$K582,0,MIN($L582-SUM($N582:W582),ABS($L582*$M582)))</f>
        <v>0</v>
      </c>
      <c r="Y582" s="4"/>
      <c r="Z582" s="3" t="str">
        <f>VLOOKUP($D582,TableInputsData[],ReadMe!$M$3,FALSE)&amp;"  |  "&amp;VLOOKUP($E582,TableInputsData[],ReadMe!$M$3,FALSE)&amp;"  |  "&amp;VLOOKUP($H582,TableInputsData[],ReadMe!$M$3,FALSE)</f>
        <v>ACTIFS IMMATERIELS  |  AMORTISSEMENTS  |  ACTIFS IMMATERIELS</v>
      </c>
      <c r="AA582" s="3"/>
      <c r="AB582" s="34">
        <f>IF(L582+SUM(O582:X582)=0,0,1)</f>
        <v>0</v>
      </c>
      <c r="AC582" s="34"/>
      <c r="AD582" s="34"/>
      <c r="AE582" s="26"/>
      <c r="AF582" s="34">
        <v>1</v>
      </c>
      <c r="AG582" s="34"/>
      <c r="AH582" s="535"/>
      <c r="AI582" s="294"/>
    </row>
    <row r="583" spans="1:35" x14ac:dyDescent="0.2">
      <c r="A583" s="294"/>
      <c r="B583" s="922"/>
      <c r="C583" s="66">
        <v>3</v>
      </c>
      <c r="D583" s="3" t="s">
        <v>763</v>
      </c>
      <c r="E583" s="3" t="s">
        <v>756</v>
      </c>
      <c r="F583" s="3" t="s">
        <v>21</v>
      </c>
      <c r="G583" s="3" t="s">
        <v>851</v>
      </c>
      <c r="H583" s="5" t="s">
        <v>763</v>
      </c>
      <c r="I583" s="5" t="str">
        <f>IF(I489="","",I489)</f>
        <v/>
      </c>
      <c r="J583" s="26"/>
      <c r="K583" s="26">
        <f t="shared" si="233"/>
        <v>0</v>
      </c>
      <c r="L583" s="96">
        <f t="shared" si="233"/>
        <v>0</v>
      </c>
      <c r="M583" s="111">
        <f t="shared" si="233"/>
        <v>0.2</v>
      </c>
      <c r="N583" s="4">
        <f t="shared" si="233"/>
        <v>0</v>
      </c>
      <c r="O583" s="504">
        <f>IF(O$5&lt;$K583,0,MIN($L583-SUM($N583:N583),$L583*$M583))</f>
        <v>0</v>
      </c>
      <c r="P583" s="504">
        <f>IF(P$5&lt;$K583,0,MIN($L583-SUM($N583:O583),$L583*$M583))</f>
        <v>0</v>
      </c>
      <c r="Q583" s="60"/>
      <c r="R583" s="60"/>
      <c r="S583" s="4">
        <f>IF(S$5&lt;$K583,0,MIN($L583-SUM($N583:R583),ABS($L583*$M583)))</f>
        <v>0</v>
      </c>
      <c r="T583" s="4">
        <f>IF(T$5&lt;$K583,0,MIN($L583-SUM($N583:S583),ABS($L583*$M583)))</f>
        <v>0</v>
      </c>
      <c r="U583" s="4">
        <f>IF(U$5&lt;$K583,0,MIN($L583-SUM($N583:T583),ABS($L583*$M583)))</f>
        <v>0</v>
      </c>
      <c r="V583" s="4">
        <f>IF(V$5&lt;$K583,0,MIN($L583-SUM($N583:U583),ABS($L583*$M583)))</f>
        <v>0</v>
      </c>
      <c r="W583" s="4">
        <f>IF(W$5&lt;$K583,0,MIN($L583-SUM($N583:V583),ABS($L583*$M583)))</f>
        <v>0</v>
      </c>
      <c r="X583" s="4">
        <f>IF(X$5&lt;$K583,0,MIN($L583-SUM($N583:W583),ABS($L583*$M583)))</f>
        <v>0</v>
      </c>
      <c r="Y583" s="4"/>
      <c r="Z583" s="3" t="str">
        <f>VLOOKUP($D583,TableInputsData[],ReadMe!$M$3,FALSE)&amp;"  |  "&amp;VLOOKUP($E583,TableInputsData[],ReadMe!$M$3,FALSE)&amp;"  |  "&amp;VLOOKUP($H583,TableInputsData[],ReadMe!$M$3,FALSE)</f>
        <v>ACTIFS IMMATERIELS  |  AMORTISSEMENTS  |  ACTIFS IMMATERIELS</v>
      </c>
      <c r="AA583" s="3"/>
      <c r="AB583" s="34">
        <f>IF(L583+SUM(O583:X583)=0,0,1)</f>
        <v>0</v>
      </c>
      <c r="AC583" s="34"/>
      <c r="AD583" s="34"/>
      <c r="AE583" s="26"/>
      <c r="AF583" s="34">
        <v>1</v>
      </c>
      <c r="AG583" s="34"/>
      <c r="AH583" s="535"/>
      <c r="AI583" s="294"/>
    </row>
    <row r="584" spans="1:35" x14ac:dyDescent="0.2">
      <c r="A584" s="294"/>
      <c r="B584" s="922"/>
      <c r="C584" s="70">
        <v>3</v>
      </c>
      <c r="D584" s="6" t="s">
        <v>763</v>
      </c>
      <c r="E584" s="6" t="s">
        <v>756</v>
      </c>
      <c r="F584" s="6" t="s">
        <v>21</v>
      </c>
      <c r="G584" s="3" t="s">
        <v>852</v>
      </c>
      <c r="H584" s="11" t="s">
        <v>763</v>
      </c>
      <c r="I584" s="5" t="str">
        <f>IF(I490="","",I490)</f>
        <v/>
      </c>
      <c r="J584" s="26"/>
      <c r="K584" s="26">
        <f t="shared" si="233"/>
        <v>0</v>
      </c>
      <c r="L584" s="96">
        <f t="shared" si="233"/>
        <v>0</v>
      </c>
      <c r="M584" s="111">
        <f t="shared" si="233"/>
        <v>0.2</v>
      </c>
      <c r="N584" s="4">
        <f t="shared" si="233"/>
        <v>0</v>
      </c>
      <c r="O584" s="504">
        <f>IF(O$5&lt;$K584,0,MIN($L584-SUM($N584:N584),$L584*$M584))</f>
        <v>0</v>
      </c>
      <c r="P584" s="504">
        <f>IF(P$5&lt;$K584,0,MIN($L584-SUM($N584:O584),$L584*$M584))</f>
        <v>0</v>
      </c>
      <c r="Q584" s="60"/>
      <c r="R584" s="60"/>
      <c r="S584" s="4">
        <f>IF(S$5&lt;$K584,0,MIN($L584-SUM($N584:R584),ABS($L584*$M584)))</f>
        <v>0</v>
      </c>
      <c r="T584" s="4">
        <f>IF(T$5&lt;$K584,0,MIN($L584-SUM($N584:S584),ABS($L584*$M584)))</f>
        <v>0</v>
      </c>
      <c r="U584" s="4">
        <f>IF(U$5&lt;$K584,0,MIN($L584-SUM($N584:T584),ABS($L584*$M584)))</f>
        <v>0</v>
      </c>
      <c r="V584" s="4">
        <f>IF(V$5&lt;$K584,0,MIN($L584-SUM($N584:U584),ABS($L584*$M584)))</f>
        <v>0</v>
      </c>
      <c r="W584" s="4">
        <f>IF(W$5&lt;$K584,0,MIN($L584-SUM($N584:V584),ABS($L584*$M584)))</f>
        <v>0</v>
      </c>
      <c r="X584" s="4">
        <f>IF(X$5&lt;$K584,0,MIN($L584-SUM($N584:W584),ABS($L584*$M584)))</f>
        <v>0</v>
      </c>
      <c r="Y584" s="7"/>
      <c r="Z584" s="6" t="str">
        <f>VLOOKUP($D584,TableInputsData[],ReadMe!$M$3,FALSE)&amp;"  |  "&amp;VLOOKUP($E584,TableInputsData[],ReadMe!$M$3,FALSE)&amp;"  |  "&amp;VLOOKUP($H584,TableInputsData[],ReadMe!$M$3,FALSE)</f>
        <v>ACTIFS IMMATERIELS  |  AMORTISSEMENTS  |  ACTIFS IMMATERIELS</v>
      </c>
      <c r="AA584" s="6"/>
      <c r="AB584" s="34">
        <f>IF(L584+SUM(O584:X584)=0,0,1)</f>
        <v>0</v>
      </c>
      <c r="AC584" s="36"/>
      <c r="AD584" s="36"/>
      <c r="AE584" s="91"/>
      <c r="AF584" s="36">
        <v>1</v>
      </c>
      <c r="AG584" s="36"/>
      <c r="AH584" s="536"/>
      <c r="AI584" s="294"/>
    </row>
    <row r="585" spans="1:35" x14ac:dyDescent="0.2">
      <c r="A585" s="294"/>
      <c r="B585" s="922"/>
      <c r="C585" s="67">
        <v>3</v>
      </c>
      <c r="D585" s="16" t="s">
        <v>763</v>
      </c>
      <c r="E585" s="16" t="s">
        <v>756</v>
      </c>
      <c r="F585" s="16" t="s">
        <v>21</v>
      </c>
      <c r="G585" s="16" t="s">
        <v>853</v>
      </c>
      <c r="H585" s="17" t="s">
        <v>1164</v>
      </c>
      <c r="I585" s="17"/>
      <c r="J585" s="27"/>
      <c r="K585" s="27"/>
      <c r="L585" s="18">
        <f>SUM(L580:L584)</f>
        <v>0</v>
      </c>
      <c r="M585" s="112"/>
      <c r="N585" s="18">
        <f>SUM(N580:N584)</f>
        <v>0</v>
      </c>
      <c r="O585" s="18">
        <f>SUM(O580:O584)</f>
        <v>0</v>
      </c>
      <c r="P585" s="18">
        <f>SUM(P580:P584)</f>
        <v>0</v>
      </c>
      <c r="Q585" s="18"/>
      <c r="R585" s="18"/>
      <c r="S585" s="18">
        <f t="shared" ref="S585:X585" si="234">SUM(S580:S584)</f>
        <v>0</v>
      </c>
      <c r="T585" s="18">
        <f t="shared" si="234"/>
        <v>0</v>
      </c>
      <c r="U585" s="18">
        <f t="shared" si="234"/>
        <v>0</v>
      </c>
      <c r="V585" s="18">
        <f t="shared" si="234"/>
        <v>0</v>
      </c>
      <c r="W585" s="18">
        <f t="shared" si="234"/>
        <v>0</v>
      </c>
      <c r="X585" s="18">
        <f t="shared" si="234"/>
        <v>0</v>
      </c>
      <c r="Y585" s="18"/>
      <c r="Z585" s="16" t="str">
        <f>VLOOKUP($D585,TableInputsData[],ReadMe!$M$3,FALSE)&amp;"  |  "&amp;VLOOKUP($E585,TableInputsData[],ReadMe!$M$3,FALSE)&amp;"  |  "&amp;VLOOKUP($H585,TableInputsData[],ReadMe!$M$3,FALSE)</f>
        <v>ACTIFS IMMATERIELS  |  AMORTISSEMENTS  |  TOTAL ACTIFS IMMATERIELS</v>
      </c>
      <c r="AA585" s="16"/>
      <c r="AB585" s="27">
        <v>1</v>
      </c>
      <c r="AC585" s="27">
        <v>1</v>
      </c>
      <c r="AD585" s="27"/>
      <c r="AE585" s="27"/>
      <c r="AF585" s="27">
        <v>1</v>
      </c>
      <c r="AG585" s="27"/>
      <c r="AH585" s="533"/>
      <c r="AI585" s="294"/>
    </row>
    <row r="586" spans="1:35" x14ac:dyDescent="0.2">
      <c r="A586" s="294"/>
      <c r="B586" s="922"/>
      <c r="C586" s="71">
        <v>3</v>
      </c>
      <c r="D586" s="8"/>
      <c r="E586" s="8"/>
      <c r="F586" s="8"/>
      <c r="G586" s="8"/>
      <c r="H586" s="9"/>
      <c r="I586" s="9"/>
      <c r="J586" s="87"/>
      <c r="K586" s="87"/>
      <c r="L586" s="98"/>
      <c r="M586" s="113"/>
      <c r="N586" s="10"/>
      <c r="O586" s="10"/>
      <c r="P586" s="10"/>
      <c r="Q586" s="10"/>
      <c r="R586" s="10"/>
      <c r="S586" s="10"/>
      <c r="T586" s="10"/>
      <c r="U586" s="10"/>
      <c r="V586" s="10"/>
      <c r="W586" s="10"/>
      <c r="X586" s="10"/>
      <c r="Y586" s="10"/>
      <c r="Z586" s="8"/>
      <c r="AA586" s="8"/>
      <c r="AB586" s="35"/>
      <c r="AC586" s="35"/>
      <c r="AD586" s="35"/>
      <c r="AE586" s="87"/>
      <c r="AF586" s="35"/>
      <c r="AG586" s="35"/>
      <c r="AH586" s="534"/>
      <c r="AI586" s="294"/>
    </row>
    <row r="587" spans="1:35" x14ac:dyDescent="0.2">
      <c r="A587" s="294"/>
      <c r="B587" s="922"/>
      <c r="C587" s="66">
        <v>3</v>
      </c>
      <c r="D587" s="3" t="s">
        <v>764</v>
      </c>
      <c r="E587" s="3" t="s">
        <v>756</v>
      </c>
      <c r="F587" s="3" t="s">
        <v>21</v>
      </c>
      <c r="G587" s="3" t="s">
        <v>854</v>
      </c>
      <c r="H587" s="5" t="s">
        <v>764</v>
      </c>
      <c r="I587" s="5" t="str">
        <f>IF(I493="","",I493)</f>
        <v/>
      </c>
      <c r="J587" s="26"/>
      <c r="K587" s="26">
        <f t="shared" ref="K587:N591" si="235">IF(K493="",0,K493)</f>
        <v>0</v>
      </c>
      <c r="L587" s="96">
        <f t="shared" si="235"/>
        <v>0</v>
      </c>
      <c r="M587" s="111">
        <f t="shared" si="235"/>
        <v>0.2</v>
      </c>
      <c r="N587" s="4">
        <f t="shared" si="235"/>
        <v>0</v>
      </c>
      <c r="O587" s="504">
        <f>IF(O$5&lt;$K587,0,MIN($L587-SUM($N587:N587),$L587*$M587))</f>
        <v>0</v>
      </c>
      <c r="P587" s="504">
        <f>IF(P$5&lt;$K587,0,MIN($L587-SUM($N587:O587),$L587*$M587))</f>
        <v>0</v>
      </c>
      <c r="Q587" s="60"/>
      <c r="R587" s="60"/>
      <c r="S587" s="4">
        <f>IF(S$5&lt;$K587,0,MIN($L587-SUM($N587:R587),ABS($L587*$M587)))</f>
        <v>0</v>
      </c>
      <c r="T587" s="4">
        <f>IF(T$5&lt;$K587,0,MIN($L587-SUM($N587:S587),ABS($L587*$M587)))</f>
        <v>0</v>
      </c>
      <c r="U587" s="4">
        <f>IF(U$5&lt;$K587,0,MIN($L587-SUM($N587:T587),ABS($L587*$M587)))</f>
        <v>0</v>
      </c>
      <c r="V587" s="4">
        <f>IF(V$5&lt;$K587,0,MIN($L587-SUM($N587:U587),ABS($L587*$M587)))</f>
        <v>0</v>
      </c>
      <c r="W587" s="4">
        <f>IF(W$5&lt;$K587,0,MIN($L587-SUM($N587:V587),ABS($L587*$M587)))</f>
        <v>0</v>
      </c>
      <c r="X587" s="4">
        <f>IF(X$5&lt;$K587,0,MIN($L587-SUM($N587:W587),ABS($L587*$M587)))</f>
        <v>0</v>
      </c>
      <c r="Y587" s="4"/>
      <c r="Z587" s="3" t="str">
        <f>VLOOKUP($D587,TableInputsData[],ReadMe!$M$3,FALSE)&amp;"  |  "&amp;VLOOKUP($E587,TableInputsData[],ReadMe!$M$3,FALSE)&amp;"  |  "&amp;VLOOKUP($H587,TableInputsData[],ReadMe!$M$3,FALSE)</f>
        <v>FRAIS DE DEMARRAGE  |  AMORTISSEMENTS  |  FRAIS DE DEMARRAGE</v>
      </c>
      <c r="AA587" s="3"/>
      <c r="AB587" s="34">
        <f>IF(L587+SUM(O587:X587)=0,0,1)</f>
        <v>0</v>
      </c>
      <c r="AC587" s="34"/>
      <c r="AD587" s="34"/>
      <c r="AE587" s="26"/>
      <c r="AF587" s="34">
        <v>1</v>
      </c>
      <c r="AG587" s="34"/>
      <c r="AH587" s="535"/>
      <c r="AI587" s="294"/>
    </row>
    <row r="588" spans="1:35" x14ac:dyDescent="0.2">
      <c r="A588" s="294"/>
      <c r="B588" s="922"/>
      <c r="C588" s="66">
        <v>3</v>
      </c>
      <c r="D588" s="3" t="s">
        <v>764</v>
      </c>
      <c r="E588" s="3" t="s">
        <v>756</v>
      </c>
      <c r="F588" s="3" t="s">
        <v>21</v>
      </c>
      <c r="G588" s="3" t="s">
        <v>855</v>
      </c>
      <c r="H588" s="5" t="s">
        <v>764</v>
      </c>
      <c r="I588" s="5" t="str">
        <f>IF(I494="","",I494)</f>
        <v/>
      </c>
      <c r="J588" s="26"/>
      <c r="K588" s="26">
        <f t="shared" si="235"/>
        <v>0</v>
      </c>
      <c r="L588" s="96">
        <f t="shared" si="235"/>
        <v>0</v>
      </c>
      <c r="M588" s="111">
        <f t="shared" si="235"/>
        <v>0.2</v>
      </c>
      <c r="N588" s="4">
        <f t="shared" si="235"/>
        <v>0</v>
      </c>
      <c r="O588" s="504">
        <f>IF(O$5&lt;$K588,0,MIN($L588-SUM($N588:N588),$L588*$M588))</f>
        <v>0</v>
      </c>
      <c r="P588" s="504">
        <f>IF(P$5&lt;$K588,0,MIN($L588-SUM($N588:O588),$L588*$M588))</f>
        <v>0</v>
      </c>
      <c r="Q588" s="60"/>
      <c r="R588" s="60"/>
      <c r="S588" s="4">
        <f>IF(S$5&lt;$K588,0,MIN($L588-SUM($N588:R588),ABS($L588*$M588)))</f>
        <v>0</v>
      </c>
      <c r="T588" s="4">
        <f>IF(T$5&lt;$K588,0,MIN($L588-SUM($N588:S588),ABS($L588*$M588)))</f>
        <v>0</v>
      </c>
      <c r="U588" s="4">
        <f>IF(U$5&lt;$K588,0,MIN($L588-SUM($N588:T588),ABS($L588*$M588)))</f>
        <v>0</v>
      </c>
      <c r="V588" s="4">
        <f>IF(V$5&lt;$K588,0,MIN($L588-SUM($N588:U588),ABS($L588*$M588)))</f>
        <v>0</v>
      </c>
      <c r="W588" s="4">
        <f>IF(W$5&lt;$K588,0,MIN($L588-SUM($N588:V588),ABS($L588*$M588)))</f>
        <v>0</v>
      </c>
      <c r="X588" s="4">
        <f>IF(X$5&lt;$K588,0,MIN($L588-SUM($N588:W588),ABS($L588*$M588)))</f>
        <v>0</v>
      </c>
      <c r="Y588" s="4"/>
      <c r="Z588" s="3" t="str">
        <f>VLOOKUP($D588,TableInputsData[],ReadMe!$M$3,FALSE)&amp;"  |  "&amp;VLOOKUP($E588,TableInputsData[],ReadMe!$M$3,FALSE)&amp;"  |  "&amp;VLOOKUP($H588,TableInputsData[],ReadMe!$M$3,FALSE)</f>
        <v>FRAIS DE DEMARRAGE  |  AMORTISSEMENTS  |  FRAIS DE DEMARRAGE</v>
      </c>
      <c r="AA588" s="3"/>
      <c r="AB588" s="34">
        <f>IF(L588+SUM(O588:X588)=0,0,1)</f>
        <v>0</v>
      </c>
      <c r="AC588" s="34"/>
      <c r="AD588" s="34"/>
      <c r="AE588" s="26"/>
      <c r="AF588" s="34">
        <v>1</v>
      </c>
      <c r="AG588" s="34"/>
      <c r="AH588" s="535"/>
      <c r="AI588" s="294"/>
    </row>
    <row r="589" spans="1:35" x14ac:dyDescent="0.2">
      <c r="A589" s="294"/>
      <c r="B589" s="922"/>
      <c r="C589" s="66">
        <v>3</v>
      </c>
      <c r="D589" s="3" t="s">
        <v>764</v>
      </c>
      <c r="E589" s="3" t="s">
        <v>756</v>
      </c>
      <c r="F589" s="3" t="s">
        <v>21</v>
      </c>
      <c r="G589" s="3" t="s">
        <v>856</v>
      </c>
      <c r="H589" s="5" t="s">
        <v>764</v>
      </c>
      <c r="I589" s="5" t="str">
        <f>IF(I495="","",I495)</f>
        <v/>
      </c>
      <c r="J589" s="26"/>
      <c r="K589" s="26">
        <f t="shared" si="235"/>
        <v>0</v>
      </c>
      <c r="L589" s="96">
        <f t="shared" si="235"/>
        <v>0</v>
      </c>
      <c r="M589" s="111">
        <f t="shared" si="235"/>
        <v>0.2</v>
      </c>
      <c r="N589" s="4">
        <f t="shared" si="235"/>
        <v>0</v>
      </c>
      <c r="O589" s="504">
        <f>IF(O$5&lt;$K589,0,MIN($L589-SUM($N589:N589),$L589*$M589))</f>
        <v>0</v>
      </c>
      <c r="P589" s="504">
        <f>IF(P$5&lt;$K589,0,MIN($L589-SUM($N589:O589),$L589*$M589))</f>
        <v>0</v>
      </c>
      <c r="Q589" s="60"/>
      <c r="R589" s="60"/>
      <c r="S589" s="4">
        <f>IF(S$5&lt;$K589,0,MIN($L589-SUM($N589:R589),ABS($L589*$M589)))</f>
        <v>0</v>
      </c>
      <c r="T589" s="4">
        <f>IF(T$5&lt;$K589,0,MIN($L589-SUM($N589:S589),ABS($L589*$M589)))</f>
        <v>0</v>
      </c>
      <c r="U589" s="4">
        <f>IF(U$5&lt;$K589,0,MIN($L589-SUM($N589:T589),ABS($L589*$M589)))</f>
        <v>0</v>
      </c>
      <c r="V589" s="4">
        <f>IF(V$5&lt;$K589,0,MIN($L589-SUM($N589:U589),ABS($L589*$M589)))</f>
        <v>0</v>
      </c>
      <c r="W589" s="4">
        <f>IF(W$5&lt;$K589,0,MIN($L589-SUM($N589:V589),ABS($L589*$M589)))</f>
        <v>0</v>
      </c>
      <c r="X589" s="4">
        <f>IF(X$5&lt;$K589,0,MIN($L589-SUM($N589:W589),ABS($L589*$M589)))</f>
        <v>0</v>
      </c>
      <c r="Y589" s="4"/>
      <c r="Z589" s="3" t="str">
        <f>VLOOKUP($D589,TableInputsData[],ReadMe!$M$3,FALSE)&amp;"  |  "&amp;VLOOKUP($E589,TableInputsData[],ReadMe!$M$3,FALSE)&amp;"  |  "&amp;VLOOKUP($H589,TableInputsData[],ReadMe!$M$3,FALSE)</f>
        <v>FRAIS DE DEMARRAGE  |  AMORTISSEMENTS  |  FRAIS DE DEMARRAGE</v>
      </c>
      <c r="AA589" s="3"/>
      <c r="AB589" s="34">
        <f>IF(L589+SUM(O589:X589)=0,0,1)</f>
        <v>0</v>
      </c>
      <c r="AC589" s="34"/>
      <c r="AD589" s="34"/>
      <c r="AE589" s="26"/>
      <c r="AF589" s="34">
        <v>1</v>
      </c>
      <c r="AG589" s="34"/>
      <c r="AH589" s="535"/>
      <c r="AI589" s="294"/>
    </row>
    <row r="590" spans="1:35" x14ac:dyDescent="0.2">
      <c r="A590" s="294"/>
      <c r="B590" s="922"/>
      <c r="C590" s="66">
        <v>3</v>
      </c>
      <c r="D590" s="3" t="s">
        <v>764</v>
      </c>
      <c r="E590" s="3" t="s">
        <v>756</v>
      </c>
      <c r="F590" s="3" t="s">
        <v>21</v>
      </c>
      <c r="G590" s="3" t="s">
        <v>857</v>
      </c>
      <c r="H590" s="5" t="s">
        <v>764</v>
      </c>
      <c r="I590" s="5" t="str">
        <f>IF(I496="","",I496)</f>
        <v/>
      </c>
      <c r="J590" s="26"/>
      <c r="K590" s="26">
        <f t="shared" si="235"/>
        <v>0</v>
      </c>
      <c r="L590" s="96">
        <f t="shared" si="235"/>
        <v>0</v>
      </c>
      <c r="M590" s="111">
        <f t="shared" si="235"/>
        <v>0.2</v>
      </c>
      <c r="N590" s="4">
        <f t="shared" si="235"/>
        <v>0</v>
      </c>
      <c r="O590" s="504">
        <f>IF(O$5&lt;$K590,0,MIN($L590-SUM($N590:N590),$L590*$M590))</f>
        <v>0</v>
      </c>
      <c r="P590" s="504">
        <f>IF(P$5&lt;$K590,0,MIN($L590-SUM($N590:O590),$L590*$M590))</f>
        <v>0</v>
      </c>
      <c r="Q590" s="60"/>
      <c r="R590" s="60"/>
      <c r="S590" s="4">
        <f>IF(S$5&lt;$K590,0,MIN($L590-SUM($N590:R590),ABS($L590*$M590)))</f>
        <v>0</v>
      </c>
      <c r="T590" s="4">
        <f>IF(T$5&lt;$K590,0,MIN($L590-SUM($N590:S590),ABS($L590*$M590)))</f>
        <v>0</v>
      </c>
      <c r="U590" s="4">
        <f>IF(U$5&lt;$K590,0,MIN($L590-SUM($N590:T590),ABS($L590*$M590)))</f>
        <v>0</v>
      </c>
      <c r="V590" s="4">
        <f>IF(V$5&lt;$K590,0,MIN($L590-SUM($N590:U590),ABS($L590*$M590)))</f>
        <v>0</v>
      </c>
      <c r="W590" s="4">
        <f>IF(W$5&lt;$K590,0,MIN($L590-SUM($N590:V590),ABS($L590*$M590)))</f>
        <v>0</v>
      </c>
      <c r="X590" s="4">
        <f>IF(X$5&lt;$K590,0,MIN($L590-SUM($N590:W590),ABS($L590*$M590)))</f>
        <v>0</v>
      </c>
      <c r="Y590" s="4"/>
      <c r="Z590" s="3" t="str">
        <f>VLOOKUP($D590,TableInputsData[],ReadMe!$M$3,FALSE)&amp;"  |  "&amp;VLOOKUP($E590,TableInputsData[],ReadMe!$M$3,FALSE)&amp;"  |  "&amp;VLOOKUP($H590,TableInputsData[],ReadMe!$M$3,FALSE)</f>
        <v>FRAIS DE DEMARRAGE  |  AMORTISSEMENTS  |  FRAIS DE DEMARRAGE</v>
      </c>
      <c r="AA590" s="3"/>
      <c r="AB590" s="34">
        <f>IF(L590+SUM(O590:X590)=0,0,1)</f>
        <v>0</v>
      </c>
      <c r="AC590" s="34"/>
      <c r="AD590" s="34"/>
      <c r="AE590" s="26"/>
      <c r="AF590" s="34">
        <v>1</v>
      </c>
      <c r="AG590" s="34"/>
      <c r="AH590" s="535"/>
      <c r="AI590" s="294"/>
    </row>
    <row r="591" spans="1:35" x14ac:dyDescent="0.2">
      <c r="A591" s="294"/>
      <c r="B591" s="922"/>
      <c r="C591" s="70">
        <v>3</v>
      </c>
      <c r="D591" s="6" t="s">
        <v>764</v>
      </c>
      <c r="E591" s="6" t="s">
        <v>756</v>
      </c>
      <c r="F591" s="6" t="s">
        <v>21</v>
      </c>
      <c r="G591" s="3" t="s">
        <v>858</v>
      </c>
      <c r="H591" s="11" t="s">
        <v>764</v>
      </c>
      <c r="I591" s="5" t="str">
        <f>IF(I497="","",I497)</f>
        <v/>
      </c>
      <c r="J591" s="26"/>
      <c r="K591" s="26">
        <f t="shared" si="235"/>
        <v>0</v>
      </c>
      <c r="L591" s="96">
        <f t="shared" si="235"/>
        <v>0</v>
      </c>
      <c r="M591" s="111">
        <f t="shared" si="235"/>
        <v>0.2</v>
      </c>
      <c r="N591" s="4">
        <f t="shared" si="235"/>
        <v>0</v>
      </c>
      <c r="O591" s="504">
        <f>IF(O$5&lt;$K591,0,MIN($L591-SUM($N591:N591),$L591*$M591))</f>
        <v>0</v>
      </c>
      <c r="P591" s="504">
        <f>IF(P$5&lt;$K591,0,MIN($L591-SUM($N591:O591),$L591*$M591))</f>
        <v>0</v>
      </c>
      <c r="Q591" s="60"/>
      <c r="R591" s="60"/>
      <c r="S591" s="4">
        <f>IF(S$5&lt;$K591,0,MIN($L591-SUM($N591:R591),ABS($L591*$M591)))</f>
        <v>0</v>
      </c>
      <c r="T591" s="4">
        <f>IF(T$5&lt;$K591,0,MIN($L591-SUM($N591:S591),ABS($L591*$M591)))</f>
        <v>0</v>
      </c>
      <c r="U591" s="4">
        <f>IF(U$5&lt;$K591,0,MIN($L591-SUM($N591:T591),ABS($L591*$M591)))</f>
        <v>0</v>
      </c>
      <c r="V591" s="4">
        <f>IF(V$5&lt;$K591,0,MIN($L591-SUM($N591:U591),ABS($L591*$M591)))</f>
        <v>0</v>
      </c>
      <c r="W591" s="4">
        <f>IF(W$5&lt;$K591,0,MIN($L591-SUM($N591:V591),ABS($L591*$M591)))</f>
        <v>0</v>
      </c>
      <c r="X591" s="4">
        <f>IF(X$5&lt;$K591,0,MIN($L591-SUM($N591:W591),ABS($L591*$M591)))</f>
        <v>0</v>
      </c>
      <c r="Y591" s="7"/>
      <c r="Z591" s="6" t="str">
        <f>VLOOKUP($D591,TableInputsData[],ReadMe!$M$3,FALSE)&amp;"  |  "&amp;VLOOKUP($E591,TableInputsData[],ReadMe!$M$3,FALSE)&amp;"  |  "&amp;VLOOKUP($H591,TableInputsData[],ReadMe!$M$3,FALSE)</f>
        <v>FRAIS DE DEMARRAGE  |  AMORTISSEMENTS  |  FRAIS DE DEMARRAGE</v>
      </c>
      <c r="AA591" s="6"/>
      <c r="AB591" s="34">
        <f>IF(L591+SUM(O591:X591)=0,0,1)</f>
        <v>0</v>
      </c>
      <c r="AC591" s="36"/>
      <c r="AD591" s="36"/>
      <c r="AE591" s="91"/>
      <c r="AF591" s="36">
        <v>1</v>
      </c>
      <c r="AG591" s="36"/>
      <c r="AH591" s="536"/>
      <c r="AI591" s="294"/>
    </row>
    <row r="592" spans="1:35" x14ac:dyDescent="0.2">
      <c r="A592" s="294"/>
      <c r="B592" s="922"/>
      <c r="C592" s="67">
        <v>3</v>
      </c>
      <c r="D592" s="16" t="s">
        <v>764</v>
      </c>
      <c r="E592" s="16" t="s">
        <v>756</v>
      </c>
      <c r="F592" s="16" t="s">
        <v>21</v>
      </c>
      <c r="G592" s="16" t="s">
        <v>859</v>
      </c>
      <c r="H592" s="17" t="s">
        <v>1163</v>
      </c>
      <c r="I592" s="17"/>
      <c r="J592" s="27"/>
      <c r="K592" s="27"/>
      <c r="L592" s="18">
        <f>SUM(L587:L591)</f>
        <v>0</v>
      </c>
      <c r="M592" s="112"/>
      <c r="N592" s="18">
        <f>SUM(N587:N591)</f>
        <v>0</v>
      </c>
      <c r="O592" s="18">
        <f>SUM(O587:O591)</f>
        <v>0</v>
      </c>
      <c r="P592" s="18">
        <f>SUM(P587:P591)</f>
        <v>0</v>
      </c>
      <c r="Q592" s="18"/>
      <c r="R592" s="18"/>
      <c r="S592" s="18">
        <f t="shared" ref="S592:X592" si="236">SUM(S587:S591)</f>
        <v>0</v>
      </c>
      <c r="T592" s="18">
        <f t="shared" si="236"/>
        <v>0</v>
      </c>
      <c r="U592" s="18">
        <f t="shared" si="236"/>
        <v>0</v>
      </c>
      <c r="V592" s="18">
        <f t="shared" si="236"/>
        <v>0</v>
      </c>
      <c r="W592" s="18">
        <f t="shared" si="236"/>
        <v>0</v>
      </c>
      <c r="X592" s="18">
        <f t="shared" si="236"/>
        <v>0</v>
      </c>
      <c r="Y592" s="18"/>
      <c r="Z592" s="16" t="str">
        <f>VLOOKUP($D592,TableInputsData[],ReadMe!$M$3,FALSE)&amp;"  |  "&amp;VLOOKUP($E592,TableInputsData[],ReadMe!$M$3,FALSE)&amp;"  |  "&amp;VLOOKUP($H592,TableInputsData[],ReadMe!$M$3,FALSE)</f>
        <v>FRAIS DE DEMARRAGE  |  AMORTISSEMENTS  |  TOTAL FRAIS DE DEMARRAGE</v>
      </c>
      <c r="AA592" s="16"/>
      <c r="AB592" s="27">
        <v>1</v>
      </c>
      <c r="AC592" s="27">
        <v>1</v>
      </c>
      <c r="AD592" s="27"/>
      <c r="AE592" s="27"/>
      <c r="AF592" s="27">
        <v>1</v>
      </c>
      <c r="AG592" s="27"/>
      <c r="AH592" s="533"/>
      <c r="AI592" s="294"/>
    </row>
    <row r="593" spans="1:35" x14ac:dyDescent="0.2">
      <c r="A593" s="294"/>
      <c r="B593" s="922"/>
      <c r="C593" s="66">
        <v>3</v>
      </c>
      <c r="D593" s="3"/>
      <c r="E593" s="3"/>
      <c r="F593" s="3"/>
      <c r="G593" s="3"/>
      <c r="H593" s="5"/>
      <c r="I593" s="5"/>
      <c r="J593" s="26"/>
      <c r="K593" s="26"/>
      <c r="L593" s="96"/>
      <c r="M593" s="118"/>
      <c r="N593" s="4"/>
      <c r="O593" s="4"/>
      <c r="P593" s="4"/>
      <c r="Q593" s="4"/>
      <c r="R593" s="4"/>
      <c r="S593" s="4"/>
      <c r="T593" s="4"/>
      <c r="U593" s="4"/>
      <c r="V593" s="4"/>
      <c r="W593" s="4"/>
      <c r="X593" s="4"/>
      <c r="Y593" s="4"/>
      <c r="Z593" s="3"/>
      <c r="AA593" s="3"/>
      <c r="AB593" s="34"/>
      <c r="AC593" s="34"/>
      <c r="AD593" s="34"/>
      <c r="AE593" s="26"/>
      <c r="AF593" s="34"/>
      <c r="AG593" s="34"/>
      <c r="AH593" s="535"/>
      <c r="AI593" s="294"/>
    </row>
    <row r="594" spans="1:35" x14ac:dyDescent="0.2">
      <c r="A594" s="294"/>
      <c r="B594" s="922"/>
      <c r="C594" s="67">
        <v>3</v>
      </c>
      <c r="D594" s="16" t="s">
        <v>987</v>
      </c>
      <c r="E594" s="16" t="s">
        <v>756</v>
      </c>
      <c r="F594" s="16" t="s">
        <v>21</v>
      </c>
      <c r="G594" s="16" t="s">
        <v>860</v>
      </c>
      <c r="H594" s="16" t="s">
        <v>987</v>
      </c>
      <c r="I594" s="17"/>
      <c r="J594" s="27"/>
      <c r="K594" s="27"/>
      <c r="L594" s="97">
        <f>L578+L585+L592</f>
        <v>0</v>
      </c>
      <c r="M594" s="112"/>
      <c r="N594" s="18">
        <f>N578+N585+N592</f>
        <v>0</v>
      </c>
      <c r="O594" s="97">
        <f t="shared" ref="O594:X594" si="237">O578+O585+O592</f>
        <v>0</v>
      </c>
      <c r="P594" s="97">
        <f t="shared" si="237"/>
        <v>0</v>
      </c>
      <c r="Q594" s="97"/>
      <c r="R594" s="97"/>
      <c r="S594" s="97">
        <f t="shared" si="237"/>
        <v>0</v>
      </c>
      <c r="T594" s="97">
        <f t="shared" si="237"/>
        <v>0</v>
      </c>
      <c r="U594" s="97">
        <f t="shared" si="237"/>
        <v>0</v>
      </c>
      <c r="V594" s="97">
        <f t="shared" si="237"/>
        <v>0</v>
      </c>
      <c r="W594" s="97">
        <f t="shared" si="237"/>
        <v>0</v>
      </c>
      <c r="X594" s="97">
        <f t="shared" si="237"/>
        <v>0</v>
      </c>
      <c r="Y594" s="97"/>
      <c r="Z594" s="16" t="str">
        <f>VLOOKUP($D594,TableInputsData[],ReadMe!$M$3,FALSE)&amp;"  |  "&amp;VLOOKUP($E594,TableInputsData[],ReadMe!$M$3,FALSE)&amp;"  |  "&amp;VLOOKUP($H594,TableInputsData[],ReadMe!$M$3,FALSE)</f>
        <v>TOTAL ACTIF  |  AMORTISSEMENTS  |  TOTAL ACTIF</v>
      </c>
      <c r="AA594" s="16"/>
      <c r="AB594" s="27">
        <v>1</v>
      </c>
      <c r="AC594" s="27">
        <v>1</v>
      </c>
      <c r="AD594" s="27"/>
      <c r="AE594" s="27"/>
      <c r="AF594" s="27">
        <v>1</v>
      </c>
      <c r="AG594" s="27"/>
      <c r="AH594" s="533"/>
      <c r="AI594" s="294"/>
    </row>
    <row r="595" spans="1:35" x14ac:dyDescent="0.2">
      <c r="A595" s="294"/>
      <c r="B595" s="922"/>
      <c r="C595" s="66">
        <v>3</v>
      </c>
      <c r="D595" s="3"/>
      <c r="E595" s="3"/>
      <c r="F595" s="3"/>
      <c r="G595" s="3"/>
      <c r="H595" s="5"/>
      <c r="I595" s="5"/>
      <c r="J595" s="26"/>
      <c r="K595" s="26"/>
      <c r="L595" s="96"/>
      <c r="M595" s="118"/>
      <c r="N595" s="861"/>
      <c r="O595" s="4"/>
      <c r="P595" s="4"/>
      <c r="Q595" s="4"/>
      <c r="R595" s="4"/>
      <c r="S595" s="4"/>
      <c r="T595" s="4"/>
      <c r="U595" s="4"/>
      <c r="V595" s="4"/>
      <c r="W595" s="4"/>
      <c r="X595" s="4"/>
      <c r="Y595" s="4"/>
      <c r="Z595" s="3"/>
      <c r="AA595" s="3"/>
      <c r="AB595" s="34"/>
      <c r="AC595" s="34"/>
      <c r="AD595" s="34"/>
      <c r="AE595" s="26"/>
      <c r="AF595" s="34"/>
      <c r="AG595" s="34"/>
      <c r="AH595" s="535"/>
      <c r="AI595" s="294"/>
    </row>
    <row r="596" spans="1:35" x14ac:dyDescent="0.2">
      <c r="A596" s="294"/>
      <c r="B596" s="922"/>
      <c r="C596" s="66">
        <v>3</v>
      </c>
      <c r="D596" s="3" t="s">
        <v>762</v>
      </c>
      <c r="E596" s="3" t="s">
        <v>759</v>
      </c>
      <c r="F596" s="3" t="s">
        <v>21</v>
      </c>
      <c r="G596" s="3" t="s">
        <v>774</v>
      </c>
      <c r="H596" s="5" t="s">
        <v>768</v>
      </c>
      <c r="I596" s="5" t="str">
        <f t="shared" ref="I596:I635" si="238">IF(I502="","",I502)</f>
        <v/>
      </c>
      <c r="J596" s="26"/>
      <c r="K596" s="26">
        <f t="shared" ref="K596:M615" si="239">IF(K502="",0,K502)</f>
        <v>2020</v>
      </c>
      <c r="L596" s="96">
        <f t="shared" si="239"/>
        <v>0</v>
      </c>
      <c r="M596" s="111">
        <f t="shared" si="239"/>
        <v>0.25</v>
      </c>
      <c r="N596" s="4">
        <f t="shared" ref="N596:N611" si="240">IF(N502="","",N502)</f>
        <v>0</v>
      </c>
      <c r="O596" s="4">
        <f>IF(O$5&lt;$K596,0,$L596-SUM($N502:N502)-O502)</f>
        <v>0</v>
      </c>
      <c r="P596" s="4">
        <f>IF(P$5&lt;$K596,0,$L596-SUM($N502:O502)-P502)</f>
        <v>0</v>
      </c>
      <c r="Q596" s="60"/>
      <c r="R596" s="60"/>
      <c r="S596" s="4">
        <f>IF(S$5&lt;$K596,0,$L596-SUM($N502:R502)-S502)</f>
        <v>0</v>
      </c>
      <c r="T596" s="4">
        <f>IF(T$5&lt;$K596,0,$L596-SUM($N502:S502)-T502)</f>
        <v>0</v>
      </c>
      <c r="U596" s="4">
        <f>IF(U$5&lt;$K596,0,$L596-SUM($N502:T502)-U502)</f>
        <v>0</v>
      </c>
      <c r="V596" s="4">
        <f>IF(V$5&lt;$K596,0,$L596-SUM($N502:U502)-V502)</f>
        <v>0</v>
      </c>
      <c r="W596" s="4">
        <f>IF(W$5&lt;$K596,0,$L596-SUM($N502:V502)-W502)</f>
        <v>0</v>
      </c>
      <c r="X596" s="4">
        <f>IF(X$5&lt;$K596,0,$L596-SUM($N502:W502)-X502)</f>
        <v>0</v>
      </c>
      <c r="Y596" s="4"/>
      <c r="Z596" s="3" t="str">
        <f>VLOOKUP($D596,TableInputsData[],ReadMe!$M$3,FALSE)&amp;"  |  "&amp;VLOOKUP($E596,TableInputsData[],ReadMe!$M$3,FALSE)&amp;"  |  "&amp;VLOOKUP($H596,TableInputsData[],ReadMe!$M$3,FALSE)</f>
        <v>ACTIFS MATERIEL IMMOBILISES  |  VALEUR BILAN FIN D'ANNEE  |  MATERIEL DE BUREAU</v>
      </c>
      <c r="AA596" s="3"/>
      <c r="AB596" s="34">
        <f>IF(L596+SUM(O596:X596)=0,0,1)</f>
        <v>0</v>
      </c>
      <c r="AC596" s="34"/>
      <c r="AD596" s="34"/>
      <c r="AE596" s="26"/>
      <c r="AF596" s="34">
        <v>1</v>
      </c>
      <c r="AG596" s="34"/>
      <c r="AH596" s="535"/>
      <c r="AI596" s="294"/>
    </row>
    <row r="597" spans="1:35" x14ac:dyDescent="0.2">
      <c r="A597" s="294"/>
      <c r="B597" s="922"/>
      <c r="C597" s="66">
        <v>3</v>
      </c>
      <c r="D597" s="3" t="s">
        <v>762</v>
      </c>
      <c r="E597" s="3" t="s">
        <v>759</v>
      </c>
      <c r="F597" s="3" t="s">
        <v>21</v>
      </c>
      <c r="G597" s="3" t="s">
        <v>775</v>
      </c>
      <c r="H597" s="5" t="s">
        <v>768</v>
      </c>
      <c r="I597" s="5" t="str">
        <f t="shared" si="238"/>
        <v/>
      </c>
      <c r="J597" s="26"/>
      <c r="K597" s="26">
        <f t="shared" si="239"/>
        <v>2021</v>
      </c>
      <c r="L597" s="96">
        <f t="shared" si="239"/>
        <v>0</v>
      </c>
      <c r="M597" s="111">
        <f t="shared" si="239"/>
        <v>0.25</v>
      </c>
      <c r="N597" s="4">
        <f t="shared" si="240"/>
        <v>0</v>
      </c>
      <c r="O597" s="4">
        <f>IF(O$5&lt;$K597,0,$L597-SUM($N503:N503)-O503)</f>
        <v>0</v>
      </c>
      <c r="P597" s="4">
        <f>IF(P$5&lt;$K597,0,$L597-SUM($N503:O503)-P503)</f>
        <v>0</v>
      </c>
      <c r="Q597" s="60"/>
      <c r="R597" s="60"/>
      <c r="S597" s="4">
        <f>IF(S$5&lt;$K597,0,$L597-SUM($N503:R503)-S503)</f>
        <v>0</v>
      </c>
      <c r="T597" s="4">
        <f>IF(T$5&lt;$K597,0,$L597-SUM($N503:S503)-T503)</f>
        <v>0</v>
      </c>
      <c r="U597" s="4">
        <f>IF(U$5&lt;$K597,0,$L597-SUM($N503:T503)-U503)</f>
        <v>0</v>
      </c>
      <c r="V597" s="4">
        <f>IF(V$5&lt;$K597,0,$L597-SUM($N503:U503)-V503)</f>
        <v>0</v>
      </c>
      <c r="W597" s="4">
        <f>IF(W$5&lt;$K597,0,$L597-SUM($N503:V503)-W503)</f>
        <v>0</v>
      </c>
      <c r="X597" s="4">
        <f>IF(X$5&lt;$K597,0,$L597-SUM($N503:W503)-X503)</f>
        <v>0</v>
      </c>
      <c r="Y597" s="4"/>
      <c r="Z597" s="3" t="str">
        <f>VLOOKUP($D597,TableInputsData[],ReadMe!$M$3,FALSE)&amp;"  |  "&amp;VLOOKUP($E597,TableInputsData[],ReadMe!$M$3,FALSE)&amp;"  |  "&amp;VLOOKUP($H597,TableInputsData[],ReadMe!$M$3,FALSE)</f>
        <v>ACTIFS MATERIEL IMMOBILISES  |  VALEUR BILAN FIN D'ANNEE  |  MATERIEL DE BUREAU</v>
      </c>
      <c r="AA597" s="3"/>
      <c r="AB597" s="34">
        <f t="shared" ref="AB597:AB635" si="241">IF(L597+SUM(O597:X597)=0,0,1)</f>
        <v>0</v>
      </c>
      <c r="AC597" s="34"/>
      <c r="AD597" s="34"/>
      <c r="AE597" s="26"/>
      <c r="AF597" s="34">
        <v>1</v>
      </c>
      <c r="AG597" s="34"/>
      <c r="AH597" s="535"/>
      <c r="AI597" s="294"/>
    </row>
    <row r="598" spans="1:35" x14ac:dyDescent="0.2">
      <c r="A598" s="294"/>
      <c r="B598" s="922"/>
      <c r="C598" s="66">
        <v>3</v>
      </c>
      <c r="D598" s="3" t="s">
        <v>762</v>
      </c>
      <c r="E598" s="3" t="s">
        <v>759</v>
      </c>
      <c r="F598" s="3" t="s">
        <v>21</v>
      </c>
      <c r="G598" s="3" t="s">
        <v>776</v>
      </c>
      <c r="H598" s="5" t="s">
        <v>768</v>
      </c>
      <c r="I598" s="5" t="str">
        <f t="shared" si="238"/>
        <v/>
      </c>
      <c r="J598" s="26"/>
      <c r="K598" s="26">
        <f t="shared" si="239"/>
        <v>2022</v>
      </c>
      <c r="L598" s="96">
        <f t="shared" si="239"/>
        <v>0</v>
      </c>
      <c r="M598" s="111">
        <f t="shared" si="239"/>
        <v>0.25</v>
      </c>
      <c r="N598" s="4">
        <f t="shared" si="240"/>
        <v>0</v>
      </c>
      <c r="O598" s="4">
        <f>IF(O$5&lt;$K598,0,$L598-SUM($N504:N504)-O504)</f>
        <v>0</v>
      </c>
      <c r="P598" s="4">
        <f>IF(P$5&lt;$K598,0,$L598-SUM($N504:O504)-P504)</f>
        <v>0</v>
      </c>
      <c r="Q598" s="60"/>
      <c r="R598" s="60"/>
      <c r="S598" s="4">
        <f>IF(S$5&lt;$K598,0,$L598-SUM($N504:R504)-S504)</f>
        <v>0</v>
      </c>
      <c r="T598" s="4">
        <f>IF(T$5&lt;$K598,0,$L598-SUM($N504:S504)-T504)</f>
        <v>0</v>
      </c>
      <c r="U598" s="4">
        <f>IF(U$5&lt;$K598,0,$L598-SUM($N504:T504)-U504)</f>
        <v>0</v>
      </c>
      <c r="V598" s="4">
        <f>IF(V$5&lt;$K598,0,$L598-SUM($N504:U504)-V504)</f>
        <v>0</v>
      </c>
      <c r="W598" s="4">
        <f>IF(W$5&lt;$K598,0,$L598-SUM($N504:V504)-W504)</f>
        <v>0</v>
      </c>
      <c r="X598" s="4">
        <f>IF(X$5&lt;$K598,0,$L598-SUM($N504:W504)-X504)</f>
        <v>0</v>
      </c>
      <c r="Y598" s="4"/>
      <c r="Z598" s="3" t="str">
        <f>VLOOKUP($D598,TableInputsData[],ReadMe!$M$3,FALSE)&amp;"  |  "&amp;VLOOKUP($E598,TableInputsData[],ReadMe!$M$3,FALSE)&amp;"  |  "&amp;VLOOKUP($H598,TableInputsData[],ReadMe!$M$3,FALSE)</f>
        <v>ACTIFS MATERIEL IMMOBILISES  |  VALEUR BILAN FIN D'ANNEE  |  MATERIEL DE BUREAU</v>
      </c>
      <c r="AA598" s="3"/>
      <c r="AB598" s="34">
        <f t="shared" si="241"/>
        <v>0</v>
      </c>
      <c r="AC598" s="34"/>
      <c r="AD598" s="34"/>
      <c r="AE598" s="26"/>
      <c r="AF598" s="34">
        <v>1</v>
      </c>
      <c r="AG598" s="34"/>
      <c r="AH598" s="535"/>
      <c r="AI598" s="294"/>
    </row>
    <row r="599" spans="1:35" x14ac:dyDescent="0.2">
      <c r="A599" s="294"/>
      <c r="B599" s="922"/>
      <c r="C599" s="66">
        <v>3</v>
      </c>
      <c r="D599" s="3" t="s">
        <v>762</v>
      </c>
      <c r="E599" s="3" t="s">
        <v>759</v>
      </c>
      <c r="F599" s="3" t="s">
        <v>21</v>
      </c>
      <c r="G599" s="3" t="s">
        <v>777</v>
      </c>
      <c r="H599" s="5" t="s">
        <v>768</v>
      </c>
      <c r="I599" s="5" t="str">
        <f t="shared" si="238"/>
        <v/>
      </c>
      <c r="J599" s="26"/>
      <c r="K599" s="26">
        <f t="shared" si="239"/>
        <v>2023</v>
      </c>
      <c r="L599" s="96">
        <f t="shared" si="239"/>
        <v>0</v>
      </c>
      <c r="M599" s="111">
        <f t="shared" si="239"/>
        <v>0.25</v>
      </c>
      <c r="N599" s="4">
        <f t="shared" si="240"/>
        <v>0</v>
      </c>
      <c r="O599" s="4">
        <f>IF(O$5&lt;$K599,0,$L599-SUM($N505:N505)-O505)</f>
        <v>0</v>
      </c>
      <c r="P599" s="4">
        <f>IF(P$5&lt;$K599,0,$L599-SUM($N505:O505)-P505)</f>
        <v>0</v>
      </c>
      <c r="Q599" s="60"/>
      <c r="R599" s="60"/>
      <c r="S599" s="4">
        <f>IF(S$5&lt;$K599,0,$L599-SUM($N505:R505)-S505)</f>
        <v>0</v>
      </c>
      <c r="T599" s="4">
        <f>IF(T$5&lt;$K599,0,$L599-SUM($N505:S505)-T505)</f>
        <v>0</v>
      </c>
      <c r="U599" s="4">
        <f>IF(U$5&lt;$K599,0,$L599-SUM($N505:T505)-U505)</f>
        <v>0</v>
      </c>
      <c r="V599" s="4">
        <f>IF(V$5&lt;$K599,0,$L599-SUM($N505:U505)-V505)</f>
        <v>0</v>
      </c>
      <c r="W599" s="4">
        <f>IF(W$5&lt;$K599,0,$L599-SUM($N505:V505)-W505)</f>
        <v>0</v>
      </c>
      <c r="X599" s="4">
        <f>IF(X$5&lt;$K599,0,$L599-SUM($N505:W505)-X505)</f>
        <v>0</v>
      </c>
      <c r="Y599" s="4"/>
      <c r="Z599" s="3" t="str">
        <f>VLOOKUP($D599,TableInputsData[],ReadMe!$M$3,FALSE)&amp;"  |  "&amp;VLOOKUP($E599,TableInputsData[],ReadMe!$M$3,FALSE)&amp;"  |  "&amp;VLOOKUP($H599,TableInputsData[],ReadMe!$M$3,FALSE)</f>
        <v>ACTIFS MATERIEL IMMOBILISES  |  VALEUR BILAN FIN D'ANNEE  |  MATERIEL DE BUREAU</v>
      </c>
      <c r="AA599" s="3"/>
      <c r="AB599" s="34">
        <f t="shared" si="241"/>
        <v>0</v>
      </c>
      <c r="AC599" s="34"/>
      <c r="AD599" s="34"/>
      <c r="AE599" s="26"/>
      <c r="AF599" s="34">
        <v>1</v>
      </c>
      <c r="AG599" s="34"/>
      <c r="AH599" s="535"/>
      <c r="AI599" s="294"/>
    </row>
    <row r="600" spans="1:35" x14ac:dyDescent="0.2">
      <c r="A600" s="294"/>
      <c r="B600" s="922"/>
      <c r="C600" s="66">
        <v>3</v>
      </c>
      <c r="D600" s="3" t="s">
        <v>762</v>
      </c>
      <c r="E600" s="3" t="s">
        <v>759</v>
      </c>
      <c r="F600" s="3" t="s">
        <v>21</v>
      </c>
      <c r="G600" s="3" t="s">
        <v>778</v>
      </c>
      <c r="H600" s="5" t="s">
        <v>768</v>
      </c>
      <c r="I600" s="5" t="str">
        <f t="shared" si="238"/>
        <v/>
      </c>
      <c r="J600" s="26"/>
      <c r="K600" s="26">
        <f t="shared" si="239"/>
        <v>2024</v>
      </c>
      <c r="L600" s="96">
        <f t="shared" si="239"/>
        <v>0</v>
      </c>
      <c r="M600" s="111">
        <f t="shared" si="239"/>
        <v>0.25</v>
      </c>
      <c r="N600" s="4">
        <f t="shared" si="240"/>
        <v>0</v>
      </c>
      <c r="O600" s="4">
        <f>IF(O$5&lt;$K600,0,$L600-SUM($N506:N506)-O506)</f>
        <v>0</v>
      </c>
      <c r="P600" s="4">
        <f>IF(P$5&lt;$K600,0,$L600-SUM($N506:O506)-P506)</f>
        <v>0</v>
      </c>
      <c r="Q600" s="60"/>
      <c r="R600" s="60"/>
      <c r="S600" s="4">
        <f>IF(S$5&lt;$K600,0,$L600-SUM($N506:R506)-S506)</f>
        <v>0</v>
      </c>
      <c r="T600" s="4">
        <f>IF(T$5&lt;$K600,0,$L600-SUM($N506:S506)-T506)</f>
        <v>0</v>
      </c>
      <c r="U600" s="4">
        <f>IF(U$5&lt;$K600,0,$L600-SUM($N506:T506)-U506)</f>
        <v>0</v>
      </c>
      <c r="V600" s="4">
        <f>IF(V$5&lt;$K600,0,$L600-SUM($N506:U506)-V506)</f>
        <v>0</v>
      </c>
      <c r="W600" s="4">
        <f>IF(W$5&lt;$K600,0,$L600-SUM($N506:V506)-W506)</f>
        <v>0</v>
      </c>
      <c r="X600" s="4">
        <f>IF(X$5&lt;$K600,0,$L600-SUM($N506:W506)-X506)</f>
        <v>0</v>
      </c>
      <c r="Y600" s="4"/>
      <c r="Z600" s="3" t="str">
        <f>VLOOKUP($D600,TableInputsData[],ReadMe!$M$3,FALSE)&amp;"  |  "&amp;VLOOKUP($E600,TableInputsData[],ReadMe!$M$3,FALSE)&amp;"  |  "&amp;VLOOKUP($H600,TableInputsData[],ReadMe!$M$3,FALSE)</f>
        <v>ACTIFS MATERIEL IMMOBILISES  |  VALEUR BILAN FIN D'ANNEE  |  MATERIEL DE BUREAU</v>
      </c>
      <c r="AA600" s="3"/>
      <c r="AB600" s="34">
        <f t="shared" si="241"/>
        <v>0</v>
      </c>
      <c r="AC600" s="34"/>
      <c r="AD600" s="34"/>
      <c r="AE600" s="26"/>
      <c r="AF600" s="34">
        <v>1</v>
      </c>
      <c r="AG600" s="34"/>
      <c r="AH600" s="535"/>
      <c r="AI600" s="294"/>
    </row>
    <row r="601" spans="1:35" x14ac:dyDescent="0.2">
      <c r="A601" s="294"/>
      <c r="B601" s="922"/>
      <c r="C601" s="66">
        <v>3</v>
      </c>
      <c r="D601" s="3" t="s">
        <v>762</v>
      </c>
      <c r="E601" s="3" t="s">
        <v>759</v>
      </c>
      <c r="F601" s="3" t="s">
        <v>21</v>
      </c>
      <c r="G601" s="3" t="s">
        <v>779</v>
      </c>
      <c r="H601" s="5" t="s">
        <v>768</v>
      </c>
      <c r="I601" s="5" t="str">
        <f t="shared" si="238"/>
        <v/>
      </c>
      <c r="J601" s="26"/>
      <c r="K601" s="26">
        <f t="shared" si="239"/>
        <v>2025</v>
      </c>
      <c r="L601" s="96">
        <f t="shared" si="239"/>
        <v>0</v>
      </c>
      <c r="M601" s="111">
        <f t="shared" si="239"/>
        <v>0.25</v>
      </c>
      <c r="N601" s="4">
        <f t="shared" si="240"/>
        <v>0</v>
      </c>
      <c r="O601" s="4">
        <f>IF(O$5&lt;$K601,0,$L601-SUM($N507:N507)-O507)</f>
        <v>0</v>
      </c>
      <c r="P601" s="4">
        <f>IF(P$5&lt;$K601,0,$L601-SUM($N507:O507)-P507)</f>
        <v>0</v>
      </c>
      <c r="Q601" s="60"/>
      <c r="R601" s="60"/>
      <c r="S601" s="4">
        <f>IF(S$5&lt;$K601,0,$L601-SUM($N507:R507)-S507)</f>
        <v>0</v>
      </c>
      <c r="T601" s="4">
        <f>IF(T$5&lt;$K601,0,$L601-SUM($N507:S507)-T507)</f>
        <v>0</v>
      </c>
      <c r="U601" s="4">
        <f>IF(U$5&lt;$K601,0,$L601-SUM($N507:T507)-U507)</f>
        <v>0</v>
      </c>
      <c r="V601" s="4">
        <f>IF(V$5&lt;$K601,0,$L601-SUM($N507:U507)-V507)</f>
        <v>0</v>
      </c>
      <c r="W601" s="4">
        <f>IF(W$5&lt;$K601,0,$L601-SUM($N507:V507)-W507)</f>
        <v>0</v>
      </c>
      <c r="X601" s="4">
        <f>IF(X$5&lt;$K601,0,$L601-SUM($N507:W507)-X507)</f>
        <v>0</v>
      </c>
      <c r="Y601" s="4"/>
      <c r="Z601" s="3" t="str">
        <f>VLOOKUP($D601,TableInputsData[],ReadMe!$M$3,FALSE)&amp;"  |  "&amp;VLOOKUP($E601,TableInputsData[],ReadMe!$M$3,FALSE)&amp;"  |  "&amp;VLOOKUP($H601,TableInputsData[],ReadMe!$M$3,FALSE)</f>
        <v>ACTIFS MATERIEL IMMOBILISES  |  VALEUR BILAN FIN D'ANNEE  |  MATERIEL DE BUREAU</v>
      </c>
      <c r="AA601" s="3"/>
      <c r="AB601" s="34">
        <f t="shared" si="241"/>
        <v>0</v>
      </c>
      <c r="AC601" s="34"/>
      <c r="AD601" s="34"/>
      <c r="AE601" s="26"/>
      <c r="AF601" s="34">
        <v>1</v>
      </c>
      <c r="AG601" s="34"/>
      <c r="AH601" s="535"/>
      <c r="AI601" s="294"/>
    </row>
    <row r="602" spans="1:35" x14ac:dyDescent="0.2">
      <c r="A602" s="294"/>
      <c r="B602" s="922"/>
      <c r="C602" s="66">
        <v>3</v>
      </c>
      <c r="D602" s="3" t="s">
        <v>762</v>
      </c>
      <c r="E602" s="3" t="s">
        <v>759</v>
      </c>
      <c r="F602" s="3" t="s">
        <v>21</v>
      </c>
      <c r="G602" s="3" t="s">
        <v>780</v>
      </c>
      <c r="H602" s="5" t="s">
        <v>768</v>
      </c>
      <c r="I602" s="5" t="str">
        <f t="shared" si="238"/>
        <v/>
      </c>
      <c r="J602" s="26"/>
      <c r="K602" s="26">
        <f t="shared" si="239"/>
        <v>2026</v>
      </c>
      <c r="L602" s="96">
        <f t="shared" si="239"/>
        <v>0</v>
      </c>
      <c r="M602" s="111">
        <f t="shared" si="239"/>
        <v>0.25</v>
      </c>
      <c r="N602" s="4">
        <f t="shared" si="240"/>
        <v>0</v>
      </c>
      <c r="O602" s="4">
        <f>IF(O$5&lt;$K602,0,$L602-SUM($N508:N508)-O508)</f>
        <v>0</v>
      </c>
      <c r="P602" s="4">
        <f>IF(P$5&lt;$K602,0,$L602-SUM($N508:O508)-P508)</f>
        <v>0</v>
      </c>
      <c r="Q602" s="60"/>
      <c r="R602" s="60"/>
      <c r="S602" s="4">
        <f>IF(S$5&lt;$K602,0,$L602-SUM($N508:R508)-S508)</f>
        <v>0</v>
      </c>
      <c r="T602" s="4">
        <f>IF(T$5&lt;$K602,0,$L602-SUM($N508:S508)-T508)</f>
        <v>0</v>
      </c>
      <c r="U602" s="4">
        <f>IF(U$5&lt;$K602,0,$L602-SUM($N508:T508)-U508)</f>
        <v>0</v>
      </c>
      <c r="V602" s="4">
        <f>IF(V$5&lt;$K602,0,$L602-SUM($N508:U508)-V508)</f>
        <v>0</v>
      </c>
      <c r="W602" s="4">
        <f>IF(W$5&lt;$K602,0,$L602-SUM($N508:V508)-W508)</f>
        <v>0</v>
      </c>
      <c r="X602" s="4">
        <f>IF(X$5&lt;$K602,0,$L602-SUM($N508:W508)-X508)</f>
        <v>0</v>
      </c>
      <c r="Y602" s="4"/>
      <c r="Z602" s="3" t="str">
        <f>VLOOKUP($D602,TableInputsData[],ReadMe!$M$3,FALSE)&amp;"  |  "&amp;VLOOKUP($E602,TableInputsData[],ReadMe!$M$3,FALSE)&amp;"  |  "&amp;VLOOKUP($H602,TableInputsData[],ReadMe!$M$3,FALSE)</f>
        <v>ACTIFS MATERIEL IMMOBILISES  |  VALEUR BILAN FIN D'ANNEE  |  MATERIEL DE BUREAU</v>
      </c>
      <c r="AA602" s="3"/>
      <c r="AB602" s="34">
        <f t="shared" si="241"/>
        <v>0</v>
      </c>
      <c r="AC602" s="34"/>
      <c r="AD602" s="34"/>
      <c r="AE602" s="26"/>
      <c r="AF602" s="34">
        <v>1</v>
      </c>
      <c r="AG602" s="34"/>
      <c r="AH602" s="535"/>
      <c r="AI602" s="294"/>
    </row>
    <row r="603" spans="1:35" x14ac:dyDescent="0.2">
      <c r="A603" s="294"/>
      <c r="B603" s="922"/>
      <c r="C603" s="66">
        <v>3</v>
      </c>
      <c r="D603" s="3" t="s">
        <v>762</v>
      </c>
      <c r="E603" s="3" t="s">
        <v>759</v>
      </c>
      <c r="F603" s="3" t="s">
        <v>21</v>
      </c>
      <c r="G603" s="3" t="s">
        <v>781</v>
      </c>
      <c r="H603" s="5" t="s">
        <v>768</v>
      </c>
      <c r="I603" s="5" t="str">
        <f t="shared" si="238"/>
        <v/>
      </c>
      <c r="J603" s="26"/>
      <c r="K603" s="26">
        <f t="shared" si="239"/>
        <v>0</v>
      </c>
      <c r="L603" s="96">
        <f t="shared" si="239"/>
        <v>0</v>
      </c>
      <c r="M603" s="111">
        <f t="shared" si="239"/>
        <v>0</v>
      </c>
      <c r="N603" s="4">
        <f t="shared" si="240"/>
        <v>0</v>
      </c>
      <c r="O603" s="4">
        <f>IF(O$5&lt;$K603,0,$L603-SUM($N509:N509)-O509)</f>
        <v>0</v>
      </c>
      <c r="P603" s="4">
        <f>IF(P$5&lt;$K603,0,$L603-SUM($N509:O509)-P509)</f>
        <v>0</v>
      </c>
      <c r="Q603" s="60"/>
      <c r="R603" s="60"/>
      <c r="S603" s="4">
        <f>IF(S$5&lt;$K603,0,$L603-SUM($N509:R509)-S509)</f>
        <v>0</v>
      </c>
      <c r="T603" s="4">
        <f>IF(T$5&lt;$K603,0,$L603-SUM($N509:S509)-T509)</f>
        <v>0</v>
      </c>
      <c r="U603" s="4">
        <f>IF(U$5&lt;$K603,0,$L603-SUM($N509:T509)-U509)</f>
        <v>0</v>
      </c>
      <c r="V603" s="4">
        <f>IF(V$5&lt;$K603,0,$L603-SUM($N509:U509)-V509)</f>
        <v>0</v>
      </c>
      <c r="W603" s="4">
        <f>IF(W$5&lt;$K603,0,$L603-SUM($N509:V509)-W509)</f>
        <v>0</v>
      </c>
      <c r="X603" s="4">
        <f>IF(X$5&lt;$K603,0,$L603-SUM($N509:W509)-X509)</f>
        <v>0</v>
      </c>
      <c r="Y603" s="4"/>
      <c r="Z603" s="3" t="str">
        <f>VLOOKUP($D603,TableInputsData[],ReadMe!$M$3,FALSE)&amp;"  |  "&amp;VLOOKUP($E603,TableInputsData[],ReadMe!$M$3,FALSE)&amp;"  |  "&amp;VLOOKUP($H603,TableInputsData[],ReadMe!$M$3,FALSE)</f>
        <v>ACTIFS MATERIEL IMMOBILISES  |  VALEUR BILAN FIN D'ANNEE  |  MATERIEL DE BUREAU</v>
      </c>
      <c r="AA603" s="3"/>
      <c r="AB603" s="34">
        <f t="shared" si="241"/>
        <v>0</v>
      </c>
      <c r="AC603" s="34"/>
      <c r="AD603" s="34"/>
      <c r="AE603" s="26"/>
      <c r="AF603" s="34">
        <v>1</v>
      </c>
      <c r="AG603" s="34"/>
      <c r="AH603" s="535"/>
      <c r="AI603" s="294"/>
    </row>
    <row r="604" spans="1:35" x14ac:dyDescent="0.2">
      <c r="A604" s="294"/>
      <c r="B604" s="922"/>
      <c r="C604" s="66">
        <v>3</v>
      </c>
      <c r="D604" s="3" t="s">
        <v>762</v>
      </c>
      <c r="E604" s="3" t="s">
        <v>759</v>
      </c>
      <c r="F604" s="3" t="s">
        <v>21</v>
      </c>
      <c r="G604" s="3" t="s">
        <v>782</v>
      </c>
      <c r="H604" s="5" t="s">
        <v>768</v>
      </c>
      <c r="I604" s="5" t="str">
        <f t="shared" si="238"/>
        <v/>
      </c>
      <c r="J604" s="26"/>
      <c r="K604" s="26">
        <f t="shared" si="239"/>
        <v>0</v>
      </c>
      <c r="L604" s="96">
        <f t="shared" si="239"/>
        <v>0</v>
      </c>
      <c r="M604" s="111">
        <f t="shared" si="239"/>
        <v>0</v>
      </c>
      <c r="N604" s="4">
        <f t="shared" si="240"/>
        <v>0</v>
      </c>
      <c r="O604" s="4">
        <f>IF(O$5&lt;$K604,0,$L604-SUM($N510:N510)-O510)</f>
        <v>0</v>
      </c>
      <c r="P604" s="4">
        <f>IF(P$5&lt;$K604,0,$L604-SUM($N510:O510)-P510)</f>
        <v>0</v>
      </c>
      <c r="Q604" s="60"/>
      <c r="R604" s="60"/>
      <c r="S604" s="4">
        <f>IF(S$5&lt;$K604,0,$L604-SUM($N510:R510)-S510)</f>
        <v>0</v>
      </c>
      <c r="T604" s="4">
        <f>IF(T$5&lt;$K604,0,$L604-SUM($N510:S510)-T510)</f>
        <v>0</v>
      </c>
      <c r="U604" s="4">
        <f>IF(U$5&lt;$K604,0,$L604-SUM($N510:T510)-U510)</f>
        <v>0</v>
      </c>
      <c r="V604" s="4">
        <f>IF(V$5&lt;$K604,0,$L604-SUM($N510:U510)-V510)</f>
        <v>0</v>
      </c>
      <c r="W604" s="4">
        <f>IF(W$5&lt;$K604,0,$L604-SUM($N510:V510)-W510)</f>
        <v>0</v>
      </c>
      <c r="X604" s="4">
        <f>IF(X$5&lt;$K604,0,$L604-SUM($N510:W510)-X510)</f>
        <v>0</v>
      </c>
      <c r="Y604" s="4"/>
      <c r="Z604" s="3" t="str">
        <f>VLOOKUP($D604,TableInputsData[],ReadMe!$M$3,FALSE)&amp;"  |  "&amp;VLOOKUP($E604,TableInputsData[],ReadMe!$M$3,FALSE)&amp;"  |  "&amp;VLOOKUP($H604,TableInputsData[],ReadMe!$M$3,FALSE)</f>
        <v>ACTIFS MATERIEL IMMOBILISES  |  VALEUR BILAN FIN D'ANNEE  |  MATERIEL DE BUREAU</v>
      </c>
      <c r="AA604" s="3"/>
      <c r="AB604" s="34">
        <f t="shared" si="241"/>
        <v>0</v>
      </c>
      <c r="AC604" s="34"/>
      <c r="AD604" s="34"/>
      <c r="AE604" s="26"/>
      <c r="AF604" s="34">
        <v>1</v>
      </c>
      <c r="AG604" s="34"/>
      <c r="AH604" s="535"/>
      <c r="AI604" s="294"/>
    </row>
    <row r="605" spans="1:35" x14ac:dyDescent="0.2">
      <c r="A605" s="294"/>
      <c r="B605" s="922"/>
      <c r="C605" s="66">
        <v>3</v>
      </c>
      <c r="D605" s="3" t="s">
        <v>762</v>
      </c>
      <c r="E605" s="3" t="s">
        <v>759</v>
      </c>
      <c r="F605" s="3" t="s">
        <v>21</v>
      </c>
      <c r="G605" s="3" t="s">
        <v>783</v>
      </c>
      <c r="H605" s="5" t="s">
        <v>768</v>
      </c>
      <c r="I605" s="5" t="str">
        <f t="shared" si="238"/>
        <v/>
      </c>
      <c r="J605" s="26"/>
      <c r="K605" s="26">
        <f t="shared" si="239"/>
        <v>0</v>
      </c>
      <c r="L605" s="96">
        <f t="shared" si="239"/>
        <v>0</v>
      </c>
      <c r="M605" s="111">
        <f t="shared" si="239"/>
        <v>0</v>
      </c>
      <c r="N605" s="4">
        <f t="shared" si="240"/>
        <v>0</v>
      </c>
      <c r="O605" s="4">
        <f>IF(O$5&lt;$K605,0,$L605-SUM($N511:N511)-O511)</f>
        <v>0</v>
      </c>
      <c r="P605" s="4">
        <f>IF(P$5&lt;$K605,0,$L605-SUM($N511:O511)-P511)</f>
        <v>0</v>
      </c>
      <c r="Q605" s="60"/>
      <c r="R605" s="60"/>
      <c r="S605" s="4">
        <f>IF(S$5&lt;$K605,0,$L605-SUM($N511:R511)-S511)</f>
        <v>0</v>
      </c>
      <c r="T605" s="4">
        <f>IF(T$5&lt;$K605,0,$L605-SUM($N511:S511)-T511)</f>
        <v>0</v>
      </c>
      <c r="U605" s="4">
        <f>IF(U$5&lt;$K605,0,$L605-SUM($N511:T511)-U511)</f>
        <v>0</v>
      </c>
      <c r="V605" s="4">
        <f>IF(V$5&lt;$K605,0,$L605-SUM($N511:U511)-V511)</f>
        <v>0</v>
      </c>
      <c r="W605" s="4">
        <f>IF(W$5&lt;$K605,0,$L605-SUM($N511:V511)-W511)</f>
        <v>0</v>
      </c>
      <c r="X605" s="4">
        <f>IF(X$5&lt;$K605,0,$L605-SUM($N511:W511)-X511)</f>
        <v>0</v>
      </c>
      <c r="Y605" s="4"/>
      <c r="Z605" s="3" t="str">
        <f>VLOOKUP($D605,TableInputsData[],ReadMe!$M$3,FALSE)&amp;"  |  "&amp;VLOOKUP($E605,TableInputsData[],ReadMe!$M$3,FALSE)&amp;"  |  "&amp;VLOOKUP($H605,TableInputsData[],ReadMe!$M$3,FALSE)</f>
        <v>ACTIFS MATERIEL IMMOBILISES  |  VALEUR BILAN FIN D'ANNEE  |  MATERIEL DE BUREAU</v>
      </c>
      <c r="AA605" s="3"/>
      <c r="AB605" s="34">
        <f t="shared" si="241"/>
        <v>0</v>
      </c>
      <c r="AC605" s="34"/>
      <c r="AD605" s="34"/>
      <c r="AE605" s="26"/>
      <c r="AF605" s="34">
        <v>1</v>
      </c>
      <c r="AG605" s="34"/>
      <c r="AH605" s="535"/>
      <c r="AI605" s="294"/>
    </row>
    <row r="606" spans="1:35" x14ac:dyDescent="0.2">
      <c r="A606" s="294"/>
      <c r="B606" s="922"/>
      <c r="C606" s="66">
        <v>3</v>
      </c>
      <c r="D606" s="3" t="s">
        <v>762</v>
      </c>
      <c r="E606" s="3" t="s">
        <v>759</v>
      </c>
      <c r="F606" s="3" t="s">
        <v>21</v>
      </c>
      <c r="G606" s="3" t="s">
        <v>784</v>
      </c>
      <c r="H606" s="5" t="s">
        <v>768</v>
      </c>
      <c r="I606" s="5" t="str">
        <f t="shared" si="238"/>
        <v/>
      </c>
      <c r="J606" s="26"/>
      <c r="K606" s="26">
        <f t="shared" si="239"/>
        <v>0</v>
      </c>
      <c r="L606" s="96">
        <f t="shared" si="239"/>
        <v>0</v>
      </c>
      <c r="M606" s="111">
        <f t="shared" si="239"/>
        <v>0</v>
      </c>
      <c r="N606" s="4">
        <f t="shared" si="240"/>
        <v>0</v>
      </c>
      <c r="O606" s="4">
        <f>IF(O$5&lt;$K606,0,$L606-SUM($N512:N512)-O512)</f>
        <v>0</v>
      </c>
      <c r="P606" s="4">
        <f>IF(P$5&lt;$K606,0,$L606-SUM($N512:O512)-P512)</f>
        <v>0</v>
      </c>
      <c r="Q606" s="60"/>
      <c r="R606" s="60"/>
      <c r="S606" s="4">
        <f>IF(S$5&lt;$K606,0,$L606-SUM($N512:R512)-S512)</f>
        <v>0</v>
      </c>
      <c r="T606" s="4">
        <f>IF(T$5&lt;$K606,0,$L606-SUM($N512:S512)-T512)</f>
        <v>0</v>
      </c>
      <c r="U606" s="4">
        <f>IF(U$5&lt;$K606,0,$L606-SUM($N512:T512)-U512)</f>
        <v>0</v>
      </c>
      <c r="V606" s="4">
        <f>IF(V$5&lt;$K606,0,$L606-SUM($N512:U512)-V512)</f>
        <v>0</v>
      </c>
      <c r="W606" s="4">
        <f>IF(W$5&lt;$K606,0,$L606-SUM($N512:V512)-W512)</f>
        <v>0</v>
      </c>
      <c r="X606" s="4">
        <f>IF(X$5&lt;$K606,0,$L606-SUM($N512:W512)-X512)</f>
        <v>0</v>
      </c>
      <c r="Y606" s="4"/>
      <c r="Z606" s="3" t="str">
        <f>VLOOKUP($D606,TableInputsData[],ReadMe!$M$3,FALSE)&amp;"  |  "&amp;VLOOKUP($E606,TableInputsData[],ReadMe!$M$3,FALSE)&amp;"  |  "&amp;VLOOKUP($H606,TableInputsData[],ReadMe!$M$3,FALSE)</f>
        <v>ACTIFS MATERIEL IMMOBILISES  |  VALEUR BILAN FIN D'ANNEE  |  MATERIEL DE BUREAU</v>
      </c>
      <c r="AA606" s="3"/>
      <c r="AB606" s="34">
        <f t="shared" si="241"/>
        <v>0</v>
      </c>
      <c r="AC606" s="34"/>
      <c r="AD606" s="34"/>
      <c r="AE606" s="26"/>
      <c r="AF606" s="34">
        <v>1</v>
      </c>
      <c r="AG606" s="34"/>
      <c r="AH606" s="535"/>
      <c r="AI606" s="294"/>
    </row>
    <row r="607" spans="1:35" x14ac:dyDescent="0.2">
      <c r="A607" s="294"/>
      <c r="B607" s="922"/>
      <c r="C607" s="66">
        <v>3</v>
      </c>
      <c r="D607" s="3" t="s">
        <v>762</v>
      </c>
      <c r="E607" s="3" t="s">
        <v>759</v>
      </c>
      <c r="F607" s="3" t="s">
        <v>21</v>
      </c>
      <c r="G607" s="3" t="s">
        <v>785</v>
      </c>
      <c r="H607" s="5" t="s">
        <v>768</v>
      </c>
      <c r="I607" s="5" t="str">
        <f t="shared" si="238"/>
        <v/>
      </c>
      <c r="J607" s="26"/>
      <c r="K607" s="26">
        <f t="shared" si="239"/>
        <v>0</v>
      </c>
      <c r="L607" s="96">
        <f t="shared" si="239"/>
        <v>0</v>
      </c>
      <c r="M607" s="111">
        <f t="shared" si="239"/>
        <v>0</v>
      </c>
      <c r="N607" s="4">
        <f t="shared" si="240"/>
        <v>0</v>
      </c>
      <c r="O607" s="4">
        <f>IF(O$5&lt;$K607,0,$L607-SUM($N513:N513)-O513)</f>
        <v>0</v>
      </c>
      <c r="P607" s="4">
        <f>IF(P$5&lt;$K607,0,$L607-SUM($N513:O513)-P513)</f>
        <v>0</v>
      </c>
      <c r="Q607" s="60"/>
      <c r="R607" s="60"/>
      <c r="S607" s="4">
        <f>IF(S$5&lt;$K607,0,$L607-SUM($N513:R513)-S513)</f>
        <v>0</v>
      </c>
      <c r="T607" s="4">
        <f>IF(T$5&lt;$K607,0,$L607-SUM($N513:S513)-T513)</f>
        <v>0</v>
      </c>
      <c r="U607" s="4">
        <f>IF(U$5&lt;$K607,0,$L607-SUM($N513:T513)-U513)</f>
        <v>0</v>
      </c>
      <c r="V607" s="4">
        <f>IF(V$5&lt;$K607,0,$L607-SUM($N513:U513)-V513)</f>
        <v>0</v>
      </c>
      <c r="W607" s="4">
        <f>IF(W$5&lt;$K607,0,$L607-SUM($N513:V513)-W513)</f>
        <v>0</v>
      </c>
      <c r="X607" s="4">
        <f>IF(X$5&lt;$K607,0,$L607-SUM($N513:W513)-X513)</f>
        <v>0</v>
      </c>
      <c r="Y607" s="4"/>
      <c r="Z607" s="3" t="str">
        <f>VLOOKUP($D607,TableInputsData[],ReadMe!$M$3,FALSE)&amp;"  |  "&amp;VLOOKUP($E607,TableInputsData[],ReadMe!$M$3,FALSE)&amp;"  |  "&amp;VLOOKUP($H607,TableInputsData[],ReadMe!$M$3,FALSE)</f>
        <v>ACTIFS MATERIEL IMMOBILISES  |  VALEUR BILAN FIN D'ANNEE  |  MATERIEL DE BUREAU</v>
      </c>
      <c r="AA607" s="3"/>
      <c r="AB607" s="34">
        <f t="shared" si="241"/>
        <v>0</v>
      </c>
      <c r="AC607" s="34"/>
      <c r="AD607" s="34"/>
      <c r="AE607" s="26"/>
      <c r="AF607" s="34">
        <v>1</v>
      </c>
      <c r="AG607" s="34"/>
      <c r="AH607" s="535"/>
      <c r="AI607" s="294"/>
    </row>
    <row r="608" spans="1:35" x14ac:dyDescent="0.2">
      <c r="A608" s="294"/>
      <c r="B608" s="922"/>
      <c r="C608" s="66">
        <v>3</v>
      </c>
      <c r="D608" s="3" t="s">
        <v>762</v>
      </c>
      <c r="E608" s="3" t="s">
        <v>759</v>
      </c>
      <c r="F608" s="3" t="s">
        <v>21</v>
      </c>
      <c r="G608" s="3" t="s">
        <v>786</v>
      </c>
      <c r="H608" s="5" t="s">
        <v>768</v>
      </c>
      <c r="I608" s="5" t="str">
        <f t="shared" si="238"/>
        <v/>
      </c>
      <c r="J608" s="26"/>
      <c r="K608" s="26">
        <f t="shared" si="239"/>
        <v>0</v>
      </c>
      <c r="L608" s="96">
        <f t="shared" si="239"/>
        <v>0</v>
      </c>
      <c r="M608" s="111">
        <f t="shared" si="239"/>
        <v>0</v>
      </c>
      <c r="N608" s="4">
        <f t="shared" si="240"/>
        <v>0</v>
      </c>
      <c r="O608" s="4">
        <f>IF(O$5&lt;$K608,0,$L608-SUM($N514:N514)-O514)</f>
        <v>0</v>
      </c>
      <c r="P608" s="4">
        <f>IF(P$5&lt;$K608,0,$L608-SUM($N514:O514)-P514)</f>
        <v>0</v>
      </c>
      <c r="Q608" s="60"/>
      <c r="R608" s="60"/>
      <c r="S608" s="4">
        <f>IF(S$5&lt;$K608,0,$L608-SUM($N514:R514)-S514)</f>
        <v>0</v>
      </c>
      <c r="T608" s="4">
        <f>IF(T$5&lt;$K608,0,$L608-SUM($N514:S514)-T514)</f>
        <v>0</v>
      </c>
      <c r="U608" s="4">
        <f>IF(U$5&lt;$K608,0,$L608-SUM($N514:T514)-U514)</f>
        <v>0</v>
      </c>
      <c r="V608" s="4">
        <f>IF(V$5&lt;$K608,0,$L608-SUM($N514:U514)-V514)</f>
        <v>0</v>
      </c>
      <c r="W608" s="4">
        <f>IF(W$5&lt;$K608,0,$L608-SUM($N514:V514)-W514)</f>
        <v>0</v>
      </c>
      <c r="X608" s="4">
        <f>IF(X$5&lt;$K608,0,$L608-SUM($N514:W514)-X514)</f>
        <v>0</v>
      </c>
      <c r="Y608" s="4"/>
      <c r="Z608" s="3" t="str">
        <f>VLOOKUP($D608,TableInputsData[],ReadMe!$M$3,FALSE)&amp;"  |  "&amp;VLOOKUP($E608,TableInputsData[],ReadMe!$M$3,FALSE)&amp;"  |  "&amp;VLOOKUP($H608,TableInputsData[],ReadMe!$M$3,FALSE)</f>
        <v>ACTIFS MATERIEL IMMOBILISES  |  VALEUR BILAN FIN D'ANNEE  |  MATERIEL DE BUREAU</v>
      </c>
      <c r="AA608" s="3"/>
      <c r="AB608" s="34">
        <f t="shared" si="241"/>
        <v>0</v>
      </c>
      <c r="AC608" s="34"/>
      <c r="AD608" s="34"/>
      <c r="AE608" s="26"/>
      <c r="AF608" s="34">
        <v>1</v>
      </c>
      <c r="AG608" s="34"/>
      <c r="AH608" s="535"/>
      <c r="AI608" s="294"/>
    </row>
    <row r="609" spans="1:35" x14ac:dyDescent="0.2">
      <c r="A609" s="294"/>
      <c r="B609" s="922"/>
      <c r="C609" s="66">
        <v>3</v>
      </c>
      <c r="D609" s="3" t="s">
        <v>762</v>
      </c>
      <c r="E609" s="3" t="s">
        <v>759</v>
      </c>
      <c r="F609" s="3" t="s">
        <v>21</v>
      </c>
      <c r="G609" s="3" t="s">
        <v>787</v>
      </c>
      <c r="H609" s="5" t="s">
        <v>768</v>
      </c>
      <c r="I609" s="5" t="str">
        <f t="shared" si="238"/>
        <v/>
      </c>
      <c r="J609" s="26"/>
      <c r="K609" s="26">
        <f t="shared" si="239"/>
        <v>0</v>
      </c>
      <c r="L609" s="96">
        <f t="shared" si="239"/>
        <v>0</v>
      </c>
      <c r="M609" s="111">
        <f t="shared" si="239"/>
        <v>0</v>
      </c>
      <c r="N609" s="4">
        <f t="shared" si="240"/>
        <v>0</v>
      </c>
      <c r="O609" s="4">
        <f>IF(O$5&lt;$K609,0,$L609-SUM($N515:N515)-O515)</f>
        <v>0</v>
      </c>
      <c r="P609" s="4">
        <f>IF(P$5&lt;$K609,0,$L609-SUM($N515:O515)-P515)</f>
        <v>0</v>
      </c>
      <c r="Q609" s="60"/>
      <c r="R609" s="60"/>
      <c r="S609" s="4">
        <f>IF(S$5&lt;$K609,0,$L609-SUM($N515:R515)-S515)</f>
        <v>0</v>
      </c>
      <c r="T609" s="4">
        <f>IF(T$5&lt;$K609,0,$L609-SUM($N515:S515)-T515)</f>
        <v>0</v>
      </c>
      <c r="U609" s="4">
        <f>IF(U$5&lt;$K609,0,$L609-SUM($N515:T515)-U515)</f>
        <v>0</v>
      </c>
      <c r="V609" s="4">
        <f>IF(V$5&lt;$K609,0,$L609-SUM($N515:U515)-V515)</f>
        <v>0</v>
      </c>
      <c r="W609" s="4">
        <f>IF(W$5&lt;$K609,0,$L609-SUM($N515:V515)-W515)</f>
        <v>0</v>
      </c>
      <c r="X609" s="4">
        <f>IF(X$5&lt;$K609,0,$L609-SUM($N515:W515)-X515)</f>
        <v>0</v>
      </c>
      <c r="Y609" s="4"/>
      <c r="Z609" s="3" t="str">
        <f>VLOOKUP($D609,TableInputsData[],ReadMe!$M$3,FALSE)&amp;"  |  "&amp;VLOOKUP($E609,TableInputsData[],ReadMe!$M$3,FALSE)&amp;"  |  "&amp;VLOOKUP($H609,TableInputsData[],ReadMe!$M$3,FALSE)</f>
        <v>ACTIFS MATERIEL IMMOBILISES  |  VALEUR BILAN FIN D'ANNEE  |  MATERIEL DE BUREAU</v>
      </c>
      <c r="AA609" s="3"/>
      <c r="AB609" s="34">
        <f t="shared" si="241"/>
        <v>0</v>
      </c>
      <c r="AC609" s="34"/>
      <c r="AD609" s="34"/>
      <c r="AE609" s="26"/>
      <c r="AF609" s="34">
        <v>1</v>
      </c>
      <c r="AG609" s="34"/>
      <c r="AH609" s="535"/>
      <c r="AI609" s="294"/>
    </row>
    <row r="610" spans="1:35" x14ac:dyDescent="0.2">
      <c r="A610" s="294"/>
      <c r="B610" s="922"/>
      <c r="C610" s="66">
        <v>3</v>
      </c>
      <c r="D610" s="3" t="s">
        <v>762</v>
      </c>
      <c r="E610" s="3" t="s">
        <v>759</v>
      </c>
      <c r="F610" s="3" t="s">
        <v>21</v>
      </c>
      <c r="G610" s="3" t="s">
        <v>788</v>
      </c>
      <c r="H610" s="5" t="s">
        <v>768</v>
      </c>
      <c r="I610" s="5" t="str">
        <f t="shared" si="238"/>
        <v/>
      </c>
      <c r="J610" s="26"/>
      <c r="K610" s="26">
        <f t="shared" si="239"/>
        <v>0</v>
      </c>
      <c r="L610" s="96">
        <f t="shared" si="239"/>
        <v>0</v>
      </c>
      <c r="M610" s="111">
        <f t="shared" si="239"/>
        <v>0</v>
      </c>
      <c r="N610" s="4">
        <f t="shared" si="240"/>
        <v>0</v>
      </c>
      <c r="O610" s="4">
        <f>IF(O$5&lt;$K610,0,$L610-SUM($N516:N516)-O516)</f>
        <v>0</v>
      </c>
      <c r="P610" s="4">
        <f>IF(P$5&lt;$K610,0,$L610-SUM($N516:O516)-P516)</f>
        <v>0</v>
      </c>
      <c r="Q610" s="60"/>
      <c r="R610" s="60"/>
      <c r="S610" s="4">
        <f>IF(S$5&lt;$K610,0,$L610-SUM($N516:R516)-S516)</f>
        <v>0</v>
      </c>
      <c r="T610" s="4">
        <f>IF(T$5&lt;$K610,0,$L610-SUM($N516:S516)-T516)</f>
        <v>0</v>
      </c>
      <c r="U610" s="4">
        <f>IF(U$5&lt;$K610,0,$L610-SUM($N516:T516)-U516)</f>
        <v>0</v>
      </c>
      <c r="V610" s="4">
        <f>IF(V$5&lt;$K610,0,$L610-SUM($N516:U516)-V516)</f>
        <v>0</v>
      </c>
      <c r="W610" s="4">
        <f>IF(W$5&lt;$K610,0,$L610-SUM($N516:V516)-W516)</f>
        <v>0</v>
      </c>
      <c r="X610" s="4">
        <f>IF(X$5&lt;$K610,0,$L610-SUM($N516:W516)-X516)</f>
        <v>0</v>
      </c>
      <c r="Y610" s="4"/>
      <c r="Z610" s="3" t="str">
        <f>VLOOKUP($D610,TableInputsData[],ReadMe!$M$3,FALSE)&amp;"  |  "&amp;VLOOKUP($E610,TableInputsData[],ReadMe!$M$3,FALSE)&amp;"  |  "&amp;VLOOKUP($H610,TableInputsData[],ReadMe!$M$3,FALSE)</f>
        <v>ACTIFS MATERIEL IMMOBILISES  |  VALEUR BILAN FIN D'ANNEE  |  MATERIEL DE BUREAU</v>
      </c>
      <c r="AA610" s="3"/>
      <c r="AB610" s="34">
        <f t="shared" si="241"/>
        <v>0</v>
      </c>
      <c r="AC610" s="34"/>
      <c r="AD610" s="34"/>
      <c r="AE610" s="26"/>
      <c r="AF610" s="34">
        <v>1</v>
      </c>
      <c r="AG610" s="34"/>
      <c r="AH610" s="535"/>
      <c r="AI610" s="294"/>
    </row>
    <row r="611" spans="1:35" x14ac:dyDescent="0.2">
      <c r="A611" s="294"/>
      <c r="B611" s="922"/>
      <c r="C611" s="66">
        <v>3</v>
      </c>
      <c r="D611" s="3" t="s">
        <v>762</v>
      </c>
      <c r="E611" s="3" t="s">
        <v>759</v>
      </c>
      <c r="F611" s="3" t="s">
        <v>21</v>
      </c>
      <c r="G611" s="3" t="s">
        <v>789</v>
      </c>
      <c r="H611" s="5" t="s">
        <v>768</v>
      </c>
      <c r="I611" s="5" t="str">
        <f t="shared" si="238"/>
        <v/>
      </c>
      <c r="J611" s="26"/>
      <c r="K611" s="26">
        <f t="shared" si="239"/>
        <v>0</v>
      </c>
      <c r="L611" s="96">
        <f t="shared" si="239"/>
        <v>0</v>
      </c>
      <c r="M611" s="111">
        <f t="shared" si="239"/>
        <v>0</v>
      </c>
      <c r="N611" s="4">
        <f t="shared" si="240"/>
        <v>0</v>
      </c>
      <c r="O611" s="4">
        <f>IF(O$5&lt;$K611,0,$L611-SUM($N517:N517)-O517)</f>
        <v>0</v>
      </c>
      <c r="P611" s="4">
        <f>IF(P$5&lt;$K611,0,$L611-SUM($N517:O517)-P517)</f>
        <v>0</v>
      </c>
      <c r="Q611" s="60"/>
      <c r="R611" s="60"/>
      <c r="S611" s="4">
        <f>IF(S$5&lt;$K611,0,$L611-SUM($N517:R517)-S517)</f>
        <v>0</v>
      </c>
      <c r="T611" s="4">
        <f>IF(T$5&lt;$K611,0,$L611-SUM($N517:S517)-T517)</f>
        <v>0</v>
      </c>
      <c r="U611" s="4">
        <f>IF(U$5&lt;$K611,0,$L611-SUM($N517:T517)-U517)</f>
        <v>0</v>
      </c>
      <c r="V611" s="4">
        <f>IF(V$5&lt;$K611,0,$L611-SUM($N517:U517)-V517)</f>
        <v>0</v>
      </c>
      <c r="W611" s="4">
        <f>IF(W$5&lt;$K611,0,$L611-SUM($N517:V517)-W517)</f>
        <v>0</v>
      </c>
      <c r="X611" s="4">
        <f>IF(X$5&lt;$K611,0,$L611-SUM($N517:W517)-X517)</f>
        <v>0</v>
      </c>
      <c r="Y611" s="4"/>
      <c r="Z611" s="3" t="str">
        <f>VLOOKUP($D611,TableInputsData[],ReadMe!$M$3,FALSE)&amp;"  |  "&amp;VLOOKUP($E611,TableInputsData[],ReadMe!$M$3,FALSE)&amp;"  |  "&amp;VLOOKUP($H611,TableInputsData[],ReadMe!$M$3,FALSE)</f>
        <v>ACTIFS MATERIEL IMMOBILISES  |  VALEUR BILAN FIN D'ANNEE  |  MATERIEL DE BUREAU</v>
      </c>
      <c r="AA611" s="3"/>
      <c r="AB611" s="34">
        <f t="shared" si="241"/>
        <v>0</v>
      </c>
      <c r="AC611" s="34"/>
      <c r="AD611" s="34"/>
      <c r="AE611" s="26"/>
      <c r="AF611" s="34">
        <v>1</v>
      </c>
      <c r="AG611" s="34"/>
      <c r="AH611" s="535"/>
      <c r="AI611" s="294"/>
    </row>
    <row r="612" spans="1:35" x14ac:dyDescent="0.2">
      <c r="A612" s="294"/>
      <c r="B612" s="922"/>
      <c r="C612" s="66">
        <v>3</v>
      </c>
      <c r="D612" s="3" t="s">
        <v>762</v>
      </c>
      <c r="E612" s="3" t="s">
        <v>759</v>
      </c>
      <c r="F612" s="3" t="s">
        <v>21</v>
      </c>
      <c r="G612" s="3" t="s">
        <v>790</v>
      </c>
      <c r="H612" s="5" t="s">
        <v>768</v>
      </c>
      <c r="I612" s="5" t="str">
        <f t="shared" si="238"/>
        <v/>
      </c>
      <c r="J612" s="26"/>
      <c r="K612" s="26">
        <f t="shared" si="239"/>
        <v>0</v>
      </c>
      <c r="L612" s="96">
        <f t="shared" si="239"/>
        <v>0</v>
      </c>
      <c r="M612" s="111">
        <f t="shared" si="239"/>
        <v>0</v>
      </c>
      <c r="N612" s="4">
        <f t="shared" ref="N612:N635" si="242">IF(N518="","",N518)</f>
        <v>0</v>
      </c>
      <c r="O612" s="4">
        <f>IF(O$5&lt;$K612,0,$L612-SUM($N518:N518)-O518)</f>
        <v>0</v>
      </c>
      <c r="P612" s="4">
        <f>IF(P$5&lt;$K612,0,$L612-SUM($N518:O518)-P518)</f>
        <v>0</v>
      </c>
      <c r="Q612" s="60"/>
      <c r="R612" s="60"/>
      <c r="S612" s="4">
        <f>IF(S$5&lt;$K612,0,$L612-SUM($N518:R518)-S518)</f>
        <v>0</v>
      </c>
      <c r="T612" s="4">
        <f>IF(T$5&lt;$K612,0,$L612-SUM($N518:S518)-T518)</f>
        <v>0</v>
      </c>
      <c r="U612" s="4">
        <f>IF(U$5&lt;$K612,0,$L612-SUM($N518:T518)-U518)</f>
        <v>0</v>
      </c>
      <c r="V612" s="4">
        <f>IF(V$5&lt;$K612,0,$L612-SUM($N518:U518)-V518)</f>
        <v>0</v>
      </c>
      <c r="W612" s="4">
        <f>IF(W$5&lt;$K612,0,$L612-SUM($N518:V518)-W518)</f>
        <v>0</v>
      </c>
      <c r="X612" s="4">
        <f>IF(X$5&lt;$K612,0,$L612-SUM($N518:W518)-X518)</f>
        <v>0</v>
      </c>
      <c r="Y612" s="4"/>
      <c r="Z612" s="3" t="str">
        <f>VLOOKUP($D612,TableInputsData[],ReadMe!$M$3,FALSE)&amp;"  |  "&amp;VLOOKUP($E612,TableInputsData[],ReadMe!$M$3,FALSE)&amp;"  |  "&amp;VLOOKUP($H612,TableInputsData[],ReadMe!$M$3,FALSE)</f>
        <v>ACTIFS MATERIEL IMMOBILISES  |  VALEUR BILAN FIN D'ANNEE  |  MATERIEL DE BUREAU</v>
      </c>
      <c r="AA612" s="3"/>
      <c r="AB612" s="34">
        <f t="shared" si="241"/>
        <v>0</v>
      </c>
      <c r="AC612" s="34"/>
      <c r="AD612" s="34"/>
      <c r="AE612" s="26"/>
      <c r="AF612" s="34">
        <v>1</v>
      </c>
      <c r="AG612" s="34"/>
      <c r="AH612" s="535"/>
      <c r="AI612" s="294"/>
    </row>
    <row r="613" spans="1:35" x14ac:dyDescent="0.2">
      <c r="A613" s="294"/>
      <c r="B613" s="922"/>
      <c r="C613" s="66">
        <v>3</v>
      </c>
      <c r="D613" s="3" t="s">
        <v>762</v>
      </c>
      <c r="E613" s="3" t="s">
        <v>759</v>
      </c>
      <c r="F613" s="3" t="s">
        <v>21</v>
      </c>
      <c r="G613" s="3" t="s">
        <v>791</v>
      </c>
      <c r="H613" s="5" t="s">
        <v>768</v>
      </c>
      <c r="I613" s="5" t="str">
        <f t="shared" si="238"/>
        <v/>
      </c>
      <c r="J613" s="26"/>
      <c r="K613" s="26">
        <f t="shared" si="239"/>
        <v>0</v>
      </c>
      <c r="L613" s="96">
        <f t="shared" si="239"/>
        <v>0</v>
      </c>
      <c r="M613" s="111">
        <f t="shared" si="239"/>
        <v>0</v>
      </c>
      <c r="N613" s="4">
        <f t="shared" si="242"/>
        <v>0</v>
      </c>
      <c r="O613" s="4">
        <f>IF(O$5&lt;$K613,0,$L613-SUM($N519:N519)-O519)</f>
        <v>0</v>
      </c>
      <c r="P613" s="4">
        <f>IF(P$5&lt;$K613,0,$L613-SUM($N519:O519)-P519)</f>
        <v>0</v>
      </c>
      <c r="Q613" s="60"/>
      <c r="R613" s="60"/>
      <c r="S613" s="4">
        <f>IF(S$5&lt;$K613,0,$L613-SUM($N519:R519)-S519)</f>
        <v>0</v>
      </c>
      <c r="T613" s="4">
        <f>IF(T$5&lt;$K613,0,$L613-SUM($N519:S519)-T519)</f>
        <v>0</v>
      </c>
      <c r="U613" s="4">
        <f>IF(U$5&lt;$K613,0,$L613-SUM($N519:T519)-U519)</f>
        <v>0</v>
      </c>
      <c r="V613" s="4">
        <f>IF(V$5&lt;$K613,0,$L613-SUM($N519:U519)-V519)</f>
        <v>0</v>
      </c>
      <c r="W613" s="4">
        <f>IF(W$5&lt;$K613,0,$L613-SUM($N519:V519)-W519)</f>
        <v>0</v>
      </c>
      <c r="X613" s="4">
        <f>IF(X$5&lt;$K613,0,$L613-SUM($N519:W519)-X519)</f>
        <v>0</v>
      </c>
      <c r="Y613" s="4"/>
      <c r="Z613" s="3" t="str">
        <f>VLOOKUP($D613,TableInputsData[],ReadMe!$M$3,FALSE)&amp;"  |  "&amp;VLOOKUP($E613,TableInputsData[],ReadMe!$M$3,FALSE)&amp;"  |  "&amp;VLOOKUP($H613,TableInputsData[],ReadMe!$M$3,FALSE)</f>
        <v>ACTIFS MATERIEL IMMOBILISES  |  VALEUR BILAN FIN D'ANNEE  |  MATERIEL DE BUREAU</v>
      </c>
      <c r="AA613" s="3"/>
      <c r="AB613" s="34">
        <f t="shared" si="241"/>
        <v>0</v>
      </c>
      <c r="AC613" s="34"/>
      <c r="AD613" s="34"/>
      <c r="AE613" s="26"/>
      <c r="AF613" s="34">
        <v>1</v>
      </c>
      <c r="AG613" s="34"/>
      <c r="AH613" s="535"/>
      <c r="AI613" s="294"/>
    </row>
    <row r="614" spans="1:35" x14ac:dyDescent="0.2">
      <c r="A614" s="294"/>
      <c r="B614" s="922"/>
      <c r="C614" s="66">
        <v>3</v>
      </c>
      <c r="D614" s="3" t="s">
        <v>762</v>
      </c>
      <c r="E614" s="3" t="s">
        <v>759</v>
      </c>
      <c r="F614" s="3" t="s">
        <v>21</v>
      </c>
      <c r="G614" s="3" t="s">
        <v>792</v>
      </c>
      <c r="H614" s="5" t="s">
        <v>768</v>
      </c>
      <c r="I614" s="5" t="str">
        <f t="shared" si="238"/>
        <v/>
      </c>
      <c r="J614" s="26"/>
      <c r="K614" s="26">
        <f t="shared" si="239"/>
        <v>0</v>
      </c>
      <c r="L614" s="96">
        <f t="shared" si="239"/>
        <v>0</v>
      </c>
      <c r="M614" s="111">
        <f t="shared" si="239"/>
        <v>0</v>
      </c>
      <c r="N614" s="4">
        <f t="shared" si="242"/>
        <v>0</v>
      </c>
      <c r="O614" s="4">
        <f>IF(O$5&lt;$K614,0,$L614-SUM($N520:N520)-O520)</f>
        <v>0</v>
      </c>
      <c r="P614" s="4">
        <f>IF(P$5&lt;$K614,0,$L614-SUM($N520:O520)-P520)</f>
        <v>0</v>
      </c>
      <c r="Q614" s="60"/>
      <c r="R614" s="60"/>
      <c r="S614" s="4">
        <f>IF(S$5&lt;$K614,0,$L614-SUM($N520:R520)-S520)</f>
        <v>0</v>
      </c>
      <c r="T614" s="4">
        <f>IF(T$5&lt;$K614,0,$L614-SUM($N520:S520)-T520)</f>
        <v>0</v>
      </c>
      <c r="U614" s="4">
        <f>IF(U$5&lt;$K614,0,$L614-SUM($N520:T520)-U520)</f>
        <v>0</v>
      </c>
      <c r="V614" s="4">
        <f>IF(V$5&lt;$K614,0,$L614-SUM($N520:U520)-V520)</f>
        <v>0</v>
      </c>
      <c r="W614" s="4">
        <f>IF(W$5&lt;$K614,0,$L614-SUM($N520:V520)-W520)</f>
        <v>0</v>
      </c>
      <c r="X614" s="4">
        <f>IF(X$5&lt;$K614,0,$L614-SUM($N520:W520)-X520)</f>
        <v>0</v>
      </c>
      <c r="Y614" s="4"/>
      <c r="Z614" s="3" t="str">
        <f>VLOOKUP($D614,TableInputsData[],ReadMe!$M$3,FALSE)&amp;"  |  "&amp;VLOOKUP($E614,TableInputsData[],ReadMe!$M$3,FALSE)&amp;"  |  "&amp;VLOOKUP($H614,TableInputsData[],ReadMe!$M$3,FALSE)</f>
        <v>ACTIFS MATERIEL IMMOBILISES  |  VALEUR BILAN FIN D'ANNEE  |  MATERIEL DE BUREAU</v>
      </c>
      <c r="AA614" s="3"/>
      <c r="AB614" s="34">
        <f t="shared" si="241"/>
        <v>0</v>
      </c>
      <c r="AC614" s="34"/>
      <c r="AD614" s="34"/>
      <c r="AE614" s="26"/>
      <c r="AF614" s="34">
        <v>1</v>
      </c>
      <c r="AG614" s="34"/>
      <c r="AH614" s="535"/>
      <c r="AI614" s="294"/>
    </row>
    <row r="615" spans="1:35" x14ac:dyDescent="0.2">
      <c r="A615" s="294"/>
      <c r="B615" s="922"/>
      <c r="C615" s="66">
        <v>3</v>
      </c>
      <c r="D615" s="3" t="s">
        <v>762</v>
      </c>
      <c r="E615" s="3" t="s">
        <v>759</v>
      </c>
      <c r="F615" s="3" t="s">
        <v>21</v>
      </c>
      <c r="G615" s="3" t="s">
        <v>793</v>
      </c>
      <c r="H615" s="5" t="s">
        <v>768</v>
      </c>
      <c r="I615" s="5" t="str">
        <f t="shared" si="238"/>
        <v/>
      </c>
      <c r="J615" s="26"/>
      <c r="K615" s="26">
        <f t="shared" si="239"/>
        <v>0</v>
      </c>
      <c r="L615" s="96">
        <f t="shared" si="239"/>
        <v>0</v>
      </c>
      <c r="M615" s="111">
        <f t="shared" si="239"/>
        <v>0</v>
      </c>
      <c r="N615" s="4">
        <f t="shared" si="242"/>
        <v>0</v>
      </c>
      <c r="O615" s="4">
        <f>IF(O$5&lt;$K615,0,$L615-SUM($N521:N521)-O521)</f>
        <v>0</v>
      </c>
      <c r="P615" s="4">
        <f>IF(P$5&lt;$K615,0,$L615-SUM($N521:O521)-P521)</f>
        <v>0</v>
      </c>
      <c r="Q615" s="60"/>
      <c r="R615" s="60"/>
      <c r="S615" s="4">
        <f>IF(S$5&lt;$K615,0,$L615-SUM($N521:R521)-S521)</f>
        <v>0</v>
      </c>
      <c r="T615" s="4">
        <f>IF(T$5&lt;$K615,0,$L615-SUM($N521:S521)-T521)</f>
        <v>0</v>
      </c>
      <c r="U615" s="4">
        <f>IF(U$5&lt;$K615,0,$L615-SUM($N521:T521)-U521)</f>
        <v>0</v>
      </c>
      <c r="V615" s="4">
        <f>IF(V$5&lt;$K615,0,$L615-SUM($N521:U521)-V521)</f>
        <v>0</v>
      </c>
      <c r="W615" s="4">
        <f>IF(W$5&lt;$K615,0,$L615-SUM($N521:V521)-W521)</f>
        <v>0</v>
      </c>
      <c r="X615" s="4">
        <f>IF(X$5&lt;$K615,0,$L615-SUM($N521:W521)-X521)</f>
        <v>0</v>
      </c>
      <c r="Y615" s="4"/>
      <c r="Z615" s="3" t="str">
        <f>VLOOKUP($D615,TableInputsData[],ReadMe!$M$3,FALSE)&amp;"  |  "&amp;VLOOKUP($E615,TableInputsData[],ReadMe!$M$3,FALSE)&amp;"  |  "&amp;VLOOKUP($H615,TableInputsData[],ReadMe!$M$3,FALSE)</f>
        <v>ACTIFS MATERIEL IMMOBILISES  |  VALEUR BILAN FIN D'ANNEE  |  MATERIEL DE BUREAU</v>
      </c>
      <c r="AA615" s="3"/>
      <c r="AB615" s="34">
        <f t="shared" si="241"/>
        <v>0</v>
      </c>
      <c r="AC615" s="34"/>
      <c r="AD615" s="34"/>
      <c r="AE615" s="26"/>
      <c r="AF615" s="34">
        <v>1</v>
      </c>
      <c r="AG615" s="34"/>
      <c r="AH615" s="535"/>
      <c r="AI615" s="294"/>
    </row>
    <row r="616" spans="1:35" x14ac:dyDescent="0.2">
      <c r="A616" s="294"/>
      <c r="B616" s="922"/>
      <c r="C616" s="66">
        <v>3</v>
      </c>
      <c r="D616" s="3" t="s">
        <v>762</v>
      </c>
      <c r="E616" s="3" t="s">
        <v>759</v>
      </c>
      <c r="F616" s="3" t="s">
        <v>21</v>
      </c>
      <c r="G616" s="3" t="s">
        <v>794</v>
      </c>
      <c r="H616" s="5" t="s">
        <v>768</v>
      </c>
      <c r="I616" s="5" t="str">
        <f t="shared" si="238"/>
        <v/>
      </c>
      <c r="J616" s="26"/>
      <c r="K616" s="26">
        <f t="shared" ref="K616:M635" si="243">IF(K522="",0,K522)</f>
        <v>0</v>
      </c>
      <c r="L616" s="96">
        <f t="shared" si="243"/>
        <v>0</v>
      </c>
      <c r="M616" s="111">
        <f t="shared" si="243"/>
        <v>0</v>
      </c>
      <c r="N616" s="4">
        <f t="shared" si="242"/>
        <v>0</v>
      </c>
      <c r="O616" s="4">
        <f>IF(O$5&lt;$K616,0,$L616-SUM($N522:N522)-O522)</f>
        <v>0</v>
      </c>
      <c r="P616" s="4">
        <f>IF(P$5&lt;$K616,0,$L616-SUM($N522:O522)-P522)</f>
        <v>0</v>
      </c>
      <c r="Q616" s="60"/>
      <c r="R616" s="60"/>
      <c r="S616" s="4">
        <f>IF(S$5&lt;$K616,0,$L616-SUM($N522:R522)-S522)</f>
        <v>0</v>
      </c>
      <c r="T616" s="4">
        <f>IF(T$5&lt;$K616,0,$L616-SUM($N522:S522)-T522)</f>
        <v>0</v>
      </c>
      <c r="U616" s="4">
        <f>IF(U$5&lt;$K616,0,$L616-SUM($N522:T522)-U522)</f>
        <v>0</v>
      </c>
      <c r="V616" s="4">
        <f>IF(V$5&lt;$K616,0,$L616-SUM($N522:U522)-V522)</f>
        <v>0</v>
      </c>
      <c r="W616" s="4">
        <f>IF(W$5&lt;$K616,0,$L616-SUM($N522:V522)-W522)</f>
        <v>0</v>
      </c>
      <c r="X616" s="4">
        <f>IF(X$5&lt;$K616,0,$L616-SUM($N522:W522)-X522)</f>
        <v>0</v>
      </c>
      <c r="Y616" s="4"/>
      <c r="Z616" s="3" t="str">
        <f>VLOOKUP($D616,TableInputsData[],ReadMe!$M$3,FALSE)&amp;"  |  "&amp;VLOOKUP($E616,TableInputsData[],ReadMe!$M$3,FALSE)&amp;"  |  "&amp;VLOOKUP($H616,TableInputsData[],ReadMe!$M$3,FALSE)</f>
        <v>ACTIFS MATERIEL IMMOBILISES  |  VALEUR BILAN FIN D'ANNEE  |  MATERIEL DE BUREAU</v>
      </c>
      <c r="AA616" s="3"/>
      <c r="AB616" s="34">
        <f t="shared" si="241"/>
        <v>0</v>
      </c>
      <c r="AC616" s="34"/>
      <c r="AD616" s="34"/>
      <c r="AE616" s="26"/>
      <c r="AF616" s="34">
        <v>1</v>
      </c>
      <c r="AG616" s="34"/>
      <c r="AH616" s="535"/>
      <c r="AI616" s="294"/>
    </row>
    <row r="617" spans="1:35" x14ac:dyDescent="0.2">
      <c r="A617" s="294"/>
      <c r="B617" s="922"/>
      <c r="C617" s="66">
        <v>3</v>
      </c>
      <c r="D617" s="3" t="s">
        <v>762</v>
      </c>
      <c r="E617" s="3" t="s">
        <v>759</v>
      </c>
      <c r="F617" s="3" t="s">
        <v>21</v>
      </c>
      <c r="G617" s="3" t="s">
        <v>795</v>
      </c>
      <c r="H617" s="5" t="s">
        <v>768</v>
      </c>
      <c r="I617" s="5" t="str">
        <f t="shared" si="238"/>
        <v/>
      </c>
      <c r="J617" s="26"/>
      <c r="K617" s="26">
        <f t="shared" si="243"/>
        <v>0</v>
      </c>
      <c r="L617" s="96">
        <f t="shared" si="243"/>
        <v>0</v>
      </c>
      <c r="M617" s="111">
        <f t="shared" si="243"/>
        <v>0</v>
      </c>
      <c r="N617" s="4">
        <f t="shared" si="242"/>
        <v>0</v>
      </c>
      <c r="O617" s="4">
        <f>IF(O$5&lt;$K617,0,$L617-SUM($N523:N523)-O523)</f>
        <v>0</v>
      </c>
      <c r="P617" s="4">
        <f>IF(P$5&lt;$K617,0,$L617-SUM($N523:O523)-P523)</f>
        <v>0</v>
      </c>
      <c r="Q617" s="60"/>
      <c r="R617" s="60"/>
      <c r="S617" s="4">
        <f>IF(S$5&lt;$K617,0,$L617-SUM($N523:R523)-S523)</f>
        <v>0</v>
      </c>
      <c r="T617" s="4">
        <f>IF(T$5&lt;$K617,0,$L617-SUM($N523:S523)-T523)</f>
        <v>0</v>
      </c>
      <c r="U617" s="4">
        <f>IF(U$5&lt;$K617,0,$L617-SUM($N523:T523)-U523)</f>
        <v>0</v>
      </c>
      <c r="V617" s="4">
        <f>IF(V$5&lt;$K617,0,$L617-SUM($N523:U523)-V523)</f>
        <v>0</v>
      </c>
      <c r="W617" s="4">
        <f>IF(W$5&lt;$K617,0,$L617-SUM($N523:V523)-W523)</f>
        <v>0</v>
      </c>
      <c r="X617" s="4">
        <f>IF(X$5&lt;$K617,0,$L617-SUM($N523:W523)-X523)</f>
        <v>0</v>
      </c>
      <c r="Y617" s="4"/>
      <c r="Z617" s="3" t="str">
        <f>VLOOKUP($D617,TableInputsData[],ReadMe!$M$3,FALSE)&amp;"  |  "&amp;VLOOKUP($E617,TableInputsData[],ReadMe!$M$3,FALSE)&amp;"  |  "&amp;VLOOKUP($H617,TableInputsData[],ReadMe!$M$3,FALSE)</f>
        <v>ACTIFS MATERIEL IMMOBILISES  |  VALEUR BILAN FIN D'ANNEE  |  MATERIEL DE BUREAU</v>
      </c>
      <c r="AA617" s="3"/>
      <c r="AB617" s="34">
        <f t="shared" si="241"/>
        <v>0</v>
      </c>
      <c r="AC617" s="34"/>
      <c r="AD617" s="34"/>
      <c r="AE617" s="26"/>
      <c r="AF617" s="34">
        <v>1</v>
      </c>
      <c r="AG617" s="34"/>
      <c r="AH617" s="535"/>
      <c r="AI617" s="294"/>
    </row>
    <row r="618" spans="1:35" x14ac:dyDescent="0.2">
      <c r="A618" s="294"/>
      <c r="B618" s="922"/>
      <c r="C618" s="66">
        <v>3</v>
      </c>
      <c r="D618" s="3" t="s">
        <v>762</v>
      </c>
      <c r="E618" s="3" t="s">
        <v>759</v>
      </c>
      <c r="F618" s="3" t="s">
        <v>21</v>
      </c>
      <c r="G618" s="3" t="s">
        <v>796</v>
      </c>
      <c r="H618" s="5" t="s">
        <v>768</v>
      </c>
      <c r="I618" s="5" t="str">
        <f t="shared" si="238"/>
        <v/>
      </c>
      <c r="J618" s="26"/>
      <c r="K618" s="26">
        <f t="shared" si="243"/>
        <v>0</v>
      </c>
      <c r="L618" s="96">
        <f t="shared" si="243"/>
        <v>0</v>
      </c>
      <c r="M618" s="111">
        <f t="shared" si="243"/>
        <v>0</v>
      </c>
      <c r="N618" s="4">
        <f t="shared" si="242"/>
        <v>0</v>
      </c>
      <c r="O618" s="4">
        <f>IF(O$5&lt;$K618,0,$L618-SUM($N524:N524)-O524)</f>
        <v>0</v>
      </c>
      <c r="P618" s="4">
        <f>IF(P$5&lt;$K618,0,$L618-SUM($N524:O524)-P524)</f>
        <v>0</v>
      </c>
      <c r="Q618" s="60"/>
      <c r="R618" s="60"/>
      <c r="S618" s="4">
        <f>IF(S$5&lt;$K618,0,$L618-SUM($N524:R524)-S524)</f>
        <v>0</v>
      </c>
      <c r="T618" s="4">
        <f>IF(T$5&lt;$K618,0,$L618-SUM($N524:S524)-T524)</f>
        <v>0</v>
      </c>
      <c r="U618" s="4">
        <f>IF(U$5&lt;$K618,0,$L618-SUM($N524:T524)-U524)</f>
        <v>0</v>
      </c>
      <c r="V618" s="4">
        <f>IF(V$5&lt;$K618,0,$L618-SUM($N524:U524)-V524)</f>
        <v>0</v>
      </c>
      <c r="W618" s="4">
        <f>IF(W$5&lt;$K618,0,$L618-SUM($N524:V524)-W524)</f>
        <v>0</v>
      </c>
      <c r="X618" s="4">
        <f>IF(X$5&lt;$K618,0,$L618-SUM($N524:W524)-X524)</f>
        <v>0</v>
      </c>
      <c r="Y618" s="4"/>
      <c r="Z618" s="3" t="str">
        <f>VLOOKUP($D618,TableInputsData[],ReadMe!$M$3,FALSE)&amp;"  |  "&amp;VLOOKUP($E618,TableInputsData[],ReadMe!$M$3,FALSE)&amp;"  |  "&amp;VLOOKUP($H618,TableInputsData[],ReadMe!$M$3,FALSE)</f>
        <v>ACTIFS MATERIEL IMMOBILISES  |  VALEUR BILAN FIN D'ANNEE  |  MATERIEL DE BUREAU</v>
      </c>
      <c r="AA618" s="3"/>
      <c r="AB618" s="34">
        <f t="shared" si="241"/>
        <v>0</v>
      </c>
      <c r="AC618" s="34"/>
      <c r="AD618" s="34"/>
      <c r="AE618" s="26"/>
      <c r="AF618" s="34">
        <v>1</v>
      </c>
      <c r="AG618" s="34"/>
      <c r="AH618" s="535"/>
      <c r="AI618" s="294"/>
    </row>
    <row r="619" spans="1:35" x14ac:dyDescent="0.2">
      <c r="A619" s="294"/>
      <c r="B619" s="922"/>
      <c r="C619" s="66">
        <v>3</v>
      </c>
      <c r="D619" s="3" t="s">
        <v>762</v>
      </c>
      <c r="E619" s="3" t="s">
        <v>759</v>
      </c>
      <c r="F619" s="3" t="s">
        <v>21</v>
      </c>
      <c r="G619" s="3" t="s">
        <v>797</v>
      </c>
      <c r="H619" s="5" t="s">
        <v>768</v>
      </c>
      <c r="I619" s="5" t="str">
        <f t="shared" si="238"/>
        <v/>
      </c>
      <c r="J619" s="26"/>
      <c r="K619" s="26">
        <f t="shared" si="243"/>
        <v>0</v>
      </c>
      <c r="L619" s="96">
        <f t="shared" si="243"/>
        <v>0</v>
      </c>
      <c r="M619" s="111">
        <f t="shared" si="243"/>
        <v>0</v>
      </c>
      <c r="N619" s="4">
        <f t="shared" si="242"/>
        <v>0</v>
      </c>
      <c r="O619" s="4">
        <f>IF(O$5&lt;$K619,0,$L619-SUM($N525:N525)-O525)</f>
        <v>0</v>
      </c>
      <c r="P619" s="4">
        <f>IF(P$5&lt;$K619,0,$L619-SUM($N525:O525)-P525)</f>
        <v>0</v>
      </c>
      <c r="Q619" s="60"/>
      <c r="R619" s="60"/>
      <c r="S619" s="4">
        <f>IF(S$5&lt;$K619,0,$L619-SUM($N525:R525)-S525)</f>
        <v>0</v>
      </c>
      <c r="T619" s="4">
        <f>IF(T$5&lt;$K619,0,$L619-SUM($N525:S525)-T525)</f>
        <v>0</v>
      </c>
      <c r="U619" s="4">
        <f>IF(U$5&lt;$K619,0,$L619-SUM($N525:T525)-U525)</f>
        <v>0</v>
      </c>
      <c r="V619" s="4">
        <f>IF(V$5&lt;$K619,0,$L619-SUM($N525:U525)-V525)</f>
        <v>0</v>
      </c>
      <c r="W619" s="4">
        <f>IF(W$5&lt;$K619,0,$L619-SUM($N525:V525)-W525)</f>
        <v>0</v>
      </c>
      <c r="X619" s="4">
        <f>IF(X$5&lt;$K619,0,$L619-SUM($N525:W525)-X525)</f>
        <v>0</v>
      </c>
      <c r="Y619" s="4"/>
      <c r="Z619" s="3" t="str">
        <f>VLOOKUP($D619,TableInputsData[],ReadMe!$M$3,FALSE)&amp;"  |  "&amp;VLOOKUP($E619,TableInputsData[],ReadMe!$M$3,FALSE)&amp;"  |  "&amp;VLOOKUP($H619,TableInputsData[],ReadMe!$M$3,FALSE)</f>
        <v>ACTIFS MATERIEL IMMOBILISES  |  VALEUR BILAN FIN D'ANNEE  |  MATERIEL DE BUREAU</v>
      </c>
      <c r="AA619" s="3"/>
      <c r="AB619" s="34">
        <f t="shared" si="241"/>
        <v>0</v>
      </c>
      <c r="AC619" s="34"/>
      <c r="AD619" s="34"/>
      <c r="AE619" s="26"/>
      <c r="AF619" s="34">
        <v>1</v>
      </c>
      <c r="AG619" s="34"/>
      <c r="AH619" s="535"/>
      <c r="AI619" s="294"/>
    </row>
    <row r="620" spans="1:35" x14ac:dyDescent="0.2">
      <c r="A620" s="294"/>
      <c r="B620" s="922"/>
      <c r="C620" s="66">
        <v>3</v>
      </c>
      <c r="D620" s="3" t="s">
        <v>762</v>
      </c>
      <c r="E620" s="3" t="s">
        <v>759</v>
      </c>
      <c r="F620" s="3" t="s">
        <v>21</v>
      </c>
      <c r="G620" s="3" t="s">
        <v>798</v>
      </c>
      <c r="H620" s="5" t="s">
        <v>768</v>
      </c>
      <c r="I620" s="5" t="str">
        <f t="shared" si="238"/>
        <v/>
      </c>
      <c r="J620" s="26"/>
      <c r="K620" s="26">
        <f t="shared" si="243"/>
        <v>0</v>
      </c>
      <c r="L620" s="96">
        <f t="shared" si="243"/>
        <v>0</v>
      </c>
      <c r="M620" s="111">
        <f t="shared" si="243"/>
        <v>0</v>
      </c>
      <c r="N620" s="4">
        <f t="shared" si="242"/>
        <v>0</v>
      </c>
      <c r="O620" s="4">
        <f>IF(O$5&lt;$K620,0,$L620-SUM($N526:N526)-O526)</f>
        <v>0</v>
      </c>
      <c r="P620" s="4">
        <f>IF(P$5&lt;$K620,0,$L620-SUM($N526:O526)-P526)</f>
        <v>0</v>
      </c>
      <c r="Q620" s="60"/>
      <c r="R620" s="60"/>
      <c r="S620" s="4">
        <f>IF(S$5&lt;$K620,0,$L620-SUM($N526:R526)-S526)</f>
        <v>0</v>
      </c>
      <c r="T620" s="4">
        <f>IF(T$5&lt;$K620,0,$L620-SUM($N526:S526)-T526)</f>
        <v>0</v>
      </c>
      <c r="U620" s="4">
        <f>IF(U$5&lt;$K620,0,$L620-SUM($N526:T526)-U526)</f>
        <v>0</v>
      </c>
      <c r="V620" s="4">
        <f>IF(V$5&lt;$K620,0,$L620-SUM($N526:U526)-V526)</f>
        <v>0</v>
      </c>
      <c r="W620" s="4">
        <f>IF(W$5&lt;$K620,0,$L620-SUM($N526:V526)-W526)</f>
        <v>0</v>
      </c>
      <c r="X620" s="4">
        <f>IF(X$5&lt;$K620,0,$L620-SUM($N526:W526)-X526)</f>
        <v>0</v>
      </c>
      <c r="Y620" s="4"/>
      <c r="Z620" s="3" t="str">
        <f>VLOOKUP($D620,TableInputsData[],ReadMe!$M$3,FALSE)&amp;"  |  "&amp;VLOOKUP($E620,TableInputsData[],ReadMe!$M$3,FALSE)&amp;"  |  "&amp;VLOOKUP($H620,TableInputsData[],ReadMe!$M$3,FALSE)</f>
        <v>ACTIFS MATERIEL IMMOBILISES  |  VALEUR BILAN FIN D'ANNEE  |  MATERIEL DE BUREAU</v>
      </c>
      <c r="AA620" s="3"/>
      <c r="AB620" s="34">
        <f t="shared" si="241"/>
        <v>0</v>
      </c>
      <c r="AC620" s="34"/>
      <c r="AD620" s="34"/>
      <c r="AE620" s="26"/>
      <c r="AF620" s="34">
        <v>1</v>
      </c>
      <c r="AG620" s="34"/>
      <c r="AH620" s="535"/>
      <c r="AI620" s="294"/>
    </row>
    <row r="621" spans="1:35" x14ac:dyDescent="0.2">
      <c r="A621" s="294"/>
      <c r="B621" s="922"/>
      <c r="C621" s="66">
        <v>3</v>
      </c>
      <c r="D621" s="3" t="s">
        <v>762</v>
      </c>
      <c r="E621" s="3" t="s">
        <v>759</v>
      </c>
      <c r="F621" s="3" t="s">
        <v>21</v>
      </c>
      <c r="G621" s="3" t="s">
        <v>799</v>
      </c>
      <c r="H621" s="5" t="s">
        <v>768</v>
      </c>
      <c r="I621" s="5" t="str">
        <f t="shared" si="238"/>
        <v/>
      </c>
      <c r="J621" s="26"/>
      <c r="K621" s="26">
        <f t="shared" si="243"/>
        <v>0</v>
      </c>
      <c r="L621" s="96">
        <f t="shared" si="243"/>
        <v>0</v>
      </c>
      <c r="M621" s="111">
        <f t="shared" si="243"/>
        <v>0</v>
      </c>
      <c r="N621" s="4">
        <f t="shared" si="242"/>
        <v>0</v>
      </c>
      <c r="O621" s="4">
        <f>IF(O$5&lt;$K621,0,$L621-SUM($N527:N527)-O527)</f>
        <v>0</v>
      </c>
      <c r="P621" s="4">
        <f>IF(P$5&lt;$K621,0,$L621-SUM($N527:O527)-P527)</f>
        <v>0</v>
      </c>
      <c r="Q621" s="60"/>
      <c r="R621" s="60"/>
      <c r="S621" s="4">
        <f>IF(S$5&lt;$K621,0,$L621-SUM($N527:R527)-S527)</f>
        <v>0</v>
      </c>
      <c r="T621" s="4">
        <f>IF(T$5&lt;$K621,0,$L621-SUM($N527:S527)-T527)</f>
        <v>0</v>
      </c>
      <c r="U621" s="4">
        <f>IF(U$5&lt;$K621,0,$L621-SUM($N527:T527)-U527)</f>
        <v>0</v>
      </c>
      <c r="V621" s="4">
        <f>IF(V$5&lt;$K621,0,$L621-SUM($N527:U527)-V527)</f>
        <v>0</v>
      </c>
      <c r="W621" s="4">
        <f>IF(W$5&lt;$K621,0,$L621-SUM($N527:V527)-W527)</f>
        <v>0</v>
      </c>
      <c r="X621" s="4">
        <f>IF(X$5&lt;$K621,0,$L621-SUM($N527:W527)-X527)</f>
        <v>0</v>
      </c>
      <c r="Y621" s="4"/>
      <c r="Z621" s="3" t="str">
        <f>VLOOKUP($D621,TableInputsData[],ReadMe!$M$3,FALSE)&amp;"  |  "&amp;VLOOKUP($E621,TableInputsData[],ReadMe!$M$3,FALSE)&amp;"  |  "&amp;VLOOKUP($H621,TableInputsData[],ReadMe!$M$3,FALSE)</f>
        <v>ACTIFS MATERIEL IMMOBILISES  |  VALEUR BILAN FIN D'ANNEE  |  MATERIEL DE BUREAU</v>
      </c>
      <c r="AA621" s="3"/>
      <c r="AB621" s="34">
        <f t="shared" si="241"/>
        <v>0</v>
      </c>
      <c r="AC621" s="34"/>
      <c r="AD621" s="34"/>
      <c r="AE621" s="26"/>
      <c r="AF621" s="34">
        <v>1</v>
      </c>
      <c r="AG621" s="34"/>
      <c r="AH621" s="535"/>
      <c r="AI621" s="294"/>
    </row>
    <row r="622" spans="1:35" x14ac:dyDescent="0.2">
      <c r="A622" s="294"/>
      <c r="B622" s="922"/>
      <c r="C622" s="66">
        <v>3</v>
      </c>
      <c r="D622" s="3" t="s">
        <v>762</v>
      </c>
      <c r="E622" s="3" t="s">
        <v>759</v>
      </c>
      <c r="F622" s="3" t="s">
        <v>21</v>
      </c>
      <c r="G622" s="3" t="s">
        <v>800</v>
      </c>
      <c r="H622" s="5" t="s">
        <v>768</v>
      </c>
      <c r="I622" s="5" t="str">
        <f t="shared" si="238"/>
        <v/>
      </c>
      <c r="J622" s="26"/>
      <c r="K622" s="26">
        <f t="shared" si="243"/>
        <v>0</v>
      </c>
      <c r="L622" s="96">
        <f t="shared" si="243"/>
        <v>0</v>
      </c>
      <c r="M622" s="111">
        <f t="shared" si="243"/>
        <v>0</v>
      </c>
      <c r="N622" s="4">
        <f t="shared" si="242"/>
        <v>0</v>
      </c>
      <c r="O622" s="4">
        <f>IF(O$5&lt;$K622,0,$L622-SUM($N528:N528)-O528)</f>
        <v>0</v>
      </c>
      <c r="P622" s="4">
        <f>IF(P$5&lt;$K622,0,$L622-SUM($N528:O528)-P528)</f>
        <v>0</v>
      </c>
      <c r="Q622" s="60"/>
      <c r="R622" s="60"/>
      <c r="S622" s="4">
        <f>IF(S$5&lt;$K622,0,$L622-SUM($N528:R528)-S528)</f>
        <v>0</v>
      </c>
      <c r="T622" s="4">
        <f>IF(T$5&lt;$K622,0,$L622-SUM($N528:S528)-T528)</f>
        <v>0</v>
      </c>
      <c r="U622" s="4">
        <f>IF(U$5&lt;$K622,0,$L622-SUM($N528:T528)-U528)</f>
        <v>0</v>
      </c>
      <c r="V622" s="4">
        <f>IF(V$5&lt;$K622,0,$L622-SUM($N528:U528)-V528)</f>
        <v>0</v>
      </c>
      <c r="W622" s="4">
        <f>IF(W$5&lt;$K622,0,$L622-SUM($N528:V528)-W528)</f>
        <v>0</v>
      </c>
      <c r="X622" s="4">
        <f>IF(X$5&lt;$K622,0,$L622-SUM($N528:W528)-X528)</f>
        <v>0</v>
      </c>
      <c r="Y622" s="4"/>
      <c r="Z622" s="3" t="str">
        <f>VLOOKUP($D622,TableInputsData[],ReadMe!$M$3,FALSE)&amp;"  |  "&amp;VLOOKUP($E622,TableInputsData[],ReadMe!$M$3,FALSE)&amp;"  |  "&amp;VLOOKUP($H622,TableInputsData[],ReadMe!$M$3,FALSE)</f>
        <v>ACTIFS MATERIEL IMMOBILISES  |  VALEUR BILAN FIN D'ANNEE  |  MATERIEL DE BUREAU</v>
      </c>
      <c r="AA622" s="3"/>
      <c r="AB622" s="34">
        <f t="shared" si="241"/>
        <v>0</v>
      </c>
      <c r="AC622" s="34"/>
      <c r="AD622" s="34"/>
      <c r="AE622" s="26"/>
      <c r="AF622" s="34">
        <v>1</v>
      </c>
      <c r="AG622" s="34"/>
      <c r="AH622" s="535"/>
      <c r="AI622" s="294"/>
    </row>
    <row r="623" spans="1:35" x14ac:dyDescent="0.2">
      <c r="A623" s="294"/>
      <c r="B623" s="922"/>
      <c r="C623" s="66">
        <v>3</v>
      </c>
      <c r="D623" s="3" t="s">
        <v>762</v>
      </c>
      <c r="E623" s="3" t="s">
        <v>759</v>
      </c>
      <c r="F623" s="3" t="s">
        <v>21</v>
      </c>
      <c r="G623" s="3" t="s">
        <v>801</v>
      </c>
      <c r="H623" s="5" t="s">
        <v>768</v>
      </c>
      <c r="I623" s="5" t="str">
        <f t="shared" si="238"/>
        <v/>
      </c>
      <c r="J623" s="26"/>
      <c r="K623" s="26">
        <f t="shared" si="243"/>
        <v>0</v>
      </c>
      <c r="L623" s="96">
        <f t="shared" si="243"/>
        <v>0</v>
      </c>
      <c r="M623" s="111">
        <f t="shared" si="243"/>
        <v>0</v>
      </c>
      <c r="N623" s="4">
        <f t="shared" si="242"/>
        <v>0</v>
      </c>
      <c r="O623" s="4">
        <f>IF(O$5&lt;$K623,0,$L623-SUM($N529:N529)-O529)</f>
        <v>0</v>
      </c>
      <c r="P623" s="4">
        <f>IF(P$5&lt;$K623,0,$L623-SUM($N529:O529)-P529)</f>
        <v>0</v>
      </c>
      <c r="Q623" s="60"/>
      <c r="R623" s="60"/>
      <c r="S623" s="4">
        <f>IF(S$5&lt;$K623,0,$L623-SUM($N529:R529)-S529)</f>
        <v>0</v>
      </c>
      <c r="T623" s="4">
        <f>IF(T$5&lt;$K623,0,$L623-SUM($N529:S529)-T529)</f>
        <v>0</v>
      </c>
      <c r="U623" s="4">
        <f>IF(U$5&lt;$K623,0,$L623-SUM($N529:T529)-U529)</f>
        <v>0</v>
      </c>
      <c r="V623" s="4">
        <f>IF(V$5&lt;$K623,0,$L623-SUM($N529:U529)-V529)</f>
        <v>0</v>
      </c>
      <c r="W623" s="4">
        <f>IF(W$5&lt;$K623,0,$L623-SUM($N529:V529)-W529)</f>
        <v>0</v>
      </c>
      <c r="X623" s="4">
        <f>IF(X$5&lt;$K623,0,$L623-SUM($N529:W529)-X529)</f>
        <v>0</v>
      </c>
      <c r="Y623" s="4"/>
      <c r="Z623" s="3" t="str">
        <f>VLOOKUP($D623,TableInputsData[],ReadMe!$M$3,FALSE)&amp;"  |  "&amp;VLOOKUP($E623,TableInputsData[],ReadMe!$M$3,FALSE)&amp;"  |  "&amp;VLOOKUP($H623,TableInputsData[],ReadMe!$M$3,FALSE)</f>
        <v>ACTIFS MATERIEL IMMOBILISES  |  VALEUR BILAN FIN D'ANNEE  |  MATERIEL DE BUREAU</v>
      </c>
      <c r="AA623" s="3"/>
      <c r="AB623" s="34">
        <f t="shared" si="241"/>
        <v>0</v>
      </c>
      <c r="AC623" s="34"/>
      <c r="AD623" s="34"/>
      <c r="AE623" s="26"/>
      <c r="AF623" s="34">
        <v>1</v>
      </c>
      <c r="AG623" s="34"/>
      <c r="AH623" s="535"/>
      <c r="AI623" s="294"/>
    </row>
    <row r="624" spans="1:35" x14ac:dyDescent="0.2">
      <c r="A624" s="294"/>
      <c r="B624" s="922"/>
      <c r="C624" s="66">
        <v>3</v>
      </c>
      <c r="D624" s="3" t="s">
        <v>762</v>
      </c>
      <c r="E624" s="3" t="s">
        <v>759</v>
      </c>
      <c r="F624" s="3" t="s">
        <v>21</v>
      </c>
      <c r="G624" s="3" t="s">
        <v>802</v>
      </c>
      <c r="H624" s="5" t="s">
        <v>768</v>
      </c>
      <c r="I624" s="5" t="str">
        <f t="shared" si="238"/>
        <v/>
      </c>
      <c r="J624" s="26"/>
      <c r="K624" s="26">
        <f t="shared" si="243"/>
        <v>0</v>
      </c>
      <c r="L624" s="96">
        <f t="shared" si="243"/>
        <v>0</v>
      </c>
      <c r="M624" s="111">
        <f t="shared" si="243"/>
        <v>0</v>
      </c>
      <c r="N624" s="4">
        <f t="shared" si="242"/>
        <v>0</v>
      </c>
      <c r="O624" s="4">
        <f>IF(O$5&lt;$K624,0,$L624-SUM($N530:N530)-O530)</f>
        <v>0</v>
      </c>
      <c r="P624" s="4">
        <f>IF(P$5&lt;$K624,0,$L624-SUM($N530:O530)-P530)</f>
        <v>0</v>
      </c>
      <c r="Q624" s="60"/>
      <c r="R624" s="60"/>
      <c r="S624" s="4">
        <f>IF(S$5&lt;$K624,0,$L624-SUM($N530:R530)-S530)</f>
        <v>0</v>
      </c>
      <c r="T624" s="4">
        <f>IF(T$5&lt;$K624,0,$L624-SUM($N530:S530)-T530)</f>
        <v>0</v>
      </c>
      <c r="U624" s="4">
        <f>IF(U$5&lt;$K624,0,$L624-SUM($N530:T530)-U530)</f>
        <v>0</v>
      </c>
      <c r="V624" s="4">
        <f>IF(V$5&lt;$K624,0,$L624-SUM($N530:U530)-V530)</f>
        <v>0</v>
      </c>
      <c r="W624" s="4">
        <f>IF(W$5&lt;$K624,0,$L624-SUM($N530:V530)-W530)</f>
        <v>0</v>
      </c>
      <c r="X624" s="4">
        <f>IF(X$5&lt;$K624,0,$L624-SUM($N530:W530)-X530)</f>
        <v>0</v>
      </c>
      <c r="Y624" s="4"/>
      <c r="Z624" s="3" t="str">
        <f>VLOOKUP($D624,TableInputsData[],ReadMe!$M$3,FALSE)&amp;"  |  "&amp;VLOOKUP($E624,TableInputsData[],ReadMe!$M$3,FALSE)&amp;"  |  "&amp;VLOOKUP($H624,TableInputsData[],ReadMe!$M$3,FALSE)</f>
        <v>ACTIFS MATERIEL IMMOBILISES  |  VALEUR BILAN FIN D'ANNEE  |  MATERIEL DE BUREAU</v>
      </c>
      <c r="AA624" s="3"/>
      <c r="AB624" s="34">
        <f t="shared" si="241"/>
        <v>0</v>
      </c>
      <c r="AC624" s="34"/>
      <c r="AD624" s="34"/>
      <c r="AE624" s="26"/>
      <c r="AF624" s="34">
        <v>1</v>
      </c>
      <c r="AG624" s="34"/>
      <c r="AH624" s="535"/>
      <c r="AI624" s="294"/>
    </row>
    <row r="625" spans="1:35" x14ac:dyDescent="0.2">
      <c r="A625" s="294"/>
      <c r="B625" s="922"/>
      <c r="C625" s="66">
        <v>3</v>
      </c>
      <c r="D625" s="3" t="s">
        <v>762</v>
      </c>
      <c r="E625" s="3" t="s">
        <v>759</v>
      </c>
      <c r="F625" s="3" t="s">
        <v>21</v>
      </c>
      <c r="G625" s="3" t="s">
        <v>803</v>
      </c>
      <c r="H625" s="5" t="s">
        <v>768</v>
      </c>
      <c r="I625" s="5" t="str">
        <f t="shared" si="238"/>
        <v/>
      </c>
      <c r="J625" s="26"/>
      <c r="K625" s="26">
        <f t="shared" si="243"/>
        <v>0</v>
      </c>
      <c r="L625" s="96">
        <f t="shared" si="243"/>
        <v>0</v>
      </c>
      <c r="M625" s="111">
        <f t="shared" si="243"/>
        <v>0</v>
      </c>
      <c r="N625" s="4">
        <f t="shared" si="242"/>
        <v>0</v>
      </c>
      <c r="O625" s="4">
        <f>IF(O$5&lt;$K625,0,$L625-SUM($N531:N531)-O531)</f>
        <v>0</v>
      </c>
      <c r="P625" s="4">
        <f>IF(P$5&lt;$K625,0,$L625-SUM($N531:O531)-P531)</f>
        <v>0</v>
      </c>
      <c r="Q625" s="60"/>
      <c r="R625" s="60"/>
      <c r="S625" s="4">
        <f>IF(S$5&lt;$K625,0,$L625-SUM($N531:R531)-S531)</f>
        <v>0</v>
      </c>
      <c r="T625" s="4">
        <f>IF(T$5&lt;$K625,0,$L625-SUM($N531:S531)-T531)</f>
        <v>0</v>
      </c>
      <c r="U625" s="4">
        <f>IF(U$5&lt;$K625,0,$L625-SUM($N531:T531)-U531)</f>
        <v>0</v>
      </c>
      <c r="V625" s="4">
        <f>IF(V$5&lt;$K625,0,$L625-SUM($N531:U531)-V531)</f>
        <v>0</v>
      </c>
      <c r="W625" s="4">
        <f>IF(W$5&lt;$K625,0,$L625-SUM($N531:V531)-W531)</f>
        <v>0</v>
      </c>
      <c r="X625" s="4">
        <f>IF(X$5&lt;$K625,0,$L625-SUM($N531:W531)-X531)</f>
        <v>0</v>
      </c>
      <c r="Y625" s="4"/>
      <c r="Z625" s="3" t="str">
        <f>VLOOKUP($D625,TableInputsData[],ReadMe!$M$3,FALSE)&amp;"  |  "&amp;VLOOKUP($E625,TableInputsData[],ReadMe!$M$3,FALSE)&amp;"  |  "&amp;VLOOKUP($H625,TableInputsData[],ReadMe!$M$3,FALSE)</f>
        <v>ACTIFS MATERIEL IMMOBILISES  |  VALEUR BILAN FIN D'ANNEE  |  MATERIEL DE BUREAU</v>
      </c>
      <c r="AA625" s="3"/>
      <c r="AB625" s="34">
        <f t="shared" si="241"/>
        <v>0</v>
      </c>
      <c r="AC625" s="34"/>
      <c r="AD625" s="34"/>
      <c r="AE625" s="26"/>
      <c r="AF625" s="34">
        <v>1</v>
      </c>
      <c r="AG625" s="34"/>
      <c r="AH625" s="535"/>
      <c r="AI625" s="294"/>
    </row>
    <row r="626" spans="1:35" x14ac:dyDescent="0.2">
      <c r="A626" s="294"/>
      <c r="B626" s="922"/>
      <c r="C626" s="66">
        <v>3</v>
      </c>
      <c r="D626" s="3" t="s">
        <v>762</v>
      </c>
      <c r="E626" s="3" t="s">
        <v>759</v>
      </c>
      <c r="F626" s="3" t="s">
        <v>21</v>
      </c>
      <c r="G626" s="3" t="s">
        <v>804</v>
      </c>
      <c r="H626" s="5" t="s">
        <v>768</v>
      </c>
      <c r="I626" s="5" t="str">
        <f t="shared" si="238"/>
        <v/>
      </c>
      <c r="J626" s="26"/>
      <c r="K626" s="26">
        <f t="shared" si="243"/>
        <v>0</v>
      </c>
      <c r="L626" s="96">
        <f t="shared" si="243"/>
        <v>0</v>
      </c>
      <c r="M626" s="111">
        <f t="shared" si="243"/>
        <v>0</v>
      </c>
      <c r="N626" s="4">
        <f t="shared" si="242"/>
        <v>0</v>
      </c>
      <c r="O626" s="4">
        <f>IF(O$5&lt;$K626,0,$L626-SUM($N532:N532)-O532)</f>
        <v>0</v>
      </c>
      <c r="P626" s="4">
        <f>IF(P$5&lt;$K626,0,$L626-SUM($N532:O532)-P532)</f>
        <v>0</v>
      </c>
      <c r="Q626" s="60"/>
      <c r="R626" s="60"/>
      <c r="S626" s="4">
        <f>IF(S$5&lt;$K626,0,$L626-SUM($N532:R532)-S532)</f>
        <v>0</v>
      </c>
      <c r="T626" s="4">
        <f>IF(T$5&lt;$K626,0,$L626-SUM($N532:S532)-T532)</f>
        <v>0</v>
      </c>
      <c r="U626" s="4">
        <f>IF(U$5&lt;$K626,0,$L626-SUM($N532:T532)-U532)</f>
        <v>0</v>
      </c>
      <c r="V626" s="4">
        <f>IF(V$5&lt;$K626,0,$L626-SUM($N532:U532)-V532)</f>
        <v>0</v>
      </c>
      <c r="W626" s="4">
        <f>IF(W$5&lt;$K626,0,$L626-SUM($N532:V532)-W532)</f>
        <v>0</v>
      </c>
      <c r="X626" s="4">
        <f>IF(X$5&lt;$K626,0,$L626-SUM($N532:W532)-X532)</f>
        <v>0</v>
      </c>
      <c r="Y626" s="4"/>
      <c r="Z626" s="3" t="str">
        <f>VLOOKUP($D626,TableInputsData[],ReadMe!$M$3,FALSE)&amp;"  |  "&amp;VLOOKUP($E626,TableInputsData[],ReadMe!$M$3,FALSE)&amp;"  |  "&amp;VLOOKUP($H626,TableInputsData[],ReadMe!$M$3,FALSE)</f>
        <v>ACTIFS MATERIEL IMMOBILISES  |  VALEUR BILAN FIN D'ANNEE  |  MATERIEL DE BUREAU</v>
      </c>
      <c r="AA626" s="3"/>
      <c r="AB626" s="34">
        <f t="shared" si="241"/>
        <v>0</v>
      </c>
      <c r="AC626" s="34"/>
      <c r="AD626" s="34"/>
      <c r="AE626" s="26"/>
      <c r="AF626" s="34">
        <v>1</v>
      </c>
      <c r="AG626" s="34"/>
      <c r="AH626" s="535"/>
      <c r="AI626" s="294"/>
    </row>
    <row r="627" spans="1:35" x14ac:dyDescent="0.2">
      <c r="A627" s="294"/>
      <c r="B627" s="922"/>
      <c r="C627" s="66">
        <v>3</v>
      </c>
      <c r="D627" s="3" t="s">
        <v>762</v>
      </c>
      <c r="E627" s="3" t="s">
        <v>759</v>
      </c>
      <c r="F627" s="3" t="s">
        <v>21</v>
      </c>
      <c r="G627" s="3" t="s">
        <v>805</v>
      </c>
      <c r="H627" s="5" t="s">
        <v>768</v>
      </c>
      <c r="I627" s="5" t="str">
        <f t="shared" si="238"/>
        <v/>
      </c>
      <c r="J627" s="26"/>
      <c r="K627" s="26">
        <f t="shared" si="243"/>
        <v>0</v>
      </c>
      <c r="L627" s="96">
        <f t="shared" si="243"/>
        <v>0</v>
      </c>
      <c r="M627" s="111">
        <f t="shared" si="243"/>
        <v>0</v>
      </c>
      <c r="N627" s="4">
        <f t="shared" si="242"/>
        <v>0</v>
      </c>
      <c r="O627" s="4">
        <f>IF(O$5&lt;$K627,0,$L627-SUM($N533:N533)-O533)</f>
        <v>0</v>
      </c>
      <c r="P627" s="4">
        <f>IF(P$5&lt;$K627,0,$L627-SUM($N533:O533)-P533)</f>
        <v>0</v>
      </c>
      <c r="Q627" s="60"/>
      <c r="R627" s="60"/>
      <c r="S627" s="4">
        <f>IF(S$5&lt;$K627,0,$L627-SUM($N533:R533)-S533)</f>
        <v>0</v>
      </c>
      <c r="T627" s="4">
        <f>IF(T$5&lt;$K627,0,$L627-SUM($N533:S533)-T533)</f>
        <v>0</v>
      </c>
      <c r="U627" s="4">
        <f>IF(U$5&lt;$K627,0,$L627-SUM($N533:T533)-U533)</f>
        <v>0</v>
      </c>
      <c r="V627" s="4">
        <f>IF(V$5&lt;$K627,0,$L627-SUM($N533:U533)-V533)</f>
        <v>0</v>
      </c>
      <c r="W627" s="4">
        <f>IF(W$5&lt;$K627,0,$L627-SUM($N533:V533)-W533)</f>
        <v>0</v>
      </c>
      <c r="X627" s="4">
        <f>IF(X$5&lt;$K627,0,$L627-SUM($N533:W533)-X533)</f>
        <v>0</v>
      </c>
      <c r="Y627" s="4"/>
      <c r="Z627" s="3" t="str">
        <f>VLOOKUP($D627,TableInputsData[],ReadMe!$M$3,FALSE)&amp;"  |  "&amp;VLOOKUP($E627,TableInputsData[],ReadMe!$M$3,FALSE)&amp;"  |  "&amp;VLOOKUP($H627,TableInputsData[],ReadMe!$M$3,FALSE)</f>
        <v>ACTIFS MATERIEL IMMOBILISES  |  VALEUR BILAN FIN D'ANNEE  |  MATERIEL DE BUREAU</v>
      </c>
      <c r="AA627" s="3"/>
      <c r="AB627" s="34">
        <f t="shared" si="241"/>
        <v>0</v>
      </c>
      <c r="AC627" s="34"/>
      <c r="AD627" s="34"/>
      <c r="AE627" s="26"/>
      <c r="AF627" s="34">
        <v>1</v>
      </c>
      <c r="AG627" s="34"/>
      <c r="AH627" s="535"/>
      <c r="AI627" s="294"/>
    </row>
    <row r="628" spans="1:35" x14ac:dyDescent="0.2">
      <c r="A628" s="294"/>
      <c r="B628" s="922"/>
      <c r="C628" s="66">
        <v>3</v>
      </c>
      <c r="D628" s="3" t="s">
        <v>762</v>
      </c>
      <c r="E628" s="3" t="s">
        <v>759</v>
      </c>
      <c r="F628" s="3" t="s">
        <v>21</v>
      </c>
      <c r="G628" s="3" t="s">
        <v>806</v>
      </c>
      <c r="H628" s="5" t="s">
        <v>768</v>
      </c>
      <c r="I628" s="5" t="str">
        <f t="shared" si="238"/>
        <v/>
      </c>
      <c r="J628" s="26"/>
      <c r="K628" s="26">
        <f t="shared" si="243"/>
        <v>0</v>
      </c>
      <c r="L628" s="96">
        <f t="shared" si="243"/>
        <v>0</v>
      </c>
      <c r="M628" s="111">
        <f t="shared" si="243"/>
        <v>0</v>
      </c>
      <c r="N628" s="4">
        <f t="shared" si="242"/>
        <v>0</v>
      </c>
      <c r="O628" s="4">
        <f>IF(O$5&lt;$K628,0,$L628-SUM($N534:N534)-O534)</f>
        <v>0</v>
      </c>
      <c r="P628" s="4">
        <f>IF(P$5&lt;$K628,0,$L628-SUM($N534:O534)-P534)</f>
        <v>0</v>
      </c>
      <c r="Q628" s="60"/>
      <c r="R628" s="60"/>
      <c r="S628" s="4">
        <f>IF(S$5&lt;$K628,0,$L628-SUM($N534:R534)-S534)</f>
        <v>0</v>
      </c>
      <c r="T628" s="4">
        <f>IF(T$5&lt;$K628,0,$L628-SUM($N534:S534)-T534)</f>
        <v>0</v>
      </c>
      <c r="U628" s="4">
        <f>IF(U$5&lt;$K628,0,$L628-SUM($N534:T534)-U534)</f>
        <v>0</v>
      </c>
      <c r="V628" s="4">
        <f>IF(V$5&lt;$K628,0,$L628-SUM($N534:U534)-V534)</f>
        <v>0</v>
      </c>
      <c r="W628" s="4">
        <f>IF(W$5&lt;$K628,0,$L628-SUM($N534:V534)-W534)</f>
        <v>0</v>
      </c>
      <c r="X628" s="4">
        <f>IF(X$5&lt;$K628,0,$L628-SUM($N534:W534)-X534)</f>
        <v>0</v>
      </c>
      <c r="Y628" s="4"/>
      <c r="Z628" s="3" t="str">
        <f>VLOOKUP($D628,TableInputsData[],ReadMe!$M$3,FALSE)&amp;"  |  "&amp;VLOOKUP($E628,TableInputsData[],ReadMe!$M$3,FALSE)&amp;"  |  "&amp;VLOOKUP($H628,TableInputsData[],ReadMe!$M$3,FALSE)</f>
        <v>ACTIFS MATERIEL IMMOBILISES  |  VALEUR BILAN FIN D'ANNEE  |  MATERIEL DE BUREAU</v>
      </c>
      <c r="AA628" s="3"/>
      <c r="AB628" s="34">
        <f t="shared" si="241"/>
        <v>0</v>
      </c>
      <c r="AC628" s="34"/>
      <c r="AD628" s="34"/>
      <c r="AE628" s="26"/>
      <c r="AF628" s="34">
        <v>1</v>
      </c>
      <c r="AG628" s="34"/>
      <c r="AH628" s="535"/>
      <c r="AI628" s="294"/>
    </row>
    <row r="629" spans="1:35" x14ac:dyDescent="0.2">
      <c r="A629" s="294"/>
      <c r="B629" s="922"/>
      <c r="C629" s="66">
        <v>3</v>
      </c>
      <c r="D629" s="3" t="s">
        <v>762</v>
      </c>
      <c r="E629" s="3" t="s">
        <v>759</v>
      </c>
      <c r="F629" s="3" t="s">
        <v>21</v>
      </c>
      <c r="G629" s="3" t="s">
        <v>807</v>
      </c>
      <c r="H629" s="5" t="s">
        <v>768</v>
      </c>
      <c r="I629" s="5" t="str">
        <f t="shared" si="238"/>
        <v/>
      </c>
      <c r="J629" s="26"/>
      <c r="K629" s="26">
        <f t="shared" si="243"/>
        <v>0</v>
      </c>
      <c r="L629" s="96">
        <f t="shared" si="243"/>
        <v>0</v>
      </c>
      <c r="M629" s="111">
        <f t="shared" si="243"/>
        <v>0</v>
      </c>
      <c r="N629" s="4">
        <f t="shared" si="242"/>
        <v>0</v>
      </c>
      <c r="O629" s="4">
        <f>IF(O$5&lt;$K629,0,$L629-SUM($N535:N535)-O535)</f>
        <v>0</v>
      </c>
      <c r="P629" s="4">
        <f>IF(P$5&lt;$K629,0,$L629-SUM($N535:O535)-P535)</f>
        <v>0</v>
      </c>
      <c r="Q629" s="60"/>
      <c r="R629" s="60"/>
      <c r="S629" s="4">
        <f>IF(S$5&lt;$K629,0,$L629-SUM($N535:R535)-S535)</f>
        <v>0</v>
      </c>
      <c r="T629" s="4">
        <f>IF(T$5&lt;$K629,0,$L629-SUM($N535:S535)-T535)</f>
        <v>0</v>
      </c>
      <c r="U629" s="4">
        <f>IF(U$5&lt;$K629,0,$L629-SUM($N535:T535)-U535)</f>
        <v>0</v>
      </c>
      <c r="V629" s="4">
        <f>IF(V$5&lt;$K629,0,$L629-SUM($N535:U535)-V535)</f>
        <v>0</v>
      </c>
      <c r="W629" s="4">
        <f>IF(W$5&lt;$K629,0,$L629-SUM($N535:V535)-W535)</f>
        <v>0</v>
      </c>
      <c r="X629" s="4">
        <f>IF(X$5&lt;$K629,0,$L629-SUM($N535:W535)-X535)</f>
        <v>0</v>
      </c>
      <c r="Y629" s="4"/>
      <c r="Z629" s="3" t="str">
        <f>VLOOKUP($D629,TableInputsData[],ReadMe!$M$3,FALSE)&amp;"  |  "&amp;VLOOKUP($E629,TableInputsData[],ReadMe!$M$3,FALSE)&amp;"  |  "&amp;VLOOKUP($H629,TableInputsData[],ReadMe!$M$3,FALSE)</f>
        <v>ACTIFS MATERIEL IMMOBILISES  |  VALEUR BILAN FIN D'ANNEE  |  MATERIEL DE BUREAU</v>
      </c>
      <c r="AA629" s="3"/>
      <c r="AB629" s="34">
        <f t="shared" si="241"/>
        <v>0</v>
      </c>
      <c r="AC629" s="34"/>
      <c r="AD629" s="34"/>
      <c r="AE629" s="26"/>
      <c r="AF629" s="34">
        <v>1</v>
      </c>
      <c r="AG629" s="34"/>
      <c r="AH629" s="535"/>
      <c r="AI629" s="294"/>
    </row>
    <row r="630" spans="1:35" x14ac:dyDescent="0.2">
      <c r="A630" s="294"/>
      <c r="B630" s="922"/>
      <c r="C630" s="66">
        <v>3</v>
      </c>
      <c r="D630" s="3" t="s">
        <v>762</v>
      </c>
      <c r="E630" s="3" t="s">
        <v>759</v>
      </c>
      <c r="F630" s="3" t="s">
        <v>21</v>
      </c>
      <c r="G630" s="3" t="s">
        <v>808</v>
      </c>
      <c r="H630" s="5" t="s">
        <v>768</v>
      </c>
      <c r="I630" s="5" t="str">
        <f t="shared" si="238"/>
        <v/>
      </c>
      <c r="J630" s="26"/>
      <c r="K630" s="26">
        <f t="shared" si="243"/>
        <v>0</v>
      </c>
      <c r="L630" s="96">
        <f t="shared" si="243"/>
        <v>0</v>
      </c>
      <c r="M630" s="111">
        <f t="shared" si="243"/>
        <v>0</v>
      </c>
      <c r="N630" s="4">
        <f t="shared" si="242"/>
        <v>0</v>
      </c>
      <c r="O630" s="4">
        <f>IF(O$5&lt;$K630,0,$L630-SUM($N536:N536)-O536)</f>
        <v>0</v>
      </c>
      <c r="P630" s="4">
        <f>IF(P$5&lt;$K630,0,$L630-SUM($N536:O536)-P536)</f>
        <v>0</v>
      </c>
      <c r="Q630" s="60"/>
      <c r="R630" s="60"/>
      <c r="S630" s="4">
        <f>IF(S$5&lt;$K630,0,$L630-SUM($N536:R536)-S536)</f>
        <v>0</v>
      </c>
      <c r="T630" s="4">
        <f>IF(T$5&lt;$K630,0,$L630-SUM($N536:S536)-T536)</f>
        <v>0</v>
      </c>
      <c r="U630" s="4">
        <f>IF(U$5&lt;$K630,0,$L630-SUM($N536:T536)-U536)</f>
        <v>0</v>
      </c>
      <c r="V630" s="4">
        <f>IF(V$5&lt;$K630,0,$L630-SUM($N536:U536)-V536)</f>
        <v>0</v>
      </c>
      <c r="W630" s="4">
        <f>IF(W$5&lt;$K630,0,$L630-SUM($N536:V536)-W536)</f>
        <v>0</v>
      </c>
      <c r="X630" s="4">
        <f>IF(X$5&lt;$K630,0,$L630-SUM($N536:W536)-X536)</f>
        <v>0</v>
      </c>
      <c r="Y630" s="4"/>
      <c r="Z630" s="3" t="str">
        <f>VLOOKUP($D630,TableInputsData[],ReadMe!$M$3,FALSE)&amp;"  |  "&amp;VLOOKUP($E630,TableInputsData[],ReadMe!$M$3,FALSE)&amp;"  |  "&amp;VLOOKUP($H630,TableInputsData[],ReadMe!$M$3,FALSE)</f>
        <v>ACTIFS MATERIEL IMMOBILISES  |  VALEUR BILAN FIN D'ANNEE  |  MATERIEL DE BUREAU</v>
      </c>
      <c r="AA630" s="3"/>
      <c r="AB630" s="34">
        <f t="shared" si="241"/>
        <v>0</v>
      </c>
      <c r="AC630" s="34"/>
      <c r="AD630" s="34"/>
      <c r="AE630" s="26"/>
      <c r="AF630" s="34">
        <v>1</v>
      </c>
      <c r="AG630" s="34"/>
      <c r="AH630" s="535"/>
      <c r="AI630" s="294"/>
    </row>
    <row r="631" spans="1:35" x14ac:dyDescent="0.2">
      <c r="A631" s="294"/>
      <c r="B631" s="922"/>
      <c r="C631" s="66">
        <v>3</v>
      </c>
      <c r="D631" s="3" t="s">
        <v>762</v>
      </c>
      <c r="E631" s="3" t="s">
        <v>759</v>
      </c>
      <c r="F631" s="3" t="s">
        <v>21</v>
      </c>
      <c r="G631" s="3" t="s">
        <v>809</v>
      </c>
      <c r="H631" s="5" t="s">
        <v>768</v>
      </c>
      <c r="I631" s="5" t="str">
        <f t="shared" si="238"/>
        <v/>
      </c>
      <c r="J631" s="26"/>
      <c r="K631" s="26">
        <f t="shared" si="243"/>
        <v>0</v>
      </c>
      <c r="L631" s="96">
        <f t="shared" si="243"/>
        <v>0</v>
      </c>
      <c r="M631" s="111">
        <f t="shared" si="243"/>
        <v>0</v>
      </c>
      <c r="N631" s="4">
        <f t="shared" si="242"/>
        <v>0</v>
      </c>
      <c r="O631" s="4">
        <f>IF(O$5&lt;$K631,0,$L631-SUM($N537:N537)-O537)</f>
        <v>0</v>
      </c>
      <c r="P631" s="4">
        <f>IF(P$5&lt;$K631,0,$L631-SUM($N537:O537)-P537)</f>
        <v>0</v>
      </c>
      <c r="Q631" s="60"/>
      <c r="R631" s="60"/>
      <c r="S631" s="4">
        <f>IF(S$5&lt;$K631,0,$L631-SUM($N537:R537)-S537)</f>
        <v>0</v>
      </c>
      <c r="T631" s="4">
        <f>IF(T$5&lt;$K631,0,$L631-SUM($N537:S537)-T537)</f>
        <v>0</v>
      </c>
      <c r="U631" s="4">
        <f>IF(U$5&lt;$K631,0,$L631-SUM($N537:T537)-U537)</f>
        <v>0</v>
      </c>
      <c r="V631" s="4">
        <f>IF(V$5&lt;$K631,0,$L631-SUM($N537:U537)-V537)</f>
        <v>0</v>
      </c>
      <c r="W631" s="4">
        <f>IF(W$5&lt;$K631,0,$L631-SUM($N537:V537)-W537)</f>
        <v>0</v>
      </c>
      <c r="X631" s="4">
        <f>IF(X$5&lt;$K631,0,$L631-SUM($N537:W537)-X537)</f>
        <v>0</v>
      </c>
      <c r="Y631" s="4"/>
      <c r="Z631" s="3" t="str">
        <f>VLOOKUP($D631,TableInputsData[],ReadMe!$M$3,FALSE)&amp;"  |  "&amp;VLOOKUP($E631,TableInputsData[],ReadMe!$M$3,FALSE)&amp;"  |  "&amp;VLOOKUP($H631,TableInputsData[],ReadMe!$M$3,FALSE)</f>
        <v>ACTIFS MATERIEL IMMOBILISES  |  VALEUR BILAN FIN D'ANNEE  |  MATERIEL DE BUREAU</v>
      </c>
      <c r="AA631" s="3"/>
      <c r="AB631" s="34">
        <f t="shared" si="241"/>
        <v>0</v>
      </c>
      <c r="AC631" s="34"/>
      <c r="AD631" s="34"/>
      <c r="AE631" s="26"/>
      <c r="AF631" s="34">
        <v>1</v>
      </c>
      <c r="AG631" s="34"/>
      <c r="AH631" s="535"/>
      <c r="AI631" s="294"/>
    </row>
    <row r="632" spans="1:35" x14ac:dyDescent="0.2">
      <c r="A632" s="294"/>
      <c r="B632" s="922"/>
      <c r="C632" s="66">
        <v>3</v>
      </c>
      <c r="D632" s="3" t="s">
        <v>762</v>
      </c>
      <c r="E632" s="3" t="s">
        <v>759</v>
      </c>
      <c r="F632" s="3" t="s">
        <v>21</v>
      </c>
      <c r="G632" s="3" t="s">
        <v>810</v>
      </c>
      <c r="H632" s="5" t="s">
        <v>768</v>
      </c>
      <c r="I632" s="5" t="str">
        <f t="shared" si="238"/>
        <v/>
      </c>
      <c r="J632" s="26"/>
      <c r="K632" s="26">
        <f t="shared" si="243"/>
        <v>0</v>
      </c>
      <c r="L632" s="96">
        <f t="shared" si="243"/>
        <v>0</v>
      </c>
      <c r="M632" s="111">
        <f t="shared" si="243"/>
        <v>0</v>
      </c>
      <c r="N632" s="4">
        <f t="shared" si="242"/>
        <v>0</v>
      </c>
      <c r="O632" s="4">
        <f>IF(O$5&lt;$K632,0,$L632-SUM($N538:N538)-O538)</f>
        <v>0</v>
      </c>
      <c r="P632" s="4">
        <f>IF(P$5&lt;$K632,0,$L632-SUM($N538:O538)-P538)</f>
        <v>0</v>
      </c>
      <c r="Q632" s="60"/>
      <c r="R632" s="60"/>
      <c r="S632" s="4">
        <f>IF(S$5&lt;$K632,0,$L632-SUM($N538:R538)-S538)</f>
        <v>0</v>
      </c>
      <c r="T632" s="4">
        <f>IF(T$5&lt;$K632,0,$L632-SUM($N538:S538)-T538)</f>
        <v>0</v>
      </c>
      <c r="U632" s="4">
        <f>IF(U$5&lt;$K632,0,$L632-SUM($N538:T538)-U538)</f>
        <v>0</v>
      </c>
      <c r="V632" s="4">
        <f>IF(V$5&lt;$K632,0,$L632-SUM($N538:U538)-V538)</f>
        <v>0</v>
      </c>
      <c r="W632" s="4">
        <f>IF(W$5&lt;$K632,0,$L632-SUM($N538:V538)-W538)</f>
        <v>0</v>
      </c>
      <c r="X632" s="4">
        <f>IF(X$5&lt;$K632,0,$L632-SUM($N538:W538)-X538)</f>
        <v>0</v>
      </c>
      <c r="Y632" s="4"/>
      <c r="Z632" s="3" t="str">
        <f>VLOOKUP($D632,TableInputsData[],ReadMe!$M$3,FALSE)&amp;"  |  "&amp;VLOOKUP($E632,TableInputsData[],ReadMe!$M$3,FALSE)&amp;"  |  "&amp;VLOOKUP($H632,TableInputsData[],ReadMe!$M$3,FALSE)</f>
        <v>ACTIFS MATERIEL IMMOBILISES  |  VALEUR BILAN FIN D'ANNEE  |  MATERIEL DE BUREAU</v>
      </c>
      <c r="AA632" s="3"/>
      <c r="AB632" s="34">
        <f t="shared" si="241"/>
        <v>0</v>
      </c>
      <c r="AC632" s="34"/>
      <c r="AD632" s="34"/>
      <c r="AE632" s="26"/>
      <c r="AF632" s="34">
        <v>1</v>
      </c>
      <c r="AG632" s="34"/>
      <c r="AH632" s="535"/>
      <c r="AI632" s="294"/>
    </row>
    <row r="633" spans="1:35" x14ac:dyDescent="0.2">
      <c r="A633" s="294"/>
      <c r="B633" s="922"/>
      <c r="C633" s="66">
        <v>3</v>
      </c>
      <c r="D633" s="3" t="s">
        <v>762</v>
      </c>
      <c r="E633" s="3" t="s">
        <v>759</v>
      </c>
      <c r="F633" s="3" t="s">
        <v>21</v>
      </c>
      <c r="G633" s="3" t="s">
        <v>811</v>
      </c>
      <c r="H633" s="5" t="s">
        <v>768</v>
      </c>
      <c r="I633" s="5" t="str">
        <f t="shared" si="238"/>
        <v/>
      </c>
      <c r="J633" s="26"/>
      <c r="K633" s="26">
        <f t="shared" si="243"/>
        <v>0</v>
      </c>
      <c r="L633" s="96">
        <f t="shared" si="243"/>
        <v>0</v>
      </c>
      <c r="M633" s="111">
        <f t="shared" si="243"/>
        <v>0</v>
      </c>
      <c r="N633" s="4">
        <f t="shared" si="242"/>
        <v>0</v>
      </c>
      <c r="O633" s="4">
        <f>IF(O$5&lt;$K633,0,$L633-SUM($N539:N539)-O539)</f>
        <v>0</v>
      </c>
      <c r="P633" s="4">
        <f>IF(P$5&lt;$K633,0,$L633-SUM($N539:O539)-P539)</f>
        <v>0</v>
      </c>
      <c r="Q633" s="60"/>
      <c r="R633" s="60"/>
      <c r="S633" s="4">
        <f>IF(S$5&lt;$K633,0,$L633-SUM($N539:R539)-S539)</f>
        <v>0</v>
      </c>
      <c r="T633" s="4">
        <f>IF(T$5&lt;$K633,0,$L633-SUM($N539:S539)-T539)</f>
        <v>0</v>
      </c>
      <c r="U633" s="4">
        <f>IF(U$5&lt;$K633,0,$L633-SUM($N539:T539)-U539)</f>
        <v>0</v>
      </c>
      <c r="V633" s="4">
        <f>IF(V$5&lt;$K633,0,$L633-SUM($N539:U539)-V539)</f>
        <v>0</v>
      </c>
      <c r="W633" s="4">
        <f>IF(W$5&lt;$K633,0,$L633-SUM($N539:V539)-W539)</f>
        <v>0</v>
      </c>
      <c r="X633" s="4">
        <f>IF(X$5&lt;$K633,0,$L633-SUM($N539:W539)-X539)</f>
        <v>0</v>
      </c>
      <c r="Y633" s="4"/>
      <c r="Z633" s="3" t="str">
        <f>VLOOKUP($D633,TableInputsData[],ReadMe!$M$3,FALSE)&amp;"  |  "&amp;VLOOKUP($E633,TableInputsData[],ReadMe!$M$3,FALSE)&amp;"  |  "&amp;VLOOKUP($H633,TableInputsData[],ReadMe!$M$3,FALSE)</f>
        <v>ACTIFS MATERIEL IMMOBILISES  |  VALEUR BILAN FIN D'ANNEE  |  MATERIEL DE BUREAU</v>
      </c>
      <c r="AA633" s="3"/>
      <c r="AB633" s="34">
        <f t="shared" si="241"/>
        <v>0</v>
      </c>
      <c r="AC633" s="34"/>
      <c r="AD633" s="34"/>
      <c r="AE633" s="26"/>
      <c r="AF633" s="34">
        <v>1</v>
      </c>
      <c r="AG633" s="34"/>
      <c r="AH633" s="535"/>
      <c r="AI633" s="294"/>
    </row>
    <row r="634" spans="1:35" x14ac:dyDescent="0.2">
      <c r="A634" s="294"/>
      <c r="B634" s="922"/>
      <c r="C634" s="66">
        <v>3</v>
      </c>
      <c r="D634" s="3" t="s">
        <v>762</v>
      </c>
      <c r="E634" s="3" t="s">
        <v>759</v>
      </c>
      <c r="F634" s="3" t="s">
        <v>21</v>
      </c>
      <c r="G634" s="3" t="s">
        <v>812</v>
      </c>
      <c r="H634" s="5" t="s">
        <v>768</v>
      </c>
      <c r="I634" s="5" t="str">
        <f t="shared" si="238"/>
        <v/>
      </c>
      <c r="J634" s="26"/>
      <c r="K634" s="26">
        <f t="shared" si="243"/>
        <v>0</v>
      </c>
      <c r="L634" s="96">
        <f t="shared" si="243"/>
        <v>0</v>
      </c>
      <c r="M634" s="111">
        <f t="shared" si="243"/>
        <v>0</v>
      </c>
      <c r="N634" s="4">
        <f t="shared" si="242"/>
        <v>0</v>
      </c>
      <c r="O634" s="4">
        <f>IF(O$5&lt;$K634,0,$L634-SUM($N540:N540)-O540)</f>
        <v>0</v>
      </c>
      <c r="P634" s="4">
        <f>IF(P$5&lt;$K634,0,$L634-SUM($N540:O540)-P540)</f>
        <v>0</v>
      </c>
      <c r="Q634" s="60"/>
      <c r="R634" s="60"/>
      <c r="S634" s="4">
        <f>IF(S$5&lt;$K634,0,$L634-SUM($N540:R540)-S540)</f>
        <v>0</v>
      </c>
      <c r="T634" s="4">
        <f>IF(T$5&lt;$K634,0,$L634-SUM($N540:S540)-T540)</f>
        <v>0</v>
      </c>
      <c r="U634" s="4">
        <f>IF(U$5&lt;$K634,0,$L634-SUM($N540:T540)-U540)</f>
        <v>0</v>
      </c>
      <c r="V634" s="4">
        <f>IF(V$5&lt;$K634,0,$L634-SUM($N540:U540)-V540)</f>
        <v>0</v>
      </c>
      <c r="W634" s="4">
        <f>IF(W$5&lt;$K634,0,$L634-SUM($N540:V540)-W540)</f>
        <v>0</v>
      </c>
      <c r="X634" s="4">
        <f>IF(X$5&lt;$K634,0,$L634-SUM($N540:W540)-X540)</f>
        <v>0</v>
      </c>
      <c r="Y634" s="4"/>
      <c r="Z634" s="3" t="str">
        <f>VLOOKUP($D634,TableInputsData[],ReadMe!$M$3,FALSE)&amp;"  |  "&amp;VLOOKUP($E634,TableInputsData[],ReadMe!$M$3,FALSE)&amp;"  |  "&amp;VLOOKUP($H634,TableInputsData[],ReadMe!$M$3,FALSE)</f>
        <v>ACTIFS MATERIEL IMMOBILISES  |  VALEUR BILAN FIN D'ANNEE  |  MATERIEL DE BUREAU</v>
      </c>
      <c r="AA634" s="3"/>
      <c r="AB634" s="34">
        <f t="shared" si="241"/>
        <v>0</v>
      </c>
      <c r="AC634" s="34"/>
      <c r="AD634" s="34"/>
      <c r="AE634" s="26"/>
      <c r="AF634" s="34">
        <v>1</v>
      </c>
      <c r="AG634" s="34"/>
      <c r="AH634" s="535"/>
      <c r="AI634" s="294"/>
    </row>
    <row r="635" spans="1:35" x14ac:dyDescent="0.2">
      <c r="A635" s="294"/>
      <c r="B635" s="922"/>
      <c r="C635" s="70">
        <v>3</v>
      </c>
      <c r="D635" s="3" t="s">
        <v>762</v>
      </c>
      <c r="E635" s="6" t="s">
        <v>759</v>
      </c>
      <c r="F635" s="6" t="s">
        <v>21</v>
      </c>
      <c r="G635" s="3" t="s">
        <v>813</v>
      </c>
      <c r="H635" s="11" t="s">
        <v>768</v>
      </c>
      <c r="I635" s="5" t="str">
        <f t="shared" si="238"/>
        <v/>
      </c>
      <c r="J635" s="26"/>
      <c r="K635" s="26">
        <f t="shared" si="243"/>
        <v>0</v>
      </c>
      <c r="L635" s="96">
        <f t="shared" si="243"/>
        <v>0</v>
      </c>
      <c r="M635" s="111">
        <f t="shared" si="243"/>
        <v>0</v>
      </c>
      <c r="N635" s="4">
        <f t="shared" si="242"/>
        <v>0</v>
      </c>
      <c r="O635" s="4">
        <f>IF(O$5&lt;$K635,0,$L635-SUM($N541:N541)-O541)</f>
        <v>0</v>
      </c>
      <c r="P635" s="4">
        <f>IF(P$5&lt;$K635,0,$L635-SUM($N541:O541)-P541)</f>
        <v>0</v>
      </c>
      <c r="Q635" s="60"/>
      <c r="R635" s="60"/>
      <c r="S635" s="4">
        <f>IF(S$5&lt;$K635,0,$L635-SUM($N541:R541)-S541)</f>
        <v>0</v>
      </c>
      <c r="T635" s="4">
        <f>IF(T$5&lt;$K635,0,$L635-SUM($N541:S541)-T541)</f>
        <v>0</v>
      </c>
      <c r="U635" s="4">
        <f>IF(U$5&lt;$K635,0,$L635-SUM($N541:T541)-U541)</f>
        <v>0</v>
      </c>
      <c r="V635" s="4">
        <f>IF(V$5&lt;$K635,0,$L635-SUM($N541:U541)-V541)</f>
        <v>0</v>
      </c>
      <c r="W635" s="4">
        <f>IF(W$5&lt;$K635,0,$L635-SUM($N541:V541)-W541)</f>
        <v>0</v>
      </c>
      <c r="X635" s="4">
        <f>IF(X$5&lt;$K635,0,$L635-SUM($N541:W541)-X541)</f>
        <v>0</v>
      </c>
      <c r="Y635" s="7"/>
      <c r="Z635" s="6" t="str">
        <f>VLOOKUP($D635,TableInputsData[],ReadMe!$M$3,FALSE)&amp;"  |  "&amp;VLOOKUP($E635,TableInputsData[],ReadMe!$M$3,FALSE)&amp;"  |  "&amp;VLOOKUP($H635,TableInputsData[],ReadMe!$M$3,FALSE)</f>
        <v>ACTIFS MATERIEL IMMOBILISES  |  VALEUR BILAN FIN D'ANNEE  |  MATERIEL DE BUREAU</v>
      </c>
      <c r="AA635" s="6"/>
      <c r="AB635" s="34">
        <f t="shared" si="241"/>
        <v>0</v>
      </c>
      <c r="AC635" s="36"/>
      <c r="AD635" s="36"/>
      <c r="AE635" s="91"/>
      <c r="AF635" s="36">
        <v>1</v>
      </c>
      <c r="AG635" s="36"/>
      <c r="AH635" s="536"/>
      <c r="AI635" s="294"/>
    </row>
    <row r="636" spans="1:35" x14ac:dyDescent="0.2">
      <c r="A636" s="294"/>
      <c r="B636" s="922"/>
      <c r="C636" s="67">
        <v>3</v>
      </c>
      <c r="D636" s="16" t="s">
        <v>762</v>
      </c>
      <c r="E636" s="16" t="s">
        <v>759</v>
      </c>
      <c r="F636" s="16" t="s">
        <v>21</v>
      </c>
      <c r="G636" s="16" t="s">
        <v>846</v>
      </c>
      <c r="H636" s="17" t="s">
        <v>1168</v>
      </c>
      <c r="I636" s="17"/>
      <c r="J636" s="27"/>
      <c r="K636" s="27"/>
      <c r="L636" s="18">
        <f>SUM(L596:L635)</f>
        <v>0</v>
      </c>
      <c r="M636" s="112"/>
      <c r="N636" s="18">
        <f>SUM(N596:N635)</f>
        <v>0</v>
      </c>
      <c r="O636" s="18">
        <f>SUM(O596:O635)</f>
        <v>0</v>
      </c>
      <c r="P636" s="18">
        <f>SUM(P596:P635)</f>
        <v>0</v>
      </c>
      <c r="Q636" s="18"/>
      <c r="R636" s="18"/>
      <c r="S636" s="18">
        <f t="shared" ref="S636:X636" si="244">SUM(S596:S635)</f>
        <v>0</v>
      </c>
      <c r="T636" s="18">
        <f t="shared" si="244"/>
        <v>0</v>
      </c>
      <c r="U636" s="18">
        <f t="shared" si="244"/>
        <v>0</v>
      </c>
      <c r="V636" s="18">
        <f t="shared" si="244"/>
        <v>0</v>
      </c>
      <c r="W636" s="18">
        <f t="shared" si="244"/>
        <v>0</v>
      </c>
      <c r="X636" s="18">
        <f t="shared" si="244"/>
        <v>0</v>
      </c>
      <c r="Y636" s="18"/>
      <c r="Z636" s="16" t="str">
        <f>VLOOKUP($D636,TableInputsData[],ReadMe!$M$3,FALSE)&amp;"  |  "&amp;VLOOKUP($E636,TableInputsData[],ReadMe!$M$3,FALSE)&amp;"  |  "&amp;VLOOKUP($H636,TableInputsData[],ReadMe!$M$3,FALSE)</f>
        <v>ACTIFS MATERIEL IMMOBILISES  |  VALEUR BILAN FIN D'ANNEE  |  TOTAL MATERIEL DE BUREAU</v>
      </c>
      <c r="AA636" s="16"/>
      <c r="AB636" s="27">
        <v>1</v>
      </c>
      <c r="AC636" s="27">
        <v>1</v>
      </c>
      <c r="AD636" s="27"/>
      <c r="AE636" s="27"/>
      <c r="AF636" s="27">
        <v>1</v>
      </c>
      <c r="AG636" s="27"/>
      <c r="AH636" s="533"/>
      <c r="AI636" s="294"/>
    </row>
    <row r="637" spans="1:35" x14ac:dyDescent="0.2">
      <c r="A637" s="294"/>
      <c r="B637" s="922"/>
      <c r="C637" s="66">
        <v>3</v>
      </c>
      <c r="D637" s="3"/>
      <c r="E637" s="3"/>
      <c r="F637" s="3"/>
      <c r="G637" s="3"/>
      <c r="H637" s="5"/>
      <c r="I637" s="5"/>
      <c r="J637" s="26"/>
      <c r="K637" s="26"/>
      <c r="L637" s="96"/>
      <c r="M637" s="118"/>
      <c r="N637" s="861"/>
      <c r="O637" s="4"/>
      <c r="P637" s="4"/>
      <c r="Q637" s="4"/>
      <c r="R637" s="4"/>
      <c r="S637" s="4"/>
      <c r="T637" s="4"/>
      <c r="U637" s="4"/>
      <c r="V637" s="4"/>
      <c r="W637" s="4"/>
      <c r="X637" s="4"/>
      <c r="Y637" s="4"/>
      <c r="Z637" s="3"/>
      <c r="AA637" s="3"/>
      <c r="AB637" s="34"/>
      <c r="AC637" s="34"/>
      <c r="AD637" s="34"/>
      <c r="AE637" s="26"/>
      <c r="AF637" s="34"/>
      <c r="AG637" s="34"/>
      <c r="AH637" s="535"/>
      <c r="AI637" s="294"/>
    </row>
    <row r="638" spans="1:35" x14ac:dyDescent="0.2">
      <c r="A638" s="294"/>
      <c r="B638" s="922"/>
      <c r="C638" s="66">
        <v>3</v>
      </c>
      <c r="D638" s="3" t="s">
        <v>762</v>
      </c>
      <c r="E638" s="3" t="s">
        <v>759</v>
      </c>
      <c r="F638" s="3" t="s">
        <v>21</v>
      </c>
      <c r="G638" s="3" t="s">
        <v>814</v>
      </c>
      <c r="H638" s="5" t="s">
        <v>771</v>
      </c>
      <c r="I638" s="5" t="str">
        <f t="shared" ref="I638:I647" si="245">IF(I544="","",I544)</f>
        <v/>
      </c>
      <c r="J638" s="26"/>
      <c r="K638" s="26">
        <f t="shared" ref="K638:M647" si="246">IF(K544="",0,K544)</f>
        <v>2020</v>
      </c>
      <c r="L638" s="96">
        <f t="shared" si="246"/>
        <v>0</v>
      </c>
      <c r="M638" s="111">
        <f t="shared" si="246"/>
        <v>0.1</v>
      </c>
      <c r="N638" s="4">
        <f t="shared" ref="N638:N647" si="247">IF(N544="","",N544)</f>
        <v>0</v>
      </c>
      <c r="O638" s="4">
        <f>IF(O$5&lt;$K638,0,$L638-SUM($N544:N544)-O544)</f>
        <v>0</v>
      </c>
      <c r="P638" s="4">
        <f>IF(P$5&lt;$K638,0,$L638-SUM($N544:O544)-P544)</f>
        <v>0</v>
      </c>
      <c r="Q638" s="60"/>
      <c r="R638" s="60"/>
      <c r="S638" s="4">
        <f>IF(S$5&lt;$K638,0,$L638-SUM($N544:R544)-S544)</f>
        <v>0</v>
      </c>
      <c r="T638" s="4">
        <f>IF(T$5&lt;$K638,0,$L638-SUM($N544:S544)-T544)</f>
        <v>0</v>
      </c>
      <c r="U638" s="4">
        <f>IF(U$5&lt;$K638,0,$L638-SUM($N544:T544)-U544)</f>
        <v>0</v>
      </c>
      <c r="V638" s="4">
        <f>IF(V$5&lt;$K638,0,$L638-SUM($N544:U544)-V544)</f>
        <v>0</v>
      </c>
      <c r="W638" s="4">
        <f>IF(W$5&lt;$K638,0,$L638-SUM($N544:V544)-W544)</f>
        <v>0</v>
      </c>
      <c r="X638" s="4">
        <f>IF(X$5&lt;$K638,0,$L638-SUM($N544:W544)-X544)</f>
        <v>0</v>
      </c>
      <c r="Y638" s="4"/>
      <c r="Z638" s="3" t="str">
        <f>VLOOKUP($D638,TableInputsData[],ReadMe!$M$3,FALSE)&amp;"  |  "&amp;VLOOKUP($E638,TableInputsData[],ReadMe!$M$3,FALSE)&amp;"  |  "&amp;VLOOKUP($H638,TableInputsData[],ReadMe!$M$3,FALSE)</f>
        <v>ACTIFS MATERIEL IMMOBILISES  |  VALEUR BILAN FIN D'ANNEE  |  MATERIEL DE PRODUCTION</v>
      </c>
      <c r="AA638" s="3"/>
      <c r="AB638" s="34">
        <f t="shared" ref="AB638:AB647" si="248">IF(L638+SUM(O638:X638)=0,0,1)</f>
        <v>0</v>
      </c>
      <c r="AC638" s="34"/>
      <c r="AD638" s="34"/>
      <c r="AE638" s="26"/>
      <c r="AF638" s="34">
        <v>1</v>
      </c>
      <c r="AG638" s="34"/>
      <c r="AH638" s="535"/>
      <c r="AI638" s="294"/>
    </row>
    <row r="639" spans="1:35" x14ac:dyDescent="0.2">
      <c r="A639" s="294"/>
      <c r="B639" s="922"/>
      <c r="C639" s="66">
        <v>3</v>
      </c>
      <c r="D639" s="3" t="s">
        <v>762</v>
      </c>
      <c r="E639" s="3" t="s">
        <v>759</v>
      </c>
      <c r="F639" s="3" t="s">
        <v>21</v>
      </c>
      <c r="G639" s="3" t="s">
        <v>815</v>
      </c>
      <c r="H639" s="5" t="s">
        <v>771</v>
      </c>
      <c r="I639" s="5" t="str">
        <f t="shared" si="245"/>
        <v/>
      </c>
      <c r="J639" s="26"/>
      <c r="K639" s="26">
        <f t="shared" si="246"/>
        <v>2021</v>
      </c>
      <c r="L639" s="96">
        <f t="shared" si="246"/>
        <v>0</v>
      </c>
      <c r="M639" s="111">
        <f t="shared" si="246"/>
        <v>0.1</v>
      </c>
      <c r="N639" s="4">
        <f t="shared" si="247"/>
        <v>0</v>
      </c>
      <c r="O639" s="4">
        <f>IF(O$5&lt;$K639,0,$L639-SUM($N545:N545)-O545)</f>
        <v>0</v>
      </c>
      <c r="P639" s="4">
        <f>IF(P$5&lt;$K639,0,$L639-SUM($N545:O545)-P545)</f>
        <v>0</v>
      </c>
      <c r="Q639" s="60"/>
      <c r="R639" s="60"/>
      <c r="S639" s="4">
        <f>IF(S$5&lt;$K639,0,$L639-SUM($N545:R545)-S545)</f>
        <v>0</v>
      </c>
      <c r="T639" s="4">
        <f>IF(T$5&lt;$K639,0,$L639-SUM($N545:S545)-T545)</f>
        <v>0</v>
      </c>
      <c r="U639" s="4">
        <f>IF(U$5&lt;$K639,0,$L639-SUM($N545:T545)-U545)</f>
        <v>0</v>
      </c>
      <c r="V639" s="4">
        <f>IF(V$5&lt;$K639,0,$L639-SUM($N545:U545)-V545)</f>
        <v>0</v>
      </c>
      <c r="W639" s="4">
        <f>IF(W$5&lt;$K639,0,$L639-SUM($N545:V545)-W545)</f>
        <v>0</v>
      </c>
      <c r="X639" s="4">
        <f>IF(X$5&lt;$K639,0,$L639-SUM($N545:W545)-X545)</f>
        <v>0</v>
      </c>
      <c r="Y639" s="4"/>
      <c r="Z639" s="3" t="str">
        <f>VLOOKUP($D639,TableInputsData[],ReadMe!$M$3,FALSE)&amp;"  |  "&amp;VLOOKUP($E639,TableInputsData[],ReadMe!$M$3,FALSE)&amp;"  |  "&amp;VLOOKUP($H639,TableInputsData[],ReadMe!$M$3,FALSE)</f>
        <v>ACTIFS MATERIEL IMMOBILISES  |  VALEUR BILAN FIN D'ANNEE  |  MATERIEL DE PRODUCTION</v>
      </c>
      <c r="AA639" s="3"/>
      <c r="AB639" s="34">
        <f t="shared" si="248"/>
        <v>0</v>
      </c>
      <c r="AC639" s="34"/>
      <c r="AD639" s="34"/>
      <c r="AE639" s="26"/>
      <c r="AF639" s="34">
        <v>1</v>
      </c>
      <c r="AG639" s="34"/>
      <c r="AH639" s="535"/>
      <c r="AI639" s="294"/>
    </row>
    <row r="640" spans="1:35" x14ac:dyDescent="0.2">
      <c r="A640" s="294"/>
      <c r="B640" s="922"/>
      <c r="C640" s="66">
        <v>3</v>
      </c>
      <c r="D640" s="3" t="s">
        <v>762</v>
      </c>
      <c r="E640" s="3" t="s">
        <v>759</v>
      </c>
      <c r="F640" s="3" t="s">
        <v>21</v>
      </c>
      <c r="G640" s="3" t="s">
        <v>816</v>
      </c>
      <c r="H640" s="5" t="s">
        <v>771</v>
      </c>
      <c r="I640" s="5" t="str">
        <f t="shared" si="245"/>
        <v/>
      </c>
      <c r="J640" s="26"/>
      <c r="K640" s="26">
        <f t="shared" si="246"/>
        <v>2022</v>
      </c>
      <c r="L640" s="96">
        <f t="shared" si="246"/>
        <v>0</v>
      </c>
      <c r="M640" s="111">
        <f t="shared" si="246"/>
        <v>0.1</v>
      </c>
      <c r="N640" s="4">
        <f t="shared" si="247"/>
        <v>0</v>
      </c>
      <c r="O640" s="4">
        <f>IF(O$5&lt;$K640,0,$L640-SUM($N546:N546)-O546)</f>
        <v>0</v>
      </c>
      <c r="P640" s="4">
        <f>IF(P$5&lt;$K640,0,$L640-SUM($N546:O546)-P546)</f>
        <v>0</v>
      </c>
      <c r="Q640" s="60"/>
      <c r="R640" s="60"/>
      <c r="S640" s="4">
        <f>IF(S$5&lt;$K640,0,$L640-SUM($N546:R546)-S546)</f>
        <v>0</v>
      </c>
      <c r="T640" s="4">
        <f>IF(T$5&lt;$K640,0,$L640-SUM($N546:S546)-T546)</f>
        <v>0</v>
      </c>
      <c r="U640" s="4">
        <f>IF(U$5&lt;$K640,0,$L640-SUM($N546:T546)-U546)</f>
        <v>0</v>
      </c>
      <c r="V640" s="4">
        <f>IF(V$5&lt;$K640,0,$L640-SUM($N546:U546)-V546)</f>
        <v>0</v>
      </c>
      <c r="W640" s="4">
        <f>IF(W$5&lt;$K640,0,$L640-SUM($N546:V546)-W546)</f>
        <v>0</v>
      </c>
      <c r="X640" s="4">
        <f>IF(X$5&lt;$K640,0,$L640-SUM($N546:W546)-X546)</f>
        <v>0</v>
      </c>
      <c r="Y640" s="4"/>
      <c r="Z640" s="3" t="str">
        <f>VLOOKUP($D640,TableInputsData[],ReadMe!$M$3,FALSE)&amp;"  |  "&amp;VLOOKUP($E640,TableInputsData[],ReadMe!$M$3,FALSE)&amp;"  |  "&amp;VLOOKUP($H640,TableInputsData[],ReadMe!$M$3,FALSE)</f>
        <v>ACTIFS MATERIEL IMMOBILISES  |  VALEUR BILAN FIN D'ANNEE  |  MATERIEL DE PRODUCTION</v>
      </c>
      <c r="AA640" s="3"/>
      <c r="AB640" s="34">
        <f t="shared" si="248"/>
        <v>0</v>
      </c>
      <c r="AC640" s="34"/>
      <c r="AD640" s="34"/>
      <c r="AE640" s="26"/>
      <c r="AF640" s="34">
        <v>1</v>
      </c>
      <c r="AG640" s="34"/>
      <c r="AH640" s="535"/>
      <c r="AI640" s="294"/>
    </row>
    <row r="641" spans="1:35" x14ac:dyDescent="0.2">
      <c r="A641" s="294"/>
      <c r="B641" s="922"/>
      <c r="C641" s="66">
        <v>3</v>
      </c>
      <c r="D641" s="3" t="s">
        <v>762</v>
      </c>
      <c r="E641" s="3" t="s">
        <v>759</v>
      </c>
      <c r="F641" s="3" t="s">
        <v>21</v>
      </c>
      <c r="G641" s="3" t="s">
        <v>817</v>
      </c>
      <c r="H641" s="5" t="s">
        <v>771</v>
      </c>
      <c r="I641" s="5" t="str">
        <f t="shared" si="245"/>
        <v/>
      </c>
      <c r="J641" s="26"/>
      <c r="K641" s="26">
        <f t="shared" si="246"/>
        <v>2023</v>
      </c>
      <c r="L641" s="96">
        <f t="shared" si="246"/>
        <v>0</v>
      </c>
      <c r="M641" s="111">
        <f t="shared" si="246"/>
        <v>0.1</v>
      </c>
      <c r="N641" s="4">
        <f t="shared" si="247"/>
        <v>0</v>
      </c>
      <c r="O641" s="4">
        <f>IF(O$5&lt;$K641,0,$L641-SUM($N547:N547)-O547)</f>
        <v>0</v>
      </c>
      <c r="P641" s="4">
        <f>IF(P$5&lt;$K641,0,$L641-SUM($N547:O547)-P547)</f>
        <v>0</v>
      </c>
      <c r="Q641" s="60"/>
      <c r="R641" s="60"/>
      <c r="S641" s="4">
        <f>IF(S$5&lt;$K641,0,$L641-SUM($N547:R547)-S547)</f>
        <v>0</v>
      </c>
      <c r="T641" s="4">
        <f>IF(T$5&lt;$K641,0,$L641-SUM($N547:S547)-T547)</f>
        <v>0</v>
      </c>
      <c r="U641" s="4">
        <f>IF(U$5&lt;$K641,0,$L641-SUM($N547:T547)-U547)</f>
        <v>0</v>
      </c>
      <c r="V641" s="4">
        <f>IF(V$5&lt;$K641,0,$L641-SUM($N547:U547)-V547)</f>
        <v>0</v>
      </c>
      <c r="W641" s="4">
        <f>IF(W$5&lt;$K641,0,$L641-SUM($N547:V547)-W547)</f>
        <v>0</v>
      </c>
      <c r="X641" s="4">
        <f>IF(X$5&lt;$K641,0,$L641-SUM($N547:W547)-X547)</f>
        <v>0</v>
      </c>
      <c r="Y641" s="4"/>
      <c r="Z641" s="3" t="str">
        <f>VLOOKUP($D641,TableInputsData[],ReadMe!$M$3,FALSE)&amp;"  |  "&amp;VLOOKUP($E641,TableInputsData[],ReadMe!$M$3,FALSE)&amp;"  |  "&amp;VLOOKUP($H641,TableInputsData[],ReadMe!$M$3,FALSE)</f>
        <v>ACTIFS MATERIEL IMMOBILISES  |  VALEUR BILAN FIN D'ANNEE  |  MATERIEL DE PRODUCTION</v>
      </c>
      <c r="AA641" s="3"/>
      <c r="AB641" s="34">
        <f t="shared" si="248"/>
        <v>0</v>
      </c>
      <c r="AC641" s="34"/>
      <c r="AD641" s="34"/>
      <c r="AE641" s="26"/>
      <c r="AF641" s="34">
        <v>1</v>
      </c>
      <c r="AG641" s="34"/>
      <c r="AH641" s="535"/>
      <c r="AI641" s="294"/>
    </row>
    <row r="642" spans="1:35" x14ac:dyDescent="0.2">
      <c r="A642" s="294"/>
      <c r="B642" s="922"/>
      <c r="C642" s="66">
        <v>3</v>
      </c>
      <c r="D642" s="3" t="s">
        <v>762</v>
      </c>
      <c r="E642" s="3" t="s">
        <v>759</v>
      </c>
      <c r="F642" s="3" t="s">
        <v>21</v>
      </c>
      <c r="G642" s="3" t="s">
        <v>818</v>
      </c>
      <c r="H642" s="5" t="s">
        <v>771</v>
      </c>
      <c r="I642" s="5" t="str">
        <f t="shared" si="245"/>
        <v/>
      </c>
      <c r="J642" s="26"/>
      <c r="K642" s="26">
        <f t="shared" si="246"/>
        <v>2024</v>
      </c>
      <c r="L642" s="96">
        <f t="shared" si="246"/>
        <v>0</v>
      </c>
      <c r="M642" s="111">
        <f t="shared" si="246"/>
        <v>0.1</v>
      </c>
      <c r="N642" s="4">
        <f t="shared" si="247"/>
        <v>0</v>
      </c>
      <c r="O642" s="4">
        <f>IF(O$5&lt;$K642,0,$L642-SUM($N548:N548)-O548)</f>
        <v>0</v>
      </c>
      <c r="P642" s="4">
        <f>IF(P$5&lt;$K642,0,$L642-SUM($N548:O548)-P548)</f>
        <v>0</v>
      </c>
      <c r="Q642" s="60"/>
      <c r="R642" s="60"/>
      <c r="S642" s="4">
        <f>IF(S$5&lt;$K642,0,$L642-SUM($N548:R548)-S548)</f>
        <v>0</v>
      </c>
      <c r="T642" s="4">
        <f>IF(T$5&lt;$K642,0,$L642-SUM($N548:S548)-T548)</f>
        <v>0</v>
      </c>
      <c r="U642" s="4">
        <f>IF(U$5&lt;$K642,0,$L642-SUM($N548:T548)-U548)</f>
        <v>0</v>
      </c>
      <c r="V642" s="4">
        <f>IF(V$5&lt;$K642,0,$L642-SUM($N548:U548)-V548)</f>
        <v>0</v>
      </c>
      <c r="W642" s="4">
        <f>IF(W$5&lt;$K642,0,$L642-SUM($N548:V548)-W548)</f>
        <v>0</v>
      </c>
      <c r="X642" s="4">
        <f>IF(X$5&lt;$K642,0,$L642-SUM($N548:W548)-X548)</f>
        <v>0</v>
      </c>
      <c r="Y642" s="4"/>
      <c r="Z642" s="3" t="str">
        <f>VLOOKUP($D642,TableInputsData[],ReadMe!$M$3,FALSE)&amp;"  |  "&amp;VLOOKUP($E642,TableInputsData[],ReadMe!$M$3,FALSE)&amp;"  |  "&amp;VLOOKUP($H642,TableInputsData[],ReadMe!$M$3,FALSE)</f>
        <v>ACTIFS MATERIEL IMMOBILISES  |  VALEUR BILAN FIN D'ANNEE  |  MATERIEL DE PRODUCTION</v>
      </c>
      <c r="AA642" s="3"/>
      <c r="AB642" s="34">
        <f t="shared" si="248"/>
        <v>0</v>
      </c>
      <c r="AC642" s="34"/>
      <c r="AD642" s="34"/>
      <c r="AE642" s="26"/>
      <c r="AF642" s="34">
        <v>1</v>
      </c>
      <c r="AG642" s="34"/>
      <c r="AH642" s="535"/>
      <c r="AI642" s="294"/>
    </row>
    <row r="643" spans="1:35" x14ac:dyDescent="0.2">
      <c r="A643" s="294"/>
      <c r="B643" s="922"/>
      <c r="C643" s="66">
        <v>3</v>
      </c>
      <c r="D643" s="3" t="s">
        <v>762</v>
      </c>
      <c r="E643" s="3" t="s">
        <v>759</v>
      </c>
      <c r="F643" s="3" t="s">
        <v>21</v>
      </c>
      <c r="G643" s="3" t="s">
        <v>819</v>
      </c>
      <c r="H643" s="5" t="s">
        <v>771</v>
      </c>
      <c r="I643" s="5" t="str">
        <f t="shared" si="245"/>
        <v/>
      </c>
      <c r="J643" s="26"/>
      <c r="K643" s="26">
        <f t="shared" si="246"/>
        <v>2025</v>
      </c>
      <c r="L643" s="96">
        <f t="shared" si="246"/>
        <v>0</v>
      </c>
      <c r="M643" s="111">
        <f t="shared" si="246"/>
        <v>0.1</v>
      </c>
      <c r="N643" s="4">
        <f t="shared" si="247"/>
        <v>0</v>
      </c>
      <c r="O643" s="4">
        <f>IF(O$5&lt;$K643,0,$L643-SUM($N549:N549)-O549)</f>
        <v>0</v>
      </c>
      <c r="P643" s="4">
        <f>IF(P$5&lt;$K643,0,$L643-SUM($N549:O549)-P549)</f>
        <v>0</v>
      </c>
      <c r="Q643" s="60"/>
      <c r="R643" s="60"/>
      <c r="S643" s="4">
        <f>IF(S$5&lt;$K643,0,$L643-SUM($N549:R549)-S549)</f>
        <v>0</v>
      </c>
      <c r="T643" s="4">
        <f>IF(T$5&lt;$K643,0,$L643-SUM($N549:S549)-T549)</f>
        <v>0</v>
      </c>
      <c r="U643" s="4">
        <f>IF(U$5&lt;$K643,0,$L643-SUM($N549:T549)-U549)</f>
        <v>0</v>
      </c>
      <c r="V643" s="4">
        <f>IF(V$5&lt;$K643,0,$L643-SUM($N549:U549)-V549)</f>
        <v>0</v>
      </c>
      <c r="W643" s="4">
        <f>IF(W$5&lt;$K643,0,$L643-SUM($N549:V549)-W549)</f>
        <v>0</v>
      </c>
      <c r="X643" s="4">
        <f>IF(X$5&lt;$K643,0,$L643-SUM($N549:W549)-X549)</f>
        <v>0</v>
      </c>
      <c r="Y643" s="4"/>
      <c r="Z643" s="3" t="str">
        <f>VLOOKUP($D643,TableInputsData[],ReadMe!$M$3,FALSE)&amp;"  |  "&amp;VLOOKUP($E643,TableInputsData[],ReadMe!$M$3,FALSE)&amp;"  |  "&amp;VLOOKUP($H643,TableInputsData[],ReadMe!$M$3,FALSE)</f>
        <v>ACTIFS MATERIEL IMMOBILISES  |  VALEUR BILAN FIN D'ANNEE  |  MATERIEL DE PRODUCTION</v>
      </c>
      <c r="AA643" s="3"/>
      <c r="AB643" s="34">
        <f t="shared" si="248"/>
        <v>0</v>
      </c>
      <c r="AC643" s="34"/>
      <c r="AD643" s="34"/>
      <c r="AE643" s="26"/>
      <c r="AF643" s="34">
        <v>1</v>
      </c>
      <c r="AG643" s="34"/>
      <c r="AH643" s="535"/>
      <c r="AI643" s="294"/>
    </row>
    <row r="644" spans="1:35" x14ac:dyDescent="0.2">
      <c r="A644" s="294"/>
      <c r="B644" s="922"/>
      <c r="C644" s="66">
        <v>3</v>
      </c>
      <c r="D644" s="3" t="s">
        <v>762</v>
      </c>
      <c r="E644" s="3" t="s">
        <v>759</v>
      </c>
      <c r="F644" s="3" t="s">
        <v>21</v>
      </c>
      <c r="G644" s="3" t="s">
        <v>820</v>
      </c>
      <c r="H644" s="5" t="s">
        <v>771</v>
      </c>
      <c r="I644" s="5" t="str">
        <f t="shared" si="245"/>
        <v/>
      </c>
      <c r="J644" s="26"/>
      <c r="K644" s="26">
        <f t="shared" si="246"/>
        <v>2026</v>
      </c>
      <c r="L644" s="96">
        <f t="shared" si="246"/>
        <v>0</v>
      </c>
      <c r="M644" s="111">
        <f t="shared" si="246"/>
        <v>0.1</v>
      </c>
      <c r="N644" s="4">
        <f t="shared" si="247"/>
        <v>0</v>
      </c>
      <c r="O644" s="4">
        <f>IF(O$5&lt;$K644,0,$L644-SUM($N550:N550)-O550)</f>
        <v>0</v>
      </c>
      <c r="P644" s="4">
        <f>IF(P$5&lt;$K644,0,$L644-SUM($N550:O550)-P550)</f>
        <v>0</v>
      </c>
      <c r="Q644" s="60"/>
      <c r="R644" s="60"/>
      <c r="S644" s="4">
        <f>IF(S$5&lt;$K644,0,$L644-SUM($N550:R550)-S550)</f>
        <v>0</v>
      </c>
      <c r="T644" s="4">
        <f>IF(T$5&lt;$K644,0,$L644-SUM($N550:S550)-T550)</f>
        <v>0</v>
      </c>
      <c r="U644" s="4">
        <f>IF(U$5&lt;$K644,0,$L644-SUM($N550:T550)-U550)</f>
        <v>0</v>
      </c>
      <c r="V644" s="4">
        <f>IF(V$5&lt;$K644,0,$L644-SUM($N550:U550)-V550)</f>
        <v>0</v>
      </c>
      <c r="W644" s="4">
        <f>IF(W$5&lt;$K644,0,$L644-SUM($N550:V550)-W550)</f>
        <v>0</v>
      </c>
      <c r="X644" s="4">
        <f>IF(X$5&lt;$K644,0,$L644-SUM($N550:W550)-X550)</f>
        <v>0</v>
      </c>
      <c r="Y644" s="4"/>
      <c r="Z644" s="3" t="str">
        <f>VLOOKUP($D644,TableInputsData[],ReadMe!$M$3,FALSE)&amp;"  |  "&amp;VLOOKUP($E644,TableInputsData[],ReadMe!$M$3,FALSE)&amp;"  |  "&amp;VLOOKUP($H644,TableInputsData[],ReadMe!$M$3,FALSE)</f>
        <v>ACTIFS MATERIEL IMMOBILISES  |  VALEUR BILAN FIN D'ANNEE  |  MATERIEL DE PRODUCTION</v>
      </c>
      <c r="AA644" s="3"/>
      <c r="AB644" s="34">
        <f t="shared" si="248"/>
        <v>0</v>
      </c>
      <c r="AC644" s="34"/>
      <c r="AD644" s="34"/>
      <c r="AE644" s="26"/>
      <c r="AF644" s="34">
        <v>1</v>
      </c>
      <c r="AG644" s="34"/>
      <c r="AH644" s="535"/>
      <c r="AI644" s="294"/>
    </row>
    <row r="645" spans="1:35" x14ac:dyDescent="0.2">
      <c r="A645" s="294"/>
      <c r="B645" s="922"/>
      <c r="C645" s="66">
        <v>3</v>
      </c>
      <c r="D645" s="3" t="s">
        <v>762</v>
      </c>
      <c r="E645" s="3" t="s">
        <v>759</v>
      </c>
      <c r="F645" s="3" t="s">
        <v>21</v>
      </c>
      <c r="G645" s="3" t="s">
        <v>821</v>
      </c>
      <c r="H645" s="5" t="s">
        <v>771</v>
      </c>
      <c r="I645" s="5" t="str">
        <f t="shared" si="245"/>
        <v/>
      </c>
      <c r="J645" s="26"/>
      <c r="K645" s="26">
        <f t="shared" si="246"/>
        <v>0</v>
      </c>
      <c r="L645" s="96">
        <f t="shared" si="246"/>
        <v>0</v>
      </c>
      <c r="M645" s="111">
        <f t="shared" si="246"/>
        <v>0</v>
      </c>
      <c r="N645" s="4">
        <f t="shared" si="247"/>
        <v>0</v>
      </c>
      <c r="O645" s="4">
        <f>IF(O$5&lt;$K645,0,$L645-SUM($N551:N551)-O551)</f>
        <v>0</v>
      </c>
      <c r="P645" s="4">
        <f>IF(P$5&lt;$K645,0,$L645-SUM($N551:O551)-P551)</f>
        <v>0</v>
      </c>
      <c r="Q645" s="60"/>
      <c r="R645" s="60"/>
      <c r="S645" s="4">
        <f>IF(S$5&lt;$K645,0,$L645-SUM($N551:R551)-S551)</f>
        <v>0</v>
      </c>
      <c r="T645" s="4">
        <f>IF(T$5&lt;$K645,0,$L645-SUM($N551:S551)-T551)</f>
        <v>0</v>
      </c>
      <c r="U645" s="4">
        <f>IF(U$5&lt;$K645,0,$L645-SUM($N551:T551)-U551)</f>
        <v>0</v>
      </c>
      <c r="V645" s="4">
        <f>IF(V$5&lt;$K645,0,$L645-SUM($N551:U551)-V551)</f>
        <v>0</v>
      </c>
      <c r="W645" s="4">
        <f>IF(W$5&lt;$K645,0,$L645-SUM($N551:V551)-W551)</f>
        <v>0</v>
      </c>
      <c r="X645" s="4">
        <f>IF(X$5&lt;$K645,0,$L645-SUM($N551:W551)-X551)</f>
        <v>0</v>
      </c>
      <c r="Y645" s="4"/>
      <c r="Z645" s="3" t="str">
        <f>VLOOKUP($D645,TableInputsData[],ReadMe!$M$3,FALSE)&amp;"  |  "&amp;VLOOKUP($E645,TableInputsData[],ReadMe!$M$3,FALSE)&amp;"  |  "&amp;VLOOKUP($H645,TableInputsData[],ReadMe!$M$3,FALSE)</f>
        <v>ACTIFS MATERIEL IMMOBILISES  |  VALEUR BILAN FIN D'ANNEE  |  MATERIEL DE PRODUCTION</v>
      </c>
      <c r="AA645" s="3"/>
      <c r="AB645" s="34">
        <f t="shared" si="248"/>
        <v>0</v>
      </c>
      <c r="AC645" s="34"/>
      <c r="AD645" s="34"/>
      <c r="AE645" s="26"/>
      <c r="AF645" s="34">
        <v>1</v>
      </c>
      <c r="AG645" s="34"/>
      <c r="AH645" s="535"/>
      <c r="AI645" s="294"/>
    </row>
    <row r="646" spans="1:35" x14ac:dyDescent="0.2">
      <c r="A646" s="294"/>
      <c r="B646" s="922"/>
      <c r="C646" s="66">
        <v>3</v>
      </c>
      <c r="D646" s="3" t="s">
        <v>762</v>
      </c>
      <c r="E646" s="3" t="s">
        <v>759</v>
      </c>
      <c r="F646" s="3" t="s">
        <v>21</v>
      </c>
      <c r="G646" s="3" t="s">
        <v>822</v>
      </c>
      <c r="H646" s="5" t="s">
        <v>771</v>
      </c>
      <c r="I646" s="5" t="str">
        <f t="shared" si="245"/>
        <v/>
      </c>
      <c r="J646" s="26"/>
      <c r="K646" s="26">
        <f t="shared" si="246"/>
        <v>0</v>
      </c>
      <c r="L646" s="96">
        <f t="shared" si="246"/>
        <v>0</v>
      </c>
      <c r="M646" s="111">
        <f t="shared" si="246"/>
        <v>0</v>
      </c>
      <c r="N646" s="4">
        <f t="shared" si="247"/>
        <v>0</v>
      </c>
      <c r="O646" s="4">
        <f>IF(O$5&lt;$K646,0,$L646-SUM($N552:N552)-O552)</f>
        <v>0</v>
      </c>
      <c r="P646" s="4">
        <f>IF(P$5&lt;$K646,0,$L646-SUM($N552:O552)-P552)</f>
        <v>0</v>
      </c>
      <c r="Q646" s="60"/>
      <c r="R646" s="60"/>
      <c r="S646" s="4">
        <f>IF(S$5&lt;$K646,0,$L646-SUM($N552:R552)-S552)</f>
        <v>0</v>
      </c>
      <c r="T646" s="4">
        <f>IF(T$5&lt;$K646,0,$L646-SUM($N552:S552)-T552)</f>
        <v>0</v>
      </c>
      <c r="U646" s="4">
        <f>IF(U$5&lt;$K646,0,$L646-SUM($N552:T552)-U552)</f>
        <v>0</v>
      </c>
      <c r="V646" s="4">
        <f>IF(V$5&lt;$K646,0,$L646-SUM($N552:U552)-V552)</f>
        <v>0</v>
      </c>
      <c r="W646" s="4">
        <f>IF(W$5&lt;$K646,0,$L646-SUM($N552:V552)-W552)</f>
        <v>0</v>
      </c>
      <c r="X646" s="4">
        <f>IF(X$5&lt;$K646,0,$L646-SUM($N552:W552)-X552)</f>
        <v>0</v>
      </c>
      <c r="Y646" s="4"/>
      <c r="Z646" s="3" t="str">
        <f>VLOOKUP($D646,TableInputsData[],ReadMe!$M$3,FALSE)&amp;"  |  "&amp;VLOOKUP($E646,TableInputsData[],ReadMe!$M$3,FALSE)&amp;"  |  "&amp;VLOOKUP($H646,TableInputsData[],ReadMe!$M$3,FALSE)</f>
        <v>ACTIFS MATERIEL IMMOBILISES  |  VALEUR BILAN FIN D'ANNEE  |  MATERIEL DE PRODUCTION</v>
      </c>
      <c r="AA646" s="3"/>
      <c r="AB646" s="34">
        <f t="shared" si="248"/>
        <v>0</v>
      </c>
      <c r="AC646" s="34"/>
      <c r="AD646" s="34"/>
      <c r="AE646" s="26"/>
      <c r="AF646" s="34">
        <v>1</v>
      </c>
      <c r="AG646" s="34"/>
      <c r="AH646" s="535"/>
      <c r="AI646" s="294"/>
    </row>
    <row r="647" spans="1:35" x14ac:dyDescent="0.2">
      <c r="A647" s="294"/>
      <c r="B647" s="922"/>
      <c r="C647" s="66">
        <v>3</v>
      </c>
      <c r="D647" s="3" t="s">
        <v>762</v>
      </c>
      <c r="E647" s="3" t="s">
        <v>759</v>
      </c>
      <c r="F647" s="3" t="s">
        <v>21</v>
      </c>
      <c r="G647" s="3" t="s">
        <v>823</v>
      </c>
      <c r="H647" s="5" t="s">
        <v>771</v>
      </c>
      <c r="I647" s="5" t="str">
        <f t="shared" si="245"/>
        <v/>
      </c>
      <c r="J647" s="26"/>
      <c r="K647" s="26">
        <f t="shared" si="246"/>
        <v>0</v>
      </c>
      <c r="L647" s="96">
        <f t="shared" si="246"/>
        <v>0</v>
      </c>
      <c r="M647" s="111">
        <f t="shared" si="246"/>
        <v>0</v>
      </c>
      <c r="N647" s="4">
        <f t="shared" si="247"/>
        <v>0</v>
      </c>
      <c r="O647" s="4">
        <f>IF(O$5&lt;$K647,0,$L647-SUM($N553:N553)-O553)</f>
        <v>0</v>
      </c>
      <c r="P647" s="4">
        <f>IF(P$5&lt;$K647,0,$L647-SUM($N553:O553)-P553)</f>
        <v>0</v>
      </c>
      <c r="Q647" s="60"/>
      <c r="R647" s="60"/>
      <c r="S647" s="4">
        <f>IF(S$5&lt;$K647,0,$L647-SUM($N553:R553)-S553)</f>
        <v>0</v>
      </c>
      <c r="T647" s="4">
        <f>IF(T$5&lt;$K647,0,$L647-SUM($N553:S553)-T553)</f>
        <v>0</v>
      </c>
      <c r="U647" s="4">
        <f>IF(U$5&lt;$K647,0,$L647-SUM($N553:T553)-U553)</f>
        <v>0</v>
      </c>
      <c r="V647" s="4">
        <f>IF(V$5&lt;$K647,0,$L647-SUM($N553:U553)-V553)</f>
        <v>0</v>
      </c>
      <c r="W647" s="4">
        <f>IF(W$5&lt;$K647,0,$L647-SUM($N553:V553)-W553)</f>
        <v>0</v>
      </c>
      <c r="X647" s="4">
        <f>IF(X$5&lt;$K647,0,$L647-SUM($N553:W553)-X553)</f>
        <v>0</v>
      </c>
      <c r="Y647" s="4"/>
      <c r="Z647" s="3" t="str">
        <f>VLOOKUP($D647,TableInputsData[],ReadMe!$M$3,FALSE)&amp;"  |  "&amp;VLOOKUP($E647,TableInputsData[],ReadMe!$M$3,FALSE)&amp;"  |  "&amp;VLOOKUP($H647,TableInputsData[],ReadMe!$M$3,FALSE)</f>
        <v>ACTIFS MATERIEL IMMOBILISES  |  VALEUR BILAN FIN D'ANNEE  |  MATERIEL DE PRODUCTION</v>
      </c>
      <c r="AA647" s="3"/>
      <c r="AB647" s="34">
        <f t="shared" si="248"/>
        <v>0</v>
      </c>
      <c r="AC647" s="34"/>
      <c r="AD647" s="34"/>
      <c r="AE647" s="26"/>
      <c r="AF647" s="34">
        <v>1</v>
      </c>
      <c r="AG647" s="34"/>
      <c r="AH647" s="535"/>
      <c r="AI647" s="294"/>
    </row>
    <row r="648" spans="1:35" x14ac:dyDescent="0.2">
      <c r="A648" s="294"/>
      <c r="B648" s="922"/>
      <c r="C648" s="67">
        <v>3</v>
      </c>
      <c r="D648" s="16" t="s">
        <v>762</v>
      </c>
      <c r="E648" s="16" t="s">
        <v>759</v>
      </c>
      <c r="F648" s="16" t="s">
        <v>21</v>
      </c>
      <c r="G648" s="16" t="s">
        <v>845</v>
      </c>
      <c r="H648" s="17" t="s">
        <v>1167</v>
      </c>
      <c r="I648" s="17"/>
      <c r="J648" s="27"/>
      <c r="K648" s="27"/>
      <c r="L648" s="18">
        <f>SUM(L638:L647)</f>
        <v>0</v>
      </c>
      <c r="M648" s="112"/>
      <c r="N648" s="18">
        <f>SUM(N638:N647)</f>
        <v>0</v>
      </c>
      <c r="O648" s="18">
        <f>SUM(O638:O647)</f>
        <v>0</v>
      </c>
      <c r="P648" s="18">
        <f>SUM(P638:P647)</f>
        <v>0</v>
      </c>
      <c r="Q648" s="18"/>
      <c r="R648" s="18"/>
      <c r="S648" s="18">
        <f t="shared" ref="S648:X648" si="249">SUM(S638:S647)</f>
        <v>0</v>
      </c>
      <c r="T648" s="18">
        <f t="shared" si="249"/>
        <v>0</v>
      </c>
      <c r="U648" s="18">
        <f t="shared" si="249"/>
        <v>0</v>
      </c>
      <c r="V648" s="18">
        <f t="shared" si="249"/>
        <v>0</v>
      </c>
      <c r="W648" s="18">
        <f t="shared" si="249"/>
        <v>0</v>
      </c>
      <c r="X648" s="18">
        <f t="shared" si="249"/>
        <v>0</v>
      </c>
      <c r="Y648" s="18"/>
      <c r="Z648" s="16" t="str">
        <f>VLOOKUP($D648,TableInputsData[],ReadMe!$M$3,FALSE)&amp;"  |  "&amp;VLOOKUP($E648,TableInputsData[],ReadMe!$M$3,FALSE)&amp;"  |  "&amp;VLOOKUP($H648,TableInputsData[],ReadMe!$M$3,FALSE)</f>
        <v>ACTIFS MATERIEL IMMOBILISES  |  VALEUR BILAN FIN D'ANNEE  |  TOTAL MATERIEL DE PRODUCTION</v>
      </c>
      <c r="AA648" s="16"/>
      <c r="AB648" s="27">
        <v>1</v>
      </c>
      <c r="AC648" s="27">
        <v>1</v>
      </c>
      <c r="AD648" s="27"/>
      <c r="AE648" s="27"/>
      <c r="AF648" s="27">
        <v>1</v>
      </c>
      <c r="AG648" s="27"/>
      <c r="AH648" s="533"/>
      <c r="AI648" s="294"/>
    </row>
    <row r="649" spans="1:35" x14ac:dyDescent="0.2">
      <c r="A649" s="294"/>
      <c r="B649" s="922"/>
      <c r="C649" s="66">
        <v>3</v>
      </c>
      <c r="D649" s="3"/>
      <c r="E649" s="3"/>
      <c r="F649" s="3"/>
      <c r="G649" s="3"/>
      <c r="H649" s="5"/>
      <c r="I649" s="5"/>
      <c r="J649" s="26"/>
      <c r="K649" s="26"/>
      <c r="L649" s="96"/>
      <c r="M649" s="118"/>
      <c r="N649" s="4"/>
      <c r="O649" s="4"/>
      <c r="P649" s="4"/>
      <c r="Q649" s="4"/>
      <c r="R649" s="4"/>
      <c r="S649" s="4"/>
      <c r="T649" s="4"/>
      <c r="U649" s="4"/>
      <c r="V649" s="4"/>
      <c r="W649" s="4"/>
      <c r="X649" s="4"/>
      <c r="Y649" s="4"/>
      <c r="Z649" s="3"/>
      <c r="AA649" s="3"/>
      <c r="AB649" s="34"/>
      <c r="AC649" s="34"/>
      <c r="AD649" s="34"/>
      <c r="AE649" s="26"/>
      <c r="AF649" s="34"/>
      <c r="AG649" s="34"/>
      <c r="AH649" s="535"/>
      <c r="AI649" s="294"/>
    </row>
    <row r="650" spans="1:35" x14ac:dyDescent="0.2">
      <c r="A650" s="294"/>
      <c r="B650" s="922"/>
      <c r="C650" s="66">
        <v>3</v>
      </c>
      <c r="D650" s="3" t="s">
        <v>762</v>
      </c>
      <c r="E650" s="3" t="s">
        <v>759</v>
      </c>
      <c r="F650" s="3" t="s">
        <v>21</v>
      </c>
      <c r="G650" s="3" t="s">
        <v>824</v>
      </c>
      <c r="H650" s="3" t="s">
        <v>773</v>
      </c>
      <c r="I650" s="5" t="str">
        <f t="shared" ref="I650:I669" si="250">IF(I556="","",I556)</f>
        <v/>
      </c>
      <c r="J650" s="26"/>
      <c r="K650" s="26">
        <f t="shared" ref="K650:M669" si="251">IF(K556="",0,K556)</f>
        <v>2020</v>
      </c>
      <c r="L650" s="96">
        <f t="shared" si="251"/>
        <v>0</v>
      </c>
      <c r="M650" s="111">
        <f t="shared" si="251"/>
        <v>0.1</v>
      </c>
      <c r="N650" s="4">
        <f t="shared" ref="N650:N669" si="252">IF(N556="","",N556)</f>
        <v>0</v>
      </c>
      <c r="O650" s="4">
        <f>IF(O$5&lt;$K650,0,$L650-SUM($N556:N556)-O556)</f>
        <v>0</v>
      </c>
      <c r="P650" s="4">
        <f>IF(P$5&lt;$K650,0,$L650-SUM($N556:O556)-P556)</f>
        <v>0</v>
      </c>
      <c r="Q650" s="60"/>
      <c r="R650" s="60"/>
      <c r="S650" s="4">
        <f>IF(S$5&lt;$K650,0,$L650-SUM($N556:R556)-S556)</f>
        <v>0</v>
      </c>
      <c r="T650" s="4">
        <f>IF(T$5&lt;$K650,0,$L650-SUM($N556:S556)-T556)</f>
        <v>0</v>
      </c>
      <c r="U650" s="4">
        <f>IF(U$5&lt;$K650,0,$L650-SUM($N556:T556)-U556)</f>
        <v>0</v>
      </c>
      <c r="V650" s="4">
        <f>IF(V$5&lt;$K650,0,$L650-SUM($N556:U556)-V556)</f>
        <v>0</v>
      </c>
      <c r="W650" s="4">
        <f>IF(W$5&lt;$K650,0,$L650-SUM($N556:V556)-W556)</f>
        <v>0</v>
      </c>
      <c r="X650" s="4">
        <f>IF(X$5&lt;$K650,0,$L650-SUM($N556:W556)-X556)</f>
        <v>0</v>
      </c>
      <c r="Y650" s="4"/>
      <c r="Z650" s="3" t="str">
        <f>VLOOKUP($D650,TableInputsData[],ReadMe!$M$3,FALSE)&amp;"  |  "&amp;VLOOKUP($E650,TableInputsData[],ReadMe!$M$3,FALSE)&amp;"  |  "&amp;VLOOKUP($H650,TableInputsData[],ReadMe!$M$3,FALSE)</f>
        <v>ACTIFS MATERIEL IMMOBILISES  |  VALEUR BILAN FIN D'ANNEE  |  AUTRES ACTIFS</v>
      </c>
      <c r="AA650" s="3"/>
      <c r="AB650" s="34">
        <f t="shared" ref="AB650:AB669" si="253">IF(L650+SUM(O650:X650)=0,0,1)</f>
        <v>0</v>
      </c>
      <c r="AC650" s="34"/>
      <c r="AD650" s="34"/>
      <c r="AE650" s="26"/>
      <c r="AF650" s="34">
        <v>1</v>
      </c>
      <c r="AG650" s="34"/>
      <c r="AH650" s="535"/>
      <c r="AI650" s="294"/>
    </row>
    <row r="651" spans="1:35" x14ac:dyDescent="0.2">
      <c r="A651" s="294"/>
      <c r="B651" s="922"/>
      <c r="C651" s="66">
        <v>3</v>
      </c>
      <c r="D651" s="3" t="s">
        <v>762</v>
      </c>
      <c r="E651" s="3" t="s">
        <v>759</v>
      </c>
      <c r="F651" s="3" t="s">
        <v>21</v>
      </c>
      <c r="G651" s="3" t="s">
        <v>825</v>
      </c>
      <c r="H651" s="3" t="s">
        <v>773</v>
      </c>
      <c r="I651" s="5" t="str">
        <f t="shared" si="250"/>
        <v/>
      </c>
      <c r="J651" s="26"/>
      <c r="K651" s="26">
        <f t="shared" si="251"/>
        <v>2021</v>
      </c>
      <c r="L651" s="96">
        <f t="shared" si="251"/>
        <v>0</v>
      </c>
      <c r="M651" s="111">
        <f t="shared" si="251"/>
        <v>0.1</v>
      </c>
      <c r="N651" s="4">
        <f t="shared" si="252"/>
        <v>0</v>
      </c>
      <c r="O651" s="4">
        <f>IF(O$5&lt;$K651,0,$L651-SUM($N557:N557)-O557)</f>
        <v>0</v>
      </c>
      <c r="P651" s="4">
        <f>IF(P$5&lt;$K651,0,$L651-SUM($N557:O557)-P557)</f>
        <v>0</v>
      </c>
      <c r="Q651" s="60"/>
      <c r="R651" s="60"/>
      <c r="S651" s="4">
        <f>IF(S$5&lt;$K651,0,$L651-SUM($N557:R557)-S557)</f>
        <v>0</v>
      </c>
      <c r="T651" s="4">
        <f>IF(T$5&lt;$K651,0,$L651-SUM($N557:S557)-T557)</f>
        <v>0</v>
      </c>
      <c r="U651" s="4">
        <f>IF(U$5&lt;$K651,0,$L651-SUM($N557:T557)-U557)</f>
        <v>0</v>
      </c>
      <c r="V651" s="4">
        <f>IF(V$5&lt;$K651,0,$L651-SUM($N557:U557)-V557)</f>
        <v>0</v>
      </c>
      <c r="W651" s="4">
        <f>IF(W$5&lt;$K651,0,$L651-SUM($N557:V557)-W557)</f>
        <v>0</v>
      </c>
      <c r="X651" s="4">
        <f>IF(X$5&lt;$K651,0,$L651-SUM($N557:W557)-X557)</f>
        <v>0</v>
      </c>
      <c r="Y651" s="4"/>
      <c r="Z651" s="3" t="str">
        <f>VLOOKUP($D651,TableInputsData[],ReadMe!$M$3,FALSE)&amp;"  |  "&amp;VLOOKUP($E651,TableInputsData[],ReadMe!$M$3,FALSE)&amp;"  |  "&amp;VLOOKUP($H651,TableInputsData[],ReadMe!$M$3,FALSE)</f>
        <v>ACTIFS MATERIEL IMMOBILISES  |  VALEUR BILAN FIN D'ANNEE  |  AUTRES ACTIFS</v>
      </c>
      <c r="AA651" s="3"/>
      <c r="AB651" s="34">
        <f t="shared" si="253"/>
        <v>0</v>
      </c>
      <c r="AC651" s="34"/>
      <c r="AD651" s="34"/>
      <c r="AE651" s="26"/>
      <c r="AF651" s="34">
        <v>1</v>
      </c>
      <c r="AG651" s="34"/>
      <c r="AH651" s="535"/>
      <c r="AI651" s="294"/>
    </row>
    <row r="652" spans="1:35" x14ac:dyDescent="0.2">
      <c r="A652" s="294"/>
      <c r="B652" s="922"/>
      <c r="C652" s="66">
        <v>3</v>
      </c>
      <c r="D652" s="3" t="s">
        <v>762</v>
      </c>
      <c r="E652" s="3" t="s">
        <v>759</v>
      </c>
      <c r="F652" s="3" t="s">
        <v>21</v>
      </c>
      <c r="G652" s="3" t="s">
        <v>826</v>
      </c>
      <c r="H652" s="3" t="s">
        <v>773</v>
      </c>
      <c r="I652" s="5" t="str">
        <f t="shared" si="250"/>
        <v/>
      </c>
      <c r="J652" s="26"/>
      <c r="K652" s="26">
        <f t="shared" si="251"/>
        <v>2022</v>
      </c>
      <c r="L652" s="96">
        <f t="shared" si="251"/>
        <v>0</v>
      </c>
      <c r="M652" s="111">
        <f t="shared" si="251"/>
        <v>0.1</v>
      </c>
      <c r="N652" s="4">
        <f t="shared" si="252"/>
        <v>0</v>
      </c>
      <c r="O652" s="4">
        <f>IF(O$5&lt;$K652,0,$L652-SUM($N558:N558)-O558)</f>
        <v>0</v>
      </c>
      <c r="P652" s="4">
        <f>IF(P$5&lt;$K652,0,$L652-SUM($N558:O558)-P558)</f>
        <v>0</v>
      </c>
      <c r="Q652" s="60"/>
      <c r="R652" s="60"/>
      <c r="S652" s="4">
        <f>IF(S$5&lt;$K652,0,$L652-SUM($N558:R558)-S558)</f>
        <v>0</v>
      </c>
      <c r="T652" s="4">
        <f>IF(T$5&lt;$K652,0,$L652-SUM($N558:S558)-T558)</f>
        <v>0</v>
      </c>
      <c r="U652" s="4">
        <f>IF(U$5&lt;$K652,0,$L652-SUM($N558:T558)-U558)</f>
        <v>0</v>
      </c>
      <c r="V652" s="4">
        <f>IF(V$5&lt;$K652,0,$L652-SUM($N558:U558)-V558)</f>
        <v>0</v>
      </c>
      <c r="W652" s="4">
        <f>IF(W$5&lt;$K652,0,$L652-SUM($N558:V558)-W558)</f>
        <v>0</v>
      </c>
      <c r="X652" s="4">
        <f>IF(X$5&lt;$K652,0,$L652-SUM($N558:W558)-X558)</f>
        <v>0</v>
      </c>
      <c r="Y652" s="4"/>
      <c r="Z652" s="3" t="str">
        <f>VLOOKUP($D652,TableInputsData[],ReadMe!$M$3,FALSE)&amp;"  |  "&amp;VLOOKUP($E652,TableInputsData[],ReadMe!$M$3,FALSE)&amp;"  |  "&amp;VLOOKUP($H652,TableInputsData[],ReadMe!$M$3,FALSE)</f>
        <v>ACTIFS MATERIEL IMMOBILISES  |  VALEUR BILAN FIN D'ANNEE  |  AUTRES ACTIFS</v>
      </c>
      <c r="AA652" s="3"/>
      <c r="AB652" s="34">
        <f t="shared" si="253"/>
        <v>0</v>
      </c>
      <c r="AC652" s="34"/>
      <c r="AD652" s="34"/>
      <c r="AE652" s="26"/>
      <c r="AF652" s="34">
        <v>1</v>
      </c>
      <c r="AG652" s="34"/>
      <c r="AH652" s="535"/>
      <c r="AI652" s="294"/>
    </row>
    <row r="653" spans="1:35" x14ac:dyDescent="0.2">
      <c r="A653" s="294"/>
      <c r="B653" s="922"/>
      <c r="C653" s="66">
        <v>3</v>
      </c>
      <c r="D653" s="3" t="s">
        <v>762</v>
      </c>
      <c r="E653" s="3" t="s">
        <v>759</v>
      </c>
      <c r="F653" s="3" t="s">
        <v>21</v>
      </c>
      <c r="G653" s="3" t="s">
        <v>827</v>
      </c>
      <c r="H653" s="3" t="s">
        <v>773</v>
      </c>
      <c r="I653" s="5" t="str">
        <f t="shared" si="250"/>
        <v/>
      </c>
      <c r="J653" s="26"/>
      <c r="K653" s="26">
        <f t="shared" si="251"/>
        <v>2023</v>
      </c>
      <c r="L653" s="96">
        <f t="shared" si="251"/>
        <v>0</v>
      </c>
      <c r="M653" s="111">
        <f t="shared" si="251"/>
        <v>0.1</v>
      </c>
      <c r="N653" s="4">
        <f t="shared" si="252"/>
        <v>0</v>
      </c>
      <c r="O653" s="4">
        <f>IF(O$5&lt;$K653,0,$L653-SUM($N559:N559)-O559)</f>
        <v>0</v>
      </c>
      <c r="P653" s="4">
        <f>IF(P$5&lt;$K653,0,$L653-SUM($N559:O559)-P559)</f>
        <v>0</v>
      </c>
      <c r="Q653" s="60"/>
      <c r="R653" s="60"/>
      <c r="S653" s="4">
        <f>IF(S$5&lt;$K653,0,$L653-SUM($N559:R559)-S559)</f>
        <v>0</v>
      </c>
      <c r="T653" s="4">
        <f>IF(T$5&lt;$K653,0,$L653-SUM($N559:S559)-T559)</f>
        <v>0</v>
      </c>
      <c r="U653" s="4">
        <f>IF(U$5&lt;$K653,0,$L653-SUM($N559:T559)-U559)</f>
        <v>0</v>
      </c>
      <c r="V653" s="4">
        <f>IF(V$5&lt;$K653,0,$L653-SUM($N559:U559)-V559)</f>
        <v>0</v>
      </c>
      <c r="W653" s="4">
        <f>IF(W$5&lt;$K653,0,$L653-SUM($N559:V559)-W559)</f>
        <v>0</v>
      </c>
      <c r="X653" s="4">
        <f>IF(X$5&lt;$K653,0,$L653-SUM($N559:W559)-X559)</f>
        <v>0</v>
      </c>
      <c r="Y653" s="4"/>
      <c r="Z653" s="3" t="str">
        <f>VLOOKUP($D653,TableInputsData[],ReadMe!$M$3,FALSE)&amp;"  |  "&amp;VLOOKUP($E653,TableInputsData[],ReadMe!$M$3,FALSE)&amp;"  |  "&amp;VLOOKUP($H653,TableInputsData[],ReadMe!$M$3,FALSE)</f>
        <v>ACTIFS MATERIEL IMMOBILISES  |  VALEUR BILAN FIN D'ANNEE  |  AUTRES ACTIFS</v>
      </c>
      <c r="AA653" s="3"/>
      <c r="AB653" s="34">
        <f t="shared" si="253"/>
        <v>0</v>
      </c>
      <c r="AC653" s="34"/>
      <c r="AD653" s="34"/>
      <c r="AE653" s="26"/>
      <c r="AF653" s="34">
        <v>1</v>
      </c>
      <c r="AG653" s="34"/>
      <c r="AH653" s="535"/>
      <c r="AI653" s="294"/>
    </row>
    <row r="654" spans="1:35" x14ac:dyDescent="0.2">
      <c r="A654" s="294"/>
      <c r="B654" s="922"/>
      <c r="C654" s="66">
        <v>3</v>
      </c>
      <c r="D654" s="3" t="s">
        <v>762</v>
      </c>
      <c r="E654" s="3" t="s">
        <v>759</v>
      </c>
      <c r="F654" s="3" t="s">
        <v>21</v>
      </c>
      <c r="G654" s="3" t="s">
        <v>828</v>
      </c>
      <c r="H654" s="3" t="s">
        <v>773</v>
      </c>
      <c r="I654" s="5" t="str">
        <f t="shared" si="250"/>
        <v/>
      </c>
      <c r="J654" s="26"/>
      <c r="K654" s="26">
        <f t="shared" si="251"/>
        <v>2024</v>
      </c>
      <c r="L654" s="96">
        <f t="shared" si="251"/>
        <v>0</v>
      </c>
      <c r="M654" s="111">
        <f t="shared" si="251"/>
        <v>0.1</v>
      </c>
      <c r="N654" s="4">
        <f t="shared" si="252"/>
        <v>0</v>
      </c>
      <c r="O654" s="4">
        <f>IF(O$5&lt;$K654,0,$L654-SUM($N560:N560)-O560)</f>
        <v>0</v>
      </c>
      <c r="P654" s="4">
        <f>IF(P$5&lt;$K654,0,$L654-SUM($N560:O560)-P560)</f>
        <v>0</v>
      </c>
      <c r="Q654" s="60"/>
      <c r="R654" s="60"/>
      <c r="S654" s="4">
        <f>IF(S$5&lt;$K654,0,$L654-SUM($N560:R560)-S560)</f>
        <v>0</v>
      </c>
      <c r="T654" s="4">
        <f>IF(T$5&lt;$K654,0,$L654-SUM($N560:S560)-T560)</f>
        <v>0</v>
      </c>
      <c r="U654" s="4">
        <f>IF(U$5&lt;$K654,0,$L654-SUM($N560:T560)-U560)</f>
        <v>0</v>
      </c>
      <c r="V654" s="4">
        <f>IF(V$5&lt;$K654,0,$L654-SUM($N560:U560)-V560)</f>
        <v>0</v>
      </c>
      <c r="W654" s="4">
        <f>IF(W$5&lt;$K654,0,$L654-SUM($N560:V560)-W560)</f>
        <v>0</v>
      </c>
      <c r="X654" s="4">
        <f>IF(X$5&lt;$K654,0,$L654-SUM($N560:W560)-X560)</f>
        <v>0</v>
      </c>
      <c r="Y654" s="4"/>
      <c r="Z654" s="3" t="str">
        <f>VLOOKUP($D654,TableInputsData[],ReadMe!$M$3,FALSE)&amp;"  |  "&amp;VLOOKUP($E654,TableInputsData[],ReadMe!$M$3,FALSE)&amp;"  |  "&amp;VLOOKUP($H654,TableInputsData[],ReadMe!$M$3,FALSE)</f>
        <v>ACTIFS MATERIEL IMMOBILISES  |  VALEUR BILAN FIN D'ANNEE  |  AUTRES ACTIFS</v>
      </c>
      <c r="AA654" s="3"/>
      <c r="AB654" s="34">
        <f t="shared" si="253"/>
        <v>0</v>
      </c>
      <c r="AC654" s="34"/>
      <c r="AD654" s="34"/>
      <c r="AE654" s="26"/>
      <c r="AF654" s="34">
        <v>1</v>
      </c>
      <c r="AG654" s="34"/>
      <c r="AH654" s="535"/>
      <c r="AI654" s="294"/>
    </row>
    <row r="655" spans="1:35" x14ac:dyDescent="0.2">
      <c r="A655" s="294"/>
      <c r="B655" s="922"/>
      <c r="C655" s="66">
        <v>3</v>
      </c>
      <c r="D655" s="3" t="s">
        <v>762</v>
      </c>
      <c r="E655" s="3" t="s">
        <v>759</v>
      </c>
      <c r="F655" s="3" t="s">
        <v>21</v>
      </c>
      <c r="G655" s="3" t="s">
        <v>829</v>
      </c>
      <c r="H655" s="3" t="s">
        <v>773</v>
      </c>
      <c r="I655" s="5" t="str">
        <f t="shared" si="250"/>
        <v/>
      </c>
      <c r="J655" s="26"/>
      <c r="K655" s="26">
        <f t="shared" si="251"/>
        <v>2025</v>
      </c>
      <c r="L655" s="96">
        <f t="shared" si="251"/>
        <v>0</v>
      </c>
      <c r="M655" s="111">
        <f t="shared" si="251"/>
        <v>0.1</v>
      </c>
      <c r="N655" s="4">
        <f t="shared" si="252"/>
        <v>0</v>
      </c>
      <c r="O655" s="4">
        <f>IF(O$5&lt;$K655,0,$L655-SUM($N561:N561)-O561)</f>
        <v>0</v>
      </c>
      <c r="P655" s="4">
        <f>IF(P$5&lt;$K655,0,$L655-SUM($N561:O561)-P561)</f>
        <v>0</v>
      </c>
      <c r="Q655" s="60"/>
      <c r="R655" s="60"/>
      <c r="S655" s="4">
        <f>IF(S$5&lt;$K655,0,$L655-SUM($N561:R561)-S561)</f>
        <v>0</v>
      </c>
      <c r="T655" s="4">
        <f>IF(T$5&lt;$K655,0,$L655-SUM($N561:S561)-T561)</f>
        <v>0</v>
      </c>
      <c r="U655" s="4">
        <f>IF(U$5&lt;$K655,0,$L655-SUM($N561:T561)-U561)</f>
        <v>0</v>
      </c>
      <c r="V655" s="4">
        <f>IF(V$5&lt;$K655,0,$L655-SUM($N561:U561)-V561)</f>
        <v>0</v>
      </c>
      <c r="W655" s="4">
        <f>IF(W$5&lt;$K655,0,$L655-SUM($N561:V561)-W561)</f>
        <v>0</v>
      </c>
      <c r="X655" s="4">
        <f>IF(X$5&lt;$K655,0,$L655-SUM($N561:W561)-X561)</f>
        <v>0</v>
      </c>
      <c r="Y655" s="4"/>
      <c r="Z655" s="3" t="str">
        <f>VLOOKUP($D655,TableInputsData[],ReadMe!$M$3,FALSE)&amp;"  |  "&amp;VLOOKUP($E655,TableInputsData[],ReadMe!$M$3,FALSE)&amp;"  |  "&amp;VLOOKUP($H655,TableInputsData[],ReadMe!$M$3,FALSE)</f>
        <v>ACTIFS MATERIEL IMMOBILISES  |  VALEUR BILAN FIN D'ANNEE  |  AUTRES ACTIFS</v>
      </c>
      <c r="AA655" s="3"/>
      <c r="AB655" s="34">
        <f t="shared" si="253"/>
        <v>0</v>
      </c>
      <c r="AC655" s="34"/>
      <c r="AD655" s="34"/>
      <c r="AE655" s="26"/>
      <c r="AF655" s="34">
        <v>1</v>
      </c>
      <c r="AG655" s="34"/>
      <c r="AH655" s="535"/>
      <c r="AI655" s="294"/>
    </row>
    <row r="656" spans="1:35" x14ac:dyDescent="0.2">
      <c r="A656" s="294"/>
      <c r="B656" s="922"/>
      <c r="C656" s="66">
        <v>3</v>
      </c>
      <c r="D656" s="3" t="s">
        <v>762</v>
      </c>
      <c r="E656" s="3" t="s">
        <v>759</v>
      </c>
      <c r="F656" s="3" t="s">
        <v>21</v>
      </c>
      <c r="G656" s="3" t="s">
        <v>830</v>
      </c>
      <c r="H656" s="3" t="s">
        <v>773</v>
      </c>
      <c r="I656" s="5" t="str">
        <f t="shared" si="250"/>
        <v/>
      </c>
      <c r="J656" s="26"/>
      <c r="K656" s="26">
        <f t="shared" si="251"/>
        <v>2026</v>
      </c>
      <c r="L656" s="96">
        <f t="shared" si="251"/>
        <v>0</v>
      </c>
      <c r="M656" s="111">
        <f t="shared" si="251"/>
        <v>0.1</v>
      </c>
      <c r="N656" s="4">
        <f t="shared" si="252"/>
        <v>0</v>
      </c>
      <c r="O656" s="4">
        <f>IF(O$5&lt;$K656,0,$L656-SUM($N562:N562)-O562)</f>
        <v>0</v>
      </c>
      <c r="P656" s="4">
        <f>IF(P$5&lt;$K656,0,$L656-SUM($N562:O562)-P562)</f>
        <v>0</v>
      </c>
      <c r="Q656" s="60"/>
      <c r="R656" s="60"/>
      <c r="S656" s="4">
        <f>IF(S$5&lt;$K656,0,$L656-SUM($N562:R562)-S562)</f>
        <v>0</v>
      </c>
      <c r="T656" s="4">
        <f>IF(T$5&lt;$K656,0,$L656-SUM($N562:S562)-T562)</f>
        <v>0</v>
      </c>
      <c r="U656" s="4">
        <f>IF(U$5&lt;$K656,0,$L656-SUM($N562:T562)-U562)</f>
        <v>0</v>
      </c>
      <c r="V656" s="4">
        <f>IF(V$5&lt;$K656,0,$L656-SUM($N562:U562)-V562)</f>
        <v>0</v>
      </c>
      <c r="W656" s="4">
        <f>IF(W$5&lt;$K656,0,$L656-SUM($N562:V562)-W562)</f>
        <v>0</v>
      </c>
      <c r="X656" s="4">
        <f>IF(X$5&lt;$K656,0,$L656-SUM($N562:W562)-X562)</f>
        <v>0</v>
      </c>
      <c r="Y656" s="4"/>
      <c r="Z656" s="3" t="str">
        <f>VLOOKUP($D656,TableInputsData[],ReadMe!$M$3,FALSE)&amp;"  |  "&amp;VLOOKUP($E656,TableInputsData[],ReadMe!$M$3,FALSE)&amp;"  |  "&amp;VLOOKUP($H656,TableInputsData[],ReadMe!$M$3,FALSE)</f>
        <v>ACTIFS MATERIEL IMMOBILISES  |  VALEUR BILAN FIN D'ANNEE  |  AUTRES ACTIFS</v>
      </c>
      <c r="AA656" s="3"/>
      <c r="AB656" s="34">
        <f t="shared" si="253"/>
        <v>0</v>
      </c>
      <c r="AC656" s="34"/>
      <c r="AD656" s="34"/>
      <c r="AE656" s="26"/>
      <c r="AF656" s="34">
        <v>1</v>
      </c>
      <c r="AG656" s="34"/>
      <c r="AH656" s="535"/>
      <c r="AI656" s="294"/>
    </row>
    <row r="657" spans="1:35" x14ac:dyDescent="0.2">
      <c r="A657" s="294"/>
      <c r="B657" s="922"/>
      <c r="C657" s="66">
        <v>3</v>
      </c>
      <c r="D657" s="3" t="s">
        <v>762</v>
      </c>
      <c r="E657" s="3" t="s">
        <v>759</v>
      </c>
      <c r="F657" s="3" t="s">
        <v>21</v>
      </c>
      <c r="G657" s="3" t="s">
        <v>831</v>
      </c>
      <c r="H657" s="3" t="s">
        <v>773</v>
      </c>
      <c r="I657" s="5" t="str">
        <f t="shared" si="250"/>
        <v/>
      </c>
      <c r="J657" s="26"/>
      <c r="K657" s="26">
        <f t="shared" si="251"/>
        <v>0</v>
      </c>
      <c r="L657" s="96">
        <f t="shared" si="251"/>
        <v>0</v>
      </c>
      <c r="M657" s="111">
        <f t="shared" si="251"/>
        <v>0</v>
      </c>
      <c r="N657" s="4">
        <f t="shared" si="252"/>
        <v>0</v>
      </c>
      <c r="O657" s="4">
        <f>IF(O$5&lt;$K657,0,$L657-SUM($N563:N563)-O563)</f>
        <v>0</v>
      </c>
      <c r="P657" s="4">
        <f>IF(P$5&lt;$K657,0,$L657-SUM($N563:O563)-P563)</f>
        <v>0</v>
      </c>
      <c r="Q657" s="60"/>
      <c r="R657" s="60"/>
      <c r="S657" s="4">
        <f>IF(S$5&lt;$K657,0,$L657-SUM($N563:R563)-S563)</f>
        <v>0</v>
      </c>
      <c r="T657" s="4">
        <f>IF(T$5&lt;$K657,0,$L657-SUM($N563:S563)-T563)</f>
        <v>0</v>
      </c>
      <c r="U657" s="4">
        <f>IF(U$5&lt;$K657,0,$L657-SUM($N563:T563)-U563)</f>
        <v>0</v>
      </c>
      <c r="V657" s="4">
        <f>IF(V$5&lt;$K657,0,$L657-SUM($N563:U563)-V563)</f>
        <v>0</v>
      </c>
      <c r="W657" s="4">
        <f>IF(W$5&lt;$K657,0,$L657-SUM($N563:V563)-W563)</f>
        <v>0</v>
      </c>
      <c r="X657" s="4">
        <f>IF(X$5&lt;$K657,0,$L657-SUM($N563:W563)-X563)</f>
        <v>0</v>
      </c>
      <c r="Y657" s="4"/>
      <c r="Z657" s="3" t="str">
        <f>VLOOKUP($D657,TableInputsData[],ReadMe!$M$3,FALSE)&amp;"  |  "&amp;VLOOKUP($E657,TableInputsData[],ReadMe!$M$3,FALSE)&amp;"  |  "&amp;VLOOKUP($H657,TableInputsData[],ReadMe!$M$3,FALSE)</f>
        <v>ACTIFS MATERIEL IMMOBILISES  |  VALEUR BILAN FIN D'ANNEE  |  AUTRES ACTIFS</v>
      </c>
      <c r="AA657" s="3"/>
      <c r="AB657" s="34">
        <f t="shared" si="253"/>
        <v>0</v>
      </c>
      <c r="AC657" s="34"/>
      <c r="AD657" s="34"/>
      <c r="AE657" s="26"/>
      <c r="AF657" s="34">
        <v>1</v>
      </c>
      <c r="AG657" s="34"/>
      <c r="AH657" s="535"/>
      <c r="AI657" s="294"/>
    </row>
    <row r="658" spans="1:35" x14ac:dyDescent="0.2">
      <c r="A658" s="294"/>
      <c r="B658" s="922"/>
      <c r="C658" s="66">
        <v>3</v>
      </c>
      <c r="D658" s="3" t="s">
        <v>762</v>
      </c>
      <c r="E658" s="3" t="s">
        <v>759</v>
      </c>
      <c r="F658" s="3" t="s">
        <v>21</v>
      </c>
      <c r="G658" s="3" t="s">
        <v>832</v>
      </c>
      <c r="H658" s="3" t="s">
        <v>773</v>
      </c>
      <c r="I658" s="5" t="str">
        <f t="shared" si="250"/>
        <v/>
      </c>
      <c r="J658" s="26"/>
      <c r="K658" s="26">
        <f t="shared" si="251"/>
        <v>0</v>
      </c>
      <c r="L658" s="96">
        <f t="shared" si="251"/>
        <v>0</v>
      </c>
      <c r="M658" s="111">
        <f t="shared" si="251"/>
        <v>0</v>
      </c>
      <c r="N658" s="4">
        <f t="shared" si="252"/>
        <v>0</v>
      </c>
      <c r="O658" s="4">
        <f>IF(O$5&lt;$K658,0,$L658-SUM($N564:N564)-O564)</f>
        <v>0</v>
      </c>
      <c r="P658" s="4">
        <f>IF(P$5&lt;$K658,0,$L658-SUM($N564:O564)-P564)</f>
        <v>0</v>
      </c>
      <c r="Q658" s="60"/>
      <c r="R658" s="60"/>
      <c r="S658" s="4">
        <f>IF(S$5&lt;$K658,0,$L658-SUM($N564:R564)-S564)</f>
        <v>0</v>
      </c>
      <c r="T658" s="4">
        <f>IF(T$5&lt;$K658,0,$L658-SUM($N564:S564)-T564)</f>
        <v>0</v>
      </c>
      <c r="U658" s="4">
        <f>IF(U$5&lt;$K658,0,$L658-SUM($N564:T564)-U564)</f>
        <v>0</v>
      </c>
      <c r="V658" s="4">
        <f>IF(V$5&lt;$K658,0,$L658-SUM($N564:U564)-V564)</f>
        <v>0</v>
      </c>
      <c r="W658" s="4">
        <f>IF(W$5&lt;$K658,0,$L658-SUM($N564:V564)-W564)</f>
        <v>0</v>
      </c>
      <c r="X658" s="4">
        <f>IF(X$5&lt;$K658,0,$L658-SUM($N564:W564)-X564)</f>
        <v>0</v>
      </c>
      <c r="Y658" s="4"/>
      <c r="Z658" s="3" t="str">
        <f>VLOOKUP($D658,TableInputsData[],ReadMe!$M$3,FALSE)&amp;"  |  "&amp;VLOOKUP($E658,TableInputsData[],ReadMe!$M$3,FALSE)&amp;"  |  "&amp;VLOOKUP($H658,TableInputsData[],ReadMe!$M$3,FALSE)</f>
        <v>ACTIFS MATERIEL IMMOBILISES  |  VALEUR BILAN FIN D'ANNEE  |  AUTRES ACTIFS</v>
      </c>
      <c r="AA658" s="3"/>
      <c r="AB658" s="34">
        <f t="shared" si="253"/>
        <v>0</v>
      </c>
      <c r="AC658" s="34"/>
      <c r="AD658" s="34"/>
      <c r="AE658" s="26"/>
      <c r="AF658" s="34">
        <v>1</v>
      </c>
      <c r="AG658" s="34"/>
      <c r="AH658" s="535"/>
      <c r="AI658" s="294"/>
    </row>
    <row r="659" spans="1:35" x14ac:dyDescent="0.2">
      <c r="A659" s="294"/>
      <c r="B659" s="922"/>
      <c r="C659" s="66">
        <v>3</v>
      </c>
      <c r="D659" s="3" t="s">
        <v>762</v>
      </c>
      <c r="E659" s="3" t="s">
        <v>759</v>
      </c>
      <c r="F659" s="3" t="s">
        <v>21</v>
      </c>
      <c r="G659" s="3" t="s">
        <v>833</v>
      </c>
      <c r="H659" s="3" t="s">
        <v>773</v>
      </c>
      <c r="I659" s="5" t="str">
        <f t="shared" si="250"/>
        <v/>
      </c>
      <c r="J659" s="26"/>
      <c r="K659" s="26">
        <f t="shared" si="251"/>
        <v>0</v>
      </c>
      <c r="L659" s="96">
        <f t="shared" si="251"/>
        <v>0</v>
      </c>
      <c r="M659" s="111">
        <f t="shared" si="251"/>
        <v>0</v>
      </c>
      <c r="N659" s="4">
        <f t="shared" si="252"/>
        <v>0</v>
      </c>
      <c r="O659" s="4">
        <f>IF(O$5&lt;$K659,0,$L659-SUM($N565:N565)-O565)</f>
        <v>0</v>
      </c>
      <c r="P659" s="4">
        <f>IF(P$5&lt;$K659,0,$L659-SUM($N565:O565)-P565)</f>
        <v>0</v>
      </c>
      <c r="Q659" s="60"/>
      <c r="R659" s="60"/>
      <c r="S659" s="4">
        <f>IF(S$5&lt;$K659,0,$L659-SUM($N565:R565)-S565)</f>
        <v>0</v>
      </c>
      <c r="T659" s="4">
        <f>IF(T$5&lt;$K659,0,$L659-SUM($N565:S565)-T565)</f>
        <v>0</v>
      </c>
      <c r="U659" s="4">
        <f>IF(U$5&lt;$K659,0,$L659-SUM($N565:T565)-U565)</f>
        <v>0</v>
      </c>
      <c r="V659" s="4">
        <f>IF(V$5&lt;$K659,0,$L659-SUM($N565:U565)-V565)</f>
        <v>0</v>
      </c>
      <c r="W659" s="4">
        <f>IF(W$5&lt;$K659,0,$L659-SUM($N565:V565)-W565)</f>
        <v>0</v>
      </c>
      <c r="X659" s="4">
        <f>IF(X$5&lt;$K659,0,$L659-SUM($N565:W565)-X565)</f>
        <v>0</v>
      </c>
      <c r="Y659" s="4"/>
      <c r="Z659" s="3" t="str">
        <f>VLOOKUP($D659,TableInputsData[],ReadMe!$M$3,FALSE)&amp;"  |  "&amp;VLOOKUP($E659,TableInputsData[],ReadMe!$M$3,FALSE)&amp;"  |  "&amp;VLOOKUP($H659,TableInputsData[],ReadMe!$M$3,FALSE)</f>
        <v>ACTIFS MATERIEL IMMOBILISES  |  VALEUR BILAN FIN D'ANNEE  |  AUTRES ACTIFS</v>
      </c>
      <c r="AA659" s="3"/>
      <c r="AB659" s="34">
        <f t="shared" si="253"/>
        <v>0</v>
      </c>
      <c r="AC659" s="34"/>
      <c r="AD659" s="34"/>
      <c r="AE659" s="26"/>
      <c r="AF659" s="34">
        <v>1</v>
      </c>
      <c r="AG659" s="34"/>
      <c r="AH659" s="535"/>
      <c r="AI659" s="294"/>
    </row>
    <row r="660" spans="1:35" x14ac:dyDescent="0.2">
      <c r="A660" s="294"/>
      <c r="B660" s="922"/>
      <c r="C660" s="66">
        <v>3</v>
      </c>
      <c r="D660" s="3" t="s">
        <v>762</v>
      </c>
      <c r="E660" s="3" t="s">
        <v>759</v>
      </c>
      <c r="F660" s="3" t="s">
        <v>21</v>
      </c>
      <c r="G660" s="3" t="s">
        <v>834</v>
      </c>
      <c r="H660" s="3" t="s">
        <v>773</v>
      </c>
      <c r="I660" s="5" t="str">
        <f t="shared" si="250"/>
        <v/>
      </c>
      <c r="J660" s="26"/>
      <c r="K660" s="26">
        <f t="shared" si="251"/>
        <v>0</v>
      </c>
      <c r="L660" s="96">
        <f t="shared" si="251"/>
        <v>0</v>
      </c>
      <c r="M660" s="111">
        <f t="shared" si="251"/>
        <v>0</v>
      </c>
      <c r="N660" s="4">
        <f t="shared" si="252"/>
        <v>0</v>
      </c>
      <c r="O660" s="4">
        <f>IF(O$5&lt;$K660,0,$L660-SUM($N566:N566)-O566)</f>
        <v>0</v>
      </c>
      <c r="P660" s="4">
        <f>IF(P$5&lt;$K660,0,$L660-SUM($N566:O566)-P566)</f>
        <v>0</v>
      </c>
      <c r="Q660" s="60"/>
      <c r="R660" s="60"/>
      <c r="S660" s="4">
        <f>IF(S$5&lt;$K660,0,$L660-SUM($N566:R566)-S566)</f>
        <v>0</v>
      </c>
      <c r="T660" s="4">
        <f>IF(T$5&lt;$K660,0,$L660-SUM($N566:S566)-T566)</f>
        <v>0</v>
      </c>
      <c r="U660" s="4">
        <f>IF(U$5&lt;$K660,0,$L660-SUM($N566:T566)-U566)</f>
        <v>0</v>
      </c>
      <c r="V660" s="4">
        <f>IF(V$5&lt;$K660,0,$L660-SUM($N566:U566)-V566)</f>
        <v>0</v>
      </c>
      <c r="W660" s="4">
        <f>IF(W$5&lt;$K660,0,$L660-SUM($N566:V566)-W566)</f>
        <v>0</v>
      </c>
      <c r="X660" s="4">
        <f>IF(X$5&lt;$K660,0,$L660-SUM($N566:W566)-X566)</f>
        <v>0</v>
      </c>
      <c r="Y660" s="4"/>
      <c r="Z660" s="3" t="str">
        <f>VLOOKUP($D660,TableInputsData[],ReadMe!$M$3,FALSE)&amp;"  |  "&amp;VLOOKUP($E660,TableInputsData[],ReadMe!$M$3,FALSE)&amp;"  |  "&amp;VLOOKUP($H660,TableInputsData[],ReadMe!$M$3,FALSE)</f>
        <v>ACTIFS MATERIEL IMMOBILISES  |  VALEUR BILAN FIN D'ANNEE  |  AUTRES ACTIFS</v>
      </c>
      <c r="AA660" s="3"/>
      <c r="AB660" s="34">
        <f t="shared" si="253"/>
        <v>0</v>
      </c>
      <c r="AC660" s="34"/>
      <c r="AD660" s="34"/>
      <c r="AE660" s="26"/>
      <c r="AF660" s="34">
        <v>1</v>
      </c>
      <c r="AG660" s="34"/>
      <c r="AH660" s="535"/>
      <c r="AI660" s="294"/>
    </row>
    <row r="661" spans="1:35" x14ac:dyDescent="0.2">
      <c r="A661" s="294"/>
      <c r="B661" s="922"/>
      <c r="C661" s="66">
        <v>3</v>
      </c>
      <c r="D661" s="3" t="s">
        <v>762</v>
      </c>
      <c r="E661" s="3" t="s">
        <v>759</v>
      </c>
      <c r="F661" s="3" t="s">
        <v>21</v>
      </c>
      <c r="G661" s="3" t="s">
        <v>835</v>
      </c>
      <c r="H661" s="3" t="s">
        <v>773</v>
      </c>
      <c r="I661" s="5" t="str">
        <f t="shared" si="250"/>
        <v/>
      </c>
      <c r="J661" s="26"/>
      <c r="K661" s="26">
        <f t="shared" si="251"/>
        <v>0</v>
      </c>
      <c r="L661" s="96">
        <f t="shared" si="251"/>
        <v>0</v>
      </c>
      <c r="M661" s="111">
        <f t="shared" si="251"/>
        <v>0</v>
      </c>
      <c r="N661" s="4">
        <f t="shared" si="252"/>
        <v>0</v>
      </c>
      <c r="O661" s="4">
        <f>IF(O$5&lt;$K661,0,$L661-SUM($N567:N567)-O567)</f>
        <v>0</v>
      </c>
      <c r="P661" s="4">
        <f>IF(P$5&lt;$K661,0,$L661-SUM($N567:O567)-P567)</f>
        <v>0</v>
      </c>
      <c r="Q661" s="60"/>
      <c r="R661" s="60"/>
      <c r="S661" s="4">
        <f>IF(S$5&lt;$K661,0,$L661-SUM($N567:R567)-S567)</f>
        <v>0</v>
      </c>
      <c r="T661" s="4">
        <f>IF(T$5&lt;$K661,0,$L661-SUM($N567:S567)-T567)</f>
        <v>0</v>
      </c>
      <c r="U661" s="4">
        <f>IF(U$5&lt;$K661,0,$L661-SUM($N567:T567)-U567)</f>
        <v>0</v>
      </c>
      <c r="V661" s="4">
        <f>IF(V$5&lt;$K661,0,$L661-SUM($N567:U567)-V567)</f>
        <v>0</v>
      </c>
      <c r="W661" s="4">
        <f>IF(W$5&lt;$K661,0,$L661-SUM($N567:V567)-W567)</f>
        <v>0</v>
      </c>
      <c r="X661" s="4">
        <f>IF(X$5&lt;$K661,0,$L661-SUM($N567:W567)-X567)</f>
        <v>0</v>
      </c>
      <c r="Y661" s="4"/>
      <c r="Z661" s="3" t="str">
        <f>VLOOKUP($D661,TableInputsData[],ReadMe!$M$3,FALSE)&amp;"  |  "&amp;VLOOKUP($E661,TableInputsData[],ReadMe!$M$3,FALSE)&amp;"  |  "&amp;VLOOKUP($H661,TableInputsData[],ReadMe!$M$3,FALSE)</f>
        <v>ACTIFS MATERIEL IMMOBILISES  |  VALEUR BILAN FIN D'ANNEE  |  AUTRES ACTIFS</v>
      </c>
      <c r="AA661" s="3"/>
      <c r="AB661" s="34">
        <f t="shared" si="253"/>
        <v>0</v>
      </c>
      <c r="AC661" s="34"/>
      <c r="AD661" s="34"/>
      <c r="AE661" s="26"/>
      <c r="AF661" s="34">
        <v>1</v>
      </c>
      <c r="AG661" s="34"/>
      <c r="AH661" s="535"/>
      <c r="AI661" s="294"/>
    </row>
    <row r="662" spans="1:35" x14ac:dyDescent="0.2">
      <c r="A662" s="294"/>
      <c r="B662" s="922"/>
      <c r="C662" s="66">
        <v>3</v>
      </c>
      <c r="D662" s="3" t="s">
        <v>762</v>
      </c>
      <c r="E662" s="3" t="s">
        <v>759</v>
      </c>
      <c r="F662" s="3" t="s">
        <v>21</v>
      </c>
      <c r="G662" s="3" t="s">
        <v>836</v>
      </c>
      <c r="H662" s="3" t="s">
        <v>773</v>
      </c>
      <c r="I662" s="5" t="str">
        <f t="shared" si="250"/>
        <v/>
      </c>
      <c r="J662" s="26"/>
      <c r="K662" s="26">
        <f t="shared" si="251"/>
        <v>0</v>
      </c>
      <c r="L662" s="96">
        <f t="shared" si="251"/>
        <v>0</v>
      </c>
      <c r="M662" s="111">
        <f t="shared" si="251"/>
        <v>0</v>
      </c>
      <c r="N662" s="4">
        <f t="shared" si="252"/>
        <v>0</v>
      </c>
      <c r="O662" s="4">
        <f>IF(O$5&lt;$K662,0,$L662-SUM($N568:N568)-O568)</f>
        <v>0</v>
      </c>
      <c r="P662" s="4">
        <f>IF(P$5&lt;$K662,0,$L662-SUM($N568:O568)-P568)</f>
        <v>0</v>
      </c>
      <c r="Q662" s="60"/>
      <c r="R662" s="60"/>
      <c r="S662" s="4">
        <f>IF(S$5&lt;$K662,0,$L662-SUM($N568:R568)-S568)</f>
        <v>0</v>
      </c>
      <c r="T662" s="4">
        <f>IF(T$5&lt;$K662,0,$L662-SUM($N568:S568)-T568)</f>
        <v>0</v>
      </c>
      <c r="U662" s="4">
        <f>IF(U$5&lt;$K662,0,$L662-SUM($N568:T568)-U568)</f>
        <v>0</v>
      </c>
      <c r="V662" s="4">
        <f>IF(V$5&lt;$K662,0,$L662-SUM($N568:U568)-V568)</f>
        <v>0</v>
      </c>
      <c r="W662" s="4">
        <f>IF(W$5&lt;$K662,0,$L662-SUM($N568:V568)-W568)</f>
        <v>0</v>
      </c>
      <c r="X662" s="4">
        <f>IF(X$5&lt;$K662,0,$L662-SUM($N568:W568)-X568)</f>
        <v>0</v>
      </c>
      <c r="Y662" s="4"/>
      <c r="Z662" s="3" t="str">
        <f>VLOOKUP($D662,TableInputsData[],ReadMe!$M$3,FALSE)&amp;"  |  "&amp;VLOOKUP($E662,TableInputsData[],ReadMe!$M$3,FALSE)&amp;"  |  "&amp;VLOOKUP($H662,TableInputsData[],ReadMe!$M$3,FALSE)</f>
        <v>ACTIFS MATERIEL IMMOBILISES  |  VALEUR BILAN FIN D'ANNEE  |  AUTRES ACTIFS</v>
      </c>
      <c r="AA662" s="3"/>
      <c r="AB662" s="34">
        <f t="shared" si="253"/>
        <v>0</v>
      </c>
      <c r="AC662" s="34"/>
      <c r="AD662" s="34"/>
      <c r="AE662" s="26"/>
      <c r="AF662" s="34">
        <v>1</v>
      </c>
      <c r="AG662" s="34"/>
      <c r="AH662" s="535"/>
      <c r="AI662" s="294"/>
    </row>
    <row r="663" spans="1:35" x14ac:dyDescent="0.2">
      <c r="A663" s="294"/>
      <c r="B663" s="922"/>
      <c r="C663" s="66">
        <v>3</v>
      </c>
      <c r="D663" s="3" t="s">
        <v>762</v>
      </c>
      <c r="E663" s="3" t="s">
        <v>759</v>
      </c>
      <c r="F663" s="3" t="s">
        <v>21</v>
      </c>
      <c r="G663" s="3" t="s">
        <v>837</v>
      </c>
      <c r="H663" s="3" t="s">
        <v>773</v>
      </c>
      <c r="I663" s="5" t="str">
        <f t="shared" si="250"/>
        <v/>
      </c>
      <c r="J663" s="26"/>
      <c r="K663" s="26">
        <f t="shared" si="251"/>
        <v>0</v>
      </c>
      <c r="L663" s="96">
        <f t="shared" si="251"/>
        <v>0</v>
      </c>
      <c r="M663" s="111">
        <f t="shared" si="251"/>
        <v>0</v>
      </c>
      <c r="N663" s="4">
        <f t="shared" si="252"/>
        <v>0</v>
      </c>
      <c r="O663" s="4">
        <f>IF(O$5&lt;$K663,0,$L663-SUM($N569:N569)-O569)</f>
        <v>0</v>
      </c>
      <c r="P663" s="4">
        <f>IF(P$5&lt;$K663,0,$L663-SUM($N569:O569)-P569)</f>
        <v>0</v>
      </c>
      <c r="Q663" s="60"/>
      <c r="R663" s="60"/>
      <c r="S663" s="4">
        <f>IF(S$5&lt;$K663,0,$L663-SUM($N569:R569)-S569)</f>
        <v>0</v>
      </c>
      <c r="T663" s="4">
        <f>IF(T$5&lt;$K663,0,$L663-SUM($N569:S569)-T569)</f>
        <v>0</v>
      </c>
      <c r="U663" s="4">
        <f>IF(U$5&lt;$K663,0,$L663-SUM($N569:T569)-U569)</f>
        <v>0</v>
      </c>
      <c r="V663" s="4">
        <f>IF(V$5&lt;$K663,0,$L663-SUM($N569:U569)-V569)</f>
        <v>0</v>
      </c>
      <c r="W663" s="4">
        <f>IF(W$5&lt;$K663,0,$L663-SUM($N569:V569)-W569)</f>
        <v>0</v>
      </c>
      <c r="X663" s="4">
        <f>IF(X$5&lt;$K663,0,$L663-SUM($N569:W569)-X569)</f>
        <v>0</v>
      </c>
      <c r="Y663" s="4"/>
      <c r="Z663" s="3" t="str">
        <f>VLOOKUP($D663,TableInputsData[],ReadMe!$M$3,FALSE)&amp;"  |  "&amp;VLOOKUP($E663,TableInputsData[],ReadMe!$M$3,FALSE)&amp;"  |  "&amp;VLOOKUP($H663,TableInputsData[],ReadMe!$M$3,FALSE)</f>
        <v>ACTIFS MATERIEL IMMOBILISES  |  VALEUR BILAN FIN D'ANNEE  |  AUTRES ACTIFS</v>
      </c>
      <c r="AA663" s="3"/>
      <c r="AB663" s="34">
        <f t="shared" si="253"/>
        <v>0</v>
      </c>
      <c r="AC663" s="34"/>
      <c r="AD663" s="34"/>
      <c r="AE663" s="26"/>
      <c r="AF663" s="34">
        <v>1</v>
      </c>
      <c r="AG663" s="34"/>
      <c r="AH663" s="535"/>
      <c r="AI663" s="294"/>
    </row>
    <row r="664" spans="1:35" x14ac:dyDescent="0.2">
      <c r="A664" s="294"/>
      <c r="B664" s="922"/>
      <c r="C664" s="66">
        <v>3</v>
      </c>
      <c r="D664" s="3" t="s">
        <v>762</v>
      </c>
      <c r="E664" s="3" t="s">
        <v>759</v>
      </c>
      <c r="F664" s="3" t="s">
        <v>21</v>
      </c>
      <c r="G664" s="3" t="s">
        <v>838</v>
      </c>
      <c r="H664" s="3" t="s">
        <v>773</v>
      </c>
      <c r="I664" s="5" t="str">
        <f t="shared" si="250"/>
        <v/>
      </c>
      <c r="J664" s="26"/>
      <c r="K664" s="26">
        <f t="shared" si="251"/>
        <v>0</v>
      </c>
      <c r="L664" s="96">
        <f t="shared" si="251"/>
        <v>0</v>
      </c>
      <c r="M664" s="111">
        <f t="shared" si="251"/>
        <v>0</v>
      </c>
      <c r="N664" s="4">
        <f t="shared" si="252"/>
        <v>0</v>
      </c>
      <c r="O664" s="4">
        <f>IF(O$5&lt;$K664,0,$L664-SUM($N570:N570)-O570)</f>
        <v>0</v>
      </c>
      <c r="P664" s="4">
        <f>IF(P$5&lt;$K664,0,$L664-SUM($N570:O570)-P570)</f>
        <v>0</v>
      </c>
      <c r="Q664" s="60"/>
      <c r="R664" s="60"/>
      <c r="S664" s="4">
        <f>IF(S$5&lt;$K664,0,$L664-SUM($N570:R570)-S570)</f>
        <v>0</v>
      </c>
      <c r="T664" s="4">
        <f>IF(T$5&lt;$K664,0,$L664-SUM($N570:S570)-T570)</f>
        <v>0</v>
      </c>
      <c r="U664" s="4">
        <f>IF(U$5&lt;$K664,0,$L664-SUM($N570:T570)-U570)</f>
        <v>0</v>
      </c>
      <c r="V664" s="4">
        <f>IF(V$5&lt;$K664,0,$L664-SUM($N570:U570)-V570)</f>
        <v>0</v>
      </c>
      <c r="W664" s="4">
        <f>IF(W$5&lt;$K664,0,$L664-SUM($N570:V570)-W570)</f>
        <v>0</v>
      </c>
      <c r="X664" s="4">
        <f>IF(X$5&lt;$K664,0,$L664-SUM($N570:W570)-X570)</f>
        <v>0</v>
      </c>
      <c r="Y664" s="4"/>
      <c r="Z664" s="3" t="str">
        <f>VLOOKUP($D664,TableInputsData[],ReadMe!$M$3,FALSE)&amp;"  |  "&amp;VLOOKUP($E664,TableInputsData[],ReadMe!$M$3,FALSE)&amp;"  |  "&amp;VLOOKUP($H664,TableInputsData[],ReadMe!$M$3,FALSE)</f>
        <v>ACTIFS MATERIEL IMMOBILISES  |  VALEUR BILAN FIN D'ANNEE  |  AUTRES ACTIFS</v>
      </c>
      <c r="AA664" s="3"/>
      <c r="AB664" s="34">
        <f t="shared" si="253"/>
        <v>0</v>
      </c>
      <c r="AC664" s="34"/>
      <c r="AD664" s="34"/>
      <c r="AE664" s="26"/>
      <c r="AF664" s="34">
        <v>1</v>
      </c>
      <c r="AG664" s="34"/>
      <c r="AH664" s="535"/>
      <c r="AI664" s="294"/>
    </row>
    <row r="665" spans="1:35" x14ac:dyDescent="0.2">
      <c r="A665" s="294"/>
      <c r="B665" s="922"/>
      <c r="C665" s="66">
        <v>3</v>
      </c>
      <c r="D665" s="3" t="s">
        <v>762</v>
      </c>
      <c r="E665" s="3" t="s">
        <v>759</v>
      </c>
      <c r="F665" s="3" t="s">
        <v>21</v>
      </c>
      <c r="G665" s="3" t="s">
        <v>839</v>
      </c>
      <c r="H665" s="3" t="s">
        <v>773</v>
      </c>
      <c r="I665" s="5" t="str">
        <f t="shared" si="250"/>
        <v/>
      </c>
      <c r="J665" s="26"/>
      <c r="K665" s="26">
        <f t="shared" si="251"/>
        <v>0</v>
      </c>
      <c r="L665" s="96">
        <f t="shared" si="251"/>
        <v>0</v>
      </c>
      <c r="M665" s="111">
        <f t="shared" si="251"/>
        <v>0</v>
      </c>
      <c r="N665" s="4">
        <f t="shared" si="252"/>
        <v>0</v>
      </c>
      <c r="O665" s="4">
        <f>IF(O$5&lt;$K665,0,$L665-SUM($N571:N571)-O571)</f>
        <v>0</v>
      </c>
      <c r="P665" s="4">
        <f>IF(P$5&lt;$K665,0,$L665-SUM($N571:O571)-P571)</f>
        <v>0</v>
      </c>
      <c r="Q665" s="60"/>
      <c r="R665" s="60"/>
      <c r="S665" s="4">
        <f>IF(S$5&lt;$K665,0,$L665-SUM($N571:R571)-S571)</f>
        <v>0</v>
      </c>
      <c r="T665" s="4">
        <f>IF(T$5&lt;$K665,0,$L665-SUM($N571:S571)-T571)</f>
        <v>0</v>
      </c>
      <c r="U665" s="4">
        <f>IF(U$5&lt;$K665,0,$L665-SUM($N571:T571)-U571)</f>
        <v>0</v>
      </c>
      <c r="V665" s="4">
        <f>IF(V$5&lt;$K665,0,$L665-SUM($N571:U571)-V571)</f>
        <v>0</v>
      </c>
      <c r="W665" s="4">
        <f>IF(W$5&lt;$K665,0,$L665-SUM($N571:V571)-W571)</f>
        <v>0</v>
      </c>
      <c r="X665" s="4">
        <f>IF(X$5&lt;$K665,0,$L665-SUM($N571:W571)-X571)</f>
        <v>0</v>
      </c>
      <c r="Y665" s="4"/>
      <c r="Z665" s="3" t="str">
        <f>VLOOKUP($D665,TableInputsData[],ReadMe!$M$3,FALSE)&amp;"  |  "&amp;VLOOKUP($E665,TableInputsData[],ReadMe!$M$3,FALSE)&amp;"  |  "&amp;VLOOKUP($H665,TableInputsData[],ReadMe!$M$3,FALSE)</f>
        <v>ACTIFS MATERIEL IMMOBILISES  |  VALEUR BILAN FIN D'ANNEE  |  AUTRES ACTIFS</v>
      </c>
      <c r="AA665" s="3"/>
      <c r="AB665" s="34">
        <f t="shared" si="253"/>
        <v>0</v>
      </c>
      <c r="AC665" s="34"/>
      <c r="AD665" s="34"/>
      <c r="AE665" s="26"/>
      <c r="AF665" s="34">
        <v>1</v>
      </c>
      <c r="AG665" s="34"/>
      <c r="AH665" s="535"/>
      <c r="AI665" s="294"/>
    </row>
    <row r="666" spans="1:35" x14ac:dyDescent="0.2">
      <c r="A666" s="294"/>
      <c r="B666" s="922"/>
      <c r="C666" s="66">
        <v>3</v>
      </c>
      <c r="D666" s="3" t="s">
        <v>762</v>
      </c>
      <c r="E666" s="3" t="s">
        <v>759</v>
      </c>
      <c r="F666" s="3" t="s">
        <v>21</v>
      </c>
      <c r="G666" s="3" t="s">
        <v>840</v>
      </c>
      <c r="H666" s="3" t="s">
        <v>773</v>
      </c>
      <c r="I666" s="5" t="str">
        <f t="shared" si="250"/>
        <v/>
      </c>
      <c r="J666" s="26"/>
      <c r="K666" s="26">
        <f t="shared" si="251"/>
        <v>0</v>
      </c>
      <c r="L666" s="96">
        <f t="shared" si="251"/>
        <v>0</v>
      </c>
      <c r="M666" s="111">
        <f t="shared" si="251"/>
        <v>0</v>
      </c>
      <c r="N666" s="4">
        <f t="shared" si="252"/>
        <v>0</v>
      </c>
      <c r="O666" s="4">
        <f>IF(O$5&lt;$K666,0,$L666-SUM($N572:N572)-O572)</f>
        <v>0</v>
      </c>
      <c r="P666" s="4">
        <f>IF(P$5&lt;$K666,0,$L666-SUM($N572:O572)-P572)</f>
        <v>0</v>
      </c>
      <c r="Q666" s="60"/>
      <c r="R666" s="60"/>
      <c r="S666" s="4">
        <f>IF(S$5&lt;$K666,0,$L666-SUM($N572:R572)-S572)</f>
        <v>0</v>
      </c>
      <c r="T666" s="4">
        <f>IF(T$5&lt;$K666,0,$L666-SUM($N572:S572)-T572)</f>
        <v>0</v>
      </c>
      <c r="U666" s="4">
        <f>IF(U$5&lt;$K666,0,$L666-SUM($N572:T572)-U572)</f>
        <v>0</v>
      </c>
      <c r="V666" s="4">
        <f>IF(V$5&lt;$K666,0,$L666-SUM($N572:U572)-V572)</f>
        <v>0</v>
      </c>
      <c r="W666" s="4">
        <f>IF(W$5&lt;$K666,0,$L666-SUM($N572:V572)-W572)</f>
        <v>0</v>
      </c>
      <c r="X666" s="4">
        <f>IF(X$5&lt;$K666,0,$L666-SUM($N572:W572)-X572)</f>
        <v>0</v>
      </c>
      <c r="Y666" s="4"/>
      <c r="Z666" s="3" t="str">
        <f>VLOOKUP($D666,TableInputsData[],ReadMe!$M$3,FALSE)&amp;"  |  "&amp;VLOOKUP($E666,TableInputsData[],ReadMe!$M$3,FALSE)&amp;"  |  "&amp;VLOOKUP($H666,TableInputsData[],ReadMe!$M$3,FALSE)</f>
        <v>ACTIFS MATERIEL IMMOBILISES  |  VALEUR BILAN FIN D'ANNEE  |  AUTRES ACTIFS</v>
      </c>
      <c r="AA666" s="3"/>
      <c r="AB666" s="34">
        <f t="shared" si="253"/>
        <v>0</v>
      </c>
      <c r="AC666" s="34"/>
      <c r="AD666" s="34"/>
      <c r="AE666" s="26"/>
      <c r="AF666" s="34">
        <v>1</v>
      </c>
      <c r="AG666" s="34"/>
      <c r="AH666" s="535"/>
      <c r="AI666" s="294"/>
    </row>
    <row r="667" spans="1:35" x14ac:dyDescent="0.2">
      <c r="A667" s="294"/>
      <c r="B667" s="922"/>
      <c r="C667" s="66">
        <v>3</v>
      </c>
      <c r="D667" s="3" t="s">
        <v>762</v>
      </c>
      <c r="E667" s="3" t="s">
        <v>759</v>
      </c>
      <c r="F667" s="3" t="s">
        <v>21</v>
      </c>
      <c r="G667" s="3" t="s">
        <v>841</v>
      </c>
      <c r="H667" s="3" t="s">
        <v>773</v>
      </c>
      <c r="I667" s="5" t="str">
        <f t="shared" si="250"/>
        <v/>
      </c>
      <c r="J667" s="26"/>
      <c r="K667" s="26">
        <f t="shared" si="251"/>
        <v>0</v>
      </c>
      <c r="L667" s="96">
        <f t="shared" si="251"/>
        <v>0</v>
      </c>
      <c r="M667" s="111">
        <f t="shared" si="251"/>
        <v>0</v>
      </c>
      <c r="N667" s="4">
        <f t="shared" si="252"/>
        <v>0</v>
      </c>
      <c r="O667" s="4">
        <f>IF(O$5&lt;$K667,0,$L667-SUM($N573:N573)-O573)</f>
        <v>0</v>
      </c>
      <c r="P667" s="4">
        <f>IF(P$5&lt;$K667,0,$L667-SUM($N573:O573)-P573)</f>
        <v>0</v>
      </c>
      <c r="Q667" s="60"/>
      <c r="R667" s="60"/>
      <c r="S667" s="4">
        <f>IF(S$5&lt;$K667,0,$L667-SUM($N573:R573)-S573)</f>
        <v>0</v>
      </c>
      <c r="T667" s="4">
        <f>IF(T$5&lt;$K667,0,$L667-SUM($N573:S573)-T573)</f>
        <v>0</v>
      </c>
      <c r="U667" s="4">
        <f>IF(U$5&lt;$K667,0,$L667-SUM($N573:T573)-U573)</f>
        <v>0</v>
      </c>
      <c r="V667" s="4">
        <f>IF(V$5&lt;$K667,0,$L667-SUM($N573:U573)-V573)</f>
        <v>0</v>
      </c>
      <c r="W667" s="4">
        <f>IF(W$5&lt;$K667,0,$L667-SUM($N573:V573)-W573)</f>
        <v>0</v>
      </c>
      <c r="X667" s="4">
        <f>IF(X$5&lt;$K667,0,$L667-SUM($N573:W573)-X573)</f>
        <v>0</v>
      </c>
      <c r="Y667" s="4"/>
      <c r="Z667" s="3" t="str">
        <f>VLOOKUP($D667,TableInputsData[],ReadMe!$M$3,FALSE)&amp;"  |  "&amp;VLOOKUP($E667,TableInputsData[],ReadMe!$M$3,FALSE)&amp;"  |  "&amp;VLOOKUP($H667,TableInputsData[],ReadMe!$M$3,FALSE)</f>
        <v>ACTIFS MATERIEL IMMOBILISES  |  VALEUR BILAN FIN D'ANNEE  |  AUTRES ACTIFS</v>
      </c>
      <c r="AA667" s="3"/>
      <c r="AB667" s="34">
        <f t="shared" si="253"/>
        <v>0</v>
      </c>
      <c r="AC667" s="34"/>
      <c r="AD667" s="34"/>
      <c r="AE667" s="26"/>
      <c r="AF667" s="34">
        <v>1</v>
      </c>
      <c r="AG667" s="34"/>
      <c r="AH667" s="535"/>
      <c r="AI667" s="294"/>
    </row>
    <row r="668" spans="1:35" x14ac:dyDescent="0.2">
      <c r="A668" s="294"/>
      <c r="B668" s="922"/>
      <c r="C668" s="66">
        <v>3</v>
      </c>
      <c r="D668" s="3" t="s">
        <v>762</v>
      </c>
      <c r="E668" s="3" t="s">
        <v>759</v>
      </c>
      <c r="F668" s="3" t="s">
        <v>21</v>
      </c>
      <c r="G668" s="3" t="s">
        <v>842</v>
      </c>
      <c r="H668" s="3" t="s">
        <v>773</v>
      </c>
      <c r="I668" s="5" t="str">
        <f t="shared" si="250"/>
        <v/>
      </c>
      <c r="J668" s="26"/>
      <c r="K668" s="26">
        <f t="shared" si="251"/>
        <v>0</v>
      </c>
      <c r="L668" s="96">
        <f t="shared" si="251"/>
        <v>0</v>
      </c>
      <c r="M668" s="111">
        <f t="shared" si="251"/>
        <v>0</v>
      </c>
      <c r="N668" s="4">
        <f t="shared" si="252"/>
        <v>0</v>
      </c>
      <c r="O668" s="4">
        <f>IF(O$5&lt;$K668,0,$L668-SUM($N574:N574)-O574)</f>
        <v>0</v>
      </c>
      <c r="P668" s="4">
        <f>IF(P$5&lt;$K668,0,$L668-SUM($N574:O574)-P574)</f>
        <v>0</v>
      </c>
      <c r="Q668" s="60"/>
      <c r="R668" s="60"/>
      <c r="S668" s="4">
        <f>IF(S$5&lt;$K668,0,$L668-SUM($N574:R574)-S574)</f>
        <v>0</v>
      </c>
      <c r="T668" s="4">
        <f>IF(T$5&lt;$K668,0,$L668-SUM($N574:S574)-T574)</f>
        <v>0</v>
      </c>
      <c r="U668" s="4">
        <f>IF(U$5&lt;$K668,0,$L668-SUM($N574:T574)-U574)</f>
        <v>0</v>
      </c>
      <c r="V668" s="4">
        <f>IF(V$5&lt;$K668,0,$L668-SUM($N574:U574)-V574)</f>
        <v>0</v>
      </c>
      <c r="W668" s="4">
        <f>IF(W$5&lt;$K668,0,$L668-SUM($N574:V574)-W574)</f>
        <v>0</v>
      </c>
      <c r="X668" s="4">
        <f>IF(X$5&lt;$K668,0,$L668-SUM($N574:W574)-X574)</f>
        <v>0</v>
      </c>
      <c r="Y668" s="4"/>
      <c r="Z668" s="3" t="str">
        <f>VLOOKUP($D668,TableInputsData[],ReadMe!$M$3,FALSE)&amp;"  |  "&amp;VLOOKUP($E668,TableInputsData[],ReadMe!$M$3,FALSE)&amp;"  |  "&amp;VLOOKUP($H668,TableInputsData[],ReadMe!$M$3,FALSE)</f>
        <v>ACTIFS MATERIEL IMMOBILISES  |  VALEUR BILAN FIN D'ANNEE  |  AUTRES ACTIFS</v>
      </c>
      <c r="AA668" s="3"/>
      <c r="AB668" s="34">
        <f t="shared" si="253"/>
        <v>0</v>
      </c>
      <c r="AC668" s="34"/>
      <c r="AD668" s="34"/>
      <c r="AE668" s="26"/>
      <c r="AF668" s="34">
        <v>1</v>
      </c>
      <c r="AG668" s="34"/>
      <c r="AH668" s="535"/>
      <c r="AI668" s="294"/>
    </row>
    <row r="669" spans="1:35" x14ac:dyDescent="0.2">
      <c r="A669" s="294"/>
      <c r="B669" s="922"/>
      <c r="C669" s="66">
        <v>3</v>
      </c>
      <c r="D669" s="3" t="s">
        <v>762</v>
      </c>
      <c r="E669" s="3" t="s">
        <v>759</v>
      </c>
      <c r="F669" s="3" t="s">
        <v>21</v>
      </c>
      <c r="G669" s="3" t="s">
        <v>843</v>
      </c>
      <c r="H669" s="3" t="s">
        <v>773</v>
      </c>
      <c r="I669" s="5" t="str">
        <f t="shared" si="250"/>
        <v/>
      </c>
      <c r="J669" s="26"/>
      <c r="K669" s="26">
        <f t="shared" si="251"/>
        <v>0</v>
      </c>
      <c r="L669" s="96">
        <f t="shared" si="251"/>
        <v>0</v>
      </c>
      <c r="M669" s="111">
        <f t="shared" si="251"/>
        <v>0</v>
      </c>
      <c r="N669" s="4">
        <f t="shared" si="252"/>
        <v>0</v>
      </c>
      <c r="O669" s="4">
        <f>IF(O$5&lt;$K669,0,$L669-SUM($N575:N575)-O575)</f>
        <v>0</v>
      </c>
      <c r="P669" s="4">
        <f>IF(P$5&lt;$K669,0,$L669-SUM($N575:O575)-P575)</f>
        <v>0</v>
      </c>
      <c r="Q669" s="60"/>
      <c r="R669" s="60"/>
      <c r="S669" s="4">
        <f>IF(S$5&lt;$K669,0,$L669-SUM($N575:R575)-S575)</f>
        <v>0</v>
      </c>
      <c r="T669" s="4">
        <f>IF(T$5&lt;$K669,0,$L669-SUM($N575:S575)-T575)</f>
        <v>0</v>
      </c>
      <c r="U669" s="4">
        <f>IF(U$5&lt;$K669,0,$L669-SUM($N575:T575)-U575)</f>
        <v>0</v>
      </c>
      <c r="V669" s="4">
        <f>IF(V$5&lt;$K669,0,$L669-SUM($N575:U575)-V575)</f>
        <v>0</v>
      </c>
      <c r="W669" s="4">
        <f>IF(W$5&lt;$K669,0,$L669-SUM($N575:V575)-W575)</f>
        <v>0</v>
      </c>
      <c r="X669" s="4">
        <f>IF(X$5&lt;$K669,0,$L669-SUM($N575:W575)-X575)</f>
        <v>0</v>
      </c>
      <c r="Y669" s="4"/>
      <c r="Z669" s="3" t="str">
        <f>VLOOKUP($D669,TableInputsData[],ReadMe!$M$3,FALSE)&amp;"  |  "&amp;VLOOKUP($E669,TableInputsData[],ReadMe!$M$3,FALSE)&amp;"  |  "&amp;VLOOKUP($H669,TableInputsData[],ReadMe!$M$3,FALSE)</f>
        <v>ACTIFS MATERIEL IMMOBILISES  |  VALEUR BILAN FIN D'ANNEE  |  AUTRES ACTIFS</v>
      </c>
      <c r="AA669" s="3"/>
      <c r="AB669" s="34">
        <f t="shared" si="253"/>
        <v>0</v>
      </c>
      <c r="AC669" s="34"/>
      <c r="AD669" s="34"/>
      <c r="AE669" s="26"/>
      <c r="AF669" s="34">
        <v>1</v>
      </c>
      <c r="AG669" s="34"/>
      <c r="AH669" s="535"/>
      <c r="AI669" s="294"/>
    </row>
    <row r="670" spans="1:35" x14ac:dyDescent="0.2">
      <c r="A670" s="294"/>
      <c r="B670" s="922"/>
      <c r="C670" s="67">
        <v>3</v>
      </c>
      <c r="D670" s="16" t="s">
        <v>762</v>
      </c>
      <c r="E670" s="16" t="s">
        <v>759</v>
      </c>
      <c r="F670" s="16" t="s">
        <v>21</v>
      </c>
      <c r="G670" s="16" t="s">
        <v>844</v>
      </c>
      <c r="H670" s="17" t="s">
        <v>1166</v>
      </c>
      <c r="I670" s="17"/>
      <c r="J670" s="27"/>
      <c r="K670" s="27"/>
      <c r="L670" s="18">
        <f>SUM(L650:L669)</f>
        <v>0</v>
      </c>
      <c r="M670" s="112"/>
      <c r="N670" s="18">
        <f>SUM(N650:N669)</f>
        <v>0</v>
      </c>
      <c r="O670" s="18">
        <f>SUM(O650:O669)</f>
        <v>0</v>
      </c>
      <c r="P670" s="18">
        <f>SUM(P650:P669)</f>
        <v>0</v>
      </c>
      <c r="Q670" s="18"/>
      <c r="R670" s="18"/>
      <c r="S670" s="18">
        <f t="shared" ref="S670:X670" si="254">SUM(S650:S669)</f>
        <v>0</v>
      </c>
      <c r="T670" s="18">
        <f t="shared" si="254"/>
        <v>0</v>
      </c>
      <c r="U670" s="18">
        <f t="shared" si="254"/>
        <v>0</v>
      </c>
      <c r="V670" s="18">
        <f t="shared" si="254"/>
        <v>0</v>
      </c>
      <c r="W670" s="18">
        <f t="shared" si="254"/>
        <v>0</v>
      </c>
      <c r="X670" s="18">
        <f t="shared" si="254"/>
        <v>0</v>
      </c>
      <c r="Y670" s="18"/>
      <c r="Z670" s="16" t="str">
        <f>VLOOKUP($D670,TableInputsData[],ReadMe!$M$3,FALSE)&amp;"  |  "&amp;VLOOKUP($E670,TableInputsData[],ReadMe!$M$3,FALSE)&amp;"  |  "&amp;VLOOKUP($H670,TableInputsData[],ReadMe!$M$3,FALSE)</f>
        <v>ACTIFS MATERIEL IMMOBILISES  |  VALEUR BILAN FIN D'ANNEE  |  TOTAL AUTRES ACTIFS</v>
      </c>
      <c r="AA670" s="16"/>
      <c r="AB670" s="27">
        <v>1</v>
      </c>
      <c r="AC670" s="27">
        <v>1</v>
      </c>
      <c r="AD670" s="27"/>
      <c r="AE670" s="27"/>
      <c r="AF670" s="27">
        <v>1</v>
      </c>
      <c r="AG670" s="27"/>
      <c r="AH670" s="533"/>
      <c r="AI670" s="294"/>
    </row>
    <row r="671" spans="1:35" x14ac:dyDescent="0.2">
      <c r="A671" s="294"/>
      <c r="B671" s="922"/>
      <c r="C671" s="70">
        <v>3</v>
      </c>
      <c r="D671" s="6"/>
      <c r="E671" s="6"/>
      <c r="F671" s="6"/>
      <c r="G671" s="6"/>
      <c r="H671" s="11"/>
      <c r="I671" s="11"/>
      <c r="J671" s="91"/>
      <c r="K671" s="91"/>
      <c r="L671" s="105"/>
      <c r="M671" s="121"/>
      <c r="N671" s="855"/>
      <c r="O671" s="7"/>
      <c r="P671" s="7"/>
      <c r="Q671" s="7"/>
      <c r="R671" s="7"/>
      <c r="S671" s="7"/>
      <c r="T671" s="7"/>
      <c r="U671" s="7"/>
      <c r="V671" s="7"/>
      <c r="W671" s="7"/>
      <c r="X671" s="7"/>
      <c r="Y671" s="7"/>
      <c r="Z671" s="6"/>
      <c r="AA671" s="6"/>
      <c r="AB671" s="36"/>
      <c r="AC671" s="36"/>
      <c r="AD671" s="36"/>
      <c r="AE671" s="91"/>
      <c r="AF671" s="36"/>
      <c r="AG671" s="36"/>
      <c r="AH671" s="536"/>
      <c r="AI671" s="294"/>
    </row>
    <row r="672" spans="1:35" x14ac:dyDescent="0.2">
      <c r="A672" s="294"/>
      <c r="B672" s="922"/>
      <c r="C672" s="67">
        <v>3</v>
      </c>
      <c r="D672" s="16" t="s">
        <v>762</v>
      </c>
      <c r="E672" s="16" t="s">
        <v>759</v>
      </c>
      <c r="F672" s="16" t="s">
        <v>21</v>
      </c>
      <c r="G672" s="16" t="s">
        <v>847</v>
      </c>
      <c r="H672" s="17" t="s">
        <v>1165</v>
      </c>
      <c r="I672" s="17"/>
      <c r="J672" s="27"/>
      <c r="K672" s="27"/>
      <c r="L672" s="97">
        <f>L636+L648+L670</f>
        <v>0</v>
      </c>
      <c r="M672" s="112"/>
      <c r="N672" s="18">
        <f>N636+N648+N670</f>
        <v>0</v>
      </c>
      <c r="O672" s="97">
        <f>O636+O648+O670</f>
        <v>0</v>
      </c>
      <c r="P672" s="97">
        <f>P636+P648+P670</f>
        <v>0</v>
      </c>
      <c r="Q672" s="97"/>
      <c r="R672" s="97"/>
      <c r="S672" s="97">
        <f t="shared" ref="S672:X672" si="255">S636+S648+S670</f>
        <v>0</v>
      </c>
      <c r="T672" s="97">
        <f t="shared" si="255"/>
        <v>0</v>
      </c>
      <c r="U672" s="97">
        <f t="shared" si="255"/>
        <v>0</v>
      </c>
      <c r="V672" s="97">
        <f t="shared" si="255"/>
        <v>0</v>
      </c>
      <c r="W672" s="97">
        <f t="shared" si="255"/>
        <v>0</v>
      </c>
      <c r="X672" s="97">
        <f t="shared" si="255"/>
        <v>0</v>
      </c>
      <c r="Y672" s="97"/>
      <c r="Z672" s="16" t="str">
        <f>VLOOKUP($D672,TableInputsData[],ReadMe!$M$3,FALSE)&amp;"  |  "&amp;VLOOKUP($E672,TableInputsData[],ReadMe!$M$3,FALSE)&amp;"  |  "&amp;VLOOKUP($H672,TableInputsData[],ReadMe!$M$3,FALSE)</f>
        <v>ACTIFS MATERIEL IMMOBILISES  |  VALEUR BILAN FIN D'ANNEE  |  TOTAL ACTIFS IMMOBILISES</v>
      </c>
      <c r="AA672" s="16"/>
      <c r="AB672" s="27">
        <v>1</v>
      </c>
      <c r="AC672" s="27">
        <v>1</v>
      </c>
      <c r="AD672" s="27"/>
      <c r="AE672" s="27"/>
      <c r="AF672" s="27">
        <v>1</v>
      </c>
      <c r="AG672" s="27"/>
      <c r="AH672" s="533"/>
      <c r="AI672" s="294"/>
    </row>
    <row r="673" spans="1:35" x14ac:dyDescent="0.2">
      <c r="A673" s="294"/>
      <c r="B673" s="922"/>
      <c r="C673" s="71">
        <v>3</v>
      </c>
      <c r="D673" s="8"/>
      <c r="E673" s="8"/>
      <c r="F673" s="8"/>
      <c r="G673" s="8"/>
      <c r="H673" s="9"/>
      <c r="I673" s="9"/>
      <c r="J673" s="87"/>
      <c r="K673" s="87"/>
      <c r="L673" s="98"/>
      <c r="M673" s="113"/>
      <c r="N673" s="10"/>
      <c r="O673" s="10"/>
      <c r="P673" s="10"/>
      <c r="Q673" s="10"/>
      <c r="R673" s="10"/>
      <c r="S673" s="10"/>
      <c r="T673" s="10"/>
      <c r="U673" s="10"/>
      <c r="V673" s="10"/>
      <c r="W673" s="10"/>
      <c r="X673" s="10"/>
      <c r="Y673" s="10"/>
      <c r="Z673" s="8"/>
      <c r="AA673" s="8"/>
      <c r="AB673" s="35"/>
      <c r="AC673" s="35"/>
      <c r="AD673" s="35"/>
      <c r="AE673" s="87"/>
      <c r="AF673" s="35"/>
      <c r="AG673" s="35"/>
      <c r="AH673" s="534"/>
      <c r="AI673" s="294"/>
    </row>
    <row r="674" spans="1:35" x14ac:dyDescent="0.2">
      <c r="A674" s="294"/>
      <c r="B674" s="922"/>
      <c r="C674" s="66">
        <v>3</v>
      </c>
      <c r="D674" s="3" t="s">
        <v>763</v>
      </c>
      <c r="E674" s="3" t="s">
        <v>759</v>
      </c>
      <c r="F674" s="3" t="s">
        <v>21</v>
      </c>
      <c r="G674" s="3" t="s">
        <v>848</v>
      </c>
      <c r="H674" s="5" t="s">
        <v>763</v>
      </c>
      <c r="I674" s="5" t="str">
        <f>IF(I580="","",I580)</f>
        <v/>
      </c>
      <c r="J674" s="26"/>
      <c r="K674" s="26">
        <f t="shared" ref="K674:M678" si="256">IF(K580="",0,K580)</f>
        <v>0</v>
      </c>
      <c r="L674" s="96">
        <f t="shared" si="256"/>
        <v>0</v>
      </c>
      <c r="M674" s="111">
        <f t="shared" si="256"/>
        <v>0.2</v>
      </c>
      <c r="N674" s="4">
        <f>IF(N580="","",N580)</f>
        <v>0</v>
      </c>
      <c r="O674" s="4">
        <f>IF(O$5&lt;$K674,0,$L674-SUM($N580:N580)-O580)</f>
        <v>0</v>
      </c>
      <c r="P674" s="4">
        <f>IF(P$5&lt;$K674,0,$L674-SUM($N580:O580)-P580)</f>
        <v>0</v>
      </c>
      <c r="Q674" s="60"/>
      <c r="R674" s="60"/>
      <c r="S674" s="4">
        <f>IF(S$5&lt;$K674,0,$L674-SUM($N580:R580)-S580)</f>
        <v>0</v>
      </c>
      <c r="T674" s="4">
        <f>IF(T$5&lt;$K674,0,$L674-SUM($N580:S580)-T580)</f>
        <v>0</v>
      </c>
      <c r="U674" s="4">
        <f>IF(U$5&lt;$K674,0,$L674-SUM($N580:T580)-U580)</f>
        <v>0</v>
      </c>
      <c r="V674" s="4">
        <f>IF(V$5&lt;$K674,0,$L674-SUM($N580:U580)-V580)</f>
        <v>0</v>
      </c>
      <c r="W674" s="4">
        <f>IF(W$5&lt;$K674,0,$L674-SUM($N580:V580)-W580)</f>
        <v>0</v>
      </c>
      <c r="X674" s="4">
        <f>IF(X$5&lt;$K674,0,$L674-SUM($N580:W580)-X580)</f>
        <v>0</v>
      </c>
      <c r="Y674" s="4"/>
      <c r="Z674" s="3" t="str">
        <f>VLOOKUP($D674,TableInputsData[],ReadMe!$M$3,FALSE)&amp;"  |  "&amp;VLOOKUP($E674,TableInputsData[],ReadMe!$M$3,FALSE)&amp;"  |  "&amp;VLOOKUP($H674,TableInputsData[],ReadMe!$M$3,FALSE)</f>
        <v>ACTIFS IMMATERIELS  |  VALEUR BILAN FIN D'ANNEE  |  ACTIFS IMMATERIELS</v>
      </c>
      <c r="AA674" s="3"/>
      <c r="AB674" s="34">
        <f>IF(L674+SUM(O674:X674)=0,0,1)</f>
        <v>0</v>
      </c>
      <c r="AC674" s="34"/>
      <c r="AD674" s="34"/>
      <c r="AE674" s="26"/>
      <c r="AF674" s="34">
        <v>1</v>
      </c>
      <c r="AG674" s="34"/>
      <c r="AH674" s="535"/>
      <c r="AI674" s="294"/>
    </row>
    <row r="675" spans="1:35" x14ac:dyDescent="0.2">
      <c r="A675" s="294"/>
      <c r="B675" s="922"/>
      <c r="C675" s="66">
        <v>3</v>
      </c>
      <c r="D675" s="3" t="s">
        <v>763</v>
      </c>
      <c r="E675" s="3" t="s">
        <v>759</v>
      </c>
      <c r="F675" s="3" t="s">
        <v>21</v>
      </c>
      <c r="G675" s="3" t="s">
        <v>849</v>
      </c>
      <c r="H675" s="5" t="s">
        <v>763</v>
      </c>
      <c r="I675" s="5" t="str">
        <f>IF(I581="","",I581)</f>
        <v/>
      </c>
      <c r="J675" s="26"/>
      <c r="K675" s="26">
        <f t="shared" si="256"/>
        <v>0</v>
      </c>
      <c r="L675" s="96">
        <f t="shared" si="256"/>
        <v>0</v>
      </c>
      <c r="M675" s="111">
        <f t="shared" si="256"/>
        <v>0.2</v>
      </c>
      <c r="N675" s="4">
        <f>IF(N581="","",N581)</f>
        <v>0</v>
      </c>
      <c r="O675" s="4">
        <f>IF(O$5&lt;$K675,0,$L675-SUM($N581:N581)-O581)</f>
        <v>0</v>
      </c>
      <c r="P675" s="4">
        <f>IF(P$5&lt;$K675,0,$L675-SUM($N581:O581)-P581)</f>
        <v>0</v>
      </c>
      <c r="Q675" s="60"/>
      <c r="R675" s="60"/>
      <c r="S675" s="4">
        <f>IF(S$5&lt;$K675,0,$L675-SUM($N581:R581)-S581)</f>
        <v>0</v>
      </c>
      <c r="T675" s="4">
        <f>IF(T$5&lt;$K675,0,$L675-SUM($N581:S581)-T581)</f>
        <v>0</v>
      </c>
      <c r="U675" s="4">
        <f>IF(U$5&lt;$K675,0,$L675-SUM($N581:T581)-U581)</f>
        <v>0</v>
      </c>
      <c r="V675" s="4">
        <f>IF(V$5&lt;$K675,0,$L675-SUM($N581:U581)-V581)</f>
        <v>0</v>
      </c>
      <c r="W675" s="4">
        <f>IF(W$5&lt;$K675,0,$L675-SUM($N581:V581)-W581)</f>
        <v>0</v>
      </c>
      <c r="X675" s="4">
        <f>IF(X$5&lt;$K675,0,$L675-SUM($N581:W581)-X581)</f>
        <v>0</v>
      </c>
      <c r="Y675" s="4"/>
      <c r="Z675" s="3" t="str">
        <f>VLOOKUP($D675,TableInputsData[],ReadMe!$M$3,FALSE)&amp;"  |  "&amp;VLOOKUP($E675,TableInputsData[],ReadMe!$M$3,FALSE)&amp;"  |  "&amp;VLOOKUP($H675,TableInputsData[],ReadMe!$M$3,FALSE)</f>
        <v>ACTIFS IMMATERIELS  |  VALEUR BILAN FIN D'ANNEE  |  ACTIFS IMMATERIELS</v>
      </c>
      <c r="AA675" s="3"/>
      <c r="AB675" s="34">
        <f>IF(L675+SUM(O675:X675)=0,0,1)</f>
        <v>0</v>
      </c>
      <c r="AC675" s="34"/>
      <c r="AD675" s="34"/>
      <c r="AE675" s="26"/>
      <c r="AF675" s="34">
        <v>1</v>
      </c>
      <c r="AG675" s="34"/>
      <c r="AH675" s="535"/>
      <c r="AI675" s="294"/>
    </row>
    <row r="676" spans="1:35" x14ac:dyDescent="0.2">
      <c r="A676" s="294"/>
      <c r="B676" s="922"/>
      <c r="C676" s="66">
        <v>3</v>
      </c>
      <c r="D676" s="3" t="s">
        <v>763</v>
      </c>
      <c r="E676" s="3" t="s">
        <v>759</v>
      </c>
      <c r="F676" s="3" t="s">
        <v>21</v>
      </c>
      <c r="G676" s="3" t="s">
        <v>850</v>
      </c>
      <c r="H676" s="5" t="s">
        <v>763</v>
      </c>
      <c r="I676" s="5" t="str">
        <f>IF(I582="","",I582)</f>
        <v/>
      </c>
      <c r="J676" s="26"/>
      <c r="K676" s="26">
        <f t="shared" si="256"/>
        <v>0</v>
      </c>
      <c r="L676" s="96">
        <f t="shared" si="256"/>
        <v>0</v>
      </c>
      <c r="M676" s="111">
        <f t="shared" si="256"/>
        <v>0.2</v>
      </c>
      <c r="N676" s="4">
        <f>IF(N582="","",N582)</f>
        <v>0</v>
      </c>
      <c r="O676" s="4">
        <f>IF(O$5&lt;$K676,0,$L676-SUM($N582:N582)-O582)</f>
        <v>0</v>
      </c>
      <c r="P676" s="4">
        <f>IF(P$5&lt;$K676,0,$L676-SUM($N582:O582)-P582)</f>
        <v>0</v>
      </c>
      <c r="Q676" s="60"/>
      <c r="R676" s="60"/>
      <c r="S676" s="4">
        <f>IF(S$5&lt;$K676,0,$L676-SUM($N582:R582)-S582)</f>
        <v>0</v>
      </c>
      <c r="T676" s="4">
        <f>IF(T$5&lt;$K676,0,$L676-SUM($N582:S582)-T582)</f>
        <v>0</v>
      </c>
      <c r="U676" s="4">
        <f>IF(U$5&lt;$K676,0,$L676-SUM($N582:T582)-U582)</f>
        <v>0</v>
      </c>
      <c r="V676" s="4">
        <f>IF(V$5&lt;$K676,0,$L676-SUM($N582:U582)-V582)</f>
        <v>0</v>
      </c>
      <c r="W676" s="4">
        <f>IF(W$5&lt;$K676,0,$L676-SUM($N582:V582)-W582)</f>
        <v>0</v>
      </c>
      <c r="X676" s="4">
        <f>IF(X$5&lt;$K676,0,$L676-SUM($N582:W582)-X582)</f>
        <v>0</v>
      </c>
      <c r="Y676" s="4"/>
      <c r="Z676" s="3" t="str">
        <f>VLOOKUP($D676,TableInputsData[],ReadMe!$M$3,FALSE)&amp;"  |  "&amp;VLOOKUP($E676,TableInputsData[],ReadMe!$M$3,FALSE)&amp;"  |  "&amp;VLOOKUP($H676,TableInputsData[],ReadMe!$M$3,FALSE)</f>
        <v>ACTIFS IMMATERIELS  |  VALEUR BILAN FIN D'ANNEE  |  ACTIFS IMMATERIELS</v>
      </c>
      <c r="AA676" s="3"/>
      <c r="AB676" s="34">
        <f>IF(L676+SUM(O676:X676)=0,0,1)</f>
        <v>0</v>
      </c>
      <c r="AC676" s="34"/>
      <c r="AD676" s="34"/>
      <c r="AE676" s="26"/>
      <c r="AF676" s="34">
        <v>1</v>
      </c>
      <c r="AG676" s="34"/>
      <c r="AH676" s="535"/>
      <c r="AI676" s="294"/>
    </row>
    <row r="677" spans="1:35" x14ac:dyDescent="0.2">
      <c r="A677" s="294"/>
      <c r="B677" s="922"/>
      <c r="C677" s="66">
        <v>3</v>
      </c>
      <c r="D677" s="3" t="s">
        <v>763</v>
      </c>
      <c r="E677" s="3" t="s">
        <v>759</v>
      </c>
      <c r="F677" s="3" t="s">
        <v>21</v>
      </c>
      <c r="G677" s="3" t="s">
        <v>851</v>
      </c>
      <c r="H677" s="5" t="s">
        <v>763</v>
      </c>
      <c r="I677" s="5" t="str">
        <f>IF(I583="","",I583)</f>
        <v/>
      </c>
      <c r="J677" s="26"/>
      <c r="K677" s="26">
        <f t="shared" si="256"/>
        <v>0</v>
      </c>
      <c r="L677" s="96">
        <f t="shared" si="256"/>
        <v>0</v>
      </c>
      <c r="M677" s="111">
        <f t="shared" si="256"/>
        <v>0.2</v>
      </c>
      <c r="N677" s="4">
        <f>IF(N583="","",N583)</f>
        <v>0</v>
      </c>
      <c r="O677" s="4">
        <f>IF(O$5&lt;$K677,0,$L677-SUM($N583:N583)-O583)</f>
        <v>0</v>
      </c>
      <c r="P677" s="4">
        <f>IF(P$5&lt;$K677,0,$L677-SUM($N583:O583)-P583)</f>
        <v>0</v>
      </c>
      <c r="Q677" s="60"/>
      <c r="R677" s="60"/>
      <c r="S677" s="4">
        <f>IF(S$5&lt;$K677,0,$L677-SUM($N583:R583)-S583)</f>
        <v>0</v>
      </c>
      <c r="T677" s="4">
        <f>IF(T$5&lt;$K677,0,$L677-SUM($N583:S583)-T583)</f>
        <v>0</v>
      </c>
      <c r="U677" s="4">
        <f>IF(U$5&lt;$K677,0,$L677-SUM($N583:T583)-U583)</f>
        <v>0</v>
      </c>
      <c r="V677" s="4">
        <f>IF(V$5&lt;$K677,0,$L677-SUM($N583:U583)-V583)</f>
        <v>0</v>
      </c>
      <c r="W677" s="4">
        <f>IF(W$5&lt;$K677,0,$L677-SUM($N583:V583)-W583)</f>
        <v>0</v>
      </c>
      <c r="X677" s="4">
        <f>IF(X$5&lt;$K677,0,$L677-SUM($N583:W583)-X583)</f>
        <v>0</v>
      </c>
      <c r="Y677" s="4"/>
      <c r="Z677" s="3" t="str">
        <f>VLOOKUP($D677,TableInputsData[],ReadMe!$M$3,FALSE)&amp;"  |  "&amp;VLOOKUP($E677,TableInputsData[],ReadMe!$M$3,FALSE)&amp;"  |  "&amp;VLOOKUP($H677,TableInputsData[],ReadMe!$M$3,FALSE)</f>
        <v>ACTIFS IMMATERIELS  |  VALEUR BILAN FIN D'ANNEE  |  ACTIFS IMMATERIELS</v>
      </c>
      <c r="AA677" s="3"/>
      <c r="AB677" s="34">
        <f>IF(L677+SUM(O677:X677)=0,0,1)</f>
        <v>0</v>
      </c>
      <c r="AC677" s="34"/>
      <c r="AD677" s="34"/>
      <c r="AE677" s="26"/>
      <c r="AF677" s="34">
        <v>1</v>
      </c>
      <c r="AG677" s="34"/>
      <c r="AH677" s="535"/>
      <c r="AI677" s="294"/>
    </row>
    <row r="678" spans="1:35" x14ac:dyDescent="0.2">
      <c r="A678" s="294"/>
      <c r="B678" s="922"/>
      <c r="C678" s="70">
        <v>3</v>
      </c>
      <c r="D678" s="6" t="s">
        <v>763</v>
      </c>
      <c r="E678" s="6" t="s">
        <v>759</v>
      </c>
      <c r="F678" s="6" t="s">
        <v>21</v>
      </c>
      <c r="G678" s="3" t="s">
        <v>852</v>
      </c>
      <c r="H678" s="11" t="s">
        <v>763</v>
      </c>
      <c r="I678" s="5" t="str">
        <f>IF(I584="","",I584)</f>
        <v/>
      </c>
      <c r="J678" s="26"/>
      <c r="K678" s="26">
        <f t="shared" si="256"/>
        <v>0</v>
      </c>
      <c r="L678" s="96">
        <f t="shared" si="256"/>
        <v>0</v>
      </c>
      <c r="M678" s="111">
        <f t="shared" si="256"/>
        <v>0.2</v>
      </c>
      <c r="N678" s="4">
        <f>IF(N584="","",N584)</f>
        <v>0</v>
      </c>
      <c r="O678" s="4">
        <f>IF(O$5&lt;$K678,0,$L678-SUM($N584:N584)-O584)</f>
        <v>0</v>
      </c>
      <c r="P678" s="4">
        <f>IF(P$5&lt;$K678,0,$L678-SUM($N584:O584)-P584)</f>
        <v>0</v>
      </c>
      <c r="Q678" s="60"/>
      <c r="R678" s="60"/>
      <c r="S678" s="4">
        <f>IF(S$5&lt;$K678,0,$L678-SUM($N584:R584)-S584)</f>
        <v>0</v>
      </c>
      <c r="T678" s="4">
        <f>IF(T$5&lt;$K678,0,$L678-SUM($N584:S584)-T584)</f>
        <v>0</v>
      </c>
      <c r="U678" s="4">
        <f>IF(U$5&lt;$K678,0,$L678-SUM($N584:T584)-U584)</f>
        <v>0</v>
      </c>
      <c r="V678" s="4">
        <f>IF(V$5&lt;$K678,0,$L678-SUM($N584:U584)-V584)</f>
        <v>0</v>
      </c>
      <c r="W678" s="4">
        <f>IF(W$5&lt;$K678,0,$L678-SUM($N584:V584)-W584)</f>
        <v>0</v>
      </c>
      <c r="X678" s="4">
        <f>IF(X$5&lt;$K678,0,$L678-SUM($N584:W584)-X584)</f>
        <v>0</v>
      </c>
      <c r="Y678" s="7"/>
      <c r="Z678" s="6" t="str">
        <f>VLOOKUP($D678,TableInputsData[],ReadMe!$M$3,FALSE)&amp;"  |  "&amp;VLOOKUP($E678,TableInputsData[],ReadMe!$M$3,FALSE)&amp;"  |  "&amp;VLOOKUP($H678,TableInputsData[],ReadMe!$M$3,FALSE)</f>
        <v>ACTIFS IMMATERIELS  |  VALEUR BILAN FIN D'ANNEE  |  ACTIFS IMMATERIELS</v>
      </c>
      <c r="AA678" s="6"/>
      <c r="AB678" s="34">
        <f>IF(L678+SUM(O678:X678)=0,0,1)</f>
        <v>0</v>
      </c>
      <c r="AC678" s="36"/>
      <c r="AD678" s="36"/>
      <c r="AE678" s="91"/>
      <c r="AF678" s="36">
        <v>1</v>
      </c>
      <c r="AG678" s="36"/>
      <c r="AH678" s="536"/>
      <c r="AI678" s="294"/>
    </row>
    <row r="679" spans="1:35" x14ac:dyDescent="0.2">
      <c r="A679" s="294"/>
      <c r="B679" s="922"/>
      <c r="C679" s="67">
        <v>3</v>
      </c>
      <c r="D679" s="16" t="s">
        <v>763</v>
      </c>
      <c r="E679" s="16" t="s">
        <v>759</v>
      </c>
      <c r="F679" s="16" t="s">
        <v>21</v>
      </c>
      <c r="G679" s="16" t="s">
        <v>853</v>
      </c>
      <c r="H679" s="17" t="s">
        <v>1164</v>
      </c>
      <c r="I679" s="17"/>
      <c r="J679" s="27"/>
      <c r="K679" s="27"/>
      <c r="L679" s="18">
        <f>SUM(L674:L678)</f>
        <v>0</v>
      </c>
      <c r="M679" s="112"/>
      <c r="N679" s="18">
        <f>SUM(N674:N678)</f>
        <v>0</v>
      </c>
      <c r="O679" s="18">
        <f>SUM(O674:O678)</f>
        <v>0</v>
      </c>
      <c r="P679" s="18">
        <f>SUM(P674:P678)</f>
        <v>0</v>
      </c>
      <c r="Q679" s="18"/>
      <c r="R679" s="18"/>
      <c r="S679" s="18">
        <f t="shared" ref="S679:X679" si="257">SUM(S674:S678)</f>
        <v>0</v>
      </c>
      <c r="T679" s="18">
        <f t="shared" si="257"/>
        <v>0</v>
      </c>
      <c r="U679" s="18">
        <f t="shared" si="257"/>
        <v>0</v>
      </c>
      <c r="V679" s="18">
        <f t="shared" si="257"/>
        <v>0</v>
      </c>
      <c r="W679" s="18">
        <f t="shared" si="257"/>
        <v>0</v>
      </c>
      <c r="X679" s="18">
        <f t="shared" si="257"/>
        <v>0</v>
      </c>
      <c r="Y679" s="18"/>
      <c r="Z679" s="16" t="str">
        <f>VLOOKUP($D679,TableInputsData[],ReadMe!$M$3,FALSE)&amp;"  |  "&amp;VLOOKUP($E679,TableInputsData[],ReadMe!$M$3,FALSE)&amp;"  |  "&amp;VLOOKUP($H679,TableInputsData[],ReadMe!$M$3,FALSE)</f>
        <v>ACTIFS IMMATERIELS  |  VALEUR BILAN FIN D'ANNEE  |  TOTAL ACTIFS IMMATERIELS</v>
      </c>
      <c r="AA679" s="16"/>
      <c r="AB679" s="27">
        <v>1</v>
      </c>
      <c r="AC679" s="27">
        <v>1</v>
      </c>
      <c r="AD679" s="27"/>
      <c r="AE679" s="27"/>
      <c r="AF679" s="27">
        <v>1</v>
      </c>
      <c r="AG679" s="27"/>
      <c r="AH679" s="533"/>
      <c r="AI679" s="294"/>
    </row>
    <row r="680" spans="1:35" x14ac:dyDescent="0.2">
      <c r="A680" s="294"/>
      <c r="B680" s="922"/>
      <c r="C680" s="71">
        <v>3</v>
      </c>
      <c r="D680" s="8"/>
      <c r="E680" s="8"/>
      <c r="F680" s="8"/>
      <c r="G680" s="8"/>
      <c r="H680" s="9"/>
      <c r="I680" s="9"/>
      <c r="J680" s="87"/>
      <c r="K680" s="87"/>
      <c r="L680" s="98"/>
      <c r="M680" s="113"/>
      <c r="N680" s="10"/>
      <c r="O680" s="10"/>
      <c r="P680" s="10"/>
      <c r="Q680" s="10"/>
      <c r="R680" s="10"/>
      <c r="S680" s="10"/>
      <c r="T680" s="10"/>
      <c r="U680" s="10"/>
      <c r="V680" s="10"/>
      <c r="W680" s="10"/>
      <c r="X680" s="10"/>
      <c r="Y680" s="10"/>
      <c r="Z680" s="8"/>
      <c r="AA680" s="8"/>
      <c r="AB680" s="35"/>
      <c r="AC680" s="35"/>
      <c r="AD680" s="35"/>
      <c r="AE680" s="87"/>
      <c r="AF680" s="35"/>
      <c r="AG680" s="35"/>
      <c r="AH680" s="534"/>
      <c r="AI680" s="294"/>
    </row>
    <row r="681" spans="1:35" x14ac:dyDescent="0.2">
      <c r="A681" s="294"/>
      <c r="B681" s="922"/>
      <c r="C681" s="66">
        <v>3</v>
      </c>
      <c r="D681" s="3" t="s">
        <v>764</v>
      </c>
      <c r="E681" s="3" t="s">
        <v>759</v>
      </c>
      <c r="F681" s="3" t="s">
        <v>21</v>
      </c>
      <c r="G681" s="3" t="s">
        <v>854</v>
      </c>
      <c r="H681" s="5" t="s">
        <v>764</v>
      </c>
      <c r="I681" s="5" t="str">
        <f>IF(I587="","",I587)</f>
        <v/>
      </c>
      <c r="J681" s="26"/>
      <c r="K681" s="26">
        <f t="shared" ref="K681:M685" si="258">IF(K587="",0,K587)</f>
        <v>0</v>
      </c>
      <c r="L681" s="96">
        <f t="shared" si="258"/>
        <v>0</v>
      </c>
      <c r="M681" s="111">
        <f t="shared" si="258"/>
        <v>0.2</v>
      </c>
      <c r="N681" s="4">
        <f>IF(N587="","",N587)</f>
        <v>0</v>
      </c>
      <c r="O681" s="4">
        <f>IF(O$5&lt;$K681,0,$L681-SUM($N587:N587)-O587)</f>
        <v>0</v>
      </c>
      <c r="P681" s="4">
        <f>IF(P$5&lt;$K681,0,$L681-SUM($N587:O587)-P587)</f>
        <v>0</v>
      </c>
      <c r="Q681" s="60"/>
      <c r="R681" s="60"/>
      <c r="S681" s="4">
        <f>IF(S$5&lt;$K681,0,$L681-SUM($N587:R587)-S587)</f>
        <v>0</v>
      </c>
      <c r="T681" s="4">
        <f>IF(T$5&lt;$K681,0,$L681-SUM($N587:S587)-T587)</f>
        <v>0</v>
      </c>
      <c r="U681" s="4">
        <f>IF(U$5&lt;$K681,0,$L681-SUM($N587:T587)-U587)</f>
        <v>0</v>
      </c>
      <c r="V681" s="4">
        <f>IF(V$5&lt;$K681,0,$L681-SUM($N587:U587)-V587)</f>
        <v>0</v>
      </c>
      <c r="W681" s="4">
        <f>IF(W$5&lt;$K681,0,$L681-SUM($N587:V587)-W587)</f>
        <v>0</v>
      </c>
      <c r="X681" s="4">
        <f>IF(X$5&lt;$K681,0,$L681-SUM($N587:W587)-X587)</f>
        <v>0</v>
      </c>
      <c r="Y681" s="4"/>
      <c r="Z681" s="3" t="str">
        <f>VLOOKUP($D681,TableInputsData[],ReadMe!$M$3,FALSE)&amp;"  |  "&amp;VLOOKUP($E681,TableInputsData[],ReadMe!$M$3,FALSE)&amp;"  |  "&amp;VLOOKUP($H681,TableInputsData[],ReadMe!$M$3,FALSE)</f>
        <v>FRAIS DE DEMARRAGE  |  VALEUR BILAN FIN D'ANNEE  |  FRAIS DE DEMARRAGE</v>
      </c>
      <c r="AA681" s="3"/>
      <c r="AB681" s="34">
        <f>IF(L681+SUM(O681:X681)=0,0,1)</f>
        <v>0</v>
      </c>
      <c r="AC681" s="34"/>
      <c r="AD681" s="34"/>
      <c r="AE681" s="26"/>
      <c r="AF681" s="34">
        <v>1</v>
      </c>
      <c r="AG681" s="34"/>
      <c r="AH681" s="535"/>
      <c r="AI681" s="294"/>
    </row>
    <row r="682" spans="1:35" x14ac:dyDescent="0.2">
      <c r="A682" s="294"/>
      <c r="B682" s="922"/>
      <c r="C682" s="66">
        <v>3</v>
      </c>
      <c r="D682" s="3" t="s">
        <v>764</v>
      </c>
      <c r="E682" s="3" t="s">
        <v>759</v>
      </c>
      <c r="F682" s="3" t="s">
        <v>21</v>
      </c>
      <c r="G682" s="3" t="s">
        <v>855</v>
      </c>
      <c r="H682" s="5" t="s">
        <v>764</v>
      </c>
      <c r="I682" s="5" t="str">
        <f>IF(I588="","",I588)</f>
        <v/>
      </c>
      <c r="J682" s="26"/>
      <c r="K682" s="26">
        <f t="shared" si="258"/>
        <v>0</v>
      </c>
      <c r="L682" s="96">
        <f t="shared" si="258"/>
        <v>0</v>
      </c>
      <c r="M682" s="111">
        <f t="shared" si="258"/>
        <v>0.2</v>
      </c>
      <c r="N682" s="4">
        <f>IF(N588="","",N588)</f>
        <v>0</v>
      </c>
      <c r="O682" s="4">
        <f>IF(O$5&lt;$K682,0,$L682-SUM($N588:N588)-O588)</f>
        <v>0</v>
      </c>
      <c r="P682" s="4">
        <f>IF(P$5&lt;$K682,0,$L682-SUM($N588:O588)-P588)</f>
        <v>0</v>
      </c>
      <c r="Q682" s="60"/>
      <c r="R682" s="60"/>
      <c r="S682" s="4">
        <f>IF(S$5&lt;$K682,0,$L682-SUM($N588:R588)-S588)</f>
        <v>0</v>
      </c>
      <c r="T682" s="4">
        <f>IF(T$5&lt;$K682,0,$L682-SUM($N588:S588)-T588)</f>
        <v>0</v>
      </c>
      <c r="U682" s="4">
        <f>IF(U$5&lt;$K682,0,$L682-SUM($N588:T588)-U588)</f>
        <v>0</v>
      </c>
      <c r="V682" s="4">
        <f>IF(V$5&lt;$K682,0,$L682-SUM($N588:U588)-V588)</f>
        <v>0</v>
      </c>
      <c r="W682" s="4">
        <f>IF(W$5&lt;$K682,0,$L682-SUM($N588:V588)-W588)</f>
        <v>0</v>
      </c>
      <c r="X682" s="4">
        <f>IF(X$5&lt;$K682,0,$L682-SUM($N588:W588)-X588)</f>
        <v>0</v>
      </c>
      <c r="Y682" s="4"/>
      <c r="Z682" s="3" t="str">
        <f>VLOOKUP($D682,TableInputsData[],ReadMe!$M$3,FALSE)&amp;"  |  "&amp;VLOOKUP($E682,TableInputsData[],ReadMe!$M$3,FALSE)&amp;"  |  "&amp;VLOOKUP($H682,TableInputsData[],ReadMe!$M$3,FALSE)</f>
        <v>FRAIS DE DEMARRAGE  |  VALEUR BILAN FIN D'ANNEE  |  FRAIS DE DEMARRAGE</v>
      </c>
      <c r="AA682" s="3"/>
      <c r="AB682" s="34">
        <f>IF(L682+SUM(O682:X682)=0,0,1)</f>
        <v>0</v>
      </c>
      <c r="AC682" s="34"/>
      <c r="AD682" s="34"/>
      <c r="AE682" s="26"/>
      <c r="AF682" s="34">
        <v>1</v>
      </c>
      <c r="AG682" s="34"/>
      <c r="AH682" s="535"/>
      <c r="AI682" s="294"/>
    </row>
    <row r="683" spans="1:35" x14ac:dyDescent="0.2">
      <c r="A683" s="294"/>
      <c r="B683" s="922"/>
      <c r="C683" s="66">
        <v>3</v>
      </c>
      <c r="D683" s="3" t="s">
        <v>764</v>
      </c>
      <c r="E683" s="3" t="s">
        <v>759</v>
      </c>
      <c r="F683" s="3" t="s">
        <v>21</v>
      </c>
      <c r="G683" s="3" t="s">
        <v>856</v>
      </c>
      <c r="H683" s="5" t="s">
        <v>764</v>
      </c>
      <c r="I683" s="5" t="str">
        <f>IF(I589="","",I589)</f>
        <v/>
      </c>
      <c r="J683" s="26"/>
      <c r="K683" s="26">
        <f t="shared" si="258"/>
        <v>0</v>
      </c>
      <c r="L683" s="96">
        <f t="shared" si="258"/>
        <v>0</v>
      </c>
      <c r="M683" s="111">
        <f t="shared" si="258"/>
        <v>0.2</v>
      </c>
      <c r="N683" s="4">
        <f>IF(N589="","",N589)</f>
        <v>0</v>
      </c>
      <c r="O683" s="4">
        <f>IF(O$5&lt;$K683,0,$L683-SUM($N589:N589)-O589)</f>
        <v>0</v>
      </c>
      <c r="P683" s="4">
        <f>IF(P$5&lt;$K683,0,$L683-SUM($N589:O589)-P589)</f>
        <v>0</v>
      </c>
      <c r="Q683" s="60"/>
      <c r="R683" s="60"/>
      <c r="S683" s="4">
        <f>IF(S$5&lt;$K683,0,$L683-SUM($N589:R589)-S589)</f>
        <v>0</v>
      </c>
      <c r="T683" s="4">
        <f>IF(T$5&lt;$K683,0,$L683-SUM($N589:S589)-T589)</f>
        <v>0</v>
      </c>
      <c r="U683" s="4">
        <f>IF(U$5&lt;$K683,0,$L683-SUM($N589:T589)-U589)</f>
        <v>0</v>
      </c>
      <c r="V683" s="4">
        <f>IF(V$5&lt;$K683,0,$L683-SUM($N589:U589)-V589)</f>
        <v>0</v>
      </c>
      <c r="W683" s="4">
        <f>IF(W$5&lt;$K683,0,$L683-SUM($N589:V589)-W589)</f>
        <v>0</v>
      </c>
      <c r="X683" s="4">
        <f>IF(X$5&lt;$K683,0,$L683-SUM($N589:W589)-X589)</f>
        <v>0</v>
      </c>
      <c r="Y683" s="4"/>
      <c r="Z683" s="3" t="str">
        <f>VLOOKUP($D683,TableInputsData[],ReadMe!$M$3,FALSE)&amp;"  |  "&amp;VLOOKUP($E683,TableInputsData[],ReadMe!$M$3,FALSE)&amp;"  |  "&amp;VLOOKUP($H683,TableInputsData[],ReadMe!$M$3,FALSE)</f>
        <v>FRAIS DE DEMARRAGE  |  VALEUR BILAN FIN D'ANNEE  |  FRAIS DE DEMARRAGE</v>
      </c>
      <c r="AA683" s="3"/>
      <c r="AB683" s="34">
        <f>IF(L683+SUM(O683:X683)=0,0,1)</f>
        <v>0</v>
      </c>
      <c r="AC683" s="34"/>
      <c r="AD683" s="34"/>
      <c r="AE683" s="26"/>
      <c r="AF683" s="34">
        <v>1</v>
      </c>
      <c r="AG683" s="34"/>
      <c r="AH683" s="535"/>
      <c r="AI683" s="294"/>
    </row>
    <row r="684" spans="1:35" x14ac:dyDescent="0.2">
      <c r="A684" s="294"/>
      <c r="B684" s="922"/>
      <c r="C684" s="66">
        <v>3</v>
      </c>
      <c r="D684" s="3" t="s">
        <v>764</v>
      </c>
      <c r="E684" s="3" t="s">
        <v>759</v>
      </c>
      <c r="F684" s="3" t="s">
        <v>21</v>
      </c>
      <c r="G684" s="3" t="s">
        <v>857</v>
      </c>
      <c r="H684" s="5" t="s">
        <v>764</v>
      </c>
      <c r="I684" s="5" t="str">
        <f>IF(I590="","",I590)</f>
        <v/>
      </c>
      <c r="J684" s="26"/>
      <c r="K684" s="26">
        <f t="shared" si="258"/>
        <v>0</v>
      </c>
      <c r="L684" s="96">
        <f t="shared" si="258"/>
        <v>0</v>
      </c>
      <c r="M684" s="111">
        <f t="shared" si="258"/>
        <v>0.2</v>
      </c>
      <c r="N684" s="4">
        <f>IF(N590="","",N590)</f>
        <v>0</v>
      </c>
      <c r="O684" s="4">
        <f>IF(O$5&lt;$K684,0,$L684-SUM($N590:N590)-O590)</f>
        <v>0</v>
      </c>
      <c r="P684" s="4">
        <f>IF(P$5&lt;$K684,0,$L684-SUM($N590:O590)-P590)</f>
        <v>0</v>
      </c>
      <c r="Q684" s="60"/>
      <c r="R684" s="60"/>
      <c r="S684" s="4">
        <f>IF(S$5&lt;$K684,0,$L684-SUM($N590:R590)-S590)</f>
        <v>0</v>
      </c>
      <c r="T684" s="4">
        <f>IF(T$5&lt;$K684,0,$L684-SUM($N590:S590)-T590)</f>
        <v>0</v>
      </c>
      <c r="U684" s="4">
        <f>IF(U$5&lt;$K684,0,$L684-SUM($N590:T590)-U590)</f>
        <v>0</v>
      </c>
      <c r="V684" s="4">
        <f>IF(V$5&lt;$K684,0,$L684-SUM($N590:U590)-V590)</f>
        <v>0</v>
      </c>
      <c r="W684" s="4">
        <f>IF(W$5&lt;$K684,0,$L684-SUM($N590:V590)-W590)</f>
        <v>0</v>
      </c>
      <c r="X684" s="4">
        <f>IF(X$5&lt;$K684,0,$L684-SUM($N590:W590)-X590)</f>
        <v>0</v>
      </c>
      <c r="Y684" s="4"/>
      <c r="Z684" s="3" t="str">
        <f>VLOOKUP($D684,TableInputsData[],ReadMe!$M$3,FALSE)&amp;"  |  "&amp;VLOOKUP($E684,TableInputsData[],ReadMe!$M$3,FALSE)&amp;"  |  "&amp;VLOOKUP($H684,TableInputsData[],ReadMe!$M$3,FALSE)</f>
        <v>FRAIS DE DEMARRAGE  |  VALEUR BILAN FIN D'ANNEE  |  FRAIS DE DEMARRAGE</v>
      </c>
      <c r="AA684" s="3"/>
      <c r="AB684" s="34">
        <f>IF(L684+SUM(O684:X684)=0,0,1)</f>
        <v>0</v>
      </c>
      <c r="AC684" s="34"/>
      <c r="AD684" s="34"/>
      <c r="AE684" s="26"/>
      <c r="AF684" s="34">
        <v>1</v>
      </c>
      <c r="AG684" s="34"/>
      <c r="AH684" s="535"/>
      <c r="AI684" s="294"/>
    </row>
    <row r="685" spans="1:35" x14ac:dyDescent="0.2">
      <c r="A685" s="294"/>
      <c r="B685" s="922"/>
      <c r="C685" s="70">
        <v>3</v>
      </c>
      <c r="D685" s="6" t="s">
        <v>764</v>
      </c>
      <c r="E685" s="6" t="s">
        <v>759</v>
      </c>
      <c r="F685" s="6" t="s">
        <v>21</v>
      </c>
      <c r="G685" s="3" t="s">
        <v>858</v>
      </c>
      <c r="H685" s="11" t="s">
        <v>764</v>
      </c>
      <c r="I685" s="5" t="str">
        <f>IF(I591="","",I591)</f>
        <v/>
      </c>
      <c r="J685" s="26"/>
      <c r="K685" s="26">
        <f t="shared" si="258"/>
        <v>0</v>
      </c>
      <c r="L685" s="96">
        <f t="shared" si="258"/>
        <v>0</v>
      </c>
      <c r="M685" s="111">
        <f t="shared" si="258"/>
        <v>0.2</v>
      </c>
      <c r="N685" s="4">
        <f>IF(N591="","",N591)</f>
        <v>0</v>
      </c>
      <c r="O685" s="4">
        <f>IF(O$5&lt;$K685,0,$L685-SUM($N591:N591)-O591)</f>
        <v>0</v>
      </c>
      <c r="P685" s="4">
        <f>IF(P$5&lt;$K685,0,$L685-SUM($N591:O591)-P591)</f>
        <v>0</v>
      </c>
      <c r="Q685" s="60"/>
      <c r="R685" s="60"/>
      <c r="S685" s="4">
        <f>IF(S$5&lt;$K685,0,$L685-SUM($N591:R591)-S591)</f>
        <v>0</v>
      </c>
      <c r="T685" s="4">
        <f>IF(T$5&lt;$K685,0,$L685-SUM($N591:S591)-T591)</f>
        <v>0</v>
      </c>
      <c r="U685" s="4">
        <f>IF(U$5&lt;$K685,0,$L685-SUM($N591:T591)-U591)</f>
        <v>0</v>
      </c>
      <c r="V685" s="4">
        <f>IF(V$5&lt;$K685,0,$L685-SUM($N591:U591)-V591)</f>
        <v>0</v>
      </c>
      <c r="W685" s="4">
        <f>IF(W$5&lt;$K685,0,$L685-SUM($N591:V591)-W591)</f>
        <v>0</v>
      </c>
      <c r="X685" s="4">
        <f>IF(X$5&lt;$K685,0,$L685-SUM($N591:W591)-X591)</f>
        <v>0</v>
      </c>
      <c r="Y685" s="7"/>
      <c r="Z685" s="6" t="str">
        <f>VLOOKUP($D685,TableInputsData[],ReadMe!$M$3,FALSE)&amp;"  |  "&amp;VLOOKUP($E685,TableInputsData[],ReadMe!$M$3,FALSE)&amp;"  |  "&amp;VLOOKUP($H685,TableInputsData[],ReadMe!$M$3,FALSE)</f>
        <v>FRAIS DE DEMARRAGE  |  VALEUR BILAN FIN D'ANNEE  |  FRAIS DE DEMARRAGE</v>
      </c>
      <c r="AA685" s="6"/>
      <c r="AB685" s="34">
        <f>IF(L685+SUM(O685:X685)=0,0,1)</f>
        <v>0</v>
      </c>
      <c r="AC685" s="36"/>
      <c r="AD685" s="36"/>
      <c r="AE685" s="91"/>
      <c r="AF685" s="36">
        <v>1</v>
      </c>
      <c r="AG685" s="36"/>
      <c r="AH685" s="536"/>
      <c r="AI685" s="294"/>
    </row>
    <row r="686" spans="1:35" x14ac:dyDescent="0.2">
      <c r="A686" s="294"/>
      <c r="B686" s="922"/>
      <c r="C686" s="67">
        <v>3</v>
      </c>
      <c r="D686" s="16" t="s">
        <v>764</v>
      </c>
      <c r="E686" s="16" t="s">
        <v>759</v>
      </c>
      <c r="F686" s="16" t="s">
        <v>21</v>
      </c>
      <c r="G686" s="16" t="s">
        <v>859</v>
      </c>
      <c r="H686" s="17" t="s">
        <v>1163</v>
      </c>
      <c r="I686" s="17"/>
      <c r="J686" s="27"/>
      <c r="K686" s="27"/>
      <c r="L686" s="18">
        <f>SUM(L681:L685)</f>
        <v>0</v>
      </c>
      <c r="M686" s="112"/>
      <c r="N686" s="18">
        <f>SUM(N681:N685)</f>
        <v>0</v>
      </c>
      <c r="O686" s="18">
        <f>SUM(O681:O685)</f>
        <v>0</v>
      </c>
      <c r="P686" s="18">
        <f>SUM(P681:P685)</f>
        <v>0</v>
      </c>
      <c r="Q686" s="18"/>
      <c r="R686" s="18"/>
      <c r="S686" s="18">
        <f t="shared" ref="S686:X686" si="259">SUM(S681:S685)</f>
        <v>0</v>
      </c>
      <c r="T686" s="18">
        <f t="shared" si="259"/>
        <v>0</v>
      </c>
      <c r="U686" s="18">
        <f t="shared" si="259"/>
        <v>0</v>
      </c>
      <c r="V686" s="18">
        <f t="shared" si="259"/>
        <v>0</v>
      </c>
      <c r="W686" s="18">
        <f t="shared" si="259"/>
        <v>0</v>
      </c>
      <c r="X686" s="18">
        <f t="shared" si="259"/>
        <v>0</v>
      </c>
      <c r="Y686" s="18"/>
      <c r="Z686" s="16" t="str">
        <f>VLOOKUP($D686,TableInputsData[],ReadMe!$M$3,FALSE)&amp;"  |  "&amp;VLOOKUP($E686,TableInputsData[],ReadMe!$M$3,FALSE)&amp;"  |  "&amp;VLOOKUP($H686,TableInputsData[],ReadMe!$M$3,FALSE)</f>
        <v>FRAIS DE DEMARRAGE  |  VALEUR BILAN FIN D'ANNEE  |  TOTAL FRAIS DE DEMARRAGE</v>
      </c>
      <c r="AA686" s="16"/>
      <c r="AB686" s="27">
        <v>1</v>
      </c>
      <c r="AC686" s="27">
        <v>1</v>
      </c>
      <c r="AD686" s="27"/>
      <c r="AE686" s="27"/>
      <c r="AF686" s="27">
        <v>1</v>
      </c>
      <c r="AG686" s="27"/>
      <c r="AH686" s="533"/>
      <c r="AI686" s="294"/>
    </row>
    <row r="687" spans="1:35" x14ac:dyDescent="0.2">
      <c r="A687" s="294"/>
      <c r="B687" s="922"/>
      <c r="C687" s="66">
        <v>3</v>
      </c>
      <c r="D687" s="3"/>
      <c r="E687" s="3"/>
      <c r="F687" s="3"/>
      <c r="G687" s="3"/>
      <c r="H687" s="5"/>
      <c r="I687" s="5"/>
      <c r="J687" s="26"/>
      <c r="K687" s="26"/>
      <c r="L687" s="96"/>
      <c r="M687" s="118"/>
      <c r="N687" s="4"/>
      <c r="O687" s="4"/>
      <c r="P687" s="4"/>
      <c r="Q687" s="4"/>
      <c r="R687" s="4"/>
      <c r="S687" s="4"/>
      <c r="T687" s="4"/>
      <c r="U687" s="4"/>
      <c r="V687" s="4"/>
      <c r="W687" s="4"/>
      <c r="X687" s="4"/>
      <c r="Y687" s="4"/>
      <c r="Z687" s="3"/>
      <c r="AA687" s="3"/>
      <c r="AB687" s="34"/>
      <c r="AC687" s="34"/>
      <c r="AD687" s="34"/>
      <c r="AE687" s="26"/>
      <c r="AF687" s="34"/>
      <c r="AG687" s="34"/>
      <c r="AH687" s="535"/>
      <c r="AI687" s="294"/>
    </row>
    <row r="688" spans="1:35" x14ac:dyDescent="0.2">
      <c r="A688" s="294"/>
      <c r="B688" s="922"/>
      <c r="C688" s="67">
        <v>3</v>
      </c>
      <c r="D688" s="16" t="s">
        <v>987</v>
      </c>
      <c r="E688" s="16" t="s">
        <v>759</v>
      </c>
      <c r="F688" s="16" t="s">
        <v>21</v>
      </c>
      <c r="G688" s="16" t="s">
        <v>860</v>
      </c>
      <c r="H688" s="16" t="s">
        <v>987</v>
      </c>
      <c r="I688" s="17"/>
      <c r="J688" s="27"/>
      <c r="K688" s="27"/>
      <c r="L688" s="97">
        <f>L672+L679+L686</f>
        <v>0</v>
      </c>
      <c r="M688" s="112"/>
      <c r="N688" s="18">
        <f>N672+N679+N686</f>
        <v>0</v>
      </c>
      <c r="O688" s="97">
        <f>O672+O679+O686</f>
        <v>0</v>
      </c>
      <c r="P688" s="97">
        <f>P672+P679+P686</f>
        <v>0</v>
      </c>
      <c r="Q688" s="97"/>
      <c r="R688" s="97"/>
      <c r="S688" s="97">
        <f t="shared" ref="S688:X688" si="260">S672+S679+S686</f>
        <v>0</v>
      </c>
      <c r="T688" s="97">
        <f t="shared" si="260"/>
        <v>0</v>
      </c>
      <c r="U688" s="97">
        <f t="shared" si="260"/>
        <v>0</v>
      </c>
      <c r="V688" s="97">
        <f t="shared" si="260"/>
        <v>0</v>
      </c>
      <c r="W688" s="97">
        <f t="shared" si="260"/>
        <v>0</v>
      </c>
      <c r="X688" s="97">
        <f t="shared" si="260"/>
        <v>0</v>
      </c>
      <c r="Y688" s="97"/>
      <c r="Z688" s="16" t="str">
        <f>VLOOKUP($D688,TableInputsData[],ReadMe!$M$3,FALSE)&amp;"  |  "&amp;VLOOKUP($E688,TableInputsData[],ReadMe!$M$3,FALSE)&amp;"  |  "&amp;VLOOKUP($H688,TableInputsData[],ReadMe!$M$3,FALSE)</f>
        <v>TOTAL ACTIF  |  VALEUR BILAN FIN D'ANNEE  |  TOTAL ACTIF</v>
      </c>
      <c r="AA688" s="16"/>
      <c r="AB688" s="27">
        <v>1</v>
      </c>
      <c r="AC688" s="27">
        <v>1</v>
      </c>
      <c r="AD688" s="27"/>
      <c r="AE688" s="27"/>
      <c r="AF688" s="27">
        <v>1</v>
      </c>
      <c r="AG688" s="27"/>
      <c r="AH688" s="533"/>
      <c r="AI688" s="294"/>
    </row>
    <row r="689" spans="1:35" x14ac:dyDescent="0.2">
      <c r="A689" s="294"/>
      <c r="B689" s="922"/>
      <c r="C689" s="66">
        <v>3</v>
      </c>
      <c r="D689" s="3"/>
      <c r="E689" s="3"/>
      <c r="F689" s="3"/>
      <c r="G689" s="3"/>
      <c r="H689" s="5"/>
      <c r="I689" s="124"/>
      <c r="J689" s="125"/>
      <c r="K689" s="125"/>
      <c r="L689" s="96"/>
      <c r="M689" s="118"/>
      <c r="N689" s="861"/>
      <c r="O689" s="4"/>
      <c r="P689" s="4"/>
      <c r="Q689" s="4"/>
      <c r="R689" s="4"/>
      <c r="S689" s="4"/>
      <c r="T689" s="4"/>
      <c r="U689" s="4"/>
      <c r="V689" s="4"/>
      <c r="W689" s="4"/>
      <c r="X689" s="4"/>
      <c r="Y689" s="4"/>
      <c r="Z689" s="3"/>
      <c r="AA689" s="3"/>
      <c r="AB689" s="34"/>
      <c r="AC689" s="34"/>
      <c r="AD689" s="34"/>
      <c r="AE689" s="26"/>
      <c r="AF689" s="34"/>
      <c r="AG689" s="34"/>
      <c r="AH689" s="535"/>
      <c r="AI689" s="294"/>
    </row>
    <row r="690" spans="1:35" x14ac:dyDescent="0.2">
      <c r="A690" s="294"/>
      <c r="B690" s="922"/>
      <c r="C690" s="73">
        <v>3</v>
      </c>
      <c r="D690" s="55"/>
      <c r="E690" s="55"/>
      <c r="F690" s="55"/>
      <c r="G690" s="55"/>
      <c r="H690" s="56"/>
      <c r="I690" s="56"/>
      <c r="J690" s="92"/>
      <c r="K690" s="92"/>
      <c r="L690" s="106"/>
      <c r="M690" s="122"/>
      <c r="N690" s="858"/>
      <c r="O690" s="57"/>
      <c r="P690" s="57"/>
      <c r="Q690" s="57"/>
      <c r="R690" s="57"/>
      <c r="S690" s="57"/>
      <c r="T690" s="57"/>
      <c r="U690" s="57"/>
      <c r="V690" s="57"/>
      <c r="W690" s="57"/>
      <c r="X690" s="57"/>
      <c r="Y690" s="57"/>
      <c r="Z690" s="55"/>
      <c r="AA690" s="55"/>
      <c r="AB690" s="58"/>
      <c r="AC690" s="58"/>
      <c r="AD690" s="58"/>
      <c r="AE690" s="92"/>
      <c r="AF690" s="58"/>
      <c r="AG690" s="58"/>
      <c r="AH690" s="538"/>
      <c r="AI690" s="294"/>
    </row>
    <row r="691" spans="1:35" x14ac:dyDescent="0.2">
      <c r="A691" s="294"/>
      <c r="B691" s="940" t="s">
        <v>890</v>
      </c>
      <c r="C691" s="73">
        <v>4</v>
      </c>
      <c r="D691" s="55"/>
      <c r="E691" s="55"/>
      <c r="F691" s="55"/>
      <c r="G691" s="55"/>
      <c r="H691" s="56"/>
      <c r="I691" s="56"/>
      <c r="J691" s="92"/>
      <c r="K691" s="92"/>
      <c r="L691" s="106"/>
      <c r="M691" s="122"/>
      <c r="N691" s="858"/>
      <c r="O691" s="57"/>
      <c r="P691" s="57"/>
      <c r="Q691" s="57"/>
      <c r="R691" s="57"/>
      <c r="S691" s="57"/>
      <c r="T691" s="57"/>
      <c r="U691" s="57"/>
      <c r="V691" s="57"/>
      <c r="W691" s="57"/>
      <c r="X691" s="57"/>
      <c r="Y691" s="57"/>
      <c r="Z691" s="55"/>
      <c r="AA691" s="55"/>
      <c r="AB691" s="58"/>
      <c r="AC691" s="58"/>
      <c r="AD691" s="58"/>
      <c r="AE691" s="92"/>
      <c r="AF691" s="58"/>
      <c r="AG691" s="58"/>
      <c r="AH691" s="538"/>
      <c r="AI691" s="294"/>
    </row>
    <row r="692" spans="1:35" x14ac:dyDescent="0.2">
      <c r="A692" s="294"/>
      <c r="B692" s="941"/>
      <c r="C692" s="66">
        <v>4</v>
      </c>
      <c r="D692" s="3"/>
      <c r="E692" s="3"/>
      <c r="F692" s="3"/>
      <c r="G692" s="3"/>
      <c r="H692" s="5"/>
      <c r="I692" s="124"/>
      <c r="J692" s="125"/>
      <c r="K692" s="125"/>
      <c r="L692" s="96"/>
      <c r="M692" s="118"/>
      <c r="N692" s="861"/>
      <c r="O692" s="4"/>
      <c r="P692" s="4"/>
      <c r="Q692" s="4"/>
      <c r="R692" s="4"/>
      <c r="S692" s="4"/>
      <c r="T692" s="4"/>
      <c r="U692" s="4"/>
      <c r="V692" s="4"/>
      <c r="W692" s="4"/>
      <c r="X692" s="4"/>
      <c r="Y692" s="4"/>
      <c r="Z692" s="3"/>
      <c r="AA692" s="3"/>
      <c r="AB692" s="34"/>
      <c r="AC692" s="34"/>
      <c r="AD692" s="34"/>
      <c r="AE692" s="26"/>
      <c r="AF692" s="34"/>
      <c r="AG692" s="34"/>
      <c r="AH692" s="535"/>
      <c r="AI692" s="294"/>
    </row>
    <row r="693" spans="1:35" ht="26" customHeight="1" x14ac:dyDescent="0.2">
      <c r="A693" s="294"/>
      <c r="B693" s="941"/>
      <c r="C693" s="66">
        <v>4</v>
      </c>
      <c r="D693" s="3" t="s">
        <v>863</v>
      </c>
      <c r="E693" s="149" t="s">
        <v>134</v>
      </c>
      <c r="F693" s="3" t="s">
        <v>634</v>
      </c>
      <c r="G693" s="3"/>
      <c r="H693" s="143" t="s">
        <v>866</v>
      </c>
      <c r="I693" s="375" t="s">
        <v>892</v>
      </c>
      <c r="J693" s="778"/>
      <c r="K693" s="133"/>
      <c r="L693" s="127"/>
      <c r="M693" s="134"/>
      <c r="N693" s="862"/>
      <c r="O693" s="504">
        <v>0</v>
      </c>
      <c r="P693" s="504">
        <v>0</v>
      </c>
      <c r="Q693" s="60"/>
      <c r="R693" s="60"/>
      <c r="S693" s="504">
        <v>45</v>
      </c>
      <c r="T693" s="504">
        <v>45</v>
      </c>
      <c r="U693" s="504">
        <v>60</v>
      </c>
      <c r="V693" s="504">
        <v>60</v>
      </c>
      <c r="W693" s="504">
        <v>60</v>
      </c>
      <c r="X693" s="504">
        <v>60</v>
      </c>
      <c r="Y693" s="604"/>
      <c r="Z693" s="149" t="str">
        <f>VLOOKUP($D693,TableInputsData[],ReadMe!$M$3,FALSE)&amp;"  |  "&amp;VLOOKUP($E693,TableInputsData[],ReadMe!$M$3,FALSE)&amp;"  |  "&amp;VLOOKUP($H693,TableInputsData[],ReadMe!$M$3,FALSE)</f>
        <v>FONDS DE ROULEMENT  |  STOCK  |  PERIODE DE STOCK EXPRIME EN NOMBRE DE JOURS</v>
      </c>
      <c r="AA693" s="3"/>
      <c r="AB693" s="34"/>
      <c r="AC693" s="34"/>
      <c r="AD693" s="34">
        <v>1</v>
      </c>
      <c r="AE693" s="26"/>
      <c r="AF693" s="34">
        <v>1</v>
      </c>
      <c r="AG693" s="34"/>
      <c r="AH693" s="535"/>
      <c r="AI693" s="294"/>
    </row>
    <row r="694" spans="1:35" ht="26" customHeight="1" x14ac:dyDescent="0.2">
      <c r="A694" s="294"/>
      <c r="B694" s="941"/>
      <c r="C694" s="70">
        <v>4</v>
      </c>
      <c r="D694" s="6" t="s">
        <v>863</v>
      </c>
      <c r="E694" s="150" t="s">
        <v>134</v>
      </c>
      <c r="F694" s="6" t="s">
        <v>21</v>
      </c>
      <c r="G694" s="6"/>
      <c r="H694" s="144" t="s">
        <v>867</v>
      </c>
      <c r="I694" s="376" t="s">
        <v>893</v>
      </c>
      <c r="J694" s="779"/>
      <c r="K694" s="136"/>
      <c r="L694" s="137"/>
      <c r="M694" s="138"/>
      <c r="N694" s="863"/>
      <c r="O694" s="505">
        <v>0</v>
      </c>
      <c r="P694" s="505">
        <v>0</v>
      </c>
      <c r="Q694" s="139"/>
      <c r="R694" s="139"/>
      <c r="S694" s="7">
        <f t="shared" ref="S694:X694" si="261">S142/360</f>
        <v>0</v>
      </c>
      <c r="T694" s="7">
        <f t="shared" si="261"/>
        <v>0</v>
      </c>
      <c r="U694" s="7">
        <f t="shared" si="261"/>
        <v>0</v>
      </c>
      <c r="V694" s="7">
        <f t="shared" si="261"/>
        <v>0</v>
      </c>
      <c r="W694" s="7">
        <f t="shared" si="261"/>
        <v>0</v>
      </c>
      <c r="X694" s="7">
        <f t="shared" si="261"/>
        <v>0</v>
      </c>
      <c r="Y694" s="7"/>
      <c r="Z694" s="150" t="str">
        <f>VLOOKUP($D694,TableInputsData[],ReadMe!$M$3,FALSE)&amp;"  |  "&amp;VLOOKUP($E694,TableInputsData[],ReadMe!$M$3,FALSE)&amp;"  |  "&amp;VLOOKUP($H694,TableInputsData[],ReadMe!$M$3,FALSE)</f>
        <v>FONDS DE ROULEMENT  |  STOCK  |  COUT DES PRODUITS PAR JOUR</v>
      </c>
      <c r="AA694" s="6"/>
      <c r="AB694" s="36"/>
      <c r="AC694" s="36"/>
      <c r="AD694" s="36">
        <v>1</v>
      </c>
      <c r="AE694" s="91"/>
      <c r="AF694" s="36">
        <v>1</v>
      </c>
      <c r="AG694" s="36"/>
      <c r="AH694" s="536"/>
      <c r="AI694" s="294"/>
    </row>
    <row r="695" spans="1:35" ht="26" customHeight="1" x14ac:dyDescent="0.2">
      <c r="A695" s="294"/>
      <c r="B695" s="941"/>
      <c r="C695" s="67">
        <v>4</v>
      </c>
      <c r="D695" s="16" t="s">
        <v>863</v>
      </c>
      <c r="E695" s="573" t="s">
        <v>134</v>
      </c>
      <c r="F695" s="16" t="s">
        <v>21</v>
      </c>
      <c r="G695" s="16"/>
      <c r="H695" s="51" t="s">
        <v>868</v>
      </c>
      <c r="I695" s="145"/>
      <c r="J695" s="146"/>
      <c r="K695" s="146"/>
      <c r="L695" s="97"/>
      <c r="M695" s="112"/>
      <c r="N695" s="849"/>
      <c r="O695" s="18">
        <f>O693*O694</f>
        <v>0</v>
      </c>
      <c r="P695" s="18">
        <f>P693*P694</f>
        <v>0</v>
      </c>
      <c r="Q695" s="18"/>
      <c r="R695" s="18"/>
      <c r="S695" s="18">
        <f t="shared" ref="S695:X695" si="262">S693*S694</f>
        <v>0</v>
      </c>
      <c r="T695" s="18">
        <f t="shared" si="262"/>
        <v>0</v>
      </c>
      <c r="U695" s="18">
        <f t="shared" si="262"/>
        <v>0</v>
      </c>
      <c r="V695" s="18">
        <f t="shared" si="262"/>
        <v>0</v>
      </c>
      <c r="W695" s="18">
        <f t="shared" si="262"/>
        <v>0</v>
      </c>
      <c r="X695" s="18">
        <f t="shared" si="262"/>
        <v>0</v>
      </c>
      <c r="Y695" s="18"/>
      <c r="Z695" s="16" t="str">
        <f>VLOOKUP($D695,TableInputsData[],ReadMe!$M$3,FALSE)&amp;"  |  "&amp;VLOOKUP($E695,TableInputsData[],ReadMe!$M$3,FALSE)&amp;"  |  "&amp;VLOOKUP($H695,TableInputsData[],ReadMe!$M$3,FALSE)</f>
        <v>FONDS DE ROULEMENT  |  STOCK  |  VALEUR DU STOCK SUR LA PERIODE</v>
      </c>
      <c r="AA695" s="16"/>
      <c r="AB695" s="27"/>
      <c r="AC695" s="27">
        <v>1</v>
      </c>
      <c r="AD695" s="27">
        <v>1</v>
      </c>
      <c r="AE695" s="27"/>
      <c r="AF695" s="27">
        <v>1</v>
      </c>
      <c r="AG695" s="27"/>
      <c r="AH695" s="533"/>
      <c r="AI695" s="294"/>
    </row>
    <row r="696" spans="1:35" x14ac:dyDescent="0.2">
      <c r="A696" s="294"/>
      <c r="B696" s="941"/>
      <c r="C696" s="71">
        <v>4</v>
      </c>
      <c r="D696" s="8"/>
      <c r="E696" s="8"/>
      <c r="F696" s="8"/>
      <c r="G696" s="8"/>
      <c r="H696" s="9"/>
      <c r="I696" s="140"/>
      <c r="J696" s="141"/>
      <c r="K696" s="141"/>
      <c r="L696" s="98"/>
      <c r="M696" s="113"/>
      <c r="N696" s="854"/>
      <c r="O696" s="10"/>
      <c r="P696" s="10"/>
      <c r="Q696" s="10"/>
      <c r="R696" s="10"/>
      <c r="S696" s="10"/>
      <c r="T696" s="10"/>
      <c r="U696" s="10"/>
      <c r="V696" s="10"/>
      <c r="W696" s="10"/>
      <c r="X696" s="10"/>
      <c r="Y696" s="10"/>
      <c r="Z696" s="8"/>
      <c r="AA696" s="8"/>
      <c r="AB696" s="35"/>
      <c r="AC696" s="35"/>
      <c r="AD696" s="35"/>
      <c r="AE696" s="87"/>
      <c r="AF696" s="35"/>
      <c r="AG696" s="35"/>
      <c r="AH696" s="534"/>
      <c r="AI696" s="294"/>
    </row>
    <row r="697" spans="1:35" ht="26" customHeight="1" x14ac:dyDescent="0.2">
      <c r="A697" s="294"/>
      <c r="B697" s="941"/>
      <c r="C697" s="66">
        <v>4</v>
      </c>
      <c r="D697" s="3" t="s">
        <v>863</v>
      </c>
      <c r="E697" s="149" t="s">
        <v>864</v>
      </c>
      <c r="F697" s="3" t="s">
        <v>634</v>
      </c>
      <c r="G697" s="3"/>
      <c r="H697" s="143" t="s">
        <v>869</v>
      </c>
      <c r="I697" s="375" t="s">
        <v>892</v>
      </c>
      <c r="J697" s="778"/>
      <c r="K697" s="133"/>
      <c r="L697" s="127"/>
      <c r="M697" s="134"/>
      <c r="N697" s="862"/>
      <c r="O697" s="504">
        <v>0</v>
      </c>
      <c r="P697" s="504">
        <v>0</v>
      </c>
      <c r="Q697" s="60"/>
      <c r="R697" s="60"/>
      <c r="S697" s="504">
        <v>15</v>
      </c>
      <c r="T697" s="504">
        <v>15</v>
      </c>
      <c r="U697" s="504">
        <v>15</v>
      </c>
      <c r="V697" s="504">
        <v>15</v>
      </c>
      <c r="W697" s="504">
        <v>15</v>
      </c>
      <c r="X697" s="504">
        <v>15</v>
      </c>
      <c r="Y697" s="604"/>
      <c r="Z697" s="149" t="str">
        <f>VLOOKUP($D697,TableInputsData[],ReadMe!$M$3,FALSE)&amp;"  |  "&amp;VLOOKUP($E697,TableInputsData[],ReadMe!$M$3,FALSE)&amp;"  |  "&amp;VLOOKUP($H697,TableInputsData[],ReadMe!$M$3,FALSE)</f>
        <v>FONDS DE ROULEMENT  |  COMPTES A RECEVOIR  |  PERIODE DE PAIEMENT DES CLIENTS EXPRIME EN NOMBRE DE JOURS</v>
      </c>
      <c r="AA697" s="3"/>
      <c r="AB697" s="34"/>
      <c r="AC697" s="34"/>
      <c r="AD697" s="34">
        <v>1</v>
      </c>
      <c r="AE697" s="26"/>
      <c r="AF697" s="34">
        <v>1</v>
      </c>
      <c r="AG697" s="34"/>
      <c r="AH697" s="535"/>
      <c r="AI697" s="294"/>
    </row>
    <row r="698" spans="1:35" ht="26" customHeight="1" x14ac:dyDescent="0.2">
      <c r="A698" s="294"/>
      <c r="B698" s="941"/>
      <c r="C698" s="70">
        <v>4</v>
      </c>
      <c r="D698" s="6" t="s">
        <v>863</v>
      </c>
      <c r="E698" s="150" t="s">
        <v>864</v>
      </c>
      <c r="F698" s="6" t="s">
        <v>21</v>
      </c>
      <c r="G698" s="6"/>
      <c r="H698" s="144" t="s">
        <v>876</v>
      </c>
      <c r="I698" s="374" t="s">
        <v>412</v>
      </c>
      <c r="J698" s="780">
        <f>VLOOKUP(I698,TableInputsData[],8,FALSE)</f>
        <v>0.18</v>
      </c>
      <c r="K698" s="136"/>
      <c r="L698" s="137"/>
      <c r="M698" s="138"/>
      <c r="N698" s="863"/>
      <c r="O698" s="505">
        <v>0</v>
      </c>
      <c r="P698" s="505">
        <v>0</v>
      </c>
      <c r="Q698" s="139"/>
      <c r="R698" s="139"/>
      <c r="S698" s="7">
        <f>S192*(1+$J698)/360</f>
        <v>0</v>
      </c>
      <c r="T698" s="7">
        <f t="shared" ref="T698:X698" si="263">T192*(1+$J698)/360</f>
        <v>0</v>
      </c>
      <c r="U698" s="7">
        <f t="shared" si="263"/>
        <v>0</v>
      </c>
      <c r="V698" s="7">
        <f t="shared" si="263"/>
        <v>0</v>
      </c>
      <c r="W698" s="7">
        <f t="shared" si="263"/>
        <v>0</v>
      </c>
      <c r="X698" s="7">
        <f t="shared" si="263"/>
        <v>0</v>
      </c>
      <c r="Y698" s="7"/>
      <c r="Z698" s="150" t="str">
        <f>VLOOKUP($D698,TableInputsData[],ReadMe!$M$3,FALSE)&amp;"  |  "&amp;VLOOKUP($E698,TableInputsData[],ReadMe!$M$3,FALSE)&amp;"  |  "&amp;VLOOKUP($H698,TableInputsData[],ReadMe!$M$3,FALSE)</f>
        <v>FONDS DE ROULEMENT  |  COMPTES A RECEVOIR  |  REVENUS (TVA INCLUSE) PAR JOUR</v>
      </c>
      <c r="AA698" s="6"/>
      <c r="AB698" s="36"/>
      <c r="AC698" s="36"/>
      <c r="AD698" s="36">
        <v>1</v>
      </c>
      <c r="AE698" s="91"/>
      <c r="AF698" s="36">
        <v>1</v>
      </c>
      <c r="AG698" s="36"/>
      <c r="AH698" s="536"/>
      <c r="AI698" s="294"/>
    </row>
    <row r="699" spans="1:35" ht="26" customHeight="1" x14ac:dyDescent="0.2">
      <c r="A699" s="294"/>
      <c r="B699" s="941"/>
      <c r="C699" s="67">
        <v>4</v>
      </c>
      <c r="D699" s="16" t="s">
        <v>863</v>
      </c>
      <c r="E699" s="573" t="s">
        <v>864</v>
      </c>
      <c r="F699" s="16" t="s">
        <v>21</v>
      </c>
      <c r="G699" s="16"/>
      <c r="H699" s="51" t="s">
        <v>870</v>
      </c>
      <c r="I699" s="145"/>
      <c r="J699" s="146"/>
      <c r="K699" s="146"/>
      <c r="L699" s="97"/>
      <c r="M699" s="112"/>
      <c r="N699" s="849"/>
      <c r="O699" s="18">
        <f>O697*O698</f>
        <v>0</v>
      </c>
      <c r="P699" s="18">
        <f>P697*P698</f>
        <v>0</v>
      </c>
      <c r="Q699" s="18"/>
      <c r="R699" s="18"/>
      <c r="S699" s="18">
        <f t="shared" ref="S699:X699" si="264">S697*S698</f>
        <v>0</v>
      </c>
      <c r="T699" s="18">
        <f t="shared" si="264"/>
        <v>0</v>
      </c>
      <c r="U699" s="18">
        <f t="shared" si="264"/>
        <v>0</v>
      </c>
      <c r="V699" s="18">
        <f t="shared" si="264"/>
        <v>0</v>
      </c>
      <c r="W699" s="18">
        <f t="shared" si="264"/>
        <v>0</v>
      </c>
      <c r="X699" s="18">
        <f t="shared" si="264"/>
        <v>0</v>
      </c>
      <c r="Y699" s="18"/>
      <c r="Z699" s="16" t="str">
        <f>VLOOKUP($D699,TableInputsData[],ReadMe!$M$3,FALSE)&amp;"  |  "&amp;VLOOKUP($E699,TableInputsData[],ReadMe!$M$3,FALSE)&amp;"  |  "&amp;VLOOKUP($H699,TableInputsData[],ReadMe!$M$3,FALSE)</f>
        <v>FONDS DE ROULEMENT  |  COMPTES A RECEVOIR  |  VALEUR DES COMPTES A RECEVOIR SUR LA PERIODE</v>
      </c>
      <c r="AA699" s="16"/>
      <c r="AB699" s="27"/>
      <c r="AC699" s="27">
        <v>1</v>
      </c>
      <c r="AD699" s="27">
        <v>1</v>
      </c>
      <c r="AE699" s="27"/>
      <c r="AF699" s="27">
        <v>1</v>
      </c>
      <c r="AG699" s="27"/>
      <c r="AH699" s="533"/>
      <c r="AI699" s="294"/>
    </row>
    <row r="700" spans="1:35" x14ac:dyDescent="0.2">
      <c r="A700" s="294"/>
      <c r="B700" s="941"/>
      <c r="C700" s="71">
        <v>4</v>
      </c>
      <c r="D700" s="8"/>
      <c r="E700" s="8"/>
      <c r="F700" s="8"/>
      <c r="G700" s="8"/>
      <c r="H700" s="9"/>
      <c r="I700" s="140"/>
      <c r="J700" s="141"/>
      <c r="K700" s="141"/>
      <c r="L700" s="98"/>
      <c r="M700" s="113"/>
      <c r="N700" s="854"/>
      <c r="O700" s="10"/>
      <c r="P700" s="10"/>
      <c r="Q700" s="10"/>
      <c r="R700" s="10"/>
      <c r="S700" s="10"/>
      <c r="T700" s="10"/>
      <c r="U700" s="10"/>
      <c r="V700" s="10"/>
      <c r="W700" s="10"/>
      <c r="X700" s="10"/>
      <c r="Y700" s="10"/>
      <c r="Z700" s="8"/>
      <c r="AA700" s="8"/>
      <c r="AB700" s="35"/>
      <c r="AC700" s="35"/>
      <c r="AD700" s="35"/>
      <c r="AE700" s="87"/>
      <c r="AF700" s="35"/>
      <c r="AG700" s="35"/>
      <c r="AH700" s="534"/>
      <c r="AI700" s="294"/>
    </row>
    <row r="701" spans="1:35" ht="26" customHeight="1" x14ac:dyDescent="0.2">
      <c r="A701" s="294"/>
      <c r="B701" s="941"/>
      <c r="C701" s="66">
        <v>4</v>
      </c>
      <c r="D701" s="3" t="s">
        <v>863</v>
      </c>
      <c r="E701" s="149" t="s">
        <v>865</v>
      </c>
      <c r="F701" s="3" t="s">
        <v>634</v>
      </c>
      <c r="G701" s="3"/>
      <c r="H701" s="143" t="s">
        <v>871</v>
      </c>
      <c r="I701" s="375" t="s">
        <v>892</v>
      </c>
      <c r="J701" s="778"/>
      <c r="K701" s="133"/>
      <c r="L701" s="127"/>
      <c r="M701" s="134"/>
      <c r="N701" s="862"/>
      <c r="O701" s="504">
        <v>0</v>
      </c>
      <c r="P701" s="504">
        <v>0</v>
      </c>
      <c r="Q701" s="60"/>
      <c r="R701" s="60"/>
      <c r="S701" s="504">
        <v>30</v>
      </c>
      <c r="T701" s="504">
        <v>30</v>
      </c>
      <c r="U701" s="504">
        <v>30</v>
      </c>
      <c r="V701" s="504">
        <v>30</v>
      </c>
      <c r="W701" s="504">
        <v>30</v>
      </c>
      <c r="X701" s="504">
        <v>30</v>
      </c>
      <c r="Y701" s="604"/>
      <c r="Z701" s="149" t="str">
        <f>VLOOKUP($D701,TableInputsData[],ReadMe!$M$3,FALSE)&amp;"  |  "&amp;VLOOKUP($E701,TableInputsData[],ReadMe!$M$3,FALSE)&amp;"  |  "&amp;VLOOKUP($H701,TableInputsData[],ReadMe!$M$3,FALSE)</f>
        <v>FONDS DE ROULEMENT  |  COMPTES A PAYER  |  PERIODE DE PAIEMENT DES FOURNISSEURS EXPRIME EN NOMBRE DE JOURS</v>
      </c>
      <c r="AA701" s="3"/>
      <c r="AB701" s="34"/>
      <c r="AC701" s="34"/>
      <c r="AD701" s="34">
        <v>1</v>
      </c>
      <c r="AE701" s="26"/>
      <c r="AF701" s="34">
        <v>1</v>
      </c>
      <c r="AG701" s="34"/>
      <c r="AH701" s="535"/>
      <c r="AI701" s="294"/>
    </row>
    <row r="702" spans="1:35" ht="26" customHeight="1" x14ac:dyDescent="0.2">
      <c r="A702" s="294"/>
      <c r="B702" s="941"/>
      <c r="C702" s="70">
        <v>4</v>
      </c>
      <c r="D702" s="6" t="s">
        <v>863</v>
      </c>
      <c r="E702" s="150" t="s">
        <v>865</v>
      </c>
      <c r="F702" s="6" t="s">
        <v>21</v>
      </c>
      <c r="G702" s="6"/>
      <c r="H702" s="144" t="s">
        <v>875</v>
      </c>
      <c r="I702" s="374" t="s">
        <v>412</v>
      </c>
      <c r="J702" s="780">
        <f>VLOOKUP(I702,TableInputsData[],8,FALSE)</f>
        <v>0.18</v>
      </c>
      <c r="K702" s="136"/>
      <c r="L702" s="137"/>
      <c r="M702" s="138"/>
      <c r="N702" s="863"/>
      <c r="O702" s="505">
        <v>0</v>
      </c>
      <c r="P702" s="505">
        <v>0</v>
      </c>
      <c r="Q702" s="139"/>
      <c r="R702" s="139"/>
      <c r="S702" s="7">
        <f>-(S194+S369-S361)*(1+$J702)/360</f>
        <v>0</v>
      </c>
      <c r="T702" s="7">
        <f t="shared" ref="T702:X702" si="265">-(T194+T369-T361)*(1+$J702)/360</f>
        <v>0</v>
      </c>
      <c r="U702" s="7">
        <f t="shared" si="265"/>
        <v>0</v>
      </c>
      <c r="V702" s="7">
        <f t="shared" si="265"/>
        <v>0</v>
      </c>
      <c r="W702" s="7">
        <f t="shared" si="265"/>
        <v>0</v>
      </c>
      <c r="X702" s="7">
        <f t="shared" si="265"/>
        <v>0</v>
      </c>
      <c r="Y702" s="7"/>
      <c r="Z702" s="150" t="str">
        <f>VLOOKUP($D702,TableInputsData[],ReadMe!$M$3,FALSE)&amp;"  |  "&amp;VLOOKUP($E702,TableInputsData[],ReadMe!$M$3,FALSE)&amp;"  |  "&amp;VLOOKUP($H702,TableInputsData[],ReadMe!$M$3,FALSE)</f>
        <v>FONDS DE ROULEMENT  |  COMPTES A PAYER  |  COUT DES REVENUS PLUS DEPENSES OPERATIONNELLES MOINS SALAIRES DU PERSONNEL (TVA INCLUSE) PAR JOUR</v>
      </c>
      <c r="AA702" s="6"/>
      <c r="AB702" s="36"/>
      <c r="AC702" s="36"/>
      <c r="AD702" s="36">
        <v>1</v>
      </c>
      <c r="AE702" s="91"/>
      <c r="AF702" s="36">
        <v>1</v>
      </c>
      <c r="AG702" s="36"/>
      <c r="AH702" s="536"/>
      <c r="AI702" s="294"/>
    </row>
    <row r="703" spans="1:35" ht="26" customHeight="1" x14ac:dyDescent="0.2">
      <c r="A703" s="294"/>
      <c r="B703" s="941"/>
      <c r="C703" s="67">
        <v>4</v>
      </c>
      <c r="D703" s="16" t="s">
        <v>863</v>
      </c>
      <c r="E703" s="573" t="s">
        <v>865</v>
      </c>
      <c r="F703" s="16" t="s">
        <v>21</v>
      </c>
      <c r="G703" s="16"/>
      <c r="H703" s="51" t="s">
        <v>872</v>
      </c>
      <c r="I703" s="145"/>
      <c r="J703" s="146"/>
      <c r="K703" s="146"/>
      <c r="L703" s="97"/>
      <c r="M703" s="112"/>
      <c r="N703" s="849"/>
      <c r="O703" s="18">
        <f>O701*O702</f>
        <v>0</v>
      </c>
      <c r="P703" s="18">
        <f>P701*P702</f>
        <v>0</v>
      </c>
      <c r="Q703" s="18"/>
      <c r="R703" s="18"/>
      <c r="S703" s="18">
        <f t="shared" ref="S703:X703" si="266">S701*S702</f>
        <v>0</v>
      </c>
      <c r="T703" s="18">
        <f t="shared" si="266"/>
        <v>0</v>
      </c>
      <c r="U703" s="18">
        <f t="shared" si="266"/>
        <v>0</v>
      </c>
      <c r="V703" s="18">
        <f t="shared" si="266"/>
        <v>0</v>
      </c>
      <c r="W703" s="18">
        <f t="shared" si="266"/>
        <v>0</v>
      </c>
      <c r="X703" s="18">
        <f t="shared" si="266"/>
        <v>0</v>
      </c>
      <c r="Y703" s="18"/>
      <c r="Z703" s="16" t="str">
        <f>VLOOKUP($D703,TableInputsData[],ReadMe!$M$3,FALSE)&amp;"  |  "&amp;VLOOKUP($E703,TableInputsData[],ReadMe!$M$3,FALSE)&amp;"  |  "&amp;VLOOKUP($H703,TableInputsData[],ReadMe!$M$3,FALSE)</f>
        <v>FONDS DE ROULEMENT  |  COMPTES A PAYER  |  VALEUR DES COMPTES A PAYER SUR LA PERIODE</v>
      </c>
      <c r="AA703" s="16"/>
      <c r="AB703" s="27"/>
      <c r="AC703" s="27">
        <v>1</v>
      </c>
      <c r="AD703" s="27">
        <v>1</v>
      </c>
      <c r="AE703" s="27"/>
      <c r="AF703" s="27">
        <v>1</v>
      </c>
      <c r="AG703" s="27"/>
      <c r="AH703" s="533"/>
      <c r="AI703" s="294"/>
    </row>
    <row r="704" spans="1:35" x14ac:dyDescent="0.2">
      <c r="A704" s="294"/>
      <c r="B704" s="941"/>
      <c r="C704" s="72">
        <v>4</v>
      </c>
      <c r="D704" s="13"/>
      <c r="E704" s="13"/>
      <c r="F704" s="13"/>
      <c r="G704" s="13"/>
      <c r="H704" s="14"/>
      <c r="I704" s="147"/>
      <c r="J704" s="148"/>
      <c r="K704" s="148"/>
      <c r="L704" s="99"/>
      <c r="M704" s="114"/>
      <c r="N704" s="850"/>
      <c r="O704" s="15"/>
      <c r="P704" s="15"/>
      <c r="Q704" s="15"/>
      <c r="R704" s="15"/>
      <c r="S704" s="15"/>
      <c r="T704" s="15"/>
      <c r="U704" s="15"/>
      <c r="V704" s="15"/>
      <c r="W704" s="15"/>
      <c r="X704" s="15"/>
      <c r="Y704" s="15"/>
      <c r="Z704" s="13"/>
      <c r="AA704" s="13"/>
      <c r="AB704" s="37"/>
      <c r="AC704" s="37"/>
      <c r="AD704" s="37"/>
      <c r="AE704" s="88"/>
      <c r="AF704" s="37"/>
      <c r="AG704" s="37"/>
      <c r="AH704" s="537"/>
      <c r="AI704" s="294"/>
    </row>
    <row r="705" spans="1:35" ht="26" customHeight="1" x14ac:dyDescent="0.2">
      <c r="A705" s="294"/>
      <c r="B705" s="941"/>
      <c r="C705" s="67">
        <v>4</v>
      </c>
      <c r="D705" s="16" t="s">
        <v>863</v>
      </c>
      <c r="E705" s="573" t="s">
        <v>863</v>
      </c>
      <c r="F705" s="16" t="s">
        <v>21</v>
      </c>
      <c r="G705" s="16"/>
      <c r="H705" s="51" t="s">
        <v>29</v>
      </c>
      <c r="I705" s="145"/>
      <c r="J705" s="146"/>
      <c r="K705" s="146"/>
      <c r="L705" s="97"/>
      <c r="M705" s="112"/>
      <c r="N705" s="849"/>
      <c r="O705" s="18">
        <f>O695+O699+O703</f>
        <v>0</v>
      </c>
      <c r="P705" s="18">
        <f>P695+P699+P703</f>
        <v>0</v>
      </c>
      <c r="Q705" s="18"/>
      <c r="R705" s="18"/>
      <c r="S705" s="18">
        <f t="shared" ref="S705:X705" si="267">S695+S699+S703</f>
        <v>0</v>
      </c>
      <c r="T705" s="18">
        <f t="shared" si="267"/>
        <v>0</v>
      </c>
      <c r="U705" s="18">
        <f t="shared" si="267"/>
        <v>0</v>
      </c>
      <c r="V705" s="18">
        <f t="shared" si="267"/>
        <v>0</v>
      </c>
      <c r="W705" s="18">
        <f t="shared" si="267"/>
        <v>0</v>
      </c>
      <c r="X705" s="18">
        <f t="shared" si="267"/>
        <v>0</v>
      </c>
      <c r="Y705" s="18"/>
      <c r="Z705" s="16" t="str">
        <f>VLOOKUP($D705,TableInputsData[],ReadMe!$M$3,FALSE)&amp;"  |  "&amp;VLOOKUP($E705,TableInputsData[],ReadMe!$M$3,FALSE)&amp;"  |  "&amp;VLOOKUP($H705,TableInputsData[],ReadMe!$M$3,FALSE)</f>
        <v>FONDS DE ROULEMENT  |  FONDS DE ROULEMENT  |  TOTAL</v>
      </c>
      <c r="AA705" s="16"/>
      <c r="AB705" s="27"/>
      <c r="AC705" s="27">
        <v>1</v>
      </c>
      <c r="AD705" s="27">
        <v>1</v>
      </c>
      <c r="AE705" s="27"/>
      <c r="AF705" s="27">
        <v>1</v>
      </c>
      <c r="AG705" s="27"/>
      <c r="AH705" s="533"/>
      <c r="AI705" s="294"/>
    </row>
    <row r="706" spans="1:35" x14ac:dyDescent="0.2">
      <c r="A706" s="294"/>
      <c r="B706" s="941"/>
      <c r="C706" s="71">
        <v>4</v>
      </c>
      <c r="D706" s="8"/>
      <c r="E706" s="8"/>
      <c r="F706" s="8"/>
      <c r="G706" s="8"/>
      <c r="H706" s="9"/>
      <c r="I706" s="140"/>
      <c r="J706" s="141"/>
      <c r="K706" s="141"/>
      <c r="L706" s="98"/>
      <c r="M706" s="113"/>
      <c r="N706" s="854"/>
      <c r="O706" s="10"/>
      <c r="P706" s="10"/>
      <c r="Q706" s="10"/>
      <c r="R706" s="10"/>
      <c r="S706" s="10"/>
      <c r="T706" s="10"/>
      <c r="U706" s="10"/>
      <c r="V706" s="10"/>
      <c r="W706" s="10"/>
      <c r="X706" s="10"/>
      <c r="Y706" s="10"/>
      <c r="Z706" s="8"/>
      <c r="AA706" s="8"/>
      <c r="AB706" s="35"/>
      <c r="AC706" s="35"/>
      <c r="AD706" s="35"/>
      <c r="AE706" s="87"/>
      <c r="AF706" s="35"/>
      <c r="AG706" s="35"/>
      <c r="AH706" s="534"/>
      <c r="AI706" s="294"/>
    </row>
    <row r="707" spans="1:35" x14ac:dyDescent="0.2">
      <c r="A707" s="294"/>
      <c r="B707" s="942"/>
      <c r="C707" s="73">
        <v>4</v>
      </c>
      <c r="D707" s="55"/>
      <c r="E707" s="55"/>
      <c r="F707" s="55"/>
      <c r="G707" s="55"/>
      <c r="H707" s="56"/>
      <c r="I707" s="56"/>
      <c r="J707" s="92"/>
      <c r="K707" s="92"/>
      <c r="L707" s="106"/>
      <c r="M707" s="122"/>
      <c r="N707" s="858"/>
      <c r="O707" s="57"/>
      <c r="P707" s="57"/>
      <c r="Q707" s="57"/>
      <c r="R707" s="57"/>
      <c r="S707" s="57"/>
      <c r="T707" s="57"/>
      <c r="U707" s="57"/>
      <c r="V707" s="57"/>
      <c r="W707" s="57"/>
      <c r="X707" s="57"/>
      <c r="Y707" s="57"/>
      <c r="Z707" s="55"/>
      <c r="AA707" s="55"/>
      <c r="AB707" s="58"/>
      <c r="AC707" s="58"/>
      <c r="AD707" s="58"/>
      <c r="AE707" s="92"/>
      <c r="AF707" s="58"/>
      <c r="AG707" s="58"/>
      <c r="AH707" s="538"/>
      <c r="AI707" s="294"/>
    </row>
    <row r="708" spans="1:35" ht="12.75" customHeight="1" x14ac:dyDescent="0.2">
      <c r="A708" s="294"/>
      <c r="B708" s="939" t="s">
        <v>896</v>
      </c>
      <c r="C708" s="73">
        <v>5</v>
      </c>
      <c r="D708" s="55"/>
      <c r="E708" s="55"/>
      <c r="F708" s="55"/>
      <c r="G708" s="55"/>
      <c r="H708" s="56"/>
      <c r="I708" s="56"/>
      <c r="J708" s="92"/>
      <c r="K708" s="92"/>
      <c r="L708" s="106"/>
      <c r="M708" s="122"/>
      <c r="N708" s="858"/>
      <c r="O708" s="57"/>
      <c r="P708" s="57"/>
      <c r="Q708" s="57"/>
      <c r="R708" s="57"/>
      <c r="S708" s="57"/>
      <c r="T708" s="57"/>
      <c r="U708" s="57"/>
      <c r="V708" s="57"/>
      <c r="W708" s="57"/>
      <c r="X708" s="57"/>
      <c r="Y708" s="57"/>
      <c r="Z708" s="55"/>
      <c r="AA708" s="55"/>
      <c r="AB708" s="58"/>
      <c r="AC708" s="58"/>
      <c r="AD708" s="58"/>
      <c r="AE708" s="92"/>
      <c r="AF708" s="58"/>
      <c r="AG708" s="58"/>
      <c r="AH708" s="538"/>
      <c r="AI708" s="294"/>
    </row>
    <row r="709" spans="1:35" x14ac:dyDescent="0.2">
      <c r="A709" s="294"/>
      <c r="B709" s="922"/>
      <c r="C709" s="66">
        <v>5</v>
      </c>
      <c r="D709" s="3"/>
      <c r="E709" s="3"/>
      <c r="F709" s="3"/>
      <c r="G709" s="3"/>
      <c r="H709" s="5"/>
      <c r="I709" s="124"/>
      <c r="J709" s="125"/>
      <c r="K709" s="125"/>
      <c r="L709" s="96"/>
      <c r="M709" s="118"/>
      <c r="N709" s="861"/>
      <c r="O709" s="4"/>
      <c r="P709" s="4"/>
      <c r="Q709" s="4"/>
      <c r="R709" s="4"/>
      <c r="S709" s="4"/>
      <c r="T709" s="4"/>
      <c r="U709" s="4"/>
      <c r="V709" s="4"/>
      <c r="W709" s="4"/>
      <c r="X709" s="4"/>
      <c r="Y709" s="4"/>
      <c r="Z709" s="3"/>
      <c r="AA709" s="3"/>
      <c r="AB709" s="34"/>
      <c r="AC709" s="34"/>
      <c r="AD709" s="34"/>
      <c r="AE709" s="26"/>
      <c r="AF709" s="34"/>
      <c r="AG709" s="34"/>
      <c r="AH709" s="535"/>
      <c r="AI709" s="294"/>
    </row>
    <row r="710" spans="1:35" x14ac:dyDescent="0.2">
      <c r="A710" s="294"/>
      <c r="B710" s="922"/>
      <c r="C710" s="67">
        <v>5</v>
      </c>
      <c r="D710" s="16" t="s">
        <v>894</v>
      </c>
      <c r="E710" s="16" t="s">
        <v>457</v>
      </c>
      <c r="F710" s="16" t="s">
        <v>21</v>
      </c>
      <c r="G710" s="16"/>
      <c r="H710" s="17" t="s">
        <v>29</v>
      </c>
      <c r="I710" s="17"/>
      <c r="J710" s="27"/>
      <c r="K710" s="27"/>
      <c r="L710" s="97"/>
      <c r="M710" s="112"/>
      <c r="N710" s="18"/>
      <c r="O710" s="97">
        <f>O192</f>
        <v>0</v>
      </c>
      <c r="P710" s="97">
        <f>P192</f>
        <v>0</v>
      </c>
      <c r="Q710" s="97"/>
      <c r="R710" s="97"/>
      <c r="S710" s="97">
        <f t="shared" ref="S710:X710" si="268">S192</f>
        <v>0</v>
      </c>
      <c r="T710" s="97">
        <f t="shared" si="268"/>
        <v>0</v>
      </c>
      <c r="U710" s="97">
        <f t="shared" si="268"/>
        <v>0</v>
      </c>
      <c r="V710" s="97">
        <f t="shared" si="268"/>
        <v>0</v>
      </c>
      <c r="W710" s="97">
        <f t="shared" si="268"/>
        <v>0</v>
      </c>
      <c r="X710" s="97">
        <f t="shared" si="268"/>
        <v>0</v>
      </c>
      <c r="Y710" s="97"/>
      <c r="Z710" s="16" t="str">
        <f>VLOOKUP($D710,TableInputsData[],ReadMe!$M$3,FALSE)&amp;"  |  "&amp;VLOOKUP($E710,TableInputsData[],ReadMe!$M$3,FALSE)&amp;"  |  "&amp;VLOOKUP($H710,TableInputsData[],ReadMe!$M$3,FALSE)</f>
        <v>COMPTE DE PERTES ET PROFITS  |  CHIFFRE D'AFFAIRES  |  TOTAL</v>
      </c>
      <c r="AA710" s="371" t="b">
        <f>EXACT(SUM(O710:X710),SUM(O712:X712)+SUM(O714:X714))</f>
        <v>1</v>
      </c>
      <c r="AB710" s="27"/>
      <c r="AC710" s="27">
        <v>1</v>
      </c>
      <c r="AD710" s="27"/>
      <c r="AE710" s="27">
        <v>1</v>
      </c>
      <c r="AF710" s="27">
        <v>1</v>
      </c>
      <c r="AG710" s="27"/>
      <c r="AH710" s="533"/>
      <c r="AI710" s="294"/>
    </row>
    <row r="711" spans="1:35" x14ac:dyDescent="0.2">
      <c r="A711" s="294"/>
      <c r="B711" s="922"/>
      <c r="C711" s="72">
        <v>5</v>
      </c>
      <c r="D711" s="13"/>
      <c r="E711" s="13"/>
      <c r="F711" s="13"/>
      <c r="G711" s="13"/>
      <c r="H711" s="14"/>
      <c r="I711" s="147"/>
      <c r="J711" s="148"/>
      <c r="K711" s="148"/>
      <c r="L711" s="99"/>
      <c r="M711" s="114"/>
      <c r="N711" s="850"/>
      <c r="O711" s="15"/>
      <c r="P711" s="15"/>
      <c r="Q711" s="15"/>
      <c r="R711" s="15"/>
      <c r="S711" s="15"/>
      <c r="T711" s="15"/>
      <c r="U711" s="15"/>
      <c r="V711" s="15"/>
      <c r="W711" s="15"/>
      <c r="X711" s="15"/>
      <c r="Y711" s="15"/>
      <c r="Z711" s="13"/>
      <c r="AA711" s="13"/>
      <c r="AB711" s="37"/>
      <c r="AC711" s="37"/>
      <c r="AD711" s="37"/>
      <c r="AE711" s="88"/>
      <c r="AF711" s="37"/>
      <c r="AG711" s="37"/>
      <c r="AH711" s="537"/>
      <c r="AI711" s="294"/>
    </row>
    <row r="712" spans="1:35" x14ac:dyDescent="0.2">
      <c r="A712" s="294"/>
      <c r="B712" s="922"/>
      <c r="C712" s="67">
        <v>5</v>
      </c>
      <c r="D712" s="16" t="s">
        <v>894</v>
      </c>
      <c r="E712" s="16" t="s">
        <v>531</v>
      </c>
      <c r="F712" s="16" t="s">
        <v>21</v>
      </c>
      <c r="G712" s="16"/>
      <c r="H712" s="17" t="s">
        <v>29</v>
      </c>
      <c r="I712" s="17"/>
      <c r="J712" s="27"/>
      <c r="K712" s="27"/>
      <c r="L712" s="97"/>
      <c r="M712" s="112"/>
      <c r="N712" s="18"/>
      <c r="O712" s="97">
        <f>O194</f>
        <v>0</v>
      </c>
      <c r="P712" s="97">
        <f t="shared" ref="P712:X712" si="269">P194</f>
        <v>0</v>
      </c>
      <c r="Q712" s="97"/>
      <c r="R712" s="97"/>
      <c r="S712" s="97">
        <f t="shared" si="269"/>
        <v>0</v>
      </c>
      <c r="T712" s="97">
        <f t="shared" si="269"/>
        <v>0</v>
      </c>
      <c r="U712" s="97">
        <f t="shared" si="269"/>
        <v>0</v>
      </c>
      <c r="V712" s="97">
        <f t="shared" si="269"/>
        <v>0</v>
      </c>
      <c r="W712" s="97">
        <f t="shared" si="269"/>
        <v>0</v>
      </c>
      <c r="X712" s="97">
        <f t="shared" si="269"/>
        <v>0</v>
      </c>
      <c r="Y712" s="97"/>
      <c r="Z712" s="16" t="str">
        <f>VLOOKUP($D712,TableInputsData[],ReadMe!$M$3,FALSE)&amp;"  |  "&amp;VLOOKUP($E712,TableInputsData[],ReadMe!$M$3,FALSE)&amp;"  |  "&amp;VLOOKUP($H712,TableInputsData[],ReadMe!$M$3,FALSE)</f>
        <v>COMPTE DE PERTES ET PROFITS  |  DEPENSES SUR ACHATS  |  TOTAL</v>
      </c>
      <c r="AA712" s="16"/>
      <c r="AB712" s="27"/>
      <c r="AC712" s="27">
        <v>1</v>
      </c>
      <c r="AD712" s="27"/>
      <c r="AE712" s="27">
        <v>1</v>
      </c>
      <c r="AF712" s="27">
        <v>1</v>
      </c>
      <c r="AG712" s="27"/>
      <c r="AH712" s="533"/>
      <c r="AI712" s="294"/>
    </row>
    <row r="713" spans="1:35" x14ac:dyDescent="0.2">
      <c r="A713" s="294"/>
      <c r="B713" s="922"/>
      <c r="C713" s="72">
        <v>5</v>
      </c>
      <c r="D713" s="13"/>
      <c r="E713" s="13"/>
      <c r="F713" s="13"/>
      <c r="G713" s="13"/>
      <c r="H713" s="14"/>
      <c r="I713" s="147"/>
      <c r="J713" s="148"/>
      <c r="K713" s="148"/>
      <c r="L713" s="99"/>
      <c r="M713" s="114"/>
      <c r="N713" s="850"/>
      <c r="O713" s="15"/>
      <c r="P713" s="15"/>
      <c r="Q713" s="15"/>
      <c r="R713" s="15"/>
      <c r="S713" s="15"/>
      <c r="T713" s="15"/>
      <c r="U713" s="15"/>
      <c r="V713" s="15"/>
      <c r="W713" s="15"/>
      <c r="X713" s="15"/>
      <c r="Y713" s="15"/>
      <c r="Z713" s="13"/>
      <c r="AA713" s="13"/>
      <c r="AB713" s="37"/>
      <c r="AC713" s="37"/>
      <c r="AD713" s="37"/>
      <c r="AE713" s="88"/>
      <c r="AF713" s="37"/>
      <c r="AG713" s="37"/>
      <c r="AH713" s="537"/>
      <c r="AI713" s="294"/>
    </row>
    <row r="714" spans="1:35" x14ac:dyDescent="0.2">
      <c r="A714" s="294"/>
      <c r="B714" s="922"/>
      <c r="C714" s="67">
        <v>5</v>
      </c>
      <c r="D714" s="16" t="s">
        <v>894</v>
      </c>
      <c r="E714" s="16" t="s">
        <v>522</v>
      </c>
      <c r="F714" s="16" t="s">
        <v>21</v>
      </c>
      <c r="G714" s="16"/>
      <c r="H714" s="17" t="s">
        <v>29</v>
      </c>
      <c r="I714" s="17"/>
      <c r="J714" s="27"/>
      <c r="K714" s="27"/>
      <c r="L714" s="97"/>
      <c r="M714" s="112"/>
      <c r="N714" s="18"/>
      <c r="O714" s="97">
        <f>O195</f>
        <v>0</v>
      </c>
      <c r="P714" s="97">
        <f>P195</f>
        <v>0</v>
      </c>
      <c r="Q714" s="97"/>
      <c r="R714" s="97"/>
      <c r="S714" s="97">
        <f t="shared" ref="S714:X714" si="270">S195</f>
        <v>0</v>
      </c>
      <c r="T714" s="97">
        <f t="shared" si="270"/>
        <v>0</v>
      </c>
      <c r="U714" s="97">
        <f t="shared" si="270"/>
        <v>0</v>
      </c>
      <c r="V714" s="97">
        <f t="shared" si="270"/>
        <v>0</v>
      </c>
      <c r="W714" s="97">
        <f t="shared" si="270"/>
        <v>0</v>
      </c>
      <c r="X714" s="97">
        <f t="shared" si="270"/>
        <v>0</v>
      </c>
      <c r="Y714" s="97"/>
      <c r="Z714" s="16" t="str">
        <f>VLOOKUP($D714,TableInputsData[],ReadMe!$M$3,FALSE)&amp;"  |  "&amp;VLOOKUP($E714,TableInputsData[],ReadMe!$M$3,FALSE)&amp;"  |  "&amp;VLOOKUP($H714,TableInputsData[],ReadMe!$M$3,FALSE)</f>
        <v>COMPTE DE PERTES ET PROFITS  |  MARGE BRUTE  |  TOTAL</v>
      </c>
      <c r="AA714" s="371" t="b">
        <f>EXACT(SUM(O714:X714),SUM(O716:X716)+SUM(O718:X718))</f>
        <v>1</v>
      </c>
      <c r="AB714" s="27"/>
      <c r="AC714" s="27">
        <v>1</v>
      </c>
      <c r="AD714" s="27"/>
      <c r="AE714" s="27">
        <v>1</v>
      </c>
      <c r="AF714" s="27">
        <v>1</v>
      </c>
      <c r="AG714" s="27"/>
      <c r="AH714" s="533"/>
      <c r="AI714" s="294"/>
    </row>
    <row r="715" spans="1:35" x14ac:dyDescent="0.2">
      <c r="A715" s="294"/>
      <c r="B715" s="922"/>
      <c r="C715" s="72">
        <v>5</v>
      </c>
      <c r="D715" s="13"/>
      <c r="E715" s="13"/>
      <c r="F715" s="13"/>
      <c r="G715" s="13"/>
      <c r="H715" s="14"/>
      <c r="I715" s="147"/>
      <c r="J715" s="148"/>
      <c r="K715" s="148"/>
      <c r="L715" s="99"/>
      <c r="M715" s="114"/>
      <c r="N715" s="850"/>
      <c r="O715" s="15"/>
      <c r="P715" s="15"/>
      <c r="Q715" s="15"/>
      <c r="R715" s="15"/>
      <c r="S715" s="15"/>
      <c r="T715" s="15"/>
      <c r="U715" s="15"/>
      <c r="V715" s="15"/>
      <c r="W715" s="15"/>
      <c r="X715" s="15"/>
      <c r="Y715" s="15"/>
      <c r="Z715" s="13"/>
      <c r="AA715" s="13"/>
      <c r="AB715" s="37"/>
      <c r="AC715" s="37"/>
      <c r="AD715" s="37"/>
      <c r="AE715" s="88"/>
      <c r="AF715" s="37"/>
      <c r="AG715" s="37"/>
      <c r="AH715" s="537"/>
      <c r="AI715" s="294"/>
    </row>
    <row r="716" spans="1:35" x14ac:dyDescent="0.2">
      <c r="A716" s="294"/>
      <c r="B716" s="922"/>
      <c r="C716" s="67">
        <v>5</v>
      </c>
      <c r="D716" s="16" t="s">
        <v>894</v>
      </c>
      <c r="E716" s="16" t="s">
        <v>645</v>
      </c>
      <c r="F716" s="16" t="s">
        <v>21</v>
      </c>
      <c r="G716" s="16"/>
      <c r="H716" s="17" t="s">
        <v>29</v>
      </c>
      <c r="I716" s="17"/>
      <c r="J716" s="27"/>
      <c r="K716" s="27"/>
      <c r="L716" s="97"/>
      <c r="M716" s="112"/>
      <c r="N716" s="18"/>
      <c r="O716" s="97">
        <f>O369</f>
        <v>0</v>
      </c>
      <c r="P716" s="97">
        <f>P369</f>
        <v>0</v>
      </c>
      <c r="Q716" s="97"/>
      <c r="R716" s="97"/>
      <c r="S716" s="97">
        <f t="shared" ref="S716:X716" si="271">S369</f>
        <v>0</v>
      </c>
      <c r="T716" s="97">
        <f t="shared" si="271"/>
        <v>0</v>
      </c>
      <c r="U716" s="97">
        <f t="shared" si="271"/>
        <v>0</v>
      </c>
      <c r="V716" s="97">
        <f t="shared" si="271"/>
        <v>0</v>
      </c>
      <c r="W716" s="97">
        <f t="shared" si="271"/>
        <v>0</v>
      </c>
      <c r="X716" s="97">
        <f t="shared" si="271"/>
        <v>0</v>
      </c>
      <c r="Y716" s="97"/>
      <c r="Z716" s="16" t="str">
        <f>VLOOKUP($D716,TableInputsData[],ReadMe!$M$3,FALSE)&amp;"  |  "&amp;VLOOKUP($E716,TableInputsData[],ReadMe!$M$3,FALSE)&amp;"  |  "&amp;VLOOKUP($H716,TableInputsData[],ReadMe!$M$3,FALSE)</f>
        <v>COMPTE DE PERTES ET PROFITS  |  DEPENSES OPERATIONNELLES  |  TOTAL</v>
      </c>
      <c r="AA716" s="16"/>
      <c r="AB716" s="27"/>
      <c r="AC716" s="27">
        <v>1</v>
      </c>
      <c r="AD716" s="27"/>
      <c r="AE716" s="27">
        <v>1</v>
      </c>
      <c r="AF716" s="27">
        <v>1</v>
      </c>
      <c r="AG716" s="27"/>
      <c r="AH716" s="533"/>
      <c r="AI716" s="294"/>
    </row>
    <row r="717" spans="1:35" x14ac:dyDescent="0.2">
      <c r="A717" s="294"/>
      <c r="B717" s="922"/>
      <c r="C717" s="72">
        <v>5</v>
      </c>
      <c r="D717" s="13"/>
      <c r="E717" s="13"/>
      <c r="F717" s="13"/>
      <c r="G717" s="13"/>
      <c r="H717" s="14"/>
      <c r="I717" s="147"/>
      <c r="J717" s="148"/>
      <c r="K717" s="148"/>
      <c r="L717" s="99"/>
      <c r="M717" s="114"/>
      <c r="N717" s="850"/>
      <c r="O717" s="15"/>
      <c r="P717" s="15"/>
      <c r="Q717" s="15"/>
      <c r="R717" s="15"/>
      <c r="S717" s="15"/>
      <c r="T717" s="15"/>
      <c r="U717" s="15"/>
      <c r="V717" s="15"/>
      <c r="W717" s="15"/>
      <c r="X717" s="15"/>
      <c r="Y717" s="15"/>
      <c r="Z717" s="13"/>
      <c r="AA717" s="13"/>
      <c r="AB717" s="37"/>
      <c r="AC717" s="37"/>
      <c r="AD717" s="37"/>
      <c r="AE717" s="88"/>
      <c r="AF717" s="37"/>
      <c r="AG717" s="37"/>
      <c r="AH717" s="537"/>
      <c r="AI717" s="294"/>
    </row>
    <row r="718" spans="1:35" x14ac:dyDescent="0.2">
      <c r="A718" s="294"/>
      <c r="B718" s="922"/>
      <c r="C718" s="67">
        <v>5</v>
      </c>
      <c r="D718" s="16" t="s">
        <v>894</v>
      </c>
      <c r="E718" s="16" t="s">
        <v>169</v>
      </c>
      <c r="F718" s="16" t="s">
        <v>21</v>
      </c>
      <c r="G718" s="16"/>
      <c r="H718" s="17" t="s">
        <v>29</v>
      </c>
      <c r="I718" s="17"/>
      <c r="J718" s="27"/>
      <c r="K718" s="27"/>
      <c r="L718" s="97"/>
      <c r="M718" s="112"/>
      <c r="N718" s="18"/>
      <c r="O718" s="97">
        <f>O195-O372</f>
        <v>0</v>
      </c>
      <c r="P718" s="97">
        <f>P195-P372</f>
        <v>0</v>
      </c>
      <c r="Q718" s="97"/>
      <c r="R718" s="97"/>
      <c r="S718" s="97">
        <f t="shared" ref="S718:X718" si="272">S195-S372</f>
        <v>0</v>
      </c>
      <c r="T718" s="97">
        <f t="shared" si="272"/>
        <v>0</v>
      </c>
      <c r="U718" s="97">
        <f t="shared" si="272"/>
        <v>0</v>
      </c>
      <c r="V718" s="97">
        <f t="shared" si="272"/>
        <v>0</v>
      </c>
      <c r="W718" s="97">
        <f t="shared" si="272"/>
        <v>0</v>
      </c>
      <c r="X718" s="97">
        <f t="shared" si="272"/>
        <v>0</v>
      </c>
      <c r="Y718" s="97"/>
      <c r="Z718" s="16" t="str">
        <f>VLOOKUP($D718,TableInputsData[],ReadMe!$M$3,FALSE)&amp;"  |  "&amp;VLOOKUP($E718,TableInputsData[],ReadMe!$M$3,FALSE)&amp;"  |  "&amp;VLOOKUP($H718,TableInputsData[],ReadMe!$M$3,FALSE)</f>
        <v>COMPTE DE PERTES ET PROFITS  |  EBITDA  |  TOTAL</v>
      </c>
      <c r="AA718" s="16"/>
      <c r="AB718" s="27"/>
      <c r="AC718" s="27">
        <v>1</v>
      </c>
      <c r="AD718" s="27"/>
      <c r="AE718" s="27">
        <v>1</v>
      </c>
      <c r="AF718" s="27">
        <v>1</v>
      </c>
      <c r="AG718" s="27"/>
      <c r="AH718" s="533"/>
      <c r="AI718" s="294"/>
    </row>
    <row r="719" spans="1:35" x14ac:dyDescent="0.2">
      <c r="A719" s="294"/>
      <c r="B719" s="922"/>
      <c r="C719" s="66">
        <v>5</v>
      </c>
      <c r="D719" s="3"/>
      <c r="E719" s="3"/>
      <c r="F719" s="6"/>
      <c r="G719" s="3"/>
      <c r="H719" s="5"/>
      <c r="I719" s="124"/>
      <c r="J719" s="125"/>
      <c r="K719" s="125"/>
      <c r="L719" s="96"/>
      <c r="M719" s="118"/>
      <c r="N719" s="861"/>
      <c r="O719" s="4"/>
      <c r="P719" s="4"/>
      <c r="Q719" s="4"/>
      <c r="R719" s="4"/>
      <c r="S719" s="4"/>
      <c r="T719" s="4"/>
      <c r="U719" s="4"/>
      <c r="V719" s="4"/>
      <c r="W719" s="4"/>
      <c r="X719" s="4"/>
      <c r="Y719" s="4"/>
      <c r="Z719" s="3"/>
      <c r="AA719" s="3"/>
      <c r="AB719" s="34"/>
      <c r="AC719" s="34"/>
      <c r="AD719" s="34"/>
      <c r="AE719" s="26"/>
      <c r="AF719" s="34"/>
      <c r="AG719" s="34"/>
      <c r="AH719" s="535"/>
      <c r="AI719" s="294"/>
    </row>
    <row r="720" spans="1:35" x14ac:dyDescent="0.2">
      <c r="A720" s="294"/>
      <c r="B720" s="922"/>
      <c r="C720" s="67">
        <v>5</v>
      </c>
      <c r="D720" s="16" t="s">
        <v>894</v>
      </c>
      <c r="E720" s="16" t="s">
        <v>756</v>
      </c>
      <c r="F720" s="16" t="s">
        <v>21</v>
      </c>
      <c r="G720" s="16"/>
      <c r="H720" s="17" t="s">
        <v>29</v>
      </c>
      <c r="I720" s="17"/>
      <c r="J720" s="27"/>
      <c r="K720" s="27"/>
      <c r="L720" s="97"/>
      <c r="M720" s="112"/>
      <c r="N720" s="18"/>
      <c r="O720" s="97">
        <f>O594</f>
        <v>0</v>
      </c>
      <c r="P720" s="97">
        <f>P594</f>
        <v>0</v>
      </c>
      <c r="Q720" s="97"/>
      <c r="R720" s="97"/>
      <c r="S720" s="97">
        <f t="shared" ref="S720:X720" si="273">S594</f>
        <v>0</v>
      </c>
      <c r="T720" s="97">
        <f t="shared" si="273"/>
        <v>0</v>
      </c>
      <c r="U720" s="97">
        <f t="shared" si="273"/>
        <v>0</v>
      </c>
      <c r="V720" s="97">
        <f t="shared" si="273"/>
        <v>0</v>
      </c>
      <c r="W720" s="97">
        <f t="shared" si="273"/>
        <v>0</v>
      </c>
      <c r="X720" s="97">
        <f t="shared" si="273"/>
        <v>0</v>
      </c>
      <c r="Y720" s="97"/>
      <c r="Z720" s="16" t="str">
        <f>VLOOKUP($D720,TableInputsData[],ReadMe!$M$3,FALSE)&amp;"  |  "&amp;VLOOKUP($E720,TableInputsData[],ReadMe!$M$3,FALSE)&amp;"  |  "&amp;VLOOKUP($H720,TableInputsData[],ReadMe!$M$3,FALSE)</f>
        <v>COMPTE DE PERTES ET PROFITS  |  AMORTISSEMENTS  |  TOTAL</v>
      </c>
      <c r="AA720" s="16"/>
      <c r="AB720" s="27"/>
      <c r="AC720" s="27">
        <v>1</v>
      </c>
      <c r="AD720" s="27"/>
      <c r="AE720" s="27"/>
      <c r="AF720" s="27">
        <v>1</v>
      </c>
      <c r="AG720" s="27"/>
      <c r="AH720" s="533"/>
      <c r="AI720" s="294"/>
    </row>
    <row r="721" spans="1:35" x14ac:dyDescent="0.2">
      <c r="A721" s="294"/>
      <c r="B721" s="922"/>
      <c r="C721" s="66">
        <v>5</v>
      </c>
      <c r="D721" s="3"/>
      <c r="E721" s="3"/>
      <c r="F721" s="6"/>
      <c r="G721" s="3"/>
      <c r="H721" s="5"/>
      <c r="I721" s="124"/>
      <c r="J721" s="125"/>
      <c r="K721" s="125"/>
      <c r="L721" s="96"/>
      <c r="M721" s="118"/>
      <c r="N721" s="861"/>
      <c r="O721" s="4"/>
      <c r="P721" s="4"/>
      <c r="Q721" s="4"/>
      <c r="R721" s="4"/>
      <c r="S721" s="4"/>
      <c r="T721" s="4"/>
      <c r="U721" s="4"/>
      <c r="V721" s="4"/>
      <c r="W721" s="4"/>
      <c r="X721" s="4"/>
      <c r="Y721" s="4"/>
      <c r="Z721" s="3"/>
      <c r="AA721" s="3"/>
      <c r="AB721" s="34"/>
      <c r="AC721" s="34"/>
      <c r="AD721" s="34"/>
      <c r="AE721" s="26"/>
      <c r="AF721" s="34"/>
      <c r="AG721" s="34"/>
      <c r="AH721" s="535"/>
      <c r="AI721" s="294"/>
    </row>
    <row r="722" spans="1:35" x14ac:dyDescent="0.2">
      <c r="A722" s="294"/>
      <c r="B722" s="922"/>
      <c r="C722" s="67">
        <v>5</v>
      </c>
      <c r="D722" s="16" t="s">
        <v>894</v>
      </c>
      <c r="E722" s="16" t="s">
        <v>170</v>
      </c>
      <c r="F722" s="16" t="s">
        <v>21</v>
      </c>
      <c r="G722" s="16"/>
      <c r="H722" s="17" t="s">
        <v>29</v>
      </c>
      <c r="I722" s="17"/>
      <c r="J722" s="27"/>
      <c r="K722" s="27"/>
      <c r="L722" s="97"/>
      <c r="M722" s="112"/>
      <c r="N722" s="18"/>
      <c r="O722" s="97">
        <f>O718-O720</f>
        <v>0</v>
      </c>
      <c r="P722" s="97">
        <f>P718-P720</f>
        <v>0</v>
      </c>
      <c r="Q722" s="97"/>
      <c r="R722" s="97"/>
      <c r="S722" s="97">
        <f t="shared" ref="S722:X722" si="274">S718-S720</f>
        <v>0</v>
      </c>
      <c r="T722" s="97">
        <f t="shared" si="274"/>
        <v>0</v>
      </c>
      <c r="U722" s="97">
        <f t="shared" si="274"/>
        <v>0</v>
      </c>
      <c r="V722" s="97">
        <f t="shared" si="274"/>
        <v>0</v>
      </c>
      <c r="W722" s="97">
        <f t="shared" si="274"/>
        <v>0</v>
      </c>
      <c r="X722" s="97">
        <f t="shared" si="274"/>
        <v>0</v>
      </c>
      <c r="Y722" s="97"/>
      <c r="Z722" s="16" t="str">
        <f>VLOOKUP($D722,TableInputsData[],ReadMe!$M$3,FALSE)&amp;"  |  "&amp;VLOOKUP($E722,TableInputsData[],ReadMe!$M$3,FALSE)&amp;"  |  "&amp;VLOOKUP($H722,TableInputsData[],ReadMe!$M$3,FALSE)</f>
        <v>COMPTE DE PERTES ET PROFITS  |  EBIT  |  TOTAL</v>
      </c>
      <c r="AA722" s="16"/>
      <c r="AB722" s="27"/>
      <c r="AC722" s="27">
        <v>1</v>
      </c>
      <c r="AD722" s="27"/>
      <c r="AE722" s="27">
        <v>1</v>
      </c>
      <c r="AF722" s="27">
        <v>1</v>
      </c>
      <c r="AG722" s="27"/>
      <c r="AH722" s="533"/>
      <c r="AI722" s="294"/>
    </row>
    <row r="723" spans="1:35" x14ac:dyDescent="0.2">
      <c r="A723" s="294"/>
      <c r="B723" s="922"/>
      <c r="C723" s="66">
        <v>5</v>
      </c>
      <c r="D723" s="3"/>
      <c r="E723" s="3"/>
      <c r="F723" s="6"/>
      <c r="G723" s="3"/>
      <c r="H723" s="5"/>
      <c r="I723" s="124"/>
      <c r="J723" s="125"/>
      <c r="K723" s="125"/>
      <c r="L723" s="96"/>
      <c r="M723" s="118"/>
      <c r="N723" s="861"/>
      <c r="O723" s="4"/>
      <c r="P723" s="4"/>
      <c r="Q723" s="4"/>
      <c r="R723" s="4"/>
      <c r="S723" s="4"/>
      <c r="T723" s="4"/>
      <c r="U723" s="4"/>
      <c r="V723" s="4"/>
      <c r="W723" s="4"/>
      <c r="X723" s="4"/>
      <c r="Y723" s="4"/>
      <c r="Z723" s="3"/>
      <c r="AA723" s="3"/>
      <c r="AB723" s="34"/>
      <c r="AC723" s="34"/>
      <c r="AD723" s="34"/>
      <c r="AE723" s="26"/>
      <c r="AF723" s="34"/>
      <c r="AG723" s="34"/>
      <c r="AH723" s="535"/>
      <c r="AI723" s="294"/>
    </row>
    <row r="724" spans="1:35" x14ac:dyDescent="0.2">
      <c r="A724" s="294"/>
      <c r="B724" s="922"/>
      <c r="C724" s="66">
        <v>5</v>
      </c>
      <c r="D724" s="3" t="s">
        <v>894</v>
      </c>
      <c r="E724" s="3" t="s">
        <v>176</v>
      </c>
      <c r="F724" s="6" t="s">
        <v>21</v>
      </c>
      <c r="G724" s="3"/>
      <c r="H724" s="5" t="s">
        <v>917</v>
      </c>
      <c r="I724" s="124"/>
      <c r="J724" s="125"/>
      <c r="K724" s="125"/>
      <c r="L724" s="96"/>
      <c r="M724" s="118"/>
      <c r="N724" s="861"/>
      <c r="O724" s="504">
        <v>0</v>
      </c>
      <c r="P724" s="504">
        <v>0</v>
      </c>
      <c r="Q724" s="4"/>
      <c r="R724" s="4"/>
      <c r="S724" s="504">
        <v>0</v>
      </c>
      <c r="T724" s="504">
        <v>0</v>
      </c>
      <c r="U724" s="504">
        <v>0</v>
      </c>
      <c r="V724" s="504">
        <v>0</v>
      </c>
      <c r="W724" s="504">
        <v>0</v>
      </c>
      <c r="X724" s="504">
        <v>0</v>
      </c>
      <c r="Y724" s="604"/>
      <c r="Z724" s="3" t="str">
        <f>VLOOKUP($D724,TableInputsData[],ReadMe!$M$3,FALSE)&amp;"  |  "&amp;VLOOKUP($E724,TableInputsData[],ReadMe!$M$3,FALSE)&amp;"  |  "&amp;VLOOKUP($H724,TableInputsData[],ReadMe!$M$3,FALSE)</f>
        <v>COMPTE DE PERTES ET PROFITS  |  VARIATION  |  + VARIATIONS DES STOCKS SUR LES ACHATS</v>
      </c>
      <c r="AA724" s="3"/>
      <c r="AB724" s="34"/>
      <c r="AC724" s="34">
        <v>1</v>
      </c>
      <c r="AD724" s="34"/>
      <c r="AE724" s="26"/>
      <c r="AF724" s="34">
        <v>1</v>
      </c>
      <c r="AG724" s="34"/>
      <c r="AH724" s="535"/>
      <c r="AI724" s="294"/>
    </row>
    <row r="725" spans="1:35" x14ac:dyDescent="0.2">
      <c r="A725" s="294"/>
      <c r="B725" s="922"/>
      <c r="C725" s="66">
        <v>5</v>
      </c>
      <c r="D725" s="3" t="s">
        <v>894</v>
      </c>
      <c r="E725" s="3" t="s">
        <v>176</v>
      </c>
      <c r="F725" s="6" t="s">
        <v>21</v>
      </c>
      <c r="G725" s="3"/>
      <c r="H725" s="203" t="s">
        <v>918</v>
      </c>
      <c r="I725" s="124"/>
      <c r="J725" s="125"/>
      <c r="K725" s="125"/>
      <c r="L725" s="96"/>
      <c r="M725" s="118"/>
      <c r="N725" s="861"/>
      <c r="O725" s="504">
        <v>0</v>
      </c>
      <c r="P725" s="504">
        <v>0</v>
      </c>
      <c r="Q725" s="4"/>
      <c r="R725" s="4"/>
      <c r="S725" s="504">
        <v>0</v>
      </c>
      <c r="T725" s="504">
        <v>0</v>
      </c>
      <c r="U725" s="504">
        <v>0</v>
      </c>
      <c r="V725" s="504">
        <v>0</v>
      </c>
      <c r="W725" s="504">
        <v>0</v>
      </c>
      <c r="X725" s="504">
        <v>0</v>
      </c>
      <c r="Y725" s="604"/>
      <c r="Z725" s="3" t="str">
        <f>VLOOKUP($D725,TableInputsData[],ReadMe!$M$3,FALSE)&amp;"  |  "&amp;VLOOKUP($E725,TableInputsData[],ReadMe!$M$3,FALSE)&amp;"  |  "&amp;VLOOKUP($H725,TableInputsData[],ReadMe!$M$3,FALSE)</f>
        <v>COMPTE DE PERTES ET PROFITS  |  VARIATION  |  + VARIATION DES CREANCES</v>
      </c>
      <c r="AA725" s="3"/>
      <c r="AB725" s="34"/>
      <c r="AC725" s="34">
        <v>1</v>
      </c>
      <c r="AD725" s="34"/>
      <c r="AE725" s="26"/>
      <c r="AF725" s="34">
        <v>1</v>
      </c>
      <c r="AG725" s="34"/>
      <c r="AH725" s="535"/>
      <c r="AI725" s="294"/>
    </row>
    <row r="726" spans="1:35" x14ac:dyDescent="0.2">
      <c r="A726" s="294"/>
      <c r="B726" s="922"/>
      <c r="C726" s="66">
        <v>5</v>
      </c>
      <c r="D726" s="3" t="s">
        <v>894</v>
      </c>
      <c r="E726" s="3" t="s">
        <v>176</v>
      </c>
      <c r="F726" s="3" t="s">
        <v>21</v>
      </c>
      <c r="G726" s="3"/>
      <c r="H726" s="5" t="s">
        <v>919</v>
      </c>
      <c r="I726" s="124"/>
      <c r="J726" s="125"/>
      <c r="K726" s="125"/>
      <c r="L726" s="96"/>
      <c r="M726" s="118"/>
      <c r="N726" s="861"/>
      <c r="O726" s="504">
        <v>0</v>
      </c>
      <c r="P726" s="504">
        <v>0</v>
      </c>
      <c r="Q726" s="4"/>
      <c r="R726" s="4"/>
      <c r="S726" s="504">
        <v>0</v>
      </c>
      <c r="T726" s="504">
        <v>0</v>
      </c>
      <c r="U726" s="504">
        <v>0</v>
      </c>
      <c r="V726" s="504">
        <v>0</v>
      </c>
      <c r="W726" s="504">
        <v>0</v>
      </c>
      <c r="X726" s="504">
        <v>0</v>
      </c>
      <c r="Y726" s="604"/>
      <c r="Z726" s="3" t="str">
        <f>VLOOKUP($D726,TableInputsData[],ReadMe!$M$3,FALSE)&amp;"  |  "&amp;VLOOKUP($E726,TableInputsData[],ReadMe!$M$3,FALSE)&amp;"  |  "&amp;VLOOKUP($H726,TableInputsData[],ReadMe!$M$3,FALSE)</f>
        <v>COMPTE DE PERTES ET PROFITS  |  VARIATION  |  - VARIATION DES DETTES D'EXPLOITATION</v>
      </c>
      <c r="AA726" s="3"/>
      <c r="AB726" s="34"/>
      <c r="AC726" s="34">
        <v>1</v>
      </c>
      <c r="AD726" s="34"/>
      <c r="AE726" s="26"/>
      <c r="AF726" s="34">
        <v>1</v>
      </c>
      <c r="AG726" s="34"/>
      <c r="AH726" s="535"/>
      <c r="AI726" s="294"/>
    </row>
    <row r="727" spans="1:35" x14ac:dyDescent="0.2">
      <c r="A727" s="294"/>
      <c r="B727" s="922"/>
      <c r="C727" s="67">
        <v>5</v>
      </c>
      <c r="D727" s="16" t="s">
        <v>894</v>
      </c>
      <c r="E727" s="16" t="s">
        <v>176</v>
      </c>
      <c r="F727" s="16" t="s">
        <v>21</v>
      </c>
      <c r="G727" s="16"/>
      <c r="H727" s="17" t="s">
        <v>29</v>
      </c>
      <c r="I727" s="17"/>
      <c r="J727" s="27"/>
      <c r="K727" s="27"/>
      <c r="L727" s="97"/>
      <c r="M727" s="112"/>
      <c r="N727" s="18"/>
      <c r="O727" s="97">
        <f t="shared" ref="O727:X727" si="275">O724+O725-O726</f>
        <v>0</v>
      </c>
      <c r="P727" s="97">
        <f t="shared" si="275"/>
        <v>0</v>
      </c>
      <c r="Q727" s="97">
        <f t="shared" si="275"/>
        <v>0</v>
      </c>
      <c r="R727" s="97">
        <f t="shared" si="275"/>
        <v>0</v>
      </c>
      <c r="S727" s="97">
        <f t="shared" si="275"/>
        <v>0</v>
      </c>
      <c r="T727" s="97">
        <f t="shared" si="275"/>
        <v>0</v>
      </c>
      <c r="U727" s="97">
        <f t="shared" si="275"/>
        <v>0</v>
      </c>
      <c r="V727" s="97">
        <f t="shared" si="275"/>
        <v>0</v>
      </c>
      <c r="W727" s="97">
        <f t="shared" si="275"/>
        <v>0</v>
      </c>
      <c r="X727" s="97">
        <f t="shared" si="275"/>
        <v>0</v>
      </c>
      <c r="Y727" s="97"/>
      <c r="Z727" s="16" t="str">
        <f>VLOOKUP($D727,TableInputsData[],ReadMe!$M$3,FALSE)&amp;"  |  "&amp;VLOOKUP($E727,TableInputsData[],ReadMe!$M$3,FALSE)&amp;"  |  "&amp;VLOOKUP($H727,TableInputsData[],ReadMe!$M$3,FALSE)</f>
        <v>COMPTE DE PERTES ET PROFITS  |  VARIATION  |  TOTAL</v>
      </c>
      <c r="AA727" s="16"/>
      <c r="AB727" s="27"/>
      <c r="AC727" s="27">
        <v>1</v>
      </c>
      <c r="AD727" s="27"/>
      <c r="AE727" s="27"/>
      <c r="AF727" s="27">
        <v>1</v>
      </c>
      <c r="AG727" s="27"/>
      <c r="AH727" s="533"/>
      <c r="AI727" s="294"/>
    </row>
    <row r="728" spans="1:35" x14ac:dyDescent="0.2">
      <c r="A728" s="294"/>
      <c r="B728" s="922"/>
      <c r="C728" s="66">
        <v>5</v>
      </c>
      <c r="D728" s="3"/>
      <c r="E728" s="3"/>
      <c r="F728" s="6"/>
      <c r="G728" s="3"/>
      <c r="H728" s="5"/>
      <c r="I728" s="124"/>
      <c r="J728" s="125"/>
      <c r="K728" s="125"/>
      <c r="L728" s="96"/>
      <c r="M728" s="118"/>
      <c r="N728" s="861"/>
      <c r="O728" s="4"/>
      <c r="P728" s="4"/>
      <c r="Q728" s="4"/>
      <c r="R728" s="4"/>
      <c r="S728" s="4"/>
      <c r="T728" s="4"/>
      <c r="U728" s="4"/>
      <c r="V728" s="4"/>
      <c r="W728" s="4"/>
      <c r="X728" s="4"/>
      <c r="Y728" s="4"/>
      <c r="Z728" s="3"/>
      <c r="AA728" s="3"/>
      <c r="AB728" s="34"/>
      <c r="AC728" s="34"/>
      <c r="AD728" s="34"/>
      <c r="AE728" s="26"/>
      <c r="AF728" s="34"/>
      <c r="AG728" s="34"/>
      <c r="AH728" s="535"/>
      <c r="AI728" s="294"/>
    </row>
    <row r="729" spans="1:35" x14ac:dyDescent="0.2">
      <c r="A729" s="294"/>
      <c r="B729" s="922"/>
      <c r="C729" s="66">
        <v>5</v>
      </c>
      <c r="D729" s="3" t="s">
        <v>894</v>
      </c>
      <c r="E729" s="3" t="s">
        <v>906</v>
      </c>
      <c r="F729" s="6"/>
      <c r="G729" s="3"/>
      <c r="H729" s="3" t="s">
        <v>906</v>
      </c>
      <c r="I729" s="514" t="s">
        <v>1876</v>
      </c>
      <c r="J729" s="783">
        <v>6.0000000000000002E-5</v>
      </c>
      <c r="K729" s="125"/>
      <c r="L729" s="96"/>
      <c r="M729" s="118"/>
      <c r="N729" s="861"/>
      <c r="O729" s="504">
        <v>0</v>
      </c>
      <c r="P729" s="504">
        <v>0</v>
      </c>
      <c r="Q729" s="4"/>
      <c r="R729" s="4"/>
      <c r="S729" s="504">
        <f>S$192*$J$729</f>
        <v>0</v>
      </c>
      <c r="T729" s="504">
        <f t="shared" ref="T729:X729" si="276">T$192*$J$729</f>
        <v>0</v>
      </c>
      <c r="U729" s="504">
        <f t="shared" si="276"/>
        <v>0</v>
      </c>
      <c r="V729" s="504">
        <f t="shared" si="276"/>
        <v>0</v>
      </c>
      <c r="W729" s="504">
        <f t="shared" si="276"/>
        <v>0</v>
      </c>
      <c r="X729" s="504">
        <f t="shared" si="276"/>
        <v>0</v>
      </c>
      <c r="Y729" s="604"/>
      <c r="Z729" s="3" t="str">
        <f>VLOOKUP($D729,TableInputsData[],ReadMe!$M$3,FALSE)&amp;"  |  "&amp;VLOOKUP($E729,TableInputsData[],ReadMe!$M$3,FALSE)&amp;"  |  "&amp;VLOOKUP($H729,TableInputsData[],ReadMe!$M$3,FALSE)</f>
        <v>COMPTE DE PERTES ET PROFITS  |  FRAIS BANCAIRES  |  FRAIS BANCAIRES</v>
      </c>
      <c r="AA729" s="3"/>
      <c r="AB729" s="34"/>
      <c r="AC729" s="34">
        <v>1</v>
      </c>
      <c r="AD729" s="34"/>
      <c r="AE729" s="26"/>
      <c r="AF729" s="34">
        <v>1</v>
      </c>
      <c r="AG729" s="34"/>
      <c r="AH729" s="535"/>
      <c r="AI729" s="294"/>
    </row>
    <row r="730" spans="1:35" x14ac:dyDescent="0.2">
      <c r="A730" s="294"/>
      <c r="B730" s="922"/>
      <c r="C730" s="66">
        <v>5</v>
      </c>
      <c r="D730" s="3" t="s">
        <v>894</v>
      </c>
      <c r="E730" s="75" t="s">
        <v>909</v>
      </c>
      <c r="F730" s="6" t="s">
        <v>21</v>
      </c>
      <c r="G730" s="3"/>
      <c r="H730" s="5" t="s">
        <v>921</v>
      </c>
      <c r="I730" s="124" t="s">
        <v>930</v>
      </c>
      <c r="J730" s="125"/>
      <c r="K730" s="125"/>
      <c r="L730" s="96"/>
      <c r="M730" s="118"/>
      <c r="N730" s="861"/>
      <c r="O730" s="504">
        <v>0</v>
      </c>
      <c r="P730" s="504">
        <v>0</v>
      </c>
      <c r="Q730" s="4"/>
      <c r="R730" s="4"/>
      <c r="S730" s="4">
        <f t="shared" ref="S730:X730" si="277">-S763</f>
        <v>0</v>
      </c>
      <c r="T730" s="4">
        <f t="shared" si="277"/>
        <v>0</v>
      </c>
      <c r="U730" s="4">
        <f t="shared" si="277"/>
        <v>0</v>
      </c>
      <c r="V730" s="4">
        <f t="shared" si="277"/>
        <v>0</v>
      </c>
      <c r="W730" s="4">
        <f t="shared" si="277"/>
        <v>0</v>
      </c>
      <c r="X730" s="4">
        <f t="shared" si="277"/>
        <v>0</v>
      </c>
      <c r="Y730" s="4"/>
      <c r="Z730" s="3" t="str">
        <f>VLOOKUP($D730,TableInputsData[],ReadMe!$M$3,FALSE)&amp;"  |  "&amp;VLOOKUP($E730,TableInputsData[],ReadMe!$M$3,FALSE)&amp;"  |  "&amp;VLOOKUP($H730,TableInputsData[],ReadMe!$M$3,FALSE)</f>
        <v>COMPTE DE PERTES ET PROFITS  |  INTERETS  |  PRET OVO</v>
      </c>
      <c r="AA730" s="3"/>
      <c r="AB730" s="34"/>
      <c r="AC730" s="34">
        <v>1</v>
      </c>
      <c r="AD730" s="34"/>
      <c r="AE730" s="26"/>
      <c r="AF730" s="34">
        <v>1</v>
      </c>
      <c r="AG730" s="34"/>
      <c r="AH730" s="535"/>
      <c r="AI730" s="294"/>
    </row>
    <row r="731" spans="1:35" x14ac:dyDescent="0.2">
      <c r="A731" s="294"/>
      <c r="B731" s="922"/>
      <c r="C731" s="66">
        <v>5</v>
      </c>
      <c r="D731" s="3" t="s">
        <v>894</v>
      </c>
      <c r="E731" s="75" t="s">
        <v>909</v>
      </c>
      <c r="F731" s="6" t="s">
        <v>21</v>
      </c>
      <c r="G731" s="3"/>
      <c r="H731" s="5" t="s">
        <v>916</v>
      </c>
      <c r="I731" s="124" t="s">
        <v>930</v>
      </c>
      <c r="J731" s="125"/>
      <c r="K731" s="125"/>
      <c r="L731" s="96"/>
      <c r="M731" s="118"/>
      <c r="N731" s="861"/>
      <c r="O731" s="504">
        <v>0</v>
      </c>
      <c r="P731" s="504">
        <v>0</v>
      </c>
      <c r="Q731" s="4"/>
      <c r="R731" s="4"/>
      <c r="S731" s="4">
        <f t="shared" ref="S731:X731" si="278">-S764</f>
        <v>0</v>
      </c>
      <c r="T731" s="4">
        <f t="shared" si="278"/>
        <v>0</v>
      </c>
      <c r="U731" s="4">
        <f t="shared" si="278"/>
        <v>0</v>
      </c>
      <c r="V731" s="4">
        <f t="shared" si="278"/>
        <v>0</v>
      </c>
      <c r="W731" s="4">
        <f t="shared" si="278"/>
        <v>0</v>
      </c>
      <c r="X731" s="4">
        <f t="shared" si="278"/>
        <v>0</v>
      </c>
      <c r="Y731" s="4"/>
      <c r="Z731" s="3" t="str">
        <f>VLOOKUP($D731,TableInputsData[],ReadMe!$M$3,FALSE)&amp;"  |  "&amp;VLOOKUP($E731,TableInputsData[],ReadMe!$M$3,FALSE)&amp;"  |  "&amp;VLOOKUP($H731,TableInputsData[],ReadMe!$M$3,FALSE)</f>
        <v>COMPTE DE PERTES ET PROFITS  |  INTERETS  |  PRET FAMILLE ET AMIS</v>
      </c>
      <c r="AA731" s="3"/>
      <c r="AB731" s="34"/>
      <c r="AC731" s="34">
        <v>1</v>
      </c>
      <c r="AD731" s="34"/>
      <c r="AE731" s="26"/>
      <c r="AF731" s="34">
        <v>1</v>
      </c>
      <c r="AG731" s="34"/>
      <c r="AH731" s="535"/>
      <c r="AI731" s="294"/>
    </row>
    <row r="732" spans="1:35" x14ac:dyDescent="0.2">
      <c r="A732" s="294"/>
      <c r="B732" s="922"/>
      <c r="C732" s="66">
        <v>5</v>
      </c>
      <c r="D732" s="3" t="s">
        <v>894</v>
      </c>
      <c r="E732" s="75" t="s">
        <v>909</v>
      </c>
      <c r="F732" s="3" t="s">
        <v>21</v>
      </c>
      <c r="G732" s="3"/>
      <c r="H732" s="5" t="s">
        <v>920</v>
      </c>
      <c r="I732" s="124" t="s">
        <v>930</v>
      </c>
      <c r="J732" s="125"/>
      <c r="K732" s="125"/>
      <c r="L732" s="96"/>
      <c r="M732" s="118"/>
      <c r="N732" s="861"/>
      <c r="O732" s="504">
        <v>0</v>
      </c>
      <c r="P732" s="504">
        <v>0</v>
      </c>
      <c r="Q732" s="4"/>
      <c r="R732" s="4"/>
      <c r="S732" s="4">
        <f t="shared" ref="S732:X732" si="279">-S765</f>
        <v>0</v>
      </c>
      <c r="T732" s="4">
        <f t="shared" si="279"/>
        <v>0</v>
      </c>
      <c r="U732" s="4">
        <f t="shared" si="279"/>
        <v>0</v>
      </c>
      <c r="V732" s="4">
        <f t="shared" si="279"/>
        <v>0</v>
      </c>
      <c r="W732" s="4">
        <f t="shared" si="279"/>
        <v>0</v>
      </c>
      <c r="X732" s="4">
        <f t="shared" si="279"/>
        <v>0</v>
      </c>
      <c r="Y732" s="4"/>
      <c r="Z732" s="3" t="str">
        <f>VLOOKUP($D732,TableInputsData[],ReadMe!$M$3,FALSE)&amp;"  |  "&amp;VLOOKUP($E732,TableInputsData[],ReadMe!$M$3,FALSE)&amp;"  |  "&amp;VLOOKUP($H732,TableInputsData[],ReadMe!$M$3,FALSE)</f>
        <v>COMPTE DE PERTES ET PROFITS  |  INTERETS  |  PRET BANQUE LOCALE</v>
      </c>
      <c r="AA732" s="3"/>
      <c r="AB732" s="34"/>
      <c r="AC732" s="181">
        <v>1</v>
      </c>
      <c r="AD732" s="34"/>
      <c r="AE732" s="216"/>
      <c r="AF732" s="181">
        <v>1</v>
      </c>
      <c r="AG732" s="34"/>
      <c r="AH732" s="535"/>
      <c r="AI732" s="294"/>
    </row>
    <row r="733" spans="1:35" x14ac:dyDescent="0.2">
      <c r="A733" s="294"/>
      <c r="B733" s="922"/>
      <c r="C733" s="67">
        <v>5</v>
      </c>
      <c r="D733" s="16" t="s">
        <v>894</v>
      </c>
      <c r="E733" s="16" t="s">
        <v>907</v>
      </c>
      <c r="F733" s="16" t="s">
        <v>21</v>
      </c>
      <c r="G733" s="16"/>
      <c r="H733" s="17" t="s">
        <v>29</v>
      </c>
      <c r="I733" s="17"/>
      <c r="J733" s="27"/>
      <c r="K733" s="27"/>
      <c r="L733" s="97"/>
      <c r="M733" s="112"/>
      <c r="N733" s="18"/>
      <c r="O733" s="97">
        <f>SUM(O729:O732)</f>
        <v>0</v>
      </c>
      <c r="P733" s="97">
        <f>SUM(P729:P732)</f>
        <v>0</v>
      </c>
      <c r="Q733" s="97"/>
      <c r="R733" s="97"/>
      <c r="S733" s="97">
        <f>SUM(S729:S732)</f>
        <v>0</v>
      </c>
      <c r="T733" s="97">
        <f t="shared" ref="T733:X733" si="280">SUM(T729:T732)</f>
        <v>0</v>
      </c>
      <c r="U733" s="97">
        <f t="shared" si="280"/>
        <v>0</v>
      </c>
      <c r="V733" s="97">
        <f t="shared" si="280"/>
        <v>0</v>
      </c>
      <c r="W733" s="97">
        <f t="shared" si="280"/>
        <v>0</v>
      </c>
      <c r="X733" s="97">
        <f t="shared" si="280"/>
        <v>0</v>
      </c>
      <c r="Y733" s="97"/>
      <c r="Z733" s="16" t="str">
        <f>VLOOKUP($D733,TableInputsData[],ReadMe!$M$3,FALSE)&amp;"  |  "&amp;VLOOKUP($E733,TableInputsData[],ReadMe!$M$3,FALSE)&amp;"  |  "&amp;VLOOKUP($H733,TableInputsData[],ReadMe!$M$3,FALSE)</f>
        <v>COMPTE DE PERTES ET PROFITS  |  FRAIS BANCAIRES + INTERETS  |  TOTAL</v>
      </c>
      <c r="AA733" s="16"/>
      <c r="AB733" s="27"/>
      <c r="AC733" s="27">
        <v>1</v>
      </c>
      <c r="AD733" s="27"/>
      <c r="AE733" s="27"/>
      <c r="AF733" s="27">
        <v>1</v>
      </c>
      <c r="AG733" s="27"/>
      <c r="AH733" s="533"/>
      <c r="AI733" s="294"/>
    </row>
    <row r="734" spans="1:35" x14ac:dyDescent="0.2">
      <c r="A734" s="294"/>
      <c r="B734" s="922"/>
      <c r="C734" s="72">
        <v>5</v>
      </c>
      <c r="D734" s="13"/>
      <c r="E734" s="13"/>
      <c r="F734" s="13"/>
      <c r="G734" s="13"/>
      <c r="H734" s="14"/>
      <c r="I734" s="147"/>
      <c r="J734" s="148"/>
      <c r="K734" s="148"/>
      <c r="L734" s="99"/>
      <c r="M734" s="114"/>
      <c r="N734" s="850"/>
      <c r="O734" s="15"/>
      <c r="P734" s="15"/>
      <c r="Q734" s="15"/>
      <c r="R734" s="15"/>
      <c r="S734" s="15"/>
      <c r="T734" s="15"/>
      <c r="U734" s="15"/>
      <c r="V734" s="15"/>
      <c r="W734" s="15"/>
      <c r="X734" s="15"/>
      <c r="Y734" s="15"/>
      <c r="Z734" s="13"/>
      <c r="AA734" s="13"/>
      <c r="AB734" s="37"/>
      <c r="AC734" s="188"/>
      <c r="AD734" s="37"/>
      <c r="AE734" s="217"/>
      <c r="AF734" s="188"/>
      <c r="AG734" s="37"/>
      <c r="AH734" s="537"/>
      <c r="AI734" s="294"/>
    </row>
    <row r="735" spans="1:35" x14ac:dyDescent="0.2">
      <c r="A735" s="294"/>
      <c r="B735" s="922"/>
      <c r="C735" s="67">
        <v>5</v>
      </c>
      <c r="D735" s="16" t="s">
        <v>894</v>
      </c>
      <c r="E735" s="16" t="s">
        <v>989</v>
      </c>
      <c r="F735" s="16" t="s">
        <v>21</v>
      </c>
      <c r="G735" s="16"/>
      <c r="H735" s="17" t="s">
        <v>29</v>
      </c>
      <c r="I735" s="17"/>
      <c r="J735" s="27"/>
      <c r="K735" s="27"/>
      <c r="L735" s="97"/>
      <c r="M735" s="112"/>
      <c r="N735" s="18"/>
      <c r="O735" s="97">
        <f>O722+O727-O733</f>
        <v>0</v>
      </c>
      <c r="P735" s="97">
        <f>P722+P727-P733</f>
        <v>0</v>
      </c>
      <c r="Q735" s="97"/>
      <c r="R735" s="97"/>
      <c r="S735" s="97">
        <f t="shared" ref="S735:X735" si="281">S722+S727-S733</f>
        <v>0</v>
      </c>
      <c r="T735" s="97">
        <f t="shared" si="281"/>
        <v>0</v>
      </c>
      <c r="U735" s="97">
        <f t="shared" si="281"/>
        <v>0</v>
      </c>
      <c r="V735" s="97">
        <f t="shared" si="281"/>
        <v>0</v>
      </c>
      <c r="W735" s="97">
        <f t="shared" si="281"/>
        <v>0</v>
      </c>
      <c r="X735" s="97">
        <f t="shared" si="281"/>
        <v>0</v>
      </c>
      <c r="Y735" s="97"/>
      <c r="Z735" s="16" t="str">
        <f>VLOOKUP($D735,TableInputsData[],ReadMe!$M$3,FALSE)&amp;"  |  "&amp;VLOOKUP($E735,TableInputsData[],ReadMe!$M$3,FALSE)&amp;"  |  "&amp;VLOOKUP($H735,TableInputsData[],ReadMe!$M$3,FALSE)</f>
        <v>COMPTE DE PERTES ET PROFITS  |  BENEFICE AVANT IMPOT  |  TOTAL</v>
      </c>
      <c r="AA735" s="16"/>
      <c r="AB735" s="27"/>
      <c r="AC735" s="27">
        <v>1</v>
      </c>
      <c r="AD735" s="27"/>
      <c r="AE735" s="27">
        <v>1</v>
      </c>
      <c r="AF735" s="27">
        <v>1</v>
      </c>
      <c r="AG735" s="27"/>
      <c r="AH735" s="533"/>
      <c r="AI735" s="294"/>
    </row>
    <row r="736" spans="1:35" x14ac:dyDescent="0.2">
      <c r="A736" s="294"/>
      <c r="B736" s="922"/>
      <c r="C736" s="66">
        <v>5</v>
      </c>
      <c r="D736" s="180"/>
      <c r="E736" s="3"/>
      <c r="F736" s="3"/>
      <c r="G736" s="3"/>
      <c r="H736" s="5"/>
      <c r="I736" s="124"/>
      <c r="J736" s="125"/>
      <c r="K736" s="125"/>
      <c r="L736" s="96"/>
      <c r="M736" s="118"/>
      <c r="N736" s="861"/>
      <c r="O736" s="4"/>
      <c r="P736" s="4"/>
      <c r="Q736" s="4"/>
      <c r="R736" s="4"/>
      <c r="S736" s="4"/>
      <c r="T736" s="4"/>
      <c r="U736" s="4"/>
      <c r="V736" s="4"/>
      <c r="W736" s="4"/>
      <c r="X736" s="4"/>
      <c r="Y736" s="4"/>
      <c r="Z736" s="3"/>
      <c r="AA736" s="3"/>
      <c r="AB736" s="34"/>
      <c r="AC736" s="181"/>
      <c r="AD736" s="34"/>
      <c r="AE736" s="216"/>
      <c r="AF736" s="181"/>
      <c r="AG736" s="34"/>
      <c r="AH736" s="535"/>
      <c r="AI736" s="294"/>
    </row>
    <row r="737" spans="1:35" x14ac:dyDescent="0.2">
      <c r="A737" s="294"/>
      <c r="B737" s="922"/>
      <c r="C737" s="66">
        <v>5</v>
      </c>
      <c r="D737" s="3" t="s">
        <v>894</v>
      </c>
      <c r="E737" s="3" t="s">
        <v>908</v>
      </c>
      <c r="F737" s="6" t="s">
        <v>21</v>
      </c>
      <c r="G737" s="3" t="s">
        <v>415</v>
      </c>
      <c r="H737" s="5" t="str">
        <f>IF(VLOOKUP($G737,TableInputsData[],6,FALSE)="",$G737,VLOOKUP($G737,TableInputsData[],6,FALSE))</f>
        <v>IMPOT SUR LE REVENU</v>
      </c>
      <c r="I737" s="515" t="str">
        <f>IF(VLOOKUP($G737,TableInputsData[],7,FALSE)="","",VLOOKUP($G737,TableInputsData[],7,FALSE))</f>
        <v>REVENUS &lt;=  200 M F CFA</v>
      </c>
      <c r="J737" s="510">
        <f>IF(VLOOKUP($G737,TableInputsData[],8,FALSE)="","",VLOOKUP($G737,TableInputsData[],8,FALSE))</f>
        <v>0.04</v>
      </c>
      <c r="K737" s="125"/>
      <c r="L737" s="96"/>
      <c r="M737" s="118"/>
      <c r="N737" s="861"/>
      <c r="O737" s="504">
        <v>0</v>
      </c>
      <c r="P737" s="504">
        <v>0</v>
      </c>
      <c r="Q737" s="4"/>
      <c r="R737" s="4"/>
      <c r="S737" s="504">
        <f>S$710*$J737</f>
        <v>0</v>
      </c>
      <c r="T737" s="504">
        <v>0</v>
      </c>
      <c r="U737" s="504">
        <v>0</v>
      </c>
      <c r="V737" s="504">
        <v>0</v>
      </c>
      <c r="W737" s="504">
        <v>0</v>
      </c>
      <c r="X737" s="504">
        <v>0</v>
      </c>
      <c r="Y737" s="604"/>
      <c r="Z737" s="3" t="str">
        <f>VLOOKUP($D737,TableInputsData[],ReadMe!$M$3,FALSE)&amp;"  |  "&amp;VLOOKUP($E737,TableInputsData[],ReadMe!$M$3,FALSE)&amp;"  |  "&amp;VLOOKUP($G737,TableInputsData[],ReadMe!$M$3,FALSE)</f>
        <v>COMPTE DE PERTES ET PROFITS  |  IMPOTS  |  IMPOT REGIME 1</v>
      </c>
      <c r="AA737" s="3"/>
      <c r="AB737" s="34"/>
      <c r="AC737" s="181">
        <v>1</v>
      </c>
      <c r="AD737" s="34"/>
      <c r="AE737" s="216"/>
      <c r="AF737" s="181">
        <v>1</v>
      </c>
      <c r="AG737" s="34"/>
      <c r="AH737" s="535"/>
      <c r="AI737" s="294"/>
    </row>
    <row r="738" spans="1:35" x14ac:dyDescent="0.2">
      <c r="A738" s="294"/>
      <c r="B738" s="922"/>
      <c r="C738" s="66">
        <v>5</v>
      </c>
      <c r="D738" s="3" t="s">
        <v>894</v>
      </c>
      <c r="E738" s="3" t="s">
        <v>908</v>
      </c>
      <c r="F738" s="6" t="s">
        <v>21</v>
      </c>
      <c r="G738" s="3" t="s">
        <v>416</v>
      </c>
      <c r="H738" s="5" t="str">
        <f>IF(VLOOKUP($G738,TableInputsData[],6,FALSE)="",$G738,VLOOKUP($G738,TableInputsData[],6,FALSE))</f>
        <v>IMPOT SUR LE BENEFICE</v>
      </c>
      <c r="I738" s="515" t="str">
        <f>IF(VLOOKUP($G738,TableInputsData[],7,FALSE)="","",VLOOKUP($G738,TableInputsData[],7,FALSE))</f>
        <v>REVENUS &gt; 200 M F CFA</v>
      </c>
      <c r="J738" s="510">
        <f>IF(VLOOKUP($G738,TableInputsData[],8,FALSE)="","",VLOOKUP($G738,TableInputsData[],8,FALSE))</f>
        <v>0.3</v>
      </c>
      <c r="K738" s="125"/>
      <c r="L738" s="96"/>
      <c r="M738" s="118"/>
      <c r="N738" s="861"/>
      <c r="O738" s="504">
        <v>0</v>
      </c>
      <c r="P738" s="504">
        <v>0</v>
      </c>
      <c r="Q738" s="4"/>
      <c r="R738" s="4"/>
      <c r="S738" s="504">
        <v>0</v>
      </c>
      <c r="T738" s="504">
        <f>T$735*$J738</f>
        <v>0</v>
      </c>
      <c r="U738" s="504">
        <f t="shared" ref="U738:X738" si="282">U$735*$J738</f>
        <v>0</v>
      </c>
      <c r="V738" s="504">
        <f t="shared" si="282"/>
        <v>0</v>
      </c>
      <c r="W738" s="504">
        <f t="shared" si="282"/>
        <v>0</v>
      </c>
      <c r="X738" s="504">
        <f t="shared" si="282"/>
        <v>0</v>
      </c>
      <c r="Y738" s="604"/>
      <c r="Z738" s="3" t="str">
        <f>VLOOKUP($D738,TableInputsData[],ReadMe!$M$3,FALSE)&amp;"  |  "&amp;VLOOKUP($E738,TableInputsData[],ReadMe!$M$3,FALSE)&amp;"  |  "&amp;VLOOKUP($G738,TableInputsData[],ReadMe!$M$3,FALSE)</f>
        <v>COMPTE DE PERTES ET PROFITS  |  IMPOTS  |  IMPOT REGIME 2</v>
      </c>
      <c r="AA738" s="3"/>
      <c r="AB738" s="34"/>
      <c r="AC738" s="181">
        <v>1</v>
      </c>
      <c r="AD738" s="34"/>
      <c r="AE738" s="216"/>
      <c r="AF738" s="181">
        <v>1</v>
      </c>
      <c r="AG738" s="34"/>
      <c r="AH738" s="535"/>
      <c r="AI738" s="294"/>
    </row>
    <row r="739" spans="1:35" x14ac:dyDescent="0.2">
      <c r="A739" s="294"/>
      <c r="B739" s="922"/>
      <c r="C739" s="66">
        <v>5</v>
      </c>
      <c r="D739" s="3" t="s">
        <v>894</v>
      </c>
      <c r="E739" s="3" t="s">
        <v>908</v>
      </c>
      <c r="F739" s="6" t="s">
        <v>21</v>
      </c>
      <c r="G739" s="3" t="s">
        <v>417</v>
      </c>
      <c r="H739" s="5" t="str">
        <f>IF(VLOOKUP($G739,TableInputsData[],6,FALSE)="",$G739,VLOOKUP($G739,TableInputsData[],6,FALSE))</f>
        <v>TAX REGIME 3</v>
      </c>
      <c r="I739" s="515" t="str">
        <f>IF(VLOOKUP($G739,TableInputsData[],7,FALSE)="","",VLOOKUP($G739,TableInputsData[],7,FALSE))</f>
        <v/>
      </c>
      <c r="J739" s="510" t="str">
        <f>IF(VLOOKUP($G739,TableInputsData[],8,FALSE)="","",VLOOKUP($G739,TableInputsData[],8,FALSE))</f>
        <v/>
      </c>
      <c r="K739" s="125"/>
      <c r="L739" s="96"/>
      <c r="M739" s="118"/>
      <c r="N739" s="861"/>
      <c r="O739" s="504">
        <v>0</v>
      </c>
      <c r="P739" s="504">
        <v>0</v>
      </c>
      <c r="Q739" s="4"/>
      <c r="R739" s="4"/>
      <c r="S739" s="504">
        <v>0</v>
      </c>
      <c r="T739" s="504">
        <v>0</v>
      </c>
      <c r="U739" s="504">
        <v>0</v>
      </c>
      <c r="V739" s="504">
        <v>0</v>
      </c>
      <c r="W739" s="504">
        <v>0</v>
      </c>
      <c r="X739" s="504">
        <v>0</v>
      </c>
      <c r="Y739" s="604"/>
      <c r="Z739" s="3" t="str">
        <f>VLOOKUP($D739,TableInputsData[],ReadMe!$M$3,FALSE)&amp;"  |  "&amp;VLOOKUP($E739,TableInputsData[],ReadMe!$M$3,FALSE)&amp;"  |  "&amp;VLOOKUP($G739,TableInputsData[],ReadMe!$M$3,FALSE)</f>
        <v>COMPTE DE PERTES ET PROFITS  |  IMPOTS  |  IMPOT REGIME 3</v>
      </c>
      <c r="AA739" s="3"/>
      <c r="AB739" s="34"/>
      <c r="AC739" s="181">
        <v>1</v>
      </c>
      <c r="AD739" s="34"/>
      <c r="AE739" s="216"/>
      <c r="AF739" s="181">
        <v>1</v>
      </c>
      <c r="AG739" s="34"/>
      <c r="AH739" s="535"/>
      <c r="AI739" s="294"/>
    </row>
    <row r="740" spans="1:35" x14ac:dyDescent="0.2">
      <c r="A740" s="294"/>
      <c r="B740" s="922"/>
      <c r="C740" s="66">
        <v>5</v>
      </c>
      <c r="D740" s="3" t="s">
        <v>894</v>
      </c>
      <c r="E740" s="3" t="s">
        <v>908</v>
      </c>
      <c r="F740" s="6" t="s">
        <v>21</v>
      </c>
      <c r="G740" s="3" t="s">
        <v>418</v>
      </c>
      <c r="H740" s="5" t="str">
        <f>IF(VLOOKUP($G740,TableInputsData[],6,FALSE)="",$G740,VLOOKUP($G740,TableInputsData[],6,FALSE))</f>
        <v>TAX REGIME 4</v>
      </c>
      <c r="I740" s="515" t="str">
        <f>IF(VLOOKUP($G740,TableInputsData[],7,FALSE)="","",VLOOKUP($G740,TableInputsData[],7,FALSE))</f>
        <v/>
      </c>
      <c r="J740" s="510" t="str">
        <f>IF(VLOOKUP($G740,TableInputsData[],8,FALSE)="","",VLOOKUP($G740,TableInputsData[],8,FALSE))</f>
        <v/>
      </c>
      <c r="K740" s="125"/>
      <c r="L740" s="96"/>
      <c r="M740" s="118"/>
      <c r="N740" s="861"/>
      <c r="O740" s="504">
        <v>0</v>
      </c>
      <c r="P740" s="504">
        <v>0</v>
      </c>
      <c r="Q740" s="4"/>
      <c r="R740" s="4"/>
      <c r="S740" s="504">
        <v>0</v>
      </c>
      <c r="T740" s="504">
        <v>0</v>
      </c>
      <c r="U740" s="504">
        <v>0</v>
      </c>
      <c r="V740" s="504">
        <v>0</v>
      </c>
      <c r="W740" s="504">
        <v>0</v>
      </c>
      <c r="X740" s="504">
        <v>0</v>
      </c>
      <c r="Y740" s="604"/>
      <c r="Z740" s="3" t="str">
        <f>VLOOKUP($D740,TableInputsData[],ReadMe!$M$3,FALSE)&amp;"  |  "&amp;VLOOKUP($E740,TableInputsData[],ReadMe!$M$3,FALSE)&amp;"  |  "&amp;VLOOKUP($G740,TableInputsData[],ReadMe!$M$3,FALSE)</f>
        <v>COMPTE DE PERTES ET PROFITS  |  IMPOTS  |  IMPOT REGIME 4</v>
      </c>
      <c r="AA740" s="3"/>
      <c r="AB740" s="34"/>
      <c r="AC740" s="181">
        <v>1</v>
      </c>
      <c r="AD740" s="34"/>
      <c r="AE740" s="216"/>
      <c r="AF740" s="181">
        <v>1</v>
      </c>
      <c r="AG740" s="34"/>
      <c r="AH740" s="535"/>
      <c r="AI740" s="294"/>
    </row>
    <row r="741" spans="1:35" x14ac:dyDescent="0.2">
      <c r="A741" s="294"/>
      <c r="B741" s="922"/>
      <c r="C741" s="66">
        <v>5</v>
      </c>
      <c r="D741" s="3" t="s">
        <v>894</v>
      </c>
      <c r="E741" s="3" t="s">
        <v>908</v>
      </c>
      <c r="F741" s="6" t="s">
        <v>21</v>
      </c>
      <c r="G741" s="3" t="s">
        <v>419</v>
      </c>
      <c r="H741" s="5" t="str">
        <f>IF(VLOOKUP($G741,TableInputsData[],6,FALSE)="",$G741,VLOOKUP($G741,TableInputsData[],6,FALSE))</f>
        <v>TAX REGIME 5</v>
      </c>
      <c r="I741" s="515" t="str">
        <f>IF(VLOOKUP($G741,TableInputsData[],7,FALSE)="","",VLOOKUP($G741,TableInputsData[],7,FALSE))</f>
        <v/>
      </c>
      <c r="J741" s="510" t="str">
        <f>IF(VLOOKUP($G741,TableInputsData[],8,FALSE)="","",VLOOKUP($G741,TableInputsData[],8,FALSE))</f>
        <v/>
      </c>
      <c r="K741" s="125"/>
      <c r="L741" s="96"/>
      <c r="M741" s="118"/>
      <c r="N741" s="861"/>
      <c r="O741" s="504">
        <v>0</v>
      </c>
      <c r="P741" s="504">
        <v>0</v>
      </c>
      <c r="Q741" s="4"/>
      <c r="R741" s="4"/>
      <c r="S741" s="504">
        <v>0</v>
      </c>
      <c r="T741" s="504">
        <v>0</v>
      </c>
      <c r="U741" s="504">
        <v>0</v>
      </c>
      <c r="V741" s="504">
        <v>0</v>
      </c>
      <c r="W741" s="504">
        <v>0</v>
      </c>
      <c r="X741" s="504">
        <v>0</v>
      </c>
      <c r="Y741" s="604"/>
      <c r="Z741" s="3" t="str">
        <f>VLOOKUP($D741,TableInputsData[],ReadMe!$M$3,FALSE)&amp;"  |  "&amp;VLOOKUP($E741,TableInputsData[],ReadMe!$M$3,FALSE)&amp;"  |  "&amp;VLOOKUP($G741,TableInputsData[],ReadMe!$M$3,FALSE)</f>
        <v>COMPTE DE PERTES ET PROFITS  |  IMPOTS  |  IMPOT REGIME 5</v>
      </c>
      <c r="AA741" s="3"/>
      <c r="AB741" s="34"/>
      <c r="AC741" s="181">
        <v>1</v>
      </c>
      <c r="AD741" s="34"/>
      <c r="AE741" s="216"/>
      <c r="AF741" s="181">
        <v>1</v>
      </c>
      <c r="AG741" s="34"/>
      <c r="AH741" s="535"/>
      <c r="AI741" s="294"/>
    </row>
    <row r="742" spans="1:35" x14ac:dyDescent="0.2">
      <c r="A742" s="294"/>
      <c r="B742" s="922"/>
      <c r="C742" s="67">
        <v>5</v>
      </c>
      <c r="D742" s="16" t="s">
        <v>894</v>
      </c>
      <c r="E742" s="16" t="s">
        <v>908</v>
      </c>
      <c r="F742" s="16" t="s">
        <v>21</v>
      </c>
      <c r="G742" s="16"/>
      <c r="H742" s="17" t="s">
        <v>29</v>
      </c>
      <c r="I742" s="17"/>
      <c r="J742" s="27"/>
      <c r="K742" s="27"/>
      <c r="L742" s="97"/>
      <c r="M742" s="112"/>
      <c r="N742" s="18"/>
      <c r="O742" s="97">
        <f>SUM(O737:O741)</f>
        <v>0</v>
      </c>
      <c r="P742" s="97">
        <f>SUM(P737:P741)</f>
        <v>0</v>
      </c>
      <c r="Q742" s="97"/>
      <c r="R742" s="97"/>
      <c r="S742" s="97">
        <f t="shared" ref="S742:X742" si="283">SUM(S737:S741)</f>
        <v>0</v>
      </c>
      <c r="T742" s="97">
        <f t="shared" si="283"/>
        <v>0</v>
      </c>
      <c r="U742" s="97">
        <f t="shared" si="283"/>
        <v>0</v>
      </c>
      <c r="V742" s="97">
        <f t="shared" si="283"/>
        <v>0</v>
      </c>
      <c r="W742" s="97">
        <f t="shared" si="283"/>
        <v>0</v>
      </c>
      <c r="X742" s="97">
        <f t="shared" si="283"/>
        <v>0</v>
      </c>
      <c r="Y742" s="97"/>
      <c r="Z742" s="16" t="str">
        <f>VLOOKUP($D742,TableInputsData[],ReadMe!$M$3,FALSE)&amp;"  |  "&amp;VLOOKUP($E742,TableInputsData[],ReadMe!$M$3,FALSE)&amp;"  |  "&amp;VLOOKUP($H742,TableInputsData[],ReadMe!$M$3,FALSE)</f>
        <v>COMPTE DE PERTES ET PROFITS  |  IMPOTS  |  TOTAL</v>
      </c>
      <c r="AA742" s="16"/>
      <c r="AB742" s="27"/>
      <c r="AC742" s="27">
        <v>1</v>
      </c>
      <c r="AD742" s="27"/>
      <c r="AE742" s="27"/>
      <c r="AF742" s="27">
        <v>1</v>
      </c>
      <c r="AG742" s="27"/>
      <c r="AH742" s="533"/>
      <c r="AI742" s="294"/>
    </row>
    <row r="743" spans="1:35" x14ac:dyDescent="0.2">
      <c r="A743" s="294"/>
      <c r="B743" s="922"/>
      <c r="C743" s="66">
        <v>5</v>
      </c>
      <c r="D743" s="180"/>
      <c r="E743" s="3"/>
      <c r="F743" s="6"/>
      <c r="G743" s="3"/>
      <c r="H743" s="5"/>
      <c r="I743" s="124"/>
      <c r="J743" s="125"/>
      <c r="K743" s="125"/>
      <c r="L743" s="96"/>
      <c r="M743" s="118"/>
      <c r="N743" s="861"/>
      <c r="O743" s="4"/>
      <c r="P743" s="4"/>
      <c r="Q743" s="4"/>
      <c r="R743" s="4"/>
      <c r="S743" s="4"/>
      <c r="T743" s="4"/>
      <c r="U743" s="4"/>
      <c r="V743" s="4"/>
      <c r="W743" s="4"/>
      <c r="X743" s="4"/>
      <c r="Y743" s="4"/>
      <c r="Z743" s="3"/>
      <c r="AA743" s="3"/>
      <c r="AB743" s="34"/>
      <c r="AC743" s="181"/>
      <c r="AD743" s="34"/>
      <c r="AE743" s="216"/>
      <c r="AF743" s="181"/>
      <c r="AG743" s="34"/>
      <c r="AH743" s="535"/>
      <c r="AI743" s="294"/>
    </row>
    <row r="744" spans="1:35" x14ac:dyDescent="0.2">
      <c r="A744" s="294"/>
      <c r="B744" s="922"/>
      <c r="C744" s="67">
        <v>5</v>
      </c>
      <c r="D744" s="16" t="s">
        <v>894</v>
      </c>
      <c r="E744" s="16" t="s">
        <v>905</v>
      </c>
      <c r="F744" s="16" t="s">
        <v>21</v>
      </c>
      <c r="G744" s="16"/>
      <c r="H744" s="17" t="s">
        <v>29</v>
      </c>
      <c r="I744" s="17"/>
      <c r="J744" s="27"/>
      <c r="K744" s="27"/>
      <c r="L744" s="97"/>
      <c r="M744" s="112"/>
      <c r="N744" s="18"/>
      <c r="O744" s="97">
        <f>O735-O742</f>
        <v>0</v>
      </c>
      <c r="P744" s="97">
        <f>P735-P742</f>
        <v>0</v>
      </c>
      <c r="Q744" s="97"/>
      <c r="R744" s="97"/>
      <c r="S744" s="97">
        <f t="shared" ref="S744:X744" si="284">S735-S742</f>
        <v>0</v>
      </c>
      <c r="T744" s="97">
        <f t="shared" si="284"/>
        <v>0</v>
      </c>
      <c r="U744" s="97">
        <f t="shared" si="284"/>
        <v>0</v>
      </c>
      <c r="V744" s="97">
        <f t="shared" si="284"/>
        <v>0</v>
      </c>
      <c r="W744" s="97">
        <f t="shared" si="284"/>
        <v>0</v>
      </c>
      <c r="X744" s="97">
        <f t="shared" si="284"/>
        <v>0</v>
      </c>
      <c r="Y744" s="97"/>
      <c r="Z744" s="16" t="str">
        <f>VLOOKUP($D744,TableInputsData[],ReadMe!$M$3,FALSE)&amp;"  |  "&amp;VLOOKUP($E744,TableInputsData[],ReadMe!$M$3,FALSE)&amp;"  |  "&amp;VLOOKUP($H744,TableInputsData[],ReadMe!$M$3,FALSE)</f>
        <v>COMPTE DE PERTES ET PROFITS  |  BENEFICE NET  |  TOTAL</v>
      </c>
      <c r="AA744" s="16"/>
      <c r="AB744" s="27"/>
      <c r="AC744" s="27">
        <v>1</v>
      </c>
      <c r="AD744" s="27"/>
      <c r="AE744" s="27">
        <v>1</v>
      </c>
      <c r="AF744" s="27">
        <v>1</v>
      </c>
      <c r="AG744" s="27"/>
      <c r="AH744" s="533"/>
      <c r="AI744" s="294"/>
    </row>
    <row r="745" spans="1:35" x14ac:dyDescent="0.2">
      <c r="A745" s="294"/>
      <c r="B745" s="922"/>
      <c r="C745" s="66">
        <v>5</v>
      </c>
      <c r="D745" s="180"/>
      <c r="E745" s="3"/>
      <c r="F745" s="6"/>
      <c r="G745" s="3"/>
      <c r="H745" s="5"/>
      <c r="I745" s="124"/>
      <c r="J745" s="125"/>
      <c r="K745" s="125"/>
      <c r="L745" s="96"/>
      <c r="M745" s="118"/>
      <c r="N745" s="861"/>
      <c r="O745" s="4"/>
      <c r="P745" s="4"/>
      <c r="Q745" s="4"/>
      <c r="R745" s="4"/>
      <c r="S745" s="4"/>
      <c r="T745" s="4"/>
      <c r="U745" s="4"/>
      <c r="V745" s="4"/>
      <c r="W745" s="4"/>
      <c r="X745" s="4"/>
      <c r="Y745" s="4"/>
      <c r="Z745" s="3"/>
      <c r="AA745" s="3"/>
      <c r="AB745" s="34"/>
      <c r="AC745" s="181"/>
      <c r="AD745" s="34"/>
      <c r="AE745" s="216"/>
      <c r="AF745" s="34"/>
      <c r="AG745" s="34"/>
      <c r="AH745" s="535"/>
      <c r="AI745" s="294"/>
    </row>
    <row r="746" spans="1:35" x14ac:dyDescent="0.2">
      <c r="A746" s="294"/>
      <c r="B746" s="922"/>
      <c r="C746" s="73">
        <v>5</v>
      </c>
      <c r="D746" s="182"/>
      <c r="E746" s="55"/>
      <c r="F746" s="183"/>
      <c r="G746" s="55"/>
      <c r="H746" s="56"/>
      <c r="I746" s="184"/>
      <c r="J746" s="185"/>
      <c r="K746" s="185"/>
      <c r="L746" s="106"/>
      <c r="M746" s="122"/>
      <c r="N746" s="858"/>
      <c r="O746" s="57"/>
      <c r="P746" s="57"/>
      <c r="Q746" s="57"/>
      <c r="R746" s="57"/>
      <c r="S746" s="57"/>
      <c r="T746" s="57"/>
      <c r="U746" s="57"/>
      <c r="V746" s="57"/>
      <c r="W746" s="57"/>
      <c r="X746" s="57"/>
      <c r="Y746" s="57"/>
      <c r="Z746" s="55"/>
      <c r="AA746" s="55"/>
      <c r="AB746" s="58"/>
      <c r="AC746" s="186"/>
      <c r="AD746" s="58"/>
      <c r="AE746" s="218"/>
      <c r="AF746" s="58"/>
      <c r="AG746" s="58"/>
      <c r="AH746" s="538"/>
      <c r="AI746" s="294"/>
    </row>
    <row r="747" spans="1:35" ht="12.75" customHeight="1" x14ac:dyDescent="0.2">
      <c r="A747" s="294"/>
      <c r="B747" s="937" t="s">
        <v>945</v>
      </c>
      <c r="C747" s="73">
        <v>6</v>
      </c>
      <c r="D747" s="182"/>
      <c r="E747" s="55"/>
      <c r="F747" s="183"/>
      <c r="G747" s="55"/>
      <c r="H747" s="56"/>
      <c r="I747" s="184"/>
      <c r="J747" s="185"/>
      <c r="K747" s="185"/>
      <c r="L747" s="106"/>
      <c r="M747" s="122"/>
      <c r="N747" s="858"/>
      <c r="O747" s="57"/>
      <c r="P747" s="57"/>
      <c r="Q747" s="57"/>
      <c r="R747" s="57"/>
      <c r="S747" s="57"/>
      <c r="T747" s="57"/>
      <c r="U747" s="57"/>
      <c r="V747" s="57"/>
      <c r="W747" s="57"/>
      <c r="X747" s="57"/>
      <c r="Y747" s="57"/>
      <c r="Z747" s="55"/>
      <c r="AA747" s="55"/>
      <c r="AB747" s="58"/>
      <c r="AC747" s="186"/>
      <c r="AD747" s="58"/>
      <c r="AE747" s="218"/>
      <c r="AF747" s="58"/>
      <c r="AG747" s="58"/>
      <c r="AH747" s="538"/>
      <c r="AI747" s="294"/>
    </row>
    <row r="748" spans="1:35" x14ac:dyDescent="0.2">
      <c r="A748" s="294"/>
      <c r="B748" s="938"/>
      <c r="C748" s="66">
        <v>6</v>
      </c>
      <c r="D748" s="180"/>
      <c r="E748" s="3"/>
      <c r="F748" s="6"/>
      <c r="G748" s="3"/>
      <c r="H748" s="5"/>
      <c r="I748" s="124"/>
      <c r="J748" s="125"/>
      <c r="K748" s="125"/>
      <c r="L748" s="96"/>
      <c r="M748" s="118"/>
      <c r="N748" s="861"/>
      <c r="O748" s="4"/>
      <c r="P748" s="4"/>
      <c r="Q748" s="4"/>
      <c r="R748" s="4"/>
      <c r="S748" s="4"/>
      <c r="T748" s="4"/>
      <c r="U748" s="4"/>
      <c r="V748" s="4"/>
      <c r="W748" s="4"/>
      <c r="X748" s="4"/>
      <c r="Y748" s="4"/>
      <c r="Z748" s="3"/>
      <c r="AA748" s="3"/>
      <c r="AB748" s="34"/>
      <c r="AC748" s="181"/>
      <c r="AD748" s="34"/>
      <c r="AE748" s="216"/>
      <c r="AF748" s="34"/>
      <c r="AG748" s="34"/>
      <c r="AH748" s="535"/>
      <c r="AI748" s="294"/>
    </row>
    <row r="749" spans="1:35" x14ac:dyDescent="0.2">
      <c r="A749" s="294"/>
      <c r="B749" s="938"/>
      <c r="C749" s="66">
        <v>6</v>
      </c>
      <c r="D749" s="3" t="s">
        <v>935</v>
      </c>
      <c r="E749" s="3" t="s">
        <v>863</v>
      </c>
      <c r="F749" s="6" t="s">
        <v>21</v>
      </c>
      <c r="G749" s="3"/>
      <c r="H749" s="5" t="s">
        <v>936</v>
      </c>
      <c r="I749" s="124"/>
      <c r="J749" s="125"/>
      <c r="K749" s="125"/>
      <c r="L749" s="96"/>
      <c r="M749" s="118"/>
      <c r="N749" s="861"/>
      <c r="O749" s="60"/>
      <c r="P749" s="4">
        <f>O773</f>
        <v>0</v>
      </c>
      <c r="Q749" s="60"/>
      <c r="R749" s="60"/>
      <c r="S749" s="4">
        <f>P773</f>
        <v>0</v>
      </c>
      <c r="T749" s="4">
        <f>S773</f>
        <v>0</v>
      </c>
      <c r="U749" s="4">
        <f>T773</f>
        <v>0</v>
      </c>
      <c r="V749" s="4">
        <f>U773</f>
        <v>0</v>
      </c>
      <c r="W749" s="4">
        <f>V773</f>
        <v>0</v>
      </c>
      <c r="X749" s="4">
        <f>W773</f>
        <v>0</v>
      </c>
      <c r="Y749" s="4"/>
      <c r="Z749" s="3" t="str">
        <f>VLOOKUP($D749,TableInputsData[],ReadMe!$M$3,FALSE)&amp;"  |  "&amp;VLOOKUP($E749,TableInputsData[],ReadMe!$M$3,FALSE)&amp;"  |  "&amp;VLOOKUP($H749,TableInputsData[],ReadMe!$M$3,FALSE)</f>
        <v>ETAT DES FLUX DE TRESORERIE  |  FONDS DE ROULEMENT  |  POSITION DE TRESORERIE DEBUT DE LA PERIODE</v>
      </c>
      <c r="AA749" s="3"/>
      <c r="AB749" s="34"/>
      <c r="AC749" s="34">
        <v>1</v>
      </c>
      <c r="AD749" s="34"/>
      <c r="AE749" s="26"/>
      <c r="AF749" s="34">
        <v>1</v>
      </c>
      <c r="AG749" s="34"/>
      <c r="AH749" s="535"/>
      <c r="AI749" s="294"/>
    </row>
    <row r="750" spans="1:35" x14ac:dyDescent="0.2">
      <c r="A750" s="294"/>
      <c r="B750" s="938"/>
      <c r="C750" s="66">
        <v>6</v>
      </c>
      <c r="D750" s="3" t="s">
        <v>935</v>
      </c>
      <c r="E750" s="3" t="s">
        <v>863</v>
      </c>
      <c r="F750" s="6" t="s">
        <v>21</v>
      </c>
      <c r="G750" s="3"/>
      <c r="H750" s="5" t="s">
        <v>937</v>
      </c>
      <c r="I750" s="124"/>
      <c r="J750" s="125"/>
      <c r="K750" s="125"/>
      <c r="L750" s="96"/>
      <c r="M750" s="118"/>
      <c r="N750" s="861"/>
      <c r="O750" s="60"/>
      <c r="P750" s="4">
        <f>P735+P720-O742</f>
        <v>0</v>
      </c>
      <c r="Q750" s="60"/>
      <c r="R750" s="60"/>
      <c r="S750" s="4">
        <f>S735+S720-P742</f>
        <v>0</v>
      </c>
      <c r="T750" s="4">
        <f>T735+T720-S742</f>
        <v>0</v>
      </c>
      <c r="U750" s="4">
        <f>U735+U720-T742</f>
        <v>0</v>
      </c>
      <c r="V750" s="4">
        <f>V735+V720-U742</f>
        <v>0</v>
      </c>
      <c r="W750" s="4">
        <f>W735+W720-V742</f>
        <v>0</v>
      </c>
      <c r="X750" s="4">
        <f>X735+X720-W742</f>
        <v>0</v>
      </c>
      <c r="Y750" s="4"/>
      <c r="Z750" s="3" t="str">
        <f>VLOOKUP($D750,TableInputsData[],ReadMe!$M$3,FALSE)&amp;"  |  "&amp;VLOOKUP($E750,TableInputsData[],ReadMe!$M$3,FALSE)&amp;"  |  "&amp;VLOOKUP($H750,TableInputsData[],ReadMe!$M$3,FALSE)</f>
        <v>ETAT DES FLUX DE TRESORERIE  |  FONDS DE ROULEMENT  |  BENEFICE BRUT + AMORTISSEMENTS - IMPOT ANNEE PRECEDENTE</v>
      </c>
      <c r="AA750" s="3"/>
      <c r="AB750" s="34"/>
      <c r="AC750" s="34">
        <v>1</v>
      </c>
      <c r="AD750" s="34"/>
      <c r="AE750" s="26"/>
      <c r="AF750" s="34">
        <v>1</v>
      </c>
      <c r="AG750" s="34"/>
      <c r="AH750" s="535"/>
      <c r="AI750" s="294"/>
    </row>
    <row r="751" spans="1:35" x14ac:dyDescent="0.2">
      <c r="A751" s="294"/>
      <c r="B751" s="938"/>
      <c r="C751" s="66">
        <v>6</v>
      </c>
      <c r="D751" s="3" t="s">
        <v>935</v>
      </c>
      <c r="E751" s="3" t="s">
        <v>863</v>
      </c>
      <c r="F751" s="6" t="s">
        <v>21</v>
      </c>
      <c r="G751" s="3"/>
      <c r="H751" s="5" t="s">
        <v>938</v>
      </c>
      <c r="I751" s="124"/>
      <c r="J751" s="125"/>
      <c r="K751" s="125"/>
      <c r="L751" s="96"/>
      <c r="M751" s="118"/>
      <c r="N751" s="861"/>
      <c r="O751" s="60"/>
      <c r="P751" s="4">
        <f>-(P705-O705)</f>
        <v>0</v>
      </c>
      <c r="Q751" s="60"/>
      <c r="R751" s="60"/>
      <c r="S751" s="4">
        <f>-(S705-P705)</f>
        <v>0</v>
      </c>
      <c r="T751" s="4">
        <f>-(T705-S705)</f>
        <v>0</v>
      </c>
      <c r="U751" s="4">
        <f>-(U705-T705)</f>
        <v>0</v>
      </c>
      <c r="V751" s="4">
        <f>-(V705-U705)</f>
        <v>0</v>
      </c>
      <c r="W751" s="4">
        <f>-(W705-V705)</f>
        <v>0</v>
      </c>
      <c r="X751" s="4">
        <f>-(X705-W705)</f>
        <v>0</v>
      </c>
      <c r="Y751" s="4"/>
      <c r="Z751" s="3" t="str">
        <f>VLOOKUP($D751,TableInputsData[],ReadMe!$M$3,FALSE)&amp;"  |  "&amp;VLOOKUP($E751,TableInputsData[],ReadMe!$M$3,FALSE)&amp;"  |  "&amp;VLOOKUP($H751,TableInputsData[],ReadMe!$M$3,FALSE)</f>
        <v>ETAT DES FLUX DE TRESORERIE  |  FONDS DE ROULEMENT  |  DIFFERENCE DU FONDS DE ROULEMENT PAR RAPPORT A L'ANNEE DERNIERE</v>
      </c>
      <c r="AA751" s="3"/>
      <c r="AB751" s="34"/>
      <c r="AC751" s="34">
        <v>1</v>
      </c>
      <c r="AD751" s="34"/>
      <c r="AE751" s="26"/>
      <c r="AF751" s="34">
        <v>1</v>
      </c>
      <c r="AG751" s="34"/>
      <c r="AH751" s="535"/>
      <c r="AI751" s="294"/>
    </row>
    <row r="752" spans="1:35" x14ac:dyDescent="0.2">
      <c r="A752" s="294"/>
      <c r="B752" s="938"/>
      <c r="C752" s="66">
        <v>6</v>
      </c>
      <c r="D752" s="3" t="s">
        <v>935</v>
      </c>
      <c r="E752" s="3" t="s">
        <v>863</v>
      </c>
      <c r="F752" s="3" t="s">
        <v>21</v>
      </c>
      <c r="G752" s="3"/>
      <c r="H752" s="5" t="s">
        <v>939</v>
      </c>
      <c r="I752" s="124"/>
      <c r="J752" s="125"/>
      <c r="K752" s="125"/>
      <c r="L752" s="96"/>
      <c r="M752" s="118"/>
      <c r="N752" s="861"/>
      <c r="O752" s="60"/>
      <c r="P752" s="4">
        <f t="shared" ref="P752" si="285">-P500</f>
        <v>0</v>
      </c>
      <c r="Q752" s="60"/>
      <c r="R752" s="60"/>
      <c r="S752" s="4">
        <f t="shared" ref="S752:X752" si="286">-S500</f>
        <v>0</v>
      </c>
      <c r="T752" s="4">
        <f t="shared" si="286"/>
        <v>0</v>
      </c>
      <c r="U752" s="4">
        <f t="shared" si="286"/>
        <v>0</v>
      </c>
      <c r="V752" s="4">
        <f t="shared" si="286"/>
        <v>0</v>
      </c>
      <c r="W752" s="4">
        <f t="shared" si="286"/>
        <v>0</v>
      </c>
      <c r="X752" s="4">
        <f t="shared" si="286"/>
        <v>0</v>
      </c>
      <c r="Y752" s="4"/>
      <c r="Z752" s="3" t="str">
        <f>VLOOKUP($D752,TableInputsData[],ReadMe!$M$3,FALSE)&amp;"  |  "&amp;VLOOKUP($E752,TableInputsData[],ReadMe!$M$3,FALSE)&amp;"  |  "&amp;VLOOKUP($H752,TableInputsData[],ReadMe!$M$3,FALSE)</f>
        <v>ETAT DES FLUX DE TRESORERIE  |  FONDS DE ROULEMENT  |  DEPENSES D'INVESTISSEMENTS</v>
      </c>
      <c r="AA752" s="3"/>
      <c r="AB752" s="34"/>
      <c r="AC752" s="34">
        <v>1</v>
      </c>
      <c r="AD752" s="34"/>
      <c r="AE752" s="26"/>
      <c r="AF752" s="34">
        <v>1</v>
      </c>
      <c r="AG752" s="34"/>
      <c r="AH752" s="535"/>
      <c r="AI752" s="294"/>
    </row>
    <row r="753" spans="1:35" x14ac:dyDescent="0.2">
      <c r="A753" s="294"/>
      <c r="B753" s="938"/>
      <c r="C753" s="67">
        <v>6</v>
      </c>
      <c r="D753" s="16" t="s">
        <v>935</v>
      </c>
      <c r="E753" s="16" t="s">
        <v>863</v>
      </c>
      <c r="F753" s="16" t="s">
        <v>21</v>
      </c>
      <c r="G753" s="16"/>
      <c r="H753" s="17" t="s">
        <v>29</v>
      </c>
      <c r="I753" s="17"/>
      <c r="J753" s="27"/>
      <c r="K753" s="27"/>
      <c r="L753" s="97"/>
      <c r="M753" s="112"/>
      <c r="N753" s="18"/>
      <c r="O753" s="97"/>
      <c r="P753" s="97">
        <f t="shared" ref="P753" si="287">SUM(P749:P752)</f>
        <v>0</v>
      </c>
      <c r="Q753" s="97"/>
      <c r="R753" s="97"/>
      <c r="S753" s="97">
        <f t="shared" ref="S753:X753" si="288">SUM(S749:S752)</f>
        <v>0</v>
      </c>
      <c r="T753" s="97">
        <f t="shared" si="288"/>
        <v>0</v>
      </c>
      <c r="U753" s="97">
        <f t="shared" si="288"/>
        <v>0</v>
      </c>
      <c r="V753" s="97">
        <f t="shared" si="288"/>
        <v>0</v>
      </c>
      <c r="W753" s="97">
        <f t="shared" si="288"/>
        <v>0</v>
      </c>
      <c r="X753" s="97">
        <f t="shared" si="288"/>
        <v>0</v>
      </c>
      <c r="Y753" s="97"/>
      <c r="Z753" s="16" t="str">
        <f>VLOOKUP($D753,TableInputsData[],ReadMe!$M$3,FALSE)&amp;"  |  "&amp;VLOOKUP($E753,TableInputsData[],ReadMe!$M$3,FALSE)&amp;"  |  "&amp;VLOOKUP($H753,TableInputsData[],ReadMe!$M$3,FALSE)</f>
        <v>ETAT DES FLUX DE TRESORERIE  |  FONDS DE ROULEMENT  |  TOTAL</v>
      </c>
      <c r="AA753" s="16"/>
      <c r="AB753" s="27"/>
      <c r="AC753" s="27"/>
      <c r="AD753" s="27"/>
      <c r="AE753" s="27">
        <v>1</v>
      </c>
      <c r="AF753" s="27"/>
      <c r="AG753" s="27"/>
      <c r="AH753" s="533"/>
      <c r="AI753" s="294"/>
    </row>
    <row r="754" spans="1:35" x14ac:dyDescent="0.2">
      <c r="A754" s="294"/>
      <c r="B754" s="938"/>
      <c r="C754" s="66">
        <v>6</v>
      </c>
      <c r="D754" s="3"/>
      <c r="E754" s="3"/>
      <c r="F754" s="3"/>
      <c r="G754" s="3"/>
      <c r="H754" s="5"/>
      <c r="I754" s="124"/>
      <c r="J754" s="125"/>
      <c r="K754" s="125"/>
      <c r="L754" s="96"/>
      <c r="M754" s="118"/>
      <c r="N754" s="861"/>
      <c r="O754" s="4"/>
      <c r="P754" s="4"/>
      <c r="Q754" s="4"/>
      <c r="R754" s="4"/>
      <c r="S754" s="4"/>
      <c r="T754" s="4"/>
      <c r="U754" s="4"/>
      <c r="V754" s="4"/>
      <c r="W754" s="4"/>
      <c r="X754" s="4"/>
      <c r="Y754" s="4"/>
      <c r="Z754" s="3"/>
      <c r="AA754" s="3"/>
      <c r="AB754" s="34"/>
      <c r="AC754" s="34"/>
      <c r="AD754" s="34"/>
      <c r="AE754" s="26"/>
      <c r="AF754" s="34"/>
      <c r="AG754" s="34"/>
      <c r="AH754" s="535"/>
      <c r="AI754" s="294"/>
    </row>
    <row r="755" spans="1:35" x14ac:dyDescent="0.2">
      <c r="A755" s="294"/>
      <c r="B755" s="938"/>
      <c r="C755" s="66">
        <v>6</v>
      </c>
      <c r="D755" s="3" t="s">
        <v>935</v>
      </c>
      <c r="E755" s="3" t="s">
        <v>951</v>
      </c>
      <c r="F755" s="3" t="s">
        <v>21</v>
      </c>
      <c r="G755" s="3"/>
      <c r="H755" s="5" t="s">
        <v>921</v>
      </c>
      <c r="I755" s="124" t="s">
        <v>930</v>
      </c>
      <c r="J755" s="125"/>
      <c r="K755" s="125"/>
      <c r="L755" s="96"/>
      <c r="M755" s="118"/>
      <c r="N755" s="861"/>
      <c r="O755" s="60"/>
      <c r="P755" s="60"/>
      <c r="Q755" s="60"/>
      <c r="R755" s="60"/>
      <c r="S755" s="4">
        <f t="shared" ref="S755:X755" si="289">S785</f>
        <v>0</v>
      </c>
      <c r="T755" s="4">
        <f t="shared" si="289"/>
        <v>0</v>
      </c>
      <c r="U755" s="4">
        <f t="shared" si="289"/>
        <v>0</v>
      </c>
      <c r="V755" s="4">
        <f t="shared" si="289"/>
        <v>0</v>
      </c>
      <c r="W755" s="4">
        <f t="shared" si="289"/>
        <v>0</v>
      </c>
      <c r="X755" s="4">
        <f t="shared" si="289"/>
        <v>0</v>
      </c>
      <c r="Y755" s="4"/>
      <c r="Z755" s="3" t="str">
        <f>VLOOKUP($D755,TableInputsData[],ReadMe!$M$3,FALSE)&amp;"  |  "&amp;VLOOKUP($E755,TableInputsData[],ReadMe!$M$3,FALSE)&amp;"  |  "&amp;VLOOKUP($H755,TableInputsData[],ReadMe!$M$3,FALSE)</f>
        <v>ETAT DES FLUX DE TRESORERIE  |  SOURCE DE FINANCEMENT  |  PRET OVO</v>
      </c>
      <c r="AA755" s="3"/>
      <c r="AB755" s="34"/>
      <c r="AC755" s="34">
        <v>1</v>
      </c>
      <c r="AD755" s="34"/>
      <c r="AE755" s="26"/>
      <c r="AF755" s="34">
        <v>1</v>
      </c>
      <c r="AG755" s="34"/>
      <c r="AH755" s="535"/>
      <c r="AI755" s="294"/>
    </row>
    <row r="756" spans="1:35" x14ac:dyDescent="0.2">
      <c r="A756" s="294"/>
      <c r="B756" s="938"/>
      <c r="C756" s="66">
        <v>6</v>
      </c>
      <c r="D756" s="3" t="s">
        <v>935</v>
      </c>
      <c r="E756" s="3" t="s">
        <v>951</v>
      </c>
      <c r="F756" s="3" t="s">
        <v>21</v>
      </c>
      <c r="G756" s="3"/>
      <c r="H756" s="5" t="s">
        <v>916</v>
      </c>
      <c r="I756" s="124" t="s">
        <v>930</v>
      </c>
      <c r="J756" s="125"/>
      <c r="K756" s="125"/>
      <c r="L756" s="96"/>
      <c r="M756" s="118"/>
      <c r="N756" s="861"/>
      <c r="O756" s="60"/>
      <c r="P756" s="60"/>
      <c r="Q756" s="60"/>
      <c r="R756" s="60"/>
      <c r="S756" s="4">
        <f t="shared" ref="S756:X759" si="290">S786</f>
        <v>0</v>
      </c>
      <c r="T756" s="4">
        <f t="shared" si="290"/>
        <v>0</v>
      </c>
      <c r="U756" s="4">
        <f t="shared" si="290"/>
        <v>0</v>
      </c>
      <c r="V756" s="4">
        <f t="shared" si="290"/>
        <v>0</v>
      </c>
      <c r="W756" s="4">
        <f t="shared" si="290"/>
        <v>0</v>
      </c>
      <c r="X756" s="4">
        <f t="shared" si="290"/>
        <v>0</v>
      </c>
      <c r="Y756" s="4"/>
      <c r="Z756" s="3" t="str">
        <f>VLOOKUP($D756,TableInputsData[],ReadMe!$M$3,FALSE)&amp;"  |  "&amp;VLOOKUP($E756,TableInputsData[],ReadMe!$M$3,FALSE)&amp;"  |  "&amp;VLOOKUP($H756,TableInputsData[],ReadMe!$M$3,FALSE)</f>
        <v>ETAT DES FLUX DE TRESORERIE  |  SOURCE DE FINANCEMENT  |  PRET FAMILLE ET AMIS</v>
      </c>
      <c r="AA756" s="3"/>
      <c r="AB756" s="34"/>
      <c r="AC756" s="34">
        <v>1</v>
      </c>
      <c r="AD756" s="34"/>
      <c r="AE756" s="26"/>
      <c r="AF756" s="34">
        <v>1</v>
      </c>
      <c r="AG756" s="34"/>
      <c r="AH756" s="535"/>
      <c r="AI756" s="294"/>
    </row>
    <row r="757" spans="1:35" x14ac:dyDescent="0.2">
      <c r="A757" s="294"/>
      <c r="B757" s="938"/>
      <c r="C757" s="66">
        <v>6</v>
      </c>
      <c r="D757" s="3" t="s">
        <v>935</v>
      </c>
      <c r="E757" s="3" t="s">
        <v>951</v>
      </c>
      <c r="F757" s="3" t="s">
        <v>21</v>
      </c>
      <c r="G757" s="3"/>
      <c r="H757" s="5" t="s">
        <v>920</v>
      </c>
      <c r="I757" s="124" t="s">
        <v>930</v>
      </c>
      <c r="J757" s="125"/>
      <c r="K757" s="125"/>
      <c r="L757" s="96"/>
      <c r="M757" s="118"/>
      <c r="N757" s="861"/>
      <c r="O757" s="60"/>
      <c r="P757" s="60"/>
      <c r="Q757" s="60"/>
      <c r="R757" s="60"/>
      <c r="S757" s="4">
        <f t="shared" si="290"/>
        <v>0</v>
      </c>
      <c r="T757" s="4">
        <f t="shared" si="290"/>
        <v>0</v>
      </c>
      <c r="U757" s="4">
        <f t="shared" si="290"/>
        <v>0</v>
      </c>
      <c r="V757" s="4">
        <f t="shared" si="290"/>
        <v>0</v>
      </c>
      <c r="W757" s="4">
        <f t="shared" si="290"/>
        <v>0</v>
      </c>
      <c r="X757" s="4">
        <f t="shared" si="290"/>
        <v>0</v>
      </c>
      <c r="Y757" s="4"/>
      <c r="Z757" s="3" t="str">
        <f>VLOOKUP($D757,TableInputsData[],ReadMe!$M$3,FALSE)&amp;"  |  "&amp;VLOOKUP($E757,TableInputsData[],ReadMe!$M$3,FALSE)&amp;"  |  "&amp;VLOOKUP($H757,TableInputsData[],ReadMe!$M$3,FALSE)</f>
        <v>ETAT DES FLUX DE TRESORERIE  |  SOURCE DE FINANCEMENT  |  PRET BANQUE LOCALE</v>
      </c>
      <c r="AA757" s="3"/>
      <c r="AB757" s="34"/>
      <c r="AC757" s="34">
        <v>1</v>
      </c>
      <c r="AD757" s="34"/>
      <c r="AE757" s="26"/>
      <c r="AF757" s="34">
        <v>1</v>
      </c>
      <c r="AG757" s="34"/>
      <c r="AH757" s="535"/>
      <c r="AI757" s="294"/>
    </row>
    <row r="758" spans="1:35" x14ac:dyDescent="0.2">
      <c r="A758" s="294"/>
      <c r="B758" s="938"/>
      <c r="C758" s="66">
        <v>6</v>
      </c>
      <c r="D758" s="3" t="s">
        <v>935</v>
      </c>
      <c r="E758" s="3" t="s">
        <v>951</v>
      </c>
      <c r="F758" s="3" t="s">
        <v>21</v>
      </c>
      <c r="G758" s="3"/>
      <c r="H758" s="5" t="s">
        <v>933</v>
      </c>
      <c r="I758" s="124" t="s">
        <v>930</v>
      </c>
      <c r="J758" s="125"/>
      <c r="K758" s="125"/>
      <c r="L758" s="96"/>
      <c r="M758" s="118"/>
      <c r="N758" s="861"/>
      <c r="O758" s="4">
        <f>O788</f>
        <v>0</v>
      </c>
      <c r="P758" s="4">
        <f>P788</f>
        <v>0</v>
      </c>
      <c r="Q758" s="60"/>
      <c r="R758" s="60"/>
      <c r="S758" s="4">
        <f t="shared" si="290"/>
        <v>0</v>
      </c>
      <c r="T758" s="4">
        <f t="shared" si="290"/>
        <v>0</v>
      </c>
      <c r="U758" s="4">
        <f t="shared" si="290"/>
        <v>0</v>
      </c>
      <c r="V758" s="4">
        <f t="shared" si="290"/>
        <v>0</v>
      </c>
      <c r="W758" s="4">
        <f t="shared" si="290"/>
        <v>0</v>
      </c>
      <c r="X758" s="4">
        <f t="shared" si="290"/>
        <v>0</v>
      </c>
      <c r="Y758" s="4"/>
      <c r="Z758" s="3" t="str">
        <f>VLOOKUP($D758,TableInputsData[],ReadMe!$M$3,FALSE)&amp;"  |  "&amp;VLOOKUP($E758,TableInputsData[],ReadMe!$M$3,FALSE)&amp;"  |  "&amp;VLOOKUP($H758,TableInputsData[],ReadMe!$M$3,FALSE)</f>
        <v>ETAT DES FLUX DE TRESORERIE  |  SOURCE DE FINANCEMENT  |  APPORT DE CAPITAL PAR ACTIONNAIRES EXISTANTS</v>
      </c>
      <c r="AA758" s="3"/>
      <c r="AB758" s="34"/>
      <c r="AC758" s="34">
        <v>1</v>
      </c>
      <c r="AD758" s="34"/>
      <c r="AE758" s="26"/>
      <c r="AF758" s="34">
        <v>1</v>
      </c>
      <c r="AG758" s="34"/>
      <c r="AH758" s="535"/>
      <c r="AI758" s="294"/>
    </row>
    <row r="759" spans="1:35" x14ac:dyDescent="0.2">
      <c r="A759" s="294"/>
      <c r="B759" s="938"/>
      <c r="C759" s="66">
        <v>6</v>
      </c>
      <c r="D759" s="3" t="s">
        <v>935</v>
      </c>
      <c r="E759" s="3" t="s">
        <v>951</v>
      </c>
      <c r="F759" s="3" t="s">
        <v>21</v>
      </c>
      <c r="G759" s="3"/>
      <c r="H759" s="5" t="s">
        <v>934</v>
      </c>
      <c r="I759" s="124" t="s">
        <v>930</v>
      </c>
      <c r="J759" s="125"/>
      <c r="K759" s="125"/>
      <c r="L759" s="96"/>
      <c r="M759" s="118"/>
      <c r="N759" s="861"/>
      <c r="O759" s="60"/>
      <c r="P759" s="60"/>
      <c r="Q759" s="60"/>
      <c r="R759" s="60"/>
      <c r="S759" s="4">
        <f t="shared" si="290"/>
        <v>0</v>
      </c>
      <c r="T759" s="4">
        <f t="shared" si="290"/>
        <v>0</v>
      </c>
      <c r="U759" s="4">
        <f t="shared" si="290"/>
        <v>0</v>
      </c>
      <c r="V759" s="4">
        <f t="shared" si="290"/>
        <v>0</v>
      </c>
      <c r="W759" s="4">
        <f t="shared" si="290"/>
        <v>0</v>
      </c>
      <c r="X759" s="4">
        <f t="shared" si="290"/>
        <v>0</v>
      </c>
      <c r="Y759" s="4"/>
      <c r="Z759" s="3" t="str">
        <f>VLOOKUP($D759,TableInputsData[],ReadMe!$M$3,FALSE)&amp;"  |  "&amp;VLOOKUP($E759,TableInputsData[],ReadMe!$M$3,FALSE)&amp;"  |  "&amp;VLOOKUP($H759,TableInputsData[],ReadMe!$M$3,FALSE)</f>
        <v>ETAT DES FLUX DE TRESORERIE  |  SOURCE DE FINANCEMENT  |  APPORT DE CAPITAL PAR ACTIONNAIRES NOUVEAUX</v>
      </c>
      <c r="AA759" s="3"/>
      <c r="AB759" s="34"/>
      <c r="AC759" s="34">
        <v>1</v>
      </c>
      <c r="AD759" s="34"/>
      <c r="AE759" s="26"/>
      <c r="AF759" s="34">
        <v>1</v>
      </c>
      <c r="AG759" s="34"/>
      <c r="AH759" s="535"/>
      <c r="AI759" s="294"/>
    </row>
    <row r="760" spans="1:35" x14ac:dyDescent="0.2">
      <c r="A760" s="294"/>
      <c r="B760" s="938"/>
      <c r="C760" s="66">
        <v>6</v>
      </c>
      <c r="D760" s="3" t="s">
        <v>935</v>
      </c>
      <c r="E760" s="3" t="s">
        <v>951</v>
      </c>
      <c r="F760" s="3" t="s">
        <v>21</v>
      </c>
      <c r="G760" s="3"/>
      <c r="H760" s="5" t="s">
        <v>1896</v>
      </c>
      <c r="I760" s="147"/>
      <c r="J760" s="148"/>
      <c r="K760" s="148"/>
      <c r="L760" s="99"/>
      <c r="M760" s="114"/>
      <c r="N760" s="850"/>
      <c r="O760" s="15">
        <f>O790</f>
        <v>0</v>
      </c>
      <c r="P760" s="15">
        <f>P790</f>
        <v>0</v>
      </c>
      <c r="Q760" s="813"/>
      <c r="R760" s="813"/>
      <c r="S760" s="15">
        <f t="shared" ref="S760:X760" si="291">S790</f>
        <v>0</v>
      </c>
      <c r="T760" s="15">
        <f t="shared" si="291"/>
        <v>0</v>
      </c>
      <c r="U760" s="15">
        <f t="shared" si="291"/>
        <v>0</v>
      </c>
      <c r="V760" s="15">
        <f t="shared" si="291"/>
        <v>0</v>
      </c>
      <c r="W760" s="15">
        <f t="shared" si="291"/>
        <v>0</v>
      </c>
      <c r="X760" s="15">
        <f t="shared" si="291"/>
        <v>0</v>
      </c>
      <c r="Y760" s="15"/>
      <c r="Z760" s="13"/>
      <c r="AA760" s="13"/>
      <c r="AB760" s="37"/>
      <c r="AC760" s="34">
        <v>1</v>
      </c>
      <c r="AD760" s="34"/>
      <c r="AE760" s="26"/>
      <c r="AF760" s="34">
        <v>1</v>
      </c>
      <c r="AG760" s="37"/>
      <c r="AH760" s="537"/>
      <c r="AI760" s="294"/>
    </row>
    <row r="761" spans="1:35" x14ac:dyDescent="0.2">
      <c r="A761" s="294"/>
      <c r="B761" s="938"/>
      <c r="C761" s="67">
        <v>6</v>
      </c>
      <c r="D761" s="16" t="s">
        <v>935</v>
      </c>
      <c r="E761" s="16" t="s">
        <v>951</v>
      </c>
      <c r="F761" s="16" t="s">
        <v>21</v>
      </c>
      <c r="G761" s="16"/>
      <c r="H761" s="17" t="s">
        <v>29</v>
      </c>
      <c r="I761" s="17"/>
      <c r="J761" s="27"/>
      <c r="K761" s="27"/>
      <c r="L761" s="97"/>
      <c r="M761" s="112"/>
      <c r="N761" s="18"/>
      <c r="O761" s="97">
        <f>SUM(O755:O760)</f>
        <v>0</v>
      </c>
      <c r="P761" s="97">
        <f>SUM(P755:P760)</f>
        <v>0</v>
      </c>
      <c r="Q761" s="97"/>
      <c r="R761" s="97"/>
      <c r="S761" s="97">
        <f>SUM(S755:S760)</f>
        <v>0</v>
      </c>
      <c r="T761" s="97">
        <f t="shared" ref="T761:X761" si="292">SUM(T755:T760)</f>
        <v>0</v>
      </c>
      <c r="U761" s="97">
        <f t="shared" si="292"/>
        <v>0</v>
      </c>
      <c r="V761" s="97">
        <f t="shared" si="292"/>
        <v>0</v>
      </c>
      <c r="W761" s="97">
        <f t="shared" si="292"/>
        <v>0</v>
      </c>
      <c r="X761" s="97">
        <f t="shared" si="292"/>
        <v>0</v>
      </c>
      <c r="Y761" s="97"/>
      <c r="Z761" s="16" t="str">
        <f>VLOOKUP($D761,TableInputsData[],ReadMe!$M$3,FALSE)&amp;"  |  "&amp;VLOOKUP($E761,TableInputsData[],ReadMe!$M$3,FALSE)&amp;"  |  "&amp;VLOOKUP($H761,TableInputsData[],ReadMe!$M$3,FALSE)</f>
        <v>ETAT DES FLUX DE TRESORERIE  |  SOURCE DE FINANCEMENT  |  TOTAL</v>
      </c>
      <c r="AA761" s="16"/>
      <c r="AB761" s="27"/>
      <c r="AC761" s="27"/>
      <c r="AD761" s="27"/>
      <c r="AE761" s="27">
        <v>1</v>
      </c>
      <c r="AF761" s="27"/>
      <c r="AG761" s="27"/>
      <c r="AH761" s="533"/>
      <c r="AI761" s="294"/>
    </row>
    <row r="762" spans="1:35" x14ac:dyDescent="0.2">
      <c r="A762" s="294"/>
      <c r="B762" s="938"/>
      <c r="C762" s="66">
        <v>6</v>
      </c>
      <c r="D762" s="3"/>
      <c r="E762" s="3"/>
      <c r="F762" s="3"/>
      <c r="G762" s="3"/>
      <c r="H762" s="5"/>
      <c r="I762" s="124"/>
      <c r="J762" s="125"/>
      <c r="K762" s="125"/>
      <c r="L762" s="96"/>
      <c r="M762" s="118"/>
      <c r="N762" s="861"/>
      <c r="O762" s="4"/>
      <c r="P762" s="4"/>
      <c r="Q762" s="4"/>
      <c r="R762" s="4"/>
      <c r="S762" s="4"/>
      <c r="T762" s="4"/>
      <c r="U762" s="4"/>
      <c r="V762" s="4"/>
      <c r="W762" s="4"/>
      <c r="X762" s="4"/>
      <c r="Y762" s="4"/>
      <c r="Z762" s="3"/>
      <c r="AA762" s="3"/>
      <c r="AB762" s="34"/>
      <c r="AC762" s="34"/>
      <c r="AD762" s="34"/>
      <c r="AE762" s="26"/>
      <c r="AF762" s="34"/>
      <c r="AG762" s="34"/>
      <c r="AH762" s="535"/>
      <c r="AI762" s="294"/>
    </row>
    <row r="763" spans="1:35" x14ac:dyDescent="0.2">
      <c r="A763" s="294"/>
      <c r="B763" s="938"/>
      <c r="C763" s="66">
        <v>6</v>
      </c>
      <c r="D763" s="3" t="s">
        <v>935</v>
      </c>
      <c r="E763" s="3" t="s">
        <v>909</v>
      </c>
      <c r="F763" s="3" t="s">
        <v>21</v>
      </c>
      <c r="G763" s="3"/>
      <c r="H763" s="5" t="s">
        <v>921</v>
      </c>
      <c r="I763" s="124" t="s">
        <v>930</v>
      </c>
      <c r="J763" s="125"/>
      <c r="K763" s="125"/>
      <c r="L763" s="96"/>
      <c r="M763" s="118"/>
      <c r="N763" s="861"/>
      <c r="O763" s="60"/>
      <c r="P763" s="60"/>
      <c r="Q763" s="60"/>
      <c r="R763" s="60"/>
      <c r="S763" s="4">
        <f t="shared" ref="S763:X763" si="293">-S800</f>
        <v>0</v>
      </c>
      <c r="T763" s="4">
        <f t="shared" si="293"/>
        <v>0</v>
      </c>
      <c r="U763" s="4">
        <f t="shared" si="293"/>
        <v>0</v>
      </c>
      <c r="V763" s="4">
        <f t="shared" si="293"/>
        <v>0</v>
      </c>
      <c r="W763" s="4">
        <f t="shared" si="293"/>
        <v>0</v>
      </c>
      <c r="X763" s="4">
        <f t="shared" si="293"/>
        <v>0</v>
      </c>
      <c r="Y763" s="4"/>
      <c r="Z763" s="3" t="str">
        <f>VLOOKUP($D763,TableInputsData[],ReadMe!$M$3,FALSE)&amp;"  |  "&amp;VLOOKUP($E763,TableInputsData[],ReadMe!$M$3,FALSE)&amp;"  |  "&amp;VLOOKUP($H763,TableInputsData[],ReadMe!$M$3,FALSE)</f>
        <v>ETAT DES FLUX DE TRESORERIE  |  INTERETS  |  PRET OVO</v>
      </c>
      <c r="AA763" s="3"/>
      <c r="AB763" s="34"/>
      <c r="AC763" s="34">
        <v>1</v>
      </c>
      <c r="AD763" s="34"/>
      <c r="AE763" s="26"/>
      <c r="AF763" s="34">
        <v>1</v>
      </c>
      <c r="AG763" s="34"/>
      <c r="AH763" s="535"/>
      <c r="AI763" s="294"/>
    </row>
    <row r="764" spans="1:35" x14ac:dyDescent="0.2">
      <c r="A764" s="294"/>
      <c r="B764" s="938"/>
      <c r="C764" s="66">
        <v>6</v>
      </c>
      <c r="D764" s="3" t="s">
        <v>935</v>
      </c>
      <c r="E764" s="3" t="s">
        <v>909</v>
      </c>
      <c r="F764" s="3" t="s">
        <v>21</v>
      </c>
      <c r="G764" s="3"/>
      <c r="H764" s="5" t="s">
        <v>916</v>
      </c>
      <c r="I764" s="124" t="s">
        <v>930</v>
      </c>
      <c r="J764" s="125"/>
      <c r="K764" s="125"/>
      <c r="L764" s="96"/>
      <c r="M764" s="118"/>
      <c r="N764" s="861"/>
      <c r="O764" s="60"/>
      <c r="P764" s="60"/>
      <c r="Q764" s="60"/>
      <c r="R764" s="60"/>
      <c r="S764" s="4">
        <f t="shared" ref="S764:X764" si="294">S809</f>
        <v>0</v>
      </c>
      <c r="T764" s="4">
        <f t="shared" si="294"/>
        <v>0</v>
      </c>
      <c r="U764" s="4">
        <f t="shared" si="294"/>
        <v>0</v>
      </c>
      <c r="V764" s="4">
        <f t="shared" si="294"/>
        <v>0</v>
      </c>
      <c r="W764" s="4">
        <f t="shared" si="294"/>
        <v>0</v>
      </c>
      <c r="X764" s="4">
        <f t="shared" si="294"/>
        <v>0</v>
      </c>
      <c r="Y764" s="4"/>
      <c r="Z764" s="3" t="str">
        <f>VLOOKUP($D764,TableInputsData[],ReadMe!$M$3,FALSE)&amp;"  |  "&amp;VLOOKUP($E764,TableInputsData[],ReadMe!$M$3,FALSE)&amp;"  |  "&amp;VLOOKUP($H764,TableInputsData[],ReadMe!$M$3,FALSE)</f>
        <v>ETAT DES FLUX DE TRESORERIE  |  INTERETS  |  PRET FAMILLE ET AMIS</v>
      </c>
      <c r="AA764" s="3"/>
      <c r="AB764" s="34"/>
      <c r="AC764" s="34">
        <v>1</v>
      </c>
      <c r="AD764" s="34"/>
      <c r="AE764" s="26"/>
      <c r="AF764" s="34">
        <v>1</v>
      </c>
      <c r="AG764" s="34"/>
      <c r="AH764" s="535"/>
      <c r="AI764" s="294"/>
    </row>
    <row r="765" spans="1:35" x14ac:dyDescent="0.2">
      <c r="A765" s="294"/>
      <c r="B765" s="938"/>
      <c r="C765" s="66">
        <v>6</v>
      </c>
      <c r="D765" s="3" t="s">
        <v>935</v>
      </c>
      <c r="E765" s="3" t="s">
        <v>909</v>
      </c>
      <c r="F765" s="3" t="s">
        <v>21</v>
      </c>
      <c r="G765" s="3"/>
      <c r="H765" s="5" t="s">
        <v>920</v>
      </c>
      <c r="I765" s="124" t="s">
        <v>930</v>
      </c>
      <c r="J765" s="125"/>
      <c r="K765" s="125"/>
      <c r="L765" s="96"/>
      <c r="M765" s="118"/>
      <c r="N765" s="861"/>
      <c r="O765" s="60"/>
      <c r="P765" s="60"/>
      <c r="Q765" s="60"/>
      <c r="R765" s="60"/>
      <c r="S765" s="4">
        <f t="shared" ref="S765:X765" si="295">S818</f>
        <v>0</v>
      </c>
      <c r="T765" s="4">
        <f t="shared" si="295"/>
        <v>0</v>
      </c>
      <c r="U765" s="4">
        <f t="shared" si="295"/>
        <v>0</v>
      </c>
      <c r="V765" s="4">
        <f t="shared" si="295"/>
        <v>0</v>
      </c>
      <c r="W765" s="4">
        <f t="shared" si="295"/>
        <v>0</v>
      </c>
      <c r="X765" s="4">
        <f t="shared" si="295"/>
        <v>0</v>
      </c>
      <c r="Y765" s="4"/>
      <c r="Z765" s="3" t="str">
        <f>VLOOKUP($D765,TableInputsData[],ReadMe!$M$3,FALSE)&amp;"  |  "&amp;VLOOKUP($E765,TableInputsData[],ReadMe!$M$3,FALSE)&amp;"  |  "&amp;VLOOKUP($H765,TableInputsData[],ReadMe!$M$3,FALSE)</f>
        <v>ETAT DES FLUX DE TRESORERIE  |  INTERETS  |  PRET BANQUE LOCALE</v>
      </c>
      <c r="AA765" s="3"/>
      <c r="AB765" s="34"/>
      <c r="AC765" s="34">
        <v>1</v>
      </c>
      <c r="AD765" s="34"/>
      <c r="AE765" s="26"/>
      <c r="AF765" s="34">
        <v>1</v>
      </c>
      <c r="AG765" s="34"/>
      <c r="AH765" s="535"/>
      <c r="AI765" s="294"/>
    </row>
    <row r="766" spans="1:35" x14ac:dyDescent="0.2">
      <c r="A766" s="294"/>
      <c r="B766" s="938"/>
      <c r="C766" s="67">
        <v>6</v>
      </c>
      <c r="D766" s="16" t="s">
        <v>935</v>
      </c>
      <c r="E766" s="16" t="s">
        <v>909</v>
      </c>
      <c r="F766" s="16" t="s">
        <v>21</v>
      </c>
      <c r="G766" s="16"/>
      <c r="H766" s="17" t="s">
        <v>29</v>
      </c>
      <c r="I766" s="17"/>
      <c r="J766" s="27"/>
      <c r="K766" s="27"/>
      <c r="L766" s="97"/>
      <c r="M766" s="112"/>
      <c r="N766" s="18"/>
      <c r="O766" s="97"/>
      <c r="P766" s="97"/>
      <c r="Q766" s="97"/>
      <c r="R766" s="97"/>
      <c r="S766" s="97">
        <f t="shared" ref="S766:X766" si="296">SUM(S763:S765)</f>
        <v>0</v>
      </c>
      <c r="T766" s="97">
        <f t="shared" si="296"/>
        <v>0</v>
      </c>
      <c r="U766" s="97">
        <f t="shared" si="296"/>
        <v>0</v>
      </c>
      <c r="V766" s="97">
        <f t="shared" si="296"/>
        <v>0</v>
      </c>
      <c r="W766" s="97">
        <f t="shared" si="296"/>
        <v>0</v>
      </c>
      <c r="X766" s="97">
        <f t="shared" si="296"/>
        <v>0</v>
      </c>
      <c r="Y766" s="97"/>
      <c r="Z766" s="16" t="str">
        <f>VLOOKUP($D766,TableInputsData[],ReadMe!$M$3,FALSE)&amp;"  |  "&amp;VLOOKUP($E766,TableInputsData[],ReadMe!$M$3,FALSE)&amp;"  |  "&amp;VLOOKUP($H766,TableInputsData[],ReadMe!$M$3,FALSE)</f>
        <v>ETAT DES FLUX DE TRESORERIE  |  INTERETS  |  TOTAL</v>
      </c>
      <c r="AA766" s="16"/>
      <c r="AB766" s="27"/>
      <c r="AC766" s="27"/>
      <c r="AD766" s="27"/>
      <c r="AE766" s="27">
        <v>1</v>
      </c>
      <c r="AF766" s="27"/>
      <c r="AG766" s="27"/>
      <c r="AH766" s="533"/>
      <c r="AI766" s="294"/>
    </row>
    <row r="767" spans="1:35" x14ac:dyDescent="0.2">
      <c r="A767" s="294"/>
      <c r="B767" s="938"/>
      <c r="C767" s="66">
        <v>6</v>
      </c>
      <c r="D767" s="3"/>
      <c r="E767" s="3"/>
      <c r="F767" s="3"/>
      <c r="G767" s="3"/>
      <c r="H767" s="5"/>
      <c r="I767" s="124"/>
      <c r="J767" s="125"/>
      <c r="K767" s="125"/>
      <c r="L767" s="96"/>
      <c r="M767" s="118"/>
      <c r="N767" s="861"/>
      <c r="O767" s="4"/>
      <c r="P767" s="4"/>
      <c r="Q767" s="4"/>
      <c r="R767" s="4"/>
      <c r="S767" s="4"/>
      <c r="T767" s="4"/>
      <c r="U767" s="4"/>
      <c r="V767" s="4"/>
      <c r="W767" s="4"/>
      <c r="X767" s="4"/>
      <c r="Y767" s="4"/>
      <c r="Z767" s="3"/>
      <c r="AA767" s="3"/>
      <c r="AB767" s="34"/>
      <c r="AC767" s="34"/>
      <c r="AD767" s="34"/>
      <c r="AE767" s="26"/>
      <c r="AF767" s="34"/>
      <c r="AG767" s="34"/>
      <c r="AH767" s="535"/>
      <c r="AI767" s="294"/>
    </row>
    <row r="768" spans="1:35" x14ac:dyDescent="0.2">
      <c r="A768" s="294"/>
      <c r="B768" s="938"/>
      <c r="C768" s="66">
        <v>6</v>
      </c>
      <c r="D768" s="3" t="s">
        <v>935</v>
      </c>
      <c r="E768" s="3" t="s">
        <v>947</v>
      </c>
      <c r="F768" s="3" t="s">
        <v>21</v>
      </c>
      <c r="G768" s="3"/>
      <c r="H768" s="5" t="s">
        <v>921</v>
      </c>
      <c r="I768" s="124" t="s">
        <v>930</v>
      </c>
      <c r="J768" s="125"/>
      <c r="K768" s="125"/>
      <c r="L768" s="96"/>
      <c r="M768" s="118"/>
      <c r="N768" s="861"/>
      <c r="O768" s="60"/>
      <c r="P768" s="60"/>
      <c r="Q768" s="60"/>
      <c r="R768" s="60"/>
      <c r="S768" s="4">
        <f t="shared" ref="S768:X768" si="297">-S796</f>
        <v>0</v>
      </c>
      <c r="T768" s="4">
        <f t="shared" si="297"/>
        <v>0</v>
      </c>
      <c r="U768" s="4">
        <f t="shared" si="297"/>
        <v>0</v>
      </c>
      <c r="V768" s="4">
        <f t="shared" si="297"/>
        <v>0</v>
      </c>
      <c r="W768" s="4">
        <f t="shared" si="297"/>
        <v>0</v>
      </c>
      <c r="X768" s="4">
        <f t="shared" si="297"/>
        <v>0</v>
      </c>
      <c r="Y768" s="4"/>
      <c r="Z768" s="3" t="str">
        <f>VLOOKUP($D768,TableInputsData[],ReadMe!$M$3,FALSE)&amp;"  |  "&amp;VLOOKUP($E768,TableInputsData[],ReadMe!$M$3,FALSE)&amp;"  |  "&amp;VLOOKUP($H768,TableInputsData[],ReadMe!$M$3,FALSE)</f>
        <v>ETAT DES FLUX DE TRESORERIE  |  MONTANT PRINCIPAL DE PRET  |  PRET OVO</v>
      </c>
      <c r="AA768" s="3"/>
      <c r="AB768" s="34"/>
      <c r="AC768" s="34">
        <v>1</v>
      </c>
      <c r="AD768" s="34"/>
      <c r="AE768" s="26"/>
      <c r="AF768" s="34">
        <v>1</v>
      </c>
      <c r="AG768" s="34"/>
      <c r="AH768" s="535"/>
      <c r="AI768" s="294"/>
    </row>
    <row r="769" spans="1:35" x14ac:dyDescent="0.2">
      <c r="A769" s="294"/>
      <c r="B769" s="938"/>
      <c r="C769" s="66">
        <v>6</v>
      </c>
      <c r="D769" s="3" t="s">
        <v>935</v>
      </c>
      <c r="E769" s="3" t="s">
        <v>947</v>
      </c>
      <c r="F769" s="3" t="s">
        <v>21</v>
      </c>
      <c r="G769" s="3"/>
      <c r="H769" s="5" t="s">
        <v>916</v>
      </c>
      <c r="I769" s="124" t="s">
        <v>930</v>
      </c>
      <c r="J769" s="125"/>
      <c r="K769" s="125"/>
      <c r="L769" s="96"/>
      <c r="M769" s="118"/>
      <c r="N769" s="861"/>
      <c r="O769" s="60"/>
      <c r="P769" s="60"/>
      <c r="Q769" s="60"/>
      <c r="R769" s="60"/>
      <c r="S769" s="4">
        <f t="shared" ref="S769:X769" si="298">-S805</f>
        <v>0</v>
      </c>
      <c r="T769" s="4">
        <f t="shared" si="298"/>
        <v>0</v>
      </c>
      <c r="U769" s="4">
        <f t="shared" si="298"/>
        <v>0</v>
      </c>
      <c r="V769" s="4">
        <f t="shared" si="298"/>
        <v>0</v>
      </c>
      <c r="W769" s="4">
        <f t="shared" si="298"/>
        <v>0</v>
      </c>
      <c r="X769" s="4">
        <f t="shared" si="298"/>
        <v>0</v>
      </c>
      <c r="Y769" s="4"/>
      <c r="Z769" s="3" t="str">
        <f>VLOOKUP($D769,TableInputsData[],ReadMe!$M$3,FALSE)&amp;"  |  "&amp;VLOOKUP($E769,TableInputsData[],ReadMe!$M$3,FALSE)&amp;"  |  "&amp;VLOOKUP($H769,TableInputsData[],ReadMe!$M$3,FALSE)</f>
        <v>ETAT DES FLUX DE TRESORERIE  |  MONTANT PRINCIPAL DE PRET  |  PRET FAMILLE ET AMIS</v>
      </c>
      <c r="AA769" s="3"/>
      <c r="AB769" s="34"/>
      <c r="AC769" s="34">
        <v>1</v>
      </c>
      <c r="AD769" s="34"/>
      <c r="AE769" s="26"/>
      <c r="AF769" s="34">
        <v>1</v>
      </c>
      <c r="AG769" s="34"/>
      <c r="AH769" s="535"/>
      <c r="AI769" s="294"/>
    </row>
    <row r="770" spans="1:35" x14ac:dyDescent="0.2">
      <c r="A770" s="294"/>
      <c r="B770" s="938"/>
      <c r="C770" s="66">
        <v>6</v>
      </c>
      <c r="D770" s="3" t="s">
        <v>935</v>
      </c>
      <c r="E770" s="3" t="s">
        <v>947</v>
      </c>
      <c r="F770" s="3" t="s">
        <v>21</v>
      </c>
      <c r="G770" s="3"/>
      <c r="H770" s="5" t="s">
        <v>920</v>
      </c>
      <c r="I770" s="124" t="s">
        <v>930</v>
      </c>
      <c r="J770" s="125"/>
      <c r="K770" s="125"/>
      <c r="L770" s="96"/>
      <c r="M770" s="118"/>
      <c r="N770" s="861"/>
      <c r="O770" s="60"/>
      <c r="P770" s="60"/>
      <c r="Q770" s="60"/>
      <c r="R770" s="60"/>
      <c r="S770" s="4">
        <f t="shared" ref="S770:X770" si="299">-S814</f>
        <v>0</v>
      </c>
      <c r="T770" s="4">
        <f t="shared" si="299"/>
        <v>0</v>
      </c>
      <c r="U770" s="4">
        <f t="shared" si="299"/>
        <v>0</v>
      </c>
      <c r="V770" s="4">
        <f t="shared" si="299"/>
        <v>0</v>
      </c>
      <c r="W770" s="4">
        <f t="shared" si="299"/>
        <v>0</v>
      </c>
      <c r="X770" s="4">
        <f t="shared" si="299"/>
        <v>0</v>
      </c>
      <c r="Y770" s="4"/>
      <c r="Z770" s="3" t="str">
        <f>VLOOKUP($D770,TableInputsData[],ReadMe!$M$3,FALSE)&amp;"  |  "&amp;VLOOKUP($E770,TableInputsData[],ReadMe!$M$3,FALSE)&amp;"  |  "&amp;VLOOKUP($H770,TableInputsData[],ReadMe!$M$3,FALSE)</f>
        <v>ETAT DES FLUX DE TRESORERIE  |  MONTANT PRINCIPAL DE PRET  |  PRET BANQUE LOCALE</v>
      </c>
      <c r="AA770" s="3"/>
      <c r="AB770" s="34"/>
      <c r="AC770" s="34">
        <v>1</v>
      </c>
      <c r="AD770" s="34"/>
      <c r="AE770" s="26"/>
      <c r="AF770" s="34">
        <v>1</v>
      </c>
      <c r="AG770" s="34"/>
      <c r="AH770" s="535"/>
      <c r="AI770" s="294"/>
    </row>
    <row r="771" spans="1:35" x14ac:dyDescent="0.2">
      <c r="A771" s="294"/>
      <c r="B771" s="938"/>
      <c r="C771" s="67">
        <v>6</v>
      </c>
      <c r="D771" s="16" t="s">
        <v>935</v>
      </c>
      <c r="E771" s="16" t="s">
        <v>947</v>
      </c>
      <c r="F771" s="16" t="s">
        <v>21</v>
      </c>
      <c r="G771" s="16"/>
      <c r="H771" s="17" t="s">
        <v>29</v>
      </c>
      <c r="I771" s="17"/>
      <c r="J771" s="27"/>
      <c r="K771" s="27"/>
      <c r="L771" s="97"/>
      <c r="M771" s="112"/>
      <c r="N771" s="18"/>
      <c r="O771" s="97"/>
      <c r="P771" s="97"/>
      <c r="Q771" s="97"/>
      <c r="R771" s="97"/>
      <c r="S771" s="97">
        <f t="shared" ref="S771:X771" si="300">SUM(S768:S770)</f>
        <v>0</v>
      </c>
      <c r="T771" s="97">
        <f t="shared" si="300"/>
        <v>0</v>
      </c>
      <c r="U771" s="97">
        <f t="shared" si="300"/>
        <v>0</v>
      </c>
      <c r="V771" s="97">
        <f t="shared" si="300"/>
        <v>0</v>
      </c>
      <c r="W771" s="97">
        <f t="shared" si="300"/>
        <v>0</v>
      </c>
      <c r="X771" s="97">
        <f t="shared" si="300"/>
        <v>0</v>
      </c>
      <c r="Y771" s="97"/>
      <c r="Z771" s="16" t="str">
        <f>VLOOKUP($D771,TableInputsData[],ReadMe!$M$3,FALSE)&amp;"  |  "&amp;VLOOKUP($E771,TableInputsData[],ReadMe!$M$3,FALSE)&amp;"  |  "&amp;VLOOKUP($H771,TableInputsData[],ReadMe!$M$3,FALSE)</f>
        <v>ETAT DES FLUX DE TRESORERIE  |  MONTANT PRINCIPAL DE PRET  |  TOTAL</v>
      </c>
      <c r="AA771" s="16"/>
      <c r="AB771" s="27"/>
      <c r="AC771" s="27"/>
      <c r="AD771" s="27"/>
      <c r="AE771" s="27">
        <v>1</v>
      </c>
      <c r="AF771" s="27"/>
      <c r="AG771" s="27"/>
      <c r="AH771" s="533"/>
      <c r="AI771" s="294"/>
    </row>
    <row r="772" spans="1:35" x14ac:dyDescent="0.2">
      <c r="A772" s="294"/>
      <c r="B772" s="938"/>
      <c r="C772" s="66">
        <v>6</v>
      </c>
      <c r="D772" s="3"/>
      <c r="E772" s="3"/>
      <c r="F772" s="3"/>
      <c r="G772" s="3"/>
      <c r="H772" s="5"/>
      <c r="I772" s="124"/>
      <c r="J772" s="125"/>
      <c r="K772" s="125"/>
      <c r="L772" s="96"/>
      <c r="M772" s="118"/>
      <c r="N772" s="861"/>
      <c r="O772" s="4"/>
      <c r="P772" s="4"/>
      <c r="Q772" s="4"/>
      <c r="R772" s="4"/>
      <c r="S772" s="4"/>
      <c r="T772" s="4"/>
      <c r="U772" s="4"/>
      <c r="V772" s="4"/>
      <c r="W772" s="4"/>
      <c r="X772" s="4"/>
      <c r="Y772" s="4"/>
      <c r="Z772" s="3"/>
      <c r="AA772" s="3"/>
      <c r="AB772" s="34"/>
      <c r="AC772" s="34"/>
      <c r="AD772" s="34"/>
      <c r="AE772" s="26"/>
      <c r="AF772" s="34"/>
      <c r="AG772" s="34"/>
      <c r="AH772" s="535"/>
      <c r="AI772" s="294"/>
    </row>
    <row r="773" spans="1:35" x14ac:dyDescent="0.2">
      <c r="A773" s="294"/>
      <c r="B773" s="938"/>
      <c r="C773" s="67">
        <v>6</v>
      </c>
      <c r="D773" s="16" t="s">
        <v>935</v>
      </c>
      <c r="E773" s="16" t="s">
        <v>948</v>
      </c>
      <c r="F773" s="16" t="s">
        <v>21</v>
      </c>
      <c r="G773" s="16"/>
      <c r="H773" s="17" t="s">
        <v>29</v>
      </c>
      <c r="I773" s="17"/>
      <c r="J773" s="27"/>
      <c r="K773" s="27"/>
      <c r="L773" s="97"/>
      <c r="M773" s="112"/>
      <c r="N773" s="18"/>
      <c r="O773" s="507">
        <v>0</v>
      </c>
      <c r="P773" s="507">
        <v>0</v>
      </c>
      <c r="Q773" s="97"/>
      <c r="R773" s="97"/>
      <c r="S773" s="97">
        <f t="shared" ref="S773:X773" si="301">S753+S761+S771</f>
        <v>0</v>
      </c>
      <c r="T773" s="97">
        <f t="shared" si="301"/>
        <v>0</v>
      </c>
      <c r="U773" s="97">
        <f t="shared" si="301"/>
        <v>0</v>
      </c>
      <c r="V773" s="97">
        <f t="shared" si="301"/>
        <v>0</v>
      </c>
      <c r="W773" s="97">
        <f t="shared" si="301"/>
        <v>0</v>
      </c>
      <c r="X773" s="97">
        <f t="shared" si="301"/>
        <v>0</v>
      </c>
      <c r="Y773" s="97"/>
      <c r="Z773" s="16" t="str">
        <f>VLOOKUP($D773,TableInputsData[],ReadMe!$M$3,FALSE)&amp;"  |  "&amp;VLOOKUP($E773,TableInputsData[],ReadMe!$M$3,FALSE)&amp;"  |  "&amp;VLOOKUP($H773,TableInputsData[],ReadMe!$M$3,FALSE)</f>
        <v>ETAT DES FLUX DE TRESORERIE  |  POSITION DE TRESORERIE FIN DE PERIODE  |  TOTAL</v>
      </c>
      <c r="AA773" s="16"/>
      <c r="AB773" s="27"/>
      <c r="AC773" s="27">
        <v>1</v>
      </c>
      <c r="AD773" s="27"/>
      <c r="AE773" s="27">
        <v>1</v>
      </c>
      <c r="AF773" s="27">
        <v>1</v>
      </c>
      <c r="AG773" s="27"/>
      <c r="AH773" s="533"/>
      <c r="AI773" s="294"/>
    </row>
    <row r="774" spans="1:35" x14ac:dyDescent="0.2">
      <c r="A774" s="294"/>
      <c r="B774" s="938"/>
      <c r="C774" s="66">
        <v>6</v>
      </c>
      <c r="D774" s="3"/>
      <c r="E774" s="3"/>
      <c r="F774" s="3"/>
      <c r="G774" s="3"/>
      <c r="H774" s="5" t="s">
        <v>76</v>
      </c>
      <c r="I774" s="124"/>
      <c r="J774" s="125"/>
      <c r="K774" s="125"/>
      <c r="L774" s="96"/>
      <c r="M774" s="118"/>
      <c r="N774" s="861"/>
      <c r="O774" s="4"/>
      <c r="P774" s="4"/>
      <c r="Q774" s="4"/>
      <c r="R774" s="4"/>
      <c r="S774" s="4"/>
      <c r="T774" s="4"/>
      <c r="U774" s="4"/>
      <c r="V774" s="4"/>
      <c r="W774" s="4"/>
      <c r="X774" s="4"/>
      <c r="Y774" s="4"/>
      <c r="Z774" s="3"/>
      <c r="AA774" s="3"/>
      <c r="AB774" s="34"/>
      <c r="AC774" s="34"/>
      <c r="AD774" s="34"/>
      <c r="AE774" s="26"/>
      <c r="AF774" s="34"/>
      <c r="AG774" s="34"/>
      <c r="AH774" s="535"/>
      <c r="AI774" s="294"/>
    </row>
    <row r="775" spans="1:35" x14ac:dyDescent="0.2">
      <c r="A775" s="294"/>
      <c r="B775" s="938"/>
      <c r="C775" s="189">
        <v>6</v>
      </c>
      <c r="D775" s="190"/>
      <c r="E775" s="190"/>
      <c r="F775" s="190"/>
      <c r="G775" s="190"/>
      <c r="H775" s="191" t="s">
        <v>76</v>
      </c>
      <c r="I775" s="192"/>
      <c r="J775" s="193"/>
      <c r="K775" s="193"/>
      <c r="L775" s="194"/>
      <c r="M775" s="195"/>
      <c r="N775" s="864"/>
      <c r="O775" s="196"/>
      <c r="P775" s="196"/>
      <c r="Q775" s="196"/>
      <c r="R775" s="196"/>
      <c r="S775" s="196"/>
      <c r="T775" s="196"/>
      <c r="U775" s="196"/>
      <c r="V775" s="196"/>
      <c r="W775" s="196"/>
      <c r="X775" s="196"/>
      <c r="Y775" s="196"/>
      <c r="Z775" s="190"/>
      <c r="AA775" s="190"/>
      <c r="AB775" s="197"/>
      <c r="AC775" s="197"/>
      <c r="AD775" s="197"/>
      <c r="AE775" s="219"/>
      <c r="AF775" s="197"/>
      <c r="AG775" s="197"/>
      <c r="AH775" s="539"/>
      <c r="AI775" s="294"/>
    </row>
    <row r="776" spans="1:35" ht="12.75" customHeight="1" x14ac:dyDescent="0.2">
      <c r="A776" s="294"/>
      <c r="B776" s="939" t="s">
        <v>953</v>
      </c>
      <c r="C776" s="189">
        <v>7</v>
      </c>
      <c r="D776" s="190"/>
      <c r="E776" s="190"/>
      <c r="F776" s="190"/>
      <c r="G776" s="190"/>
      <c r="H776" s="191" t="s">
        <v>76</v>
      </c>
      <c r="I776" s="192"/>
      <c r="J776" s="193"/>
      <c r="K776" s="193"/>
      <c r="L776" s="194"/>
      <c r="M776" s="195"/>
      <c r="N776" s="864"/>
      <c r="O776" s="196"/>
      <c r="P776" s="196"/>
      <c r="Q776" s="196"/>
      <c r="R776" s="196"/>
      <c r="S776" s="196"/>
      <c r="T776" s="196"/>
      <c r="U776" s="196"/>
      <c r="V776" s="196"/>
      <c r="W776" s="196"/>
      <c r="X776" s="196"/>
      <c r="Y776" s="196"/>
      <c r="Z776" s="190"/>
      <c r="AA776" s="190"/>
      <c r="AB776" s="197"/>
      <c r="AC776" s="197"/>
      <c r="AD776" s="197"/>
      <c r="AE776" s="219"/>
      <c r="AF776" s="197"/>
      <c r="AG776" s="197"/>
      <c r="AH776" s="539"/>
      <c r="AI776" s="294"/>
    </row>
    <row r="777" spans="1:35" x14ac:dyDescent="0.2">
      <c r="A777" s="294"/>
      <c r="B777" s="922"/>
      <c r="C777" s="66">
        <v>7</v>
      </c>
      <c r="D777" s="3"/>
      <c r="E777" s="3"/>
      <c r="F777" s="3"/>
      <c r="G777" s="3"/>
      <c r="H777" s="5" t="s">
        <v>76</v>
      </c>
      <c r="I777" s="124"/>
      <c r="J777" s="125"/>
      <c r="K777" s="125"/>
      <c r="L777" s="96"/>
      <c r="M777" s="118"/>
      <c r="N777" s="861"/>
      <c r="O777" s="4"/>
      <c r="P777" s="4"/>
      <c r="Q777" s="4"/>
      <c r="R777" s="4"/>
      <c r="S777" s="4"/>
      <c r="T777" s="4"/>
      <c r="U777" s="4"/>
      <c r="V777" s="4"/>
      <c r="W777" s="4"/>
      <c r="X777" s="4"/>
      <c r="Y777" s="4"/>
      <c r="Z777" s="3"/>
      <c r="AA777" s="3"/>
      <c r="AB777" s="34"/>
      <c r="AC777" s="34"/>
      <c r="AD777" s="34"/>
      <c r="AE777" s="26"/>
      <c r="AF777" s="34"/>
      <c r="AG777" s="34"/>
      <c r="AH777" s="535"/>
      <c r="AI777" s="294"/>
    </row>
    <row r="778" spans="1:35" x14ac:dyDescent="0.2">
      <c r="A778" s="294"/>
      <c r="B778" s="922"/>
      <c r="C778" s="66">
        <v>7</v>
      </c>
      <c r="D778" s="3" t="s">
        <v>951</v>
      </c>
      <c r="E778" s="3" t="s">
        <v>962</v>
      </c>
      <c r="F778" s="3" t="s">
        <v>21</v>
      </c>
      <c r="G778" s="3"/>
      <c r="H778" s="5" t="s">
        <v>936</v>
      </c>
      <c r="I778" s="124"/>
      <c r="J778" s="125"/>
      <c r="K778" s="125"/>
      <c r="L778" s="96"/>
      <c r="M778" s="118"/>
      <c r="N778" s="861"/>
      <c r="O778" s="4">
        <f t="shared" ref="O778:P778" si="302">O749</f>
        <v>0</v>
      </c>
      <c r="P778" s="4">
        <f t="shared" si="302"/>
        <v>0</v>
      </c>
      <c r="Q778" s="4"/>
      <c r="R778" s="4"/>
      <c r="S778" s="4">
        <f t="shared" ref="S778:X779" si="303">S749</f>
        <v>0</v>
      </c>
      <c r="T778" s="4">
        <f t="shared" si="303"/>
        <v>0</v>
      </c>
      <c r="U778" s="4">
        <f t="shared" si="303"/>
        <v>0</v>
      </c>
      <c r="V778" s="4">
        <f t="shared" si="303"/>
        <v>0</v>
      </c>
      <c r="W778" s="4">
        <f t="shared" si="303"/>
        <v>0</v>
      </c>
      <c r="X778" s="4">
        <f t="shared" si="303"/>
        <v>0</v>
      </c>
      <c r="Y778" s="4"/>
      <c r="Z778" s="3" t="str">
        <f>VLOOKUP($D778,TableInputsData[],ReadMe!$M$3,FALSE)&amp;"  |  "&amp;VLOOKUP($E778,TableInputsData[],ReadMe!$M$3,FALSE)&amp;"  |  "&amp;VLOOKUP($H778,TableInputsData[],ReadMe!$M$3,FALSE)</f>
        <v>SOURCE DE FINANCEMENT  |  BESOINS DE FINANCEMENT  |  POSITION DE TRESORERIE DEBUT DE LA PERIODE</v>
      </c>
      <c r="AA778" s="3"/>
      <c r="AB778" s="34"/>
      <c r="AC778" s="34">
        <v>1</v>
      </c>
      <c r="AD778" s="34"/>
      <c r="AE778" s="26"/>
      <c r="AF778" s="34">
        <v>1</v>
      </c>
      <c r="AG778" s="34"/>
      <c r="AH778" s="535"/>
      <c r="AI778" s="294"/>
    </row>
    <row r="779" spans="1:35" x14ac:dyDescent="0.2">
      <c r="A779" s="294"/>
      <c r="B779" s="922"/>
      <c r="C779" s="66">
        <v>7</v>
      </c>
      <c r="D779" s="3" t="s">
        <v>951</v>
      </c>
      <c r="E779" s="3" t="s">
        <v>962</v>
      </c>
      <c r="F779" s="3" t="s">
        <v>21</v>
      </c>
      <c r="G779" s="3"/>
      <c r="H779" s="5" t="s">
        <v>937</v>
      </c>
      <c r="I779" s="124"/>
      <c r="J779" s="125"/>
      <c r="K779" s="125"/>
      <c r="L779" s="96"/>
      <c r="M779" s="118"/>
      <c r="N779" s="861"/>
      <c r="O779" s="4">
        <f t="shared" ref="O779:P779" si="304">O750</f>
        <v>0</v>
      </c>
      <c r="P779" s="4">
        <f t="shared" si="304"/>
        <v>0</v>
      </c>
      <c r="Q779" s="4"/>
      <c r="R779" s="4"/>
      <c r="S779" s="4">
        <f t="shared" si="303"/>
        <v>0</v>
      </c>
      <c r="T779" s="4">
        <f t="shared" si="303"/>
        <v>0</v>
      </c>
      <c r="U779" s="4">
        <f t="shared" si="303"/>
        <v>0</v>
      </c>
      <c r="V779" s="4">
        <f t="shared" si="303"/>
        <v>0</v>
      </c>
      <c r="W779" s="4">
        <f t="shared" si="303"/>
        <v>0</v>
      </c>
      <c r="X779" s="4">
        <f t="shared" si="303"/>
        <v>0</v>
      </c>
      <c r="Y779" s="4"/>
      <c r="Z779" s="3" t="str">
        <f>VLOOKUP($D779,TableInputsData[],ReadMe!$M$3,FALSE)&amp;"  |  "&amp;VLOOKUP($E779,TableInputsData[],ReadMe!$M$3,FALSE)&amp;"  |  "&amp;VLOOKUP($H779,TableInputsData[],ReadMe!$M$3,FALSE)</f>
        <v>SOURCE DE FINANCEMENT  |  BESOINS DE FINANCEMENT  |  BENEFICE BRUT + AMORTISSEMENTS - IMPOT ANNEE PRECEDENTE</v>
      </c>
      <c r="AA779" s="3"/>
      <c r="AB779" s="34"/>
      <c r="AC779" s="34">
        <v>1</v>
      </c>
      <c r="AD779" s="34"/>
      <c r="AE779" s="26"/>
      <c r="AF779" s="34">
        <v>1</v>
      </c>
      <c r="AG779" s="34"/>
      <c r="AH779" s="535"/>
      <c r="AI779" s="294"/>
    </row>
    <row r="780" spans="1:35" x14ac:dyDescent="0.2">
      <c r="A780" s="294"/>
      <c r="B780" s="922"/>
      <c r="C780" s="66">
        <v>7</v>
      </c>
      <c r="D780" s="3" t="s">
        <v>951</v>
      </c>
      <c r="E780" s="3" t="s">
        <v>962</v>
      </c>
      <c r="F780" s="3" t="s">
        <v>21</v>
      </c>
      <c r="G780" s="3"/>
      <c r="H780" s="5" t="s">
        <v>863</v>
      </c>
      <c r="I780" s="124"/>
      <c r="J780" s="125"/>
      <c r="K780" s="125"/>
      <c r="L780" s="96"/>
      <c r="M780" s="118"/>
      <c r="N780" s="861"/>
      <c r="O780" s="4">
        <f t="shared" ref="O780:P780" si="305">+O705</f>
        <v>0</v>
      </c>
      <c r="P780" s="4">
        <f t="shared" si="305"/>
        <v>0</v>
      </c>
      <c r="Q780" s="4"/>
      <c r="R780" s="4"/>
      <c r="S780" s="4">
        <f t="shared" ref="S780:X780" si="306">+S705</f>
        <v>0</v>
      </c>
      <c r="T780" s="4">
        <f t="shared" si="306"/>
        <v>0</v>
      </c>
      <c r="U780" s="4">
        <f t="shared" si="306"/>
        <v>0</v>
      </c>
      <c r="V780" s="4">
        <f t="shared" si="306"/>
        <v>0</v>
      </c>
      <c r="W780" s="4">
        <f t="shared" si="306"/>
        <v>0</v>
      </c>
      <c r="X780" s="4">
        <f t="shared" si="306"/>
        <v>0</v>
      </c>
      <c r="Y780" s="4"/>
      <c r="Z780" s="3" t="str">
        <f>VLOOKUP($D780,TableInputsData[],ReadMe!$M$3,FALSE)&amp;"  |  "&amp;VLOOKUP($E780,TableInputsData[],ReadMe!$M$3,FALSE)&amp;"  |  "&amp;VLOOKUP($H780,TableInputsData[],ReadMe!$M$3,FALSE)</f>
        <v>SOURCE DE FINANCEMENT  |  BESOINS DE FINANCEMENT  |  FONDS DE ROULEMENT</v>
      </c>
      <c r="AA780" s="3"/>
      <c r="AB780" s="34"/>
      <c r="AC780" s="34">
        <v>1</v>
      </c>
      <c r="AD780" s="34"/>
      <c r="AE780" s="26"/>
      <c r="AF780" s="34">
        <v>1</v>
      </c>
      <c r="AG780" s="34"/>
      <c r="AH780" s="535"/>
      <c r="AI780" s="294"/>
    </row>
    <row r="781" spans="1:35" x14ac:dyDescent="0.2">
      <c r="A781" s="294"/>
      <c r="B781" s="922"/>
      <c r="C781" s="66">
        <v>7</v>
      </c>
      <c r="D781" s="3" t="s">
        <v>951</v>
      </c>
      <c r="E781" s="3" t="s">
        <v>962</v>
      </c>
      <c r="F781" s="3" t="s">
        <v>21</v>
      </c>
      <c r="G781" s="3"/>
      <c r="H781" s="5" t="s">
        <v>939</v>
      </c>
      <c r="I781" s="124"/>
      <c r="J781" s="125"/>
      <c r="K781" s="125"/>
      <c r="L781" s="96"/>
      <c r="M781" s="118"/>
      <c r="N781" s="861"/>
      <c r="O781" s="4">
        <f t="shared" ref="O781:P781" si="307">O752</f>
        <v>0</v>
      </c>
      <c r="P781" s="4">
        <f t="shared" si="307"/>
        <v>0</v>
      </c>
      <c r="Q781" s="4"/>
      <c r="R781" s="4"/>
      <c r="S781" s="4">
        <f t="shared" ref="S781:X781" si="308">S752</f>
        <v>0</v>
      </c>
      <c r="T781" s="4">
        <f t="shared" si="308"/>
        <v>0</v>
      </c>
      <c r="U781" s="4">
        <f t="shared" si="308"/>
        <v>0</v>
      </c>
      <c r="V781" s="4">
        <f t="shared" si="308"/>
        <v>0</v>
      </c>
      <c r="W781" s="4">
        <f t="shared" si="308"/>
        <v>0</v>
      </c>
      <c r="X781" s="4">
        <f t="shared" si="308"/>
        <v>0</v>
      </c>
      <c r="Y781" s="4"/>
      <c r="Z781" s="3" t="str">
        <f>VLOOKUP($D781,TableInputsData[],ReadMe!$M$3,FALSE)&amp;"  |  "&amp;VLOOKUP($E781,TableInputsData[],ReadMe!$M$3,FALSE)&amp;"  |  "&amp;VLOOKUP($H781,TableInputsData[],ReadMe!$M$3,FALSE)</f>
        <v>SOURCE DE FINANCEMENT  |  BESOINS DE FINANCEMENT  |  DEPENSES D'INVESTISSEMENTS</v>
      </c>
      <c r="AA781" s="3"/>
      <c r="AB781" s="34"/>
      <c r="AC781" s="34">
        <v>1</v>
      </c>
      <c r="AD781" s="34"/>
      <c r="AE781" s="26"/>
      <c r="AF781" s="34">
        <v>1</v>
      </c>
      <c r="AG781" s="34"/>
      <c r="AH781" s="535"/>
      <c r="AI781" s="294"/>
    </row>
    <row r="782" spans="1:35" x14ac:dyDescent="0.2">
      <c r="A782" s="294"/>
      <c r="B782" s="922"/>
      <c r="C782" s="66">
        <v>7</v>
      </c>
      <c r="D782" s="3" t="s">
        <v>951</v>
      </c>
      <c r="E782" s="3" t="s">
        <v>962</v>
      </c>
      <c r="F782" s="3" t="s">
        <v>21</v>
      </c>
      <c r="G782" s="3"/>
      <c r="H782" s="5" t="s">
        <v>947</v>
      </c>
      <c r="I782" s="124"/>
      <c r="J782" s="125"/>
      <c r="K782" s="125"/>
      <c r="L782" s="96"/>
      <c r="M782" s="118"/>
      <c r="N782" s="861"/>
      <c r="O782" s="4">
        <f t="shared" ref="O782:P782" si="309">O771</f>
        <v>0</v>
      </c>
      <c r="P782" s="4">
        <f t="shared" si="309"/>
        <v>0</v>
      </c>
      <c r="Q782" s="4"/>
      <c r="R782" s="4"/>
      <c r="S782" s="4">
        <f t="shared" ref="S782:X782" si="310">S771</f>
        <v>0</v>
      </c>
      <c r="T782" s="4">
        <f t="shared" si="310"/>
        <v>0</v>
      </c>
      <c r="U782" s="4">
        <f t="shared" si="310"/>
        <v>0</v>
      </c>
      <c r="V782" s="4">
        <f t="shared" si="310"/>
        <v>0</v>
      </c>
      <c r="W782" s="4">
        <f t="shared" si="310"/>
        <v>0</v>
      </c>
      <c r="X782" s="4">
        <f t="shared" si="310"/>
        <v>0</v>
      </c>
      <c r="Y782" s="4"/>
      <c r="Z782" s="3" t="str">
        <f>VLOOKUP($D782,TableInputsData[],ReadMe!$M$3,FALSE)&amp;"  |  "&amp;VLOOKUP($E782,TableInputsData[],ReadMe!$M$3,FALSE)&amp;"  |  "&amp;VLOOKUP($H782,TableInputsData[],ReadMe!$M$3,FALSE)</f>
        <v>SOURCE DE FINANCEMENT  |  BESOINS DE FINANCEMENT  |  MONTANT PRINCIPAL DE PRET</v>
      </c>
      <c r="AA782" s="3"/>
      <c r="AB782" s="34"/>
      <c r="AC782" s="34">
        <v>1</v>
      </c>
      <c r="AD782" s="34"/>
      <c r="AE782" s="26"/>
      <c r="AF782" s="34">
        <v>1</v>
      </c>
      <c r="AG782" s="34"/>
      <c r="AH782" s="535"/>
      <c r="AI782" s="294"/>
    </row>
    <row r="783" spans="1:35" x14ac:dyDescent="0.2">
      <c r="A783" s="294"/>
      <c r="B783" s="922"/>
      <c r="C783" s="67">
        <v>7</v>
      </c>
      <c r="D783" s="16" t="s">
        <v>951</v>
      </c>
      <c r="E783" s="16" t="s">
        <v>962</v>
      </c>
      <c r="F783" s="16" t="s">
        <v>21</v>
      </c>
      <c r="G783" s="16"/>
      <c r="H783" s="17" t="s">
        <v>29</v>
      </c>
      <c r="I783" s="17"/>
      <c r="J783" s="27"/>
      <c r="K783" s="27"/>
      <c r="L783" s="97"/>
      <c r="M783" s="112"/>
      <c r="N783" s="18"/>
      <c r="O783" s="97">
        <f t="shared" ref="O783:P783" si="311">SUM(O778:O782)</f>
        <v>0</v>
      </c>
      <c r="P783" s="97">
        <f t="shared" si="311"/>
        <v>0</v>
      </c>
      <c r="Q783" s="97"/>
      <c r="R783" s="97"/>
      <c r="S783" s="97">
        <f t="shared" ref="S783:X783" si="312">SUM(S778:S782)</f>
        <v>0</v>
      </c>
      <c r="T783" s="97">
        <f t="shared" si="312"/>
        <v>0</v>
      </c>
      <c r="U783" s="97">
        <f t="shared" si="312"/>
        <v>0</v>
      </c>
      <c r="V783" s="97">
        <f t="shared" si="312"/>
        <v>0</v>
      </c>
      <c r="W783" s="97">
        <f t="shared" si="312"/>
        <v>0</v>
      </c>
      <c r="X783" s="97">
        <f t="shared" si="312"/>
        <v>0</v>
      </c>
      <c r="Y783" s="97"/>
      <c r="Z783" s="16" t="str">
        <f>VLOOKUP($D783,TableInputsData[],ReadMe!$M$3,FALSE)&amp;"  |  "&amp;VLOOKUP($E783,TableInputsData[],ReadMe!$M$3,FALSE)&amp;"  |  "&amp;VLOOKUP($H783,TableInputsData[],ReadMe!$M$3,FALSE)</f>
        <v>SOURCE DE FINANCEMENT  |  BESOINS DE FINANCEMENT  |  TOTAL</v>
      </c>
      <c r="AA783" s="16"/>
      <c r="AB783" s="27"/>
      <c r="AC783" s="27">
        <v>1</v>
      </c>
      <c r="AD783" s="27"/>
      <c r="AE783" s="27"/>
      <c r="AF783" s="27">
        <v>1</v>
      </c>
      <c r="AG783" s="27"/>
      <c r="AH783" s="533"/>
      <c r="AI783" s="294"/>
    </row>
    <row r="784" spans="1:35" x14ac:dyDescent="0.2">
      <c r="A784" s="294"/>
      <c r="B784" s="922"/>
      <c r="C784" s="66">
        <v>7</v>
      </c>
      <c r="D784" s="3"/>
      <c r="E784" s="3"/>
      <c r="F784" s="3"/>
      <c r="G784" s="3"/>
      <c r="H784" s="5"/>
      <c r="I784" s="124"/>
      <c r="J784" s="125"/>
      <c r="K784" s="125"/>
      <c r="L784" s="96"/>
      <c r="M784" s="118"/>
      <c r="N784" s="861"/>
      <c r="O784" s="4"/>
      <c r="P784" s="4"/>
      <c r="Q784" s="4"/>
      <c r="R784" s="4"/>
      <c r="S784" s="4"/>
      <c r="T784" s="4"/>
      <c r="U784" s="4"/>
      <c r="V784" s="4"/>
      <c r="W784" s="4"/>
      <c r="X784" s="4"/>
      <c r="Y784" s="4"/>
      <c r="Z784" s="3"/>
      <c r="AA784" s="3"/>
      <c r="AB784" s="34"/>
      <c r="AC784" s="34"/>
      <c r="AD784" s="34"/>
      <c r="AE784" s="26"/>
      <c r="AF784" s="34"/>
      <c r="AG784" s="34"/>
      <c r="AH784" s="535"/>
      <c r="AI784" s="294"/>
    </row>
    <row r="785" spans="1:35" x14ac:dyDescent="0.2">
      <c r="A785" s="294"/>
      <c r="B785" s="922"/>
      <c r="C785" s="66">
        <v>7</v>
      </c>
      <c r="D785" s="3" t="s">
        <v>951</v>
      </c>
      <c r="E785" s="3" t="s">
        <v>951</v>
      </c>
      <c r="F785" s="3" t="s">
        <v>21</v>
      </c>
      <c r="G785" s="3"/>
      <c r="H785" s="5" t="s">
        <v>921</v>
      </c>
      <c r="I785" s="124" t="str">
        <f>"TOTAL PERIOD "&amp;S$5&amp;":"&amp;X$5&amp;" --&gt;"</f>
        <v>TOTAL PERIOD 2025:2030 --&gt;</v>
      </c>
      <c r="J785" s="125">
        <f>SUM(S785:X785)</f>
        <v>0</v>
      </c>
      <c r="K785" s="125"/>
      <c r="L785" s="96"/>
      <c r="M785" s="118"/>
      <c r="N785" s="861"/>
      <c r="O785" s="4"/>
      <c r="P785" s="4"/>
      <c r="Q785" s="4"/>
      <c r="R785" s="4"/>
      <c r="S785" s="504">
        <v>0</v>
      </c>
      <c r="T785" s="504">
        <v>0</v>
      </c>
      <c r="U785" s="504">
        <v>0</v>
      </c>
      <c r="V785" s="504">
        <v>0</v>
      </c>
      <c r="W785" s="504">
        <v>0</v>
      </c>
      <c r="X785" s="504">
        <v>0</v>
      </c>
      <c r="Y785" s="604"/>
      <c r="Z785" s="3" t="str">
        <f>VLOOKUP($D785,TableInputsData[],ReadMe!$M$3,FALSE)&amp;"  |  "&amp;VLOOKUP($E785,TableInputsData[],ReadMe!$M$3,FALSE)&amp;"  |  "&amp;VLOOKUP($H785,TableInputsData[],ReadMe!$M$3,FALSE)</f>
        <v>SOURCE DE FINANCEMENT  |  SOURCE DE FINANCEMENT  |  PRET OVO</v>
      </c>
      <c r="AA785" s="3"/>
      <c r="AB785" s="34"/>
      <c r="AC785" s="34">
        <v>1</v>
      </c>
      <c r="AD785" s="34"/>
      <c r="AE785" s="26"/>
      <c r="AF785" s="34">
        <v>1</v>
      </c>
      <c r="AG785" s="34"/>
      <c r="AH785" s="535"/>
      <c r="AI785" s="294"/>
    </row>
    <row r="786" spans="1:35" x14ac:dyDescent="0.2">
      <c r="A786" s="294"/>
      <c r="B786" s="922"/>
      <c r="C786" s="66">
        <v>7</v>
      </c>
      <c r="D786" s="3" t="s">
        <v>951</v>
      </c>
      <c r="E786" s="3" t="s">
        <v>951</v>
      </c>
      <c r="F786" s="3" t="s">
        <v>21</v>
      </c>
      <c r="G786" s="3"/>
      <c r="H786" s="5" t="s">
        <v>916</v>
      </c>
      <c r="I786" s="124" t="str">
        <f t="shared" ref="I786:I789" si="313">"TOTAL PERIOD "&amp;S$5&amp;":"&amp;X$5&amp;" --&gt;"</f>
        <v>TOTAL PERIOD 2025:2030 --&gt;</v>
      </c>
      <c r="J786" s="125">
        <f t="shared" ref="J786:J789" si="314">SUM(S786:X786)</f>
        <v>0</v>
      </c>
      <c r="K786" s="125"/>
      <c r="L786" s="96"/>
      <c r="M786" s="118"/>
      <c r="N786" s="861"/>
      <c r="O786" s="4"/>
      <c r="P786" s="4"/>
      <c r="Q786" s="4"/>
      <c r="R786" s="4"/>
      <c r="S786" s="504">
        <v>0</v>
      </c>
      <c r="T786" s="504">
        <v>0</v>
      </c>
      <c r="U786" s="504">
        <v>0</v>
      </c>
      <c r="V786" s="504">
        <v>0</v>
      </c>
      <c r="W786" s="504">
        <v>0</v>
      </c>
      <c r="X786" s="504">
        <v>0</v>
      </c>
      <c r="Y786" s="604"/>
      <c r="Z786" s="3" t="str">
        <f>VLOOKUP($D786,TableInputsData[],ReadMe!$M$3,FALSE)&amp;"  |  "&amp;VLOOKUP($E786,TableInputsData[],ReadMe!$M$3,FALSE)&amp;"  |  "&amp;VLOOKUP($H786,TableInputsData[],ReadMe!$M$3,FALSE)</f>
        <v>SOURCE DE FINANCEMENT  |  SOURCE DE FINANCEMENT  |  PRET FAMILLE ET AMIS</v>
      </c>
      <c r="AA786" s="3"/>
      <c r="AB786" s="34"/>
      <c r="AC786" s="34">
        <v>1</v>
      </c>
      <c r="AD786" s="34"/>
      <c r="AE786" s="26"/>
      <c r="AF786" s="34">
        <v>1</v>
      </c>
      <c r="AG786" s="34"/>
      <c r="AH786" s="535"/>
      <c r="AI786" s="294"/>
    </row>
    <row r="787" spans="1:35" x14ac:dyDescent="0.2">
      <c r="A787" s="294"/>
      <c r="B787" s="922"/>
      <c r="C787" s="66">
        <v>7</v>
      </c>
      <c r="D787" s="3" t="s">
        <v>951</v>
      </c>
      <c r="E787" s="3" t="s">
        <v>951</v>
      </c>
      <c r="F787" s="3" t="s">
        <v>21</v>
      </c>
      <c r="G787" s="3"/>
      <c r="H787" s="5" t="s">
        <v>920</v>
      </c>
      <c r="I787" s="124" t="str">
        <f t="shared" si="313"/>
        <v>TOTAL PERIOD 2025:2030 --&gt;</v>
      </c>
      <c r="J787" s="125">
        <f t="shared" si="314"/>
        <v>0</v>
      </c>
      <c r="K787" s="125"/>
      <c r="L787" s="96"/>
      <c r="M787" s="118"/>
      <c r="N787" s="861"/>
      <c r="O787" s="4"/>
      <c r="P787" s="4"/>
      <c r="Q787" s="4"/>
      <c r="R787" s="4"/>
      <c r="S787" s="504">
        <v>0</v>
      </c>
      <c r="T787" s="504">
        <v>0</v>
      </c>
      <c r="U787" s="504">
        <v>0</v>
      </c>
      <c r="V787" s="504">
        <v>0</v>
      </c>
      <c r="W787" s="504">
        <v>0</v>
      </c>
      <c r="X787" s="504">
        <v>0</v>
      </c>
      <c r="Y787" s="604"/>
      <c r="Z787" s="3" t="str">
        <f>VLOOKUP($D787,TableInputsData[],ReadMe!$M$3,FALSE)&amp;"  |  "&amp;VLOOKUP($E787,TableInputsData[],ReadMe!$M$3,FALSE)&amp;"  |  "&amp;VLOOKUP($H787,TableInputsData[],ReadMe!$M$3,FALSE)</f>
        <v>SOURCE DE FINANCEMENT  |  SOURCE DE FINANCEMENT  |  PRET BANQUE LOCALE</v>
      </c>
      <c r="AA787" s="3"/>
      <c r="AB787" s="34"/>
      <c r="AC787" s="34">
        <v>1</v>
      </c>
      <c r="AD787" s="34"/>
      <c r="AE787" s="26"/>
      <c r="AF787" s="34">
        <v>1</v>
      </c>
      <c r="AG787" s="34"/>
      <c r="AH787" s="535"/>
      <c r="AI787" s="294"/>
    </row>
    <row r="788" spans="1:35" x14ac:dyDescent="0.2">
      <c r="A788" s="294"/>
      <c r="B788" s="922"/>
      <c r="C788" s="66">
        <v>7</v>
      </c>
      <c r="D788" s="3" t="s">
        <v>951</v>
      </c>
      <c r="E788" s="3" t="s">
        <v>951</v>
      </c>
      <c r="F788" s="3" t="s">
        <v>21</v>
      </c>
      <c r="G788" s="3"/>
      <c r="H788" s="5" t="s">
        <v>933</v>
      </c>
      <c r="I788" s="124" t="str">
        <f t="shared" si="313"/>
        <v>TOTAL PERIOD 2025:2030 --&gt;</v>
      </c>
      <c r="J788" s="125">
        <f t="shared" si="314"/>
        <v>0</v>
      </c>
      <c r="K788" s="125"/>
      <c r="L788" s="96"/>
      <c r="M788" s="118"/>
      <c r="N788" s="861"/>
      <c r="O788" s="504">
        <v>0</v>
      </c>
      <c r="P788" s="504">
        <v>0</v>
      </c>
      <c r="Q788" s="4"/>
      <c r="R788" s="4"/>
      <c r="S788" s="504">
        <v>0</v>
      </c>
      <c r="T788" s="504">
        <v>0</v>
      </c>
      <c r="U788" s="504">
        <v>0</v>
      </c>
      <c r="V788" s="504">
        <v>0</v>
      </c>
      <c r="W788" s="504">
        <v>0</v>
      </c>
      <c r="X788" s="504">
        <v>0</v>
      </c>
      <c r="Y788" s="604"/>
      <c r="Z788" s="3" t="str">
        <f>VLOOKUP($D788,TableInputsData[],ReadMe!$M$3,FALSE)&amp;"  |  "&amp;VLOOKUP($E788,TableInputsData[],ReadMe!$M$3,FALSE)&amp;"  |  "&amp;VLOOKUP($H788,TableInputsData[],ReadMe!$M$3,FALSE)</f>
        <v>SOURCE DE FINANCEMENT  |  SOURCE DE FINANCEMENT  |  APPORT DE CAPITAL PAR ACTIONNAIRES EXISTANTS</v>
      </c>
      <c r="AA788" s="3"/>
      <c r="AB788" s="34"/>
      <c r="AC788" s="34">
        <v>1</v>
      </c>
      <c r="AD788" s="34"/>
      <c r="AE788" s="26"/>
      <c r="AF788" s="34">
        <v>1</v>
      </c>
      <c r="AG788" s="34"/>
      <c r="AH788" s="535"/>
      <c r="AI788" s="294"/>
    </row>
    <row r="789" spans="1:35" x14ac:dyDescent="0.2">
      <c r="A789" s="294"/>
      <c r="B789" s="922"/>
      <c r="C789" s="66">
        <v>7</v>
      </c>
      <c r="D789" s="3" t="s">
        <v>951</v>
      </c>
      <c r="E789" s="3" t="s">
        <v>951</v>
      </c>
      <c r="F789" s="3" t="s">
        <v>21</v>
      </c>
      <c r="G789" s="3"/>
      <c r="H789" s="5" t="s">
        <v>934</v>
      </c>
      <c r="I789" s="124" t="str">
        <f t="shared" si="313"/>
        <v>TOTAL PERIOD 2025:2030 --&gt;</v>
      </c>
      <c r="J789" s="125">
        <f t="shared" si="314"/>
        <v>0</v>
      </c>
      <c r="K789" s="125"/>
      <c r="L789" s="96"/>
      <c r="M789" s="118"/>
      <c r="N789" s="861"/>
      <c r="O789" s="4"/>
      <c r="P789" s="4"/>
      <c r="Q789" s="4"/>
      <c r="R789" s="4"/>
      <c r="S789" s="504">
        <v>0</v>
      </c>
      <c r="T789" s="504">
        <v>0</v>
      </c>
      <c r="U789" s="504">
        <v>0</v>
      </c>
      <c r="V789" s="504">
        <v>0</v>
      </c>
      <c r="W789" s="504">
        <v>0</v>
      </c>
      <c r="X789" s="504">
        <v>0</v>
      </c>
      <c r="Y789" s="604"/>
      <c r="Z789" s="3" t="str">
        <f>VLOOKUP($D789,TableInputsData[],ReadMe!$M$3,FALSE)&amp;"  |  "&amp;VLOOKUP($E789,TableInputsData[],ReadMe!$M$3,FALSE)&amp;"  |  "&amp;VLOOKUP($H789,TableInputsData[],ReadMe!$M$3,FALSE)</f>
        <v>SOURCE DE FINANCEMENT  |  SOURCE DE FINANCEMENT  |  APPORT DE CAPITAL PAR ACTIONNAIRES NOUVEAUX</v>
      </c>
      <c r="AA789" s="3"/>
      <c r="AB789" s="34"/>
      <c r="AC789" s="34">
        <v>1</v>
      </c>
      <c r="AD789" s="34"/>
      <c r="AE789" s="26"/>
      <c r="AF789" s="34">
        <v>1</v>
      </c>
      <c r="AG789" s="34"/>
      <c r="AH789" s="535"/>
      <c r="AI789" s="294"/>
    </row>
    <row r="790" spans="1:35" x14ac:dyDescent="0.2">
      <c r="A790" s="294"/>
      <c r="B790" s="922"/>
      <c r="C790" s="66">
        <v>7</v>
      </c>
      <c r="D790" s="3" t="s">
        <v>951</v>
      </c>
      <c r="E790" s="3" t="s">
        <v>951</v>
      </c>
      <c r="F790" s="3" t="s">
        <v>21</v>
      </c>
      <c r="G790" s="13"/>
      <c r="H790" s="5" t="s">
        <v>1896</v>
      </c>
      <c r="I790" s="147"/>
      <c r="J790" s="148"/>
      <c r="K790" s="148"/>
      <c r="L790" s="99"/>
      <c r="M790" s="114"/>
      <c r="N790" s="850"/>
      <c r="O790" s="814"/>
      <c r="P790" s="814">
        <v>0</v>
      </c>
      <c r="Q790" s="15"/>
      <c r="R790" s="15"/>
      <c r="S790" s="504">
        <v>0</v>
      </c>
      <c r="T790" s="504">
        <v>0</v>
      </c>
      <c r="U790" s="504">
        <v>0</v>
      </c>
      <c r="V790" s="504">
        <v>0</v>
      </c>
      <c r="W790" s="504">
        <v>0</v>
      </c>
      <c r="X790" s="504">
        <v>0</v>
      </c>
      <c r="Y790" s="815"/>
      <c r="Z790" s="13"/>
      <c r="AA790" s="13"/>
      <c r="AB790" s="37"/>
      <c r="AC790" s="34">
        <v>1</v>
      </c>
      <c r="AD790" s="34"/>
      <c r="AE790" s="26"/>
      <c r="AF790" s="34">
        <v>1</v>
      </c>
      <c r="AG790" s="37"/>
      <c r="AH790" s="537"/>
      <c r="AI790" s="294"/>
    </row>
    <row r="791" spans="1:35" x14ac:dyDescent="0.2">
      <c r="A791" s="294"/>
      <c r="B791" s="922"/>
      <c r="C791" s="67">
        <v>7</v>
      </c>
      <c r="D791" s="16" t="s">
        <v>951</v>
      </c>
      <c r="E791" s="16" t="s">
        <v>951</v>
      </c>
      <c r="F791" s="16" t="s">
        <v>21</v>
      </c>
      <c r="G791" s="16"/>
      <c r="H791" s="17" t="s">
        <v>29</v>
      </c>
      <c r="I791" s="145" t="str">
        <f>"TOTAL PERIOD "&amp;S$5&amp;":"&amp;X$5&amp;" --&gt;"</f>
        <v>TOTAL PERIOD 2025:2030 --&gt;</v>
      </c>
      <c r="J791" s="146">
        <f>SUM(J785:J789)</f>
        <v>0</v>
      </c>
      <c r="K791" s="27"/>
      <c r="L791" s="97"/>
      <c r="M791" s="112"/>
      <c r="N791" s="18"/>
      <c r="O791" s="97">
        <f>SUM(O785:O790)</f>
        <v>0</v>
      </c>
      <c r="P791" s="97">
        <f>SUM(P785:P790)</f>
        <v>0</v>
      </c>
      <c r="Q791" s="97"/>
      <c r="R791" s="97"/>
      <c r="S791" s="97">
        <f>SUM(S785:S790)</f>
        <v>0</v>
      </c>
      <c r="T791" s="97">
        <f t="shared" ref="T791:X791" si="315">SUM(T785:T790)</f>
        <v>0</v>
      </c>
      <c r="U791" s="97">
        <f t="shared" si="315"/>
        <v>0</v>
      </c>
      <c r="V791" s="97">
        <f t="shared" si="315"/>
        <v>0</v>
      </c>
      <c r="W791" s="97">
        <f t="shared" si="315"/>
        <v>0</v>
      </c>
      <c r="X791" s="97">
        <f t="shared" si="315"/>
        <v>0</v>
      </c>
      <c r="Y791" s="97"/>
      <c r="Z791" s="16" t="str">
        <f>VLOOKUP($D791,TableInputsData[],ReadMe!$M$3,FALSE)&amp;"  |  "&amp;VLOOKUP($E791,TableInputsData[],ReadMe!$M$3,FALSE)&amp;"  |  "&amp;VLOOKUP($H791,TableInputsData[],ReadMe!$M$3,FALSE)</f>
        <v>SOURCE DE FINANCEMENT  |  SOURCE DE FINANCEMENT  |  TOTAL</v>
      </c>
      <c r="AA791" s="16"/>
      <c r="AB791" s="27"/>
      <c r="AC791" s="27">
        <v>1</v>
      </c>
      <c r="AD791" s="27"/>
      <c r="AE791" s="27"/>
      <c r="AF791" s="27">
        <v>1</v>
      </c>
      <c r="AG791" s="27"/>
      <c r="AH791" s="533"/>
      <c r="AI791" s="294"/>
    </row>
    <row r="792" spans="1:35" x14ac:dyDescent="0.2">
      <c r="A792" s="294"/>
      <c r="B792" s="922"/>
      <c r="C792" s="66">
        <v>7</v>
      </c>
      <c r="D792" s="3"/>
      <c r="E792" s="3"/>
      <c r="F792" s="3"/>
      <c r="G792" s="3"/>
      <c r="H792" s="5"/>
      <c r="I792" s="124"/>
      <c r="J792" s="125"/>
      <c r="K792" s="125"/>
      <c r="L792" s="96"/>
      <c r="M792" s="118"/>
      <c r="N792" s="861"/>
      <c r="O792" s="4"/>
      <c r="P792" s="4"/>
      <c r="Q792" s="4"/>
      <c r="R792" s="4"/>
      <c r="S792" s="4"/>
      <c r="T792" s="4"/>
      <c r="U792" s="4"/>
      <c r="V792" s="4"/>
      <c r="W792" s="4"/>
      <c r="X792" s="4"/>
      <c r="Y792" s="4"/>
      <c r="Z792" s="3"/>
      <c r="AA792" s="3"/>
      <c r="AB792" s="34"/>
      <c r="AC792" s="34"/>
      <c r="AD792" s="34"/>
      <c r="AE792" s="26"/>
      <c r="AF792" s="34"/>
      <c r="AG792" s="34"/>
      <c r="AH792" s="535"/>
      <c r="AI792" s="294"/>
    </row>
    <row r="793" spans="1:35" x14ac:dyDescent="0.2">
      <c r="A793" s="294"/>
      <c r="B793" s="922"/>
      <c r="C793" s="66">
        <v>7</v>
      </c>
      <c r="D793" s="3" t="s">
        <v>951</v>
      </c>
      <c r="E793" s="3" t="s">
        <v>956</v>
      </c>
      <c r="F793" s="3" t="s">
        <v>21</v>
      </c>
      <c r="G793" s="3"/>
      <c r="H793" s="124" t="s">
        <v>2058</v>
      </c>
      <c r="I793" s="124" t="s">
        <v>2056</v>
      </c>
      <c r="J793" s="782">
        <f>InputsData!$J$125</f>
        <v>5</v>
      </c>
      <c r="K793" s="125"/>
      <c r="L793" s="96"/>
      <c r="M793" s="118"/>
      <c r="N793" s="861"/>
      <c r="O793" s="4"/>
      <c r="P793" s="4"/>
      <c r="Q793" s="4"/>
      <c r="R793" s="4"/>
      <c r="S793" s="504">
        <v>0</v>
      </c>
      <c r="T793" s="504">
        <v>0</v>
      </c>
      <c r="U793" s="504">
        <v>1</v>
      </c>
      <c r="V793" s="504">
        <v>1</v>
      </c>
      <c r="W793" s="504">
        <v>1</v>
      </c>
      <c r="X793" s="504">
        <v>1</v>
      </c>
      <c r="Y793" s="604"/>
      <c r="Z793" s="3" t="str">
        <f>VLOOKUP($D793,TableInputsData[],ReadMe!$M$3,FALSE)&amp;"  |  "&amp;VLOOKUP($E793,TableInputsData[],ReadMe!$M$3,FALSE)&amp;"  |  "&amp;VLOOKUP($H793,TableInputsData[],ReadMe!$M$3,FALSE)</f>
        <v>SOURCE DE FINANCEMENT  |  MONTANT DU PRINCIPAL DU PRET DE OVO  |  PERIODE DE REMBOURSEMENT ET PERIODE DE GRACE</v>
      </c>
      <c r="AA793" s="3"/>
      <c r="AB793" s="34"/>
      <c r="AC793" s="34"/>
      <c r="AD793" s="34"/>
      <c r="AE793" s="26"/>
      <c r="AF793" s="34">
        <v>1</v>
      </c>
      <c r="AG793" s="34"/>
      <c r="AH793" s="535"/>
      <c r="AI793" s="294"/>
    </row>
    <row r="794" spans="1:35" x14ac:dyDescent="0.2">
      <c r="A794" s="294"/>
      <c r="B794" s="922"/>
      <c r="C794" s="66">
        <v>7</v>
      </c>
      <c r="D794" s="3" t="s">
        <v>951</v>
      </c>
      <c r="E794" s="3" t="s">
        <v>956</v>
      </c>
      <c r="F794" s="3" t="s">
        <v>21</v>
      </c>
      <c r="G794" s="3"/>
      <c r="H794" s="124" t="s">
        <v>954</v>
      </c>
      <c r="I794" s="124" t="str">
        <f t="shared" ref="I794:I798" si="316">"TOTAL PERIOD "&amp;S$5&amp;":"&amp;X$5&amp;" --&gt;"</f>
        <v>TOTAL PERIOD 2025:2030 --&gt;</v>
      </c>
      <c r="J794" s="125">
        <f t="shared" ref="J794:J799" si="317">SUM(S794:X794)</f>
        <v>0</v>
      </c>
      <c r="K794" s="125"/>
      <c r="L794" s="96"/>
      <c r="M794" s="118"/>
      <c r="N794" s="861"/>
      <c r="O794" s="4"/>
      <c r="P794" s="4"/>
      <c r="Q794" s="4"/>
      <c r="R794" s="4"/>
      <c r="S794" s="504">
        <f>(S785*S793)/(J793*2)</f>
        <v>0</v>
      </c>
      <c r="T794" s="504">
        <f>IF(SUM($S$794:S$795)=SUM($S$785:S$785),0,SUM($S$785:S$785)/($J793*2))*T793</f>
        <v>0</v>
      </c>
      <c r="U794" s="504">
        <f>IF(SUM($S$794:T$795)=SUM($S$785:T$785),0,SUM($S$785:T$785)/($J793*2))*U793</f>
        <v>0</v>
      </c>
      <c r="V794" s="504">
        <f>IF(SUM($S$794:U$795)=SUM($S$785:U$785),0,SUM($S$785:U$785)/($J793*2))*V793</f>
        <v>0</v>
      </c>
      <c r="W794" s="504">
        <f>IF(SUM($S$794:V$795)=SUM($S$785:V$785),0,SUM($S$785:V$785)/($J793*2))*W793</f>
        <v>0</v>
      </c>
      <c r="X794" s="504">
        <f>IF(SUM($S$794:W$795)=SUM($S$785:W$785),0,SUM($S$785:W$785)/($J793*2))*X793</f>
        <v>0</v>
      </c>
      <c r="Y794" s="604"/>
      <c r="Z794" s="3" t="str">
        <f>VLOOKUP($D794,TableInputsData[],ReadMe!$M$3,FALSE)&amp;"  |  "&amp;VLOOKUP($E794,TableInputsData[],ReadMe!$M$3,FALSE)&amp;"  |  "&amp;VLOOKUP($H794,TableInputsData[],ReadMe!$M$3,FALSE)</f>
        <v>SOURCE DE FINANCEMENT  |  MONTANT DU PRINCIPAL DU PRET DE OVO  |  SEMESTRE 1</v>
      </c>
      <c r="AA794" s="3"/>
      <c r="AB794" s="34"/>
      <c r="AC794" s="34"/>
      <c r="AD794" s="34"/>
      <c r="AE794" s="26"/>
      <c r="AF794" s="34">
        <v>1</v>
      </c>
      <c r="AG794" s="34"/>
      <c r="AH794" s="535"/>
      <c r="AI794" s="294"/>
    </row>
    <row r="795" spans="1:35" x14ac:dyDescent="0.2">
      <c r="A795" s="294"/>
      <c r="B795" s="922"/>
      <c r="C795" s="66">
        <v>7</v>
      </c>
      <c r="D795" s="3" t="s">
        <v>951</v>
      </c>
      <c r="E795" s="3" t="s">
        <v>956</v>
      </c>
      <c r="F795" s="3" t="s">
        <v>21</v>
      </c>
      <c r="G795" s="3"/>
      <c r="H795" s="124" t="s">
        <v>955</v>
      </c>
      <c r="I795" s="124" t="str">
        <f>"TOTAL PERIOD "&amp;S$5&amp;":"&amp;X$5&amp;" --&gt;"</f>
        <v>TOTAL PERIOD 2025:2030 --&gt;</v>
      </c>
      <c r="J795" s="125">
        <f t="shared" si="317"/>
        <v>0</v>
      </c>
      <c r="K795" s="125"/>
      <c r="L795" s="96"/>
      <c r="M795" s="118"/>
      <c r="N795" s="861"/>
      <c r="O795" s="4"/>
      <c r="P795" s="4"/>
      <c r="Q795" s="4"/>
      <c r="R795" s="4"/>
      <c r="S795" s="504">
        <f>(S785*S793)/(J793*2)</f>
        <v>0</v>
      </c>
      <c r="T795" s="504">
        <f>IF(SUM($S$794:S$795)+T794=SUM($S$785:S$785),0,SUM($S$785:S$785)/($J793*2))*T793</f>
        <v>0</v>
      </c>
      <c r="U795" s="504">
        <f>IF(SUM($S$794:T$795)+U794=SUM($S$785:T$785),0,SUM($S$785:T$785)/($J793*2))*U793</f>
        <v>0</v>
      </c>
      <c r="V795" s="504">
        <f>IF(SUM($S$794:U$795)+V794=SUM($S$785:U$785),0,SUM($S$785:U$785)/($J793*2))*V793</f>
        <v>0</v>
      </c>
      <c r="W795" s="504">
        <f>IF(SUM($S$794:V$795)+W794=SUM($S$785:V$785),0,SUM($S$785:V$785)/($J793*2))*W793</f>
        <v>0</v>
      </c>
      <c r="X795" s="504">
        <f>IF(SUM($S$794:W$795)+X794=SUM($S$785:W$785),0,SUM($S$785:W$785)/($J793*2))*X793</f>
        <v>0</v>
      </c>
      <c r="Y795" s="604"/>
      <c r="Z795" s="3" t="str">
        <f>VLOOKUP($D795,TableInputsData[],ReadMe!$M$3,FALSE)&amp;"  |  "&amp;VLOOKUP($E795,TableInputsData[],ReadMe!$M$3,FALSE)&amp;"  |  "&amp;VLOOKUP($H795,TableInputsData[],ReadMe!$M$3,FALSE)</f>
        <v>SOURCE DE FINANCEMENT  |  MONTANT DU PRINCIPAL DU PRET DE OVO  |  SEMESTRE 2</v>
      </c>
      <c r="AA795" s="3"/>
      <c r="AB795" s="34"/>
      <c r="AC795" s="34"/>
      <c r="AD795" s="34"/>
      <c r="AE795" s="26"/>
      <c r="AF795" s="34">
        <v>1</v>
      </c>
      <c r="AG795" s="34"/>
      <c r="AH795" s="535"/>
      <c r="AI795" s="294"/>
    </row>
    <row r="796" spans="1:35" x14ac:dyDescent="0.2">
      <c r="A796" s="294"/>
      <c r="B796" s="922"/>
      <c r="C796" s="67">
        <v>7</v>
      </c>
      <c r="D796" s="16" t="s">
        <v>951</v>
      </c>
      <c r="E796" s="16" t="s">
        <v>956</v>
      </c>
      <c r="F796" s="16" t="s">
        <v>21</v>
      </c>
      <c r="G796" s="16"/>
      <c r="H796" s="17" t="s">
        <v>29</v>
      </c>
      <c r="I796" s="145" t="str">
        <f t="shared" si="316"/>
        <v>TOTAL PERIOD 2025:2030 --&gt;</v>
      </c>
      <c r="J796" s="146">
        <f t="shared" si="317"/>
        <v>0</v>
      </c>
      <c r="K796" s="27"/>
      <c r="L796" s="97"/>
      <c r="M796" s="112"/>
      <c r="N796" s="18"/>
      <c r="O796" s="97"/>
      <c r="P796" s="97"/>
      <c r="Q796" s="97"/>
      <c r="R796" s="97"/>
      <c r="S796" s="97">
        <f>S794+S795</f>
        <v>0</v>
      </c>
      <c r="T796" s="97">
        <f t="shared" ref="T796:X796" si="318">T794+T795</f>
        <v>0</v>
      </c>
      <c r="U796" s="97">
        <f t="shared" si="318"/>
        <v>0</v>
      </c>
      <c r="V796" s="97">
        <f t="shared" si="318"/>
        <v>0</v>
      </c>
      <c r="W796" s="97">
        <f t="shared" si="318"/>
        <v>0</v>
      </c>
      <c r="X796" s="97">
        <f t="shared" si="318"/>
        <v>0</v>
      </c>
      <c r="Y796" s="145">
        <f>SUM($S$785:$X$785)-SUM($S$796:$X$796)</f>
        <v>0</v>
      </c>
      <c r="Z796" s="16" t="str">
        <f>VLOOKUP($D796,TableInputsData[],ReadMe!$M$3,FALSE)&amp;"  |  "&amp;VLOOKUP($E796,TableInputsData[],ReadMe!$M$3,FALSE)&amp;"  |  "&amp;VLOOKUP($H796,TableInputsData[],ReadMe!$M$3,FALSE)</f>
        <v>SOURCE DE FINANCEMENT  |  MONTANT DU PRINCIPAL DU PRET DE OVO  |  TOTAL</v>
      </c>
      <c r="AA796" s="16"/>
      <c r="AB796" s="27"/>
      <c r="AC796" s="27">
        <v>1</v>
      </c>
      <c r="AD796" s="27"/>
      <c r="AE796" s="27"/>
      <c r="AF796" s="27">
        <v>1</v>
      </c>
      <c r="AG796" s="27"/>
      <c r="AH796" s="533"/>
      <c r="AI796" s="294"/>
    </row>
    <row r="797" spans="1:35" x14ac:dyDescent="0.2">
      <c r="A797" s="294"/>
      <c r="B797" s="922"/>
      <c r="C797" s="66">
        <v>7</v>
      </c>
      <c r="D797" s="3" t="s">
        <v>951</v>
      </c>
      <c r="E797" s="3" t="s">
        <v>957</v>
      </c>
      <c r="F797" s="3" t="s">
        <v>21</v>
      </c>
      <c r="G797" s="3"/>
      <c r="H797" s="124" t="s">
        <v>909</v>
      </c>
      <c r="I797" s="610" t="s">
        <v>2057</v>
      </c>
      <c r="J797" s="781">
        <f>InputsData!$I$125</f>
        <v>7.0000000000000007E-2</v>
      </c>
      <c r="K797" s="125"/>
      <c r="L797" s="96"/>
      <c r="M797" s="118"/>
      <c r="N797" s="861"/>
      <c r="O797" s="4"/>
      <c r="P797" s="4"/>
      <c r="Q797" s="4"/>
      <c r="R797" s="4"/>
      <c r="S797" s="868">
        <f>InputsData!$I$125</f>
        <v>7.0000000000000007E-2</v>
      </c>
      <c r="T797" s="868">
        <f>InputsData!$I$125</f>
        <v>7.0000000000000007E-2</v>
      </c>
      <c r="U797" s="868">
        <f>InputsData!$I$125</f>
        <v>7.0000000000000007E-2</v>
      </c>
      <c r="V797" s="868">
        <f>InputsData!$I$125</f>
        <v>7.0000000000000007E-2</v>
      </c>
      <c r="W797" s="868">
        <f>InputsData!$I$125</f>
        <v>7.0000000000000007E-2</v>
      </c>
      <c r="X797" s="868">
        <f>InputsData!$I$125</f>
        <v>7.0000000000000007E-2</v>
      </c>
      <c r="Y797" s="4"/>
      <c r="Z797" s="3" t="str">
        <f>VLOOKUP($D797,TableInputsData[],ReadMe!$M$3,FALSE)&amp;"  |  "&amp;VLOOKUP($E797,TableInputsData[],ReadMe!$M$3,FALSE)&amp;"  |  "&amp;VLOOKUP($H797,TableInputsData[],ReadMe!$M$3,FALSE)</f>
        <v>SOURCE DE FINANCEMENT  |  INTERETS DU PRET D'OVO  |  INTERETS</v>
      </c>
      <c r="AA797" s="3"/>
      <c r="AB797" s="34"/>
      <c r="AC797" s="34"/>
      <c r="AD797" s="34"/>
      <c r="AE797" s="26"/>
      <c r="AF797" s="34">
        <v>1</v>
      </c>
      <c r="AG797" s="34"/>
      <c r="AH797" s="535"/>
      <c r="AI797" s="294"/>
    </row>
    <row r="798" spans="1:35" x14ac:dyDescent="0.2">
      <c r="A798" s="294"/>
      <c r="B798" s="922"/>
      <c r="C798" s="66">
        <v>7</v>
      </c>
      <c r="D798" s="3" t="s">
        <v>951</v>
      </c>
      <c r="E798" s="3" t="s">
        <v>957</v>
      </c>
      <c r="F798" s="3" t="s">
        <v>21</v>
      </c>
      <c r="G798" s="3"/>
      <c r="H798" s="124" t="s">
        <v>954</v>
      </c>
      <c r="I798" s="124" t="str">
        <f t="shared" si="316"/>
        <v>TOTAL PERIOD 2025:2030 --&gt;</v>
      </c>
      <c r="J798" s="125">
        <f t="shared" si="317"/>
        <v>0</v>
      </c>
      <c r="K798" s="125"/>
      <c r="L798" s="96"/>
      <c r="M798" s="118"/>
      <c r="N798" s="861"/>
      <c r="O798" s="4"/>
      <c r="P798" s="4"/>
      <c r="Q798" s="4"/>
      <c r="R798" s="4"/>
      <c r="S798" s="4">
        <v>0</v>
      </c>
      <c r="T798" s="4">
        <f>(SUM($S$785:T$785)-SUM($S$794:S$795))*$T797/2</f>
        <v>0</v>
      </c>
      <c r="U798" s="4">
        <f>(SUM($S$785:U$785)-SUM($S$794:T$795))*$U797/2</f>
        <v>0</v>
      </c>
      <c r="V798" s="4">
        <f>(SUM($S$785:V$785)-SUM($S$794:U$795))*$V797/2</f>
        <v>0</v>
      </c>
      <c r="W798" s="4">
        <f>(SUM($S$785:W$785)-SUM($S$794:V$795))*$W797/2</f>
        <v>0</v>
      </c>
      <c r="X798" s="4">
        <f>(SUM($S$785:X$785)-SUM($S$794:W$795))*$X797/2</f>
        <v>0</v>
      </c>
      <c r="Y798" s="4"/>
      <c r="Z798" s="3" t="str">
        <f>VLOOKUP($D798,TableInputsData[],ReadMe!$M$3,FALSE)&amp;"  |  "&amp;VLOOKUP($E798,TableInputsData[],ReadMe!$M$3,FALSE)&amp;"  |  "&amp;VLOOKUP($H798,TableInputsData[],ReadMe!$M$3,FALSE)</f>
        <v>SOURCE DE FINANCEMENT  |  INTERETS DU PRET D'OVO  |  SEMESTRE 1</v>
      </c>
      <c r="AA798" s="3"/>
      <c r="AB798" s="34"/>
      <c r="AC798" s="34"/>
      <c r="AD798" s="34"/>
      <c r="AE798" s="26"/>
      <c r="AF798" s="34">
        <v>1</v>
      </c>
      <c r="AG798" s="34"/>
      <c r="AH798" s="535"/>
      <c r="AI798" s="294"/>
    </row>
    <row r="799" spans="1:35" x14ac:dyDescent="0.2">
      <c r="A799" s="294"/>
      <c r="B799" s="922"/>
      <c r="C799" s="66">
        <v>7</v>
      </c>
      <c r="D799" s="3" t="s">
        <v>951</v>
      </c>
      <c r="E799" s="3" t="s">
        <v>957</v>
      </c>
      <c r="F799" s="3" t="s">
        <v>21</v>
      </c>
      <c r="G799" s="3"/>
      <c r="H799" s="124" t="s">
        <v>955</v>
      </c>
      <c r="I799" s="124" t="str">
        <f>"TOTAL PERIOD "&amp;S$5&amp;":"&amp;X$5&amp;" --&gt;"</f>
        <v>TOTAL PERIOD 2025:2030 --&gt;</v>
      </c>
      <c r="J799" s="125">
        <f t="shared" si="317"/>
        <v>0</v>
      </c>
      <c r="K799" s="125"/>
      <c r="L799" s="96"/>
      <c r="M799" s="118"/>
      <c r="N799" s="861"/>
      <c r="O799" s="4"/>
      <c r="P799" s="4"/>
      <c r="Q799" s="4"/>
      <c r="R799" s="4"/>
      <c r="S799" s="4">
        <f>(SUM($S$785:S$785)-SUM($S$794:S$794))*$S797/2</f>
        <v>0</v>
      </c>
      <c r="T799" s="4">
        <f>(SUM($S$785:T$785)-SUM($S$794:S$795)-T794)*$T797/2</f>
        <v>0</v>
      </c>
      <c r="U799" s="4">
        <f>(SUM($S$785:U$785)-SUM($S$794:T$795)-U794)*$U797/2</f>
        <v>0</v>
      </c>
      <c r="V799" s="4">
        <f>(SUM($S$785:V$785)-SUM($S$794:U$795)-V794)*$V797/2</f>
        <v>0</v>
      </c>
      <c r="W799" s="4">
        <f>(SUM($S$785:W$785)-SUM($S$794:V$795)-W794)*$W797/2</f>
        <v>0</v>
      </c>
      <c r="X799" s="4">
        <f>(SUM($S$785:X$785)-SUM($S$794:W$795)-X794)*$X797/2</f>
        <v>0</v>
      </c>
      <c r="Y799" s="4"/>
      <c r="Z799" s="3" t="str">
        <f>VLOOKUP($D799,TableInputsData[],ReadMe!$M$3,FALSE)&amp;"  |  "&amp;VLOOKUP($E799,TableInputsData[],ReadMe!$M$3,FALSE)&amp;"  |  "&amp;VLOOKUP($H799,TableInputsData[],ReadMe!$M$3,FALSE)</f>
        <v>SOURCE DE FINANCEMENT  |  INTERETS DU PRET D'OVO  |  SEMESTRE 2</v>
      </c>
      <c r="AA799" s="3"/>
      <c r="AB799" s="34"/>
      <c r="AC799" s="34"/>
      <c r="AD799" s="34"/>
      <c r="AE799" s="26"/>
      <c r="AF799" s="34">
        <v>1</v>
      </c>
      <c r="AG799" s="34"/>
      <c r="AH799" s="535"/>
      <c r="AI799" s="294"/>
    </row>
    <row r="800" spans="1:35" x14ac:dyDescent="0.2">
      <c r="A800" s="294"/>
      <c r="B800" s="922"/>
      <c r="C800" s="67">
        <v>7</v>
      </c>
      <c r="D800" s="16" t="s">
        <v>951</v>
      </c>
      <c r="E800" s="16" t="s">
        <v>957</v>
      </c>
      <c r="F800" s="16" t="s">
        <v>21</v>
      </c>
      <c r="G800" s="16"/>
      <c r="H800" s="17" t="s">
        <v>29</v>
      </c>
      <c r="I800" s="145" t="str">
        <f t="shared" ref="I800" si="319">"TOTAL PERIOD "&amp;S$5&amp;":"&amp;X$5&amp;" --&gt;"</f>
        <v>TOTAL PERIOD 2025:2030 --&gt;</v>
      </c>
      <c r="J800" s="146">
        <f t="shared" ref="J800" si="320">SUM(S800:X800)</f>
        <v>0</v>
      </c>
      <c r="K800" s="27"/>
      <c r="L800" s="97"/>
      <c r="M800" s="112"/>
      <c r="N800" s="18"/>
      <c r="O800" s="97"/>
      <c r="P800" s="97"/>
      <c r="Q800" s="97"/>
      <c r="R800" s="97"/>
      <c r="S800" s="97">
        <f t="shared" ref="S800:X800" si="321">S798+S799</f>
        <v>0</v>
      </c>
      <c r="T800" s="97">
        <f t="shared" si="321"/>
        <v>0</v>
      </c>
      <c r="U800" s="97">
        <f t="shared" si="321"/>
        <v>0</v>
      </c>
      <c r="V800" s="97">
        <f t="shared" si="321"/>
        <v>0</v>
      </c>
      <c r="W800" s="97">
        <f t="shared" si="321"/>
        <v>0</v>
      </c>
      <c r="X800" s="97">
        <f t="shared" si="321"/>
        <v>0</v>
      </c>
      <c r="Y800" s="97"/>
      <c r="Z800" s="16" t="str">
        <f>VLOOKUP($D800,TableInputsData[],ReadMe!$M$3,FALSE)&amp;"  |  "&amp;VLOOKUP($E800,TableInputsData[],ReadMe!$M$3,FALSE)&amp;"  |  "&amp;VLOOKUP($H800,TableInputsData[],ReadMe!$M$3,FALSE)</f>
        <v>SOURCE DE FINANCEMENT  |  INTERETS DU PRET D'OVO  |  TOTAL</v>
      </c>
      <c r="AA800" s="16"/>
      <c r="AB800" s="27"/>
      <c r="AC800" s="27">
        <v>1</v>
      </c>
      <c r="AD800" s="27"/>
      <c r="AE800" s="27"/>
      <c r="AF800" s="27">
        <v>1</v>
      </c>
      <c r="AG800" s="27"/>
      <c r="AH800" s="533"/>
      <c r="AI800" s="294"/>
    </row>
    <row r="801" spans="1:35" x14ac:dyDescent="0.2">
      <c r="A801" s="294"/>
      <c r="B801" s="922"/>
      <c r="C801" s="66">
        <v>7</v>
      </c>
      <c r="D801" s="3"/>
      <c r="E801" s="3"/>
      <c r="F801" s="3"/>
      <c r="G801" s="3"/>
      <c r="H801" s="5"/>
      <c r="I801" s="124"/>
      <c r="J801" s="125"/>
      <c r="K801" s="125"/>
      <c r="L801" s="96"/>
      <c r="M801" s="118"/>
      <c r="N801" s="861"/>
      <c r="O801" s="4"/>
      <c r="P801" s="4"/>
      <c r="Q801" s="4"/>
      <c r="R801" s="4"/>
      <c r="S801" s="4"/>
      <c r="T801" s="4"/>
      <c r="U801" s="4"/>
      <c r="V801" s="4"/>
      <c r="W801" s="4"/>
      <c r="X801" s="4"/>
      <c r="Y801" s="4"/>
      <c r="Z801" s="3"/>
      <c r="AA801" s="3"/>
      <c r="AB801" s="34"/>
      <c r="AC801" s="34"/>
      <c r="AD801" s="34"/>
      <c r="AE801" s="26"/>
      <c r="AF801" s="34"/>
      <c r="AG801" s="34"/>
      <c r="AH801" s="535"/>
      <c r="AI801" s="294"/>
    </row>
    <row r="802" spans="1:35" x14ac:dyDescent="0.2">
      <c r="A802" s="294"/>
      <c r="B802" s="922"/>
      <c r="C802" s="66">
        <v>7</v>
      </c>
      <c r="D802" s="3" t="s">
        <v>951</v>
      </c>
      <c r="E802" s="3" t="s">
        <v>958</v>
      </c>
      <c r="F802" s="3" t="s">
        <v>21</v>
      </c>
      <c r="G802" s="3"/>
      <c r="H802" s="124" t="s">
        <v>2058</v>
      </c>
      <c r="I802" s="124" t="s">
        <v>2056</v>
      </c>
      <c r="J802" s="782">
        <f>InputsData!$J$126</f>
        <v>3</v>
      </c>
      <c r="K802" s="125"/>
      <c r="L802" s="96"/>
      <c r="M802" s="118"/>
      <c r="N802" s="861"/>
      <c r="O802" s="4"/>
      <c r="P802" s="4"/>
      <c r="Q802" s="4"/>
      <c r="R802" s="4"/>
      <c r="S802" s="504">
        <v>0</v>
      </c>
      <c r="T802" s="504">
        <v>1</v>
      </c>
      <c r="U802" s="504">
        <v>1</v>
      </c>
      <c r="V802" s="504">
        <v>1</v>
      </c>
      <c r="W802" s="504">
        <v>1</v>
      </c>
      <c r="X802" s="504">
        <v>1</v>
      </c>
      <c r="Y802" s="604"/>
      <c r="Z802" s="3" t="str">
        <f>VLOOKUP($D802,TableInputsData[],ReadMe!$M$3,FALSE)&amp;"  |  "&amp;VLOOKUP($E802,TableInputsData[],ReadMe!$M$3,FALSE)&amp;"  |  "&amp;VLOOKUP($H802,TableInputsData[],ReadMe!$M$3,FALSE)</f>
        <v>SOURCE DE FINANCEMENT  |  MONTANT DU PRINCIPAL DU PRET DE LA FAMILLE ET DES AMIS  |  PERIODE DE REMBOURSEMENT ET PERIODE DE GRACE</v>
      </c>
      <c r="AA802" s="3"/>
      <c r="AB802" s="34"/>
      <c r="AC802" s="34"/>
      <c r="AD802" s="34"/>
      <c r="AE802" s="26"/>
      <c r="AF802" s="34">
        <v>1</v>
      </c>
      <c r="AG802" s="34"/>
      <c r="AH802" s="535"/>
      <c r="AI802" s="294"/>
    </row>
    <row r="803" spans="1:35" x14ac:dyDescent="0.2">
      <c r="A803" s="294"/>
      <c r="B803" s="922"/>
      <c r="C803" s="66">
        <v>7</v>
      </c>
      <c r="D803" s="3" t="s">
        <v>951</v>
      </c>
      <c r="E803" s="3" t="s">
        <v>958</v>
      </c>
      <c r="F803" s="3" t="s">
        <v>21</v>
      </c>
      <c r="G803" s="3"/>
      <c r="H803" s="124" t="s">
        <v>954</v>
      </c>
      <c r="I803" s="124" t="str">
        <f t="shared" ref="I803:I805" si="322">"TOTAL PERIOD "&amp;S$5&amp;":"&amp;X$5&amp;" --&gt;"</f>
        <v>TOTAL PERIOD 2025:2030 --&gt;</v>
      </c>
      <c r="J803" s="125">
        <f t="shared" ref="J803:J804" si="323">SUM(S803:X803)</f>
        <v>0</v>
      </c>
      <c r="K803" s="125"/>
      <c r="L803" s="96"/>
      <c r="M803" s="118"/>
      <c r="N803" s="861"/>
      <c r="O803" s="4"/>
      <c r="P803" s="4"/>
      <c r="Q803" s="4"/>
      <c r="R803" s="4"/>
      <c r="S803" s="504">
        <f>(S786*S802)/(J802*2)</f>
        <v>0</v>
      </c>
      <c r="T803" s="504">
        <f>IF(SUM($S$803:S$804)=SUM($S$786:S$786),0,SUM($S$786:S$786)/($J802*2))*T802</f>
        <v>0</v>
      </c>
      <c r="U803" s="504">
        <f>IF(SUM($S$803:T$804)=SUM($S$786:T$786),0,SUM($S$786:T$786)/($J802*2))*U802</f>
        <v>0</v>
      </c>
      <c r="V803" s="504">
        <f>IF(SUM($S$803:U$804)=SUM($S$786:U$786),0,SUM($S$786:U$786)/($J802*2))*V802</f>
        <v>0</v>
      </c>
      <c r="W803" s="504">
        <f>IF(SUM($S$803:V$804)=SUM($S$786:V$786),0,SUM($S$786:V$786)/($J802*2))*W802</f>
        <v>0</v>
      </c>
      <c r="X803" s="504">
        <f>IF(SUM($S$803:W$804)=SUM($S$786:W$786),0,SUM($S$786:W$786)/($J802*2))*X802</f>
        <v>0</v>
      </c>
      <c r="Y803" s="604"/>
      <c r="Z803" s="3" t="str">
        <f>VLOOKUP($D803,TableInputsData[],ReadMe!$M$3,FALSE)&amp;"  |  "&amp;VLOOKUP($E803,TableInputsData[],ReadMe!$M$3,FALSE)&amp;"  |  "&amp;VLOOKUP($H803,TableInputsData[],ReadMe!$M$3,FALSE)</f>
        <v>SOURCE DE FINANCEMENT  |  MONTANT DU PRINCIPAL DU PRET DE LA FAMILLE ET DES AMIS  |  SEMESTRE 1</v>
      </c>
      <c r="AA803" s="3"/>
      <c r="AB803" s="34"/>
      <c r="AC803" s="34"/>
      <c r="AD803" s="34"/>
      <c r="AE803" s="26"/>
      <c r="AF803" s="34">
        <v>1</v>
      </c>
      <c r="AG803" s="34"/>
      <c r="AH803" s="535"/>
      <c r="AI803" s="294"/>
    </row>
    <row r="804" spans="1:35" x14ac:dyDescent="0.2">
      <c r="A804" s="294"/>
      <c r="B804" s="922"/>
      <c r="C804" s="66">
        <v>7</v>
      </c>
      <c r="D804" s="3" t="s">
        <v>951</v>
      </c>
      <c r="E804" s="3" t="s">
        <v>958</v>
      </c>
      <c r="F804" s="3" t="s">
        <v>21</v>
      </c>
      <c r="G804" s="3"/>
      <c r="H804" s="124" t="s">
        <v>955</v>
      </c>
      <c r="I804" s="124" t="str">
        <f>"TOTAL PERIOD "&amp;S$5&amp;":"&amp;X$5&amp;" --&gt;"</f>
        <v>TOTAL PERIOD 2025:2030 --&gt;</v>
      </c>
      <c r="J804" s="125">
        <f t="shared" si="323"/>
        <v>0</v>
      </c>
      <c r="K804" s="125"/>
      <c r="L804" s="96"/>
      <c r="M804" s="118"/>
      <c r="N804" s="861"/>
      <c r="O804" s="4"/>
      <c r="P804" s="4"/>
      <c r="Q804" s="4"/>
      <c r="R804" s="4"/>
      <c r="S804" s="504">
        <f>(S786*S802)/(J802*2)</f>
        <v>0</v>
      </c>
      <c r="T804" s="504">
        <f>IF(SUM($S$803:S$804)+T803=SUM($S$786:S$786),0,SUM($S$786:S$786)/($J802*2))</f>
        <v>0</v>
      </c>
      <c r="U804" s="504">
        <f>IF(SUM($S$803:T$804)+U803=SUM($S$786:T$786),0,SUM($S$786:T$786)/($J802*2))</f>
        <v>0</v>
      </c>
      <c r="V804" s="504">
        <f>IF(SUM($S$803:U$804)+V803=SUM($S$786:U$786),0,SUM($S$786:U$786)/($J802*2))</f>
        <v>0</v>
      </c>
      <c r="W804" s="504">
        <f>IF(SUM($S$803:V$804)+W803=SUM($S$786:V$786),0,SUM($S$786:V$786)/($J802*2))</f>
        <v>0</v>
      </c>
      <c r="X804" s="504">
        <f>IF(SUM($S$803:W$804)+X803=SUM($S$786:W$786),0,SUM($S$786:W$786)/($J802*2))</f>
        <v>0</v>
      </c>
      <c r="Y804" s="604"/>
      <c r="Z804" s="3" t="str">
        <f>VLOOKUP($D804,TableInputsData[],ReadMe!$M$3,FALSE)&amp;"  |  "&amp;VLOOKUP($E804,TableInputsData[],ReadMe!$M$3,FALSE)&amp;"  |  "&amp;VLOOKUP($H804,TableInputsData[],ReadMe!$M$3,FALSE)</f>
        <v>SOURCE DE FINANCEMENT  |  MONTANT DU PRINCIPAL DU PRET DE LA FAMILLE ET DES AMIS  |  SEMESTRE 2</v>
      </c>
      <c r="AA804" s="3"/>
      <c r="AB804" s="34"/>
      <c r="AC804" s="34"/>
      <c r="AD804" s="34"/>
      <c r="AE804" s="26"/>
      <c r="AF804" s="34">
        <v>1</v>
      </c>
      <c r="AG804" s="34"/>
      <c r="AH804" s="535"/>
      <c r="AI804" s="294"/>
    </row>
    <row r="805" spans="1:35" x14ac:dyDescent="0.2">
      <c r="A805" s="294"/>
      <c r="B805" s="922"/>
      <c r="C805" s="67">
        <v>7</v>
      </c>
      <c r="D805" s="16" t="s">
        <v>951</v>
      </c>
      <c r="E805" s="16" t="s">
        <v>958</v>
      </c>
      <c r="F805" s="16" t="s">
        <v>21</v>
      </c>
      <c r="G805" s="16"/>
      <c r="H805" s="17" t="s">
        <v>29</v>
      </c>
      <c r="I805" s="145" t="str">
        <f t="shared" si="322"/>
        <v>TOTAL PERIOD 2025:2030 --&gt;</v>
      </c>
      <c r="J805" s="146">
        <f>J803+J804</f>
        <v>0</v>
      </c>
      <c r="K805" s="27"/>
      <c r="L805" s="97"/>
      <c r="M805" s="112"/>
      <c r="N805" s="18"/>
      <c r="O805" s="97"/>
      <c r="P805" s="97"/>
      <c r="Q805" s="97"/>
      <c r="R805" s="97"/>
      <c r="S805" s="97">
        <f t="shared" ref="S805:X805" si="324">S803+S804</f>
        <v>0</v>
      </c>
      <c r="T805" s="97">
        <f t="shared" si="324"/>
        <v>0</v>
      </c>
      <c r="U805" s="97">
        <f t="shared" si="324"/>
        <v>0</v>
      </c>
      <c r="V805" s="97">
        <f t="shared" si="324"/>
        <v>0</v>
      </c>
      <c r="W805" s="97">
        <f t="shared" si="324"/>
        <v>0</v>
      </c>
      <c r="X805" s="97">
        <f t="shared" si="324"/>
        <v>0</v>
      </c>
      <c r="Y805" s="145">
        <f>SUM($S$786:$X$786)-SUM($S$805:$X$805)</f>
        <v>0</v>
      </c>
      <c r="Z805" s="16" t="str">
        <f>VLOOKUP($D805,TableInputsData[],ReadMe!$M$3,FALSE)&amp;"  |  "&amp;VLOOKUP($E805,TableInputsData[],ReadMe!$M$3,FALSE)&amp;"  |  "&amp;VLOOKUP($H805,TableInputsData[],ReadMe!$M$3,FALSE)</f>
        <v>SOURCE DE FINANCEMENT  |  MONTANT DU PRINCIPAL DU PRET DE LA FAMILLE ET DES AMIS  |  TOTAL</v>
      </c>
      <c r="AA805" s="16"/>
      <c r="AB805" s="27"/>
      <c r="AC805" s="27">
        <v>1</v>
      </c>
      <c r="AD805" s="27"/>
      <c r="AE805" s="27"/>
      <c r="AF805" s="27">
        <v>1</v>
      </c>
      <c r="AG805" s="27"/>
      <c r="AH805" s="533"/>
      <c r="AI805" s="294"/>
    </row>
    <row r="806" spans="1:35" x14ac:dyDescent="0.2">
      <c r="A806" s="294"/>
      <c r="B806" s="922"/>
      <c r="C806" s="66">
        <v>7</v>
      </c>
      <c r="D806" s="3" t="s">
        <v>951</v>
      </c>
      <c r="E806" s="3" t="s">
        <v>959</v>
      </c>
      <c r="F806" s="3" t="s">
        <v>21</v>
      </c>
      <c r="G806" s="3"/>
      <c r="H806" s="124" t="s">
        <v>909</v>
      </c>
      <c r="I806" s="610" t="s">
        <v>2057</v>
      </c>
      <c r="J806" s="781">
        <f>InputsData!$I$126</f>
        <v>0.1</v>
      </c>
      <c r="K806" s="125"/>
      <c r="L806" s="96"/>
      <c r="M806" s="118"/>
      <c r="N806" s="861"/>
      <c r="O806" s="4"/>
      <c r="P806" s="4"/>
      <c r="Q806" s="4"/>
      <c r="R806" s="4"/>
      <c r="S806" s="868">
        <f>InputsData!$I$126</f>
        <v>0.1</v>
      </c>
      <c r="T806" s="868">
        <f>InputsData!$I$126</f>
        <v>0.1</v>
      </c>
      <c r="U806" s="868">
        <f>InputsData!$I$126</f>
        <v>0.1</v>
      </c>
      <c r="V806" s="868">
        <f>InputsData!$I$126</f>
        <v>0.1</v>
      </c>
      <c r="W806" s="868">
        <f>InputsData!$I$126</f>
        <v>0.1</v>
      </c>
      <c r="X806" s="868">
        <f>InputsData!$I$126</f>
        <v>0.1</v>
      </c>
      <c r="Y806" s="4"/>
      <c r="Z806" s="3" t="str">
        <f>VLOOKUP($D806,TableInputsData[],ReadMe!$M$3,FALSE)&amp;"  |  "&amp;VLOOKUP($E806,TableInputsData[],ReadMe!$M$3,FALSE)&amp;"  |  "&amp;VLOOKUP($H806,TableInputsData[],ReadMe!$M$3,FALSE)</f>
        <v>SOURCE DE FINANCEMENT  |  INTERETS DU PRET DE LA FAMILLE ET DES AMIS  |  INTERETS</v>
      </c>
      <c r="AA806" s="3"/>
      <c r="AB806" s="34"/>
      <c r="AC806" s="34"/>
      <c r="AD806" s="34"/>
      <c r="AE806" s="26"/>
      <c r="AF806" s="34">
        <v>1</v>
      </c>
      <c r="AG806" s="34"/>
      <c r="AH806" s="535"/>
      <c r="AI806" s="294"/>
    </row>
    <row r="807" spans="1:35" x14ac:dyDescent="0.2">
      <c r="A807" s="294"/>
      <c r="B807" s="922"/>
      <c r="C807" s="66">
        <v>7</v>
      </c>
      <c r="D807" s="3" t="s">
        <v>951</v>
      </c>
      <c r="E807" s="3" t="s">
        <v>959</v>
      </c>
      <c r="F807" s="3" t="s">
        <v>21</v>
      </c>
      <c r="G807" s="3"/>
      <c r="H807" s="124" t="s">
        <v>954</v>
      </c>
      <c r="I807" s="124" t="str">
        <f t="shared" ref="I807" si="325">"TOTAL PERIOD "&amp;S$5&amp;":"&amp;X$5&amp;" --&gt;"</f>
        <v>TOTAL PERIOD 2025:2030 --&gt;</v>
      </c>
      <c r="J807" s="125">
        <f t="shared" ref="J807:J809" si="326">SUM(S807:X807)</f>
        <v>0</v>
      </c>
      <c r="K807" s="125"/>
      <c r="L807" s="96"/>
      <c r="M807" s="118"/>
      <c r="N807" s="861"/>
      <c r="O807" s="4"/>
      <c r="P807" s="4"/>
      <c r="Q807" s="4"/>
      <c r="R807" s="4"/>
      <c r="S807" s="4">
        <v>0</v>
      </c>
      <c r="T807" s="4">
        <f>(SUM($S$786:T$786)-SUM($S$803:S$804))*$T806/2</f>
        <v>0</v>
      </c>
      <c r="U807" s="4">
        <f>(SUM($S$786:U$786)-SUM($S$803:T$804))*$T806/2</f>
        <v>0</v>
      </c>
      <c r="V807" s="4">
        <f>(SUM($S$786:V$786)-SUM($S$803:U$804))*$T806/2</f>
        <v>0</v>
      </c>
      <c r="W807" s="4">
        <f>(SUM($S$786:W$786)-SUM($S$803:V$804))*$T806/2</f>
        <v>0</v>
      </c>
      <c r="X807" s="4">
        <f>(SUM($S$786:X$786)-SUM($S$803:W$804))*$T806/2</f>
        <v>0</v>
      </c>
      <c r="Y807" s="4"/>
      <c r="Z807" s="3" t="str">
        <f>VLOOKUP($D807,TableInputsData[],ReadMe!$M$3,FALSE)&amp;"  |  "&amp;VLOOKUP($E807,TableInputsData[],ReadMe!$M$3,FALSE)&amp;"  |  "&amp;VLOOKUP($H807,TableInputsData[],ReadMe!$M$3,FALSE)</f>
        <v>SOURCE DE FINANCEMENT  |  INTERETS DU PRET DE LA FAMILLE ET DES AMIS  |  SEMESTRE 1</v>
      </c>
      <c r="AA807" s="3"/>
      <c r="AB807" s="34"/>
      <c r="AC807" s="34"/>
      <c r="AD807" s="34"/>
      <c r="AE807" s="26"/>
      <c r="AF807" s="34">
        <v>1</v>
      </c>
      <c r="AG807" s="34"/>
      <c r="AH807" s="535"/>
      <c r="AI807" s="294"/>
    </row>
    <row r="808" spans="1:35" x14ac:dyDescent="0.2">
      <c r="A808" s="294"/>
      <c r="B808" s="922"/>
      <c r="C808" s="66">
        <v>7</v>
      </c>
      <c r="D808" s="3" t="s">
        <v>951</v>
      </c>
      <c r="E808" s="3" t="s">
        <v>959</v>
      </c>
      <c r="F808" s="3" t="s">
        <v>21</v>
      </c>
      <c r="G808" s="3"/>
      <c r="H808" s="124" t="s">
        <v>955</v>
      </c>
      <c r="I808" s="124" t="str">
        <f>"TOTAL PERIOD "&amp;S$5&amp;":"&amp;X$5&amp;" --&gt;"</f>
        <v>TOTAL PERIOD 2025:2030 --&gt;</v>
      </c>
      <c r="J808" s="125">
        <f t="shared" si="326"/>
        <v>0</v>
      </c>
      <c r="K808" s="125"/>
      <c r="L808" s="96"/>
      <c r="M808" s="118"/>
      <c r="N808" s="861"/>
      <c r="O808" s="4"/>
      <c r="P808" s="4"/>
      <c r="Q808" s="4"/>
      <c r="R808" s="4"/>
      <c r="S808" s="4">
        <f>(SUM($S$786:S$786)-SUM($S$803:S$803))*$S806/2</f>
        <v>0</v>
      </c>
      <c r="T808" s="4">
        <f>(SUM($S$786:T$786)-SUM($S$803:S$804)-T803)*$T806/2</f>
        <v>0</v>
      </c>
      <c r="U808" s="4">
        <f>(SUM($S$786:U$786)-SUM($S$803:T$804)-U803)*$T806/2</f>
        <v>0</v>
      </c>
      <c r="V808" s="4">
        <f>(SUM($S$786:V$786)-SUM($S$803:U$804)-V803)*$T806/2</f>
        <v>0</v>
      </c>
      <c r="W808" s="4">
        <f>(SUM($S$786:W$786)-SUM($S$803:V$804)-W803)*$T806/2</f>
        <v>0</v>
      </c>
      <c r="X808" s="4">
        <f>(SUM($S$786:X$786)-SUM($S$803:W$804)-X803)*$T806/2</f>
        <v>0</v>
      </c>
      <c r="Y808" s="4"/>
      <c r="Z808" s="3" t="str">
        <f>VLOOKUP($D808,TableInputsData[],ReadMe!$M$3,FALSE)&amp;"  |  "&amp;VLOOKUP($E808,TableInputsData[],ReadMe!$M$3,FALSE)&amp;"  |  "&amp;VLOOKUP($H808,TableInputsData[],ReadMe!$M$3,FALSE)</f>
        <v>SOURCE DE FINANCEMENT  |  INTERETS DU PRET DE LA FAMILLE ET DES AMIS  |  SEMESTRE 2</v>
      </c>
      <c r="AA808" s="3"/>
      <c r="AB808" s="34"/>
      <c r="AC808" s="34"/>
      <c r="AD808" s="34"/>
      <c r="AE808" s="26"/>
      <c r="AF808" s="34">
        <v>1</v>
      </c>
      <c r="AG808" s="34"/>
      <c r="AH808" s="535"/>
      <c r="AI808" s="294"/>
    </row>
    <row r="809" spans="1:35" x14ac:dyDescent="0.2">
      <c r="A809" s="294"/>
      <c r="B809" s="922"/>
      <c r="C809" s="67">
        <v>7</v>
      </c>
      <c r="D809" s="16" t="s">
        <v>951</v>
      </c>
      <c r="E809" s="16" t="s">
        <v>959</v>
      </c>
      <c r="F809" s="16" t="s">
        <v>21</v>
      </c>
      <c r="G809" s="16"/>
      <c r="H809" s="17" t="s">
        <v>29</v>
      </c>
      <c r="I809" s="145" t="str">
        <f t="shared" ref="I809" si="327">"TOTAL PERIOD "&amp;S$5&amp;":"&amp;X$5&amp;" --&gt;"</f>
        <v>TOTAL PERIOD 2025:2030 --&gt;</v>
      </c>
      <c r="J809" s="146">
        <f t="shared" si="326"/>
        <v>0</v>
      </c>
      <c r="K809" s="27"/>
      <c r="L809" s="97"/>
      <c r="M809" s="112"/>
      <c r="N809" s="18"/>
      <c r="O809" s="97"/>
      <c r="P809" s="97"/>
      <c r="Q809" s="97"/>
      <c r="R809" s="97"/>
      <c r="S809" s="97">
        <f t="shared" ref="S809:X809" si="328">S807+S808</f>
        <v>0</v>
      </c>
      <c r="T809" s="97">
        <f t="shared" si="328"/>
        <v>0</v>
      </c>
      <c r="U809" s="97">
        <f t="shared" si="328"/>
        <v>0</v>
      </c>
      <c r="V809" s="97">
        <f t="shared" si="328"/>
        <v>0</v>
      </c>
      <c r="W809" s="97">
        <f t="shared" si="328"/>
        <v>0</v>
      </c>
      <c r="X809" s="97">
        <f t="shared" si="328"/>
        <v>0</v>
      </c>
      <c r="Y809" s="97"/>
      <c r="Z809" s="16" t="str">
        <f>VLOOKUP($D809,TableInputsData[],ReadMe!$M$3,FALSE)&amp;"  |  "&amp;VLOOKUP($E809,TableInputsData[],ReadMe!$M$3,FALSE)&amp;"  |  "&amp;VLOOKUP($H809,TableInputsData[],ReadMe!$M$3,FALSE)</f>
        <v>SOURCE DE FINANCEMENT  |  INTERETS DU PRET DE LA FAMILLE ET DES AMIS  |  TOTAL</v>
      </c>
      <c r="AA809" s="16"/>
      <c r="AB809" s="27"/>
      <c r="AC809" s="27">
        <v>1</v>
      </c>
      <c r="AD809" s="27"/>
      <c r="AE809" s="27"/>
      <c r="AF809" s="27">
        <v>1</v>
      </c>
      <c r="AG809" s="27"/>
      <c r="AH809" s="533"/>
      <c r="AI809" s="294"/>
    </row>
    <row r="810" spans="1:35" x14ac:dyDescent="0.2">
      <c r="A810" s="294"/>
      <c r="B810" s="922"/>
      <c r="C810" s="66">
        <v>7</v>
      </c>
      <c r="D810" s="3"/>
      <c r="E810" s="3"/>
      <c r="F810" s="3"/>
      <c r="G810" s="3"/>
      <c r="H810" s="5"/>
      <c r="I810" s="124"/>
      <c r="J810" s="125"/>
      <c r="K810" s="125"/>
      <c r="L810" s="96"/>
      <c r="M810" s="118"/>
      <c r="N810" s="861"/>
      <c r="O810" s="4"/>
      <c r="P810" s="4"/>
      <c r="Q810" s="4"/>
      <c r="R810" s="4"/>
      <c r="S810" s="4"/>
      <c r="T810" s="4"/>
      <c r="U810" s="4"/>
      <c r="V810" s="4"/>
      <c r="W810" s="4"/>
      <c r="X810" s="4"/>
      <c r="Y810" s="4"/>
      <c r="Z810" s="3"/>
      <c r="AA810" s="3"/>
      <c r="AB810" s="34"/>
      <c r="AC810" s="34"/>
      <c r="AD810" s="34"/>
      <c r="AE810" s="26"/>
      <c r="AF810" s="34"/>
      <c r="AG810" s="34"/>
      <c r="AH810" s="535"/>
      <c r="AI810" s="294"/>
    </row>
    <row r="811" spans="1:35" x14ac:dyDescent="0.2">
      <c r="A811" s="294"/>
      <c r="B811" s="922"/>
      <c r="C811" s="66">
        <v>7</v>
      </c>
      <c r="D811" s="3" t="s">
        <v>951</v>
      </c>
      <c r="E811" s="3" t="s">
        <v>960</v>
      </c>
      <c r="F811" s="3" t="s">
        <v>21</v>
      </c>
      <c r="G811" s="3"/>
      <c r="H811" s="124" t="s">
        <v>2058</v>
      </c>
      <c r="I811" s="124" t="s">
        <v>2056</v>
      </c>
      <c r="J811" s="782">
        <f>InputsData!$J$127</f>
        <v>2</v>
      </c>
      <c r="K811" s="125"/>
      <c r="L811" s="96"/>
      <c r="M811" s="118"/>
      <c r="N811" s="861"/>
      <c r="O811" s="4"/>
      <c r="P811" s="4"/>
      <c r="Q811" s="4"/>
      <c r="R811" s="4"/>
      <c r="S811" s="504">
        <v>0</v>
      </c>
      <c r="T811" s="504">
        <v>1</v>
      </c>
      <c r="U811" s="504">
        <v>1</v>
      </c>
      <c r="V811" s="504">
        <v>1</v>
      </c>
      <c r="W811" s="504">
        <v>1</v>
      </c>
      <c r="X811" s="504">
        <v>1</v>
      </c>
      <c r="Y811" s="604"/>
      <c r="Z811" s="3" t="str">
        <f>VLOOKUP($D811,TableInputsData[],ReadMe!$M$3,FALSE)&amp;"  |  "&amp;VLOOKUP($E811,TableInputsData[],ReadMe!$M$3,FALSE)&amp;"  |  "&amp;VLOOKUP($H811,TableInputsData[],ReadMe!$M$3,FALSE)</f>
        <v>SOURCE DE FINANCEMENT  |  MONTANT DU PRINCIPAL DU PRET DE LA BANQUE LOCALE  |  PERIODE DE REMBOURSEMENT ET PERIODE DE GRACE</v>
      </c>
      <c r="AA811" s="3"/>
      <c r="AB811" s="34"/>
      <c r="AC811" s="34"/>
      <c r="AD811" s="34"/>
      <c r="AE811" s="26"/>
      <c r="AF811" s="34">
        <v>1</v>
      </c>
      <c r="AG811" s="34"/>
      <c r="AH811" s="535"/>
      <c r="AI811" s="294"/>
    </row>
    <row r="812" spans="1:35" x14ac:dyDescent="0.2">
      <c r="A812" s="294"/>
      <c r="B812" s="922"/>
      <c r="C812" s="66">
        <v>7</v>
      </c>
      <c r="D812" s="3" t="s">
        <v>951</v>
      </c>
      <c r="E812" s="3" t="s">
        <v>960</v>
      </c>
      <c r="F812" s="3" t="s">
        <v>21</v>
      </c>
      <c r="G812" s="3"/>
      <c r="H812" s="124" t="s">
        <v>954</v>
      </c>
      <c r="I812" s="124" t="str">
        <f t="shared" ref="I812:I814" si="329">"TOTAL PERIOD "&amp;S$5&amp;":"&amp;X$5&amp;" --&gt;"</f>
        <v>TOTAL PERIOD 2025:2030 --&gt;</v>
      </c>
      <c r="J812" s="125">
        <f t="shared" ref="J812:J813" si="330">SUM(S812:X812)</f>
        <v>0</v>
      </c>
      <c r="K812" s="125"/>
      <c r="L812" s="96"/>
      <c r="M812" s="118"/>
      <c r="N812" s="861"/>
      <c r="O812" s="4"/>
      <c r="P812" s="4"/>
      <c r="Q812" s="4"/>
      <c r="R812" s="4"/>
      <c r="S812" s="504">
        <f>(S787*S811)/(J811*2)</f>
        <v>0</v>
      </c>
      <c r="T812" s="504">
        <f>IF(SUM($S$812:S$813)=SUM($S$787:S$787),0,SUM($S$787:S$787)/($J811*2))*T811</f>
        <v>0</v>
      </c>
      <c r="U812" s="504">
        <f>IF(SUM($S$812:T$813)=SUM($S$787:T$787),0,SUM($S$787:T$787)/($J811*2))*U811</f>
        <v>0</v>
      </c>
      <c r="V812" s="504">
        <f>IF(SUM($S$812:U$813)=SUM($S$787:U$787),0,SUM($S$787:U$787)/($J811*2))*V811</f>
        <v>0</v>
      </c>
      <c r="W812" s="504">
        <f>IF(SUM($S$812:V$813)=SUM($S$787:V$787),0,SUM($S$787:V$787)/($J811*2))*W811</f>
        <v>0</v>
      </c>
      <c r="X812" s="504">
        <f>IF(SUM($S$812:W$813)=SUM($S$787:W$787),0,SUM($S$787:W$787)/($J811*2))*X811</f>
        <v>0</v>
      </c>
      <c r="Y812" s="604"/>
      <c r="Z812" s="3" t="str">
        <f>VLOOKUP($D812,TableInputsData[],ReadMe!$M$3,FALSE)&amp;"  |  "&amp;VLOOKUP($E812,TableInputsData[],ReadMe!$M$3,FALSE)&amp;"  |  "&amp;VLOOKUP($H812,TableInputsData[],ReadMe!$M$3,FALSE)</f>
        <v>SOURCE DE FINANCEMENT  |  MONTANT DU PRINCIPAL DU PRET DE LA BANQUE LOCALE  |  SEMESTRE 1</v>
      </c>
      <c r="AA812" s="3"/>
      <c r="AB812" s="34"/>
      <c r="AC812" s="34"/>
      <c r="AD812" s="34"/>
      <c r="AE812" s="26"/>
      <c r="AF812" s="34">
        <v>1</v>
      </c>
      <c r="AG812" s="34"/>
      <c r="AH812" s="535"/>
      <c r="AI812" s="294"/>
    </row>
    <row r="813" spans="1:35" x14ac:dyDescent="0.2">
      <c r="A813" s="294"/>
      <c r="B813" s="922"/>
      <c r="C813" s="66">
        <v>7</v>
      </c>
      <c r="D813" s="3" t="s">
        <v>951</v>
      </c>
      <c r="E813" s="3" t="s">
        <v>960</v>
      </c>
      <c r="F813" s="3" t="s">
        <v>21</v>
      </c>
      <c r="G813" s="3"/>
      <c r="H813" s="124" t="s">
        <v>955</v>
      </c>
      <c r="I813" s="124" t="str">
        <f>"TOTAL PERIOD "&amp;S$5&amp;":"&amp;X$5&amp;" --&gt;"</f>
        <v>TOTAL PERIOD 2025:2030 --&gt;</v>
      </c>
      <c r="J813" s="125">
        <f t="shared" si="330"/>
        <v>0</v>
      </c>
      <c r="K813" s="125"/>
      <c r="L813" s="96"/>
      <c r="M813" s="118"/>
      <c r="N813" s="861"/>
      <c r="O813" s="4"/>
      <c r="P813" s="4"/>
      <c r="Q813" s="4"/>
      <c r="R813" s="4"/>
      <c r="S813" s="504">
        <f>(S787*S811)/(J811*2)</f>
        <v>0</v>
      </c>
      <c r="T813" s="504">
        <f>IF(SUM($S$812:S$813)+T812=SUM($S$787:S$787),0,SUM($S$787:S$787)/($J811*2))</f>
        <v>0</v>
      </c>
      <c r="U813" s="504">
        <f>IF(SUM($S$812:T$813)+U812=SUM($S$787:T$787),0,SUM($S$787:T$787)/($J811*2))</f>
        <v>0</v>
      </c>
      <c r="V813" s="504">
        <f>IF(SUM($S$812:U$813)+V812=SUM($S$787:U$787),0,SUM($S$787:U$787)/($J811*2))</f>
        <v>0</v>
      </c>
      <c r="W813" s="504">
        <f>IF(SUM($S$812:V$813)+W812=SUM($S$787:V$787),0,SUM($S$787:V$787)/($J811*2))</f>
        <v>0</v>
      </c>
      <c r="X813" s="504">
        <f>IF(SUM($S$812:W$813)+X812=SUM($S$787:W$787),0,SUM($S$787:W$787)/($J811*2))</f>
        <v>0</v>
      </c>
      <c r="Y813" s="604"/>
      <c r="Z813" s="3" t="str">
        <f>VLOOKUP($D813,TableInputsData[],ReadMe!$M$3,FALSE)&amp;"  |  "&amp;VLOOKUP($E813,TableInputsData[],ReadMe!$M$3,FALSE)&amp;"  |  "&amp;VLOOKUP($H813,TableInputsData[],ReadMe!$M$3,FALSE)</f>
        <v>SOURCE DE FINANCEMENT  |  MONTANT DU PRINCIPAL DU PRET DE LA BANQUE LOCALE  |  SEMESTRE 2</v>
      </c>
      <c r="AA813" s="3"/>
      <c r="AB813" s="34"/>
      <c r="AC813" s="34"/>
      <c r="AD813" s="34"/>
      <c r="AE813" s="26"/>
      <c r="AF813" s="34">
        <v>1</v>
      </c>
      <c r="AG813" s="34"/>
      <c r="AH813" s="535"/>
      <c r="AI813" s="294"/>
    </row>
    <row r="814" spans="1:35" x14ac:dyDescent="0.2">
      <c r="A814" s="294"/>
      <c r="B814" s="922"/>
      <c r="C814" s="67">
        <v>7</v>
      </c>
      <c r="D814" s="16" t="s">
        <v>951</v>
      </c>
      <c r="E814" s="16" t="s">
        <v>960</v>
      </c>
      <c r="F814" s="16" t="s">
        <v>21</v>
      </c>
      <c r="G814" s="16"/>
      <c r="H814" s="17" t="s">
        <v>29</v>
      </c>
      <c r="I814" s="145" t="str">
        <f t="shared" si="329"/>
        <v>TOTAL PERIOD 2025:2030 --&gt;</v>
      </c>
      <c r="J814" s="146">
        <f>J812+J813</f>
        <v>0</v>
      </c>
      <c r="K814" s="27"/>
      <c r="L814" s="97"/>
      <c r="M814" s="112"/>
      <c r="N814" s="18"/>
      <c r="O814" s="97"/>
      <c r="P814" s="97"/>
      <c r="Q814" s="97"/>
      <c r="R814" s="97"/>
      <c r="S814" s="97">
        <f t="shared" ref="S814:X814" si="331">S812+S813</f>
        <v>0</v>
      </c>
      <c r="T814" s="97">
        <f t="shared" si="331"/>
        <v>0</v>
      </c>
      <c r="U814" s="97">
        <f t="shared" si="331"/>
        <v>0</v>
      </c>
      <c r="V814" s="97">
        <f t="shared" si="331"/>
        <v>0</v>
      </c>
      <c r="W814" s="97">
        <f t="shared" si="331"/>
        <v>0</v>
      </c>
      <c r="X814" s="97">
        <f t="shared" si="331"/>
        <v>0</v>
      </c>
      <c r="Y814" s="145">
        <f>SUM($S$787:$X$787)-SUM($S$814:$X$814)</f>
        <v>0</v>
      </c>
      <c r="Z814" s="16" t="str">
        <f>VLOOKUP($D814,TableInputsData[],ReadMe!$M$3,FALSE)&amp;"  |  "&amp;VLOOKUP($E814,TableInputsData[],ReadMe!$M$3,FALSE)&amp;"  |  "&amp;VLOOKUP($H814,TableInputsData[],ReadMe!$M$3,FALSE)</f>
        <v>SOURCE DE FINANCEMENT  |  MONTANT DU PRINCIPAL DU PRET DE LA BANQUE LOCALE  |  TOTAL</v>
      </c>
      <c r="AA814" s="16"/>
      <c r="AB814" s="27"/>
      <c r="AC814" s="27">
        <v>1</v>
      </c>
      <c r="AD814" s="27"/>
      <c r="AE814" s="27"/>
      <c r="AF814" s="27">
        <v>1</v>
      </c>
      <c r="AG814" s="27"/>
      <c r="AH814" s="533"/>
      <c r="AI814" s="294"/>
    </row>
    <row r="815" spans="1:35" x14ac:dyDescent="0.2">
      <c r="A815" s="294"/>
      <c r="B815" s="922"/>
      <c r="C815" s="66">
        <v>7</v>
      </c>
      <c r="D815" s="3" t="s">
        <v>951</v>
      </c>
      <c r="E815" s="3" t="s">
        <v>961</v>
      </c>
      <c r="F815" s="3" t="s">
        <v>21</v>
      </c>
      <c r="G815" s="3"/>
      <c r="H815" s="124" t="s">
        <v>909</v>
      </c>
      <c r="I815" s="610" t="s">
        <v>2057</v>
      </c>
      <c r="J815" s="781">
        <f>InputsData!$I$127</f>
        <v>0.2</v>
      </c>
      <c r="K815" s="125"/>
      <c r="L815" s="96"/>
      <c r="M815" s="118"/>
      <c r="N815" s="861"/>
      <c r="O815" s="4"/>
      <c r="P815" s="4"/>
      <c r="Q815" s="4"/>
      <c r="R815" s="4"/>
      <c r="S815" s="868">
        <f>InputsData!$I$127</f>
        <v>0.2</v>
      </c>
      <c r="T815" s="868">
        <f>InputsData!$I$127</f>
        <v>0.2</v>
      </c>
      <c r="U815" s="868">
        <f>InputsData!$I$127</f>
        <v>0.2</v>
      </c>
      <c r="V815" s="868">
        <f>InputsData!$I$127</f>
        <v>0.2</v>
      </c>
      <c r="W815" s="868">
        <f>InputsData!$I$127</f>
        <v>0.2</v>
      </c>
      <c r="X815" s="868">
        <f>InputsData!$I$127</f>
        <v>0.2</v>
      </c>
      <c r="Y815" s="4"/>
      <c r="Z815" s="3" t="str">
        <f>VLOOKUP($D815,TableInputsData[],ReadMe!$M$3,FALSE)&amp;"  |  "&amp;VLOOKUP($E815,TableInputsData[],ReadMe!$M$3,FALSE)&amp;"  |  "&amp;VLOOKUP($H815,TableInputsData[],ReadMe!$M$3,FALSE)</f>
        <v>SOURCE DE FINANCEMENT  |  INTERETS DU PRET DE LA BANQUE LOCALE  |  INTERETS</v>
      </c>
      <c r="AA815" s="3"/>
      <c r="AB815" s="34"/>
      <c r="AC815" s="34"/>
      <c r="AD815" s="34"/>
      <c r="AE815" s="26"/>
      <c r="AF815" s="34">
        <v>1</v>
      </c>
      <c r="AG815" s="34"/>
      <c r="AH815" s="535"/>
      <c r="AI815" s="294"/>
    </row>
    <row r="816" spans="1:35" x14ac:dyDescent="0.2">
      <c r="A816" s="294"/>
      <c r="B816" s="922"/>
      <c r="C816" s="66">
        <v>7</v>
      </c>
      <c r="D816" s="3" t="s">
        <v>951</v>
      </c>
      <c r="E816" s="3" t="s">
        <v>961</v>
      </c>
      <c r="F816" s="3" t="s">
        <v>21</v>
      </c>
      <c r="G816" s="3"/>
      <c r="H816" s="124" t="s">
        <v>954</v>
      </c>
      <c r="I816" s="124" t="str">
        <f t="shared" ref="I816" si="332">"TOTAL PERIOD "&amp;S$5&amp;":"&amp;X$5&amp;" --&gt;"</f>
        <v>TOTAL PERIOD 2025:2030 --&gt;</v>
      </c>
      <c r="J816" s="125">
        <f t="shared" ref="J816:J818" si="333">SUM(S816:X816)</f>
        <v>0</v>
      </c>
      <c r="K816" s="125"/>
      <c r="L816" s="96"/>
      <c r="M816" s="118"/>
      <c r="N816" s="861"/>
      <c r="O816" s="4"/>
      <c r="P816" s="4"/>
      <c r="Q816" s="4"/>
      <c r="R816" s="4"/>
      <c r="S816" s="4">
        <v>0</v>
      </c>
      <c r="T816" s="4">
        <f>(SUM($S$787:T$787)-SUM($S$812:S$813))*$T815/2</f>
        <v>0</v>
      </c>
      <c r="U816" s="4">
        <f>(SUM($S$787:U$787)-SUM($S$812:T$813))*$T815/2</f>
        <v>0</v>
      </c>
      <c r="V816" s="4">
        <f>(SUM($S$787:V$787)-SUM($S$812:U$813))*$T815/2</f>
        <v>0</v>
      </c>
      <c r="W816" s="4">
        <f>(SUM($S$787:W$787)-SUM($S$812:V$813))*$T815/2</f>
        <v>0</v>
      </c>
      <c r="X816" s="4">
        <f>(SUM($S$787:X$787)-SUM($S$812:W$813))*$T815/2</f>
        <v>0</v>
      </c>
      <c r="Y816" s="4"/>
      <c r="Z816" s="3" t="str">
        <f>VLOOKUP($D816,TableInputsData[],ReadMe!$M$3,FALSE)&amp;"  |  "&amp;VLOOKUP($E816,TableInputsData[],ReadMe!$M$3,FALSE)&amp;"  |  "&amp;VLOOKUP($H816,TableInputsData[],ReadMe!$M$3,FALSE)</f>
        <v>SOURCE DE FINANCEMENT  |  INTERETS DU PRET DE LA BANQUE LOCALE  |  SEMESTRE 1</v>
      </c>
      <c r="AA816" s="3"/>
      <c r="AB816" s="34"/>
      <c r="AC816" s="34"/>
      <c r="AD816" s="34"/>
      <c r="AE816" s="26"/>
      <c r="AF816" s="34">
        <v>1</v>
      </c>
      <c r="AG816" s="34"/>
      <c r="AH816" s="535"/>
      <c r="AI816" s="294"/>
    </row>
    <row r="817" spans="1:35" x14ac:dyDescent="0.2">
      <c r="A817" s="294"/>
      <c r="B817" s="922"/>
      <c r="C817" s="66">
        <v>7</v>
      </c>
      <c r="D817" s="3" t="s">
        <v>951</v>
      </c>
      <c r="E817" s="3" t="s">
        <v>961</v>
      </c>
      <c r="F817" s="3" t="s">
        <v>21</v>
      </c>
      <c r="G817" s="3"/>
      <c r="H817" s="124" t="s">
        <v>955</v>
      </c>
      <c r="I817" s="124" t="str">
        <f>"TOTAL PERIOD "&amp;S$5&amp;":"&amp;X$5&amp;" --&gt;"</f>
        <v>TOTAL PERIOD 2025:2030 --&gt;</v>
      </c>
      <c r="J817" s="125">
        <f t="shared" si="333"/>
        <v>0</v>
      </c>
      <c r="K817" s="125"/>
      <c r="L817" s="96"/>
      <c r="M817" s="118"/>
      <c r="N817" s="861"/>
      <c r="O817" s="4"/>
      <c r="P817" s="4"/>
      <c r="Q817" s="4"/>
      <c r="R817" s="4"/>
      <c r="S817" s="4">
        <f>(SUM($S$787:S$787)-SUM($S$812:S$812))*$S815/2</f>
        <v>0</v>
      </c>
      <c r="T817" s="4">
        <f>(SUM($S$787:T$787)-SUM($S$812:S$813)-T812)*$T815/2</f>
        <v>0</v>
      </c>
      <c r="U817" s="4">
        <f>(SUM($S$787:U$787)-SUM($S$812:T$813)-U812)*$T815/2</f>
        <v>0</v>
      </c>
      <c r="V817" s="4">
        <f>(SUM($S$787:V$787)-SUM($S$812:U$813)-V812)*$T815/2</f>
        <v>0</v>
      </c>
      <c r="W817" s="4">
        <f>(SUM($S$787:W$787)-SUM($S$812:V$813)-W812)*$T815/2</f>
        <v>0</v>
      </c>
      <c r="X817" s="4">
        <f>(SUM($S$787:X$787)-SUM($S$812:W$813)-X812)*$T815/2</f>
        <v>0</v>
      </c>
      <c r="Y817" s="4"/>
      <c r="Z817" s="3" t="str">
        <f>VLOOKUP($D817,TableInputsData[],ReadMe!$M$3,FALSE)&amp;"  |  "&amp;VLOOKUP($E817,TableInputsData[],ReadMe!$M$3,FALSE)&amp;"  |  "&amp;VLOOKUP($H817,TableInputsData[],ReadMe!$M$3,FALSE)</f>
        <v>SOURCE DE FINANCEMENT  |  INTERETS DU PRET DE LA BANQUE LOCALE  |  SEMESTRE 2</v>
      </c>
      <c r="AA817" s="3"/>
      <c r="AB817" s="34"/>
      <c r="AC817" s="34"/>
      <c r="AD817" s="34"/>
      <c r="AE817" s="26"/>
      <c r="AF817" s="34">
        <v>1</v>
      </c>
      <c r="AG817" s="34"/>
      <c r="AH817" s="535"/>
      <c r="AI817" s="294"/>
    </row>
    <row r="818" spans="1:35" x14ac:dyDescent="0.2">
      <c r="A818" s="294"/>
      <c r="B818" s="922"/>
      <c r="C818" s="67">
        <v>7</v>
      </c>
      <c r="D818" s="16" t="s">
        <v>951</v>
      </c>
      <c r="E818" s="16" t="s">
        <v>961</v>
      </c>
      <c r="F818" s="16" t="s">
        <v>21</v>
      </c>
      <c r="G818" s="16"/>
      <c r="H818" s="17" t="s">
        <v>29</v>
      </c>
      <c r="I818" s="145" t="str">
        <f t="shared" ref="I818" si="334">"TOTAL PERIOD "&amp;S$5&amp;":"&amp;X$5&amp;" --&gt;"</f>
        <v>TOTAL PERIOD 2025:2030 --&gt;</v>
      </c>
      <c r="J818" s="146">
        <f t="shared" si="333"/>
        <v>0</v>
      </c>
      <c r="K818" s="27"/>
      <c r="L818" s="97"/>
      <c r="M818" s="112"/>
      <c r="N818" s="18"/>
      <c r="O818" s="97"/>
      <c r="P818" s="97"/>
      <c r="Q818" s="97"/>
      <c r="R818" s="97"/>
      <c r="S818" s="97">
        <f t="shared" ref="S818:X818" si="335">S816+S817</f>
        <v>0</v>
      </c>
      <c r="T818" s="97">
        <f t="shared" si="335"/>
        <v>0</v>
      </c>
      <c r="U818" s="97">
        <f t="shared" si="335"/>
        <v>0</v>
      </c>
      <c r="V818" s="97">
        <f t="shared" si="335"/>
        <v>0</v>
      </c>
      <c r="W818" s="97">
        <f t="shared" si="335"/>
        <v>0</v>
      </c>
      <c r="X818" s="97">
        <f t="shared" si="335"/>
        <v>0</v>
      </c>
      <c r="Y818" s="97"/>
      <c r="Z818" s="16" t="str">
        <f>VLOOKUP($D818,TableInputsData[],ReadMe!$M$3,FALSE)&amp;"  |  "&amp;VLOOKUP($E818,TableInputsData[],ReadMe!$M$3,FALSE)&amp;"  |  "&amp;VLOOKUP($H818,TableInputsData[],ReadMe!$M$3,FALSE)</f>
        <v>SOURCE DE FINANCEMENT  |  INTERETS DU PRET DE LA BANQUE LOCALE  |  TOTAL</v>
      </c>
      <c r="AA818" s="16"/>
      <c r="AB818" s="27"/>
      <c r="AC818" s="27">
        <v>1</v>
      </c>
      <c r="AD818" s="27"/>
      <c r="AE818" s="27"/>
      <c r="AF818" s="27">
        <v>1</v>
      </c>
      <c r="AG818" s="27"/>
      <c r="AH818" s="533"/>
      <c r="AI818" s="294"/>
    </row>
    <row r="819" spans="1:35" x14ac:dyDescent="0.2">
      <c r="A819" s="294"/>
      <c r="B819" s="922"/>
      <c r="C819" s="66">
        <v>7</v>
      </c>
      <c r="D819" s="3"/>
      <c r="E819" s="3"/>
      <c r="F819" s="3"/>
      <c r="G819" s="3"/>
      <c r="H819" s="5"/>
      <c r="I819" s="124"/>
      <c r="J819" s="125"/>
      <c r="K819" s="125"/>
      <c r="L819" s="96"/>
      <c r="M819" s="118"/>
      <c r="N819" s="861"/>
      <c r="O819" s="4"/>
      <c r="P819" s="4"/>
      <c r="Q819" s="4"/>
      <c r="R819" s="4"/>
      <c r="S819" s="4"/>
      <c r="T819" s="4"/>
      <c r="U819" s="4"/>
      <c r="V819" s="4"/>
      <c r="W819" s="4"/>
      <c r="X819" s="4"/>
      <c r="Y819" s="4"/>
      <c r="Z819" s="3"/>
      <c r="AA819" s="3"/>
      <c r="AB819" s="34"/>
      <c r="AC819" s="34"/>
      <c r="AD819" s="34"/>
      <c r="AE819" s="26"/>
      <c r="AF819" s="34"/>
      <c r="AG819" s="34"/>
      <c r="AH819" s="535"/>
      <c r="AI819" s="294"/>
    </row>
    <row r="820" spans="1:35" x14ac:dyDescent="0.2">
      <c r="A820" s="294"/>
      <c r="B820" s="922"/>
      <c r="C820" s="67">
        <v>7</v>
      </c>
      <c r="D820" s="16" t="s">
        <v>951</v>
      </c>
      <c r="E820" s="16" t="s">
        <v>951</v>
      </c>
      <c r="F820" s="16" t="s">
        <v>21</v>
      </c>
      <c r="G820" s="16"/>
      <c r="H820" s="17" t="str">
        <f>H785&amp;" + "&amp;H786</f>
        <v>LOAN FROM OVO + LOAN FROM FAMILY AND FRIENDS</v>
      </c>
      <c r="I820" s="145" t="s">
        <v>1877</v>
      </c>
      <c r="J820" s="146">
        <f t="shared" ref="J820:J822" si="336">SUM(S820:X820)</f>
        <v>0</v>
      </c>
      <c r="K820" s="27"/>
      <c r="L820" s="97"/>
      <c r="M820" s="112"/>
      <c r="N820" s="18"/>
      <c r="O820" s="97"/>
      <c r="P820" s="97"/>
      <c r="Q820" s="97"/>
      <c r="R820" s="97"/>
      <c r="S820" s="97">
        <f t="shared" ref="S820:X820" si="337">S785+S786</f>
        <v>0</v>
      </c>
      <c r="T820" s="97">
        <f t="shared" si="337"/>
        <v>0</v>
      </c>
      <c r="U820" s="97">
        <f t="shared" si="337"/>
        <v>0</v>
      </c>
      <c r="V820" s="97">
        <f t="shared" si="337"/>
        <v>0</v>
      </c>
      <c r="W820" s="97">
        <f t="shared" si="337"/>
        <v>0</v>
      </c>
      <c r="X820" s="97">
        <f t="shared" si="337"/>
        <v>0</v>
      </c>
      <c r="Y820" s="97"/>
      <c r="Z820" s="16" t="str">
        <f>VLOOKUP($D820,TableInputsData[],ReadMe!$M$3,FALSE)&amp;"  |  "&amp;VLOOKUP($E820,TableInputsData[],ReadMe!$M$3,FALSE)&amp;"  |  "&amp;VLOOKUP($H820,TableInputsData[],ReadMe!$M$3,FALSE)</f>
        <v>SOURCE DE FINANCEMENT  |  SOURCE DE FINANCEMENT  |  PRET DE OVO + PRET DE LA FAMILLE ET DES AMIS</v>
      </c>
      <c r="AA820" s="16"/>
      <c r="AB820" s="27"/>
      <c r="AC820" s="27">
        <v>1</v>
      </c>
      <c r="AD820" s="27"/>
      <c r="AE820" s="27"/>
      <c r="AF820" s="27">
        <v>1</v>
      </c>
      <c r="AG820" s="27"/>
      <c r="AH820" s="533"/>
      <c r="AI820" s="294"/>
    </row>
    <row r="821" spans="1:35" x14ac:dyDescent="0.2">
      <c r="A821" s="294"/>
      <c r="B821" s="922"/>
      <c r="C821" s="67">
        <v>7</v>
      </c>
      <c r="D821" s="16" t="s">
        <v>951</v>
      </c>
      <c r="E821" s="16" t="s">
        <v>947</v>
      </c>
      <c r="F821" s="16" t="s">
        <v>21</v>
      </c>
      <c r="G821" s="16"/>
      <c r="H821" s="17" t="str">
        <f>H820</f>
        <v>LOAN FROM OVO + LOAN FROM FAMILY AND FRIENDS</v>
      </c>
      <c r="I821" s="145" t="s">
        <v>1877</v>
      </c>
      <c r="J821" s="146">
        <f t="shared" si="336"/>
        <v>0</v>
      </c>
      <c r="K821" s="27"/>
      <c r="L821" s="97"/>
      <c r="M821" s="112"/>
      <c r="N821" s="18"/>
      <c r="O821" s="97"/>
      <c r="P821" s="97"/>
      <c r="Q821" s="97"/>
      <c r="R821" s="97"/>
      <c r="S821" s="97">
        <f t="shared" ref="S821:Y821" si="338">S796+S805</f>
        <v>0</v>
      </c>
      <c r="T821" s="97">
        <f t="shared" si="338"/>
        <v>0</v>
      </c>
      <c r="U821" s="97">
        <f t="shared" si="338"/>
        <v>0</v>
      </c>
      <c r="V821" s="97">
        <f t="shared" si="338"/>
        <v>0</v>
      </c>
      <c r="W821" s="97">
        <f t="shared" si="338"/>
        <v>0</v>
      </c>
      <c r="X821" s="97">
        <f t="shared" si="338"/>
        <v>0</v>
      </c>
      <c r="Y821" s="145">
        <f t="shared" si="338"/>
        <v>0</v>
      </c>
      <c r="Z821" s="16" t="str">
        <f>VLOOKUP($D821,TableInputsData[],ReadMe!$M$3,FALSE)&amp;"  |  "&amp;VLOOKUP($E821,TableInputsData[],ReadMe!$M$3,FALSE)&amp;"  |  "&amp;VLOOKUP($H821,TableInputsData[],ReadMe!$M$3,FALSE)</f>
        <v>SOURCE DE FINANCEMENT  |  MONTANT PRINCIPAL DE PRET  |  PRET DE OVO + PRET DE LA FAMILLE ET DES AMIS</v>
      </c>
      <c r="AA821" s="16"/>
      <c r="AB821" s="27"/>
      <c r="AC821" s="27">
        <v>1</v>
      </c>
      <c r="AD821" s="27"/>
      <c r="AE821" s="27"/>
      <c r="AF821" s="27">
        <v>1</v>
      </c>
      <c r="AG821" s="27"/>
      <c r="AH821" s="533"/>
      <c r="AI821" s="294"/>
    </row>
    <row r="822" spans="1:35" x14ac:dyDescent="0.2">
      <c r="A822" s="294"/>
      <c r="B822" s="922"/>
      <c r="C822" s="67">
        <v>7</v>
      </c>
      <c r="D822" s="16" t="s">
        <v>951</v>
      </c>
      <c r="E822" s="16" t="s">
        <v>909</v>
      </c>
      <c r="F822" s="16" t="s">
        <v>21</v>
      </c>
      <c r="G822" s="16"/>
      <c r="H822" s="17" t="str">
        <f>H821</f>
        <v>LOAN FROM OVO + LOAN FROM FAMILY AND FRIENDS</v>
      </c>
      <c r="I822" s="145" t="s">
        <v>1877</v>
      </c>
      <c r="J822" s="146">
        <f t="shared" si="336"/>
        <v>0</v>
      </c>
      <c r="K822" s="27"/>
      <c r="L822" s="97"/>
      <c r="M822" s="112"/>
      <c r="N822" s="18"/>
      <c r="O822" s="97"/>
      <c r="P822" s="97"/>
      <c r="Q822" s="97"/>
      <c r="R822" s="97"/>
      <c r="S822" s="97">
        <f t="shared" ref="S822:X822" si="339">S800+S809</f>
        <v>0</v>
      </c>
      <c r="T822" s="97">
        <f t="shared" si="339"/>
        <v>0</v>
      </c>
      <c r="U822" s="97">
        <f t="shared" si="339"/>
        <v>0</v>
      </c>
      <c r="V822" s="97">
        <f t="shared" si="339"/>
        <v>0</v>
      </c>
      <c r="W822" s="97">
        <f t="shared" si="339"/>
        <v>0</v>
      </c>
      <c r="X822" s="97">
        <f t="shared" si="339"/>
        <v>0</v>
      </c>
      <c r="Y822" s="97"/>
      <c r="Z822" s="16" t="str">
        <f>VLOOKUP($D822,TableInputsData[],ReadMe!$M$3,FALSE)&amp;"  |  "&amp;VLOOKUP($E822,TableInputsData[],ReadMe!$M$3,FALSE)&amp;"  |  "&amp;VLOOKUP($H822,TableInputsData[],ReadMe!$M$3,FALSE)</f>
        <v>SOURCE DE FINANCEMENT  |  INTERETS  |  PRET DE OVO + PRET DE LA FAMILLE ET DES AMIS</v>
      </c>
      <c r="AA822" s="16"/>
      <c r="AB822" s="27"/>
      <c r="AC822" s="27">
        <v>1</v>
      </c>
      <c r="AD822" s="27"/>
      <c r="AE822" s="27"/>
      <c r="AF822" s="27">
        <v>1</v>
      </c>
      <c r="AG822" s="27"/>
      <c r="AH822" s="533"/>
      <c r="AI822" s="294"/>
    </row>
    <row r="823" spans="1:35" x14ac:dyDescent="0.2">
      <c r="A823" s="294"/>
      <c r="B823" s="922"/>
      <c r="C823" s="66">
        <v>7</v>
      </c>
      <c r="D823" s="3"/>
      <c r="E823" s="3"/>
      <c r="F823" s="3"/>
      <c r="G823" s="3"/>
      <c r="H823" s="5"/>
      <c r="I823" s="124"/>
      <c r="J823" s="125"/>
      <c r="K823" s="125"/>
      <c r="L823" s="96"/>
      <c r="M823" s="118"/>
      <c r="N823" s="861"/>
      <c r="O823" s="4"/>
      <c r="P823" s="4"/>
      <c r="Q823" s="4"/>
      <c r="R823" s="4"/>
      <c r="S823" s="4"/>
      <c r="T823" s="4"/>
      <c r="U823" s="4"/>
      <c r="V823" s="4"/>
      <c r="W823" s="4"/>
      <c r="X823" s="4"/>
      <c r="Y823" s="4"/>
      <c r="Z823" s="3"/>
      <c r="AA823" s="3"/>
      <c r="AB823" s="34"/>
      <c r="AC823" s="34"/>
      <c r="AD823" s="34"/>
      <c r="AE823" s="26"/>
      <c r="AF823" s="34"/>
      <c r="AG823" s="34"/>
      <c r="AH823" s="535"/>
      <c r="AI823" s="294"/>
    </row>
    <row r="824" spans="1:35" x14ac:dyDescent="0.2">
      <c r="A824" s="294"/>
      <c r="B824" s="922"/>
      <c r="C824" s="67">
        <v>7</v>
      </c>
      <c r="D824" s="16" t="s">
        <v>951</v>
      </c>
      <c r="E824" s="16" t="s">
        <v>951</v>
      </c>
      <c r="F824" s="16" t="s">
        <v>21</v>
      </c>
      <c r="G824" s="16"/>
      <c r="H824" s="17" t="s">
        <v>920</v>
      </c>
      <c r="I824" s="145" t="s">
        <v>1877</v>
      </c>
      <c r="J824" s="146">
        <f t="shared" ref="J824:J826" si="340">SUM(S824:X824)</f>
        <v>0</v>
      </c>
      <c r="K824" s="27"/>
      <c r="L824" s="97"/>
      <c r="M824" s="112"/>
      <c r="N824" s="18"/>
      <c r="O824" s="97"/>
      <c r="P824" s="97"/>
      <c r="Q824" s="97"/>
      <c r="R824" s="97"/>
      <c r="S824" s="97">
        <f t="shared" ref="S824:X824" si="341">S787</f>
        <v>0</v>
      </c>
      <c r="T824" s="97">
        <f t="shared" si="341"/>
        <v>0</v>
      </c>
      <c r="U824" s="97">
        <f t="shared" si="341"/>
        <v>0</v>
      </c>
      <c r="V824" s="97">
        <f t="shared" si="341"/>
        <v>0</v>
      </c>
      <c r="W824" s="97">
        <f t="shared" si="341"/>
        <v>0</v>
      </c>
      <c r="X824" s="97">
        <f t="shared" si="341"/>
        <v>0</v>
      </c>
      <c r="Y824" s="97"/>
      <c r="Z824" s="16" t="str">
        <f>VLOOKUP($D824,TableInputsData[],ReadMe!$M$3,FALSE)&amp;"  |  "&amp;VLOOKUP($E824,TableInputsData[],ReadMe!$M$3,FALSE)&amp;"  |  "&amp;VLOOKUP($H824,TableInputsData[],ReadMe!$M$3,FALSE)</f>
        <v>SOURCE DE FINANCEMENT  |  SOURCE DE FINANCEMENT  |  PRET BANQUE LOCALE</v>
      </c>
      <c r="AA824" s="16"/>
      <c r="AB824" s="27"/>
      <c r="AC824" s="27">
        <v>1</v>
      </c>
      <c r="AD824" s="27"/>
      <c r="AE824" s="27"/>
      <c r="AF824" s="27">
        <v>1</v>
      </c>
      <c r="AG824" s="27"/>
      <c r="AH824" s="533"/>
      <c r="AI824" s="294"/>
    </row>
    <row r="825" spans="1:35" x14ac:dyDescent="0.2">
      <c r="A825" s="294"/>
      <c r="B825" s="922"/>
      <c r="C825" s="67">
        <v>7</v>
      </c>
      <c r="D825" s="16" t="s">
        <v>951</v>
      </c>
      <c r="E825" s="16" t="s">
        <v>947</v>
      </c>
      <c r="F825" s="16" t="s">
        <v>21</v>
      </c>
      <c r="G825" s="16"/>
      <c r="H825" s="17" t="s">
        <v>920</v>
      </c>
      <c r="I825" s="145" t="s">
        <v>1877</v>
      </c>
      <c r="J825" s="146">
        <f t="shared" si="340"/>
        <v>0</v>
      </c>
      <c r="K825" s="27"/>
      <c r="L825" s="97"/>
      <c r="M825" s="112"/>
      <c r="N825" s="18"/>
      <c r="O825" s="97"/>
      <c r="P825" s="97"/>
      <c r="Q825" s="97"/>
      <c r="R825" s="97"/>
      <c r="S825" s="97">
        <f t="shared" ref="S825:X825" si="342">S814</f>
        <v>0</v>
      </c>
      <c r="T825" s="97">
        <f t="shared" si="342"/>
        <v>0</v>
      </c>
      <c r="U825" s="97">
        <f t="shared" si="342"/>
        <v>0</v>
      </c>
      <c r="V825" s="97">
        <f t="shared" si="342"/>
        <v>0</v>
      </c>
      <c r="W825" s="97">
        <f t="shared" si="342"/>
        <v>0</v>
      </c>
      <c r="X825" s="97">
        <f t="shared" si="342"/>
        <v>0</v>
      </c>
      <c r="Y825" s="145">
        <f>Y814</f>
        <v>0</v>
      </c>
      <c r="Z825" s="16" t="str">
        <f>VLOOKUP($D825,TableInputsData[],ReadMe!$M$3,FALSE)&amp;"  |  "&amp;VLOOKUP($E825,TableInputsData[],ReadMe!$M$3,FALSE)&amp;"  |  "&amp;VLOOKUP($H825,TableInputsData[],ReadMe!$M$3,FALSE)</f>
        <v>SOURCE DE FINANCEMENT  |  MONTANT PRINCIPAL DE PRET  |  PRET BANQUE LOCALE</v>
      </c>
      <c r="AA825" s="16"/>
      <c r="AB825" s="27"/>
      <c r="AC825" s="27">
        <v>1</v>
      </c>
      <c r="AD825" s="27"/>
      <c r="AE825" s="27"/>
      <c r="AF825" s="27">
        <v>1</v>
      </c>
      <c r="AG825" s="27"/>
      <c r="AH825" s="533"/>
      <c r="AI825" s="294"/>
    </row>
    <row r="826" spans="1:35" x14ac:dyDescent="0.2">
      <c r="A826" s="294"/>
      <c r="B826" s="922"/>
      <c r="C826" s="67">
        <v>7</v>
      </c>
      <c r="D826" s="16" t="s">
        <v>951</v>
      </c>
      <c r="E826" s="16" t="s">
        <v>909</v>
      </c>
      <c r="F826" s="16" t="s">
        <v>21</v>
      </c>
      <c r="G826" s="16"/>
      <c r="H826" s="17" t="s">
        <v>920</v>
      </c>
      <c r="I826" s="145" t="s">
        <v>1877</v>
      </c>
      <c r="J826" s="146">
        <f t="shared" si="340"/>
        <v>0</v>
      </c>
      <c r="K826" s="27"/>
      <c r="L826" s="97"/>
      <c r="M826" s="112"/>
      <c r="N826" s="18"/>
      <c r="O826" s="97"/>
      <c r="P826" s="97"/>
      <c r="Q826" s="97"/>
      <c r="R826" s="97"/>
      <c r="S826" s="97">
        <f t="shared" ref="S826:X826" si="343">S818</f>
        <v>0</v>
      </c>
      <c r="T826" s="97">
        <f t="shared" si="343"/>
        <v>0</v>
      </c>
      <c r="U826" s="97">
        <f t="shared" si="343"/>
        <v>0</v>
      </c>
      <c r="V826" s="97">
        <f t="shared" si="343"/>
        <v>0</v>
      </c>
      <c r="W826" s="97">
        <f t="shared" si="343"/>
        <v>0</v>
      </c>
      <c r="X826" s="97">
        <f t="shared" si="343"/>
        <v>0</v>
      </c>
      <c r="Y826" s="97"/>
      <c r="Z826" s="16" t="str">
        <f>VLOOKUP($D826,TableInputsData[],ReadMe!$M$3,FALSE)&amp;"  |  "&amp;VLOOKUP($E826,TableInputsData[],ReadMe!$M$3,FALSE)&amp;"  |  "&amp;VLOOKUP($H826,TableInputsData[],ReadMe!$M$3,FALSE)</f>
        <v>SOURCE DE FINANCEMENT  |  INTERETS  |  PRET BANQUE LOCALE</v>
      </c>
      <c r="AA826" s="16"/>
      <c r="AB826" s="27"/>
      <c r="AC826" s="27">
        <v>1</v>
      </c>
      <c r="AD826" s="27"/>
      <c r="AE826" s="27"/>
      <c r="AF826" s="27">
        <v>1</v>
      </c>
      <c r="AG826" s="27"/>
      <c r="AH826" s="533"/>
      <c r="AI826" s="294"/>
    </row>
    <row r="827" spans="1:35" x14ac:dyDescent="0.2">
      <c r="A827" s="294"/>
      <c r="B827" s="922"/>
      <c r="C827" s="66">
        <v>7</v>
      </c>
      <c r="D827" s="3"/>
      <c r="E827" s="3"/>
      <c r="F827" s="3"/>
      <c r="G827" s="3"/>
      <c r="H827" s="5"/>
      <c r="I827" s="124"/>
      <c r="J827" s="125"/>
      <c r="K827" s="125"/>
      <c r="L827" s="96"/>
      <c r="M827" s="118"/>
      <c r="N827" s="861"/>
      <c r="O827" s="4"/>
      <c r="P827" s="4"/>
      <c r="Q827" s="4"/>
      <c r="R827" s="4"/>
      <c r="S827" s="4"/>
      <c r="T827" s="4"/>
      <c r="U827" s="4"/>
      <c r="V827" s="4"/>
      <c r="W827" s="4"/>
      <c r="X827" s="4"/>
      <c r="Y827" s="4"/>
      <c r="Z827" s="3"/>
      <c r="AA827" s="3"/>
      <c r="AB827" s="34"/>
      <c r="AC827" s="34"/>
      <c r="AD827" s="34"/>
      <c r="AE827" s="26"/>
      <c r="AF827" s="34"/>
      <c r="AG827" s="34"/>
      <c r="AH827" s="535"/>
      <c r="AI827" s="294"/>
    </row>
    <row r="828" spans="1:35" x14ac:dyDescent="0.2">
      <c r="A828" s="294"/>
      <c r="B828" s="922"/>
      <c r="C828" s="66">
        <v>7</v>
      </c>
      <c r="D828" s="3" t="s">
        <v>951</v>
      </c>
      <c r="E828" s="3" t="s">
        <v>760</v>
      </c>
      <c r="F828" s="3" t="s">
        <v>21</v>
      </c>
      <c r="G828" s="3"/>
      <c r="H828" s="5" t="s">
        <v>963</v>
      </c>
      <c r="I828" s="124"/>
      <c r="J828" s="125"/>
      <c r="K828" s="125"/>
      <c r="L828" s="96"/>
      <c r="M828" s="118"/>
      <c r="N828" s="861"/>
      <c r="O828" s="4"/>
      <c r="P828" s="4"/>
      <c r="Q828" s="4"/>
      <c r="R828" s="4"/>
      <c r="S828" s="4">
        <f>SUM($S820:S820)-SUM($S821:S821)-T821</f>
        <v>0</v>
      </c>
      <c r="T828" s="4">
        <f>SUM($S820:T820)-SUM($S821:T821)-U821</f>
        <v>0</v>
      </c>
      <c r="U828" s="4">
        <f>SUM($S820:U820)-SUM($S821:U821)-V821</f>
        <v>0</v>
      </c>
      <c r="V828" s="4">
        <f>SUM($S820:V820)-SUM($S821:V821)-W821</f>
        <v>0</v>
      </c>
      <c r="W828" s="4">
        <f>SUM($S820:W820)-SUM($S821:W821)-X821</f>
        <v>0</v>
      </c>
      <c r="X828" s="4">
        <f>Y821-X829</f>
        <v>0</v>
      </c>
      <c r="Y828" s="611"/>
      <c r="Z828" s="3" t="str">
        <f>VLOOKUP($D828,TableInputsData[],ReadMe!$M$3,FALSE)&amp;"  |  "&amp;VLOOKUP($E828,TableInputsData[],ReadMe!$M$3,FALSE)&amp;"  |  "&amp;VLOOKUP($H828,TableInputsData[],ReadMe!$M$3,FALSE)</f>
        <v>SOURCE DE FINANCEMENT  |  VALEUR BILAN FIN D'ANNEE A LONG TERME  |  PRET DE OVO + PRET DE LA FAMILLE ET DES AMIS</v>
      </c>
      <c r="AA828" s="3"/>
      <c r="AB828" s="34"/>
      <c r="AC828" s="34">
        <v>1</v>
      </c>
      <c r="AD828" s="34"/>
      <c r="AE828" s="26"/>
      <c r="AF828" s="34">
        <v>1</v>
      </c>
      <c r="AG828" s="34"/>
      <c r="AH828" s="535"/>
      <c r="AI828" s="294"/>
    </row>
    <row r="829" spans="1:35" x14ac:dyDescent="0.2">
      <c r="A829" s="294"/>
      <c r="B829" s="922"/>
      <c r="C829" s="66">
        <v>7</v>
      </c>
      <c r="D829" s="3" t="s">
        <v>951</v>
      </c>
      <c r="E829" s="3" t="s">
        <v>761</v>
      </c>
      <c r="F829" s="3" t="s">
        <v>21</v>
      </c>
      <c r="G829" s="3"/>
      <c r="H829" s="5" t="s">
        <v>963</v>
      </c>
      <c r="I829" s="124"/>
      <c r="J829" s="125"/>
      <c r="K829" s="125"/>
      <c r="L829" s="96"/>
      <c r="M829" s="118"/>
      <c r="N829" s="861"/>
      <c r="O829" s="4"/>
      <c r="P829" s="4"/>
      <c r="Q829" s="4"/>
      <c r="R829" s="4"/>
      <c r="S829" s="4">
        <f>T821</f>
        <v>0</v>
      </c>
      <c r="T829" s="4">
        <f t="shared" ref="T829:U829" si="344">U821</f>
        <v>0</v>
      </c>
      <c r="U829" s="4">
        <f t="shared" si="344"/>
        <v>0</v>
      </c>
      <c r="V829" s="4">
        <f>W821</f>
        <v>0</v>
      </c>
      <c r="W829" s="4">
        <f>X821</f>
        <v>0</v>
      </c>
      <c r="X829" s="4">
        <f>IF(Y821&lt;=X796+X805,Y796+X805,X796)</f>
        <v>0</v>
      </c>
      <c r="Y829" s="611"/>
      <c r="Z829" s="3" t="str">
        <f>VLOOKUP($D829,TableInputsData[],ReadMe!$M$3,FALSE)&amp;"  |  "&amp;VLOOKUP($E829,TableInputsData[],ReadMe!$M$3,FALSE)&amp;"  |  "&amp;VLOOKUP($H829,TableInputsData[],ReadMe!$M$3,FALSE)</f>
        <v>SOURCE DE FINANCEMENT  |  VALEUR BILAN FIN D'ANNEE A COURT TERME  |  PRET DE OVO + PRET DE LA FAMILLE ET DES AMIS</v>
      </c>
      <c r="AA829" s="3"/>
      <c r="AB829" s="34"/>
      <c r="AC829" s="34">
        <v>1</v>
      </c>
      <c r="AD829" s="34"/>
      <c r="AE829" s="26"/>
      <c r="AF829" s="34">
        <v>1</v>
      </c>
      <c r="AG829" s="34"/>
      <c r="AH829" s="535"/>
      <c r="AI829" s="294"/>
    </row>
    <row r="830" spans="1:35" x14ac:dyDescent="0.2">
      <c r="A830" s="294"/>
      <c r="B830" s="922"/>
      <c r="C830" s="66">
        <v>7</v>
      </c>
      <c r="D830" s="3" t="s">
        <v>951</v>
      </c>
      <c r="E830" s="3" t="s">
        <v>760</v>
      </c>
      <c r="F830" s="3" t="s">
        <v>21</v>
      </c>
      <c r="G830" s="3"/>
      <c r="H830" s="5" t="s">
        <v>920</v>
      </c>
      <c r="I830" s="124"/>
      <c r="J830" s="125"/>
      <c r="K830" s="125"/>
      <c r="L830" s="96"/>
      <c r="M830" s="118"/>
      <c r="N830" s="861"/>
      <c r="O830" s="4"/>
      <c r="P830" s="4"/>
      <c r="Q830" s="4"/>
      <c r="R830" s="4"/>
      <c r="S830" s="4">
        <f>SUM($S824:S824)-SUM($S825:S825)-T825</f>
        <v>0</v>
      </c>
      <c r="T830" s="4">
        <f>SUM($S824:T824)-SUM($S825:T825)-U825</f>
        <v>0</v>
      </c>
      <c r="U830" s="4">
        <f>SUM($S824:U824)-SUM($S825:U825)-V825</f>
        <v>0</v>
      </c>
      <c r="V830" s="4">
        <f>SUM($S824:V824)-SUM($S825:V825)-W825</f>
        <v>0</v>
      </c>
      <c r="W830" s="4">
        <f>SUM($S824:W824)-SUM($S825:W825)-X825</f>
        <v>0</v>
      </c>
      <c r="X830" s="4">
        <f>Y825-X831</f>
        <v>0</v>
      </c>
      <c r="Y830" s="611"/>
      <c r="Z830" s="3" t="str">
        <f>VLOOKUP($D830,TableInputsData[],ReadMe!$M$3,FALSE)&amp;"  |  "&amp;VLOOKUP($E830,TableInputsData[],ReadMe!$M$3,FALSE)&amp;"  |  "&amp;VLOOKUP($H830,TableInputsData[],ReadMe!$M$3,FALSE)</f>
        <v>SOURCE DE FINANCEMENT  |  VALEUR BILAN FIN D'ANNEE A LONG TERME  |  PRET BANQUE LOCALE</v>
      </c>
      <c r="AA830" s="3"/>
      <c r="AB830" s="34"/>
      <c r="AC830" s="34">
        <v>1</v>
      </c>
      <c r="AD830" s="34"/>
      <c r="AE830" s="26"/>
      <c r="AF830" s="34">
        <v>1</v>
      </c>
      <c r="AG830" s="34"/>
      <c r="AH830" s="535"/>
      <c r="AI830" s="294"/>
    </row>
    <row r="831" spans="1:35" x14ac:dyDescent="0.2">
      <c r="A831" s="294"/>
      <c r="B831" s="922"/>
      <c r="C831" s="66">
        <v>7</v>
      </c>
      <c r="D831" s="3" t="s">
        <v>951</v>
      </c>
      <c r="E831" s="3" t="s">
        <v>761</v>
      </c>
      <c r="F831" s="3" t="s">
        <v>21</v>
      </c>
      <c r="G831" s="3"/>
      <c r="H831" s="5" t="s">
        <v>920</v>
      </c>
      <c r="I831" s="124"/>
      <c r="J831" s="125"/>
      <c r="K831" s="125"/>
      <c r="L831" s="96"/>
      <c r="M831" s="118"/>
      <c r="N831" s="861"/>
      <c r="O831" s="4"/>
      <c r="P831" s="4"/>
      <c r="Q831" s="4"/>
      <c r="R831" s="4"/>
      <c r="S831" s="4">
        <f>T825</f>
        <v>0</v>
      </c>
      <c r="T831" s="4">
        <f t="shared" ref="T831:V831" si="345">U825</f>
        <v>0</v>
      </c>
      <c r="U831" s="4">
        <f t="shared" si="345"/>
        <v>0</v>
      </c>
      <c r="V831" s="4">
        <f t="shared" si="345"/>
        <v>0</v>
      </c>
      <c r="W831" s="4">
        <f>X825</f>
        <v>0</v>
      </c>
      <c r="X831" s="4">
        <f>IF(Y825&lt;=X814,Y814,X814)</f>
        <v>0</v>
      </c>
      <c r="Y831" s="611"/>
      <c r="Z831" s="3" t="str">
        <f>VLOOKUP($D831,TableInputsData[],ReadMe!$M$3,FALSE)&amp;"  |  "&amp;VLOOKUP($E831,TableInputsData[],ReadMe!$M$3,FALSE)&amp;"  |  "&amp;VLOOKUP($H831,TableInputsData[],ReadMe!$M$3,FALSE)</f>
        <v>SOURCE DE FINANCEMENT  |  VALEUR BILAN FIN D'ANNEE A COURT TERME  |  PRET BANQUE LOCALE</v>
      </c>
      <c r="AA831" s="3"/>
      <c r="AB831" s="34"/>
      <c r="AC831" s="34">
        <v>1</v>
      </c>
      <c r="AD831" s="34"/>
      <c r="AE831" s="26"/>
      <c r="AF831" s="34">
        <v>1</v>
      </c>
      <c r="AG831" s="34"/>
      <c r="AH831" s="535"/>
      <c r="AI831" s="294"/>
    </row>
    <row r="832" spans="1:35" x14ac:dyDescent="0.2">
      <c r="A832" s="294"/>
      <c r="B832" s="922"/>
      <c r="C832" s="66">
        <v>7</v>
      </c>
      <c r="D832" s="3"/>
      <c r="E832" s="3"/>
      <c r="F832" s="3"/>
      <c r="G832" s="3"/>
      <c r="H832" s="5"/>
      <c r="I832" s="124"/>
      <c r="J832" s="125"/>
      <c r="K832" s="125"/>
      <c r="L832" s="96"/>
      <c r="M832" s="118"/>
      <c r="N832" s="861"/>
      <c r="O832" s="4"/>
      <c r="P832" s="4"/>
      <c r="Q832" s="4"/>
      <c r="R832" s="4"/>
      <c r="S832" s="4"/>
      <c r="T832" s="4"/>
      <c r="U832" s="4"/>
      <c r="V832" s="4"/>
      <c r="W832" s="4"/>
      <c r="X832" s="4"/>
      <c r="Y832" s="4"/>
      <c r="Z832" s="3"/>
      <c r="AA832" s="3"/>
      <c r="AB832" s="34"/>
      <c r="AC832" s="34"/>
      <c r="AD832" s="34"/>
      <c r="AE832" s="26"/>
      <c r="AF832" s="34"/>
      <c r="AG832" s="34"/>
      <c r="AH832" s="535"/>
      <c r="AI832" s="294"/>
    </row>
    <row r="833" spans="1:35" x14ac:dyDescent="0.2">
      <c r="A833" s="294"/>
      <c r="B833" s="922"/>
      <c r="C833" s="189">
        <v>7</v>
      </c>
      <c r="D833" s="190"/>
      <c r="E833" s="190"/>
      <c r="F833" s="190"/>
      <c r="G833" s="190"/>
      <c r="H833" s="191" t="s">
        <v>76</v>
      </c>
      <c r="I833" s="192"/>
      <c r="J833" s="193"/>
      <c r="K833" s="193"/>
      <c r="L833" s="194"/>
      <c r="M833" s="195"/>
      <c r="N833" s="864"/>
      <c r="O833" s="196"/>
      <c r="P833" s="196"/>
      <c r="Q833" s="196"/>
      <c r="R833" s="196"/>
      <c r="S833" s="196"/>
      <c r="T833" s="196"/>
      <c r="U833" s="196"/>
      <c r="V833" s="196"/>
      <c r="W833" s="196"/>
      <c r="X833" s="196"/>
      <c r="Y833" s="196"/>
      <c r="Z833" s="190"/>
      <c r="AA833" s="190"/>
      <c r="AB833" s="197"/>
      <c r="AC833" s="197"/>
      <c r="AD833" s="197"/>
      <c r="AE833" s="219"/>
      <c r="AF833" s="197"/>
      <c r="AG833" s="197"/>
      <c r="AH833" s="539"/>
      <c r="AI833" s="294"/>
    </row>
    <row r="834" spans="1:35" ht="12.75" customHeight="1" x14ac:dyDescent="0.2">
      <c r="A834" s="294"/>
      <c r="B834" s="937" t="s">
        <v>181</v>
      </c>
      <c r="C834" s="189">
        <v>0</v>
      </c>
      <c r="D834" s="190"/>
      <c r="E834" s="190"/>
      <c r="F834" s="190"/>
      <c r="G834" s="190"/>
      <c r="H834" s="191" t="s">
        <v>76</v>
      </c>
      <c r="I834" s="192"/>
      <c r="J834" s="193"/>
      <c r="K834" s="193"/>
      <c r="L834" s="194"/>
      <c r="M834" s="195"/>
      <c r="N834" s="864"/>
      <c r="O834" s="196"/>
      <c r="P834" s="196"/>
      <c r="Q834" s="196"/>
      <c r="R834" s="196"/>
      <c r="S834" s="196"/>
      <c r="T834" s="196"/>
      <c r="U834" s="196"/>
      <c r="V834" s="196"/>
      <c r="W834" s="196"/>
      <c r="X834" s="196"/>
      <c r="Y834" s="196"/>
      <c r="Z834" s="190"/>
      <c r="AA834" s="190"/>
      <c r="AB834" s="197"/>
      <c r="AC834" s="197"/>
      <c r="AD834" s="197"/>
      <c r="AE834" s="219"/>
      <c r="AF834" s="197"/>
      <c r="AG834" s="197"/>
      <c r="AH834" s="539"/>
      <c r="AI834" s="294"/>
    </row>
    <row r="835" spans="1:35" x14ac:dyDescent="0.2">
      <c r="A835" s="294"/>
      <c r="B835" s="938"/>
      <c r="C835" s="66">
        <v>0</v>
      </c>
      <c r="D835" s="3"/>
      <c r="E835" s="3"/>
      <c r="F835" s="3"/>
      <c r="G835" s="3"/>
      <c r="H835" s="5"/>
      <c r="I835" s="124"/>
      <c r="J835" s="125"/>
      <c r="K835" s="125"/>
      <c r="L835" s="96"/>
      <c r="M835" s="118"/>
      <c r="N835" s="861"/>
      <c r="O835" s="4"/>
      <c r="P835" s="4"/>
      <c r="Q835" s="4"/>
      <c r="R835" s="4"/>
      <c r="S835" s="4"/>
      <c r="T835" s="4"/>
      <c r="U835" s="4"/>
      <c r="V835" s="4"/>
      <c r="W835" s="4"/>
      <c r="X835" s="4"/>
      <c r="Y835" s="4"/>
      <c r="Z835" s="3"/>
      <c r="AA835" s="3"/>
      <c r="AB835" s="34"/>
      <c r="AC835" s="34"/>
      <c r="AD835" s="34"/>
      <c r="AE835" s="26"/>
      <c r="AF835" s="34"/>
      <c r="AG835" s="34"/>
      <c r="AH835" s="535"/>
      <c r="AI835" s="294"/>
    </row>
    <row r="836" spans="1:35" x14ac:dyDescent="0.2">
      <c r="A836" s="294"/>
      <c r="B836" s="938"/>
      <c r="C836" s="66">
        <v>0</v>
      </c>
      <c r="D836" s="3"/>
      <c r="E836" s="3"/>
      <c r="F836" s="3"/>
      <c r="G836" s="3"/>
      <c r="H836" s="5"/>
      <c r="I836" s="124"/>
      <c r="J836" s="125"/>
      <c r="K836" s="125"/>
      <c r="L836" s="96"/>
      <c r="M836" s="118"/>
      <c r="N836" s="861"/>
      <c r="O836" s="4"/>
      <c r="P836" s="4"/>
      <c r="Q836" s="4"/>
      <c r="R836" s="4"/>
      <c r="S836" s="4"/>
      <c r="T836" s="4"/>
      <c r="U836" s="4"/>
      <c r="V836" s="4"/>
      <c r="W836" s="4"/>
      <c r="X836" s="4"/>
      <c r="Y836" s="4"/>
      <c r="Z836" s="3"/>
      <c r="AA836" s="3"/>
      <c r="AB836" s="34"/>
      <c r="AC836" s="34"/>
      <c r="AD836" s="34"/>
      <c r="AE836" s="26"/>
      <c r="AF836" s="34"/>
      <c r="AG836" s="34"/>
      <c r="AH836" s="535"/>
      <c r="AI836" s="294"/>
    </row>
    <row r="837" spans="1:35" x14ac:dyDescent="0.2">
      <c r="A837" s="294"/>
      <c r="B837" s="938"/>
      <c r="C837" s="66">
        <v>0</v>
      </c>
      <c r="D837" s="3"/>
      <c r="E837" s="3"/>
      <c r="F837" s="3"/>
      <c r="G837" s="3"/>
      <c r="H837" s="5"/>
      <c r="I837" s="124"/>
      <c r="J837" s="125"/>
      <c r="K837" s="125"/>
      <c r="L837" s="96"/>
      <c r="M837" s="118"/>
      <c r="N837" s="861"/>
      <c r="O837" s="4"/>
      <c r="P837" s="4"/>
      <c r="Q837" s="4"/>
      <c r="R837" s="4"/>
      <c r="S837" s="4"/>
      <c r="T837" s="4"/>
      <c r="U837" s="4"/>
      <c r="V837" s="4"/>
      <c r="W837" s="4"/>
      <c r="X837" s="4"/>
      <c r="Y837" s="4"/>
      <c r="Z837" s="3"/>
      <c r="AA837" s="3"/>
      <c r="AB837" s="34"/>
      <c r="AC837" s="34"/>
      <c r="AD837" s="34"/>
      <c r="AE837" s="26"/>
      <c r="AF837" s="34"/>
      <c r="AG837" s="34"/>
      <c r="AH837" s="535"/>
      <c r="AI837" s="294"/>
    </row>
    <row r="838" spans="1:35" x14ac:dyDescent="0.2">
      <c r="A838" s="294"/>
      <c r="B838" s="938"/>
      <c r="C838" s="66">
        <v>0</v>
      </c>
      <c r="D838" s="3"/>
      <c r="E838" s="3"/>
      <c r="F838" s="3"/>
      <c r="G838" s="3"/>
      <c r="H838" s="5"/>
      <c r="I838" s="124"/>
      <c r="J838" s="125"/>
      <c r="K838" s="125"/>
      <c r="L838" s="96"/>
      <c r="M838" s="118"/>
      <c r="N838" s="861"/>
      <c r="O838" s="4"/>
      <c r="P838" s="4"/>
      <c r="Q838" s="4"/>
      <c r="R838" s="4"/>
      <c r="S838" s="4"/>
      <c r="T838" s="4"/>
      <c r="U838" s="4"/>
      <c r="V838" s="4"/>
      <c r="W838" s="4"/>
      <c r="X838" s="4"/>
      <c r="Y838" s="4"/>
      <c r="Z838" s="3"/>
      <c r="AA838" s="3"/>
      <c r="AB838" s="34"/>
      <c r="AC838" s="34"/>
      <c r="AD838" s="34"/>
      <c r="AE838" s="26"/>
      <c r="AF838" s="34"/>
      <c r="AG838" s="34"/>
      <c r="AH838" s="535"/>
      <c r="AI838" s="294"/>
    </row>
    <row r="839" spans="1:35" x14ac:dyDescent="0.2">
      <c r="A839" s="294"/>
      <c r="B839" s="938"/>
      <c r="C839" s="66">
        <v>0</v>
      </c>
      <c r="D839" s="3"/>
      <c r="E839" s="3"/>
      <c r="F839" s="3"/>
      <c r="G839" s="3"/>
      <c r="H839" s="5"/>
      <c r="I839" s="124"/>
      <c r="J839" s="125"/>
      <c r="K839" s="125"/>
      <c r="L839" s="96"/>
      <c r="M839" s="118"/>
      <c r="N839" s="861"/>
      <c r="O839" s="4"/>
      <c r="P839" s="4"/>
      <c r="Q839" s="4"/>
      <c r="R839" s="4"/>
      <c r="S839" s="4"/>
      <c r="T839" s="4"/>
      <c r="U839" s="4"/>
      <c r="V839" s="4"/>
      <c r="W839" s="4"/>
      <c r="X839" s="4"/>
      <c r="Y839" s="4"/>
      <c r="Z839" s="3"/>
      <c r="AA839" s="3"/>
      <c r="AB839" s="34"/>
      <c r="AC839" s="34"/>
      <c r="AD839" s="34"/>
      <c r="AE839" s="26"/>
      <c r="AF839" s="34"/>
      <c r="AG839" s="34"/>
      <c r="AH839" s="535"/>
      <c r="AI839" s="294"/>
    </row>
    <row r="840" spans="1:35" x14ac:dyDescent="0.2">
      <c r="A840" s="294"/>
      <c r="B840" s="309"/>
      <c r="C840" s="294"/>
      <c r="D840" s="294"/>
      <c r="E840" s="294"/>
      <c r="F840" s="294"/>
      <c r="G840" s="294"/>
      <c r="H840" s="294"/>
      <c r="I840" s="304"/>
      <c r="J840" s="305"/>
      <c r="K840" s="305"/>
      <c r="L840" s="306"/>
      <c r="M840" s="307"/>
      <c r="N840" s="308"/>
      <c r="O840" s="304"/>
      <c r="P840" s="304"/>
      <c r="Q840" s="304"/>
      <c r="R840" s="304"/>
      <c r="S840" s="304"/>
      <c r="T840" s="304"/>
      <c r="U840" s="304"/>
      <c r="V840" s="304"/>
      <c r="W840" s="304"/>
      <c r="X840" s="294"/>
      <c r="Y840" s="294"/>
      <c r="Z840" s="294"/>
      <c r="AA840" s="309"/>
      <c r="AB840" s="309"/>
      <c r="AC840" s="294"/>
      <c r="AD840" s="294"/>
      <c r="AE840" s="294"/>
      <c r="AF840" s="294"/>
      <c r="AG840" s="294"/>
      <c r="AH840" s="294"/>
      <c r="AI840" s="294"/>
    </row>
  </sheetData>
  <sheetProtection algorithmName="SHA-512" hashValue="16OsaglE231x3ECNOeLAFO3maWyswRSDTjZPqt0qzXISpHj83KefsUTI8CYC7g9mDkD57de6v6G3MWG+oo9Q1A==" saltValue="tASCHIgkvxdoy3HCNZzpQg==" spinCount="100000" sheet="1" objects="1" scenarios="1" formatColumns="0" autoFilter="0"/>
  <mergeCells count="10">
    <mergeCell ref="B834:B839"/>
    <mergeCell ref="B406:B690"/>
    <mergeCell ref="B199:B405"/>
    <mergeCell ref="B6:B198"/>
    <mergeCell ref="K1:N1"/>
    <mergeCell ref="B691:B707"/>
    <mergeCell ref="B708:B746"/>
    <mergeCell ref="B747:B775"/>
    <mergeCell ref="B776:B833"/>
    <mergeCell ref="B1:B5"/>
  </mergeCells>
  <phoneticPr fontId="16" type="noConversion"/>
  <conditionalFormatting sqref="O144:X144">
    <cfRule type="cellIs" dxfId="927" priority="49" operator="equal">
      <formula>FALSE</formula>
    </cfRule>
    <cfRule type="cellIs" dxfId="926" priority="50" operator="equal">
      <formula>TRUE</formula>
    </cfRule>
  </conditionalFormatting>
  <conditionalFormatting sqref="O186:X186">
    <cfRule type="cellIs" dxfId="925" priority="41" operator="equal">
      <formula>FALSE</formula>
    </cfRule>
    <cfRule type="cellIs" dxfId="924" priority="42" operator="equal">
      <formula>TRUE</formula>
    </cfRule>
  </conditionalFormatting>
  <conditionalFormatting sqref="O196:X196">
    <cfRule type="cellIs" dxfId="923" priority="37" operator="equal">
      <formula>FALSE</formula>
    </cfRule>
    <cfRule type="cellIs" dxfId="922" priority="38" operator="equal">
      <formula>TRUE</formula>
    </cfRule>
  </conditionalFormatting>
  <conditionalFormatting sqref="O370:X370">
    <cfRule type="cellIs" dxfId="921" priority="55" operator="equal">
      <formula>FALSE</formula>
    </cfRule>
    <cfRule type="cellIs" dxfId="920" priority="56" operator="equal">
      <formula>TRUE</formula>
    </cfRule>
  </conditionalFormatting>
  <conditionalFormatting sqref="O385:X385">
    <cfRule type="cellIs" dxfId="919" priority="33" operator="equal">
      <formula>FALSE</formula>
    </cfRule>
    <cfRule type="cellIs" dxfId="918" priority="34" operator="equal">
      <formula>TRUE</formula>
    </cfRule>
  </conditionalFormatting>
  <conditionalFormatting sqref="AA1">
    <cfRule type="cellIs" dxfId="917" priority="51" operator="equal">
      <formula>FALSE</formula>
    </cfRule>
    <cfRule type="cellIs" dxfId="916" priority="52" operator="equal">
      <formula>TRUE</formula>
    </cfRule>
  </conditionalFormatting>
  <conditionalFormatting sqref="AA28">
    <cfRule type="cellIs" dxfId="915" priority="27" operator="equal">
      <formula>FALSE</formula>
    </cfRule>
    <cfRule type="cellIs" dxfId="914" priority="28" operator="equal">
      <formula>TRUE</formula>
    </cfRule>
  </conditionalFormatting>
  <conditionalFormatting sqref="AA72">
    <cfRule type="cellIs" dxfId="913" priority="25" operator="equal">
      <formula>FALSE</formula>
    </cfRule>
    <cfRule type="cellIs" dxfId="912" priority="26" operator="equal">
      <formula>TRUE</formula>
    </cfRule>
  </conditionalFormatting>
  <conditionalFormatting sqref="AA116">
    <cfRule type="cellIs" dxfId="911" priority="23" operator="equal">
      <formula>FALSE</formula>
    </cfRule>
    <cfRule type="cellIs" dxfId="910" priority="24" operator="equal">
      <formula>TRUE</formula>
    </cfRule>
  </conditionalFormatting>
  <conditionalFormatting sqref="AA138">
    <cfRule type="cellIs" dxfId="909" priority="13" operator="equal">
      <formula>FALSE</formula>
    </cfRule>
    <cfRule type="cellIs" dxfId="908" priority="14" operator="equal">
      <formula>TRUE</formula>
    </cfRule>
  </conditionalFormatting>
  <conditionalFormatting sqref="AA144">
    <cfRule type="cellIs" dxfId="907" priority="47" operator="equal">
      <formula>FALSE</formula>
    </cfRule>
    <cfRule type="cellIs" dxfId="906" priority="48" operator="equal">
      <formula>TRUE</formula>
    </cfRule>
  </conditionalFormatting>
  <conditionalFormatting sqref="AA156">
    <cfRule type="cellIs" dxfId="905" priority="21" operator="equal">
      <formula>FALSE</formula>
    </cfRule>
    <cfRule type="cellIs" dxfId="904" priority="22" operator="equal">
      <formula>TRUE</formula>
    </cfRule>
  </conditionalFormatting>
  <conditionalFormatting sqref="AA168">
    <cfRule type="cellIs" dxfId="903" priority="19" operator="equal">
      <formula>FALSE</formula>
    </cfRule>
    <cfRule type="cellIs" dxfId="902" priority="20" operator="equal">
      <formula>TRUE</formula>
    </cfRule>
  </conditionalFormatting>
  <conditionalFormatting sqref="AA180">
    <cfRule type="cellIs" dxfId="901" priority="17" operator="equal">
      <formula>FALSE</formula>
    </cfRule>
    <cfRule type="cellIs" dxfId="900" priority="18" operator="equal">
      <formula>TRUE</formula>
    </cfRule>
  </conditionalFormatting>
  <conditionalFormatting sqref="AA186">
    <cfRule type="cellIs" dxfId="899" priority="39" operator="equal">
      <formula>FALSE</formula>
    </cfRule>
    <cfRule type="cellIs" dxfId="898" priority="40" operator="equal">
      <formula>TRUE</formula>
    </cfRule>
  </conditionalFormatting>
  <conditionalFormatting sqref="AA196">
    <cfRule type="cellIs" dxfId="897" priority="35" operator="equal">
      <formula>FALSE</formula>
    </cfRule>
    <cfRule type="cellIs" dxfId="896" priority="36" operator="equal">
      <formula>TRUE</formula>
    </cfRule>
  </conditionalFormatting>
  <conditionalFormatting sqref="AA370">
    <cfRule type="cellIs" dxfId="895" priority="53" operator="equal">
      <formula>FALSE</formula>
    </cfRule>
    <cfRule type="cellIs" dxfId="894" priority="54" operator="equal">
      <formula>TRUE</formula>
    </cfRule>
  </conditionalFormatting>
  <conditionalFormatting sqref="AA385">
    <cfRule type="cellIs" dxfId="893" priority="31" operator="equal">
      <formula>FALSE</formula>
    </cfRule>
    <cfRule type="cellIs" dxfId="892" priority="32" operator="equal">
      <formula>TRUE</formula>
    </cfRule>
  </conditionalFormatting>
  <conditionalFormatting sqref="AA710">
    <cfRule type="cellIs" dxfId="891" priority="11" operator="equal">
      <formula>FALSE</formula>
    </cfRule>
    <cfRule type="cellIs" dxfId="890" priority="12" operator="equal">
      <formula>TRUE</formula>
    </cfRule>
  </conditionalFormatting>
  <conditionalFormatting sqref="AA714">
    <cfRule type="cellIs" dxfId="889" priority="9" operator="equal">
      <formula>FALSE</formula>
    </cfRule>
    <cfRule type="cellIs" dxfId="888" priority="10" operator="equal">
      <formula>TRUE</formula>
    </cfRule>
  </conditionalFormatting>
  <conditionalFormatting sqref="F2">
    <cfRule type="cellIs" dxfId="887" priority="7" operator="equal">
      <formula>FALSE</formula>
    </cfRule>
    <cfRule type="cellIs" dxfId="886" priority="8" operator="equal">
      <formula>TRUE</formula>
    </cfRule>
  </conditionalFormatting>
  <conditionalFormatting sqref="O390:X390">
    <cfRule type="cellIs" dxfId="885" priority="5" operator="equal">
      <formula>FALSE</formula>
    </cfRule>
    <cfRule type="cellIs" dxfId="884" priority="6" operator="equal">
      <formula>TRUE</formula>
    </cfRule>
  </conditionalFormatting>
  <conditionalFormatting sqref="AA390">
    <cfRule type="cellIs" dxfId="883" priority="1" operator="equal">
      <formula>FALSE</formula>
    </cfRule>
    <cfRule type="cellIs" dxfId="882" priority="2" operator="equal">
      <formula>TRUE</formula>
    </cfRule>
  </conditionalFormatting>
  <dataValidations count="1">
    <dataValidation type="list" allowBlank="1" showInputMessage="1" showErrorMessage="1" sqref="H2" xr:uid="{D3C8F866-BECC-45BA-947B-DFDAB11ACF9A}">
      <formula1>"TYPICAL CASE, BEST CASE, WORST CASE"</formula1>
    </dataValidation>
  </dataValidations>
  <hyperlinks>
    <hyperlink ref="B1" location="Instructions!B3" display="Instructions" xr:uid="{88140174-798B-43B2-A4A8-731A677B9900}"/>
    <hyperlink ref="B1:B5" location="Instructions!J9" display="Instructions!J9" xr:uid="{0216603E-9036-455A-B5E7-8E2B735399D6}"/>
  </hyperlinks>
  <printOptions horizontalCentered="1"/>
  <pageMargins left="0.19685039370078741" right="0.19685039370078741" top="0.39370078740157483" bottom="0.19685039370078741" header="0.19685039370078741" footer="0.19685039370078741"/>
  <pageSetup paperSize="9" scale="29" fitToHeight="7" orientation="landscape" r:id="rId1"/>
  <headerFooter>
    <oddFooter>&amp;L&amp;F - &amp;A&amp;R| &amp;D | &amp;P/&amp;N</oddFooter>
  </headerFooter>
  <ignoredErrors>
    <ignoredError sqref="P141:X141 P183:X183 P193:X193 S460:S461 S482:S485 S780:X780 S349 O780:P782 J797" formula="1"/>
    <ignoredError sqref="S323 T809:X810 T818:X818 T799:U799 U805:X805 T814:X814 T816:X817 T798:U798 V266:X266 T259 T252:T254 T245:T247 T238:U240 S270:S279 T273:X278 O273:R279 O280:X280 S263:S265 O266:T266 S242:S260 S221:S240 O259:R260 O252:R254 O245:R247 T224:U224 T231:T233 O224:R224 O217:X220 O225:R230 O241:X241 O231:R233 O248:R251 O255:R258 O261:T262 T260 O221:R223 T221:X222 T227:X229 O234:R240 T234:X236 O242:R244 T242:X243 T248:X250 T255:X257 O267:X269 O263:R265 T263:T265 O281:X281 T279:X279 O270:R272 T270:X272 T244 T251 T258 T237:U237 T223:U223 T225:U226 T230" formulaRange="1"/>
    <ignoredError sqref="O542:P563 I810 T216 S730:X736 S729:X729 T737:X737 S739:X741 S737:S738 T738:X738 Q283:R285 T283:X285 U336:X336 V306:X306 U323:X323 O570:P591 O525:P541 O502:P524 O564:P569 S797:U797 S794:S795 S803:T804 T794:T795 S807:S808 S812:T813 S806:X806 S815:X815 W797:X797 V797 V799 V798 J274:J279 J273 J266:J271 J259:J264 J252:J257 J245:J250 J238:J243 J231:J236 J224:J229 J216:J223 J230 J237 J244 J251 J258 J265 J272 J294:J308 J323:J332 J351:J352 J737:J741 I737:I741" unlockedFormula="1"/>
    <ignoredError sqref="S283:S285" formula="1" unlockedFormula="1"/>
    <ignoredError sqref="U803:X804 U794:X795 T807:X808 U812:X813 W799:X799 W798:X798 V230:X230 U230 V225:X226 V223:X223 V237:X237 U258 U251 U244 U260:U265 V258:X258 V251:X251 V244:X244 V260:X265 U231:U233 V238:X240 V231:X233 V224:X224 U266 U245:U247 U252:U254 U259 V245:X247 V252:X254 V259:X259" formulaRange="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locked="0" defaultSize="0" print="0" autoFill="0" autoPict="0" macro="[0]!RefreshAllPivotTables">
                <anchor moveWithCells="1" sizeWithCells="1">
                  <from>
                    <xdr:col>4</xdr:col>
                    <xdr:colOff>63500</xdr:colOff>
                    <xdr:row>1</xdr:row>
                    <xdr:rowOff>63500</xdr:rowOff>
                  </from>
                  <to>
                    <xdr:col>4</xdr:col>
                    <xdr:colOff>2552700</xdr:colOff>
                    <xdr:row>1</xdr:row>
                    <xdr:rowOff>482600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6D445-76CE-487F-9574-83BA413910A7}">
  <sheetPr codeName="Sheet7">
    <tabColor rgb="FF92D050"/>
  </sheetPr>
  <dimension ref="A1:AE1122"/>
  <sheetViews>
    <sheetView zoomScale="80" zoomScaleNormal="80" workbookViewId="0">
      <pane xSplit="2" ySplit="9" topLeftCell="C10" activePane="bottomRight" state="frozen"/>
      <selection pane="topRight" activeCell="C1" sqref="C1"/>
      <selection pane="bottomLeft" activeCell="A6" sqref="A6"/>
      <selection pane="bottomRight" activeCell="D4" sqref="D4:D7"/>
    </sheetView>
  </sheetViews>
  <sheetFormatPr baseColWidth="10" defaultColWidth="0" defaultRowHeight="13" zeroHeight="1" outlineLevelRow="1" outlineLevelCol="1" x14ac:dyDescent="0.2"/>
  <cols>
    <col min="1" max="1" width="2.7109375" style="1" customWidth="1"/>
    <col min="2" max="2" width="65.7109375" style="1" customWidth="1"/>
    <col min="3" max="3" width="2.7109375" style="1" customWidth="1"/>
    <col min="4" max="4" width="37.42578125" style="1" customWidth="1"/>
    <col min="5" max="5" width="42.42578125" style="1" customWidth="1"/>
    <col min="6" max="6" width="20.7109375" style="1" hidden="1" customWidth="1" outlineLevel="1"/>
    <col min="7" max="7" width="10.7109375" style="1" customWidth="1" collapsed="1"/>
    <col min="8" max="14" width="10.7109375" style="1" customWidth="1"/>
    <col min="15" max="15" width="2.7109375" style="1" customWidth="1"/>
    <col min="16" max="21" width="8.85546875" style="1" hidden="1" customWidth="1"/>
    <col min="22" max="31" width="0" style="1" hidden="1" customWidth="1"/>
    <col min="32" max="16384" width="8.85546875" style="1" hidden="1"/>
  </cols>
  <sheetData>
    <row r="1" spans="1:15" ht="15" customHeight="1" x14ac:dyDescent="0.2">
      <c r="A1" s="294"/>
      <c r="B1" s="290" t="s">
        <v>153</v>
      </c>
      <c r="C1" s="294"/>
      <c r="D1" s="154" t="b">
        <f>AND(G1:N1)</f>
        <v>1</v>
      </c>
      <c r="E1" s="294" t="str">
        <f>E46</f>
        <v>NET PROFIT</v>
      </c>
      <c r="F1" s="294"/>
      <c r="G1" s="154" t="b">
        <f>EXACT(ROUND(G46,2),ROUND(FinanceData!O744,2))</f>
        <v>1</v>
      </c>
      <c r="H1" s="154" t="b">
        <f>EXACT(ROUND(H46,2),ROUND(FinanceData!P744,2))</f>
        <v>1</v>
      </c>
      <c r="I1" s="154" t="b">
        <f>EXACT(ROUND(I46,2),ROUND(FinanceData!S744,2))</f>
        <v>1</v>
      </c>
      <c r="J1" s="154" t="b">
        <f>EXACT(ROUND(J46,2),ROUND(FinanceData!T744,2))</f>
        <v>1</v>
      </c>
      <c r="K1" s="154" t="b">
        <f>EXACT(ROUND(K46,2),ROUND(FinanceData!U744,2))</f>
        <v>1</v>
      </c>
      <c r="L1" s="154" t="b">
        <f>EXACT(ROUND(L46,2),ROUND(FinanceData!V744,2))</f>
        <v>1</v>
      </c>
      <c r="M1" s="154" t="b">
        <f>EXACT(ROUND(M46,2),ROUND(FinanceData!W744,2))</f>
        <v>1</v>
      </c>
      <c r="N1" s="154" t="b">
        <f>EXACT(ROUND(N46,2),ROUND(FinanceData!X744,2))</f>
        <v>1</v>
      </c>
      <c r="O1" s="294"/>
    </row>
    <row r="2" spans="1:15" ht="12.75" customHeight="1" x14ac:dyDescent="0.2">
      <c r="A2" s="294"/>
      <c r="B2" s="290" t="s">
        <v>1425</v>
      </c>
      <c r="C2" s="294"/>
      <c r="D2" s="154" t="b">
        <f>AND(G2:N2)</f>
        <v>1</v>
      </c>
      <c r="E2" s="294" t="s">
        <v>191</v>
      </c>
      <c r="F2" s="294"/>
      <c r="G2" s="154" t="b">
        <f>EXACT(ROUND(G63,2),ROUND(G80,2))</f>
        <v>1</v>
      </c>
      <c r="H2" s="154" t="b">
        <f t="shared" ref="H2:N2" si="0">EXACT(ROUND(H63,2),ROUND(H80,2))</f>
        <v>1</v>
      </c>
      <c r="I2" s="154" t="b">
        <f t="shared" si="0"/>
        <v>1</v>
      </c>
      <c r="J2" s="154" t="b">
        <f t="shared" si="0"/>
        <v>1</v>
      </c>
      <c r="K2" s="154" t="b">
        <f t="shared" si="0"/>
        <v>1</v>
      </c>
      <c r="L2" s="154" t="b">
        <f t="shared" si="0"/>
        <v>1</v>
      </c>
      <c r="M2" s="154" t="b">
        <f t="shared" si="0"/>
        <v>1</v>
      </c>
      <c r="N2" s="154" t="b">
        <f t="shared" si="0"/>
        <v>1</v>
      </c>
      <c r="O2" s="294"/>
    </row>
    <row r="3" spans="1:15" ht="12.75" customHeight="1" x14ac:dyDescent="0.2">
      <c r="A3" s="294"/>
      <c r="B3" s="294"/>
      <c r="C3" s="294"/>
      <c r="D3" s="294"/>
      <c r="E3" s="294"/>
      <c r="F3" s="294"/>
      <c r="G3" s="294"/>
      <c r="H3" s="294"/>
      <c r="I3" s="294"/>
      <c r="J3" s="294"/>
      <c r="K3" s="294"/>
      <c r="L3" s="294"/>
      <c r="M3" s="294"/>
      <c r="N3" s="294"/>
      <c r="O3" s="294"/>
    </row>
    <row r="4" spans="1:15" ht="25.5" customHeight="1" x14ac:dyDescent="0.2">
      <c r="A4" s="294"/>
      <c r="B4" s="952" t="str">
        <f>UPPER(ReadMe!$L$3)&amp;" TRANSLATION"</f>
        <v>FRENCH TRANSLATION</v>
      </c>
      <c r="C4" s="294"/>
      <c r="D4" s="956" t="str">
        <f>VLOOKUP(FinanceData!$H$2,TableInputsData[],ReadMe!$M$3,FALSE)&amp;CHAR(10)&amp;VLOOKUP("SIMULATION SCENARIO",TableInputsData[],ReadMe!$M$3,FALSE)</f>
        <v>CAS TYPIQUE
SCENARIO DE SIMULATION</v>
      </c>
      <c r="E4" s="956"/>
      <c r="F4" s="428"/>
      <c r="G4" s="222" t="str">
        <f>VLOOKUP(G5,TableInputsData[],ReadMe!$M$3,FALSE)</f>
        <v>ANNEE-2</v>
      </c>
      <c r="H4" s="222" t="str">
        <f>VLOOKUP(H5,TableInputsData[],ReadMe!$M$3,FALSE)</f>
        <v>ANNEE-1</v>
      </c>
      <c r="I4" s="222" t="str">
        <f>VLOOKUP(I5,TableInputsData[],ReadMe!$M$3,FALSE)</f>
        <v>ANNEE EN COURS</v>
      </c>
      <c r="J4" s="222" t="str">
        <f>VLOOKUP(J5,TableInputsData[],ReadMe!$M$3,FALSE)</f>
        <v>ANNEE2</v>
      </c>
      <c r="K4" s="222" t="str">
        <f>VLOOKUP(K5,TableInputsData[],ReadMe!$M$3,FALSE)</f>
        <v>ANNEE3</v>
      </c>
      <c r="L4" s="222" t="str">
        <f>VLOOKUP(L5,TableInputsData[],ReadMe!$M$3,FALSE)</f>
        <v>ANNEE4</v>
      </c>
      <c r="M4" s="222" t="str">
        <f>VLOOKUP(M5,TableInputsData[],ReadMe!$M$3,FALSE)</f>
        <v>ANNEE5</v>
      </c>
      <c r="N4" s="223" t="str">
        <f>VLOOKUP(N5,TableInputsData[],ReadMe!$M$3,FALSE)</f>
        <v>ANNEE6</v>
      </c>
      <c r="O4" s="294"/>
    </row>
    <row r="5" spans="1:15" ht="25.5" hidden="1" customHeight="1" x14ac:dyDescent="0.2">
      <c r="A5" s="294"/>
      <c r="B5" s="953"/>
      <c r="C5" s="294"/>
      <c r="D5" s="957"/>
      <c r="E5" s="957"/>
      <c r="F5" s="429"/>
      <c r="G5" s="224" t="s">
        <v>392</v>
      </c>
      <c r="H5" s="224" t="s">
        <v>391</v>
      </c>
      <c r="I5" s="224" t="s">
        <v>393</v>
      </c>
      <c r="J5" s="224" t="s">
        <v>396</v>
      </c>
      <c r="K5" s="224" t="s">
        <v>397</v>
      </c>
      <c r="L5" s="224" t="s">
        <v>398</v>
      </c>
      <c r="M5" s="224" t="s">
        <v>399</v>
      </c>
      <c r="N5" s="225" t="s">
        <v>400</v>
      </c>
      <c r="O5" s="294"/>
    </row>
    <row r="6" spans="1:15" ht="18" customHeight="1" x14ac:dyDescent="0.2">
      <c r="A6" s="294"/>
      <c r="B6" s="953"/>
      <c r="C6" s="294"/>
      <c r="D6" s="957"/>
      <c r="E6" s="957"/>
      <c r="F6" s="429"/>
      <c r="G6" s="224" t="str">
        <f>VLOOKUP(G5,TableInputsData[],7,FALSE)</f>
        <v>ACTUAL</v>
      </c>
      <c r="H6" s="224" t="str">
        <f>VLOOKUP(H5,TableInputsData[],7,FALSE)</f>
        <v>ACTUAL</v>
      </c>
      <c r="I6" s="224" t="str">
        <f>VLOOKUP(I5,TableInputsData[],7,FALSE)</f>
        <v>FORECAST</v>
      </c>
      <c r="J6" s="224" t="str">
        <f>VLOOKUP(J5,TableInputsData[],7,FALSE)</f>
        <v>FORECAST</v>
      </c>
      <c r="K6" s="224" t="str">
        <f>VLOOKUP(K5,TableInputsData[],7,FALSE)</f>
        <v>FORECAST</v>
      </c>
      <c r="L6" s="224" t="str">
        <f>VLOOKUP(L5,TableInputsData[],7,FALSE)</f>
        <v>FORECAST</v>
      </c>
      <c r="M6" s="224" t="str">
        <f>VLOOKUP(M5,TableInputsData[],7,FALSE)</f>
        <v>FORECAST</v>
      </c>
      <c r="N6" s="225" t="str">
        <f>VLOOKUP(N5,TableInputsData[],7,FALSE)</f>
        <v>FORECAST</v>
      </c>
      <c r="O6" s="294"/>
    </row>
    <row r="7" spans="1:15" ht="18" customHeight="1" x14ac:dyDescent="0.2">
      <c r="A7" s="294"/>
      <c r="B7" s="954"/>
      <c r="C7" s="294"/>
      <c r="D7" s="958"/>
      <c r="E7" s="958"/>
      <c r="F7" s="430"/>
      <c r="G7" s="240">
        <f>VLOOKUP(G5,TableInputsData[],8,FALSE)</f>
        <v>2023</v>
      </c>
      <c r="H7" s="240">
        <f>VLOOKUP(H5,TableInputsData[],8,FALSE)</f>
        <v>2024</v>
      </c>
      <c r="I7" s="240">
        <f>VLOOKUP(I5,TableInputsData[],8,FALSE)</f>
        <v>2025</v>
      </c>
      <c r="J7" s="240">
        <f>VLOOKUP(J5,TableInputsData[],8,FALSE)</f>
        <v>2026</v>
      </c>
      <c r="K7" s="240">
        <f>VLOOKUP(K5,TableInputsData[],8,FALSE)</f>
        <v>2027</v>
      </c>
      <c r="L7" s="240">
        <f>VLOOKUP(L5,TableInputsData[],8,FALSE)</f>
        <v>2028</v>
      </c>
      <c r="M7" s="240">
        <f>VLOOKUP(M5,TableInputsData[],8,FALSE)</f>
        <v>2029</v>
      </c>
      <c r="N7" s="427">
        <f>VLOOKUP(N5,TableInputsData[],8,FALSE)</f>
        <v>2030</v>
      </c>
      <c r="O7" s="294"/>
    </row>
    <row r="8" spans="1:15" x14ac:dyDescent="0.2">
      <c r="A8" s="294"/>
      <c r="B8" s="294"/>
      <c r="C8" s="294"/>
      <c r="D8" s="294"/>
      <c r="E8" s="294"/>
      <c r="F8" s="294"/>
      <c r="G8" s="304"/>
      <c r="H8" s="304"/>
      <c r="I8" s="304"/>
      <c r="J8" s="304"/>
      <c r="K8" s="304"/>
      <c r="L8" s="304"/>
      <c r="M8" s="304"/>
      <c r="N8" s="304"/>
      <c r="O8" s="294"/>
    </row>
    <row r="9" spans="1:15" x14ac:dyDescent="0.2">
      <c r="A9" s="294"/>
      <c r="B9" s="294"/>
      <c r="C9" s="294"/>
      <c r="D9" s="296" t="str">
        <f>InputsData!$J$1</f>
        <v>MONNAIE LOCALE : CFA</v>
      </c>
      <c r="E9" s="294"/>
      <c r="F9" s="294"/>
      <c r="G9" s="294"/>
      <c r="H9" s="294"/>
      <c r="I9" s="294"/>
      <c r="J9" s="294"/>
      <c r="K9" s="294"/>
      <c r="L9" s="294"/>
      <c r="M9" s="294"/>
      <c r="N9" s="295" t="str">
        <f>InputsData!$J$2</f>
        <v>STRICTEMENT CONFIDENTIEL | ABC CORPORATION</v>
      </c>
      <c r="O9" s="294"/>
    </row>
    <row r="10" spans="1:15" ht="28" x14ac:dyDescent="0.2">
      <c r="A10" s="294"/>
      <c r="B10" s="950" t="str">
        <f>VLOOKUP("PROFIT AND LOSS STATEMENT",TableInputsData[],ReadMe!$M$3,FALSE)</f>
        <v>COMPTE DE PERTES ET PROFITS</v>
      </c>
      <c r="C10" s="294"/>
      <c r="D10" s="959" t="str">
        <f>D4</f>
        <v>CAS TYPIQUE
SCENARIO DE SIMULATION</v>
      </c>
      <c r="E10" s="965" t="str">
        <f>VLOOKUP("PROFIT AND LOSS STATEMENT",TableInputsData[],ReadMe!$M$3,FALSE)</f>
        <v>COMPTE DE PERTES ET PROFITS</v>
      </c>
      <c r="F10" s="165"/>
      <c r="G10" s="166" t="str">
        <f>VLOOKUP(G5,TableInputsData[],ReadMe!$M$3,FALSE)</f>
        <v>ANNEE-2</v>
      </c>
      <c r="H10" s="166" t="str">
        <f>VLOOKUP(H5,TableInputsData[],ReadMe!$M$3,FALSE)</f>
        <v>ANNEE-1</v>
      </c>
      <c r="I10" s="166" t="str">
        <f>VLOOKUP(I5,TableInputsData[],ReadMe!$M$3,FALSE)</f>
        <v>ANNEE EN COURS</v>
      </c>
      <c r="J10" s="166" t="str">
        <f>VLOOKUP(J5,TableInputsData[],ReadMe!$M$3,FALSE)</f>
        <v>ANNEE2</v>
      </c>
      <c r="K10" s="166" t="str">
        <f>VLOOKUP(K5,TableInputsData[],ReadMe!$M$3,FALSE)</f>
        <v>ANNEE3</v>
      </c>
      <c r="L10" s="166" t="str">
        <f>VLOOKUP(L5,TableInputsData[],ReadMe!$M$3,FALSE)</f>
        <v>ANNEE4</v>
      </c>
      <c r="M10" s="166" t="str">
        <f>VLOOKUP(M5,TableInputsData[],ReadMe!$M$3,FALSE)</f>
        <v>ANNEE5</v>
      </c>
      <c r="N10" s="167" t="str">
        <f>VLOOKUP(N5,TableInputsData[],ReadMe!$M$3,FALSE)</f>
        <v>ANNEE6</v>
      </c>
      <c r="O10" s="294"/>
    </row>
    <row r="11" spans="1:15" ht="14" x14ac:dyDescent="0.2">
      <c r="A11" s="294"/>
      <c r="B11" s="950"/>
      <c r="C11" s="294"/>
      <c r="D11" s="960"/>
      <c r="E11" s="949"/>
      <c r="F11" s="151"/>
      <c r="G11" s="152" t="str">
        <f>VLOOKUP(G5,TableInputsData[],7,FALSE)</f>
        <v>ACTUAL</v>
      </c>
      <c r="H11" s="152" t="str">
        <f>VLOOKUP(H5,TableInputsData[],7,FALSE)</f>
        <v>ACTUAL</v>
      </c>
      <c r="I11" s="152" t="str">
        <f>VLOOKUP(I5,TableInputsData[],7,FALSE)</f>
        <v>FORECAST</v>
      </c>
      <c r="J11" s="152" t="str">
        <f>VLOOKUP(J5,TableInputsData[],7,FALSE)</f>
        <v>FORECAST</v>
      </c>
      <c r="K11" s="152" t="str">
        <f>VLOOKUP(K5,TableInputsData[],7,FALSE)</f>
        <v>FORECAST</v>
      </c>
      <c r="L11" s="152" t="str">
        <f>VLOOKUP(L5,TableInputsData[],7,FALSE)</f>
        <v>FORECAST</v>
      </c>
      <c r="M11" s="152" t="str">
        <f>VLOOKUP(M5,TableInputsData[],7,FALSE)</f>
        <v>FORECAST</v>
      </c>
      <c r="N11" s="168" t="str">
        <f>VLOOKUP(N5,TableInputsData[],7,FALSE)</f>
        <v>FORECAST</v>
      </c>
      <c r="O11" s="294"/>
    </row>
    <row r="12" spans="1:15" x14ac:dyDescent="0.2">
      <c r="A12" s="294"/>
      <c r="B12" s="951"/>
      <c r="C12" s="294"/>
      <c r="D12" s="961"/>
      <c r="E12" s="966"/>
      <c r="F12" s="169"/>
      <c r="G12" s="170">
        <f>VLOOKUP(G5,TableInputsData[],8,FALSE)</f>
        <v>2023</v>
      </c>
      <c r="H12" s="170">
        <f>VLOOKUP(H5,TableInputsData[],8,FALSE)</f>
        <v>2024</v>
      </c>
      <c r="I12" s="170">
        <f>VLOOKUP(I5,TableInputsData[],8,FALSE)</f>
        <v>2025</v>
      </c>
      <c r="J12" s="170">
        <f>VLOOKUP(J5,TableInputsData[],8,FALSE)</f>
        <v>2026</v>
      </c>
      <c r="K12" s="170">
        <f>VLOOKUP(K5,TableInputsData[],8,FALSE)</f>
        <v>2027</v>
      </c>
      <c r="L12" s="170">
        <f>VLOOKUP(L5,TableInputsData[],8,FALSE)</f>
        <v>2028</v>
      </c>
      <c r="M12" s="170">
        <f>VLOOKUP(M5,TableInputsData[],8,FALSE)</f>
        <v>2029</v>
      </c>
      <c r="N12" s="171">
        <f>VLOOKUP(N5,TableInputsData[],8,FALSE)</f>
        <v>2030</v>
      </c>
      <c r="O12" s="294"/>
    </row>
    <row r="13" spans="1:15" ht="15" customHeight="1" x14ac:dyDescent="0.2">
      <c r="A13" s="294"/>
      <c r="B13" s="172"/>
      <c r="C13" s="294"/>
      <c r="D13" s="541"/>
      <c r="E13" s="172"/>
      <c r="F13" s="173"/>
      <c r="G13" s="173"/>
      <c r="H13" s="173"/>
      <c r="I13" s="173"/>
      <c r="J13" s="173"/>
      <c r="K13" s="173"/>
      <c r="L13" s="173"/>
      <c r="M13" s="173"/>
      <c r="N13" s="174"/>
      <c r="O13" s="294"/>
    </row>
    <row r="14" spans="1:15" ht="14.25" customHeight="1" x14ac:dyDescent="0.2">
      <c r="A14" s="294"/>
      <c r="B14" s="175" t="str">
        <f>VLOOKUP($E14,TableInputsData[],ReadMe!$M$3,FALSE)</f>
        <v>REVENUS PRODUITS</v>
      </c>
      <c r="C14" s="294"/>
      <c r="D14" s="544">
        <f>VLOOKUP($E14,TableInputsData[],FinanceData!$AH$2,FALSE)</f>
        <v>1</v>
      </c>
      <c r="E14" s="175" t="s">
        <v>616</v>
      </c>
      <c r="F14" s="153" t="s">
        <v>588</v>
      </c>
      <c r="G14" s="154">
        <f>GETPIVOTDATA("Sum of YEAR-2",$D$229,"ITEM","REVENUE AND GROSS PROFIT","SUB-ITEM1",$E14,"SUB-ITEM3",$F14)</f>
        <v>0</v>
      </c>
      <c r="H14" s="154">
        <f>GETPIVOTDATA("Sum of YEAR-1",$D$229,"ITEM","REVENUE AND GROSS PROFIT","SUB-ITEM1",$E14,"SUB-ITEM3",$F14)</f>
        <v>0</v>
      </c>
      <c r="I14" s="154">
        <f>GETPIVOTDATA("Sum of CURRENT YEAR",$D$229,"ITEM","REVENUE AND GROSS PROFIT","SUB-ITEM1",$E14,"SUB-ITEM3",$F14)</f>
        <v>0</v>
      </c>
      <c r="J14" s="154">
        <f>GETPIVOTDATA("Sum of YEAR2",$D$229,"ITEM","REVENUE AND GROSS PROFIT","SUB-ITEM1",$E14,"SUB-ITEM3",$F14)</f>
        <v>0</v>
      </c>
      <c r="K14" s="154">
        <f>GETPIVOTDATA("Sum of YEAR3",$D$229,"ITEM","REVENUE AND GROSS PROFIT","SUB-ITEM1",$E14,"SUB-ITEM3",$F14)</f>
        <v>0</v>
      </c>
      <c r="L14" s="154">
        <f>GETPIVOTDATA("Sum of YEAR4",$D$229,"ITEM","REVENUE AND GROSS PROFIT","SUB-ITEM1",$E14,"SUB-ITEM3",$F14)</f>
        <v>0</v>
      </c>
      <c r="M14" s="154">
        <f>GETPIVOTDATA("Sum of YEAR5",$D$229,"ITEM","REVENUE AND GROSS PROFIT","SUB-ITEM1",$E14,"SUB-ITEM3",$F14)</f>
        <v>0</v>
      </c>
      <c r="N14" s="176">
        <f>GETPIVOTDATA("Sum of YEAR6",$D$229,"ITEM","REVENUE AND GROSS PROFIT","SUB-ITEM1",$E14,"SUB-ITEM3",$F14)</f>
        <v>0</v>
      </c>
      <c r="O14" s="294"/>
    </row>
    <row r="15" spans="1:15" ht="14.25" customHeight="1" x14ac:dyDescent="0.2">
      <c r="A15" s="294"/>
      <c r="B15" s="175" t="str">
        <f>VLOOKUP($E15,TableInputsData[],ReadMe!$M$3,FALSE)</f>
        <v>REVENUS SERVICES</v>
      </c>
      <c r="C15" s="294"/>
      <c r="D15" s="544">
        <f>VLOOKUP($E15,TableInputsData[],FinanceData!$AH$2,FALSE)</f>
        <v>1</v>
      </c>
      <c r="E15" s="175" t="s">
        <v>627</v>
      </c>
      <c r="F15" s="153" t="s">
        <v>121</v>
      </c>
      <c r="G15" s="154">
        <f>GETPIVOTDATA("Sum of YEAR-2",$D$229,"ITEM","REVENUE AND GROSS PROFIT","SUB-ITEM1",$E15,"SUB-ITEM3",$F15)</f>
        <v>0</v>
      </c>
      <c r="H15" s="154">
        <f>GETPIVOTDATA("Sum of YEAR-1",$D$229,"ITEM","REVENUE AND GROSS PROFIT","SUB-ITEM1",$E15,"SUB-ITEM3",$F15)</f>
        <v>0</v>
      </c>
      <c r="I15" s="154">
        <f>GETPIVOTDATA("Sum of CURRENT YEAR",$D$229,"ITEM","REVENUE AND GROSS PROFIT","SUB-ITEM1",$E15,"SUB-ITEM3",$F15)</f>
        <v>0</v>
      </c>
      <c r="J15" s="154">
        <f>GETPIVOTDATA("Sum of YEAR2",$D$229,"ITEM","REVENUE AND GROSS PROFIT","SUB-ITEM1",$E15,"SUB-ITEM3",$F15)</f>
        <v>0</v>
      </c>
      <c r="K15" s="154">
        <f>GETPIVOTDATA("Sum of YEAR3",$D$229,"ITEM","REVENUE AND GROSS PROFIT","SUB-ITEM1",$E15,"SUB-ITEM3",$F15)</f>
        <v>0</v>
      </c>
      <c r="L15" s="154">
        <f>GETPIVOTDATA("Sum of YEAR4",$D$229,"ITEM","REVENUE AND GROSS PROFIT","SUB-ITEM1",$E15,"SUB-ITEM3",$F15)</f>
        <v>0</v>
      </c>
      <c r="M15" s="154">
        <f>GETPIVOTDATA("Sum of YEAR5",$D$229,"ITEM","REVENUE AND GROSS PROFIT","SUB-ITEM1",$E15,"SUB-ITEM3",$F15)</f>
        <v>0</v>
      </c>
      <c r="N15" s="176">
        <f>GETPIVOTDATA("Sum of YEAR6",$D$229,"ITEM","REVENUE AND GROSS PROFIT","SUB-ITEM1",$E15,"SUB-ITEM3",$F15)</f>
        <v>0</v>
      </c>
      <c r="O15" s="294"/>
    </row>
    <row r="16" spans="1:15" ht="12.75" customHeight="1" x14ac:dyDescent="0.2">
      <c r="A16" s="294"/>
      <c r="B16" s="450" t="str">
        <f>VLOOKUP($E16,TableInputsData[],ReadMe!$M$3,FALSE)</f>
        <v>REVENUS TOTAUX</v>
      </c>
      <c r="C16" s="294"/>
      <c r="D16" s="544"/>
      <c r="E16" s="450" t="s">
        <v>997</v>
      </c>
      <c r="F16" s="451"/>
      <c r="G16" s="452">
        <f>SUM(G14:G15)</f>
        <v>0</v>
      </c>
      <c r="H16" s="452">
        <f t="shared" ref="H16:N16" si="1">SUM(H14:H15)</f>
        <v>0</v>
      </c>
      <c r="I16" s="452">
        <f t="shared" si="1"/>
        <v>0</v>
      </c>
      <c r="J16" s="452">
        <f t="shared" si="1"/>
        <v>0</v>
      </c>
      <c r="K16" s="452">
        <f t="shared" si="1"/>
        <v>0</v>
      </c>
      <c r="L16" s="452">
        <f t="shared" si="1"/>
        <v>0</v>
      </c>
      <c r="M16" s="452">
        <f t="shared" si="1"/>
        <v>0</v>
      </c>
      <c r="N16" s="453">
        <f t="shared" si="1"/>
        <v>0</v>
      </c>
      <c r="O16" s="294"/>
    </row>
    <row r="17" spans="1:15" ht="14.25" customHeight="1" x14ac:dyDescent="0.2">
      <c r="A17" s="294"/>
      <c r="B17" s="175" t="str">
        <f>VLOOKUP($E17,TableInputsData[],ReadMe!$M$3,FALSE)</f>
        <v>COUT DES PRODUITS VENDUS</v>
      </c>
      <c r="C17" s="294"/>
      <c r="D17" s="544">
        <f>VLOOKUP($E17,TableInputsData[],FinanceData!$AH$2,FALSE)</f>
        <v>1</v>
      </c>
      <c r="E17" s="175" t="s">
        <v>619</v>
      </c>
      <c r="F17" s="153" t="s">
        <v>588</v>
      </c>
      <c r="G17" s="154">
        <f t="shared" ref="G17:G19" si="2">GETPIVOTDATA("Sum of YEAR-2",$D$229,"ITEM","REVENUE AND GROSS PROFIT","SUB-ITEM1",$E17,"SUB-ITEM3",$F17)</f>
        <v>0</v>
      </c>
      <c r="H17" s="154">
        <f t="shared" ref="H17:H19" si="3">GETPIVOTDATA("Sum of YEAR-1",$D$229,"ITEM","REVENUE AND GROSS PROFIT","SUB-ITEM1",$E17,"SUB-ITEM3",$F17)</f>
        <v>0</v>
      </c>
      <c r="I17" s="154">
        <f t="shared" ref="I17:I19" si="4">GETPIVOTDATA("Sum of CURRENT YEAR",$D$229,"ITEM","REVENUE AND GROSS PROFIT","SUB-ITEM1",$E17,"SUB-ITEM3",$F17)</f>
        <v>0</v>
      </c>
      <c r="J17" s="154">
        <f t="shared" ref="J17:J19" si="5">GETPIVOTDATA("Sum of YEAR2",$D$229,"ITEM","REVENUE AND GROSS PROFIT","SUB-ITEM1",$E17,"SUB-ITEM3",$F17)</f>
        <v>0</v>
      </c>
      <c r="K17" s="154">
        <f t="shared" ref="K17:K19" si="6">GETPIVOTDATA("Sum of YEAR3",$D$229,"ITEM","REVENUE AND GROSS PROFIT","SUB-ITEM1",$E17,"SUB-ITEM3",$F17)</f>
        <v>0</v>
      </c>
      <c r="L17" s="154">
        <f t="shared" ref="L17:L19" si="7">GETPIVOTDATA("Sum of YEAR4",$D$229,"ITEM","REVENUE AND GROSS PROFIT","SUB-ITEM1",$E17,"SUB-ITEM3",$F17)</f>
        <v>0</v>
      </c>
      <c r="M17" s="154">
        <f t="shared" ref="M17:M19" si="8">GETPIVOTDATA("Sum of YEAR5",$D$229,"ITEM","REVENUE AND GROSS PROFIT","SUB-ITEM1",$E17,"SUB-ITEM3",$F17)</f>
        <v>0</v>
      </c>
      <c r="N17" s="176">
        <f t="shared" ref="N17:N19" si="9">GETPIVOTDATA("Sum of YEAR6",$D$229,"ITEM","REVENUE AND GROSS PROFIT","SUB-ITEM1",$E17,"SUB-ITEM3",$F17)</f>
        <v>0</v>
      </c>
      <c r="O17" s="294"/>
    </row>
    <row r="18" spans="1:15" ht="14.25" customHeight="1" x14ac:dyDescent="0.2">
      <c r="A18" s="294"/>
      <c r="B18" s="175" t="str">
        <f>VLOOKUP($E18,TableInputsData[],ReadMe!$M$3,FALSE)</f>
        <v>COUT DES SERVICES VENDUS</v>
      </c>
      <c r="C18" s="294"/>
      <c r="D18" s="544">
        <f>VLOOKUP($E18,TableInputsData[],FinanceData!$AH$2,FALSE)</f>
        <v>1</v>
      </c>
      <c r="E18" s="175" t="s">
        <v>628</v>
      </c>
      <c r="F18" s="153" t="s">
        <v>121</v>
      </c>
      <c r="G18" s="154">
        <f t="shared" si="2"/>
        <v>0</v>
      </c>
      <c r="H18" s="154">
        <f t="shared" si="3"/>
        <v>0</v>
      </c>
      <c r="I18" s="154">
        <f t="shared" si="4"/>
        <v>0</v>
      </c>
      <c r="J18" s="154">
        <f t="shared" si="5"/>
        <v>0</v>
      </c>
      <c r="K18" s="154">
        <f t="shared" si="6"/>
        <v>0</v>
      </c>
      <c r="L18" s="154">
        <f t="shared" si="7"/>
        <v>0</v>
      </c>
      <c r="M18" s="154">
        <f t="shared" si="8"/>
        <v>0</v>
      </c>
      <c r="N18" s="176">
        <f t="shared" si="9"/>
        <v>0</v>
      </c>
      <c r="O18" s="294"/>
    </row>
    <row r="19" spans="1:15" ht="14.25" customHeight="1" x14ac:dyDescent="0.2">
      <c r="A19" s="294"/>
      <c r="B19" s="175" t="str">
        <f>VLOOKUP($E19,TableInputsData[],ReadMe!$M$3,FALSE)</f>
        <v>VARIATION DES STOCKS</v>
      </c>
      <c r="C19" s="294"/>
      <c r="D19" s="542"/>
      <c r="E19" s="175" t="s">
        <v>897</v>
      </c>
      <c r="F19" s="153" t="s">
        <v>588</v>
      </c>
      <c r="G19" s="154">
        <f t="shared" si="2"/>
        <v>0</v>
      </c>
      <c r="H19" s="154">
        <f t="shared" si="3"/>
        <v>0</v>
      </c>
      <c r="I19" s="154">
        <f t="shared" si="4"/>
        <v>0</v>
      </c>
      <c r="J19" s="154">
        <f t="shared" si="5"/>
        <v>0</v>
      </c>
      <c r="K19" s="154">
        <f t="shared" si="6"/>
        <v>0</v>
      </c>
      <c r="L19" s="154">
        <f t="shared" si="7"/>
        <v>0</v>
      </c>
      <c r="M19" s="154">
        <f t="shared" si="8"/>
        <v>0</v>
      </c>
      <c r="N19" s="176">
        <f t="shared" si="9"/>
        <v>0</v>
      </c>
      <c r="O19" s="294"/>
    </row>
    <row r="20" spans="1:15" ht="12.75" customHeight="1" x14ac:dyDescent="0.2">
      <c r="A20" s="294"/>
      <c r="B20" s="450" t="str">
        <f>VLOOKUP($E20,TableInputsData[],ReadMe!$M$3,FALSE)</f>
        <v>COUT TOTAL DES PRODUITS/SERVICES VENDUS</v>
      </c>
      <c r="C20" s="294"/>
      <c r="D20" s="542"/>
      <c r="E20" s="450" t="s">
        <v>998</v>
      </c>
      <c r="F20" s="451"/>
      <c r="G20" s="452">
        <f>SUM(G17:G19)</f>
        <v>0</v>
      </c>
      <c r="H20" s="452">
        <f t="shared" ref="H20:N20" si="10">SUM(H17:H19)</f>
        <v>0</v>
      </c>
      <c r="I20" s="452">
        <f t="shared" si="10"/>
        <v>0</v>
      </c>
      <c r="J20" s="452">
        <f t="shared" si="10"/>
        <v>0</v>
      </c>
      <c r="K20" s="452">
        <f t="shared" si="10"/>
        <v>0</v>
      </c>
      <c r="L20" s="452">
        <f t="shared" si="10"/>
        <v>0</v>
      </c>
      <c r="M20" s="452">
        <f t="shared" si="10"/>
        <v>0</v>
      </c>
      <c r="N20" s="453">
        <f t="shared" si="10"/>
        <v>0</v>
      </c>
      <c r="O20" s="294"/>
    </row>
    <row r="21" spans="1:15" ht="12.75" customHeight="1" x14ac:dyDescent="0.2">
      <c r="A21" s="294"/>
      <c r="B21" s="158" t="str">
        <f>VLOOKUP($E21,TableInputsData[],ReadMe!$M$3,FALSE)</f>
        <v>MARGE BRUTE</v>
      </c>
      <c r="C21" s="294"/>
      <c r="D21" s="542"/>
      <c r="E21" s="158" t="s">
        <v>522</v>
      </c>
      <c r="F21" s="159"/>
      <c r="G21" s="160">
        <f>G16-G20</f>
        <v>0</v>
      </c>
      <c r="H21" s="160">
        <f t="shared" ref="H21:N21" si="11">H16-H20</f>
        <v>0</v>
      </c>
      <c r="I21" s="160">
        <f t="shared" si="11"/>
        <v>0</v>
      </c>
      <c r="J21" s="160">
        <f t="shared" si="11"/>
        <v>0</v>
      </c>
      <c r="K21" s="160">
        <f t="shared" si="11"/>
        <v>0</v>
      </c>
      <c r="L21" s="160">
        <f t="shared" si="11"/>
        <v>0</v>
      </c>
      <c r="M21" s="160">
        <f t="shared" si="11"/>
        <v>0</v>
      </c>
      <c r="N21" s="161">
        <f t="shared" si="11"/>
        <v>0</v>
      </c>
      <c r="O21" s="294"/>
    </row>
    <row r="22" spans="1:15" ht="14.25" customHeight="1" x14ac:dyDescent="0.2">
      <c r="A22" s="294"/>
      <c r="B22" s="175"/>
      <c r="C22" s="294"/>
      <c r="D22" s="542"/>
      <c r="E22" s="175"/>
      <c r="F22" s="153"/>
      <c r="G22" s="154"/>
      <c r="H22" s="154"/>
      <c r="I22" s="154"/>
      <c r="J22" s="154"/>
      <c r="K22" s="154"/>
      <c r="L22" s="154"/>
      <c r="M22" s="154"/>
      <c r="N22" s="177"/>
      <c r="O22" s="294"/>
    </row>
    <row r="23" spans="1:15" ht="14.25" customHeight="1" x14ac:dyDescent="0.2">
      <c r="A23" s="294"/>
      <c r="B23" s="175" t="str">
        <f>VLOOKUP($E23,TableInputsData[],ReadMe!$M$3,FALSE)</f>
        <v>COUT DE MARKETING</v>
      </c>
      <c r="C23" s="294"/>
      <c r="D23" s="544">
        <f>VLOOKUP($E23,TableInputsData[],FinanceData!$AH$2,FALSE)</f>
        <v>1</v>
      </c>
      <c r="E23" s="175" t="s">
        <v>642</v>
      </c>
      <c r="F23" s="153" t="s">
        <v>46</v>
      </c>
      <c r="G23" s="154">
        <f>GETPIVOTDATA("Sum of YEAR-2",$D$429,"ITEM","OPERATING EXPENSES","SUB-ITEM1",$E23,"SUB-ITEM3",$F23)</f>
        <v>0</v>
      </c>
      <c r="H23" s="154">
        <f>GETPIVOTDATA("Sum of YEAR-1",$D$429,"ITEM","OPERATING EXPENSES","SUB-ITEM1",$E23,"SUB-ITEM3",$F23)</f>
        <v>0</v>
      </c>
      <c r="I23" s="154">
        <f>GETPIVOTDATA("Sum of CURRENT YEAR",$D$429,"ITEM","OPERATING EXPENSES","SUB-ITEM1",$E23,"SUB-ITEM3",$F23)</f>
        <v>0</v>
      </c>
      <c r="J23" s="154">
        <f>GETPIVOTDATA("Sum of YEAR2",$D$429,"ITEM","OPERATING EXPENSES","SUB-ITEM1",$E23,"SUB-ITEM3",$F23)</f>
        <v>0</v>
      </c>
      <c r="K23" s="154">
        <f>GETPIVOTDATA("Sum of YEAR3",$D$429,"ITEM","OPERATING EXPENSES","SUB-ITEM1",$E23,"SUB-ITEM3",$F23)</f>
        <v>0</v>
      </c>
      <c r="L23" s="154">
        <f>GETPIVOTDATA("Sum of YEAR4",$D$429,"ITEM","OPERATING EXPENSES","SUB-ITEM1",$E23,"SUB-ITEM3",$F23)</f>
        <v>0</v>
      </c>
      <c r="M23" s="154">
        <f>GETPIVOTDATA("Sum of YEAR5",$D$429,"ITEM","OPERATING EXPENSES","SUB-ITEM1",$E23,"SUB-ITEM3",$F23)</f>
        <v>0</v>
      </c>
      <c r="N23" s="176">
        <f>GETPIVOTDATA("Sum of YEAR6",$D$429,"ITEM","OPERATING EXPENSES","SUB-ITEM1",$E23,"SUB-ITEM3",$F23)</f>
        <v>0</v>
      </c>
      <c r="O23" s="294"/>
    </row>
    <row r="24" spans="1:15" ht="14.25" customHeight="1" x14ac:dyDescent="0.2">
      <c r="A24" s="294"/>
      <c r="B24" s="175" t="str">
        <f>VLOOKUP($E24,TableInputsData[],ReadMe!$M$3,FALSE)</f>
        <v>SALAIRES DE PERSONNEL</v>
      </c>
      <c r="C24" s="294"/>
      <c r="D24" s="544">
        <f>VLOOKUP($E24,TableInputsData[],FinanceData!$AH$2,FALSE)</f>
        <v>1</v>
      </c>
      <c r="E24" s="175" t="s">
        <v>646</v>
      </c>
      <c r="F24" s="153" t="s">
        <v>753</v>
      </c>
      <c r="G24" s="154">
        <f t="shared" ref="G24:G31" si="12">GETPIVOTDATA("Sum of YEAR-2",$D$429,"ITEM","OPERATING EXPENSES","SUB-ITEM1",$E24,"SUB-ITEM3",$F24)</f>
        <v>0</v>
      </c>
      <c r="H24" s="154">
        <f t="shared" ref="H24:H31" si="13">GETPIVOTDATA("Sum of YEAR-1",$D$429,"ITEM","OPERATING EXPENSES","SUB-ITEM1",$E24,"SUB-ITEM3",$F24)</f>
        <v>0</v>
      </c>
      <c r="I24" s="154">
        <f t="shared" ref="I24:I31" si="14">GETPIVOTDATA("Sum of CURRENT YEAR",$D$429,"ITEM","OPERATING EXPENSES","SUB-ITEM1",$E24,"SUB-ITEM3",$F24)</f>
        <v>0</v>
      </c>
      <c r="J24" s="154">
        <f t="shared" ref="J24:J31" si="15">GETPIVOTDATA("Sum of YEAR2",$D$429,"ITEM","OPERATING EXPENSES","SUB-ITEM1",$E24,"SUB-ITEM3",$F24)</f>
        <v>0</v>
      </c>
      <c r="K24" s="154">
        <f t="shared" ref="K24:K31" si="16">GETPIVOTDATA("Sum of YEAR3",$D$429,"ITEM","OPERATING EXPENSES","SUB-ITEM1",$E24,"SUB-ITEM3",$F24)</f>
        <v>0</v>
      </c>
      <c r="L24" s="154">
        <f t="shared" ref="L24:L31" si="17">GETPIVOTDATA("Sum of YEAR4",$D$429,"ITEM","OPERATING EXPENSES","SUB-ITEM1",$E24,"SUB-ITEM3",$F24)</f>
        <v>0</v>
      </c>
      <c r="M24" s="154">
        <f t="shared" ref="M24:M31" si="18">GETPIVOTDATA("Sum of YEAR5",$D$429,"ITEM","OPERATING EXPENSES","SUB-ITEM1",$E24,"SUB-ITEM3",$F24)</f>
        <v>0</v>
      </c>
      <c r="N24" s="176">
        <f t="shared" ref="N24:N31" si="19">GETPIVOTDATA("Sum of YEAR6",$D$429,"ITEM","OPERATING EXPENSES","SUB-ITEM1",$E24,"SUB-ITEM3",$F24)</f>
        <v>0</v>
      </c>
      <c r="O24" s="294"/>
    </row>
    <row r="25" spans="1:15" ht="14.25" customHeight="1" x14ac:dyDescent="0.2">
      <c r="A25" s="294"/>
      <c r="B25" s="175" t="str">
        <f>VLOOKUP($E25,TableInputsData[],ReadMe!$M$3,FALSE)</f>
        <v>IMPOTS ET TAXES SUR PERSONNEL</v>
      </c>
      <c r="C25" s="294"/>
      <c r="D25" s="544">
        <f>VLOOKUP($E25,TableInputsData[],FinanceData!$AH$2,FALSE)</f>
        <v>1</v>
      </c>
      <c r="E25" s="175" t="s">
        <v>648</v>
      </c>
      <c r="F25" s="153" t="s">
        <v>861</v>
      </c>
      <c r="G25" s="154">
        <f t="shared" si="12"/>
        <v>0</v>
      </c>
      <c r="H25" s="154">
        <f t="shared" si="13"/>
        <v>0</v>
      </c>
      <c r="I25" s="154">
        <f t="shared" si="14"/>
        <v>0</v>
      </c>
      <c r="J25" s="154">
        <f t="shared" si="15"/>
        <v>0</v>
      </c>
      <c r="K25" s="154">
        <f t="shared" si="16"/>
        <v>0</v>
      </c>
      <c r="L25" s="154">
        <f t="shared" si="17"/>
        <v>0</v>
      </c>
      <c r="M25" s="154">
        <f t="shared" si="18"/>
        <v>0</v>
      </c>
      <c r="N25" s="176">
        <f t="shared" si="19"/>
        <v>0</v>
      </c>
      <c r="O25" s="294"/>
    </row>
    <row r="26" spans="1:15" ht="14.25" customHeight="1" x14ac:dyDescent="0.2">
      <c r="A26" s="294"/>
      <c r="B26" s="175" t="str">
        <f>VLOOKUP($E26,TableInputsData[],ReadMe!$M$3,FALSE)</f>
        <v>COUTS DE L'OFFICE</v>
      </c>
      <c r="C26" s="294"/>
      <c r="D26" s="544">
        <f>VLOOKUP($E26,TableInputsData[],FinanceData!$AH$2,FALSE)</f>
        <v>1</v>
      </c>
      <c r="E26" s="175" t="s">
        <v>650</v>
      </c>
      <c r="F26" s="153" t="s">
        <v>70</v>
      </c>
      <c r="G26" s="154">
        <f t="shared" si="12"/>
        <v>0</v>
      </c>
      <c r="H26" s="154">
        <f t="shared" si="13"/>
        <v>0</v>
      </c>
      <c r="I26" s="154">
        <f t="shared" si="14"/>
        <v>0</v>
      </c>
      <c r="J26" s="154">
        <f t="shared" si="15"/>
        <v>0</v>
      </c>
      <c r="K26" s="154">
        <f t="shared" si="16"/>
        <v>0</v>
      </c>
      <c r="L26" s="154">
        <f t="shared" si="17"/>
        <v>0</v>
      </c>
      <c r="M26" s="154">
        <f t="shared" si="18"/>
        <v>0</v>
      </c>
      <c r="N26" s="176">
        <f t="shared" si="19"/>
        <v>0</v>
      </c>
      <c r="O26" s="294"/>
    </row>
    <row r="27" spans="1:15" ht="14.25" customHeight="1" x14ac:dyDescent="0.2">
      <c r="A27" s="294"/>
      <c r="B27" s="175" t="str">
        <f>VLOOKUP($E27,TableInputsData[],ReadMe!$M$3,FALSE)</f>
        <v>AUTRES CHARGES</v>
      </c>
      <c r="C27" s="294"/>
      <c r="D27" s="544">
        <f>VLOOKUP($E27,TableInputsData[],FinanceData!$AH$2,FALSE)</f>
        <v>1</v>
      </c>
      <c r="E27" s="175" t="s">
        <v>657</v>
      </c>
      <c r="F27" s="153" t="s">
        <v>862</v>
      </c>
      <c r="G27" s="154">
        <f t="shared" si="12"/>
        <v>0</v>
      </c>
      <c r="H27" s="154">
        <f t="shared" si="13"/>
        <v>0</v>
      </c>
      <c r="I27" s="154">
        <f t="shared" si="14"/>
        <v>0</v>
      </c>
      <c r="J27" s="154">
        <f t="shared" si="15"/>
        <v>0</v>
      </c>
      <c r="K27" s="154">
        <f t="shared" si="16"/>
        <v>0</v>
      </c>
      <c r="L27" s="154">
        <f t="shared" si="17"/>
        <v>0</v>
      </c>
      <c r="M27" s="154">
        <f t="shared" si="18"/>
        <v>0</v>
      </c>
      <c r="N27" s="176">
        <f t="shared" si="19"/>
        <v>0</v>
      </c>
      <c r="O27" s="294"/>
    </row>
    <row r="28" spans="1:15" ht="14.25" customHeight="1" x14ac:dyDescent="0.2">
      <c r="A28" s="294"/>
      <c r="B28" s="175" t="str">
        <f>VLOOKUP($E28,TableInputsData[],ReadMe!$M$3,FALSE)</f>
        <v>VOYAGE &amp; DEPLACEMENT</v>
      </c>
      <c r="C28" s="294"/>
      <c r="D28" s="544">
        <f>VLOOKUP($E28,TableInputsData[],FinanceData!$AH$2,FALSE)</f>
        <v>1</v>
      </c>
      <c r="E28" s="175" t="s">
        <v>658</v>
      </c>
      <c r="F28" s="153" t="s">
        <v>663</v>
      </c>
      <c r="G28" s="154">
        <f t="shared" si="12"/>
        <v>0</v>
      </c>
      <c r="H28" s="154">
        <f t="shared" si="13"/>
        <v>0</v>
      </c>
      <c r="I28" s="154">
        <f t="shared" si="14"/>
        <v>0</v>
      </c>
      <c r="J28" s="154">
        <f t="shared" si="15"/>
        <v>0</v>
      </c>
      <c r="K28" s="154">
        <f t="shared" si="16"/>
        <v>0</v>
      </c>
      <c r="L28" s="154">
        <f t="shared" si="17"/>
        <v>0</v>
      </c>
      <c r="M28" s="154">
        <f t="shared" si="18"/>
        <v>0</v>
      </c>
      <c r="N28" s="176">
        <f t="shared" si="19"/>
        <v>0</v>
      </c>
      <c r="O28" s="294"/>
    </row>
    <row r="29" spans="1:15" ht="14.25" customHeight="1" x14ac:dyDescent="0.2">
      <c r="A29" s="294"/>
      <c r="B29" s="175" t="str">
        <f>VLOOKUP($E29,TableInputsData[],ReadMe!$M$3,FALSE)</f>
        <v>ASSURANCES</v>
      </c>
      <c r="C29" s="294"/>
      <c r="D29" s="544">
        <f>VLOOKUP($E29,TableInputsData[],FinanceData!$AH$2,FALSE)</f>
        <v>1</v>
      </c>
      <c r="E29" s="175" t="s">
        <v>659</v>
      </c>
      <c r="F29" s="153" t="s">
        <v>659</v>
      </c>
      <c r="G29" s="154">
        <f t="shared" si="12"/>
        <v>0</v>
      </c>
      <c r="H29" s="154">
        <f t="shared" si="13"/>
        <v>0</v>
      </c>
      <c r="I29" s="154">
        <f t="shared" si="14"/>
        <v>0</v>
      </c>
      <c r="J29" s="154">
        <f t="shared" si="15"/>
        <v>0</v>
      </c>
      <c r="K29" s="154">
        <f t="shared" si="16"/>
        <v>0</v>
      </c>
      <c r="L29" s="154">
        <f t="shared" si="17"/>
        <v>0</v>
      </c>
      <c r="M29" s="154">
        <f t="shared" si="18"/>
        <v>0</v>
      </c>
      <c r="N29" s="176">
        <f t="shared" si="19"/>
        <v>0</v>
      </c>
      <c r="O29" s="294"/>
    </row>
    <row r="30" spans="1:15" ht="14.25" customHeight="1" x14ac:dyDescent="0.2">
      <c r="A30" s="294"/>
      <c r="B30" s="175" t="str">
        <f>VLOOKUP($E30,TableInputsData[],ReadMe!$M$3,FALSE)</f>
        <v>ENTRETIEN</v>
      </c>
      <c r="C30" s="294"/>
      <c r="D30" s="544">
        <f>VLOOKUP($E30,TableInputsData[],FinanceData!$AH$2,FALSE)</f>
        <v>1</v>
      </c>
      <c r="E30" s="175" t="s">
        <v>660</v>
      </c>
      <c r="F30" s="153" t="s">
        <v>660</v>
      </c>
      <c r="G30" s="154">
        <f t="shared" si="12"/>
        <v>0</v>
      </c>
      <c r="H30" s="154">
        <f t="shared" si="13"/>
        <v>0</v>
      </c>
      <c r="I30" s="154">
        <f t="shared" si="14"/>
        <v>0</v>
      </c>
      <c r="J30" s="154">
        <f t="shared" si="15"/>
        <v>0</v>
      </c>
      <c r="K30" s="154">
        <f t="shared" si="16"/>
        <v>0</v>
      </c>
      <c r="L30" s="154">
        <f t="shared" si="17"/>
        <v>0</v>
      </c>
      <c r="M30" s="154">
        <f t="shared" si="18"/>
        <v>0</v>
      </c>
      <c r="N30" s="176">
        <f t="shared" si="19"/>
        <v>0</v>
      </c>
      <c r="O30" s="294"/>
    </row>
    <row r="31" spans="1:15" ht="14.25" customHeight="1" x14ac:dyDescent="0.2">
      <c r="A31" s="294"/>
      <c r="B31" s="175" t="str">
        <f>VLOOKUP($E31,TableInputsData[],ReadMe!$M$3,FALSE)</f>
        <v>TIERCES PARTIES</v>
      </c>
      <c r="C31" s="294"/>
      <c r="D31" s="544">
        <f>VLOOKUP($E31,TableInputsData[],FinanceData!$AH$2,FALSE)</f>
        <v>1</v>
      </c>
      <c r="E31" s="175" t="s">
        <v>661</v>
      </c>
      <c r="F31" s="153" t="s">
        <v>661</v>
      </c>
      <c r="G31" s="154">
        <f t="shared" si="12"/>
        <v>0</v>
      </c>
      <c r="H31" s="154">
        <f t="shared" si="13"/>
        <v>0</v>
      </c>
      <c r="I31" s="154">
        <f t="shared" si="14"/>
        <v>0</v>
      </c>
      <c r="J31" s="154">
        <f t="shared" si="15"/>
        <v>0</v>
      </c>
      <c r="K31" s="154">
        <f t="shared" si="16"/>
        <v>0</v>
      </c>
      <c r="L31" s="154">
        <f t="shared" si="17"/>
        <v>0</v>
      </c>
      <c r="M31" s="154">
        <f t="shared" si="18"/>
        <v>0</v>
      </c>
      <c r="N31" s="176">
        <f t="shared" si="19"/>
        <v>0</v>
      </c>
      <c r="O31" s="294"/>
    </row>
    <row r="32" spans="1:15" ht="12.75" customHeight="1" x14ac:dyDescent="0.2">
      <c r="A32" s="294"/>
      <c r="B32" s="450" t="str">
        <f>VLOOKUP($E32,TableInputsData[],ReadMe!$M$3,FALSE)</f>
        <v>TOTAL DES DEPENSES D'EXPLOITATION</v>
      </c>
      <c r="C32" s="294"/>
      <c r="D32" s="542"/>
      <c r="E32" s="450" t="s">
        <v>999</v>
      </c>
      <c r="F32" s="451"/>
      <c r="G32" s="452">
        <f>SUM(G23:G31)</f>
        <v>0</v>
      </c>
      <c r="H32" s="452">
        <f t="shared" ref="H32:N32" si="20">SUM(H23:H31)</f>
        <v>0</v>
      </c>
      <c r="I32" s="452">
        <f t="shared" si="20"/>
        <v>0</v>
      </c>
      <c r="J32" s="452">
        <f t="shared" si="20"/>
        <v>0</v>
      </c>
      <c r="K32" s="452">
        <f t="shared" si="20"/>
        <v>0</v>
      </c>
      <c r="L32" s="452">
        <f t="shared" si="20"/>
        <v>0</v>
      </c>
      <c r="M32" s="452">
        <f t="shared" si="20"/>
        <v>0</v>
      </c>
      <c r="N32" s="453">
        <f t="shared" si="20"/>
        <v>0</v>
      </c>
      <c r="O32" s="294"/>
    </row>
    <row r="33" spans="1:15" ht="12.75" customHeight="1" x14ac:dyDescent="0.2">
      <c r="A33" s="294"/>
      <c r="B33" s="158" t="str">
        <f>VLOOKUP($E33,TableInputsData[],ReadMe!$M$3,FALSE)</f>
        <v>EBITDA - BENEFICE AVANT INTERETS, IMPOTS, DEPRECIATION ET AMORTISSEMENT</v>
      </c>
      <c r="C33" s="294"/>
      <c r="D33" s="542"/>
      <c r="E33" s="158" t="s">
        <v>911</v>
      </c>
      <c r="F33" s="159"/>
      <c r="G33" s="160">
        <f>G21-G32</f>
        <v>0</v>
      </c>
      <c r="H33" s="160">
        <f t="shared" ref="H33:N33" si="21">H21-H32</f>
        <v>0</v>
      </c>
      <c r="I33" s="160">
        <f t="shared" si="21"/>
        <v>0</v>
      </c>
      <c r="J33" s="160">
        <f t="shared" si="21"/>
        <v>0</v>
      </c>
      <c r="K33" s="160">
        <f t="shared" si="21"/>
        <v>0</v>
      </c>
      <c r="L33" s="160">
        <f t="shared" si="21"/>
        <v>0</v>
      </c>
      <c r="M33" s="160">
        <f t="shared" si="21"/>
        <v>0</v>
      </c>
      <c r="N33" s="161">
        <f t="shared" si="21"/>
        <v>0</v>
      </c>
      <c r="O33" s="294"/>
    </row>
    <row r="34" spans="1:15" ht="14.25" customHeight="1" x14ac:dyDescent="0.2">
      <c r="A34" s="294"/>
      <c r="B34" s="175"/>
      <c r="C34" s="294"/>
      <c r="D34" s="542"/>
      <c r="E34" s="175"/>
      <c r="F34" s="153"/>
      <c r="G34" s="154"/>
      <c r="H34" s="154"/>
      <c r="I34" s="154"/>
      <c r="J34" s="154"/>
      <c r="K34" s="154"/>
      <c r="L34" s="154"/>
      <c r="M34" s="154"/>
      <c r="N34" s="177"/>
      <c r="O34" s="294"/>
    </row>
    <row r="35" spans="1:15" ht="14.25" customHeight="1" x14ac:dyDescent="0.2">
      <c r="A35" s="294"/>
      <c r="B35" s="175" t="str">
        <f>VLOOKUP($E35,TableInputsData[],ReadMe!$M$3,FALSE)</f>
        <v>AMORTISSEMENTS</v>
      </c>
      <c r="C35" s="294"/>
      <c r="D35" s="542"/>
      <c r="E35" s="175" t="s">
        <v>756</v>
      </c>
      <c r="F35" s="153" t="s">
        <v>987</v>
      </c>
      <c r="G35" s="154">
        <f>GETPIVOTDATA("Sum of YEAR-2",$D$629,"ITEM","TOTAL ASSETS","SUB-ITEM1",$E35,"DESCRIPTION1",$F35)</f>
        <v>0</v>
      </c>
      <c r="H35" s="154">
        <f>GETPIVOTDATA("Sum of YEAR-1",$D$629,"ITEM","TOTAL ASSETS","SUB-ITEM1",$E35,"DESCRIPTION1",$F35)</f>
        <v>0</v>
      </c>
      <c r="I35" s="154">
        <f>GETPIVOTDATA("Sum of CURRENT YEAR",$D$629,"ITEM","TOTAL ASSETS","SUB-ITEM1",$E35,"DESCRIPTION1",$F35)</f>
        <v>0</v>
      </c>
      <c r="J35" s="154">
        <f>GETPIVOTDATA("Sum of YEAR2",$D$629,"ITEM","TOTAL ASSETS","SUB-ITEM1",$E35,"DESCRIPTION1",$F35)</f>
        <v>0</v>
      </c>
      <c r="K35" s="154">
        <f>GETPIVOTDATA("Sum of YEAR3",$D$629,"ITEM","TOTAL ASSETS","SUB-ITEM1",$E35,"DESCRIPTION1",$F35)</f>
        <v>0</v>
      </c>
      <c r="L35" s="154">
        <f>GETPIVOTDATA("Sum of YEAR4",$D$629,"ITEM","TOTAL ASSETS","SUB-ITEM1",$E35,"DESCRIPTION1",$F35)</f>
        <v>0</v>
      </c>
      <c r="M35" s="154">
        <f>GETPIVOTDATA("Sum of YEAR5",$D$629,"ITEM","TOTAL ASSETS","SUB-ITEM1",$E35,"DESCRIPTION1",$F35)</f>
        <v>0</v>
      </c>
      <c r="N35" s="176">
        <f>GETPIVOTDATA("Sum of YEAR6",$D$629,"ITEM","TOTAL ASSETS","SUB-ITEM1",$E35,"DESCRIPTION1",$F35)</f>
        <v>0</v>
      </c>
      <c r="O35" s="294"/>
    </row>
    <row r="36" spans="1:15" ht="12.75" customHeight="1" x14ac:dyDescent="0.2">
      <c r="A36" s="294"/>
      <c r="B36" s="158" t="str">
        <f>VLOOKUP($E36,TableInputsData[],ReadMe!$M$3,FALSE)</f>
        <v>EBIT - BENEFICE AVANT INTERETS ET IMPOTS</v>
      </c>
      <c r="C36" s="294"/>
      <c r="D36" s="542"/>
      <c r="E36" s="158" t="s">
        <v>910</v>
      </c>
      <c r="F36" s="159"/>
      <c r="G36" s="160">
        <f>G33-G35</f>
        <v>0</v>
      </c>
      <c r="H36" s="160">
        <f t="shared" ref="H36:N36" si="22">H33-H35</f>
        <v>0</v>
      </c>
      <c r="I36" s="160">
        <f t="shared" si="22"/>
        <v>0</v>
      </c>
      <c r="J36" s="160">
        <f t="shared" si="22"/>
        <v>0</v>
      </c>
      <c r="K36" s="160">
        <f t="shared" si="22"/>
        <v>0</v>
      </c>
      <c r="L36" s="160">
        <f t="shared" si="22"/>
        <v>0</v>
      </c>
      <c r="M36" s="160">
        <f t="shared" si="22"/>
        <v>0</v>
      </c>
      <c r="N36" s="161">
        <f t="shared" si="22"/>
        <v>0</v>
      </c>
      <c r="O36" s="294"/>
    </row>
    <row r="37" spans="1:15" ht="12.75" customHeight="1" x14ac:dyDescent="0.2">
      <c r="A37" s="294"/>
      <c r="B37" s="175"/>
      <c r="C37" s="294"/>
      <c r="D37" s="542"/>
      <c r="E37" s="175"/>
      <c r="F37" s="153"/>
      <c r="G37" s="154"/>
      <c r="H37" s="154"/>
      <c r="I37" s="154"/>
      <c r="J37" s="154"/>
      <c r="K37" s="154"/>
      <c r="L37" s="154"/>
      <c r="M37" s="154"/>
      <c r="N37" s="177"/>
      <c r="O37" s="294"/>
    </row>
    <row r="38" spans="1:15" ht="12.75" customHeight="1" x14ac:dyDescent="0.2">
      <c r="A38" s="294"/>
      <c r="B38" s="178" t="str">
        <f>VLOOKUP($E38,TableInputsData[],ReadMe!$M$3,FALSE)</f>
        <v>+ VARIATIONS DES STOCKS SUR LES ACHATS</v>
      </c>
      <c r="C38" s="294"/>
      <c r="D38" s="542"/>
      <c r="E38" s="178" t="s">
        <v>917</v>
      </c>
      <c r="F38" s="153" t="s">
        <v>176</v>
      </c>
      <c r="G38" s="154">
        <f>GETPIVOTDATA("Sum of YEAR-2",$D$829,"SUB-ITEM1",$F38,"SUB-ITEM3",,"DESCRIPTION1",$E38)</f>
        <v>0</v>
      </c>
      <c r="H38" s="154">
        <f>GETPIVOTDATA("Sum of YEAR-1",$D$829,"SUB-ITEM1",$F38,"SUB-ITEM3",,"DESCRIPTION1",$E38)</f>
        <v>0</v>
      </c>
      <c r="I38" s="154">
        <f>GETPIVOTDATA("Sum of CURRENT YEAR",$D$829,"SUB-ITEM1",$F38,"SUB-ITEM3",,"DESCRIPTION1",$E38)</f>
        <v>0</v>
      </c>
      <c r="J38" s="154">
        <f>GETPIVOTDATA("Sum of YEAR2",$D$829,"SUB-ITEM1",$F38,"SUB-ITEM3",,"DESCRIPTION1",$E38)</f>
        <v>0</v>
      </c>
      <c r="K38" s="154">
        <f>GETPIVOTDATA("Sum of YEAR3",$D$829,"SUB-ITEM1",$F38,"SUB-ITEM3",,"DESCRIPTION1",$E38)</f>
        <v>0</v>
      </c>
      <c r="L38" s="154">
        <f>GETPIVOTDATA("Sum of YEAR4",$D$829,"SUB-ITEM1",$F38,"SUB-ITEM3",,"DESCRIPTION1",$E38)</f>
        <v>0</v>
      </c>
      <c r="M38" s="154">
        <f>GETPIVOTDATA("Sum of YEAR5",$D$829,"SUB-ITEM1",$F38,"SUB-ITEM3",,"DESCRIPTION1",$E38)</f>
        <v>0</v>
      </c>
      <c r="N38" s="176">
        <f>GETPIVOTDATA("Sum of YEAR6",$D$829,"SUB-ITEM1",$F38,"SUB-ITEM3",,"DESCRIPTION1",$E38)</f>
        <v>0</v>
      </c>
      <c r="O38" s="294"/>
    </row>
    <row r="39" spans="1:15" ht="12.75" customHeight="1" x14ac:dyDescent="0.2">
      <c r="A39" s="294"/>
      <c r="B39" s="178" t="str">
        <f>VLOOKUP($E39,TableInputsData[],ReadMe!$M$3,FALSE)</f>
        <v>+ VARIATION DES CREANCES</v>
      </c>
      <c r="C39" s="294"/>
      <c r="D39" s="542"/>
      <c r="E39" s="178" t="s">
        <v>918</v>
      </c>
      <c r="F39" s="153" t="s">
        <v>176</v>
      </c>
      <c r="G39" s="154">
        <f t="shared" ref="G39:G42" si="23">GETPIVOTDATA("Sum of YEAR-2",$D$829,"SUB-ITEM1",$F39,"SUB-ITEM3",,"DESCRIPTION1",$E39)</f>
        <v>0</v>
      </c>
      <c r="H39" s="154">
        <f t="shared" ref="H39:H42" si="24">GETPIVOTDATA("Sum of YEAR-1",$D$829,"SUB-ITEM1",$F39,"SUB-ITEM3",,"DESCRIPTION1",$E39)</f>
        <v>0</v>
      </c>
      <c r="I39" s="154">
        <f t="shared" ref="I39:I42" si="25">GETPIVOTDATA("Sum of CURRENT YEAR",$D$829,"SUB-ITEM1",$F39,"SUB-ITEM3",,"DESCRIPTION1",$E39)</f>
        <v>0</v>
      </c>
      <c r="J39" s="154">
        <f t="shared" ref="J39:J42" si="26">GETPIVOTDATA("Sum of YEAR2",$D$829,"SUB-ITEM1",$F39,"SUB-ITEM3",,"DESCRIPTION1",$E39)</f>
        <v>0</v>
      </c>
      <c r="K39" s="154">
        <f t="shared" ref="K39:K42" si="27">GETPIVOTDATA("Sum of YEAR3",$D$829,"SUB-ITEM1",$F39,"SUB-ITEM3",,"DESCRIPTION1",$E39)</f>
        <v>0</v>
      </c>
      <c r="L39" s="154">
        <f t="shared" ref="L39:L42" si="28">GETPIVOTDATA("Sum of YEAR4",$D$829,"SUB-ITEM1",$F39,"SUB-ITEM3",,"DESCRIPTION1",$E39)</f>
        <v>0</v>
      </c>
      <c r="M39" s="154">
        <f t="shared" ref="M39:M42" si="29">GETPIVOTDATA("Sum of YEAR5",$D$829,"SUB-ITEM1",$F39,"SUB-ITEM3",,"DESCRIPTION1",$E39)</f>
        <v>0</v>
      </c>
      <c r="N39" s="176">
        <f t="shared" ref="N39:N42" si="30">GETPIVOTDATA("Sum of YEAR6",$D$829,"SUB-ITEM1",$F39,"SUB-ITEM3",,"DESCRIPTION1",$E39)</f>
        <v>0</v>
      </c>
      <c r="O39" s="294"/>
    </row>
    <row r="40" spans="1:15" ht="12.75" customHeight="1" x14ac:dyDescent="0.2">
      <c r="A40" s="294"/>
      <c r="B40" s="178" t="str">
        <f>VLOOKUP($E40,TableInputsData[],ReadMe!$M$3,FALSE)</f>
        <v>- VARIATION DES DETTES D'EXPLOITATION</v>
      </c>
      <c r="C40" s="294"/>
      <c r="D40" s="542"/>
      <c r="E40" s="178" t="s">
        <v>919</v>
      </c>
      <c r="F40" s="153" t="s">
        <v>176</v>
      </c>
      <c r="G40" s="154">
        <f t="shared" si="23"/>
        <v>0</v>
      </c>
      <c r="H40" s="154">
        <f t="shared" si="24"/>
        <v>0</v>
      </c>
      <c r="I40" s="154">
        <f t="shared" si="25"/>
        <v>0</v>
      </c>
      <c r="J40" s="154">
        <f t="shared" si="26"/>
        <v>0</v>
      </c>
      <c r="K40" s="154">
        <f t="shared" si="27"/>
        <v>0</v>
      </c>
      <c r="L40" s="154">
        <f t="shared" si="28"/>
        <v>0</v>
      </c>
      <c r="M40" s="154">
        <f t="shared" si="29"/>
        <v>0</v>
      </c>
      <c r="N40" s="176">
        <f t="shared" si="30"/>
        <v>0</v>
      </c>
      <c r="O40" s="294"/>
    </row>
    <row r="41" spans="1:15" ht="12.75" customHeight="1" x14ac:dyDescent="0.2">
      <c r="A41" s="294"/>
      <c r="B41" s="175" t="str">
        <f>VLOOKUP($E41,TableInputsData[],ReadMe!$M$3,FALSE)</f>
        <v>INTERETS</v>
      </c>
      <c r="C41" s="294"/>
      <c r="D41" s="542"/>
      <c r="E41" s="175" t="s">
        <v>909</v>
      </c>
      <c r="F41" s="153"/>
      <c r="G41" s="154">
        <f>GETPIVOTDATA("Sum of YEAR-2",$D$829,"SUB-ITEM1","BANK CHARGES + INTEREST","SUB-ITEM3",,"DESCRIPTION1","TOTAL")-G42</f>
        <v>0</v>
      </c>
      <c r="H41" s="154">
        <f>GETPIVOTDATA("Sum of YEAR-1",$D$829,"SUB-ITEM1","BANK CHARGES + INTEREST","SUB-ITEM3",,"DESCRIPTION1","TOTAL")-H42</f>
        <v>0</v>
      </c>
      <c r="I41" s="154">
        <f>GETPIVOTDATA("Sum of CURRENT YEAR",$D$829,"SUB-ITEM1","BANK CHARGES + INTEREST","SUB-ITEM3",,"DESCRIPTION1","TOTAL")-I42</f>
        <v>0</v>
      </c>
      <c r="J41" s="154">
        <f>GETPIVOTDATA("Sum of YEAR2",$D$829,"SUB-ITEM1","BANK CHARGES + INTEREST","SUB-ITEM3",,"DESCRIPTION1","TOTAL")-J42</f>
        <v>0</v>
      </c>
      <c r="K41" s="154">
        <f>GETPIVOTDATA("Sum of YEAR3",$D$829,"SUB-ITEM1","BANK CHARGES + INTEREST","SUB-ITEM3",,"DESCRIPTION1","TOTAL")-K42</f>
        <v>0</v>
      </c>
      <c r="L41" s="154">
        <f>GETPIVOTDATA("Sum of YEAR4",$D$829,"SUB-ITEM1","BANK CHARGES + INTEREST","SUB-ITEM3",,"DESCRIPTION1","TOTAL")-L42</f>
        <v>0</v>
      </c>
      <c r="M41" s="154">
        <f>GETPIVOTDATA("Sum of YEAR5",$D$829,"SUB-ITEM1","BANK CHARGES + INTEREST","SUB-ITEM3",,"DESCRIPTION1","TOTAL")-M42</f>
        <v>0</v>
      </c>
      <c r="N41" s="176">
        <f>GETPIVOTDATA("Sum of YEAR6",$D$829,"SUB-ITEM1","BANK CHARGES + INTEREST","SUB-ITEM3",,"DESCRIPTION1","TOTAL")-N42</f>
        <v>0</v>
      </c>
      <c r="O41" s="294"/>
    </row>
    <row r="42" spans="1:15" ht="12.75" customHeight="1" x14ac:dyDescent="0.2">
      <c r="A42" s="294"/>
      <c r="B42" s="175" t="str">
        <f>VLOOKUP($E42,TableInputsData[],ReadMe!$M$3,FALSE)</f>
        <v>FRAIS BANCAIRES</v>
      </c>
      <c r="C42" s="294"/>
      <c r="D42" s="542"/>
      <c r="E42" s="175" t="s">
        <v>906</v>
      </c>
      <c r="F42" s="153" t="s">
        <v>906</v>
      </c>
      <c r="G42" s="154">
        <f t="shared" si="23"/>
        <v>0</v>
      </c>
      <c r="H42" s="154">
        <f t="shared" si="24"/>
        <v>0</v>
      </c>
      <c r="I42" s="154">
        <f t="shared" si="25"/>
        <v>0</v>
      </c>
      <c r="J42" s="154">
        <f t="shared" si="26"/>
        <v>0</v>
      </c>
      <c r="K42" s="154">
        <f t="shared" si="27"/>
        <v>0</v>
      </c>
      <c r="L42" s="154">
        <f t="shared" si="28"/>
        <v>0</v>
      </c>
      <c r="M42" s="154">
        <f t="shared" si="29"/>
        <v>0</v>
      </c>
      <c r="N42" s="176">
        <f t="shared" si="30"/>
        <v>0</v>
      </c>
      <c r="O42" s="294"/>
    </row>
    <row r="43" spans="1:15" ht="12.75" customHeight="1" x14ac:dyDescent="0.2">
      <c r="A43" s="294"/>
      <c r="B43" s="158" t="str">
        <f>VLOOKUP($E43,TableInputsData[],ReadMe!$M$3,FALSE)</f>
        <v>BENEFICE AVANT IMPOT</v>
      </c>
      <c r="C43" s="294"/>
      <c r="D43" s="542"/>
      <c r="E43" s="158" t="s">
        <v>989</v>
      </c>
      <c r="F43" s="159"/>
      <c r="G43" s="160">
        <f>G36+G38+G39-G40-G41-G42</f>
        <v>0</v>
      </c>
      <c r="H43" s="160">
        <f t="shared" ref="H43:N43" si="31">H36+H38+H39-H40-H41-H42</f>
        <v>0</v>
      </c>
      <c r="I43" s="160">
        <f t="shared" si="31"/>
        <v>0</v>
      </c>
      <c r="J43" s="160">
        <f t="shared" si="31"/>
        <v>0</v>
      </c>
      <c r="K43" s="160">
        <f t="shared" si="31"/>
        <v>0</v>
      </c>
      <c r="L43" s="160">
        <f t="shared" si="31"/>
        <v>0</v>
      </c>
      <c r="M43" s="160">
        <f t="shared" si="31"/>
        <v>0</v>
      </c>
      <c r="N43" s="161">
        <f t="shared" si="31"/>
        <v>0</v>
      </c>
      <c r="O43" s="294"/>
    </row>
    <row r="44" spans="1:15" ht="12.75" customHeight="1" x14ac:dyDescent="0.2">
      <c r="A44" s="294"/>
      <c r="B44" s="175"/>
      <c r="C44" s="294"/>
      <c r="D44" s="542"/>
      <c r="E44" s="175" t="s">
        <v>76</v>
      </c>
      <c r="F44" s="153"/>
      <c r="G44" s="154"/>
      <c r="H44" s="154"/>
      <c r="I44" s="154"/>
      <c r="J44" s="154"/>
      <c r="K44" s="154"/>
      <c r="L44" s="154"/>
      <c r="M44" s="154"/>
      <c r="N44" s="177"/>
      <c r="O44" s="294"/>
    </row>
    <row r="45" spans="1:15" ht="12.75" customHeight="1" x14ac:dyDescent="0.2">
      <c r="A45" s="294"/>
      <c r="B45" s="175" t="str">
        <f>VLOOKUP($E45,TableInputsData[],ReadMe!$M$3,FALSE)</f>
        <v>IMPOTS</v>
      </c>
      <c r="C45" s="294"/>
      <c r="D45" s="542"/>
      <c r="E45" s="175" t="s">
        <v>908</v>
      </c>
      <c r="F45" s="153"/>
      <c r="G45" s="154">
        <f>GETPIVOTDATA("Sum of YEAR-2",$D$829,"SUB-ITEM1",$E45,"SUB-ITEM3",,"DESCRIPTION1","TOTAL")</f>
        <v>0</v>
      </c>
      <c r="H45" s="154">
        <f>GETPIVOTDATA("Sum of YEAR-1",$D$829,"SUB-ITEM1",$E45,"SUB-ITEM3",,"DESCRIPTION1","TOTAL")</f>
        <v>0</v>
      </c>
      <c r="I45" s="154">
        <f>GETPIVOTDATA("Sum of CURRENT YEAR",$D$829,"SUB-ITEM1",$E45,"SUB-ITEM3",,"DESCRIPTION1","TOTAL")</f>
        <v>0</v>
      </c>
      <c r="J45" s="154">
        <f>GETPIVOTDATA("Sum of YEAR2",$D$829,"SUB-ITEM1",$E45,"SUB-ITEM3",,"DESCRIPTION1","TOTAL")</f>
        <v>0</v>
      </c>
      <c r="K45" s="154">
        <f>GETPIVOTDATA("Sum of YEAR3",$D$829,"SUB-ITEM1",$E45,"SUB-ITEM3",,"DESCRIPTION1","TOTAL")</f>
        <v>0</v>
      </c>
      <c r="L45" s="154">
        <f>GETPIVOTDATA("Sum of YEAR4",$D$829,"SUB-ITEM1",$E45,"SUB-ITEM3",,"DESCRIPTION1","TOTAL")</f>
        <v>0</v>
      </c>
      <c r="M45" s="154">
        <f>GETPIVOTDATA("Sum of YEAR5",$D$829,"SUB-ITEM1",$E45,"SUB-ITEM3",,"DESCRIPTION1","TOTAL")</f>
        <v>0</v>
      </c>
      <c r="N45" s="176">
        <f>GETPIVOTDATA("Sum of YEAR6",$D$829,"SUB-ITEM1",$E45,"SUB-ITEM3",,"DESCRIPTION1","TOTAL")</f>
        <v>0</v>
      </c>
      <c r="O45" s="294"/>
    </row>
    <row r="46" spans="1:15" ht="12.75" customHeight="1" x14ac:dyDescent="0.2">
      <c r="A46" s="294"/>
      <c r="B46" s="158" t="str">
        <f>VLOOKUP($E46,TableInputsData[],ReadMe!$M$3,FALSE)</f>
        <v>BENEFICE NET</v>
      </c>
      <c r="C46" s="294"/>
      <c r="D46" s="543"/>
      <c r="E46" s="158" t="s">
        <v>905</v>
      </c>
      <c r="F46" s="159"/>
      <c r="G46" s="160">
        <f>G43-G45</f>
        <v>0</v>
      </c>
      <c r="H46" s="160">
        <f t="shared" ref="H46:N46" si="32">H43-H45</f>
        <v>0</v>
      </c>
      <c r="I46" s="160">
        <f t="shared" si="32"/>
        <v>0</v>
      </c>
      <c r="J46" s="160">
        <f t="shared" si="32"/>
        <v>0</v>
      </c>
      <c r="K46" s="160">
        <f t="shared" si="32"/>
        <v>0</v>
      </c>
      <c r="L46" s="160">
        <f t="shared" si="32"/>
        <v>0</v>
      </c>
      <c r="M46" s="160">
        <f t="shared" si="32"/>
        <v>0</v>
      </c>
      <c r="N46" s="161">
        <f t="shared" si="32"/>
        <v>0</v>
      </c>
      <c r="O46" s="294"/>
    </row>
    <row r="47" spans="1:15" x14ac:dyDescent="0.2">
      <c r="A47" s="294"/>
      <c r="B47" s="294"/>
      <c r="C47" s="294"/>
      <c r="D47" s="294"/>
      <c r="E47" s="294"/>
      <c r="F47" s="310"/>
      <c r="G47" s="311"/>
      <c r="H47" s="311"/>
      <c r="I47" s="311"/>
      <c r="J47" s="294"/>
      <c r="K47" s="294"/>
      <c r="L47" s="294"/>
      <c r="M47" s="294"/>
      <c r="N47" s="294"/>
      <c r="O47" s="294"/>
    </row>
    <row r="48" spans="1:15" x14ac:dyDescent="0.2">
      <c r="A48" s="294"/>
      <c r="B48" s="294"/>
      <c r="C48" s="294"/>
      <c r="D48" s="296" t="str">
        <f>InputsData!$J$1</f>
        <v>MONNAIE LOCALE : CFA</v>
      </c>
      <c r="E48" s="294"/>
      <c r="F48" s="294"/>
      <c r="G48" s="294"/>
      <c r="H48" s="294"/>
      <c r="I48" s="294"/>
      <c r="J48" s="294"/>
      <c r="K48" s="294"/>
      <c r="L48" s="294"/>
      <c r="M48" s="294"/>
      <c r="N48" s="295" t="str">
        <f>InputsData!$J$2</f>
        <v>STRICTEMENT CONFIDENTIEL | ABC CORPORATION</v>
      </c>
      <c r="O48" s="294"/>
    </row>
    <row r="49" spans="1:15" ht="25.5" customHeight="1" x14ac:dyDescent="0.2">
      <c r="A49" s="294"/>
      <c r="B49" s="950" t="str">
        <f>VLOOKUP("BALANCE SHEET",TableInputsData[],ReadMe!$M$3,FALSE)</f>
        <v>BILAN</v>
      </c>
      <c r="C49" s="294"/>
      <c r="D49" s="959" t="str">
        <f>$D$10</f>
        <v>CAS TYPIQUE
SCENARIO DE SIMULATION</v>
      </c>
      <c r="E49" s="965" t="str">
        <f>D52</f>
        <v>BILAN</v>
      </c>
      <c r="F49" s="165"/>
      <c r="G49" s="166" t="str">
        <f>VLOOKUP(G5,TableInputsData[],ReadMe!$M$3,FALSE)</f>
        <v>ANNEE-2</v>
      </c>
      <c r="H49" s="166" t="str">
        <f>VLOOKUP(H5,TableInputsData[],ReadMe!$M$3,FALSE)</f>
        <v>ANNEE-1</v>
      </c>
      <c r="I49" s="166" t="str">
        <f>VLOOKUP(I5,TableInputsData[],ReadMe!$M$3,FALSE)</f>
        <v>ANNEE EN COURS</v>
      </c>
      <c r="J49" s="166" t="str">
        <f>VLOOKUP(J5,TableInputsData[],ReadMe!$M$3,FALSE)</f>
        <v>ANNEE2</v>
      </c>
      <c r="K49" s="166" t="str">
        <f>VLOOKUP(K5,TableInputsData[],ReadMe!$M$3,FALSE)</f>
        <v>ANNEE3</v>
      </c>
      <c r="L49" s="166" t="str">
        <f>VLOOKUP(L5,TableInputsData[],ReadMe!$M$3,FALSE)</f>
        <v>ANNEE4</v>
      </c>
      <c r="M49" s="166" t="str">
        <f>VLOOKUP(M5,TableInputsData[],ReadMe!$M$3,FALSE)</f>
        <v>ANNEE5</v>
      </c>
      <c r="N49" s="167" t="str">
        <f>VLOOKUP(N5,TableInputsData[],ReadMe!$M$3,FALSE)</f>
        <v>ANNEE6</v>
      </c>
      <c r="O49" s="294"/>
    </row>
    <row r="50" spans="1:15" ht="12.75" customHeight="1" x14ac:dyDescent="0.2">
      <c r="A50" s="294"/>
      <c r="B50" s="950"/>
      <c r="C50" s="294"/>
      <c r="D50" s="960"/>
      <c r="E50" s="949"/>
      <c r="F50" s="151"/>
      <c r="G50" s="152" t="str">
        <f>VLOOKUP(G5,TableInputsData[],7,FALSE)</f>
        <v>ACTUAL</v>
      </c>
      <c r="H50" s="152" t="str">
        <f>VLOOKUP(H5,TableInputsData[],7,FALSE)</f>
        <v>ACTUAL</v>
      </c>
      <c r="I50" s="152" t="str">
        <f>VLOOKUP(I5,TableInputsData[],7,FALSE)</f>
        <v>FORECAST</v>
      </c>
      <c r="J50" s="152" t="str">
        <f>VLOOKUP(J5,TableInputsData[],7,FALSE)</f>
        <v>FORECAST</v>
      </c>
      <c r="K50" s="152" t="str">
        <f>VLOOKUP(K5,TableInputsData[],7,FALSE)</f>
        <v>FORECAST</v>
      </c>
      <c r="L50" s="152" t="str">
        <f>VLOOKUP(L5,TableInputsData[],7,FALSE)</f>
        <v>FORECAST</v>
      </c>
      <c r="M50" s="152" t="str">
        <f>VLOOKUP(M5,TableInputsData[],7,FALSE)</f>
        <v>FORECAST</v>
      </c>
      <c r="N50" s="168" t="str">
        <f>VLOOKUP(N5,TableInputsData[],7,FALSE)</f>
        <v>FORECAST</v>
      </c>
      <c r="O50" s="294"/>
    </row>
    <row r="51" spans="1:15" ht="12.75" customHeight="1" x14ac:dyDescent="0.2">
      <c r="A51" s="294"/>
      <c r="B51" s="951"/>
      <c r="C51" s="294"/>
      <c r="D51" s="961"/>
      <c r="E51" s="966"/>
      <c r="F51" s="169"/>
      <c r="G51" s="170">
        <f>VLOOKUP(G5,TableInputsData[],8,FALSE)</f>
        <v>2023</v>
      </c>
      <c r="H51" s="170">
        <f>VLOOKUP(H5,TableInputsData[],8,FALSE)</f>
        <v>2024</v>
      </c>
      <c r="I51" s="170">
        <f>VLOOKUP(I5,TableInputsData[],8,FALSE)</f>
        <v>2025</v>
      </c>
      <c r="J51" s="170">
        <f>VLOOKUP(J5,TableInputsData[],8,FALSE)</f>
        <v>2026</v>
      </c>
      <c r="K51" s="170">
        <f>VLOOKUP(K5,TableInputsData[],8,FALSE)</f>
        <v>2027</v>
      </c>
      <c r="L51" s="170">
        <f>VLOOKUP(L5,TableInputsData[],8,FALSE)</f>
        <v>2028</v>
      </c>
      <c r="M51" s="170">
        <f>VLOOKUP(M5,TableInputsData[],8,FALSE)</f>
        <v>2029</v>
      </c>
      <c r="N51" s="171">
        <f>VLOOKUP(N5,TableInputsData[],8,FALSE)</f>
        <v>2030</v>
      </c>
      <c r="O51" s="294"/>
    </row>
    <row r="52" spans="1:15" x14ac:dyDescent="0.2">
      <c r="A52" s="294"/>
      <c r="C52" s="294"/>
      <c r="D52" s="967" t="str">
        <f>VLOOKUP("BALANCE SHEET",TableInputsData[],ReadMe!$M$3,FALSE)</f>
        <v>BILAN</v>
      </c>
      <c r="F52" s="153"/>
      <c r="G52" s="154"/>
      <c r="H52" s="154"/>
      <c r="I52" s="154"/>
      <c r="J52" s="154"/>
      <c r="K52" s="154"/>
      <c r="L52" s="154"/>
      <c r="M52" s="154"/>
      <c r="N52" s="202"/>
      <c r="O52" s="294"/>
    </row>
    <row r="53" spans="1:15" x14ac:dyDescent="0.2">
      <c r="A53" s="294"/>
      <c r="B53" s="454" t="str">
        <f>VLOOKUP($E53,TableInputsData[],ReadMe!$M$3,FALSE)</f>
        <v>ACTIFS MATERIEL IMMOBILISES</v>
      </c>
      <c r="C53" s="294"/>
      <c r="D53" s="968"/>
      <c r="E53" s="454" t="s">
        <v>762</v>
      </c>
      <c r="F53" s="451"/>
      <c r="G53" s="452">
        <f>SUM(G54:G56)</f>
        <v>0</v>
      </c>
      <c r="H53" s="452">
        <f t="shared" ref="H53:N53" si="33">SUM(H54:H56)</f>
        <v>0</v>
      </c>
      <c r="I53" s="452">
        <f t="shared" si="33"/>
        <v>0</v>
      </c>
      <c r="J53" s="452">
        <f t="shared" si="33"/>
        <v>0</v>
      </c>
      <c r="K53" s="452">
        <f t="shared" si="33"/>
        <v>0</v>
      </c>
      <c r="L53" s="452">
        <f t="shared" si="33"/>
        <v>0</v>
      </c>
      <c r="M53" s="452">
        <f t="shared" si="33"/>
        <v>0</v>
      </c>
      <c r="N53" s="453">
        <f t="shared" si="33"/>
        <v>0</v>
      </c>
      <c r="O53" s="294"/>
    </row>
    <row r="54" spans="1:15" ht="14" x14ac:dyDescent="0.2">
      <c r="A54" s="294"/>
      <c r="B54" s="199" t="str">
        <f>VLOOKUP($E54,TableInputsData[],ReadMe!$M$3,FALSE)</f>
        <v>FRAIS DE DEMARRAGE</v>
      </c>
      <c r="C54" s="294"/>
      <c r="D54" s="968"/>
      <c r="E54" s="199" t="s">
        <v>764</v>
      </c>
      <c r="F54" s="395" t="s">
        <v>859</v>
      </c>
      <c r="G54" s="154">
        <f>GETPIVOTDATA("Sum of YEAR-2",$D$629,"ITEM",$E54,"SUB-ITEM1","YEAR-END BALANCE SHEET VALUE","DESCRIPTION1","TOTAL "&amp;$E54)</f>
        <v>0</v>
      </c>
      <c r="H54" s="154">
        <f>GETPIVOTDATA("Sum of YEAR-1",$D$629,"ITEM",$E54,"SUB-ITEM1","YEAR-END BALANCE SHEET VALUE","DESCRIPTION1","TOTAL "&amp;$E54)</f>
        <v>0</v>
      </c>
      <c r="I54" s="154">
        <f>GETPIVOTDATA("Sum of CURRENT YEAR",$D$629,"ITEM",$E54,"SUB-ITEM1","YEAR-END BALANCE SHEET VALUE","DESCRIPTION1","TOTAL "&amp;$E54)</f>
        <v>0</v>
      </c>
      <c r="J54" s="154">
        <f>GETPIVOTDATA("Sum of YEAR2",$D$629,"ITEM",$E54,"SUB-ITEM1","YEAR-END BALANCE SHEET VALUE","DESCRIPTION1","TOTAL "&amp;$E54)</f>
        <v>0</v>
      </c>
      <c r="K54" s="154">
        <f>GETPIVOTDATA("Sum of YEAR3",$D$629,"ITEM",$E54,"SUB-ITEM1","YEAR-END BALANCE SHEET VALUE","DESCRIPTION1","TOTAL "&amp;$E54)</f>
        <v>0</v>
      </c>
      <c r="L54" s="154">
        <f>GETPIVOTDATA("Sum of YEAR4",$D$629,"ITEM",$E54,"SUB-ITEM1","YEAR-END BALANCE SHEET VALUE","DESCRIPTION1","TOTAL "&amp;$E54)</f>
        <v>0</v>
      </c>
      <c r="M54" s="154">
        <f>GETPIVOTDATA("Sum of YEAR5",$D$629,"ITEM",$E54,"SUB-ITEM1","YEAR-END BALANCE SHEET VALUE","DESCRIPTION1","TOTAL "&amp;$E54)</f>
        <v>0</v>
      </c>
      <c r="N54" s="552">
        <f>GETPIVOTDATA("Sum of YEAR6",$D$629,"ITEM",$E54,"SUB-ITEM1","YEAR-END BALANCE SHEET VALUE","DESCRIPTION1","TOTAL "&amp;$E54)</f>
        <v>0</v>
      </c>
      <c r="O54" s="294"/>
    </row>
    <row r="55" spans="1:15" ht="14" x14ac:dyDescent="0.2">
      <c r="A55" s="294"/>
      <c r="B55" s="199" t="str">
        <f>VLOOKUP($E55,TableInputsData[],ReadMe!$M$3,FALSE)</f>
        <v>ACTIFS MATERIEL IMMOBILISES</v>
      </c>
      <c r="C55" s="294"/>
      <c r="D55" s="968"/>
      <c r="E55" s="199" t="s">
        <v>762</v>
      </c>
      <c r="F55" s="395" t="s">
        <v>847</v>
      </c>
      <c r="G55" s="154">
        <f t="shared" ref="G55:G56" si="34">GETPIVOTDATA("Sum of YEAR-2",$D$629,"ITEM",$E55,"SUB-ITEM1","YEAR-END BALANCE SHEET VALUE","DESCRIPTION1","TOTAL "&amp;$E55)</f>
        <v>0</v>
      </c>
      <c r="H55" s="154">
        <f>GETPIVOTDATA("Sum of YEAR-1",$D$629,"ITEM",$E55,"SUB-ITEM1","YEAR-END BALANCE SHEET VALUE","DESCRIPTION1","TOTAL "&amp;$E55)</f>
        <v>0</v>
      </c>
      <c r="I55" s="154">
        <f>GETPIVOTDATA("Sum of CURRENT YEAR",$D$629,"ITEM",$E55,"SUB-ITEM1","YEAR-END BALANCE SHEET VALUE","DESCRIPTION1","TOTAL "&amp;$E55)</f>
        <v>0</v>
      </c>
      <c r="J55" s="154">
        <f>GETPIVOTDATA("Sum of YEAR2",$D$629,"ITEM",$E55,"SUB-ITEM1","YEAR-END BALANCE SHEET VALUE","DESCRIPTION1","TOTAL "&amp;$E55)</f>
        <v>0</v>
      </c>
      <c r="K55" s="154">
        <f>GETPIVOTDATA("Sum of YEAR3",$D$629,"ITEM",$E55,"SUB-ITEM1","YEAR-END BALANCE SHEET VALUE","DESCRIPTION1","TOTAL "&amp;$E55)</f>
        <v>0</v>
      </c>
      <c r="L55" s="154">
        <f>GETPIVOTDATA("Sum of YEAR4",$D$629,"ITEM",$E55,"SUB-ITEM1","YEAR-END BALANCE SHEET VALUE","DESCRIPTION1","TOTAL "&amp;$E55)</f>
        <v>0</v>
      </c>
      <c r="M55" s="154">
        <f>GETPIVOTDATA("Sum of YEAR5",$D$629,"ITEM",$E55,"SUB-ITEM1","YEAR-END BALANCE SHEET VALUE","DESCRIPTION1","TOTAL "&amp;$E55)</f>
        <v>0</v>
      </c>
      <c r="N55" s="176">
        <f>GETPIVOTDATA("Sum of YEAR6",$D$629,"ITEM",$E55,"SUB-ITEM1","YEAR-END BALANCE SHEET VALUE","DESCRIPTION1","TOTAL "&amp;$E55)</f>
        <v>0</v>
      </c>
      <c r="O55" s="294"/>
    </row>
    <row r="56" spans="1:15" ht="14" x14ac:dyDescent="0.2">
      <c r="A56" s="294"/>
      <c r="B56" s="199" t="str">
        <f>VLOOKUP($E56,TableInputsData[],ReadMe!$M$3,FALSE)</f>
        <v>ACTIFS IMMATERIELS</v>
      </c>
      <c r="C56" s="294"/>
      <c r="D56" s="968"/>
      <c r="E56" s="199" t="s">
        <v>763</v>
      </c>
      <c r="F56" s="395" t="s">
        <v>853</v>
      </c>
      <c r="G56" s="154">
        <f t="shared" si="34"/>
        <v>0</v>
      </c>
      <c r="H56" s="154">
        <f>GETPIVOTDATA("Sum of YEAR-1",$D$629,"ITEM",$E56,"SUB-ITEM1","YEAR-END BALANCE SHEET VALUE","DESCRIPTION1","TOTAL "&amp;$E56)</f>
        <v>0</v>
      </c>
      <c r="I56" s="154">
        <f>GETPIVOTDATA("Sum of CURRENT YEAR",$D$629,"ITEM",$E56,"SUB-ITEM1","YEAR-END BALANCE SHEET VALUE","DESCRIPTION1","TOTAL "&amp;$E56)</f>
        <v>0</v>
      </c>
      <c r="J56" s="154">
        <f>GETPIVOTDATA("Sum of YEAR2",$D$629,"ITEM",$E56,"SUB-ITEM1","YEAR-END BALANCE SHEET VALUE","DESCRIPTION1","TOTAL "&amp;$E56)</f>
        <v>0</v>
      </c>
      <c r="K56" s="154">
        <f>GETPIVOTDATA("Sum of YEAR3",$D$629,"ITEM",$E56,"SUB-ITEM1","YEAR-END BALANCE SHEET VALUE","DESCRIPTION1","TOTAL "&amp;$E56)</f>
        <v>0</v>
      </c>
      <c r="L56" s="154">
        <f>GETPIVOTDATA("Sum of YEAR4",$D$629,"ITEM",$E56,"SUB-ITEM1","YEAR-END BALANCE SHEET VALUE","DESCRIPTION1","TOTAL "&amp;$E56)</f>
        <v>0</v>
      </c>
      <c r="M56" s="154">
        <f>GETPIVOTDATA("Sum of YEAR5",$D$629,"ITEM",$E56,"SUB-ITEM1","YEAR-END BALANCE SHEET VALUE","DESCRIPTION1","TOTAL "&amp;$E56)</f>
        <v>0</v>
      </c>
      <c r="N56" s="176">
        <f>GETPIVOTDATA("Sum of YEAR6",$D$629,"ITEM",$E56,"SUB-ITEM1","YEAR-END BALANCE SHEET VALUE","DESCRIPTION1","TOTAL "&amp;$E56)</f>
        <v>0</v>
      </c>
      <c r="O56" s="294"/>
    </row>
    <row r="57" spans="1:15" x14ac:dyDescent="0.2">
      <c r="A57" s="294"/>
      <c r="C57" s="294"/>
      <c r="D57" s="968"/>
      <c r="F57" s="153"/>
      <c r="G57" s="154"/>
      <c r="H57" s="154"/>
      <c r="I57" s="154"/>
      <c r="J57" s="154"/>
      <c r="K57" s="154"/>
      <c r="L57" s="154"/>
      <c r="M57" s="154"/>
      <c r="N57" s="177"/>
      <c r="O57" s="294"/>
    </row>
    <row r="58" spans="1:15" x14ac:dyDescent="0.2">
      <c r="A58" s="294"/>
      <c r="B58" s="454" t="str">
        <f>VLOOKUP($E58,TableInputsData[],ReadMe!$M$3,FALSE)</f>
        <v>ACTIF COURANT</v>
      </c>
      <c r="C58" s="294"/>
      <c r="D58" s="968"/>
      <c r="E58" s="454" t="s">
        <v>1119</v>
      </c>
      <c r="F58" s="451"/>
      <c r="G58" s="452">
        <f t="shared" ref="G58:N58" si="35">SUM(G59:G61)</f>
        <v>0</v>
      </c>
      <c r="H58" s="452">
        <f t="shared" si="35"/>
        <v>0</v>
      </c>
      <c r="I58" s="452">
        <f t="shared" si="35"/>
        <v>0</v>
      </c>
      <c r="J58" s="452">
        <f t="shared" si="35"/>
        <v>0</v>
      </c>
      <c r="K58" s="452">
        <f t="shared" si="35"/>
        <v>0</v>
      </c>
      <c r="L58" s="452">
        <f t="shared" si="35"/>
        <v>0</v>
      </c>
      <c r="M58" s="452">
        <f t="shared" si="35"/>
        <v>0</v>
      </c>
      <c r="N58" s="453">
        <f t="shared" si="35"/>
        <v>0</v>
      </c>
      <c r="O58" s="294"/>
    </row>
    <row r="59" spans="1:15" ht="14" x14ac:dyDescent="0.2">
      <c r="A59" s="294"/>
      <c r="B59" s="199" t="str">
        <f>VLOOKUP($E59,TableInputsData[],ReadMe!$M$3,FALSE)</f>
        <v>STOCK</v>
      </c>
      <c r="C59" s="294"/>
      <c r="D59" s="968"/>
      <c r="E59" s="199" t="s">
        <v>134</v>
      </c>
      <c r="F59" s="395" t="s">
        <v>863</v>
      </c>
      <c r="G59" s="154">
        <f>GETPIVOTDATA("Sum of YEAR-2",$D$729,"ITEM","WORKING CAPITAL","SUB-ITEM1","STOCK","SUB-ITEM3",)</f>
        <v>0</v>
      </c>
      <c r="H59" s="154">
        <f>GETPIVOTDATA("Sum of YEAR-1",$D$729,"ITEM","WORKING CAPITAL","SUB-ITEM1","STOCK","SUB-ITEM3",)</f>
        <v>0</v>
      </c>
      <c r="I59" s="154">
        <f>GETPIVOTDATA("Sum of CURRENT YEAR",$D$729,"ITEM","WORKING CAPITAL","SUB-ITEM1","STOCK","SUB-ITEM3",)</f>
        <v>0</v>
      </c>
      <c r="J59" s="154">
        <f>GETPIVOTDATA("Sum of YEAR2",$D$729,"ITEM","WORKING CAPITAL","SUB-ITEM1","STOCK","SUB-ITEM3",)</f>
        <v>0</v>
      </c>
      <c r="K59" s="154">
        <f>GETPIVOTDATA("Sum of YEAR3",$D$729,"ITEM","WORKING CAPITAL","SUB-ITEM1","STOCK","SUB-ITEM3",)</f>
        <v>0</v>
      </c>
      <c r="L59" s="154">
        <f>GETPIVOTDATA("Sum of YEAR4",$D$729,"ITEM","WORKING CAPITAL","SUB-ITEM1","STOCK","SUB-ITEM3",)</f>
        <v>0</v>
      </c>
      <c r="M59" s="154">
        <f>GETPIVOTDATA("Sum of YEAR5",$D$729,"ITEM","WORKING CAPITAL","SUB-ITEM1","STOCK","SUB-ITEM3",)</f>
        <v>0</v>
      </c>
      <c r="N59" s="176">
        <f>GETPIVOTDATA("Sum of YEAR6",$D$729,"ITEM","WORKING CAPITAL","SUB-ITEM1","STOCK","SUB-ITEM3",)</f>
        <v>0</v>
      </c>
      <c r="O59" s="294"/>
    </row>
    <row r="60" spans="1:15" ht="15" customHeight="1" x14ac:dyDescent="0.2">
      <c r="A60" s="294"/>
      <c r="B60" s="199" t="str">
        <f>VLOOKUP($E60,TableInputsData[],ReadMe!$M$3,FALSE)</f>
        <v>COMPTES A RECEVOIR</v>
      </c>
      <c r="C60" s="294"/>
      <c r="D60" s="968"/>
      <c r="E60" s="199" t="s">
        <v>864</v>
      </c>
      <c r="F60" s="395" t="s">
        <v>863</v>
      </c>
      <c r="G60" s="154">
        <f>GETPIVOTDATA("Sum of YEAR-2",$D$729,"ITEM","WORKING CAPITAL","SUB-ITEM1","ACCOUNTS RECEIVABLE","SUB-ITEM3",)</f>
        <v>0</v>
      </c>
      <c r="H60" s="154">
        <f>GETPIVOTDATA("Sum of YEAR-1",$D$729,"ITEM","WORKING CAPITAL","SUB-ITEM1","ACCOUNTS RECEIVABLE","SUB-ITEM3",)</f>
        <v>0</v>
      </c>
      <c r="I60" s="154">
        <f>GETPIVOTDATA("Sum of CURRENT YEAR",$D$729,"ITEM","WORKING CAPITAL","SUB-ITEM1","ACCOUNTS RECEIVABLE","SUB-ITEM3",)</f>
        <v>0</v>
      </c>
      <c r="J60" s="154">
        <f>GETPIVOTDATA("Sum of YEAR2",$D$729,"ITEM","WORKING CAPITAL","SUB-ITEM1","ACCOUNTS RECEIVABLE","SUB-ITEM3",)</f>
        <v>0</v>
      </c>
      <c r="K60" s="154">
        <f>GETPIVOTDATA("Sum of YEAR3",$D$729,"ITEM","WORKING CAPITAL","SUB-ITEM1","ACCOUNTS RECEIVABLE","SUB-ITEM3",)</f>
        <v>0</v>
      </c>
      <c r="L60" s="154">
        <f>GETPIVOTDATA("Sum of YEAR4",$D$729,"ITEM","WORKING CAPITAL","SUB-ITEM1","ACCOUNTS RECEIVABLE","SUB-ITEM3",)</f>
        <v>0</v>
      </c>
      <c r="M60" s="154">
        <f>GETPIVOTDATA("Sum of YEAR5",$D$729,"ITEM","WORKING CAPITAL","SUB-ITEM1","ACCOUNTS RECEIVABLE","SUB-ITEM3",)</f>
        <v>0</v>
      </c>
      <c r="N60" s="176">
        <f>GETPIVOTDATA("Sum of YEAR6",$D$729,"ITEM","WORKING CAPITAL","SUB-ITEM1","ACCOUNTS RECEIVABLE","SUB-ITEM3",)</f>
        <v>0</v>
      </c>
      <c r="O60" s="294"/>
    </row>
    <row r="61" spans="1:15" ht="15" customHeight="1" x14ac:dyDescent="0.2">
      <c r="A61" s="294"/>
      <c r="B61" s="199" t="str">
        <f>VLOOKUP($E61,TableInputsData[],ReadMe!$M$3,FALSE)</f>
        <v>TRESORERIE</v>
      </c>
      <c r="C61" s="294"/>
      <c r="D61" s="968"/>
      <c r="E61" s="199" t="s">
        <v>1003</v>
      </c>
      <c r="F61" s="153"/>
      <c r="G61" s="154">
        <f>GETPIVOTDATA("Sum of YEAR-2",$D$929,"SUB-ITEM1","CASH POSITION AT END OF PERIOD")</f>
        <v>0</v>
      </c>
      <c r="H61" s="154">
        <f>GETPIVOTDATA("Sum of YEAR-1",$D$929,"SUB-ITEM1","CASH POSITION AT END OF PERIOD")</f>
        <v>0</v>
      </c>
      <c r="I61" s="154">
        <f>GETPIVOTDATA("Sum of CURRENT YEAR",$D$929,"SUB-ITEM1","CASH POSITION AT END OF PERIOD")</f>
        <v>0</v>
      </c>
      <c r="J61" s="154">
        <f>GETPIVOTDATA("Sum of YEAR2",$D$929,"SUB-ITEM1","CASH POSITION AT END OF PERIOD")</f>
        <v>0</v>
      </c>
      <c r="K61" s="154">
        <f>GETPIVOTDATA("Sum of YEAR3",$D$929,"SUB-ITEM1","CASH POSITION AT END OF PERIOD")</f>
        <v>0</v>
      </c>
      <c r="L61" s="154">
        <f>GETPIVOTDATA("Sum of YEAR4",$D$929,"SUB-ITEM1","CASH POSITION AT END OF PERIOD")</f>
        <v>0</v>
      </c>
      <c r="M61" s="154">
        <f>GETPIVOTDATA("Sum of YEAR5",$D$929,"SUB-ITEM1","CASH POSITION AT END OF PERIOD")</f>
        <v>0</v>
      </c>
      <c r="N61" s="176">
        <f>GETPIVOTDATA("Sum of YEAR6",$D$929,"SUB-ITEM1","CASH POSITION AT END OF PERIOD")</f>
        <v>0</v>
      </c>
      <c r="O61" s="294"/>
    </row>
    <row r="62" spans="1:15" ht="15" customHeight="1" x14ac:dyDescent="0.2">
      <c r="A62" s="294"/>
      <c r="C62" s="294"/>
      <c r="D62" s="968"/>
      <c r="F62" s="153"/>
      <c r="G62" s="154"/>
      <c r="H62" s="154"/>
      <c r="I62" s="154"/>
      <c r="J62" s="154"/>
      <c r="K62" s="154"/>
      <c r="L62" s="154"/>
      <c r="M62" s="154"/>
      <c r="N62" s="177"/>
      <c r="O62" s="294"/>
    </row>
    <row r="63" spans="1:15" ht="15" customHeight="1" x14ac:dyDescent="0.2">
      <c r="A63" s="294"/>
      <c r="B63" s="158" t="str">
        <f>VLOOKUP($E63,TableInputsData[],ReadMe!$M$3,FALSE)</f>
        <v>ACTIF TOTAL</v>
      </c>
      <c r="C63" s="294"/>
      <c r="D63" s="968"/>
      <c r="E63" s="158" t="s">
        <v>183</v>
      </c>
      <c r="F63" s="159"/>
      <c r="G63" s="160">
        <f t="shared" ref="G63:N63" si="36">G53+G58</f>
        <v>0</v>
      </c>
      <c r="H63" s="160">
        <f t="shared" si="36"/>
        <v>0</v>
      </c>
      <c r="I63" s="160">
        <f t="shared" si="36"/>
        <v>0</v>
      </c>
      <c r="J63" s="160">
        <f t="shared" si="36"/>
        <v>0</v>
      </c>
      <c r="K63" s="160">
        <f t="shared" si="36"/>
        <v>0</v>
      </c>
      <c r="L63" s="160">
        <f t="shared" si="36"/>
        <v>0</v>
      </c>
      <c r="M63" s="160">
        <f t="shared" si="36"/>
        <v>0</v>
      </c>
      <c r="N63" s="161">
        <f t="shared" si="36"/>
        <v>0</v>
      </c>
      <c r="O63" s="294"/>
    </row>
    <row r="64" spans="1:15" ht="15" customHeight="1" x14ac:dyDescent="0.2">
      <c r="A64" s="294"/>
      <c r="C64" s="294"/>
      <c r="D64" s="968"/>
      <c r="F64" s="153"/>
      <c r="G64" s="154"/>
      <c r="H64" s="154"/>
      <c r="I64" s="154"/>
      <c r="J64" s="154"/>
      <c r="K64" s="154"/>
      <c r="L64" s="154"/>
      <c r="M64" s="154"/>
      <c r="N64" s="177"/>
      <c r="O64" s="294"/>
    </row>
    <row r="65" spans="1:15" ht="15" customHeight="1" x14ac:dyDescent="0.2">
      <c r="A65" s="294"/>
      <c r="B65" s="454" t="str">
        <f>VLOOKUP($E65,TableInputsData[],ReadMe!$M$3,FALSE)</f>
        <v>FONDS PROPRES</v>
      </c>
      <c r="C65" s="294"/>
      <c r="D65" s="968"/>
      <c r="E65" s="454" t="s">
        <v>1009</v>
      </c>
      <c r="F65" s="451"/>
      <c r="G65" s="452">
        <f>SUM(G66:G68)</f>
        <v>0</v>
      </c>
      <c r="H65" s="452">
        <f t="shared" ref="H65:N65" si="37">SUM(H66:H68)</f>
        <v>0</v>
      </c>
      <c r="I65" s="452">
        <f t="shared" si="37"/>
        <v>0</v>
      </c>
      <c r="J65" s="452">
        <f t="shared" si="37"/>
        <v>0</v>
      </c>
      <c r="K65" s="452">
        <f t="shared" si="37"/>
        <v>0</v>
      </c>
      <c r="L65" s="452">
        <f t="shared" si="37"/>
        <v>0</v>
      </c>
      <c r="M65" s="452">
        <f t="shared" si="37"/>
        <v>0</v>
      </c>
      <c r="N65" s="453">
        <f t="shared" si="37"/>
        <v>0</v>
      </c>
      <c r="O65" s="294"/>
    </row>
    <row r="66" spans="1:15" ht="15" customHeight="1" x14ac:dyDescent="0.2">
      <c r="A66" s="294"/>
      <c r="B66" s="199" t="str">
        <f>VLOOKUP($E66,TableInputsData[],ReadMe!$M$3,FALSE)</f>
        <v>APPORT DE CAPITAL PAR ACTIONNAIRES EXISTANTS</v>
      </c>
      <c r="C66" s="294"/>
      <c r="D66" s="968"/>
      <c r="E66" s="199" t="s">
        <v>933</v>
      </c>
      <c r="F66" s="153"/>
      <c r="G66" s="154">
        <f>GETPIVOTDATA("Sum of YEAR-2",$D$1029,"SUB-ITEM1","SOURCE OF FINANCING","SUB-ITEM3",,"DESCRIPTION1","CAPITAL CONTRIBUTION BY EXISTING SHAREHOLDERS")</f>
        <v>0</v>
      </c>
      <c r="H66" s="154">
        <f>G66+GETPIVOTDATA("Sum of YEAR-1",$D$1029,"SUB-ITEM1","SOURCE OF FINANCING","SUB-ITEM3",,"DESCRIPTION1","CAPITAL CONTRIBUTION BY EXISTING SHAREHOLDERS")</f>
        <v>0</v>
      </c>
      <c r="I66" s="154">
        <f>H66+GETPIVOTDATA("Sum of CURRENT YEAR",$D$1029,"SUB-ITEM1","SOURCE OF FINANCING","SUB-ITEM3",,"DESCRIPTION1","CAPITAL CONTRIBUTION BY EXISTING SHAREHOLDERS")</f>
        <v>0</v>
      </c>
      <c r="J66" s="154">
        <f>I66+GETPIVOTDATA("Sum of YEAR2",$D$1029,"SUB-ITEM1","SOURCE OF FINANCING","SUB-ITEM3",,"DESCRIPTION1","CAPITAL CONTRIBUTION BY EXISTING SHAREHOLDERS")</f>
        <v>0</v>
      </c>
      <c r="K66" s="154">
        <f>J66+GETPIVOTDATA("Sum of YEAR3",$D$1029,"SUB-ITEM1","SOURCE OF FINANCING","SUB-ITEM3",,"DESCRIPTION1","CAPITAL CONTRIBUTION BY EXISTING SHAREHOLDERS")</f>
        <v>0</v>
      </c>
      <c r="L66" s="154">
        <f>K66+GETPIVOTDATA("Sum of YEAR4",$D$1029,"SUB-ITEM1","SOURCE OF FINANCING","SUB-ITEM3",,"DESCRIPTION1","CAPITAL CONTRIBUTION BY EXISTING SHAREHOLDERS")</f>
        <v>0</v>
      </c>
      <c r="M66" s="154">
        <f>L66+GETPIVOTDATA("Sum of YEAR5",$D$1029,"SUB-ITEM1","SOURCE OF FINANCING","SUB-ITEM3",,"DESCRIPTION1","CAPITAL CONTRIBUTION BY EXISTING SHAREHOLDERS")</f>
        <v>0</v>
      </c>
      <c r="N66" s="176">
        <f>M66+GETPIVOTDATA("Sum of YEAR6",$D$1029,"SUB-ITEM1","SOURCE OF FINANCING","SUB-ITEM3",,"DESCRIPTION1","CAPITAL CONTRIBUTION BY EXISTING SHAREHOLDERS")</f>
        <v>0</v>
      </c>
      <c r="O66" s="294"/>
    </row>
    <row r="67" spans="1:15" ht="15" customHeight="1" x14ac:dyDescent="0.2">
      <c r="A67" s="294"/>
      <c r="B67" s="199" t="str">
        <f>VLOOKUP($E67,TableInputsData[],ReadMe!$M$3,FALSE)</f>
        <v>APPORT DE CAPITAL PAR ACTIONNAIRES NOUVEAUX</v>
      </c>
      <c r="C67" s="294"/>
      <c r="D67" s="968"/>
      <c r="E67" s="199" t="s">
        <v>934</v>
      </c>
      <c r="F67" s="153"/>
      <c r="G67" s="154">
        <f>GETPIVOTDATA("Sum of YEAR-2",$D$929,"SUB-ITEM1","SOURCE OF FINANCING","SUB-ITEM3",,"DESCRIPTION1","CAPITAL CONTRIBUTION BY NEW SHAREHOLDERS")</f>
        <v>0</v>
      </c>
      <c r="H67" s="154">
        <f>G67+GETPIVOTDATA("Sum of YEAR-1",$D$929,"SUB-ITEM1","SOURCE OF FINANCING","SUB-ITEM3",,"DESCRIPTION1","CAPITAL CONTRIBUTION BY NEW SHAREHOLDERS")</f>
        <v>0</v>
      </c>
      <c r="I67" s="154">
        <f>H67+GETPIVOTDATA("Sum of CURRENT YEAR",$D$929,"SUB-ITEM1","SOURCE OF FINANCING","SUB-ITEM3",,"DESCRIPTION1","CAPITAL CONTRIBUTION BY NEW SHAREHOLDERS")</f>
        <v>0</v>
      </c>
      <c r="J67" s="154">
        <f>I67+GETPIVOTDATA("Sum of YEAR2",$D$929,"SUB-ITEM1","SOURCE OF FINANCING","SUB-ITEM3",,"DESCRIPTION1","CAPITAL CONTRIBUTION BY NEW SHAREHOLDERS")</f>
        <v>0</v>
      </c>
      <c r="K67" s="154">
        <f>J67+GETPIVOTDATA("Sum of YEAR3",$D$929,"SUB-ITEM1","SOURCE OF FINANCING","SUB-ITEM3",,"DESCRIPTION1","CAPITAL CONTRIBUTION BY NEW SHAREHOLDERS")</f>
        <v>0</v>
      </c>
      <c r="L67" s="154">
        <f>K67+GETPIVOTDATA("Sum of YEAR4",$D$929,"SUB-ITEM1","SOURCE OF FINANCING","SUB-ITEM3",,"DESCRIPTION1","CAPITAL CONTRIBUTION BY NEW SHAREHOLDERS")</f>
        <v>0</v>
      </c>
      <c r="M67" s="154">
        <f>L67+GETPIVOTDATA("Sum of YEAR5",$D$929,"SUB-ITEM1","SOURCE OF FINANCING","SUB-ITEM3",,"DESCRIPTION1","CAPITAL CONTRIBUTION BY NEW SHAREHOLDERS")</f>
        <v>0</v>
      </c>
      <c r="N67" s="176">
        <f>M67+GETPIVOTDATA("Sum of YEAR6",$D$929,"SUB-ITEM1","SOURCE OF FINANCING","SUB-ITEM3",,"DESCRIPTION1","CAPITAL CONTRIBUTION BY NEW SHAREHOLDERS")</f>
        <v>0</v>
      </c>
      <c r="O67" s="294"/>
    </row>
    <row r="68" spans="1:15" ht="15" customHeight="1" x14ac:dyDescent="0.2">
      <c r="A68" s="294"/>
      <c r="B68" s="199" t="str">
        <f>VLOOKUP($E68,TableInputsData[],ReadMe!$M$3,FALSE)</f>
        <v>BENEFICES REPORTES</v>
      </c>
      <c r="C68" s="294"/>
      <c r="D68" s="968"/>
      <c r="E68" s="199" t="s">
        <v>1004</v>
      </c>
      <c r="F68" s="153"/>
      <c r="G68" s="154">
        <f>GETPIVOTDATA("Sum of YEAR-2",$D$829,"SUB-ITEM1","NET PROFIT","SUB-ITEM3",,"DESCRIPTION1","TOTAL")+GETPIVOTDATA("Sum of YEAR-2",$D$929,"SUB-ITEM1","SOURCE OF FINANCING","SUB-ITEM3",,"DESCRIPTION1","CAPITAL CHANGE BY CANCELLATION OF ACCUMULATED DEBT/PROFIT")</f>
        <v>0</v>
      </c>
      <c r="H68" s="154">
        <f>G68+GETPIVOTDATA("Sum of YEAR-1",$D$829,"SUB-ITEM1","NET PROFIT","SUB-ITEM3",,"DESCRIPTION1","TOTAL")+GETPIVOTDATA("Sum of YEAR-1",$D$929,"SUB-ITEM1","SOURCE OF FINANCING","SUB-ITEM3",,"DESCRIPTION1","CAPITAL CHANGE BY CANCELLATION OF ACCUMULATED DEBT/PROFIT")</f>
        <v>0</v>
      </c>
      <c r="I68" s="154">
        <f>H68+GETPIVOTDATA("Sum of CURRENT YEAR",$D$829,"SUB-ITEM1","NET PROFIT","SUB-ITEM3",,"DESCRIPTION1","TOTAL")+GETPIVOTDATA("Sum of CURRENT YEAR",$D$929,"SUB-ITEM1","SOURCE OF FINANCING","SUB-ITEM3",,"DESCRIPTION1","CAPITAL CHANGE BY CANCELLATION OF ACCUMULATED DEBT/PROFIT")</f>
        <v>0</v>
      </c>
      <c r="J68" s="154">
        <f>I68+GETPIVOTDATA("Sum of YEAR2",$D$829,"SUB-ITEM1","NET PROFIT","SUB-ITEM3",,"DESCRIPTION1","TOTAL")+GETPIVOTDATA("Sum of YEAR2",$D$929,"SUB-ITEM1","SOURCE OF FINANCING","SUB-ITEM3",,"DESCRIPTION1","CAPITAL CHANGE BY CANCELLATION OF ACCUMULATED DEBT/PROFIT")</f>
        <v>0</v>
      </c>
      <c r="K68" s="154">
        <f>J68+GETPIVOTDATA("Sum of YEAR3",$D$829,"SUB-ITEM1","NET PROFIT","SUB-ITEM3",,"DESCRIPTION1","TOTAL")+GETPIVOTDATA("Sum of YEAR3",$D$929,"SUB-ITEM1","SOURCE OF FINANCING","SUB-ITEM3",,"DESCRIPTION1","CAPITAL CHANGE BY CANCELLATION OF ACCUMULATED DEBT/PROFIT")</f>
        <v>0</v>
      </c>
      <c r="L68" s="154">
        <f>K68+GETPIVOTDATA("Sum of YEAR4",$D$829,"SUB-ITEM1","NET PROFIT","SUB-ITEM3",,"DESCRIPTION1","TOTAL")+GETPIVOTDATA("Sum of YEAR4",$D$929,"SUB-ITEM1","SOURCE OF FINANCING","SUB-ITEM3",,"DESCRIPTION1","CAPITAL CHANGE BY CANCELLATION OF ACCUMULATED DEBT/PROFIT")</f>
        <v>0</v>
      </c>
      <c r="M68" s="154">
        <f>L68+GETPIVOTDATA("Sum of YEAR5",$D$829,"SUB-ITEM1","NET PROFIT","SUB-ITEM3",,"DESCRIPTION1","TOTAL")+GETPIVOTDATA("Sum of YEAR5",$D$929,"SUB-ITEM1","SOURCE OF FINANCING","SUB-ITEM3",,"DESCRIPTION1","CAPITAL CHANGE BY CANCELLATION OF ACCUMULATED DEBT/PROFIT")</f>
        <v>0</v>
      </c>
      <c r="N68" s="176">
        <f>M68+GETPIVOTDATA("Sum of YEAR6",$D$829,"SUB-ITEM1","NET PROFIT","SUB-ITEM3",,"DESCRIPTION1","TOTAL")+GETPIVOTDATA("Sum of YEAR6",$D$929,"SUB-ITEM1","SOURCE OF FINANCING","SUB-ITEM3",,"DESCRIPTION1","CAPITAL CHANGE BY CANCELLATION OF ACCUMULATED DEBT/PROFIT")</f>
        <v>0</v>
      </c>
      <c r="O68" s="294"/>
    </row>
    <row r="69" spans="1:15" ht="15" customHeight="1" x14ac:dyDescent="0.2">
      <c r="A69" s="294"/>
      <c r="C69" s="294"/>
      <c r="D69" s="968"/>
      <c r="F69" s="153"/>
      <c r="G69" s="154"/>
      <c r="H69" s="154"/>
      <c r="I69" s="154"/>
      <c r="J69" s="154"/>
      <c r="K69" s="154"/>
      <c r="L69" s="154"/>
      <c r="M69" s="154"/>
      <c r="N69" s="187"/>
      <c r="O69" s="294"/>
    </row>
    <row r="70" spans="1:15" ht="15" customHeight="1" x14ac:dyDescent="0.2">
      <c r="A70" s="294"/>
      <c r="B70" s="454" t="str">
        <f>VLOOKUP($E70,TableInputsData[],ReadMe!$M$3,FALSE)</f>
        <v>DETTES</v>
      </c>
      <c r="C70" s="294"/>
      <c r="D70" s="968"/>
      <c r="E70" s="454" t="s">
        <v>1022</v>
      </c>
      <c r="F70" s="451"/>
      <c r="G70" s="452">
        <f>G71+G74</f>
        <v>0</v>
      </c>
      <c r="H70" s="452">
        <f t="shared" ref="H70:N70" si="38">H71+H74</f>
        <v>0</v>
      </c>
      <c r="I70" s="452">
        <f t="shared" si="38"/>
        <v>0</v>
      </c>
      <c r="J70" s="452">
        <f t="shared" si="38"/>
        <v>0</v>
      </c>
      <c r="K70" s="452">
        <f t="shared" si="38"/>
        <v>0</v>
      </c>
      <c r="L70" s="452">
        <f t="shared" si="38"/>
        <v>0</v>
      </c>
      <c r="M70" s="452">
        <f t="shared" si="38"/>
        <v>0</v>
      </c>
      <c r="N70" s="453">
        <f t="shared" si="38"/>
        <v>0</v>
      </c>
      <c r="O70" s="294"/>
    </row>
    <row r="71" spans="1:15" ht="15" customHeight="1" x14ac:dyDescent="0.2">
      <c r="A71" s="294"/>
      <c r="B71" s="155" t="str">
        <f>VLOOKUP($E71,TableInputsData[],ReadMe!$M$3,FALSE)</f>
        <v>LONG TERME</v>
      </c>
      <c r="C71" s="294"/>
      <c r="D71" s="968"/>
      <c r="E71" s="155" t="s">
        <v>1011</v>
      </c>
      <c r="F71" s="201"/>
      <c r="G71" s="156">
        <f>SUM(G72:G73)</f>
        <v>0</v>
      </c>
      <c r="H71" s="156">
        <f t="shared" ref="H71:N71" si="39">SUM(H72:H73)</f>
        <v>0</v>
      </c>
      <c r="I71" s="156">
        <f t="shared" si="39"/>
        <v>0</v>
      </c>
      <c r="J71" s="156">
        <f t="shared" si="39"/>
        <v>0</v>
      </c>
      <c r="K71" s="156">
        <f t="shared" si="39"/>
        <v>0</v>
      </c>
      <c r="L71" s="156">
        <f t="shared" si="39"/>
        <v>0</v>
      </c>
      <c r="M71" s="156">
        <f t="shared" si="39"/>
        <v>0</v>
      </c>
      <c r="N71" s="157">
        <f t="shared" si="39"/>
        <v>0</v>
      </c>
      <c r="O71" s="294"/>
    </row>
    <row r="72" spans="1:15" ht="15" customHeight="1" x14ac:dyDescent="0.2">
      <c r="A72" s="294"/>
      <c r="B72" s="200" t="str">
        <f>VLOOKUP($E72,TableInputsData[],ReadMe!$M$3,FALSE)</f>
        <v>PRET BANCAIRE (PLUS 1 AN A PAYER)</v>
      </c>
      <c r="C72" s="294"/>
      <c r="D72" s="968"/>
      <c r="E72" s="200" t="s">
        <v>1023</v>
      </c>
      <c r="F72" s="153"/>
      <c r="G72" s="154">
        <f>GETPIVOTDATA("Sum of YEAR-2",$D$1029,"SUB-ITEM1","YEAR-END BALANCE SHEET VALUE LONG TERM","SUB-ITEM3",,"DESCRIPTION1","LOAN FROM LOCAL BANK")</f>
        <v>0</v>
      </c>
      <c r="H72" s="154">
        <f>GETPIVOTDATA("Sum of YEAR-1",$D$1029,"SUB-ITEM1","YEAR-END BALANCE SHEET VALUE LONG TERM","SUB-ITEM3",,"DESCRIPTION1","LOAN FROM LOCAL BANK")</f>
        <v>0</v>
      </c>
      <c r="I72" s="154">
        <f>GETPIVOTDATA("Sum of CURRENT YEAR",$D$1029,"SUB-ITEM1","YEAR-END BALANCE SHEET VALUE LONG TERM","SUB-ITEM3",,"DESCRIPTION1","LOAN FROM LOCAL BANK")</f>
        <v>0</v>
      </c>
      <c r="J72" s="154">
        <f>GETPIVOTDATA("Sum of YEAR2",$D$1029,"SUB-ITEM1","YEAR-END BALANCE SHEET VALUE LONG TERM","SUB-ITEM3",,"DESCRIPTION1","LOAN FROM LOCAL BANK")</f>
        <v>0</v>
      </c>
      <c r="K72" s="154">
        <f>GETPIVOTDATA("Sum of YEAR3",$D$1029,"SUB-ITEM1","YEAR-END BALANCE SHEET VALUE LONG TERM","SUB-ITEM3",,"DESCRIPTION1","LOAN FROM LOCAL BANK")</f>
        <v>0</v>
      </c>
      <c r="L72" s="154">
        <f>GETPIVOTDATA("Sum of YEAR4",$D$1029,"SUB-ITEM1","YEAR-END BALANCE SHEET VALUE LONG TERM","SUB-ITEM3",,"DESCRIPTION1","LOAN FROM LOCAL BANK")</f>
        <v>0</v>
      </c>
      <c r="M72" s="154">
        <f>GETPIVOTDATA("Sum of YEAR5",$D$1029,"SUB-ITEM1","YEAR-END BALANCE SHEET VALUE LONG TERM","SUB-ITEM3",,"DESCRIPTION1","LOAN FROM LOCAL BANK")</f>
        <v>0</v>
      </c>
      <c r="N72" s="176">
        <f>GETPIVOTDATA("Sum of YEAR6",$D$1029,"SUB-ITEM1","YEAR-END BALANCE SHEET VALUE LONG TERM","SUB-ITEM3",,"DESCRIPTION1","LOAN FROM LOCAL BANK")</f>
        <v>0</v>
      </c>
      <c r="O72" s="294"/>
    </row>
    <row r="73" spans="1:15" ht="15" customHeight="1" x14ac:dyDescent="0.2">
      <c r="A73" s="294"/>
      <c r="B73" s="200" t="str">
        <f>VLOOKUP($E73,TableInputsData[],ReadMe!$M$3,FALSE)</f>
        <v>PRETS EXTERIEURS (PLUS 1 AN A PAYER)</v>
      </c>
      <c r="C73" s="294"/>
      <c r="D73" s="968"/>
      <c r="E73" s="200" t="s">
        <v>1024</v>
      </c>
      <c r="F73" s="153"/>
      <c r="G73" s="154">
        <f>GETPIVOTDATA("Sum of YEAR-2",$D$1029,"SUB-ITEM1","YEAR-END BALANCE SHEET VALUE LONG TERM","SUB-ITEM3",,"DESCRIPTION1","LOAN FROM OVO + LOAN FROM FAMILY AND FRIENDS")</f>
        <v>0</v>
      </c>
      <c r="H73" s="154">
        <f>GETPIVOTDATA("Sum of YEAR-1",$D$1029,"SUB-ITEM1","YEAR-END BALANCE SHEET VALUE LONG TERM","SUB-ITEM3",,"DESCRIPTION1","LOAN FROM OVO + LOAN FROM FAMILY AND FRIENDS")</f>
        <v>0</v>
      </c>
      <c r="I73" s="154">
        <f>GETPIVOTDATA("Sum of CURRENT YEAR",$D$1029,"SUB-ITEM1","YEAR-END BALANCE SHEET VALUE LONG TERM","SUB-ITEM3",,"DESCRIPTION1","LOAN FROM OVO + LOAN FROM FAMILY AND FRIENDS")</f>
        <v>0</v>
      </c>
      <c r="J73" s="154">
        <f>GETPIVOTDATA("Sum of YEAR2",$D$1029,"SUB-ITEM1","YEAR-END BALANCE SHEET VALUE LONG TERM","SUB-ITEM3",,"DESCRIPTION1","LOAN FROM OVO + LOAN FROM FAMILY AND FRIENDS")</f>
        <v>0</v>
      </c>
      <c r="K73" s="154">
        <f>GETPIVOTDATA("Sum of YEAR3",$D$1029,"SUB-ITEM1","YEAR-END BALANCE SHEET VALUE LONG TERM","SUB-ITEM3",,"DESCRIPTION1","LOAN FROM OVO + LOAN FROM FAMILY AND FRIENDS")</f>
        <v>0</v>
      </c>
      <c r="L73" s="154">
        <f>GETPIVOTDATA("Sum of YEAR4",$D$1029,"SUB-ITEM1","YEAR-END BALANCE SHEET VALUE LONG TERM","SUB-ITEM3",,"DESCRIPTION1","LOAN FROM OVO + LOAN FROM FAMILY AND FRIENDS")</f>
        <v>0</v>
      </c>
      <c r="M73" s="154">
        <f>GETPIVOTDATA("Sum of YEAR5",$D$1029,"SUB-ITEM1","YEAR-END BALANCE SHEET VALUE LONG TERM","SUB-ITEM3",,"DESCRIPTION1","LOAN FROM OVO + LOAN FROM FAMILY AND FRIENDS")</f>
        <v>0</v>
      </c>
      <c r="N73" s="176">
        <f>GETPIVOTDATA("Sum of YEAR6",$D$1029,"SUB-ITEM1","YEAR-END BALANCE SHEET VALUE LONG TERM","SUB-ITEM3",,"DESCRIPTION1","LOAN FROM OVO + LOAN FROM FAMILY AND FRIENDS")</f>
        <v>0</v>
      </c>
      <c r="O73" s="294"/>
    </row>
    <row r="74" spans="1:15" x14ac:dyDescent="0.2">
      <c r="A74" s="294"/>
      <c r="B74" s="155" t="str">
        <f>VLOOKUP($E74,TableInputsData[],ReadMe!$M$3,FALSE)</f>
        <v>COURT TERME</v>
      </c>
      <c r="C74" s="294"/>
      <c r="D74" s="968"/>
      <c r="E74" s="155" t="s">
        <v>1012</v>
      </c>
      <c r="F74" s="201"/>
      <c r="G74" s="156">
        <f>SUM(G75:G78)</f>
        <v>0</v>
      </c>
      <c r="H74" s="156">
        <f t="shared" ref="H74:N74" si="40">SUM(H75:H78)</f>
        <v>0</v>
      </c>
      <c r="I74" s="156">
        <f t="shared" si="40"/>
        <v>0</v>
      </c>
      <c r="J74" s="156">
        <f t="shared" si="40"/>
        <v>0</v>
      </c>
      <c r="K74" s="156">
        <f t="shared" si="40"/>
        <v>0</v>
      </c>
      <c r="L74" s="156">
        <f t="shared" si="40"/>
        <v>0</v>
      </c>
      <c r="M74" s="156">
        <f t="shared" ref="M74" si="41">SUM(M75:M78)</f>
        <v>0</v>
      </c>
      <c r="N74" s="157">
        <f t="shared" si="40"/>
        <v>0</v>
      </c>
      <c r="O74" s="294"/>
    </row>
    <row r="75" spans="1:15" x14ac:dyDescent="0.2">
      <c r="A75" s="294"/>
      <c r="B75" s="200" t="str">
        <f>VLOOKUP($E75,TableInputsData[],ReadMe!$M$3,FALSE)</f>
        <v>PRET BANCAIRE (MOINS 1 AN A PAYER)</v>
      </c>
      <c r="C75" s="294"/>
      <c r="D75" s="968"/>
      <c r="E75" s="200" t="s">
        <v>1025</v>
      </c>
      <c r="F75" s="153"/>
      <c r="G75" s="154">
        <f>GETPIVOTDATA("Sum of YEAR-2",$D$1029,"SUB-ITEM1","YEAR-END BALANCE SHEET VALUE SHORT TERM","SUB-ITEM3",,"DESCRIPTION1","LOAN FROM LOCAL BANK")</f>
        <v>0</v>
      </c>
      <c r="H75" s="154">
        <f>GETPIVOTDATA("Sum of YEAR-1",$D$1029,"SUB-ITEM1","YEAR-END BALANCE SHEET VALUE SHORT TERM","SUB-ITEM3",,"DESCRIPTION1","LOAN FROM LOCAL BANK")</f>
        <v>0</v>
      </c>
      <c r="I75" s="154">
        <f>GETPIVOTDATA("Sum of CURRENT YEAR",$D$1029,"SUB-ITEM1","YEAR-END BALANCE SHEET VALUE SHORT TERM","SUB-ITEM3",,"DESCRIPTION1","LOAN FROM LOCAL BANK")</f>
        <v>0</v>
      </c>
      <c r="J75" s="154">
        <f>GETPIVOTDATA("Sum of YEAR2",$D$1029,"SUB-ITEM1","YEAR-END BALANCE SHEET VALUE SHORT TERM","SUB-ITEM3",,"DESCRIPTION1","LOAN FROM LOCAL BANK")</f>
        <v>0</v>
      </c>
      <c r="K75" s="154">
        <f>GETPIVOTDATA("Sum of YEAR3",$D$1029,"SUB-ITEM1","YEAR-END BALANCE SHEET VALUE SHORT TERM","SUB-ITEM3",,"DESCRIPTION1","LOAN FROM LOCAL BANK")</f>
        <v>0</v>
      </c>
      <c r="L75" s="154">
        <f>GETPIVOTDATA("Sum of YEAR4",$D$1029,"SUB-ITEM1","YEAR-END BALANCE SHEET VALUE SHORT TERM","SUB-ITEM3",,"DESCRIPTION1","LOAN FROM LOCAL BANK")</f>
        <v>0</v>
      </c>
      <c r="M75" s="154">
        <f>GETPIVOTDATA("Sum of YEAR5",$D$1029,"SUB-ITEM1","YEAR-END BALANCE SHEET VALUE SHORT TERM","SUB-ITEM3",,"DESCRIPTION1","LOAN FROM LOCAL BANK")</f>
        <v>0</v>
      </c>
      <c r="N75" s="176">
        <f>GETPIVOTDATA("Sum of YEAR6",$D$1029,"SUB-ITEM1","YEAR-END BALANCE SHEET VALUE SHORT TERM","SUB-ITEM3",,"DESCRIPTION1","LOAN FROM LOCAL BANK")</f>
        <v>0</v>
      </c>
      <c r="O75" s="294"/>
    </row>
    <row r="76" spans="1:15" x14ac:dyDescent="0.2">
      <c r="A76" s="294"/>
      <c r="B76" s="200" t="str">
        <f>VLOOKUP($E76,TableInputsData[],ReadMe!$M$3,FALSE)</f>
        <v>PRETS EXTERIEURS (MOINS 1 AN A PAYER)</v>
      </c>
      <c r="C76" s="294"/>
      <c r="D76" s="968"/>
      <c r="E76" s="200" t="s">
        <v>1026</v>
      </c>
      <c r="F76" s="153"/>
      <c r="G76" s="154">
        <f>GETPIVOTDATA("Sum of YEAR-2",$D$1029,"SUB-ITEM1","YEAR-END BALANCE SHEET VALUE SHORT TERM","SUB-ITEM3",,"DESCRIPTION1","LOAN FROM OVO + LOAN FROM FAMILY AND FRIENDS")</f>
        <v>0</v>
      </c>
      <c r="H76" s="154">
        <f>GETPIVOTDATA("Sum of YEAR-1",$D$1029,"SUB-ITEM1","YEAR-END BALANCE SHEET VALUE SHORT TERM","SUB-ITEM3",,"DESCRIPTION1","LOAN FROM OVO + LOAN FROM FAMILY AND FRIENDS")</f>
        <v>0</v>
      </c>
      <c r="I76" s="154">
        <f>GETPIVOTDATA("Sum of CURRENT YEAR",$D$1029,"SUB-ITEM1","YEAR-END BALANCE SHEET VALUE SHORT TERM","SUB-ITEM3",,"DESCRIPTION1","LOAN FROM OVO + LOAN FROM FAMILY AND FRIENDS")</f>
        <v>0</v>
      </c>
      <c r="J76" s="154">
        <f>GETPIVOTDATA("Sum of YEAR2",$D$1029,"SUB-ITEM1","YEAR-END BALANCE SHEET VALUE SHORT TERM","SUB-ITEM3",,"DESCRIPTION1","LOAN FROM OVO + LOAN FROM FAMILY AND FRIENDS")</f>
        <v>0</v>
      </c>
      <c r="K76" s="154">
        <f>GETPIVOTDATA("Sum of YEAR3",$D$1029,"SUB-ITEM1","YEAR-END BALANCE SHEET VALUE SHORT TERM","SUB-ITEM3",,"DESCRIPTION1","LOAN FROM OVO + LOAN FROM FAMILY AND FRIENDS")</f>
        <v>0</v>
      </c>
      <c r="L76" s="154">
        <f>GETPIVOTDATA("Sum of YEAR4",$D$1029,"SUB-ITEM1","YEAR-END BALANCE SHEET VALUE SHORT TERM","SUB-ITEM3",,"DESCRIPTION1","LOAN FROM OVO + LOAN FROM FAMILY AND FRIENDS")</f>
        <v>0</v>
      </c>
      <c r="M76" s="154">
        <f>GETPIVOTDATA("Sum of YEAR5",$D$1029,"SUB-ITEM1","YEAR-END BALANCE SHEET VALUE SHORT TERM","SUB-ITEM3",,"DESCRIPTION1","LOAN FROM OVO + LOAN FROM FAMILY AND FRIENDS")</f>
        <v>0</v>
      </c>
      <c r="N76" s="176">
        <f>GETPIVOTDATA("Sum of YEAR6",$D$1029,"SUB-ITEM1","YEAR-END BALANCE SHEET VALUE SHORT TERM","SUB-ITEM3",,"DESCRIPTION1","LOAN FROM OVO + LOAN FROM FAMILY AND FRIENDS")</f>
        <v>0</v>
      </c>
      <c r="O76" s="294"/>
    </row>
    <row r="77" spans="1:15" x14ac:dyDescent="0.2">
      <c r="A77" s="294"/>
      <c r="B77" s="200" t="str">
        <f>VLOOKUP($E77,TableInputsData[],ReadMe!$M$3,FALSE)</f>
        <v>COMPTES A PAYER</v>
      </c>
      <c r="C77" s="294"/>
      <c r="D77" s="968"/>
      <c r="E77" s="200" t="s">
        <v>865</v>
      </c>
      <c r="F77" s="153"/>
      <c r="G77" s="154">
        <f>-GETPIVOTDATA("Sum of YEAR-2",$D$729,"ITEM","WORKING CAPITAL","SUB-ITEM1","ACCOUNTS PAYABLE","SUB-ITEM3",)</f>
        <v>0</v>
      </c>
      <c r="H77" s="154">
        <f>-GETPIVOTDATA("Sum of YEAR-1",$D$729,"ITEM","WORKING CAPITAL","SUB-ITEM1","ACCOUNTS PAYABLE","SUB-ITEM3",)</f>
        <v>0</v>
      </c>
      <c r="I77" s="154">
        <f>-GETPIVOTDATA("Sum of CURRENT YEAR",$D$729,"ITEM","WORKING CAPITAL","SUB-ITEM1","ACCOUNTS PAYABLE","SUB-ITEM3",)</f>
        <v>0</v>
      </c>
      <c r="J77" s="154">
        <f>-GETPIVOTDATA("Sum of YEAR2",$D$729,"ITEM","WORKING CAPITAL","SUB-ITEM1","ACCOUNTS PAYABLE","SUB-ITEM3",)</f>
        <v>0</v>
      </c>
      <c r="K77" s="154">
        <f>-GETPIVOTDATA("Sum of YEAR3",$D$729,"ITEM","WORKING CAPITAL","SUB-ITEM1","ACCOUNTS PAYABLE","SUB-ITEM3",)</f>
        <v>0</v>
      </c>
      <c r="L77" s="154">
        <f>-GETPIVOTDATA("Sum of YEAR4",$D$729,"ITEM","WORKING CAPITAL","SUB-ITEM1","ACCOUNTS PAYABLE","SUB-ITEM3",)</f>
        <v>0</v>
      </c>
      <c r="M77" s="154">
        <f>-GETPIVOTDATA("Sum of YEAR5",$D$729,"ITEM","WORKING CAPITAL","SUB-ITEM1","ACCOUNTS PAYABLE","SUB-ITEM3",)</f>
        <v>0</v>
      </c>
      <c r="N77" s="176">
        <f>-GETPIVOTDATA("Sum of YEAR6",$D$729,"ITEM","WORKING CAPITAL","SUB-ITEM1","ACCOUNTS PAYABLE","SUB-ITEM3",)</f>
        <v>0</v>
      </c>
      <c r="O77" s="294"/>
    </row>
    <row r="78" spans="1:15" x14ac:dyDescent="0.2">
      <c r="A78" s="294"/>
      <c r="B78" s="200" t="str">
        <f>VLOOKUP($E78,TableInputsData[],ReadMe!$M$3,FALSE)</f>
        <v>DETTES FISCALES</v>
      </c>
      <c r="C78" s="294"/>
      <c r="D78" s="968"/>
      <c r="E78" s="200" t="s">
        <v>1027</v>
      </c>
      <c r="F78" s="153"/>
      <c r="G78" s="154">
        <f>GETPIVOTDATA("Sum of YEAR-2",$D$829,"SUB-ITEM1","TAXES","SUB-ITEM3",,"DESCRIPTION1","TOTAL")</f>
        <v>0</v>
      </c>
      <c r="H78" s="154">
        <f>GETPIVOTDATA("Sum of YEAR-1",$D$829,"SUB-ITEM1","TAXES","SUB-ITEM3",,"DESCRIPTION1","TOTAL")</f>
        <v>0</v>
      </c>
      <c r="I78" s="154">
        <f>GETPIVOTDATA("Sum of CURRENT YEAR",$D$829,"SUB-ITEM1","TAXES","SUB-ITEM3",,"DESCRIPTION1","TOTAL")</f>
        <v>0</v>
      </c>
      <c r="J78" s="154">
        <f>GETPIVOTDATA("Sum of YEAR2",$D$829,"SUB-ITEM1","TAXES","SUB-ITEM3",,"DESCRIPTION1","TOTAL")</f>
        <v>0</v>
      </c>
      <c r="K78" s="154">
        <f>GETPIVOTDATA("Sum of YEAR3",$D$829,"SUB-ITEM1","TAXES","SUB-ITEM3",,"DESCRIPTION1","TOTAL")</f>
        <v>0</v>
      </c>
      <c r="L78" s="154">
        <f>GETPIVOTDATA("Sum of YEAR4",$D$829,"SUB-ITEM1","TAXES","SUB-ITEM3",,"DESCRIPTION1","TOTAL")</f>
        <v>0</v>
      </c>
      <c r="M78" s="154">
        <f>GETPIVOTDATA("Sum of YEAR5",$D$829,"SUB-ITEM1","TAXES","SUB-ITEM3",,"DESCRIPTION1","TOTAL")</f>
        <v>0</v>
      </c>
      <c r="N78" s="176">
        <f>GETPIVOTDATA("Sum of YEAR6",$D$829,"SUB-ITEM1","TAXES","SUB-ITEM3",,"DESCRIPTION1","TOTAL")</f>
        <v>0</v>
      </c>
      <c r="O78" s="294"/>
    </row>
    <row r="79" spans="1:15" x14ac:dyDescent="0.2">
      <c r="A79" s="294"/>
      <c r="C79" s="294"/>
      <c r="D79" s="968"/>
      <c r="F79" s="153"/>
      <c r="G79" s="154"/>
      <c r="H79" s="154"/>
      <c r="I79" s="154"/>
      <c r="J79" s="154"/>
      <c r="K79" s="154"/>
      <c r="L79" s="154"/>
      <c r="M79" s="154"/>
      <c r="N79" s="198"/>
      <c r="O79" s="294"/>
    </row>
    <row r="80" spans="1:15" x14ac:dyDescent="0.2">
      <c r="A80" s="294"/>
      <c r="B80" s="158" t="str">
        <f>VLOOKUP($E80,TableInputsData[],ReadMe!$M$3,FALSE)</f>
        <v xml:space="preserve">PASSIF TOTAL </v>
      </c>
      <c r="C80" s="294"/>
      <c r="D80" s="968"/>
      <c r="E80" s="158" t="s">
        <v>186</v>
      </c>
      <c r="F80" s="159"/>
      <c r="G80" s="160">
        <f>G65+G70</f>
        <v>0</v>
      </c>
      <c r="H80" s="160">
        <f t="shared" ref="H80:N80" si="42">H65+H70</f>
        <v>0</v>
      </c>
      <c r="I80" s="160">
        <f t="shared" si="42"/>
        <v>0</v>
      </c>
      <c r="J80" s="160">
        <f t="shared" si="42"/>
        <v>0</v>
      </c>
      <c r="K80" s="160">
        <f t="shared" si="42"/>
        <v>0</v>
      </c>
      <c r="L80" s="160">
        <f t="shared" si="42"/>
        <v>0</v>
      </c>
      <c r="M80" s="160">
        <f t="shared" si="42"/>
        <v>0</v>
      </c>
      <c r="N80" s="161">
        <f t="shared" si="42"/>
        <v>0</v>
      </c>
      <c r="O80" s="294"/>
    </row>
    <row r="81" spans="1:15" x14ac:dyDescent="0.2">
      <c r="A81" s="294"/>
      <c r="B81" s="294"/>
      <c r="C81" s="294"/>
      <c r="D81" s="294"/>
      <c r="E81" s="294"/>
      <c r="F81" s="310"/>
      <c r="G81" s="311"/>
      <c r="H81" s="311"/>
      <c r="I81" s="311"/>
      <c r="J81" s="311"/>
      <c r="K81" s="311"/>
      <c r="L81" s="311"/>
      <c r="M81" s="311"/>
      <c r="N81" s="304"/>
      <c r="O81" s="294"/>
    </row>
    <row r="82" spans="1:15" x14ac:dyDescent="0.2">
      <c r="A82" s="294"/>
      <c r="B82" s="294"/>
      <c r="C82" s="294"/>
      <c r="D82" s="296" t="str">
        <f>InputsData!$J$1</f>
        <v>MONNAIE LOCALE : CFA</v>
      </c>
      <c r="E82" s="294"/>
      <c r="F82" s="294"/>
      <c r="G82" s="294"/>
      <c r="H82" s="294"/>
      <c r="I82" s="294"/>
      <c r="J82" s="294"/>
      <c r="K82" s="294"/>
      <c r="L82" s="294"/>
      <c r="M82" s="294"/>
      <c r="N82" s="295" t="str">
        <f>InputsData!$J$2</f>
        <v>STRICTEMENT CONFIDENTIEL | ABC CORPORATION</v>
      </c>
      <c r="O82" s="294"/>
    </row>
    <row r="83" spans="1:15" ht="28" x14ac:dyDescent="0.2">
      <c r="A83" s="294"/>
      <c r="B83" s="955" t="str">
        <f>E83</f>
        <v>RATIOS</v>
      </c>
      <c r="C83" s="294"/>
      <c r="D83" s="959" t="str">
        <f>$D$10</f>
        <v>CAS TYPIQUE
SCENARIO DE SIMULATION</v>
      </c>
      <c r="E83" s="965" t="str">
        <f>D86</f>
        <v>RATIOS</v>
      </c>
      <c r="F83" s="962" t="s">
        <v>1001</v>
      </c>
      <c r="G83" s="166" t="str">
        <f>VLOOKUP(G5,TableInputsData[],ReadMe!$M$3,FALSE)</f>
        <v>ANNEE-2</v>
      </c>
      <c r="H83" s="166" t="str">
        <f>VLOOKUP(H5,TableInputsData[],ReadMe!$M$3,FALSE)</f>
        <v>ANNEE-1</v>
      </c>
      <c r="I83" s="166" t="str">
        <f>VLOOKUP(I5,TableInputsData[],ReadMe!$M$3,FALSE)</f>
        <v>ANNEE EN COURS</v>
      </c>
      <c r="J83" s="166" t="str">
        <f>VLOOKUP(J5,TableInputsData[],ReadMe!$M$3,FALSE)</f>
        <v>ANNEE2</v>
      </c>
      <c r="K83" s="166" t="str">
        <f>VLOOKUP(K5,TableInputsData[],ReadMe!$M$3,FALSE)</f>
        <v>ANNEE3</v>
      </c>
      <c r="L83" s="166" t="str">
        <f>VLOOKUP(L5,TableInputsData[],ReadMe!$M$3,FALSE)</f>
        <v>ANNEE4</v>
      </c>
      <c r="M83" s="166" t="str">
        <f>VLOOKUP(M5,TableInputsData[],ReadMe!$M$3,FALSE)</f>
        <v>ANNEE5</v>
      </c>
      <c r="N83" s="167" t="str">
        <f>VLOOKUP(N5,TableInputsData[],ReadMe!$M$3,FALSE)</f>
        <v>ANNEE6</v>
      </c>
      <c r="O83" s="294"/>
    </row>
    <row r="84" spans="1:15" ht="14" x14ac:dyDescent="0.2">
      <c r="A84" s="294"/>
      <c r="B84" s="955"/>
      <c r="C84" s="294"/>
      <c r="D84" s="960"/>
      <c r="E84" s="949"/>
      <c r="F84" s="963"/>
      <c r="G84" s="152" t="str">
        <f>VLOOKUP(G5,TableInputsData[],7,FALSE)</f>
        <v>ACTUAL</v>
      </c>
      <c r="H84" s="152" t="str">
        <f>VLOOKUP(H5,TableInputsData[],7,FALSE)</f>
        <v>ACTUAL</v>
      </c>
      <c r="I84" s="152" t="str">
        <f>VLOOKUP(I5,TableInputsData[],7,FALSE)</f>
        <v>FORECAST</v>
      </c>
      <c r="J84" s="152" t="str">
        <f>VLOOKUP(J5,TableInputsData[],7,FALSE)</f>
        <v>FORECAST</v>
      </c>
      <c r="K84" s="152" t="str">
        <f>VLOOKUP(K5,TableInputsData[],7,FALSE)</f>
        <v>FORECAST</v>
      </c>
      <c r="L84" s="152" t="str">
        <f>VLOOKUP(L5,TableInputsData[],7,FALSE)</f>
        <v>FORECAST</v>
      </c>
      <c r="M84" s="152" t="str">
        <f>VLOOKUP(M5,TableInputsData[],7,FALSE)</f>
        <v>FORECAST</v>
      </c>
      <c r="N84" s="168" t="str">
        <f>VLOOKUP(N5,TableInputsData[],7,FALSE)</f>
        <v>FORECAST</v>
      </c>
      <c r="O84" s="294"/>
    </row>
    <row r="85" spans="1:15" x14ac:dyDescent="0.2">
      <c r="A85" s="294"/>
      <c r="B85" s="955"/>
      <c r="C85" s="294"/>
      <c r="D85" s="961"/>
      <c r="E85" s="966"/>
      <c r="F85" s="964"/>
      <c r="G85" s="170">
        <f>VLOOKUP(G5,TableInputsData[],8,FALSE)</f>
        <v>2023</v>
      </c>
      <c r="H85" s="170">
        <f>VLOOKUP(H5,TableInputsData[],8,FALSE)</f>
        <v>2024</v>
      </c>
      <c r="I85" s="170">
        <f>VLOOKUP(I5,TableInputsData[],8,FALSE)</f>
        <v>2025</v>
      </c>
      <c r="J85" s="170">
        <f>VLOOKUP(J5,TableInputsData[],8,FALSE)</f>
        <v>2026</v>
      </c>
      <c r="K85" s="170">
        <f>VLOOKUP(K5,TableInputsData[],8,FALSE)</f>
        <v>2027</v>
      </c>
      <c r="L85" s="170">
        <f>VLOOKUP(L5,TableInputsData[],8,FALSE)</f>
        <v>2028</v>
      </c>
      <c r="M85" s="170">
        <f>VLOOKUP(M5,TableInputsData[],8,FALSE)</f>
        <v>2029</v>
      </c>
      <c r="N85" s="171">
        <f>VLOOKUP(N5,TableInputsData[],8,FALSE)</f>
        <v>2030</v>
      </c>
      <c r="O85" s="294"/>
    </row>
    <row r="86" spans="1:15" ht="15" customHeight="1" x14ac:dyDescent="0.2">
      <c r="A86" s="294"/>
      <c r="B86" s="435" t="str">
        <f>VLOOKUP($E86,TableInputsData[],ReadMe!$M$3,FALSE)</f>
        <v>RATIOS COMPTE DE PERTES ET PROFITS</v>
      </c>
      <c r="C86" s="294"/>
      <c r="D86" s="949" t="s">
        <v>204</v>
      </c>
      <c r="E86" s="431" t="s">
        <v>1066</v>
      </c>
      <c r="F86" s="432"/>
      <c r="G86" s="433"/>
      <c r="H86" s="433"/>
      <c r="I86" s="433"/>
      <c r="J86" s="433"/>
      <c r="K86" s="433"/>
      <c r="L86" s="433"/>
      <c r="M86" s="433"/>
      <c r="N86" s="434"/>
      <c r="O86" s="294"/>
    </row>
    <row r="87" spans="1:15" x14ac:dyDescent="0.2">
      <c r="A87" s="294"/>
      <c r="B87" s="199" t="str">
        <f>VLOOKUP($E87,TableInputsData[],ReadMe!$M$3,FALSE)</f>
        <v>MARGE BRUTE / REVENUS</v>
      </c>
      <c r="C87" s="294"/>
      <c r="D87" s="949"/>
      <c r="E87" s="199" t="s">
        <v>1029</v>
      </c>
      <c r="F87" s="212"/>
      <c r="G87" s="154"/>
      <c r="H87" s="214">
        <f t="shared" ref="H87:N87" si="43">IF(H$16=0,0,H21/H$16)</f>
        <v>0</v>
      </c>
      <c r="I87" s="214">
        <f t="shared" si="43"/>
        <v>0</v>
      </c>
      <c r="J87" s="214">
        <f t="shared" si="43"/>
        <v>0</v>
      </c>
      <c r="K87" s="214">
        <f t="shared" si="43"/>
        <v>0</v>
      </c>
      <c r="L87" s="214">
        <f t="shared" si="43"/>
        <v>0</v>
      </c>
      <c r="M87" s="214">
        <f t="shared" si="43"/>
        <v>0</v>
      </c>
      <c r="N87" s="215">
        <f t="shared" si="43"/>
        <v>0</v>
      </c>
      <c r="O87" s="294"/>
    </row>
    <row r="88" spans="1:15" x14ac:dyDescent="0.2">
      <c r="A88" s="294"/>
      <c r="B88" s="199" t="str">
        <f>VLOOKUP($E88,TableInputsData[],ReadMe!$M$3,FALSE)</f>
        <v>MARGE BRUTE PRODUITS / REVENUS PRODUITS</v>
      </c>
      <c r="C88" s="294"/>
      <c r="D88" s="949"/>
      <c r="E88" s="199" t="s">
        <v>1067</v>
      </c>
      <c r="F88" s="212"/>
      <c r="G88" s="154"/>
      <c r="H88" s="214">
        <f t="shared" ref="H88:N88" si="44">IF(H$14=0,0,(H$14-H17)/H$14)</f>
        <v>0</v>
      </c>
      <c r="I88" s="214">
        <f t="shared" si="44"/>
        <v>0</v>
      </c>
      <c r="J88" s="214">
        <f t="shared" si="44"/>
        <v>0</v>
      </c>
      <c r="K88" s="214">
        <f t="shared" si="44"/>
        <v>0</v>
      </c>
      <c r="L88" s="214">
        <f t="shared" si="44"/>
        <v>0</v>
      </c>
      <c r="M88" s="214">
        <f t="shared" si="44"/>
        <v>0</v>
      </c>
      <c r="N88" s="215">
        <f t="shared" si="44"/>
        <v>0</v>
      </c>
      <c r="O88" s="294"/>
    </row>
    <row r="89" spans="1:15" x14ac:dyDescent="0.2">
      <c r="A89" s="294"/>
      <c r="B89" s="199" t="str">
        <f>VLOOKUP($E89,TableInputsData[],ReadMe!$M$3,FALSE)</f>
        <v>EBITDA / REVENUS</v>
      </c>
      <c r="C89" s="294"/>
      <c r="D89" s="949"/>
      <c r="E89" s="199" t="s">
        <v>1030</v>
      </c>
      <c r="F89" s="212"/>
      <c r="G89" s="154"/>
      <c r="H89" s="214">
        <f t="shared" ref="H89:N89" si="45">IF(H$16=0,0,H33/H$16)</f>
        <v>0</v>
      </c>
      <c r="I89" s="214">
        <f t="shared" si="45"/>
        <v>0</v>
      </c>
      <c r="J89" s="214">
        <f t="shared" si="45"/>
        <v>0</v>
      </c>
      <c r="K89" s="214">
        <f t="shared" si="45"/>
        <v>0</v>
      </c>
      <c r="L89" s="214">
        <f t="shared" si="45"/>
        <v>0</v>
      </c>
      <c r="M89" s="214">
        <f t="shared" si="45"/>
        <v>0</v>
      </c>
      <c r="N89" s="215">
        <f t="shared" si="45"/>
        <v>0</v>
      </c>
      <c r="O89" s="294"/>
    </row>
    <row r="90" spans="1:15" x14ac:dyDescent="0.2">
      <c r="A90" s="294"/>
      <c r="B90" s="199" t="str">
        <f>VLOOKUP($E90,TableInputsData[],ReadMe!$M$3,FALSE)</f>
        <v>EBIT / REVENUS</v>
      </c>
      <c r="C90" s="294"/>
      <c r="D90" s="949"/>
      <c r="E90" s="199" t="s">
        <v>1031</v>
      </c>
      <c r="F90" s="212"/>
      <c r="G90" s="154"/>
      <c r="H90" s="214">
        <f t="shared" ref="H90:N90" si="46">IF(H$16=0,0,H36/H$16)</f>
        <v>0</v>
      </c>
      <c r="I90" s="214">
        <f t="shared" si="46"/>
        <v>0</v>
      </c>
      <c r="J90" s="214">
        <f t="shared" si="46"/>
        <v>0</v>
      </c>
      <c r="K90" s="214">
        <f t="shared" si="46"/>
        <v>0</v>
      </c>
      <c r="L90" s="214">
        <f t="shared" si="46"/>
        <v>0</v>
      </c>
      <c r="M90" s="214">
        <f t="shared" si="46"/>
        <v>0</v>
      </c>
      <c r="N90" s="215">
        <f t="shared" si="46"/>
        <v>0</v>
      </c>
      <c r="O90" s="294"/>
    </row>
    <row r="91" spans="1:15" x14ac:dyDescent="0.2">
      <c r="A91" s="294"/>
      <c r="B91" s="199" t="str">
        <f>VLOOKUP($E91,TableInputsData[],ReadMe!$M$3,FALSE)</f>
        <v>BENEFICE BRUT AVANT IMPOTS / REVENUS</v>
      </c>
      <c r="C91" s="294"/>
      <c r="D91" s="949"/>
      <c r="E91" s="199" t="s">
        <v>1032</v>
      </c>
      <c r="F91" s="212"/>
      <c r="G91" s="154"/>
      <c r="H91" s="214">
        <f t="shared" ref="H91:N91" si="47">IF(H$16=0,0,H43/H$16)</f>
        <v>0</v>
      </c>
      <c r="I91" s="214">
        <f t="shared" si="47"/>
        <v>0</v>
      </c>
      <c r="J91" s="214">
        <f t="shared" si="47"/>
        <v>0</v>
      </c>
      <c r="K91" s="214">
        <f t="shared" si="47"/>
        <v>0</v>
      </c>
      <c r="L91" s="214">
        <f t="shared" si="47"/>
        <v>0</v>
      </c>
      <c r="M91" s="214">
        <f t="shared" si="47"/>
        <v>0</v>
      </c>
      <c r="N91" s="215">
        <f t="shared" si="47"/>
        <v>0</v>
      </c>
      <c r="O91" s="294"/>
    </row>
    <row r="92" spans="1:15" x14ac:dyDescent="0.2">
      <c r="A92" s="294"/>
      <c r="B92" s="199" t="str">
        <f>VLOOKUP($E92,TableInputsData[],ReadMe!$M$3,FALSE)</f>
        <v>BENEFICE NET / REVENUS</v>
      </c>
      <c r="C92" s="294"/>
      <c r="D92" s="949"/>
      <c r="E92" s="199" t="s">
        <v>1033</v>
      </c>
      <c r="F92" s="212"/>
      <c r="G92" s="154"/>
      <c r="H92" s="214">
        <f t="shared" ref="H92:N92" si="48">IF(H$16=0,0,H46/H$16)</f>
        <v>0</v>
      </c>
      <c r="I92" s="214">
        <f t="shared" si="48"/>
        <v>0</v>
      </c>
      <c r="J92" s="214">
        <f t="shared" si="48"/>
        <v>0</v>
      </c>
      <c r="K92" s="214">
        <f t="shared" si="48"/>
        <v>0</v>
      </c>
      <c r="L92" s="214">
        <f t="shared" si="48"/>
        <v>0</v>
      </c>
      <c r="M92" s="214">
        <f t="shared" si="48"/>
        <v>0</v>
      </c>
      <c r="N92" s="215">
        <f t="shared" si="48"/>
        <v>0</v>
      </c>
      <c r="O92" s="294"/>
    </row>
    <row r="93" spans="1:15" x14ac:dyDescent="0.2">
      <c r="A93" s="294"/>
      <c r="C93" s="294"/>
      <c r="D93" s="949"/>
      <c r="F93" s="212"/>
      <c r="G93" s="154"/>
      <c r="H93" s="154"/>
      <c r="I93" s="154"/>
      <c r="J93" s="154"/>
      <c r="K93" s="154"/>
      <c r="L93" s="154"/>
      <c r="M93" s="154"/>
      <c r="N93" s="177"/>
      <c r="O93" s="294"/>
    </row>
    <row r="94" spans="1:15" ht="12.75" customHeight="1" x14ac:dyDescent="0.2">
      <c r="A94" s="294"/>
      <c r="B94" s="431" t="str">
        <f>VLOOKUP($E94,TableInputsData[],ReadMe!$M$3,FALSE)</f>
        <v>RATIOS DE SOLVABILITE</v>
      </c>
      <c r="C94" s="294"/>
      <c r="D94" s="949"/>
      <c r="E94" s="431" t="s">
        <v>1057</v>
      </c>
      <c r="F94" s="432"/>
      <c r="G94" s="433"/>
      <c r="H94" s="433"/>
      <c r="I94" s="433"/>
      <c r="J94" s="433"/>
      <c r="K94" s="433"/>
      <c r="L94" s="433"/>
      <c r="M94" s="433"/>
      <c r="N94" s="434"/>
      <c r="O94" s="294"/>
    </row>
    <row r="95" spans="1:15" ht="12.75" customHeight="1" x14ac:dyDescent="0.2">
      <c r="A95" s="294"/>
      <c r="B95" s="199" t="str">
        <f>VLOOKUP($E95,TableInputsData[],ReadMe!$M$3,FALSE)</f>
        <v>FONDS DE ROULEMENT NET</v>
      </c>
      <c r="C95" s="294"/>
      <c r="D95" s="949"/>
      <c r="E95" s="199" t="s">
        <v>1058</v>
      </c>
      <c r="F95" s="212"/>
      <c r="G95" s="154"/>
      <c r="H95" s="154"/>
      <c r="I95" s="154"/>
      <c r="J95" s="154"/>
      <c r="K95" s="154"/>
      <c r="L95" s="154"/>
      <c r="M95" s="154"/>
      <c r="N95" s="177"/>
      <c r="O95" s="294"/>
    </row>
    <row r="96" spans="1:15" ht="12.75" customHeight="1" x14ac:dyDescent="0.2">
      <c r="A96" s="294"/>
      <c r="B96" s="210" t="str">
        <f>VLOOKUP($E96,TableInputsData[],ReadMe!$M$3,FALSE)</f>
        <v>ACTIF A COURT TERME - PASSIF A COURT TERME</v>
      </c>
      <c r="C96" s="294"/>
      <c r="D96" s="949"/>
      <c r="E96" s="210" t="s">
        <v>1059</v>
      </c>
      <c r="F96" s="212" t="s">
        <v>1093</v>
      </c>
      <c r="G96" s="154"/>
      <c r="H96" s="154">
        <f t="shared" ref="H96:N96" si="49">H58-H74</f>
        <v>0</v>
      </c>
      <c r="I96" s="154">
        <f t="shared" si="49"/>
        <v>0</v>
      </c>
      <c r="J96" s="154">
        <f t="shared" si="49"/>
        <v>0</v>
      </c>
      <c r="K96" s="154">
        <f t="shared" si="49"/>
        <v>0</v>
      </c>
      <c r="L96" s="154">
        <f t="shared" si="49"/>
        <v>0</v>
      </c>
      <c r="M96" s="154">
        <f t="shared" si="49"/>
        <v>0</v>
      </c>
      <c r="N96" s="176">
        <f t="shared" si="49"/>
        <v>0</v>
      </c>
      <c r="O96" s="294"/>
    </row>
    <row r="97" spans="1:15" ht="12.75" customHeight="1" x14ac:dyDescent="0.2">
      <c r="A97" s="294"/>
      <c r="B97" s="210" t="str">
        <f>VLOOKUP($E97,TableInputsData[],ReadMe!$M$3,FALSE)</f>
        <v>CAPITAUX PROPRES PERMANENTS - IMMOBILISATIONS</v>
      </c>
      <c r="C97" s="294"/>
      <c r="D97" s="949"/>
      <c r="E97" s="210" t="s">
        <v>1060</v>
      </c>
      <c r="F97" s="212" t="s">
        <v>76</v>
      </c>
      <c r="G97" s="154"/>
      <c r="H97" s="154">
        <f>H65+H71-H53</f>
        <v>0</v>
      </c>
      <c r="I97" s="154">
        <f t="shared" ref="I97:N97" si="50">I65+I71-I53</f>
        <v>0</v>
      </c>
      <c r="J97" s="154">
        <f t="shared" si="50"/>
        <v>0</v>
      </c>
      <c r="K97" s="154">
        <f t="shared" si="50"/>
        <v>0</v>
      </c>
      <c r="L97" s="154">
        <f t="shared" si="50"/>
        <v>0</v>
      </c>
      <c r="M97" s="154">
        <f t="shared" si="50"/>
        <v>0</v>
      </c>
      <c r="N97" s="176">
        <f t="shared" si="50"/>
        <v>0</v>
      </c>
      <c r="O97" s="294"/>
    </row>
    <row r="98" spans="1:15" ht="12.75" customHeight="1" x14ac:dyDescent="0.2">
      <c r="A98" s="294"/>
      <c r="B98" s="199" t="str">
        <f>VLOOKUP($E98,TableInputsData[],ReadMe!$M$3,FALSE)</f>
        <v>FINANCEMENT GENERAL</v>
      </c>
      <c r="C98" s="294"/>
      <c r="D98" s="949"/>
      <c r="E98" s="199" t="s">
        <v>1061</v>
      </c>
      <c r="F98" s="212" t="s">
        <v>208</v>
      </c>
      <c r="G98" s="154"/>
      <c r="H98" s="211">
        <f>IF(H53=0,0,(H65+H71)/H53)</f>
        <v>0</v>
      </c>
      <c r="I98" s="211">
        <f t="shared" ref="I98:N98" si="51">IF(I53=0,0,(I65+I71)/I53)</f>
        <v>0</v>
      </c>
      <c r="J98" s="211">
        <f t="shared" si="51"/>
        <v>0</v>
      </c>
      <c r="K98" s="211">
        <f t="shared" si="51"/>
        <v>0</v>
      </c>
      <c r="L98" s="211">
        <f t="shared" si="51"/>
        <v>0</v>
      </c>
      <c r="M98" s="211">
        <f t="shared" si="51"/>
        <v>0</v>
      </c>
      <c r="N98" s="213">
        <f t="shared" si="51"/>
        <v>0</v>
      </c>
      <c r="O98" s="294"/>
    </row>
    <row r="99" spans="1:15" ht="12.75" customHeight="1" x14ac:dyDescent="0.2">
      <c r="A99" s="294"/>
      <c r="B99" s="199" t="str">
        <f>VLOOKUP($E99,TableInputsData[],ReadMe!$M$3,FALSE)</f>
        <v>DEBTRATIO GENERAL</v>
      </c>
      <c r="C99" s="294"/>
      <c r="D99" s="949"/>
      <c r="E99" s="199" t="s">
        <v>1062</v>
      </c>
      <c r="F99" s="212" t="s">
        <v>1094</v>
      </c>
      <c r="G99" s="154"/>
      <c r="H99" s="211">
        <f>IF(H65=0,0,H70/H65)</f>
        <v>0</v>
      </c>
      <c r="I99" s="211">
        <f t="shared" ref="I99:N99" si="52">IF(I65=0,0,I70/I65)</f>
        <v>0</v>
      </c>
      <c r="J99" s="211">
        <f t="shared" si="52"/>
        <v>0</v>
      </c>
      <c r="K99" s="211">
        <f t="shared" si="52"/>
        <v>0</v>
      </c>
      <c r="L99" s="211">
        <f t="shared" si="52"/>
        <v>0</v>
      </c>
      <c r="M99" s="211">
        <f t="shared" si="52"/>
        <v>0</v>
      </c>
      <c r="N99" s="213">
        <f t="shared" si="52"/>
        <v>0</v>
      </c>
      <c r="O99" s="294"/>
    </row>
    <row r="100" spans="1:15" ht="12.75" customHeight="1" x14ac:dyDescent="0.2">
      <c r="A100" s="294"/>
      <c r="B100" s="199" t="str">
        <f>VLOOKUP($E100,TableInputsData[],ReadMe!$M$3,FALSE)</f>
        <v>DEBTRATIO A LONG TERME</v>
      </c>
      <c r="C100" s="294"/>
      <c r="D100" s="949"/>
      <c r="E100" s="199" t="s">
        <v>1063</v>
      </c>
      <c r="F100" s="212" t="s">
        <v>1096</v>
      </c>
      <c r="G100" s="154"/>
      <c r="H100" s="211">
        <f>IF(H66=0,0,H71/H66)</f>
        <v>0</v>
      </c>
      <c r="I100" s="211">
        <f t="shared" ref="I100:N100" si="53">IF(I66=0,0,I71/I66)</f>
        <v>0</v>
      </c>
      <c r="J100" s="211">
        <f t="shared" si="53"/>
        <v>0</v>
      </c>
      <c r="K100" s="211">
        <f t="shared" si="53"/>
        <v>0</v>
      </c>
      <c r="L100" s="211">
        <f t="shared" si="53"/>
        <v>0</v>
      </c>
      <c r="M100" s="211">
        <f t="shared" si="53"/>
        <v>0</v>
      </c>
      <c r="N100" s="213">
        <f t="shared" si="53"/>
        <v>0</v>
      </c>
      <c r="O100" s="294"/>
    </row>
    <row r="101" spans="1:15" ht="12.75" customHeight="1" x14ac:dyDescent="0.2">
      <c r="A101" s="294"/>
      <c r="B101" s="199" t="str">
        <f>VLOOKUP($E101,TableInputsData[],ReadMe!$M$3,FALSE)</f>
        <v>DEGRE D'INDEPENDANCE</v>
      </c>
      <c r="C101" s="294"/>
      <c r="D101" s="949"/>
      <c r="E101" s="199" t="s">
        <v>1064</v>
      </c>
      <c r="F101" s="212" t="s">
        <v>1095</v>
      </c>
      <c r="G101" s="154"/>
      <c r="H101" s="211">
        <f>IF(H80=0,0,H65/H80)</f>
        <v>0</v>
      </c>
      <c r="I101" s="211">
        <f t="shared" ref="I101:N101" si="54">IF(I80=0,0,I65/I80)</f>
        <v>0</v>
      </c>
      <c r="J101" s="211">
        <f t="shared" si="54"/>
        <v>0</v>
      </c>
      <c r="K101" s="211">
        <f t="shared" si="54"/>
        <v>0</v>
      </c>
      <c r="L101" s="211">
        <f t="shared" si="54"/>
        <v>0</v>
      </c>
      <c r="M101" s="211">
        <f t="shared" si="54"/>
        <v>0</v>
      </c>
      <c r="N101" s="213">
        <f t="shared" si="54"/>
        <v>0</v>
      </c>
      <c r="O101" s="294"/>
    </row>
    <row r="102" spans="1:15" ht="12.75" customHeight="1" x14ac:dyDescent="0.2">
      <c r="A102" s="294"/>
      <c r="C102" s="294"/>
      <c r="D102" s="949"/>
      <c r="F102" s="212" t="s">
        <v>76</v>
      </c>
      <c r="G102" s="154"/>
      <c r="H102" s="154"/>
      <c r="I102" s="154"/>
      <c r="J102" s="154"/>
      <c r="K102" s="154"/>
      <c r="L102" s="154"/>
      <c r="M102" s="154"/>
      <c r="N102" s="177"/>
      <c r="O102" s="294"/>
    </row>
    <row r="103" spans="1:15" ht="12.75" customHeight="1" x14ac:dyDescent="0.2">
      <c r="A103" s="294"/>
      <c r="B103" s="431" t="str">
        <f>VLOOKUP($E103,TableInputsData[],ReadMe!$M$3,FALSE)</f>
        <v>RATIOS DE LIQUIDITE</v>
      </c>
      <c r="C103" s="294"/>
      <c r="D103" s="949"/>
      <c r="E103" s="431" t="s">
        <v>1065</v>
      </c>
      <c r="F103" s="432" t="s">
        <v>76</v>
      </c>
      <c r="G103" s="433"/>
      <c r="H103" s="433"/>
      <c r="I103" s="433"/>
      <c r="J103" s="433"/>
      <c r="K103" s="433"/>
      <c r="L103" s="433"/>
      <c r="M103" s="433"/>
      <c r="N103" s="434"/>
      <c r="O103" s="294"/>
    </row>
    <row r="104" spans="1:15" ht="12.75" customHeight="1" x14ac:dyDescent="0.2">
      <c r="A104" s="294"/>
      <c r="B104" s="199" t="str">
        <f>VLOOKUP($E104,TableInputsData[],ReadMe!$M$3,FALSE)</f>
        <v>RATIO ACTUEL</v>
      </c>
      <c r="C104" s="294"/>
      <c r="D104" s="949"/>
      <c r="E104" s="199" t="s">
        <v>1068</v>
      </c>
      <c r="F104" s="212" t="s">
        <v>208</v>
      </c>
      <c r="G104" s="154"/>
      <c r="H104" s="211">
        <f>IF(H74=0,0,H58/H74)</f>
        <v>0</v>
      </c>
      <c r="I104" s="211">
        <f t="shared" ref="I104:N104" si="55">IF(I74=0,0,I58/I74)</f>
        <v>0</v>
      </c>
      <c r="J104" s="211">
        <f t="shared" si="55"/>
        <v>0</v>
      </c>
      <c r="K104" s="211">
        <f t="shared" si="55"/>
        <v>0</v>
      </c>
      <c r="L104" s="211">
        <f t="shared" si="55"/>
        <v>0</v>
      </c>
      <c r="M104" s="211">
        <f t="shared" si="55"/>
        <v>0</v>
      </c>
      <c r="N104" s="213">
        <f t="shared" si="55"/>
        <v>0</v>
      </c>
      <c r="O104" s="294"/>
    </row>
    <row r="105" spans="1:15" ht="12.75" customHeight="1" x14ac:dyDescent="0.2">
      <c r="A105" s="294"/>
      <c r="B105" s="199" t="str">
        <f>VLOOKUP($E105,TableInputsData[],ReadMe!$M$3,FALSE)</f>
        <v>RATIO RAPIDE</v>
      </c>
      <c r="C105" s="294"/>
      <c r="D105" s="949"/>
      <c r="E105" s="199" t="s">
        <v>1069</v>
      </c>
      <c r="F105" s="422" t="s">
        <v>1098</v>
      </c>
      <c r="G105" s="154"/>
      <c r="H105" s="211">
        <f>IF(H74=0,0,(H58-H59)/H74)</f>
        <v>0</v>
      </c>
      <c r="I105" s="211">
        <f t="shared" ref="I105:N105" si="56">IF(I74=0,0,(I58-I59)/I74)</f>
        <v>0</v>
      </c>
      <c r="J105" s="211">
        <f t="shared" si="56"/>
        <v>0</v>
      </c>
      <c r="K105" s="211">
        <f t="shared" si="56"/>
        <v>0</v>
      </c>
      <c r="L105" s="211">
        <f t="shared" si="56"/>
        <v>0</v>
      </c>
      <c r="M105" s="211">
        <f t="shared" si="56"/>
        <v>0</v>
      </c>
      <c r="N105" s="213">
        <f t="shared" si="56"/>
        <v>0</v>
      </c>
      <c r="O105" s="294"/>
    </row>
    <row r="106" spans="1:15" ht="12.75" customHeight="1" x14ac:dyDescent="0.2">
      <c r="A106" s="294"/>
      <c r="B106" s="199" t="str">
        <f>VLOOKUP($E106,TableInputsData[],ReadMe!$M$3,FALSE)</f>
        <v>RATIO DE TRESORERIE</v>
      </c>
      <c r="C106" s="294"/>
      <c r="D106" s="949"/>
      <c r="E106" s="199" t="s">
        <v>1070</v>
      </c>
      <c r="F106" s="212" t="s">
        <v>76</v>
      </c>
      <c r="G106" s="154"/>
      <c r="H106" s="211">
        <f>IF(H74=0,0,H61/H74)</f>
        <v>0</v>
      </c>
      <c r="I106" s="211">
        <f t="shared" ref="I106:N106" si="57">IF(I74=0,0,I61/I74)</f>
        <v>0</v>
      </c>
      <c r="J106" s="211">
        <f t="shared" si="57"/>
        <v>0</v>
      </c>
      <c r="K106" s="211">
        <f t="shared" si="57"/>
        <v>0</v>
      </c>
      <c r="L106" s="211">
        <f t="shared" si="57"/>
        <v>0</v>
      </c>
      <c r="M106" s="211">
        <f t="shared" si="57"/>
        <v>0</v>
      </c>
      <c r="N106" s="213">
        <f t="shared" si="57"/>
        <v>0</v>
      </c>
      <c r="O106" s="294"/>
    </row>
    <row r="107" spans="1:15" ht="12.75" customHeight="1" x14ac:dyDescent="0.2">
      <c r="A107" s="294"/>
      <c r="C107" s="294"/>
      <c r="D107" s="949"/>
      <c r="F107" s="212" t="s">
        <v>76</v>
      </c>
      <c r="G107" s="154"/>
      <c r="H107" s="154"/>
      <c r="I107" s="154"/>
      <c r="J107" s="154"/>
      <c r="K107" s="154"/>
      <c r="L107" s="154"/>
      <c r="M107" s="154"/>
      <c r="N107" s="177"/>
      <c r="O107" s="294"/>
    </row>
    <row r="108" spans="1:15" ht="12.75" customHeight="1" x14ac:dyDescent="0.2">
      <c r="A108" s="294"/>
      <c r="B108" s="431" t="str">
        <f>VLOOKUP($E108,TableInputsData[],ReadMe!$M$3,FALSE)</f>
        <v>SEUIL DE RENTABILITÉ</v>
      </c>
      <c r="C108" s="294"/>
      <c r="D108" s="949"/>
      <c r="E108" s="431" t="s">
        <v>1074</v>
      </c>
      <c r="F108" s="432" t="s">
        <v>76</v>
      </c>
      <c r="G108" s="433"/>
      <c r="H108" s="433"/>
      <c r="I108" s="433"/>
      <c r="J108" s="433"/>
      <c r="K108" s="433"/>
      <c r="L108" s="433"/>
      <c r="M108" s="433"/>
      <c r="N108" s="434"/>
      <c r="O108" s="294"/>
    </row>
    <row r="109" spans="1:15" ht="12.75" customHeight="1" x14ac:dyDescent="0.2">
      <c r="A109" s="294"/>
      <c r="B109" s="199" t="str">
        <f>VLOOKUP($E109,TableInputsData[],ReadMe!$M$3,FALSE)</f>
        <v>VOLUME DE RENTABILITÉ</v>
      </c>
      <c r="C109" s="294"/>
      <c r="D109" s="949"/>
      <c r="E109" s="199" t="s">
        <v>1075</v>
      </c>
      <c r="F109" s="212" t="s">
        <v>76</v>
      </c>
      <c r="G109" s="154"/>
      <c r="H109" s="154"/>
      <c r="I109" s="154">
        <f>IF((GETPIVOTDATA("Sum of CURRENT YEAR",$D$329,"ITEM","REVENUE AND GROSS PROFIT","SUB-ITEM1","AVERAGE SELLING PRICE PER UNIT","SUB-ITEM2","VALUE")-GETPIVOTDATA("Sum of CURRENT YEAR",$D$329,"ITEM","REVENUE AND GROSS PROFIT","SUB-ITEM1","AVERAGE COST OF GOODS SOLD PER UNIT","SUB-ITEM2","VALUE"))=0,0,(I32+I35)/(GETPIVOTDATA("Sum of CURRENT YEAR",$D$329,"ITEM","REVENUE AND GROSS PROFIT","SUB-ITEM1","AVERAGE SELLING PRICE PER UNIT","SUB-ITEM2","VALUE")-GETPIVOTDATA("Sum of CURRENT YEAR",$D$329,"ITEM","REVENUE AND GROSS PROFIT","SUB-ITEM1","AVERAGE COST OF GOODS SOLD PER UNIT","SUB-ITEM2","VALUE")))</f>
        <v>0</v>
      </c>
      <c r="J109" s="154">
        <f>IF((GETPIVOTDATA("Sum of YEAR2",$D$329,"ITEM","REVENUE AND GROSS PROFIT","SUB-ITEM1","AVERAGE SELLING PRICE PER UNIT","SUB-ITEM2","VALUE")-GETPIVOTDATA("Sum of YEAR2",$D$329,"ITEM","REVENUE AND GROSS PROFIT","SUB-ITEM1","AVERAGE COST OF GOODS SOLD PER UNIT","SUB-ITEM2","VALUE"))=0,0,(J32+J35)/(GETPIVOTDATA("Sum of YEAR2",$D$329,"ITEM","REVENUE AND GROSS PROFIT","SUB-ITEM1","AVERAGE SELLING PRICE PER UNIT","SUB-ITEM2","VALUE")-GETPIVOTDATA("Sum of YEAR2",$D$329,"ITEM","REVENUE AND GROSS PROFIT","SUB-ITEM1","AVERAGE COST OF GOODS SOLD PER UNIT","SUB-ITEM2","VALUE")))</f>
        <v>0</v>
      </c>
      <c r="K109" s="154">
        <f>IF((GETPIVOTDATA("Sum of YEAR3",$D$329,"ITEM","REVENUE AND GROSS PROFIT","SUB-ITEM1","AVERAGE SELLING PRICE PER UNIT","SUB-ITEM2","VALUE")-GETPIVOTDATA("Sum of YEAR3",$D$329,"ITEM","REVENUE AND GROSS PROFIT","SUB-ITEM1","AVERAGE COST OF GOODS SOLD PER UNIT","SUB-ITEM2","VALUE"))=0,0,(K32+K35)/(GETPIVOTDATA("Sum of YEAR3",$D$329,"ITEM","REVENUE AND GROSS PROFIT","SUB-ITEM1","AVERAGE SELLING PRICE PER UNIT","SUB-ITEM2","VALUE")-GETPIVOTDATA("Sum of YEAR3",$D$329,"ITEM","REVENUE AND GROSS PROFIT","SUB-ITEM1","AVERAGE COST OF GOODS SOLD PER UNIT","SUB-ITEM2","VALUE")))</f>
        <v>0</v>
      </c>
      <c r="L109" s="154">
        <f>IF((GETPIVOTDATA("Sum of YEAR4",$D$329,"ITEM","REVENUE AND GROSS PROFIT","SUB-ITEM1","AVERAGE SELLING PRICE PER UNIT","SUB-ITEM2","VALUE")-GETPIVOTDATA("Sum of YEAR4",$D$329,"ITEM","REVENUE AND GROSS PROFIT","SUB-ITEM1","AVERAGE COST OF GOODS SOLD PER UNIT","SUB-ITEM2","VALUE"))=0,0,(L32+L35)/(GETPIVOTDATA("Sum of YEAR4",$D$329,"ITEM","REVENUE AND GROSS PROFIT","SUB-ITEM1","AVERAGE SELLING PRICE PER UNIT","SUB-ITEM2","VALUE")-GETPIVOTDATA("Sum of YEAR4",$D$329,"ITEM","REVENUE AND GROSS PROFIT","SUB-ITEM1","AVERAGE COST OF GOODS SOLD PER UNIT","SUB-ITEM2","VALUE")))</f>
        <v>0</v>
      </c>
      <c r="M109" s="154">
        <f>IF((GETPIVOTDATA("Sum of YEAR5",$D$329,"ITEM","REVENUE AND GROSS PROFIT","SUB-ITEM1","AVERAGE SELLING PRICE PER UNIT","SUB-ITEM2","VALUE")-GETPIVOTDATA("Sum of YEAR5",$D$329,"ITEM","REVENUE AND GROSS PROFIT","SUB-ITEM1","AVERAGE COST OF GOODS SOLD PER UNIT","SUB-ITEM2","VALUE"))=0,0,(M32+M35)/(GETPIVOTDATA("Sum of YEAR5",$D$329,"ITEM","REVENUE AND GROSS PROFIT","SUB-ITEM1","AVERAGE SELLING PRICE PER UNIT","SUB-ITEM2","VALUE")-GETPIVOTDATA("Sum of YEAR5",$D$329,"ITEM","REVENUE AND GROSS PROFIT","SUB-ITEM1","AVERAGE COST OF GOODS SOLD PER UNIT","SUB-ITEM2","VALUE")))</f>
        <v>0</v>
      </c>
      <c r="N109" s="176">
        <f>IF((GETPIVOTDATA("Sum of YEAR6",$D$329,"ITEM","REVENUE AND GROSS PROFIT","SUB-ITEM1","AVERAGE SELLING PRICE PER UNIT","SUB-ITEM2","VALUE")-GETPIVOTDATA("Sum of YEAR6",$D$329,"ITEM","REVENUE AND GROSS PROFIT","SUB-ITEM1","AVERAGE COST OF GOODS SOLD PER UNIT","SUB-ITEM2","VALUE"))=0,0,(N32+N35)/(GETPIVOTDATA("Sum of YEAR6",$D$329,"ITEM","REVENUE AND GROSS PROFIT","SUB-ITEM1","AVERAGE SELLING PRICE PER UNIT","SUB-ITEM2","VALUE")-GETPIVOTDATA("Sum of YEAR6",$D$329,"ITEM","REVENUE AND GROSS PROFIT","SUB-ITEM1","AVERAGE COST OF GOODS SOLD PER UNIT","SUB-ITEM2","VALUE")))</f>
        <v>0</v>
      </c>
      <c r="O109" s="294"/>
    </row>
    <row r="110" spans="1:15" ht="12.75" customHeight="1" x14ac:dyDescent="0.2">
      <c r="A110" s="294"/>
      <c r="B110" s="199" t="str">
        <f>VLOOKUP($E110,TableInputsData[],ReadMe!$M$3,FALSE)</f>
        <v>VALEUR DE RENTABILITÉ</v>
      </c>
      <c r="C110" s="294"/>
      <c r="D110" s="949"/>
      <c r="E110" s="199" t="s">
        <v>1076</v>
      </c>
      <c r="F110" s="212" t="s">
        <v>76</v>
      </c>
      <c r="G110" s="154"/>
      <c r="H110" s="154">
        <f>IF(H87=0,0,(H32+H35)/H87)</f>
        <v>0</v>
      </c>
      <c r="I110" s="154">
        <f t="shared" ref="I110:N110" si="58">IF(I87=0,0,(I32+I35)/I87)</f>
        <v>0</v>
      </c>
      <c r="J110" s="154">
        <f t="shared" si="58"/>
        <v>0</v>
      </c>
      <c r="K110" s="154">
        <f t="shared" si="58"/>
        <v>0</v>
      </c>
      <c r="L110" s="154">
        <f t="shared" si="58"/>
        <v>0</v>
      </c>
      <c r="M110" s="154">
        <f t="shared" si="58"/>
        <v>0</v>
      </c>
      <c r="N110" s="176">
        <f t="shared" si="58"/>
        <v>0</v>
      </c>
      <c r="O110" s="294"/>
    </row>
    <row r="111" spans="1:15" ht="12.75" customHeight="1" x14ac:dyDescent="0.2">
      <c r="A111" s="294"/>
      <c r="B111" s="199" t="str">
        <f>VLOOKUP($E111,TableInputsData[],ReadMe!$M$3,FALSE)</f>
        <v>RATIO DE RENTABILITÉ</v>
      </c>
      <c r="C111" s="294"/>
      <c r="D111" s="949"/>
      <c r="E111" s="199" t="s">
        <v>1077</v>
      </c>
      <c r="F111" s="212" t="s">
        <v>1097</v>
      </c>
      <c r="G111" s="154"/>
      <c r="H111" s="211">
        <f>IF(H16=0,0,H110/H16)</f>
        <v>0</v>
      </c>
      <c r="I111" s="211">
        <f t="shared" ref="I111:N111" si="59">IF(I16=0,0,I110/I16)</f>
        <v>0</v>
      </c>
      <c r="J111" s="211">
        <f t="shared" si="59"/>
        <v>0</v>
      </c>
      <c r="K111" s="211">
        <f t="shared" si="59"/>
        <v>0</v>
      </c>
      <c r="L111" s="211">
        <f t="shared" si="59"/>
        <v>0</v>
      </c>
      <c r="M111" s="211">
        <f t="shared" si="59"/>
        <v>0</v>
      </c>
      <c r="N111" s="213">
        <f t="shared" si="59"/>
        <v>0</v>
      </c>
      <c r="O111" s="294"/>
    </row>
    <row r="112" spans="1:15" ht="12.75" customHeight="1" x14ac:dyDescent="0.2">
      <c r="A112" s="294"/>
      <c r="C112" s="294"/>
      <c r="D112" s="949"/>
      <c r="F112" s="212"/>
      <c r="G112" s="154"/>
      <c r="H112" s="154"/>
      <c r="I112" s="154"/>
      <c r="J112" s="154"/>
      <c r="K112" s="154"/>
      <c r="L112" s="154"/>
      <c r="M112" s="154"/>
      <c r="N112" s="177"/>
      <c r="O112" s="294"/>
    </row>
    <row r="113" spans="1:15" ht="12.75" customHeight="1" x14ac:dyDescent="0.2">
      <c r="A113" s="294"/>
      <c r="B113" s="431" t="str">
        <f>VLOOKUP($E113,TableInputsData[],ReadMe!$M$3,FALSE)</f>
        <v>CHIFFRES DE RENDEMENT</v>
      </c>
      <c r="C113" s="294"/>
      <c r="D113" s="949"/>
      <c r="E113" s="431" t="s">
        <v>195</v>
      </c>
      <c r="F113" s="432"/>
      <c r="G113" s="433"/>
      <c r="H113" s="433"/>
      <c r="I113" s="433"/>
      <c r="J113" s="433"/>
      <c r="K113" s="433"/>
      <c r="L113" s="433"/>
      <c r="M113" s="433"/>
      <c r="N113" s="434"/>
      <c r="O113" s="294"/>
    </row>
    <row r="114" spans="1:15" ht="12.75" customHeight="1" x14ac:dyDescent="0.2">
      <c r="A114" s="294"/>
      <c r="B114" s="199" t="str">
        <f>VLOOKUP($E114,TableInputsData[],ReadMe!$M$3,FALSE)</f>
        <v>RENDEMENT SUR LE CHIFFRE D'AFFAIRES</v>
      </c>
      <c r="C114" s="294"/>
      <c r="D114" s="949"/>
      <c r="E114" s="199" t="s">
        <v>1078</v>
      </c>
      <c r="F114" s="212"/>
      <c r="G114" s="154"/>
      <c r="H114" s="211">
        <f t="shared" ref="H114:N114" si="60">H92*100</f>
        <v>0</v>
      </c>
      <c r="I114" s="211">
        <f t="shared" si="60"/>
        <v>0</v>
      </c>
      <c r="J114" s="211">
        <f t="shared" si="60"/>
        <v>0</v>
      </c>
      <c r="K114" s="211">
        <f t="shared" si="60"/>
        <v>0</v>
      </c>
      <c r="L114" s="211">
        <f t="shared" si="60"/>
        <v>0</v>
      </c>
      <c r="M114" s="211">
        <f t="shared" si="60"/>
        <v>0</v>
      </c>
      <c r="N114" s="213">
        <f t="shared" si="60"/>
        <v>0</v>
      </c>
      <c r="O114" s="294"/>
    </row>
    <row r="115" spans="1:15" ht="12.75" customHeight="1" x14ac:dyDescent="0.2">
      <c r="A115" s="294"/>
      <c r="B115" s="199" t="str">
        <f>VLOOKUP($E115,TableInputsData[],ReadMe!$M$3,FALSE)</f>
        <v>RENDEMENT SUR LES INVESTISSEMENTS</v>
      </c>
      <c r="C115" s="294"/>
      <c r="D115" s="949"/>
      <c r="E115" s="199" t="s">
        <v>197</v>
      </c>
      <c r="F115" s="212"/>
      <c r="G115" s="154"/>
      <c r="H115" s="211">
        <f>IF(H55=0,0,H46/H55)</f>
        <v>0</v>
      </c>
      <c r="I115" s="211">
        <f t="shared" ref="I115:N115" si="61">IF(I55=0,0,I46/I55)</f>
        <v>0</v>
      </c>
      <c r="J115" s="211">
        <f t="shared" si="61"/>
        <v>0</v>
      </c>
      <c r="K115" s="211">
        <f t="shared" si="61"/>
        <v>0</v>
      </c>
      <c r="L115" s="211">
        <f t="shared" si="61"/>
        <v>0</v>
      </c>
      <c r="M115" s="211">
        <f t="shared" si="61"/>
        <v>0</v>
      </c>
      <c r="N115" s="213">
        <f t="shared" si="61"/>
        <v>0</v>
      </c>
      <c r="O115" s="294"/>
    </row>
    <row r="116" spans="1:15" ht="12.75" customHeight="1" x14ac:dyDescent="0.2">
      <c r="A116" s="294"/>
      <c r="B116" s="199" t="str">
        <f>VLOOKUP($E116,TableInputsData[],ReadMe!$M$3,FALSE)</f>
        <v>RENDEMENT SUR LES SOURCES TOTALES</v>
      </c>
      <c r="C116" s="294"/>
      <c r="D116" s="949"/>
      <c r="E116" s="199" t="s">
        <v>198</v>
      </c>
      <c r="F116" s="212"/>
      <c r="G116" s="154"/>
      <c r="H116" s="211">
        <f>IF(H80=0,0,H46/H80)</f>
        <v>0</v>
      </c>
      <c r="I116" s="211">
        <f t="shared" ref="I116:N116" si="62">IF(I80=0,0,I46/I80)</f>
        <v>0</v>
      </c>
      <c r="J116" s="211">
        <f t="shared" si="62"/>
        <v>0</v>
      </c>
      <c r="K116" s="211">
        <f t="shared" si="62"/>
        <v>0</v>
      </c>
      <c r="L116" s="211">
        <f t="shared" si="62"/>
        <v>0</v>
      </c>
      <c r="M116" s="211">
        <f t="shared" si="62"/>
        <v>0</v>
      </c>
      <c r="N116" s="213">
        <f t="shared" si="62"/>
        <v>0</v>
      </c>
      <c r="O116" s="294"/>
    </row>
    <row r="117" spans="1:15" ht="12.75" customHeight="1" x14ac:dyDescent="0.2">
      <c r="A117" s="294"/>
      <c r="B117" s="199" t="str">
        <f>VLOOKUP($E117,TableInputsData[],ReadMe!$M$3,FALSE)</f>
        <v>RENDEMENT SUR LES CAPITAUX PROPRES</v>
      </c>
      <c r="C117" s="294"/>
      <c r="D117" s="949"/>
      <c r="E117" s="199" t="s">
        <v>199</v>
      </c>
      <c r="F117" s="212"/>
      <c r="G117" s="154"/>
      <c r="H117" s="211">
        <f>IF(H65=0,0,H46/H65)</f>
        <v>0</v>
      </c>
      <c r="I117" s="211">
        <f t="shared" ref="I117:N117" si="63">IF(I65=0,0,I46/I65)</f>
        <v>0</v>
      </c>
      <c r="J117" s="211">
        <f t="shared" si="63"/>
        <v>0</v>
      </c>
      <c r="K117" s="211">
        <f t="shared" si="63"/>
        <v>0</v>
      </c>
      <c r="L117" s="211">
        <f t="shared" si="63"/>
        <v>0</v>
      </c>
      <c r="M117" s="211">
        <f t="shared" si="63"/>
        <v>0</v>
      </c>
      <c r="N117" s="213">
        <f t="shared" si="63"/>
        <v>0</v>
      </c>
      <c r="O117" s="294"/>
    </row>
    <row r="118" spans="1:15" x14ac:dyDescent="0.2">
      <c r="A118" s="294"/>
      <c r="B118" s="206"/>
      <c r="C118" s="294"/>
      <c r="D118" s="205"/>
      <c r="E118" s="206"/>
      <c r="F118" s="207"/>
      <c r="G118" s="208"/>
      <c r="H118" s="208"/>
      <c r="I118" s="208"/>
      <c r="J118" s="208"/>
      <c r="K118" s="208"/>
      <c r="L118" s="208"/>
      <c r="M118" s="208"/>
      <c r="N118" s="209"/>
      <c r="O118" s="294"/>
    </row>
    <row r="119" spans="1:15" x14ac:dyDescent="0.2">
      <c r="A119" s="294"/>
      <c r="B119" s="294"/>
      <c r="C119" s="294"/>
      <c r="D119" s="294"/>
      <c r="E119" s="294"/>
      <c r="F119" s="310"/>
      <c r="G119" s="311"/>
      <c r="H119" s="311"/>
      <c r="I119" s="311"/>
      <c r="J119" s="311"/>
      <c r="K119" s="311"/>
      <c r="L119" s="311"/>
      <c r="M119" s="311"/>
      <c r="N119" s="304"/>
      <c r="O119" s="294"/>
    </row>
    <row r="120" spans="1:15" hidden="1" outlineLevel="1" x14ac:dyDescent="0.2">
      <c r="A120" s="294"/>
      <c r="B120" s="294"/>
      <c r="C120" s="294"/>
      <c r="D120" s="294"/>
      <c r="E120" s="294"/>
      <c r="F120" s="310"/>
      <c r="G120" s="311"/>
      <c r="H120" s="311"/>
      <c r="I120" s="311"/>
      <c r="J120" s="311"/>
      <c r="K120" s="311"/>
      <c r="L120" s="311"/>
      <c r="M120" s="311"/>
      <c r="N120" s="304"/>
      <c r="O120" s="294"/>
    </row>
    <row r="121" spans="1:15" hidden="1" outlineLevel="1" x14ac:dyDescent="0.2">
      <c r="A121" s="294"/>
      <c r="B121" s="294"/>
      <c r="C121" s="294"/>
      <c r="D121" s="294"/>
      <c r="E121" s="294"/>
      <c r="F121" s="310"/>
      <c r="G121" s="311"/>
      <c r="H121" s="311"/>
      <c r="I121" s="311"/>
      <c r="J121" s="311"/>
      <c r="K121" s="311"/>
      <c r="L121" s="311"/>
      <c r="M121" s="311"/>
      <c r="N121" s="304"/>
      <c r="O121" s="294"/>
    </row>
    <row r="122" spans="1:15" hidden="1" outlineLevel="1" x14ac:dyDescent="0.2">
      <c r="A122" s="294"/>
      <c r="B122" s="294"/>
      <c r="C122" s="294"/>
      <c r="D122" s="294"/>
      <c r="E122" s="294"/>
      <c r="F122" s="310"/>
      <c r="G122" s="311"/>
      <c r="H122" s="311"/>
      <c r="I122" s="311"/>
      <c r="J122" s="311"/>
      <c r="K122" s="311"/>
      <c r="L122" s="311"/>
      <c r="M122" s="311"/>
      <c r="N122" s="304"/>
      <c r="O122" s="294"/>
    </row>
    <row r="123" spans="1:15" hidden="1" outlineLevel="1" x14ac:dyDescent="0.2">
      <c r="A123" s="294"/>
      <c r="B123" s="294"/>
      <c r="C123" s="294"/>
      <c r="D123" s="294"/>
      <c r="E123" s="294"/>
      <c r="F123" s="310"/>
      <c r="G123" s="311"/>
      <c r="H123" s="311"/>
      <c r="I123" s="311"/>
      <c r="J123" s="311"/>
      <c r="K123" s="311"/>
      <c r="L123" s="311"/>
      <c r="M123" s="311"/>
      <c r="N123" s="304"/>
      <c r="O123" s="294"/>
    </row>
    <row r="124" spans="1:15" hidden="1" outlineLevel="1" x14ac:dyDescent="0.2">
      <c r="A124" s="294"/>
      <c r="B124" s="294"/>
      <c r="C124" s="294"/>
      <c r="D124" s="294"/>
      <c r="E124" s="294"/>
      <c r="F124" s="310"/>
      <c r="G124" s="311"/>
      <c r="H124" s="311"/>
      <c r="I124" s="311"/>
      <c r="J124" s="311"/>
      <c r="K124" s="311"/>
      <c r="L124" s="311"/>
      <c r="M124" s="311"/>
      <c r="N124" s="304"/>
      <c r="O124" s="294"/>
    </row>
    <row r="125" spans="1:15" hidden="1" outlineLevel="1" x14ac:dyDescent="0.2">
      <c r="A125" s="294"/>
      <c r="B125" s="294"/>
      <c r="C125" s="294"/>
      <c r="D125" s="294"/>
      <c r="E125" s="294"/>
      <c r="F125" s="310"/>
      <c r="G125" s="311"/>
      <c r="H125" s="311"/>
      <c r="I125" s="311"/>
      <c r="J125" s="311"/>
      <c r="K125" s="311"/>
      <c r="L125" s="311"/>
      <c r="M125" s="311"/>
      <c r="N125" s="304"/>
      <c r="O125" s="294"/>
    </row>
    <row r="126" spans="1:15" hidden="1" outlineLevel="1" x14ac:dyDescent="0.2">
      <c r="A126" s="294"/>
      <c r="B126" s="294"/>
      <c r="C126" s="294"/>
      <c r="D126" s="294"/>
      <c r="E126" s="294"/>
      <c r="F126" s="310"/>
      <c r="G126" s="311"/>
      <c r="H126" s="311"/>
      <c r="I126" s="311"/>
      <c r="J126" s="311"/>
      <c r="K126" s="311"/>
      <c r="L126" s="311"/>
      <c r="M126" s="311"/>
      <c r="N126" s="304"/>
      <c r="O126" s="294"/>
    </row>
    <row r="127" spans="1:15" hidden="1" outlineLevel="1" x14ac:dyDescent="0.2">
      <c r="A127" s="294"/>
      <c r="B127" s="294"/>
      <c r="C127" s="294"/>
      <c r="D127" s="294"/>
      <c r="E127" s="294"/>
      <c r="F127" s="310"/>
      <c r="G127" s="311"/>
      <c r="H127" s="311"/>
      <c r="I127" s="311"/>
      <c r="J127" s="311"/>
      <c r="K127" s="311"/>
      <c r="L127" s="311"/>
      <c r="M127" s="311"/>
      <c r="N127" s="304"/>
      <c r="O127" s="294"/>
    </row>
    <row r="128" spans="1:15" hidden="1" outlineLevel="1" x14ac:dyDescent="0.2">
      <c r="A128" s="294"/>
      <c r="B128" s="294"/>
      <c r="C128" s="294"/>
      <c r="D128" s="294"/>
      <c r="E128" s="294"/>
      <c r="F128" s="310"/>
      <c r="G128" s="311"/>
      <c r="H128" s="311"/>
      <c r="I128" s="311"/>
      <c r="J128" s="311"/>
      <c r="K128" s="311"/>
      <c r="L128" s="311"/>
      <c r="M128" s="311"/>
      <c r="N128" s="304"/>
      <c r="O128" s="294"/>
    </row>
    <row r="129" spans="1:15" hidden="1" outlineLevel="1" x14ac:dyDescent="0.2">
      <c r="A129" s="294"/>
      <c r="B129" s="294"/>
      <c r="C129" s="294"/>
      <c r="D129" s="294"/>
      <c r="E129" s="294"/>
      <c r="F129" s="310"/>
      <c r="G129" s="311"/>
      <c r="H129" s="311"/>
      <c r="I129" s="311"/>
      <c r="J129" s="311"/>
      <c r="K129" s="311"/>
      <c r="L129" s="311"/>
      <c r="M129" s="311"/>
      <c r="N129" s="304"/>
      <c r="O129" s="294"/>
    </row>
    <row r="130" spans="1:15" hidden="1" outlineLevel="1" x14ac:dyDescent="0.2">
      <c r="A130" s="294"/>
      <c r="B130" s="294"/>
      <c r="C130" s="294"/>
      <c r="D130" s="294"/>
      <c r="E130" s="294"/>
      <c r="F130" s="310"/>
      <c r="G130" s="311"/>
      <c r="H130" s="311"/>
      <c r="I130" s="311"/>
      <c r="J130" s="311"/>
      <c r="K130" s="311"/>
      <c r="L130" s="311"/>
      <c r="M130" s="311"/>
      <c r="N130" s="304"/>
      <c r="O130" s="294"/>
    </row>
    <row r="131" spans="1:15" hidden="1" outlineLevel="1" x14ac:dyDescent="0.2">
      <c r="A131" s="294"/>
      <c r="B131" s="294"/>
      <c r="C131" s="294"/>
      <c r="D131" s="294"/>
      <c r="E131" s="294"/>
      <c r="F131" s="310"/>
      <c r="G131" s="311"/>
      <c r="H131" s="311"/>
      <c r="I131" s="311"/>
      <c r="J131" s="311"/>
      <c r="K131" s="311"/>
      <c r="L131" s="311"/>
      <c r="M131" s="311"/>
      <c r="N131" s="304"/>
      <c r="O131" s="294"/>
    </row>
    <row r="132" spans="1:15" hidden="1" outlineLevel="1" x14ac:dyDescent="0.2">
      <c r="A132" s="294"/>
      <c r="B132" s="294"/>
      <c r="C132" s="294"/>
      <c r="D132" s="294"/>
      <c r="E132" s="294"/>
      <c r="F132" s="310"/>
      <c r="G132" s="311"/>
      <c r="H132" s="311"/>
      <c r="I132" s="311"/>
      <c r="J132" s="311"/>
      <c r="K132" s="311"/>
      <c r="L132" s="311"/>
      <c r="M132" s="311"/>
      <c r="N132" s="304"/>
      <c r="O132" s="294"/>
    </row>
    <row r="133" spans="1:15" hidden="1" outlineLevel="1" x14ac:dyDescent="0.2">
      <c r="A133" s="294"/>
      <c r="B133" s="294"/>
      <c r="C133" s="294"/>
      <c r="D133" s="294"/>
      <c r="E133" s="294"/>
      <c r="F133" s="310"/>
      <c r="G133" s="311"/>
      <c r="H133" s="311"/>
      <c r="I133" s="311"/>
      <c r="J133" s="311"/>
      <c r="K133" s="311"/>
      <c r="L133" s="311"/>
      <c r="M133" s="311"/>
      <c r="N133" s="304"/>
      <c r="O133" s="294"/>
    </row>
    <row r="134" spans="1:15" hidden="1" outlineLevel="1" x14ac:dyDescent="0.2">
      <c r="A134" s="294"/>
      <c r="B134" s="294"/>
      <c r="C134" s="294"/>
      <c r="D134" s="294"/>
      <c r="E134" s="294"/>
      <c r="F134" s="310"/>
      <c r="G134" s="311"/>
      <c r="H134" s="311"/>
      <c r="I134" s="311"/>
      <c r="J134" s="311"/>
      <c r="K134" s="311"/>
      <c r="L134" s="311"/>
      <c r="M134" s="311"/>
      <c r="N134" s="304"/>
      <c r="O134" s="294"/>
    </row>
    <row r="135" spans="1:15" hidden="1" outlineLevel="1" x14ac:dyDescent="0.2">
      <c r="A135" s="294"/>
      <c r="B135" s="294"/>
      <c r="C135" s="294"/>
      <c r="D135" s="294"/>
      <c r="E135" s="294"/>
      <c r="F135" s="310"/>
      <c r="G135" s="311"/>
      <c r="H135" s="311"/>
      <c r="I135" s="311"/>
      <c r="J135" s="311"/>
      <c r="K135" s="311"/>
      <c r="L135" s="311"/>
      <c r="M135" s="311"/>
      <c r="N135" s="304"/>
      <c r="O135" s="294"/>
    </row>
    <row r="136" spans="1:15" hidden="1" outlineLevel="1" x14ac:dyDescent="0.2">
      <c r="A136" s="294"/>
      <c r="B136" s="294"/>
      <c r="C136" s="294"/>
      <c r="D136" s="294"/>
      <c r="E136" s="294"/>
      <c r="F136" s="310"/>
      <c r="G136" s="311"/>
      <c r="H136" s="311"/>
      <c r="I136" s="311"/>
      <c r="J136" s="311"/>
      <c r="K136" s="311"/>
      <c r="L136" s="311"/>
      <c r="M136" s="311"/>
      <c r="N136" s="304"/>
      <c r="O136" s="294"/>
    </row>
    <row r="137" spans="1:15" hidden="1" outlineLevel="1" x14ac:dyDescent="0.2">
      <c r="A137" s="294"/>
      <c r="B137" s="294"/>
      <c r="C137" s="294"/>
      <c r="D137" s="294"/>
      <c r="E137" s="294"/>
      <c r="F137" s="310"/>
      <c r="G137" s="311"/>
      <c r="H137" s="311"/>
      <c r="I137" s="311"/>
      <c r="J137" s="311"/>
      <c r="K137" s="311"/>
      <c r="L137" s="311"/>
      <c r="M137" s="311"/>
      <c r="N137" s="304"/>
      <c r="O137" s="294"/>
    </row>
    <row r="138" spans="1:15" hidden="1" outlineLevel="1" x14ac:dyDescent="0.2">
      <c r="A138" s="294"/>
      <c r="B138" s="294"/>
      <c r="C138" s="294"/>
      <c r="D138" s="294"/>
      <c r="E138" s="294"/>
      <c r="F138" s="310"/>
      <c r="G138" s="311"/>
      <c r="H138" s="311"/>
      <c r="I138" s="311"/>
      <c r="J138" s="311"/>
      <c r="K138" s="311"/>
      <c r="L138" s="311"/>
      <c r="M138" s="311"/>
      <c r="N138" s="304"/>
      <c r="O138" s="294"/>
    </row>
    <row r="139" spans="1:15" hidden="1" outlineLevel="1" x14ac:dyDescent="0.2">
      <c r="A139" s="294"/>
      <c r="B139" s="294"/>
      <c r="C139" s="294"/>
      <c r="D139" s="294"/>
      <c r="E139" s="294"/>
      <c r="F139" s="310"/>
      <c r="G139" s="311"/>
      <c r="H139" s="311"/>
      <c r="I139" s="311"/>
      <c r="J139" s="311"/>
      <c r="K139" s="311"/>
      <c r="L139" s="311"/>
      <c r="M139" s="311"/>
      <c r="N139" s="304"/>
      <c r="O139" s="294"/>
    </row>
    <row r="140" spans="1:15" hidden="1" outlineLevel="1" x14ac:dyDescent="0.2">
      <c r="A140" s="294"/>
      <c r="B140" s="294"/>
      <c r="C140" s="294"/>
      <c r="D140" s="294"/>
      <c r="E140" s="294"/>
      <c r="F140" s="310"/>
      <c r="G140" s="311"/>
      <c r="H140" s="311"/>
      <c r="I140" s="311"/>
      <c r="J140" s="311"/>
      <c r="K140" s="311"/>
      <c r="L140" s="311"/>
      <c r="M140" s="311"/>
      <c r="N140" s="304"/>
      <c r="O140" s="294"/>
    </row>
    <row r="141" spans="1:15" hidden="1" outlineLevel="1" x14ac:dyDescent="0.2">
      <c r="A141" s="294"/>
      <c r="B141" s="294"/>
      <c r="C141" s="294"/>
      <c r="D141" s="294"/>
      <c r="E141" s="294"/>
      <c r="F141" s="310"/>
      <c r="G141" s="311"/>
      <c r="H141" s="311"/>
      <c r="I141" s="311"/>
      <c r="J141" s="311"/>
      <c r="K141" s="311"/>
      <c r="L141" s="311"/>
      <c r="M141" s="311"/>
      <c r="N141" s="304"/>
      <c r="O141" s="294"/>
    </row>
    <row r="142" spans="1:15" hidden="1" outlineLevel="1" x14ac:dyDescent="0.2">
      <c r="A142" s="294"/>
      <c r="B142" s="294"/>
      <c r="C142" s="294"/>
      <c r="D142" s="294"/>
      <c r="E142" s="294"/>
      <c r="F142" s="310"/>
      <c r="G142" s="311"/>
      <c r="H142" s="311"/>
      <c r="I142" s="311"/>
      <c r="J142" s="311"/>
      <c r="K142" s="311"/>
      <c r="L142" s="311"/>
      <c r="M142" s="311"/>
      <c r="N142" s="304"/>
      <c r="O142" s="294"/>
    </row>
    <row r="143" spans="1:15" hidden="1" outlineLevel="1" x14ac:dyDescent="0.2">
      <c r="A143" s="294"/>
      <c r="B143" s="294"/>
      <c r="C143" s="294"/>
      <c r="D143" s="294"/>
      <c r="E143" s="294"/>
      <c r="F143" s="310"/>
      <c r="G143" s="311"/>
      <c r="H143" s="311"/>
      <c r="I143" s="311"/>
      <c r="J143" s="311"/>
      <c r="K143" s="311"/>
      <c r="L143" s="311"/>
      <c r="M143" s="311"/>
      <c r="N143" s="304"/>
      <c r="O143" s="294"/>
    </row>
    <row r="144" spans="1:15" hidden="1" outlineLevel="1" x14ac:dyDescent="0.2">
      <c r="A144" s="294"/>
      <c r="B144" s="294"/>
      <c r="C144" s="294"/>
      <c r="D144" s="294"/>
      <c r="E144" s="294"/>
      <c r="F144" s="310"/>
      <c r="G144" s="311"/>
      <c r="H144" s="311"/>
      <c r="I144" s="311"/>
      <c r="J144" s="311"/>
      <c r="K144" s="311"/>
      <c r="L144" s="311"/>
      <c r="M144" s="311"/>
      <c r="N144" s="304"/>
      <c r="O144" s="294"/>
    </row>
    <row r="145" spans="1:15" hidden="1" outlineLevel="1" x14ac:dyDescent="0.2">
      <c r="A145" s="294"/>
      <c r="B145" s="294"/>
      <c r="C145" s="294"/>
      <c r="D145" s="294"/>
      <c r="E145" s="294"/>
      <c r="F145" s="310"/>
      <c r="G145" s="311"/>
      <c r="H145" s="311"/>
      <c r="I145" s="311"/>
      <c r="J145" s="311"/>
      <c r="K145" s="311"/>
      <c r="L145" s="311"/>
      <c r="M145" s="311"/>
      <c r="N145" s="304"/>
      <c r="O145" s="294"/>
    </row>
    <row r="146" spans="1:15" hidden="1" outlineLevel="1" x14ac:dyDescent="0.2">
      <c r="A146" s="294"/>
      <c r="B146" s="294"/>
      <c r="C146" s="294"/>
      <c r="D146" s="294"/>
      <c r="E146" s="294"/>
      <c r="F146" s="310"/>
      <c r="G146" s="311"/>
      <c r="H146" s="311"/>
      <c r="I146" s="311"/>
      <c r="J146" s="311"/>
      <c r="K146" s="311"/>
      <c r="L146" s="311"/>
      <c r="M146" s="311"/>
      <c r="N146" s="304"/>
      <c r="O146" s="294"/>
    </row>
    <row r="147" spans="1:15" hidden="1" outlineLevel="1" x14ac:dyDescent="0.2">
      <c r="A147" s="294"/>
      <c r="B147" s="294"/>
      <c r="C147" s="294"/>
      <c r="D147" s="294"/>
      <c r="E147" s="294"/>
      <c r="F147" s="310"/>
      <c r="G147" s="311"/>
      <c r="H147" s="311"/>
      <c r="I147" s="311"/>
      <c r="J147" s="311"/>
      <c r="K147" s="311"/>
      <c r="L147" s="311"/>
      <c r="M147" s="311"/>
      <c r="N147" s="304"/>
      <c r="O147" s="294"/>
    </row>
    <row r="148" spans="1:15" hidden="1" outlineLevel="1" x14ac:dyDescent="0.2">
      <c r="A148" s="294"/>
      <c r="B148" s="294"/>
      <c r="C148" s="294"/>
      <c r="D148" s="294"/>
      <c r="E148" s="294"/>
      <c r="F148" s="310"/>
      <c r="G148" s="311"/>
      <c r="H148" s="311"/>
      <c r="I148" s="311"/>
      <c r="J148" s="311"/>
      <c r="K148" s="311"/>
      <c r="L148" s="311"/>
      <c r="M148" s="311"/>
      <c r="N148" s="304"/>
      <c r="O148" s="294"/>
    </row>
    <row r="149" spans="1:15" hidden="1" outlineLevel="1" x14ac:dyDescent="0.2">
      <c r="A149" s="294"/>
      <c r="B149" s="294"/>
      <c r="C149" s="294"/>
      <c r="D149" s="294"/>
      <c r="E149" s="294"/>
      <c r="F149" s="310"/>
      <c r="G149" s="311"/>
      <c r="H149" s="311"/>
      <c r="I149" s="311"/>
      <c r="J149" s="311"/>
      <c r="K149" s="311"/>
      <c r="L149" s="311"/>
      <c r="M149" s="311"/>
      <c r="N149" s="304"/>
      <c r="O149" s="294"/>
    </row>
    <row r="150" spans="1:15" hidden="1" outlineLevel="1" x14ac:dyDescent="0.2">
      <c r="A150" s="294"/>
      <c r="B150" s="294"/>
      <c r="C150" s="294"/>
      <c r="D150" s="294"/>
      <c r="E150" s="294"/>
      <c r="F150" s="310"/>
      <c r="G150" s="311"/>
      <c r="H150" s="311"/>
      <c r="I150" s="311"/>
      <c r="J150" s="311"/>
      <c r="K150" s="311"/>
      <c r="L150" s="311"/>
      <c r="M150" s="311"/>
      <c r="N150" s="304"/>
      <c r="O150" s="294"/>
    </row>
    <row r="151" spans="1:15" hidden="1" outlineLevel="1" x14ac:dyDescent="0.2">
      <c r="A151" s="294"/>
      <c r="B151" s="294"/>
      <c r="C151" s="294"/>
      <c r="D151" s="294"/>
      <c r="E151" s="294"/>
      <c r="F151" s="310"/>
      <c r="G151" s="311"/>
      <c r="H151" s="311"/>
      <c r="I151" s="311"/>
      <c r="J151" s="311"/>
      <c r="K151" s="311"/>
      <c r="L151" s="311"/>
      <c r="M151" s="311"/>
      <c r="N151" s="304"/>
      <c r="O151" s="294"/>
    </row>
    <row r="152" spans="1:15" hidden="1" outlineLevel="1" x14ac:dyDescent="0.2">
      <c r="A152" s="294"/>
      <c r="B152" s="294"/>
      <c r="C152" s="294"/>
      <c r="D152" s="294"/>
      <c r="E152" s="294"/>
      <c r="F152" s="310"/>
      <c r="G152" s="311"/>
      <c r="H152" s="311"/>
      <c r="I152" s="311"/>
      <c r="J152" s="311"/>
      <c r="K152" s="311"/>
      <c r="L152" s="311"/>
      <c r="M152" s="311"/>
      <c r="N152" s="304"/>
      <c r="O152" s="294"/>
    </row>
    <row r="153" spans="1:15" hidden="1" outlineLevel="1" x14ac:dyDescent="0.2">
      <c r="A153" s="294"/>
      <c r="B153" s="294"/>
      <c r="C153" s="294"/>
      <c r="D153" s="294"/>
      <c r="E153" s="294"/>
      <c r="F153" s="310"/>
      <c r="G153" s="311"/>
      <c r="H153" s="311"/>
      <c r="I153" s="311"/>
      <c r="J153" s="311"/>
      <c r="K153" s="311"/>
      <c r="L153" s="311"/>
      <c r="M153" s="311"/>
      <c r="N153" s="304"/>
      <c r="O153" s="294"/>
    </row>
    <row r="154" spans="1:15" hidden="1" outlineLevel="1" x14ac:dyDescent="0.2">
      <c r="A154" s="294"/>
      <c r="B154" s="294"/>
      <c r="C154" s="294"/>
      <c r="D154" s="294"/>
      <c r="E154" s="294"/>
      <c r="F154" s="310"/>
      <c r="G154" s="311"/>
      <c r="H154" s="311"/>
      <c r="I154" s="311"/>
      <c r="J154" s="311"/>
      <c r="K154" s="311"/>
      <c r="L154" s="311"/>
      <c r="M154" s="311"/>
      <c r="N154" s="304"/>
      <c r="O154" s="294"/>
    </row>
    <row r="155" spans="1:15" hidden="1" outlineLevel="1" x14ac:dyDescent="0.2">
      <c r="A155" s="294"/>
      <c r="B155" s="294"/>
      <c r="C155" s="294"/>
      <c r="D155" s="294"/>
      <c r="E155" s="294"/>
      <c r="F155" s="310"/>
      <c r="G155" s="311"/>
      <c r="H155" s="311"/>
      <c r="I155" s="311"/>
      <c r="J155" s="311"/>
      <c r="K155" s="311"/>
      <c r="L155" s="311"/>
      <c r="M155" s="311"/>
      <c r="N155" s="304"/>
      <c r="O155" s="294"/>
    </row>
    <row r="156" spans="1:15" hidden="1" outlineLevel="1" x14ac:dyDescent="0.2">
      <c r="A156" s="294"/>
      <c r="B156" s="294"/>
      <c r="C156" s="294"/>
      <c r="D156" s="294"/>
      <c r="E156" s="294"/>
      <c r="F156" s="310"/>
      <c r="G156" s="311"/>
      <c r="H156" s="311"/>
      <c r="I156" s="311"/>
      <c r="J156" s="311"/>
      <c r="K156" s="311"/>
      <c r="L156" s="311"/>
      <c r="M156" s="311"/>
      <c r="N156" s="304"/>
      <c r="O156" s="294"/>
    </row>
    <row r="157" spans="1:15" hidden="1" outlineLevel="1" x14ac:dyDescent="0.2">
      <c r="A157" s="294"/>
      <c r="B157" s="294"/>
      <c r="C157" s="294"/>
      <c r="D157" s="294"/>
      <c r="E157" s="294"/>
      <c r="F157" s="310"/>
      <c r="G157" s="311"/>
      <c r="H157" s="311"/>
      <c r="I157" s="311"/>
      <c r="J157" s="311"/>
      <c r="K157" s="311"/>
      <c r="L157" s="311"/>
      <c r="M157" s="311"/>
      <c r="N157" s="304"/>
      <c r="O157" s="294"/>
    </row>
    <row r="158" spans="1:15" hidden="1" outlineLevel="1" x14ac:dyDescent="0.2">
      <c r="A158" s="294"/>
      <c r="B158" s="294"/>
      <c r="C158" s="294"/>
      <c r="D158" s="294"/>
      <c r="E158" s="294"/>
      <c r="F158" s="310"/>
      <c r="G158" s="311"/>
      <c r="H158" s="311"/>
      <c r="I158" s="311"/>
      <c r="J158" s="311"/>
      <c r="K158" s="311"/>
      <c r="L158" s="311"/>
      <c r="M158" s="311"/>
      <c r="N158" s="304"/>
      <c r="O158" s="294"/>
    </row>
    <row r="159" spans="1:15" hidden="1" outlineLevel="1" x14ac:dyDescent="0.2">
      <c r="A159" s="294"/>
      <c r="B159" s="294"/>
      <c r="C159" s="294"/>
      <c r="D159" s="294"/>
      <c r="E159" s="294"/>
      <c r="F159" s="310"/>
      <c r="G159" s="311"/>
      <c r="H159" s="311"/>
      <c r="I159" s="311"/>
      <c r="J159" s="311"/>
      <c r="K159" s="311"/>
      <c r="L159" s="311"/>
      <c r="M159" s="311"/>
      <c r="N159" s="304"/>
      <c r="O159" s="294"/>
    </row>
    <row r="160" spans="1:15" hidden="1" outlineLevel="1" x14ac:dyDescent="0.2">
      <c r="A160" s="294"/>
      <c r="B160" s="294"/>
      <c r="C160" s="294"/>
      <c r="D160" s="294"/>
      <c r="E160" s="294"/>
      <c r="F160" s="310"/>
      <c r="G160" s="311"/>
      <c r="H160" s="311"/>
      <c r="I160" s="311"/>
      <c r="J160" s="311"/>
      <c r="K160" s="311"/>
      <c r="L160" s="311"/>
      <c r="M160" s="311"/>
      <c r="N160" s="304"/>
      <c r="O160" s="294"/>
    </row>
    <row r="161" spans="1:15" hidden="1" outlineLevel="1" x14ac:dyDescent="0.2">
      <c r="A161" s="294"/>
      <c r="B161" s="294"/>
      <c r="C161" s="294"/>
      <c r="D161" s="294"/>
      <c r="E161" s="294"/>
      <c r="F161" s="310"/>
      <c r="G161" s="311"/>
      <c r="H161" s="311"/>
      <c r="I161" s="311"/>
      <c r="J161" s="311"/>
      <c r="K161" s="311"/>
      <c r="L161" s="311"/>
      <c r="M161" s="311"/>
      <c r="N161" s="304"/>
      <c r="O161" s="294"/>
    </row>
    <row r="162" spans="1:15" hidden="1" outlineLevel="1" x14ac:dyDescent="0.2">
      <c r="A162" s="294"/>
      <c r="B162" s="294"/>
      <c r="C162" s="294"/>
      <c r="D162" s="294"/>
      <c r="E162" s="294"/>
      <c r="F162" s="310"/>
      <c r="G162" s="311"/>
      <c r="H162" s="311"/>
      <c r="I162" s="311"/>
      <c r="J162" s="311"/>
      <c r="K162" s="311"/>
      <c r="L162" s="311"/>
      <c r="M162" s="311"/>
      <c r="N162" s="304"/>
      <c r="O162" s="294"/>
    </row>
    <row r="163" spans="1:15" hidden="1" outlineLevel="1" x14ac:dyDescent="0.2">
      <c r="A163" s="294"/>
      <c r="B163" s="294"/>
      <c r="C163" s="294"/>
      <c r="D163" s="294"/>
      <c r="E163" s="294"/>
      <c r="F163" s="310"/>
      <c r="G163" s="311"/>
      <c r="H163" s="311"/>
      <c r="I163" s="311"/>
      <c r="J163" s="311"/>
      <c r="K163" s="311"/>
      <c r="L163" s="311"/>
      <c r="M163" s="311"/>
      <c r="N163" s="304"/>
      <c r="O163" s="294"/>
    </row>
    <row r="164" spans="1:15" hidden="1" outlineLevel="1" x14ac:dyDescent="0.2">
      <c r="A164" s="294"/>
      <c r="B164" s="294"/>
      <c r="C164" s="294"/>
      <c r="D164" s="294"/>
      <c r="E164" s="294"/>
      <c r="F164" s="310"/>
      <c r="G164" s="311"/>
      <c r="H164" s="311"/>
      <c r="I164" s="311"/>
      <c r="J164" s="311"/>
      <c r="K164" s="311"/>
      <c r="L164" s="311"/>
      <c r="M164" s="311"/>
      <c r="N164" s="304"/>
      <c r="O164" s="294"/>
    </row>
    <row r="165" spans="1:15" hidden="1" outlineLevel="1" x14ac:dyDescent="0.2">
      <c r="A165" s="294"/>
      <c r="B165" s="294"/>
      <c r="C165" s="294"/>
      <c r="D165" s="294"/>
      <c r="E165" s="294"/>
      <c r="F165" s="310"/>
      <c r="G165" s="311"/>
      <c r="H165" s="311"/>
      <c r="I165" s="311"/>
      <c r="J165" s="311"/>
      <c r="K165" s="311"/>
      <c r="L165" s="311"/>
      <c r="M165" s="311"/>
      <c r="N165" s="304"/>
      <c r="O165" s="294"/>
    </row>
    <row r="166" spans="1:15" hidden="1" outlineLevel="1" x14ac:dyDescent="0.2">
      <c r="A166" s="294"/>
      <c r="B166" s="294"/>
      <c r="C166" s="294"/>
      <c r="D166" s="294"/>
      <c r="E166" s="294"/>
      <c r="F166" s="310"/>
      <c r="G166" s="311"/>
      <c r="H166" s="311"/>
      <c r="I166" s="311"/>
      <c r="J166" s="311"/>
      <c r="K166" s="311"/>
      <c r="L166" s="311"/>
      <c r="M166" s="311"/>
      <c r="N166" s="304"/>
      <c r="O166" s="294"/>
    </row>
    <row r="167" spans="1:15" hidden="1" outlineLevel="1" x14ac:dyDescent="0.2">
      <c r="A167" s="294"/>
      <c r="B167" s="294"/>
      <c r="C167" s="294"/>
      <c r="D167" s="294"/>
      <c r="E167" s="294"/>
      <c r="F167" s="310"/>
      <c r="G167" s="311"/>
      <c r="H167" s="311"/>
      <c r="I167" s="311"/>
      <c r="J167" s="311"/>
      <c r="K167" s="311"/>
      <c r="L167" s="311"/>
      <c r="M167" s="311"/>
      <c r="N167" s="304"/>
      <c r="O167" s="294"/>
    </row>
    <row r="168" spans="1:15" hidden="1" outlineLevel="1" x14ac:dyDescent="0.2">
      <c r="A168" s="294"/>
      <c r="B168" s="294"/>
      <c r="C168" s="294"/>
      <c r="D168" s="294"/>
      <c r="E168" s="294"/>
      <c r="F168" s="310"/>
      <c r="G168" s="311"/>
      <c r="H168" s="311"/>
      <c r="I168" s="311"/>
      <c r="J168" s="311"/>
      <c r="K168" s="311"/>
      <c r="L168" s="311"/>
      <c r="M168" s="311"/>
      <c r="N168" s="304"/>
      <c r="O168" s="294"/>
    </row>
    <row r="169" spans="1:15" hidden="1" outlineLevel="1" x14ac:dyDescent="0.2">
      <c r="A169" s="294"/>
      <c r="B169" s="294"/>
      <c r="C169" s="294"/>
      <c r="D169" s="294"/>
      <c r="E169" s="294"/>
      <c r="F169" s="310"/>
      <c r="G169" s="311"/>
      <c r="H169" s="311"/>
      <c r="I169" s="311"/>
      <c r="J169" s="311"/>
      <c r="K169" s="311"/>
      <c r="L169" s="311"/>
      <c r="M169" s="311"/>
      <c r="N169" s="304"/>
      <c r="O169" s="294"/>
    </row>
    <row r="170" spans="1:15" hidden="1" outlineLevel="1" x14ac:dyDescent="0.2">
      <c r="A170" s="294"/>
      <c r="B170" s="294"/>
      <c r="C170" s="294"/>
      <c r="D170" s="294"/>
      <c r="E170" s="294"/>
      <c r="F170" s="310"/>
      <c r="G170" s="311"/>
      <c r="H170" s="311"/>
      <c r="I170" s="311"/>
      <c r="J170" s="311"/>
      <c r="K170" s="311"/>
      <c r="L170" s="311"/>
      <c r="M170" s="311"/>
      <c r="N170" s="304"/>
      <c r="O170" s="294"/>
    </row>
    <row r="171" spans="1:15" hidden="1" outlineLevel="1" x14ac:dyDescent="0.2">
      <c r="A171" s="294"/>
      <c r="B171" s="294"/>
      <c r="C171" s="294"/>
      <c r="D171" s="294"/>
      <c r="E171" s="294"/>
      <c r="F171" s="310"/>
      <c r="G171" s="311"/>
      <c r="H171" s="311"/>
      <c r="I171" s="311"/>
      <c r="J171" s="311"/>
      <c r="K171" s="311"/>
      <c r="L171" s="311"/>
      <c r="M171" s="311"/>
      <c r="N171" s="304"/>
      <c r="O171" s="294"/>
    </row>
    <row r="172" spans="1:15" hidden="1" outlineLevel="1" x14ac:dyDescent="0.2">
      <c r="A172" s="294"/>
      <c r="B172" s="294"/>
      <c r="C172" s="294"/>
      <c r="D172" s="294"/>
      <c r="E172" s="294"/>
      <c r="F172" s="310"/>
      <c r="G172" s="311"/>
      <c r="H172" s="311"/>
      <c r="I172" s="311"/>
      <c r="J172" s="311"/>
      <c r="K172" s="311"/>
      <c r="L172" s="311"/>
      <c r="M172" s="311"/>
      <c r="N172" s="304"/>
      <c r="O172" s="294"/>
    </row>
    <row r="173" spans="1:15" hidden="1" outlineLevel="1" x14ac:dyDescent="0.2">
      <c r="A173" s="294"/>
      <c r="B173" s="294"/>
      <c r="C173" s="294"/>
      <c r="D173" s="294"/>
      <c r="E173" s="294"/>
      <c r="F173" s="310"/>
      <c r="G173" s="311"/>
      <c r="H173" s="311"/>
      <c r="I173" s="311"/>
      <c r="J173" s="311"/>
      <c r="K173" s="311"/>
      <c r="L173" s="311"/>
      <c r="M173" s="311"/>
      <c r="N173" s="304"/>
      <c r="O173" s="294"/>
    </row>
    <row r="174" spans="1:15" hidden="1" outlineLevel="1" x14ac:dyDescent="0.2">
      <c r="A174" s="294"/>
      <c r="B174" s="294"/>
      <c r="C174" s="294"/>
      <c r="D174" s="294"/>
      <c r="E174" s="294"/>
      <c r="F174" s="310"/>
      <c r="G174" s="311"/>
      <c r="H174" s="311"/>
      <c r="I174" s="311"/>
      <c r="J174" s="311"/>
      <c r="K174" s="311"/>
      <c r="L174" s="311"/>
      <c r="M174" s="311"/>
      <c r="N174" s="304"/>
      <c r="O174" s="294"/>
    </row>
    <row r="175" spans="1:15" hidden="1" outlineLevel="1" x14ac:dyDescent="0.2">
      <c r="A175" s="294"/>
      <c r="B175" s="294"/>
      <c r="C175" s="294"/>
      <c r="D175" s="294"/>
      <c r="E175" s="294"/>
      <c r="F175" s="310"/>
      <c r="G175" s="311"/>
      <c r="H175" s="311"/>
      <c r="I175" s="311"/>
      <c r="J175" s="311"/>
      <c r="K175" s="311"/>
      <c r="L175" s="311"/>
      <c r="M175" s="311"/>
      <c r="N175" s="304"/>
      <c r="O175" s="294"/>
    </row>
    <row r="176" spans="1:15" hidden="1" outlineLevel="1" x14ac:dyDescent="0.2">
      <c r="A176" s="294"/>
      <c r="B176" s="294"/>
      <c r="C176" s="294"/>
      <c r="D176" s="294"/>
      <c r="E176" s="294"/>
      <c r="F176" s="310"/>
      <c r="G176" s="311"/>
      <c r="H176" s="311"/>
      <c r="I176" s="311"/>
      <c r="J176" s="311"/>
      <c r="K176" s="311"/>
      <c r="L176" s="311"/>
      <c r="M176" s="311"/>
      <c r="N176" s="304"/>
      <c r="O176" s="294"/>
    </row>
    <row r="177" spans="1:15" hidden="1" outlineLevel="1" x14ac:dyDescent="0.2">
      <c r="A177" s="294"/>
      <c r="B177" s="294"/>
      <c r="C177" s="294"/>
      <c r="D177" s="294"/>
      <c r="E177" s="294"/>
      <c r="F177" s="310"/>
      <c r="G177" s="311"/>
      <c r="H177" s="311"/>
      <c r="I177" s="311"/>
      <c r="J177" s="311"/>
      <c r="K177" s="311"/>
      <c r="L177" s="311"/>
      <c r="M177" s="311"/>
      <c r="N177" s="304"/>
      <c r="O177" s="294"/>
    </row>
    <row r="178" spans="1:15" hidden="1" outlineLevel="1" x14ac:dyDescent="0.2">
      <c r="A178" s="294"/>
      <c r="B178" s="294"/>
      <c r="C178" s="294"/>
      <c r="D178" s="294"/>
      <c r="E178" s="294"/>
      <c r="F178" s="310"/>
      <c r="G178" s="311"/>
      <c r="H178" s="311"/>
      <c r="I178" s="311"/>
      <c r="J178" s="311"/>
      <c r="K178" s="311"/>
      <c r="L178" s="311"/>
      <c r="M178" s="311"/>
      <c r="N178" s="304"/>
      <c r="O178" s="294"/>
    </row>
    <row r="179" spans="1:15" hidden="1" outlineLevel="1" x14ac:dyDescent="0.2">
      <c r="A179" s="294"/>
      <c r="B179" s="294"/>
      <c r="C179" s="294"/>
      <c r="D179" s="294"/>
      <c r="E179" s="294"/>
      <c r="F179" s="310"/>
      <c r="G179" s="311"/>
      <c r="H179" s="311"/>
      <c r="I179" s="311"/>
      <c r="J179" s="311"/>
      <c r="K179" s="311"/>
      <c r="L179" s="311"/>
      <c r="M179" s="311"/>
      <c r="N179" s="304"/>
      <c r="O179" s="294"/>
    </row>
    <row r="180" spans="1:15" hidden="1" outlineLevel="1" x14ac:dyDescent="0.2">
      <c r="A180" s="294"/>
      <c r="B180" s="294"/>
      <c r="C180" s="294"/>
      <c r="D180" s="294"/>
      <c r="E180" s="294"/>
      <c r="F180" s="310"/>
      <c r="G180" s="311"/>
      <c r="H180" s="311"/>
      <c r="I180" s="311"/>
      <c r="J180" s="311"/>
      <c r="K180" s="311"/>
      <c r="L180" s="311"/>
      <c r="M180" s="311"/>
      <c r="N180" s="304"/>
      <c r="O180" s="294"/>
    </row>
    <row r="181" spans="1:15" hidden="1" outlineLevel="1" x14ac:dyDescent="0.2">
      <c r="A181" s="294"/>
      <c r="B181" s="294"/>
      <c r="C181" s="294"/>
      <c r="D181" s="294"/>
      <c r="E181" s="294"/>
      <c r="F181" s="310"/>
      <c r="G181" s="311"/>
      <c r="H181" s="311"/>
      <c r="I181" s="311"/>
      <c r="J181" s="311"/>
      <c r="K181" s="311"/>
      <c r="L181" s="311"/>
      <c r="M181" s="311"/>
      <c r="N181" s="304"/>
      <c r="O181" s="294"/>
    </row>
    <row r="182" spans="1:15" hidden="1" outlineLevel="1" x14ac:dyDescent="0.2">
      <c r="A182" s="294"/>
      <c r="B182" s="294"/>
      <c r="C182" s="294"/>
      <c r="D182" s="294"/>
      <c r="E182" s="294"/>
      <c r="F182" s="310"/>
      <c r="G182" s="311"/>
      <c r="H182" s="311"/>
      <c r="I182" s="311"/>
      <c r="J182" s="311"/>
      <c r="K182" s="311"/>
      <c r="L182" s="311"/>
      <c r="M182" s="311"/>
      <c r="N182" s="304"/>
      <c r="O182" s="294"/>
    </row>
    <row r="183" spans="1:15" hidden="1" outlineLevel="1" x14ac:dyDescent="0.2">
      <c r="A183" s="294"/>
      <c r="B183" s="294"/>
      <c r="C183" s="294"/>
      <c r="D183" s="294"/>
      <c r="E183" s="294"/>
      <c r="F183" s="310"/>
      <c r="G183" s="311"/>
      <c r="H183" s="311"/>
      <c r="I183" s="311"/>
      <c r="J183" s="311"/>
      <c r="K183" s="311"/>
      <c r="L183" s="311"/>
      <c r="M183" s="311"/>
      <c r="N183" s="304"/>
      <c r="O183" s="294"/>
    </row>
    <row r="184" spans="1:15" hidden="1" outlineLevel="1" x14ac:dyDescent="0.2">
      <c r="A184" s="294"/>
      <c r="B184" s="294"/>
      <c r="C184" s="294"/>
      <c r="D184" s="294"/>
      <c r="E184" s="294"/>
      <c r="F184" s="310"/>
      <c r="G184" s="311"/>
      <c r="H184" s="311"/>
      <c r="I184" s="311"/>
      <c r="J184" s="311"/>
      <c r="K184" s="311"/>
      <c r="L184" s="311"/>
      <c r="M184" s="311"/>
      <c r="N184" s="304"/>
      <c r="O184" s="294"/>
    </row>
    <row r="185" spans="1:15" hidden="1" outlineLevel="1" x14ac:dyDescent="0.2">
      <c r="A185" s="294"/>
      <c r="B185" s="294"/>
      <c r="C185" s="294"/>
      <c r="D185" s="294"/>
      <c r="E185" s="294"/>
      <c r="F185" s="310"/>
      <c r="G185" s="311"/>
      <c r="H185" s="311"/>
      <c r="I185" s="311"/>
      <c r="J185" s="311"/>
      <c r="K185" s="311"/>
      <c r="L185" s="311"/>
      <c r="M185" s="311"/>
      <c r="N185" s="304"/>
      <c r="O185" s="294"/>
    </row>
    <row r="186" spans="1:15" hidden="1" outlineLevel="1" x14ac:dyDescent="0.2">
      <c r="A186" s="294"/>
      <c r="B186" s="294"/>
      <c r="C186" s="294"/>
      <c r="D186" s="294"/>
      <c r="E186" s="294"/>
      <c r="F186" s="310"/>
      <c r="G186" s="311"/>
      <c r="H186" s="311"/>
      <c r="I186" s="311"/>
      <c r="J186" s="311"/>
      <c r="K186" s="311"/>
      <c r="L186" s="311"/>
      <c r="M186" s="311"/>
      <c r="N186" s="304"/>
      <c r="O186" s="294"/>
    </row>
    <row r="187" spans="1:15" hidden="1" outlineLevel="1" x14ac:dyDescent="0.2">
      <c r="A187" s="294"/>
      <c r="B187" s="294"/>
      <c r="C187" s="294"/>
      <c r="D187" s="294"/>
      <c r="E187" s="294"/>
      <c r="F187" s="310"/>
      <c r="G187" s="311"/>
      <c r="H187" s="311"/>
      <c r="I187" s="311"/>
      <c r="J187" s="311"/>
      <c r="K187" s="311"/>
      <c r="L187" s="311"/>
      <c r="M187" s="311"/>
      <c r="N187" s="304"/>
      <c r="O187" s="294"/>
    </row>
    <row r="188" spans="1:15" hidden="1" outlineLevel="1" x14ac:dyDescent="0.2">
      <c r="A188" s="294"/>
      <c r="B188" s="294"/>
      <c r="C188" s="294"/>
      <c r="D188" s="294"/>
      <c r="E188" s="294"/>
      <c r="F188" s="310"/>
      <c r="G188" s="311"/>
      <c r="H188" s="311"/>
      <c r="I188" s="311"/>
      <c r="J188" s="311"/>
      <c r="K188" s="311"/>
      <c r="L188" s="311"/>
      <c r="M188" s="311"/>
      <c r="N188" s="304"/>
      <c r="O188" s="294"/>
    </row>
    <row r="189" spans="1:15" hidden="1" outlineLevel="1" x14ac:dyDescent="0.2">
      <c r="A189" s="294"/>
      <c r="B189" s="294"/>
      <c r="C189" s="294"/>
      <c r="D189" s="294"/>
      <c r="E189" s="294"/>
      <c r="F189" s="310"/>
      <c r="G189" s="311"/>
      <c r="H189" s="311"/>
      <c r="I189" s="311"/>
      <c r="J189" s="311"/>
      <c r="K189" s="311"/>
      <c r="L189" s="311"/>
      <c r="M189" s="311"/>
      <c r="N189" s="304"/>
      <c r="O189" s="294"/>
    </row>
    <row r="190" spans="1:15" hidden="1" outlineLevel="1" x14ac:dyDescent="0.2">
      <c r="A190" s="294"/>
      <c r="B190" s="294"/>
      <c r="C190" s="294"/>
      <c r="D190" s="294"/>
      <c r="E190" s="294"/>
      <c r="F190" s="310"/>
      <c r="G190" s="311"/>
      <c r="H190" s="311"/>
      <c r="I190" s="311"/>
      <c r="J190" s="311"/>
      <c r="K190" s="311"/>
      <c r="L190" s="311"/>
      <c r="M190" s="311"/>
      <c r="N190" s="304"/>
      <c r="O190" s="294"/>
    </row>
    <row r="191" spans="1:15" hidden="1" outlineLevel="1" x14ac:dyDescent="0.2">
      <c r="A191" s="294"/>
      <c r="B191" s="294"/>
      <c r="C191" s="294"/>
      <c r="D191" s="294"/>
      <c r="E191" s="294"/>
      <c r="F191" s="310"/>
      <c r="G191" s="311"/>
      <c r="H191" s="311"/>
      <c r="I191" s="311"/>
      <c r="J191" s="311"/>
      <c r="K191" s="311"/>
      <c r="L191" s="311"/>
      <c r="M191" s="311"/>
      <c r="N191" s="304"/>
      <c r="O191" s="294"/>
    </row>
    <row r="192" spans="1:15" hidden="1" outlineLevel="1" x14ac:dyDescent="0.2">
      <c r="A192" s="294"/>
      <c r="B192" s="294"/>
      <c r="C192" s="294"/>
      <c r="D192" s="294"/>
      <c r="E192" s="294"/>
      <c r="F192" s="310"/>
      <c r="G192" s="311"/>
      <c r="H192" s="311"/>
      <c r="I192" s="311"/>
      <c r="J192" s="311"/>
      <c r="K192" s="311"/>
      <c r="L192" s="311"/>
      <c r="M192" s="311"/>
      <c r="N192" s="304"/>
      <c r="O192" s="294"/>
    </row>
    <row r="193" spans="1:15" hidden="1" outlineLevel="1" x14ac:dyDescent="0.2">
      <c r="A193" s="294"/>
      <c r="B193" s="294"/>
      <c r="C193" s="294"/>
      <c r="D193" s="294"/>
      <c r="E193" s="294"/>
      <c r="F193" s="310"/>
      <c r="G193" s="311"/>
      <c r="H193" s="311"/>
      <c r="I193" s="311"/>
      <c r="J193" s="311"/>
      <c r="K193" s="311"/>
      <c r="L193" s="311"/>
      <c r="M193" s="311"/>
      <c r="N193" s="304"/>
      <c r="O193" s="294"/>
    </row>
    <row r="194" spans="1:15" hidden="1" outlineLevel="1" x14ac:dyDescent="0.2">
      <c r="A194" s="294"/>
      <c r="B194" s="294"/>
      <c r="C194" s="294"/>
      <c r="D194" s="294"/>
      <c r="E194" s="294"/>
      <c r="F194" s="310"/>
      <c r="G194" s="311"/>
      <c r="H194" s="311"/>
      <c r="I194" s="311"/>
      <c r="J194" s="311"/>
      <c r="K194" s="311"/>
      <c r="L194" s="311"/>
      <c r="M194" s="311"/>
      <c r="N194" s="304"/>
      <c r="O194" s="294"/>
    </row>
    <row r="195" spans="1:15" hidden="1" outlineLevel="1" x14ac:dyDescent="0.2">
      <c r="A195" s="294"/>
      <c r="B195" s="294"/>
      <c r="C195" s="294"/>
      <c r="D195" s="294"/>
      <c r="E195" s="294"/>
      <c r="F195" s="310"/>
      <c r="G195" s="311"/>
      <c r="H195" s="311"/>
      <c r="I195" s="311"/>
      <c r="J195" s="311"/>
      <c r="K195" s="311"/>
      <c r="L195" s="311"/>
      <c r="M195" s="311"/>
      <c r="N195" s="304"/>
      <c r="O195" s="294"/>
    </row>
    <row r="196" spans="1:15" hidden="1" outlineLevel="1" x14ac:dyDescent="0.2">
      <c r="A196" s="294"/>
      <c r="B196" s="294"/>
      <c r="C196" s="294"/>
      <c r="D196" s="294"/>
      <c r="E196" s="294"/>
      <c r="F196" s="310"/>
      <c r="G196" s="311"/>
      <c r="H196" s="311"/>
      <c r="I196" s="311"/>
      <c r="J196" s="311"/>
      <c r="K196" s="311"/>
      <c r="L196" s="311"/>
      <c r="M196" s="311"/>
      <c r="N196" s="304"/>
      <c r="O196" s="294"/>
    </row>
    <row r="197" spans="1:15" hidden="1" outlineLevel="1" x14ac:dyDescent="0.2">
      <c r="A197" s="294"/>
      <c r="B197" s="294"/>
      <c r="C197" s="294"/>
      <c r="D197" s="294"/>
      <c r="E197" s="294"/>
      <c r="F197" s="310"/>
      <c r="G197" s="311"/>
      <c r="H197" s="311"/>
      <c r="I197" s="311"/>
      <c r="J197" s="311"/>
      <c r="K197" s="311"/>
      <c r="L197" s="311"/>
      <c r="M197" s="311"/>
      <c r="N197" s="304"/>
      <c r="O197" s="294"/>
    </row>
    <row r="198" spans="1:15" hidden="1" outlineLevel="1" x14ac:dyDescent="0.2">
      <c r="A198" s="294"/>
      <c r="B198" s="294"/>
      <c r="C198" s="294"/>
      <c r="D198" s="294"/>
      <c r="E198" s="294"/>
      <c r="F198" s="310"/>
      <c r="G198" s="311"/>
      <c r="H198" s="311"/>
      <c r="I198" s="311"/>
      <c r="J198" s="311"/>
      <c r="K198" s="311"/>
      <c r="L198" s="311"/>
      <c r="M198" s="311"/>
      <c r="N198" s="304"/>
      <c r="O198" s="294"/>
    </row>
    <row r="199" spans="1:15" hidden="1" outlineLevel="1" x14ac:dyDescent="0.2">
      <c r="A199" s="294"/>
      <c r="B199" s="294"/>
      <c r="C199" s="294"/>
      <c r="D199" s="294"/>
      <c r="E199" s="294"/>
      <c r="F199" s="310"/>
      <c r="G199" s="311"/>
      <c r="H199" s="311"/>
      <c r="I199" s="311"/>
      <c r="J199" s="311"/>
      <c r="K199" s="311"/>
      <c r="L199" s="311"/>
      <c r="M199" s="311"/>
      <c r="N199" s="304"/>
      <c r="O199" s="294"/>
    </row>
    <row r="200" spans="1:15" hidden="1" outlineLevel="1" x14ac:dyDescent="0.2">
      <c r="A200" s="294"/>
      <c r="B200" s="294"/>
      <c r="C200" s="294"/>
      <c r="D200" s="294"/>
      <c r="E200" s="294"/>
      <c r="F200" s="310"/>
      <c r="G200" s="311"/>
      <c r="H200" s="311"/>
      <c r="I200" s="311"/>
      <c r="J200" s="311"/>
      <c r="K200" s="311"/>
      <c r="L200" s="311"/>
      <c r="M200" s="311"/>
      <c r="N200" s="304"/>
      <c r="O200" s="294"/>
    </row>
    <row r="201" spans="1:15" hidden="1" outlineLevel="1" x14ac:dyDescent="0.2">
      <c r="A201" s="294"/>
      <c r="B201" s="294"/>
      <c r="C201" s="294"/>
      <c r="D201" s="294"/>
      <c r="E201" s="294"/>
      <c r="F201" s="310"/>
      <c r="G201" s="311"/>
      <c r="H201" s="311"/>
      <c r="I201" s="311"/>
      <c r="J201" s="311"/>
      <c r="K201" s="311"/>
      <c r="L201" s="311"/>
      <c r="M201" s="311"/>
      <c r="N201" s="304"/>
      <c r="O201" s="294"/>
    </row>
    <row r="202" spans="1:15" hidden="1" outlineLevel="1" x14ac:dyDescent="0.2">
      <c r="A202" s="294"/>
      <c r="B202" s="294"/>
      <c r="C202" s="294"/>
      <c r="D202" s="294"/>
      <c r="E202" s="294"/>
      <c r="F202" s="310"/>
      <c r="G202" s="311"/>
      <c r="H202" s="311"/>
      <c r="I202" s="311"/>
      <c r="J202" s="311"/>
      <c r="K202" s="311"/>
      <c r="L202" s="311"/>
      <c r="M202" s="311"/>
      <c r="N202" s="304"/>
      <c r="O202" s="294"/>
    </row>
    <row r="203" spans="1:15" hidden="1" outlineLevel="1" x14ac:dyDescent="0.2">
      <c r="A203" s="294"/>
      <c r="B203" s="294"/>
      <c r="C203" s="294"/>
      <c r="D203" s="294"/>
      <c r="E203" s="294"/>
      <c r="F203" s="310"/>
      <c r="G203" s="311"/>
      <c r="H203" s="311"/>
      <c r="I203" s="311"/>
      <c r="J203" s="311"/>
      <c r="K203" s="311"/>
      <c r="L203" s="311"/>
      <c r="M203" s="311"/>
      <c r="N203" s="304"/>
      <c r="O203" s="294"/>
    </row>
    <row r="204" spans="1:15" hidden="1" outlineLevel="1" x14ac:dyDescent="0.2">
      <c r="A204" s="294"/>
      <c r="B204" s="294"/>
      <c r="C204" s="294"/>
      <c r="D204" s="294"/>
      <c r="E204" s="294"/>
      <c r="F204" s="310"/>
      <c r="G204" s="311"/>
      <c r="H204" s="311"/>
      <c r="I204" s="311"/>
      <c r="J204" s="311"/>
      <c r="K204" s="311"/>
      <c r="L204" s="311"/>
      <c r="M204" s="311"/>
      <c r="N204" s="304"/>
      <c r="O204" s="294"/>
    </row>
    <row r="205" spans="1:15" hidden="1" outlineLevel="1" x14ac:dyDescent="0.2">
      <c r="A205" s="294"/>
      <c r="B205" s="294"/>
      <c r="C205" s="294"/>
      <c r="D205" s="294"/>
      <c r="E205" s="294"/>
      <c r="F205" s="310"/>
      <c r="G205" s="311"/>
      <c r="H205" s="311"/>
      <c r="I205" s="311"/>
      <c r="J205" s="311"/>
      <c r="K205" s="311"/>
      <c r="L205" s="311"/>
      <c r="M205" s="311"/>
      <c r="N205" s="304"/>
      <c r="O205" s="294"/>
    </row>
    <row r="206" spans="1:15" hidden="1" outlineLevel="1" x14ac:dyDescent="0.2">
      <c r="A206" s="294"/>
      <c r="B206" s="294"/>
      <c r="C206" s="294"/>
      <c r="D206" s="294"/>
      <c r="E206" s="294"/>
      <c r="F206" s="310"/>
      <c r="G206" s="311"/>
      <c r="H206" s="311"/>
      <c r="I206" s="311"/>
      <c r="J206" s="311"/>
      <c r="K206" s="311"/>
      <c r="L206" s="311"/>
      <c r="M206" s="311"/>
      <c r="N206" s="304"/>
      <c r="O206" s="294"/>
    </row>
    <row r="207" spans="1:15" hidden="1" outlineLevel="1" x14ac:dyDescent="0.2">
      <c r="A207" s="294"/>
      <c r="B207" s="294"/>
      <c r="C207" s="294"/>
      <c r="D207" s="294"/>
      <c r="E207" s="294"/>
      <c r="F207" s="310"/>
      <c r="G207" s="311"/>
      <c r="H207" s="311"/>
      <c r="I207" s="311"/>
      <c r="J207" s="311"/>
      <c r="K207" s="311"/>
      <c r="L207" s="311"/>
      <c r="M207" s="311"/>
      <c r="N207" s="304"/>
      <c r="O207" s="294"/>
    </row>
    <row r="208" spans="1:15" hidden="1" outlineLevel="1" x14ac:dyDescent="0.2">
      <c r="A208" s="294"/>
      <c r="B208" s="294"/>
      <c r="C208" s="294"/>
      <c r="D208" s="294"/>
      <c r="E208" s="294"/>
      <c r="F208" s="310"/>
      <c r="G208" s="311"/>
      <c r="H208" s="311"/>
      <c r="I208" s="311"/>
      <c r="J208" s="311"/>
      <c r="K208" s="311"/>
      <c r="L208" s="311"/>
      <c r="M208" s="311"/>
      <c r="N208" s="304"/>
      <c r="O208" s="294"/>
    </row>
    <row r="209" spans="1:15" hidden="1" outlineLevel="1" x14ac:dyDescent="0.2">
      <c r="A209" s="294"/>
      <c r="B209" s="294"/>
      <c r="C209" s="294"/>
      <c r="D209" s="294"/>
      <c r="E209" s="294"/>
      <c r="F209" s="310"/>
      <c r="G209" s="311"/>
      <c r="H209" s="311"/>
      <c r="I209" s="311"/>
      <c r="J209" s="311"/>
      <c r="K209" s="311"/>
      <c r="L209" s="311"/>
      <c r="M209" s="311"/>
      <c r="N209" s="304"/>
      <c r="O209" s="294"/>
    </row>
    <row r="210" spans="1:15" hidden="1" outlineLevel="1" x14ac:dyDescent="0.2">
      <c r="A210" s="294"/>
      <c r="B210" s="294"/>
      <c r="C210" s="294"/>
      <c r="D210" s="294"/>
      <c r="E210" s="294"/>
      <c r="F210" s="310"/>
      <c r="G210" s="311"/>
      <c r="H210" s="311"/>
      <c r="I210" s="311"/>
      <c r="J210" s="311"/>
      <c r="K210" s="311"/>
      <c r="L210" s="311"/>
      <c r="M210" s="311"/>
      <c r="N210" s="304"/>
      <c r="O210" s="294"/>
    </row>
    <row r="211" spans="1:15" hidden="1" outlineLevel="1" x14ac:dyDescent="0.2">
      <c r="A211" s="294"/>
      <c r="B211" s="294"/>
      <c r="C211" s="294"/>
      <c r="D211" s="294"/>
      <c r="E211" s="294"/>
      <c r="F211" s="310"/>
      <c r="G211" s="311"/>
      <c r="H211" s="311"/>
      <c r="I211" s="311"/>
      <c r="J211" s="311"/>
      <c r="K211" s="311"/>
      <c r="L211" s="311"/>
      <c r="M211" s="311"/>
      <c r="N211" s="304"/>
      <c r="O211" s="294"/>
    </row>
    <row r="212" spans="1:15" hidden="1" outlineLevel="1" x14ac:dyDescent="0.2">
      <c r="A212" s="294"/>
      <c r="B212" s="294"/>
      <c r="C212" s="294"/>
      <c r="D212" s="294"/>
      <c r="E212" s="294"/>
      <c r="F212" s="310"/>
      <c r="G212" s="311"/>
      <c r="H212" s="311"/>
      <c r="I212" s="311"/>
      <c r="J212" s="311"/>
      <c r="K212" s="311"/>
      <c r="L212" s="311"/>
      <c r="M212" s="311"/>
      <c r="N212" s="304"/>
      <c r="O212" s="294"/>
    </row>
    <row r="213" spans="1:15" hidden="1" outlineLevel="1" x14ac:dyDescent="0.2">
      <c r="A213" s="294"/>
      <c r="B213" s="294"/>
      <c r="C213" s="294"/>
      <c r="D213" s="294"/>
      <c r="E213" s="294"/>
      <c r="F213" s="310"/>
      <c r="G213" s="311"/>
      <c r="H213" s="311"/>
      <c r="I213" s="311"/>
      <c r="J213" s="311"/>
      <c r="K213" s="311"/>
      <c r="L213" s="311"/>
      <c r="M213" s="311"/>
      <c r="N213" s="304"/>
      <c r="O213" s="294"/>
    </row>
    <row r="214" spans="1:15" hidden="1" outlineLevel="1" x14ac:dyDescent="0.2">
      <c r="A214" s="294"/>
      <c r="B214" s="294"/>
      <c r="C214" s="294"/>
      <c r="D214" s="294"/>
      <c r="E214" s="294"/>
      <c r="F214" s="310"/>
      <c r="G214" s="311"/>
      <c r="H214" s="311"/>
      <c r="I214" s="311"/>
      <c r="J214" s="311"/>
      <c r="K214" s="311"/>
      <c r="L214" s="311"/>
      <c r="M214" s="311"/>
      <c r="N214" s="304"/>
      <c r="O214" s="294"/>
    </row>
    <row r="215" spans="1:15" hidden="1" outlineLevel="1" x14ac:dyDescent="0.2">
      <c r="A215" s="294"/>
      <c r="B215" s="294"/>
      <c r="C215" s="294"/>
      <c r="D215" s="294"/>
      <c r="E215" s="294"/>
      <c r="F215" s="310"/>
      <c r="G215" s="311"/>
      <c r="H215" s="311"/>
      <c r="I215" s="311"/>
      <c r="J215" s="311"/>
      <c r="K215" s="311"/>
      <c r="L215" s="311"/>
      <c r="M215" s="311"/>
      <c r="N215" s="304"/>
      <c r="O215" s="294"/>
    </row>
    <row r="216" spans="1:15" hidden="1" outlineLevel="1" x14ac:dyDescent="0.2">
      <c r="A216" s="294"/>
      <c r="B216" s="294"/>
      <c r="C216" s="294"/>
      <c r="D216" s="294"/>
      <c r="E216" s="294"/>
      <c r="F216" s="310"/>
      <c r="G216" s="311"/>
      <c r="H216" s="311"/>
      <c r="I216" s="311"/>
      <c r="J216" s="311"/>
      <c r="K216" s="311"/>
      <c r="L216" s="311"/>
      <c r="M216" s="311"/>
      <c r="N216" s="304"/>
      <c r="O216" s="294"/>
    </row>
    <row r="217" spans="1:15" hidden="1" outlineLevel="1" x14ac:dyDescent="0.2">
      <c r="A217" s="294"/>
      <c r="B217" s="294"/>
      <c r="C217" s="294"/>
      <c r="D217" s="294"/>
      <c r="E217" s="294"/>
      <c r="F217" s="310"/>
      <c r="G217" s="311"/>
      <c r="H217" s="311"/>
      <c r="I217" s="311"/>
      <c r="J217" s="311"/>
      <c r="K217" s="311"/>
      <c r="L217" s="311"/>
      <c r="M217" s="311"/>
      <c r="N217" s="304"/>
      <c r="O217" s="294"/>
    </row>
    <row r="218" spans="1:15" hidden="1" outlineLevel="1" x14ac:dyDescent="0.2">
      <c r="A218" s="294"/>
      <c r="B218" s="294"/>
      <c r="C218" s="294"/>
      <c r="D218" s="294"/>
      <c r="E218" s="294"/>
      <c r="F218" s="310"/>
      <c r="G218" s="311"/>
      <c r="H218" s="311"/>
      <c r="I218" s="311"/>
      <c r="J218" s="311"/>
      <c r="K218" s="311"/>
      <c r="L218" s="311"/>
      <c r="M218" s="311"/>
      <c r="N218" s="304"/>
      <c r="O218" s="294"/>
    </row>
    <row r="219" spans="1:15" hidden="1" outlineLevel="1" x14ac:dyDescent="0.2">
      <c r="A219" s="294"/>
      <c r="B219" s="294"/>
      <c r="C219" s="294"/>
      <c r="D219" s="294"/>
      <c r="E219" s="294"/>
      <c r="F219" s="310"/>
      <c r="G219" s="311"/>
      <c r="H219" s="311"/>
      <c r="I219" s="311"/>
      <c r="J219" s="311"/>
      <c r="K219" s="311"/>
      <c r="L219" s="311"/>
      <c r="M219" s="311"/>
      <c r="N219" s="304"/>
      <c r="O219" s="294"/>
    </row>
    <row r="220" spans="1:15" hidden="1" outlineLevel="1" x14ac:dyDescent="0.2">
      <c r="A220" s="294"/>
      <c r="B220" s="294"/>
      <c r="C220" s="294"/>
      <c r="D220" s="294"/>
      <c r="E220" s="294"/>
      <c r="F220" s="310"/>
      <c r="G220" s="311"/>
      <c r="H220" s="311"/>
      <c r="I220" s="311"/>
      <c r="J220" s="311"/>
      <c r="K220" s="311"/>
      <c r="L220" s="311"/>
      <c r="M220" s="311"/>
      <c r="N220" s="304"/>
      <c r="O220" s="294"/>
    </row>
    <row r="221" spans="1:15" hidden="1" outlineLevel="1" x14ac:dyDescent="0.2">
      <c r="A221" s="294"/>
      <c r="B221" s="294"/>
      <c r="C221" s="294"/>
      <c r="D221" s="294"/>
      <c r="E221" s="294"/>
      <c r="F221" s="310"/>
      <c r="G221" s="311"/>
      <c r="H221" s="311"/>
      <c r="I221" s="311"/>
      <c r="J221" s="311"/>
      <c r="K221" s="311"/>
      <c r="L221" s="311"/>
      <c r="M221" s="311"/>
      <c r="N221" s="304"/>
      <c r="O221" s="294"/>
    </row>
    <row r="222" spans="1:15" collapsed="1" x14ac:dyDescent="0.2">
      <c r="A222" s="294"/>
      <c r="B222" s="294"/>
      <c r="C222" s="294"/>
      <c r="D222" s="294"/>
      <c r="E222" s="294"/>
      <c r="F222" s="310"/>
      <c r="G222" s="311"/>
      <c r="H222" s="311"/>
      <c r="I222" s="311"/>
      <c r="J222" s="311"/>
      <c r="K222" s="311"/>
      <c r="L222" s="311"/>
      <c r="M222" s="311"/>
      <c r="N222" s="304"/>
      <c r="O222" s="294"/>
    </row>
    <row r="223" spans="1:15" x14ac:dyDescent="0.2">
      <c r="A223" s="294"/>
      <c r="B223" s="164" t="str">
        <f>VLOOKUP($D223,TableInputsData[],ReadMe!$M$3,FALSE)</f>
        <v>CA ET MARGE BRUTE</v>
      </c>
      <c r="C223" s="294"/>
      <c r="D223" s="164" t="s">
        <v>618</v>
      </c>
      <c r="E223" s="151"/>
      <c r="F223" s="152"/>
      <c r="G223" s="152"/>
      <c r="H223" s="152"/>
      <c r="I223" s="152"/>
      <c r="J223" s="152"/>
      <c r="K223" s="152"/>
      <c r="L223" s="152"/>
      <c r="M223" s="152"/>
      <c r="N223" s="545" t="str">
        <f>$D$4</f>
        <v>CAS TYPIQUE
SCENARIO DE SIMULATION</v>
      </c>
      <c r="O223" s="294"/>
    </row>
    <row r="224" spans="1:15" x14ac:dyDescent="0.15">
      <c r="A224" s="294"/>
      <c r="B224" s="294"/>
      <c r="C224" s="294"/>
      <c r="D224" s="300" t="s">
        <v>968</v>
      </c>
      <c r="E224" s="294"/>
      <c r="F224" s="312"/>
      <c r="G224" s="312"/>
      <c r="H224" s="312"/>
      <c r="I224" s="312"/>
      <c r="J224" s="312"/>
      <c r="K224" s="312"/>
      <c r="L224" s="312"/>
      <c r="M224" s="312"/>
      <c r="N224" s="294"/>
      <c r="O224" s="294"/>
    </row>
    <row r="225" spans="1:15" hidden="1" outlineLevel="1" x14ac:dyDescent="0.2">
      <c r="A225" s="294"/>
      <c r="B225" s="294"/>
      <c r="C225" s="294"/>
      <c r="D225" s="162" t="s">
        <v>122</v>
      </c>
      <c r="E225" s="379">
        <v>1</v>
      </c>
      <c r="F225" s="294"/>
      <c r="G225" s="294"/>
      <c r="H225" s="294"/>
      <c r="I225" s="294"/>
      <c r="J225" s="294"/>
      <c r="K225" s="294"/>
      <c r="L225" s="294"/>
      <c r="M225" s="294"/>
      <c r="N225" s="294"/>
      <c r="O225" s="294"/>
    </row>
    <row r="226" spans="1:15" hidden="1" outlineLevel="1" x14ac:dyDescent="0.2">
      <c r="A226" s="294"/>
      <c r="B226" s="294"/>
      <c r="C226" s="294"/>
      <c r="D226" s="162" t="s">
        <v>591</v>
      </c>
      <c r="E226" s="379">
        <v>1</v>
      </c>
      <c r="F226" s="294"/>
      <c r="G226" s="294"/>
      <c r="H226" s="294"/>
      <c r="I226" s="294"/>
      <c r="J226" s="294"/>
      <c r="K226" s="294"/>
      <c r="L226" s="294"/>
      <c r="M226" s="294"/>
      <c r="N226" s="294"/>
      <c r="O226" s="294"/>
    </row>
    <row r="227" spans="1:15" hidden="1" outlineLevel="1" x14ac:dyDescent="0.2">
      <c r="A227" s="294"/>
      <c r="B227" s="294"/>
      <c r="C227" s="294"/>
      <c r="D227" s="162" t="s">
        <v>590</v>
      </c>
      <c r="E227" s="1" t="s">
        <v>114</v>
      </c>
      <c r="F227" s="294"/>
      <c r="G227" s="294"/>
      <c r="H227" s="294"/>
      <c r="I227" s="294"/>
      <c r="J227" s="294"/>
      <c r="K227" s="294"/>
      <c r="L227" s="294"/>
      <c r="M227" s="294"/>
      <c r="N227" s="294"/>
      <c r="O227" s="294"/>
    </row>
    <row r="228" spans="1:15" hidden="1" outlineLevel="1" x14ac:dyDescent="0.2">
      <c r="A228" s="294"/>
      <c r="B228" s="294"/>
      <c r="C228" s="294"/>
      <c r="D228" s="294"/>
      <c r="E228" s="294"/>
      <c r="F228" s="294"/>
      <c r="G228" s="294"/>
      <c r="H228" s="294"/>
      <c r="I228" s="294"/>
      <c r="J228" s="294"/>
      <c r="K228" s="294"/>
      <c r="L228" s="294"/>
      <c r="M228" s="294"/>
      <c r="N228" s="294"/>
      <c r="O228" s="294"/>
    </row>
    <row r="229" spans="1:15" ht="42" collapsed="1" x14ac:dyDescent="0.2">
      <c r="A229" s="294"/>
      <c r="B229" s="294"/>
      <c r="C229" s="294"/>
      <c r="D229" s="378" t="s">
        <v>0</v>
      </c>
      <c r="E229" s="378" t="s">
        <v>1</v>
      </c>
      <c r="F229" s="378" t="s">
        <v>3</v>
      </c>
      <c r="G229" s="382" t="s">
        <v>973</v>
      </c>
      <c r="H229" s="382" t="s">
        <v>974</v>
      </c>
      <c r="I229" s="382" t="s">
        <v>975</v>
      </c>
      <c r="J229" s="382" t="s">
        <v>976</v>
      </c>
      <c r="K229" s="382" t="s">
        <v>977</v>
      </c>
      <c r="L229" s="382" t="s">
        <v>978</v>
      </c>
      <c r="M229" s="382" t="s">
        <v>979</v>
      </c>
      <c r="N229" s="382" t="s">
        <v>980</v>
      </c>
      <c r="O229" s="294"/>
    </row>
    <row r="230" spans="1:15" x14ac:dyDescent="0.2">
      <c r="A230" s="294"/>
      <c r="B230" s="204" t="str">
        <f>IF($E230="",IF($D230="","",VLOOKUP($D230,TableInputsData[],ReadMe!$M$3,FALSE)),VLOOKUP($D230,TableInputsData[],ReadMe!$M$3,FALSE)&amp;"  |  "&amp;VLOOKUP($E230,TableInputsData[],ReadMe!$M$3,FALSE))</f>
        <v>CA ET MARGE BRUTE  |  REVENUS PRODUITS</v>
      </c>
      <c r="C230" s="294"/>
      <c r="D230" s="1" t="s">
        <v>618</v>
      </c>
      <c r="E230" s="1" t="s">
        <v>616</v>
      </c>
      <c r="F230" s="1" t="s">
        <v>588</v>
      </c>
      <c r="G230" s="2">
        <v>0</v>
      </c>
      <c r="H230" s="2">
        <v>0</v>
      </c>
      <c r="I230" s="2">
        <v>0</v>
      </c>
      <c r="J230" s="2">
        <v>0</v>
      </c>
      <c r="K230" s="2">
        <v>0</v>
      </c>
      <c r="L230" s="2">
        <v>0</v>
      </c>
      <c r="M230" s="2">
        <v>0</v>
      </c>
      <c r="N230" s="2">
        <v>0</v>
      </c>
      <c r="O230" s="294"/>
    </row>
    <row r="231" spans="1:15" x14ac:dyDescent="0.2">
      <c r="A231" s="294"/>
      <c r="B231" s="204" t="str">
        <f>IF($E231="",IF($D231="","",VLOOKUP($D231,TableInputsData[],ReadMe!$M$3,FALSE)),VLOOKUP($D231,TableInputsData[],ReadMe!$M$3,FALSE)&amp;"  |  "&amp;VLOOKUP($E231,TableInputsData[],ReadMe!$M$3,FALSE))</f>
        <v>CA ET MARGE BRUTE  |  COUT DES PRODUITS VENDUS</v>
      </c>
      <c r="C231" s="294"/>
      <c r="D231" s="1" t="s">
        <v>618</v>
      </c>
      <c r="E231" s="1" t="s">
        <v>619</v>
      </c>
      <c r="F231" s="1" t="s">
        <v>588</v>
      </c>
      <c r="G231" s="2">
        <v>0</v>
      </c>
      <c r="H231" s="2">
        <v>0</v>
      </c>
      <c r="I231" s="2">
        <v>0</v>
      </c>
      <c r="J231" s="2">
        <v>0</v>
      </c>
      <c r="K231" s="2">
        <v>0</v>
      </c>
      <c r="L231" s="2">
        <v>0</v>
      </c>
      <c r="M231" s="2">
        <v>0</v>
      </c>
      <c r="N231" s="2">
        <v>0</v>
      </c>
      <c r="O231" s="294"/>
    </row>
    <row r="232" spans="1:15" x14ac:dyDescent="0.2">
      <c r="A232" s="294"/>
      <c r="B232" s="204" t="str">
        <f>IF($E232="",IF($D232="","",VLOOKUP($D232,TableInputsData[],ReadMe!$M$3,FALSE)),VLOOKUP($D232,TableInputsData[],ReadMe!$M$3,FALSE)&amp;"  |  "&amp;VLOOKUP($E232,TableInputsData[],ReadMe!$M$3,FALSE))</f>
        <v>CA ET MARGE BRUTE  |  MARGE BRUTE PRODUITS</v>
      </c>
      <c r="C232" s="294"/>
      <c r="D232" s="1" t="s">
        <v>618</v>
      </c>
      <c r="E232" s="1" t="s">
        <v>620</v>
      </c>
      <c r="F232" s="1" t="s">
        <v>588</v>
      </c>
      <c r="G232" s="2">
        <v>0</v>
      </c>
      <c r="H232" s="2">
        <v>0</v>
      </c>
      <c r="I232" s="2">
        <v>0</v>
      </c>
      <c r="J232" s="2">
        <v>0</v>
      </c>
      <c r="K232" s="2">
        <v>0</v>
      </c>
      <c r="L232" s="2">
        <v>0</v>
      </c>
      <c r="M232" s="2">
        <v>0</v>
      </c>
      <c r="N232" s="2">
        <v>0</v>
      </c>
      <c r="O232" s="294"/>
    </row>
    <row r="233" spans="1:15" x14ac:dyDescent="0.2">
      <c r="A233" s="294"/>
      <c r="B233" s="204" t="str">
        <f>IF($E233="",IF($D233="","",VLOOKUP($D233,TableInputsData[],ReadMe!$M$3,FALSE)),VLOOKUP($D233,TableInputsData[],ReadMe!$M$3,FALSE)&amp;"  |  "&amp;VLOOKUP($E233,TableInputsData[],ReadMe!$M$3,FALSE))</f>
        <v>CA ET MARGE BRUTE  |  REVENUS SERVICES</v>
      </c>
      <c r="C233" s="294"/>
      <c r="D233" s="1" t="s">
        <v>618</v>
      </c>
      <c r="E233" s="1" t="s">
        <v>627</v>
      </c>
      <c r="F233" s="1" t="s">
        <v>121</v>
      </c>
      <c r="G233" s="2">
        <v>0</v>
      </c>
      <c r="H233" s="2">
        <v>0</v>
      </c>
      <c r="I233" s="2">
        <v>0</v>
      </c>
      <c r="J233" s="2">
        <v>0</v>
      </c>
      <c r="K233" s="2">
        <v>0</v>
      </c>
      <c r="L233" s="2">
        <v>0</v>
      </c>
      <c r="M233" s="2">
        <v>0</v>
      </c>
      <c r="N233" s="2">
        <v>0</v>
      </c>
      <c r="O233" s="294"/>
    </row>
    <row r="234" spans="1:15" x14ac:dyDescent="0.2">
      <c r="A234" s="294"/>
      <c r="B234" s="204" t="str">
        <f>IF($E234="",IF($D234="","",VLOOKUP($D234,TableInputsData[],ReadMe!$M$3,FALSE)),VLOOKUP($D234,TableInputsData[],ReadMe!$M$3,FALSE)&amp;"  |  "&amp;VLOOKUP($E234,TableInputsData[],ReadMe!$M$3,FALSE))</f>
        <v>CA ET MARGE BRUTE  |  COUT DES SERVICES VENDUS</v>
      </c>
      <c r="C234" s="294"/>
      <c r="D234" s="1" t="s">
        <v>618</v>
      </c>
      <c r="E234" s="1" t="s">
        <v>628</v>
      </c>
      <c r="F234" s="1" t="s">
        <v>121</v>
      </c>
      <c r="G234" s="2">
        <v>0</v>
      </c>
      <c r="H234" s="2">
        <v>0</v>
      </c>
      <c r="I234" s="2">
        <v>0</v>
      </c>
      <c r="J234" s="2">
        <v>0</v>
      </c>
      <c r="K234" s="2">
        <v>0</v>
      </c>
      <c r="L234" s="2">
        <v>0</v>
      </c>
      <c r="M234" s="2">
        <v>0</v>
      </c>
      <c r="N234" s="2">
        <v>0</v>
      </c>
      <c r="O234" s="294"/>
    </row>
    <row r="235" spans="1:15" x14ac:dyDescent="0.2">
      <c r="A235" s="294"/>
      <c r="B235" s="204" t="str">
        <f>IF($E235="",IF($D235="","",VLOOKUP($D235,TableInputsData[],ReadMe!$M$3,FALSE)),VLOOKUP($D235,TableInputsData[],ReadMe!$M$3,FALSE)&amp;"  |  "&amp;VLOOKUP($E235,TableInputsData[],ReadMe!$M$3,FALSE))</f>
        <v>CA ET MARGE BRUTE  |  MARGE BRUTE SERVICES</v>
      </c>
      <c r="C235" s="294"/>
      <c r="D235" s="1" t="s">
        <v>618</v>
      </c>
      <c r="E235" s="1" t="s">
        <v>629</v>
      </c>
      <c r="F235" s="1" t="s">
        <v>121</v>
      </c>
      <c r="G235" s="2">
        <v>0</v>
      </c>
      <c r="H235" s="2">
        <v>0</v>
      </c>
      <c r="I235" s="2">
        <v>0</v>
      </c>
      <c r="J235" s="2">
        <v>0</v>
      </c>
      <c r="K235" s="2">
        <v>0</v>
      </c>
      <c r="L235" s="2">
        <v>0</v>
      </c>
      <c r="M235" s="2">
        <v>0</v>
      </c>
      <c r="N235" s="2">
        <v>0</v>
      </c>
      <c r="O235" s="294"/>
    </row>
    <row r="236" spans="1:15" x14ac:dyDescent="0.2">
      <c r="A236" s="294"/>
      <c r="B236" s="424" t="str">
        <f>IF($E236="",IF($D236="","",VLOOKUP($D236,TableInputsData[],ReadMe!$M$3,FALSE)),VLOOKUP($D236,TableInputsData[],ReadMe!$M$3,FALSE)&amp;"  |  "&amp;VLOOKUP($E236,TableInputsData[],ReadMe!$M$3,FALSE))</f>
        <v>CA ET MARGE BRUTE  |  CHIFFRE D'AFFAIRES</v>
      </c>
      <c r="C236" s="294"/>
      <c r="D236" s="440" t="s">
        <v>618</v>
      </c>
      <c r="E236" s="443" t="s">
        <v>457</v>
      </c>
      <c r="F236" s="443" t="s">
        <v>589</v>
      </c>
      <c r="G236" s="384">
        <v>0</v>
      </c>
      <c r="H236" s="384">
        <v>0</v>
      </c>
      <c r="I236" s="384">
        <v>0</v>
      </c>
      <c r="J236" s="384">
        <v>0</v>
      </c>
      <c r="K236" s="384">
        <v>0</v>
      </c>
      <c r="L236" s="384">
        <v>0</v>
      </c>
      <c r="M236" s="384">
        <v>0</v>
      </c>
      <c r="N236" s="385">
        <v>0</v>
      </c>
      <c r="O236" s="294"/>
    </row>
    <row r="237" spans="1:15" x14ac:dyDescent="0.2">
      <c r="A237" s="294"/>
      <c r="B237" s="425" t="str">
        <f>IF($E237="",IF($D237="","",VLOOKUP($D237,TableInputsData[],ReadMe!$M$3,FALSE)),VLOOKUP($D237,TableInputsData[],ReadMe!$M$3,FALSE)&amp;"  |  "&amp;VLOOKUP($E237,TableInputsData[],ReadMe!$M$3,FALSE))</f>
        <v>CA ET MARGE BRUTE  |  DEPENSES SUR ACHATS</v>
      </c>
      <c r="C237" s="294"/>
      <c r="D237" s="449" t="s">
        <v>618</v>
      </c>
      <c r="E237" s="380" t="s">
        <v>531</v>
      </c>
      <c r="F237" s="380" t="s">
        <v>589</v>
      </c>
      <c r="G237" s="383">
        <v>0</v>
      </c>
      <c r="H237" s="383">
        <v>0</v>
      </c>
      <c r="I237" s="383">
        <v>0</v>
      </c>
      <c r="J237" s="383">
        <v>0</v>
      </c>
      <c r="K237" s="383">
        <v>0</v>
      </c>
      <c r="L237" s="383">
        <v>0</v>
      </c>
      <c r="M237" s="383">
        <v>0</v>
      </c>
      <c r="N237" s="386">
        <v>0</v>
      </c>
      <c r="O237" s="294"/>
    </row>
    <row r="238" spans="1:15" x14ac:dyDescent="0.2">
      <c r="A238" s="294"/>
      <c r="B238" s="426" t="str">
        <f>IF($E238="",IF($D238="","",VLOOKUP($D238,TableInputsData[],ReadMe!$M$3,FALSE)),VLOOKUP($D238,TableInputsData[],ReadMe!$M$3,FALSE)&amp;"  |  "&amp;VLOOKUP($E238,TableInputsData[],ReadMe!$M$3,FALSE))</f>
        <v>CA ET MARGE BRUTE  |  MARGE BRUTE</v>
      </c>
      <c r="C238" s="294"/>
      <c r="D238" s="441" t="s">
        <v>618</v>
      </c>
      <c r="E238" s="444" t="s">
        <v>522</v>
      </c>
      <c r="F238" s="444" t="s">
        <v>589</v>
      </c>
      <c r="G238" s="387">
        <v>0</v>
      </c>
      <c r="H238" s="387">
        <v>0</v>
      </c>
      <c r="I238" s="387">
        <v>0</v>
      </c>
      <c r="J238" s="387">
        <v>0</v>
      </c>
      <c r="K238" s="387">
        <v>0</v>
      </c>
      <c r="L238" s="387">
        <v>0</v>
      </c>
      <c r="M238" s="387">
        <v>0</v>
      </c>
      <c r="N238" s="388">
        <v>0</v>
      </c>
      <c r="O238" s="294"/>
    </row>
    <row r="239" spans="1:15" x14ac:dyDescent="0.2">
      <c r="A239" s="294"/>
      <c r="B239" s="204" t="str">
        <f>IF($E239="",IF($D239="","",VLOOKUP($D239,TableInputsData[],ReadMe!$M$3,FALSE)),VLOOKUP($D239,TableInputsData[],ReadMe!$M$3,FALSE)&amp;"  |  "&amp;VLOOKUP($E239,TableInputsData[],ReadMe!$M$3,FALSE))</f>
        <v>CA ET MARGE BRUTE  |  VARIATION DES STOCKS</v>
      </c>
      <c r="C239" s="294"/>
      <c r="D239" s="1" t="s">
        <v>618</v>
      </c>
      <c r="E239" s="1" t="s">
        <v>897</v>
      </c>
      <c r="F239" s="1" t="s">
        <v>588</v>
      </c>
      <c r="G239" s="2">
        <v>0</v>
      </c>
      <c r="H239" s="2">
        <v>0</v>
      </c>
      <c r="I239" s="2">
        <v>0</v>
      </c>
      <c r="J239" s="2">
        <v>0</v>
      </c>
      <c r="K239" s="2">
        <v>0</v>
      </c>
      <c r="L239" s="2">
        <v>0</v>
      </c>
      <c r="M239" s="2">
        <v>0</v>
      </c>
      <c r="N239" s="2">
        <v>0</v>
      </c>
      <c r="O239" s="294"/>
    </row>
    <row r="240" spans="1:15" ht="16" x14ac:dyDescent="0.2">
      <c r="A240" s="294"/>
      <c r="B240" s="423" t="str">
        <f>IF($E240="",IF($D240="","",VLOOKUP($D240,TableInputsData[],ReadMe!$M$3,FALSE)),VLOOKUP($D240,TableInputsData[],ReadMe!$M$3,FALSE)&amp;"  |  "&amp;VLOOKUP($E240,TableInputsData[],ReadMe!$M$3,FALSE))</f>
        <v/>
      </c>
      <c r="C240" s="294"/>
      <c r="D240"/>
      <c r="E240"/>
      <c r="F240"/>
      <c r="G240"/>
      <c r="H240"/>
      <c r="I240" s="163"/>
      <c r="J240" s="163"/>
      <c r="K240" s="163"/>
      <c r="L240" s="163"/>
      <c r="M240" s="163"/>
      <c r="N240" s="163"/>
      <c r="O240" s="294"/>
    </row>
    <row r="241" spans="1:15" ht="16" hidden="1" outlineLevel="1" x14ac:dyDescent="0.2">
      <c r="A241" s="294"/>
      <c r="B241" s="423" t="str">
        <f>IF($E241="",IF($D241="","",VLOOKUP($D241,TableInputsData[],ReadMe!$M$3,FALSE)),VLOOKUP($D241,TableInputsData[],ReadMe!$M$3,FALSE)&amp;"  |  "&amp;VLOOKUP($E241,TableInputsData[],ReadMe!$M$3,FALSE))</f>
        <v/>
      </c>
      <c r="C241" s="294"/>
      <c r="D241"/>
      <c r="E241"/>
      <c r="F241"/>
      <c r="G241"/>
      <c r="H241"/>
      <c r="I241" s="163"/>
      <c r="J241" s="163"/>
      <c r="K241" s="163"/>
      <c r="L241" s="163"/>
      <c r="M241" s="163"/>
      <c r="N241" s="163"/>
      <c r="O241" s="294"/>
    </row>
    <row r="242" spans="1:15" ht="16" hidden="1" outlineLevel="1" x14ac:dyDescent="0.2">
      <c r="A242" s="294"/>
      <c r="B242" s="423" t="str">
        <f>IF($E242="",IF($D242="","",VLOOKUP($D242,TableInputsData[],ReadMe!$M$3,FALSE)),VLOOKUP($D242,TableInputsData[],ReadMe!$M$3,FALSE)&amp;"  |  "&amp;VLOOKUP($E242,TableInputsData[],ReadMe!$M$3,FALSE))</f>
        <v/>
      </c>
      <c r="C242" s="294"/>
      <c r="D242"/>
      <c r="E242"/>
      <c r="F242"/>
      <c r="G242"/>
      <c r="H242"/>
      <c r="I242" s="163"/>
      <c r="J242" s="163"/>
      <c r="K242" s="163"/>
      <c r="L242" s="163"/>
      <c r="M242" s="163"/>
      <c r="N242" s="163"/>
      <c r="O242" s="294"/>
    </row>
    <row r="243" spans="1:15" ht="16" hidden="1" outlineLevel="1" x14ac:dyDescent="0.2">
      <c r="A243" s="294"/>
      <c r="B243" s="423" t="str">
        <f>IF($E243="",IF($D243="","",VLOOKUP($D243,TableInputsData[],ReadMe!$M$3,FALSE)),VLOOKUP($D243,TableInputsData[],ReadMe!$M$3,FALSE)&amp;"  |  "&amp;VLOOKUP($E243,TableInputsData[],ReadMe!$M$3,FALSE))</f>
        <v/>
      </c>
      <c r="C243" s="294"/>
      <c r="D243"/>
      <c r="E243"/>
      <c r="F243"/>
      <c r="G243"/>
      <c r="H243"/>
      <c r="I243" s="163"/>
      <c r="J243" s="163"/>
      <c r="K243" s="163"/>
      <c r="L243" s="163"/>
      <c r="M243" s="163"/>
      <c r="N243" s="163"/>
      <c r="O243" s="294"/>
    </row>
    <row r="244" spans="1:15" ht="16" hidden="1" outlineLevel="1" x14ac:dyDescent="0.2">
      <c r="A244" s="294"/>
      <c r="B244" s="423" t="str">
        <f>IF($E244="",IF($D244="","",VLOOKUP($D244,TableInputsData[],ReadMe!$M$3,FALSE)),VLOOKUP($D244,TableInputsData[],ReadMe!$M$3,FALSE)&amp;"  |  "&amp;VLOOKUP($E244,TableInputsData[],ReadMe!$M$3,FALSE))</f>
        <v/>
      </c>
      <c r="C244" s="294"/>
      <c r="D244"/>
      <c r="E244"/>
      <c r="F244"/>
      <c r="G244"/>
      <c r="H244"/>
      <c r="I244" s="163"/>
      <c r="J244" s="163"/>
      <c r="K244" s="163"/>
      <c r="L244" s="163"/>
      <c r="M244" s="163"/>
      <c r="N244" s="163"/>
      <c r="O244" s="294"/>
    </row>
    <row r="245" spans="1:15" ht="16" hidden="1" outlineLevel="1" x14ac:dyDescent="0.2">
      <c r="A245" s="294"/>
      <c r="B245" s="423" t="str">
        <f>IF($E245="",IF($D245="","",VLOOKUP($D245,TableInputsData[],ReadMe!$M$3,FALSE)),VLOOKUP($D245,TableInputsData[],ReadMe!$M$3,FALSE)&amp;"  |  "&amp;VLOOKUP($E245,TableInputsData[],ReadMe!$M$3,FALSE))</f>
        <v/>
      </c>
      <c r="C245" s="294"/>
      <c r="D245"/>
      <c r="E245"/>
      <c r="F245"/>
      <c r="G245"/>
      <c r="H245"/>
      <c r="I245" s="163"/>
      <c r="J245" s="163"/>
      <c r="K245" s="163"/>
      <c r="L245" s="163"/>
      <c r="M245" s="163"/>
      <c r="N245" s="163"/>
      <c r="O245" s="294"/>
    </row>
    <row r="246" spans="1:15" ht="16" hidden="1" outlineLevel="1" x14ac:dyDescent="0.2">
      <c r="A246" s="294"/>
      <c r="B246" s="423" t="str">
        <f>IF($E246="",IF($D246="","",VLOOKUP($D246,TableInputsData[],ReadMe!$M$3,FALSE)),VLOOKUP($D246,TableInputsData[],ReadMe!$M$3,FALSE)&amp;"  |  "&amp;VLOOKUP($E246,TableInputsData[],ReadMe!$M$3,FALSE))</f>
        <v/>
      </c>
      <c r="C246" s="294"/>
      <c r="D246"/>
      <c r="E246"/>
      <c r="F246"/>
      <c r="G246"/>
      <c r="H246"/>
      <c r="I246" s="163"/>
      <c r="J246" s="163"/>
      <c r="K246" s="163"/>
      <c r="L246" s="163"/>
      <c r="M246" s="163"/>
      <c r="N246" s="163"/>
      <c r="O246" s="294"/>
    </row>
    <row r="247" spans="1:15" ht="16" hidden="1" outlineLevel="1" x14ac:dyDescent="0.2">
      <c r="A247" s="294"/>
      <c r="B247" s="423" t="str">
        <f>IF($E247="",IF($D247="","",VLOOKUP($D247,TableInputsData[],ReadMe!$M$3,FALSE)),VLOOKUP($D247,TableInputsData[],ReadMe!$M$3,FALSE)&amp;"  |  "&amp;VLOOKUP($E247,TableInputsData[],ReadMe!$M$3,FALSE))</f>
        <v/>
      </c>
      <c r="C247" s="294"/>
      <c r="D247"/>
      <c r="E247"/>
      <c r="F247"/>
      <c r="G247"/>
      <c r="H247"/>
      <c r="I247" s="163"/>
      <c r="J247" s="163"/>
      <c r="K247" s="163"/>
      <c r="L247" s="163"/>
      <c r="M247" s="163"/>
      <c r="N247" s="163"/>
      <c r="O247" s="294"/>
    </row>
    <row r="248" spans="1:15" ht="16" hidden="1" outlineLevel="1" x14ac:dyDescent="0.2">
      <c r="A248" s="294"/>
      <c r="B248" s="423" t="str">
        <f>IF($E248="",IF($D248="","",VLOOKUP($D248,TableInputsData[],ReadMe!$M$3,FALSE)),VLOOKUP($D248,TableInputsData[],ReadMe!$M$3,FALSE)&amp;"  |  "&amp;VLOOKUP($E248,TableInputsData[],ReadMe!$M$3,FALSE))</f>
        <v/>
      </c>
      <c r="C248" s="294"/>
      <c r="D248"/>
      <c r="E248"/>
      <c r="F248"/>
      <c r="G248"/>
      <c r="H248"/>
      <c r="I248" s="163"/>
      <c r="J248" s="163"/>
      <c r="K248" s="163"/>
      <c r="L248" s="163"/>
      <c r="M248" s="163"/>
      <c r="N248" s="163"/>
      <c r="O248" s="294"/>
    </row>
    <row r="249" spans="1:15" ht="16" hidden="1" outlineLevel="1" x14ac:dyDescent="0.2">
      <c r="A249" s="294"/>
      <c r="B249" s="423" t="str">
        <f>IF($E249="",IF($D249="","",VLOOKUP($D249,TableInputsData[],ReadMe!$M$3,FALSE)),VLOOKUP($D249,TableInputsData[],ReadMe!$M$3,FALSE)&amp;"  |  "&amp;VLOOKUP($E249,TableInputsData[],ReadMe!$M$3,FALSE))</f>
        <v/>
      </c>
      <c r="C249" s="294"/>
      <c r="D249"/>
      <c r="E249"/>
      <c r="F249"/>
      <c r="G249"/>
      <c r="H249"/>
      <c r="I249" s="163"/>
      <c r="J249" s="163"/>
      <c r="K249" s="163"/>
      <c r="L249" s="163"/>
      <c r="M249" s="163"/>
      <c r="N249" s="163"/>
      <c r="O249" s="294"/>
    </row>
    <row r="250" spans="1:15" ht="16" hidden="1" outlineLevel="1" x14ac:dyDescent="0.2">
      <c r="A250" s="294"/>
      <c r="B250" s="423" t="str">
        <f>IF($E250="",IF($D250="","",VLOOKUP($D250,TableInputsData[],ReadMe!$M$3,FALSE)),VLOOKUP($D250,TableInputsData[],ReadMe!$M$3,FALSE)&amp;"  |  "&amp;VLOOKUP($E250,TableInputsData[],ReadMe!$M$3,FALSE))</f>
        <v/>
      </c>
      <c r="C250" s="294"/>
      <c r="D250"/>
      <c r="E250"/>
      <c r="F250"/>
      <c r="G250" s="163"/>
      <c r="H250" s="163"/>
      <c r="I250" s="163"/>
      <c r="J250" s="163"/>
      <c r="K250" s="163"/>
      <c r="L250" s="163"/>
      <c r="M250" s="163"/>
      <c r="N250" s="163"/>
      <c r="O250" s="294"/>
    </row>
    <row r="251" spans="1:15" ht="16" hidden="1" outlineLevel="1" x14ac:dyDescent="0.2">
      <c r="A251" s="294"/>
      <c r="B251" s="423" t="str">
        <f>IF($E251="",IF($D251="","",VLOOKUP($D251,TableInputsData[],ReadMe!$M$3,FALSE)),VLOOKUP($D251,TableInputsData[],ReadMe!$M$3,FALSE)&amp;"  |  "&amp;VLOOKUP($E251,TableInputsData[],ReadMe!$M$3,FALSE))</f>
        <v/>
      </c>
      <c r="C251" s="294"/>
      <c r="D251"/>
      <c r="E251"/>
      <c r="F251"/>
      <c r="G251" s="163"/>
      <c r="H251" s="163"/>
      <c r="I251" s="163"/>
      <c r="J251" s="163"/>
      <c r="K251" s="163"/>
      <c r="L251" s="163"/>
      <c r="M251" s="163"/>
      <c r="N251" s="163"/>
      <c r="O251" s="294"/>
    </row>
    <row r="252" spans="1:15" ht="16" hidden="1" outlineLevel="1" x14ac:dyDescent="0.2">
      <c r="A252" s="294"/>
      <c r="B252" s="423" t="str">
        <f>IF($E252="",IF($D252="","",VLOOKUP($D252,TableInputsData[],ReadMe!$M$3,FALSE)),VLOOKUP($D252,TableInputsData[],ReadMe!$M$3,FALSE)&amp;"  |  "&amp;VLOOKUP($E252,TableInputsData[],ReadMe!$M$3,FALSE))</f>
        <v/>
      </c>
      <c r="C252" s="294"/>
      <c r="D252"/>
      <c r="E252"/>
      <c r="F252"/>
      <c r="G252" s="163"/>
      <c r="H252" s="163"/>
      <c r="I252" s="163"/>
      <c r="J252" s="163"/>
      <c r="K252" s="163"/>
      <c r="L252" s="163"/>
      <c r="M252" s="163"/>
      <c r="N252" s="163"/>
      <c r="O252" s="294"/>
    </row>
    <row r="253" spans="1:15" ht="16" hidden="1" outlineLevel="1" x14ac:dyDescent="0.2">
      <c r="A253" s="294"/>
      <c r="B253" s="423" t="str">
        <f>IF($E253="",IF($D253="","",VLOOKUP($D253,TableInputsData[],ReadMe!$M$3,FALSE)),VLOOKUP($D253,TableInputsData[],ReadMe!$M$3,FALSE)&amp;"  |  "&amp;VLOOKUP($E253,TableInputsData[],ReadMe!$M$3,FALSE))</f>
        <v/>
      </c>
      <c r="C253" s="294"/>
      <c r="D253"/>
      <c r="E253"/>
      <c r="F253"/>
      <c r="G253" s="163"/>
      <c r="H253" s="163"/>
      <c r="I253" s="163"/>
      <c r="J253" s="163"/>
      <c r="K253" s="163"/>
      <c r="L253" s="163"/>
      <c r="M253" s="163"/>
      <c r="N253" s="163"/>
      <c r="O253" s="294"/>
    </row>
    <row r="254" spans="1:15" ht="16" hidden="1" outlineLevel="1" x14ac:dyDescent="0.2">
      <c r="A254" s="294"/>
      <c r="B254" s="423" t="str">
        <f>IF($E254="",IF($D254="","",VLOOKUP($D254,TableInputsData[],ReadMe!$M$3,FALSE)),VLOOKUP($D254,TableInputsData[],ReadMe!$M$3,FALSE)&amp;"  |  "&amp;VLOOKUP($E254,TableInputsData[],ReadMe!$M$3,FALSE))</f>
        <v/>
      </c>
      <c r="C254" s="294"/>
      <c r="D254"/>
      <c r="E254"/>
      <c r="F254"/>
      <c r="G254" s="163"/>
      <c r="H254" s="163"/>
      <c r="I254" s="163"/>
      <c r="J254" s="163"/>
      <c r="K254" s="163"/>
      <c r="L254" s="163"/>
      <c r="M254" s="163"/>
      <c r="N254" s="163"/>
      <c r="O254" s="294"/>
    </row>
    <row r="255" spans="1:15" ht="16" hidden="1" outlineLevel="1" x14ac:dyDescent="0.2">
      <c r="A255" s="294"/>
      <c r="B255" s="423" t="str">
        <f>IF($E255="",IF($D255="","",VLOOKUP($D255,TableInputsData[],ReadMe!$M$3,FALSE)),VLOOKUP($D255,TableInputsData[],ReadMe!$M$3,FALSE)&amp;"  |  "&amp;VLOOKUP($E255,TableInputsData[],ReadMe!$M$3,FALSE))</f>
        <v/>
      </c>
      <c r="C255" s="294"/>
      <c r="D255"/>
      <c r="E255"/>
      <c r="F255"/>
      <c r="G255" s="163"/>
      <c r="H255" s="163"/>
      <c r="I255" s="163"/>
      <c r="J255" s="163"/>
      <c r="K255" s="163"/>
      <c r="L255" s="163"/>
      <c r="M255" s="163"/>
      <c r="N255" s="163"/>
      <c r="O255" s="294"/>
    </row>
    <row r="256" spans="1:15" ht="16" hidden="1" outlineLevel="1" x14ac:dyDescent="0.2">
      <c r="A256" s="294"/>
      <c r="B256" s="423" t="str">
        <f>IF($E256="",IF($D256="","",VLOOKUP($D256,TableInputsData[],ReadMe!$M$3,FALSE)),VLOOKUP($D256,TableInputsData[],ReadMe!$M$3,FALSE)&amp;"  |  "&amp;VLOOKUP($E256,TableInputsData[],ReadMe!$M$3,FALSE))</f>
        <v/>
      </c>
      <c r="C256" s="294"/>
      <c r="D256"/>
      <c r="E256"/>
      <c r="F256"/>
      <c r="G256" s="163"/>
      <c r="H256" s="163"/>
      <c r="I256" s="163"/>
      <c r="J256" s="163"/>
      <c r="K256" s="163"/>
      <c r="L256" s="163"/>
      <c r="M256" s="163"/>
      <c r="N256" s="163"/>
      <c r="O256" s="294"/>
    </row>
    <row r="257" spans="1:15" ht="16" hidden="1" outlineLevel="1" x14ac:dyDescent="0.2">
      <c r="A257" s="294"/>
      <c r="B257" s="423" t="str">
        <f>IF($E257="",IF($D257="","",VLOOKUP($D257,TableInputsData[],ReadMe!$M$3,FALSE)),VLOOKUP($D257,TableInputsData[],ReadMe!$M$3,FALSE)&amp;"  |  "&amp;VLOOKUP($E257,TableInputsData[],ReadMe!$M$3,FALSE))</f>
        <v/>
      </c>
      <c r="C257" s="294"/>
      <c r="D257"/>
      <c r="E257"/>
      <c r="F257"/>
      <c r="G257" s="163"/>
      <c r="H257" s="163"/>
      <c r="I257" s="163"/>
      <c r="J257" s="163"/>
      <c r="K257" s="163"/>
      <c r="L257" s="163"/>
      <c r="M257" s="163"/>
      <c r="N257" s="163"/>
      <c r="O257" s="294"/>
    </row>
    <row r="258" spans="1:15" ht="16" hidden="1" outlineLevel="1" x14ac:dyDescent="0.2">
      <c r="A258" s="294"/>
      <c r="B258" s="423" t="str">
        <f>IF($E258="",IF($D258="","",VLOOKUP($D258,TableInputsData[],ReadMe!$M$3,FALSE)),VLOOKUP($D258,TableInputsData[],ReadMe!$M$3,FALSE)&amp;"  |  "&amp;VLOOKUP($E258,TableInputsData[],ReadMe!$M$3,FALSE))</f>
        <v/>
      </c>
      <c r="C258" s="294"/>
      <c r="D258"/>
      <c r="E258"/>
      <c r="F258"/>
      <c r="G258" s="163"/>
      <c r="H258" s="163"/>
      <c r="I258" s="163"/>
      <c r="J258" s="163"/>
      <c r="K258" s="163"/>
      <c r="L258" s="163"/>
      <c r="M258" s="163"/>
      <c r="N258" s="163"/>
      <c r="O258" s="294"/>
    </row>
    <row r="259" spans="1:15" ht="16" hidden="1" outlineLevel="1" x14ac:dyDescent="0.2">
      <c r="A259" s="294"/>
      <c r="B259" s="423" t="str">
        <f>IF($E259="",IF($D259="","",VLOOKUP($D259,TableInputsData[],ReadMe!$M$3,FALSE)),VLOOKUP($D259,TableInputsData[],ReadMe!$M$3,FALSE)&amp;"  |  "&amp;VLOOKUP($E259,TableInputsData[],ReadMe!$M$3,FALSE))</f>
        <v/>
      </c>
      <c r="C259" s="294"/>
      <c r="D259"/>
      <c r="E259"/>
      <c r="F259"/>
      <c r="G259" s="163"/>
      <c r="H259" s="163"/>
      <c r="I259" s="163"/>
      <c r="J259" s="163"/>
      <c r="K259" s="163"/>
      <c r="L259" s="163"/>
      <c r="M259" s="163"/>
      <c r="N259" s="163"/>
      <c r="O259" s="294"/>
    </row>
    <row r="260" spans="1:15" ht="16" hidden="1" outlineLevel="1" x14ac:dyDescent="0.2">
      <c r="A260" s="294"/>
      <c r="B260" s="423" t="str">
        <f>IF($E260="",IF($D260="","",VLOOKUP($D260,TableInputsData[],ReadMe!$M$3,FALSE)),VLOOKUP($D260,TableInputsData[],ReadMe!$M$3,FALSE)&amp;"  |  "&amp;VLOOKUP($E260,TableInputsData[],ReadMe!$M$3,FALSE))</f>
        <v/>
      </c>
      <c r="C260" s="294"/>
      <c r="D260"/>
      <c r="E260"/>
      <c r="F260"/>
      <c r="G260" s="163"/>
      <c r="H260" s="163"/>
      <c r="I260" s="163"/>
      <c r="J260" s="163"/>
      <c r="K260" s="163"/>
      <c r="L260" s="163"/>
      <c r="M260" s="163"/>
      <c r="N260" s="163"/>
      <c r="O260" s="294"/>
    </row>
    <row r="261" spans="1:15" ht="16" hidden="1" outlineLevel="1" x14ac:dyDescent="0.2">
      <c r="A261" s="294"/>
      <c r="B261" s="423" t="str">
        <f>IF($E261="",IF($D261="","",VLOOKUP($D261,TableInputsData[],ReadMe!$M$3,FALSE)),VLOOKUP($D261,TableInputsData[],ReadMe!$M$3,FALSE)&amp;"  |  "&amp;VLOOKUP($E261,TableInputsData[],ReadMe!$M$3,FALSE))</f>
        <v/>
      </c>
      <c r="C261" s="294"/>
      <c r="D261"/>
      <c r="E261"/>
      <c r="F261"/>
      <c r="G261" s="163"/>
      <c r="H261" s="163"/>
      <c r="I261" s="163"/>
      <c r="J261" s="163"/>
      <c r="K261" s="163"/>
      <c r="L261" s="163"/>
      <c r="M261" s="163"/>
      <c r="N261" s="163"/>
      <c r="O261" s="294"/>
    </row>
    <row r="262" spans="1:15" ht="16" hidden="1" outlineLevel="1" x14ac:dyDescent="0.2">
      <c r="A262" s="294"/>
      <c r="B262" s="423" t="str">
        <f>IF($E262="",IF($D262="","",VLOOKUP($D262,TableInputsData[],ReadMe!$M$3,FALSE)),VLOOKUP($D262,TableInputsData[],ReadMe!$M$3,FALSE)&amp;"  |  "&amp;VLOOKUP($E262,TableInputsData[],ReadMe!$M$3,FALSE))</f>
        <v/>
      </c>
      <c r="C262" s="294"/>
      <c r="D262"/>
      <c r="E262"/>
      <c r="F262"/>
      <c r="G262" s="163"/>
      <c r="H262" s="163"/>
      <c r="I262" s="163"/>
      <c r="J262" s="163"/>
      <c r="K262" s="163"/>
      <c r="L262" s="163"/>
      <c r="M262" s="163"/>
      <c r="N262" s="163"/>
      <c r="O262" s="294"/>
    </row>
    <row r="263" spans="1:15" ht="16" hidden="1" outlineLevel="1" x14ac:dyDescent="0.2">
      <c r="A263" s="294"/>
      <c r="B263" s="423" t="str">
        <f>IF($E263="",IF($D263="","",VLOOKUP($D263,TableInputsData[],ReadMe!$M$3,FALSE)),VLOOKUP($D263,TableInputsData[],ReadMe!$M$3,FALSE)&amp;"  |  "&amp;VLOOKUP($E263,TableInputsData[],ReadMe!$M$3,FALSE))</f>
        <v/>
      </c>
      <c r="C263" s="294"/>
      <c r="D263"/>
      <c r="E263"/>
      <c r="F263"/>
      <c r="G263" s="163"/>
      <c r="H263" s="163"/>
      <c r="I263" s="163"/>
      <c r="J263" s="163"/>
      <c r="K263" s="163"/>
      <c r="L263" s="163"/>
      <c r="M263" s="163"/>
      <c r="N263" s="163"/>
      <c r="O263" s="294"/>
    </row>
    <row r="264" spans="1:15" ht="16" hidden="1" outlineLevel="1" x14ac:dyDescent="0.2">
      <c r="A264" s="294"/>
      <c r="B264" s="423" t="str">
        <f>IF($E264="",IF($D264="","",VLOOKUP($D264,TableInputsData[],ReadMe!$M$3,FALSE)),VLOOKUP($D264,TableInputsData[],ReadMe!$M$3,FALSE)&amp;"  |  "&amp;VLOOKUP($E264,TableInputsData[],ReadMe!$M$3,FALSE))</f>
        <v/>
      </c>
      <c r="C264" s="294"/>
      <c r="D264"/>
      <c r="E264"/>
      <c r="F264"/>
      <c r="G264" s="163"/>
      <c r="H264" s="163"/>
      <c r="I264" s="163"/>
      <c r="J264" s="163"/>
      <c r="K264" s="163"/>
      <c r="L264" s="163"/>
      <c r="M264" s="163"/>
      <c r="N264" s="163"/>
      <c r="O264" s="294"/>
    </row>
    <row r="265" spans="1:15" ht="16" hidden="1" outlineLevel="1" x14ac:dyDescent="0.2">
      <c r="A265" s="294"/>
      <c r="B265" s="423" t="str">
        <f>IF($E265="",IF($D265="","",VLOOKUP($D265,TableInputsData[],ReadMe!$M$3,FALSE)),VLOOKUP($D265,TableInputsData[],ReadMe!$M$3,FALSE)&amp;"  |  "&amp;VLOOKUP($E265,TableInputsData[],ReadMe!$M$3,FALSE))</f>
        <v/>
      </c>
      <c r="C265" s="294"/>
      <c r="D265"/>
      <c r="E265"/>
      <c r="F265"/>
      <c r="G265" s="163"/>
      <c r="H265" s="163"/>
      <c r="I265" s="163"/>
      <c r="J265" s="163"/>
      <c r="K265" s="163"/>
      <c r="L265" s="163"/>
      <c r="M265" s="163"/>
      <c r="N265" s="163"/>
      <c r="O265" s="294"/>
    </row>
    <row r="266" spans="1:15" ht="16" hidden="1" outlineLevel="1" x14ac:dyDescent="0.2">
      <c r="A266" s="294"/>
      <c r="B266" s="423" t="str">
        <f>IF($E266="",IF($D266="","",VLOOKUP($D266,TableInputsData[],ReadMe!$M$3,FALSE)),VLOOKUP($D266,TableInputsData[],ReadMe!$M$3,FALSE)&amp;"  |  "&amp;VLOOKUP($E266,TableInputsData[],ReadMe!$M$3,FALSE))</f>
        <v/>
      </c>
      <c r="C266" s="294"/>
      <c r="D266"/>
      <c r="E266"/>
      <c r="F266"/>
      <c r="G266" s="163"/>
      <c r="H266" s="163"/>
      <c r="I266" s="163"/>
      <c r="J266" s="163"/>
      <c r="K266" s="163"/>
      <c r="L266" s="163"/>
      <c r="M266" s="163"/>
      <c r="N266" s="163"/>
      <c r="O266" s="294"/>
    </row>
    <row r="267" spans="1:15" ht="16" hidden="1" outlineLevel="1" x14ac:dyDescent="0.2">
      <c r="A267" s="294"/>
      <c r="B267" s="423" t="str">
        <f>IF($E267="",IF($D267="","",VLOOKUP($D267,TableInputsData[],ReadMe!$M$3,FALSE)),VLOOKUP($D267,TableInputsData[],ReadMe!$M$3,FALSE)&amp;"  |  "&amp;VLOOKUP($E267,TableInputsData[],ReadMe!$M$3,FALSE))</f>
        <v/>
      </c>
      <c r="C267" s="294"/>
      <c r="D267"/>
      <c r="E267"/>
      <c r="F267"/>
      <c r="G267" s="163"/>
      <c r="H267" s="163"/>
      <c r="I267" s="163"/>
      <c r="J267" s="163"/>
      <c r="K267" s="163"/>
      <c r="L267" s="163"/>
      <c r="M267" s="163"/>
      <c r="N267" s="163"/>
      <c r="O267" s="294"/>
    </row>
    <row r="268" spans="1:15" ht="16" hidden="1" outlineLevel="1" x14ac:dyDescent="0.2">
      <c r="A268" s="294"/>
      <c r="B268" s="423" t="str">
        <f>IF($E268="",IF($D268="","",VLOOKUP($D268,TableInputsData[],ReadMe!$M$3,FALSE)),VLOOKUP($D268,TableInputsData[],ReadMe!$M$3,FALSE)&amp;"  |  "&amp;VLOOKUP($E268,TableInputsData[],ReadMe!$M$3,FALSE))</f>
        <v/>
      </c>
      <c r="C268" s="294"/>
      <c r="D268"/>
      <c r="E268"/>
      <c r="F268"/>
      <c r="G268" s="163"/>
      <c r="H268" s="163"/>
      <c r="I268" s="163"/>
      <c r="J268" s="163"/>
      <c r="K268" s="163"/>
      <c r="L268" s="163"/>
      <c r="M268" s="163"/>
      <c r="N268" s="163"/>
      <c r="O268" s="294"/>
    </row>
    <row r="269" spans="1:15" ht="16" hidden="1" outlineLevel="1" x14ac:dyDescent="0.2">
      <c r="A269" s="294"/>
      <c r="B269" s="423" t="str">
        <f>IF($E269="",IF($D269="","",VLOOKUP($D269,TableInputsData[],ReadMe!$M$3,FALSE)),VLOOKUP($D269,TableInputsData[],ReadMe!$M$3,FALSE)&amp;"  |  "&amp;VLOOKUP($E269,TableInputsData[],ReadMe!$M$3,FALSE))</f>
        <v/>
      </c>
      <c r="C269" s="294"/>
      <c r="D269"/>
      <c r="E269"/>
      <c r="F269"/>
      <c r="G269" s="163"/>
      <c r="H269" s="163"/>
      <c r="I269" s="163"/>
      <c r="J269" s="163"/>
      <c r="K269" s="163"/>
      <c r="L269" s="163"/>
      <c r="M269" s="163"/>
      <c r="N269" s="163"/>
      <c r="O269" s="294"/>
    </row>
    <row r="270" spans="1:15" ht="16" hidden="1" outlineLevel="1" x14ac:dyDescent="0.2">
      <c r="A270" s="294"/>
      <c r="B270" s="423" t="str">
        <f>IF($E270="",IF($D270="","",VLOOKUP($D270,TableInputsData[],ReadMe!$M$3,FALSE)),VLOOKUP($D270,TableInputsData[],ReadMe!$M$3,FALSE)&amp;"  |  "&amp;VLOOKUP($E270,TableInputsData[],ReadMe!$M$3,FALSE))</f>
        <v/>
      </c>
      <c r="C270" s="294"/>
      <c r="D270"/>
      <c r="E270"/>
      <c r="F270"/>
      <c r="G270" s="163"/>
      <c r="H270" s="163"/>
      <c r="I270" s="163"/>
      <c r="J270" s="163"/>
      <c r="K270" s="163"/>
      <c r="L270" s="163"/>
      <c r="M270" s="163"/>
      <c r="N270" s="163"/>
      <c r="O270" s="294"/>
    </row>
    <row r="271" spans="1:15" ht="16" hidden="1" outlineLevel="1" x14ac:dyDescent="0.2">
      <c r="A271" s="294"/>
      <c r="B271" s="423" t="str">
        <f>IF($E271="",IF($D271="","",VLOOKUP($D271,TableInputsData[],ReadMe!$M$3,FALSE)),VLOOKUP($D271,TableInputsData[],ReadMe!$M$3,FALSE)&amp;"  |  "&amp;VLOOKUP($E271,TableInputsData[],ReadMe!$M$3,FALSE))</f>
        <v/>
      </c>
      <c r="C271" s="294"/>
      <c r="D271"/>
      <c r="E271"/>
      <c r="F271"/>
      <c r="G271" s="163"/>
      <c r="H271" s="163"/>
      <c r="I271" s="163"/>
      <c r="J271" s="163"/>
      <c r="K271" s="163"/>
      <c r="L271" s="163"/>
      <c r="M271" s="163"/>
      <c r="N271" s="163"/>
      <c r="O271" s="294"/>
    </row>
    <row r="272" spans="1:15" ht="16" hidden="1" outlineLevel="1" x14ac:dyDescent="0.2">
      <c r="A272" s="294"/>
      <c r="B272" s="423" t="str">
        <f>IF($E272="",IF($D272="","",VLOOKUP($D272,TableInputsData[],ReadMe!$M$3,FALSE)),VLOOKUP($D272,TableInputsData[],ReadMe!$M$3,FALSE)&amp;"  |  "&amp;VLOOKUP($E272,TableInputsData[],ReadMe!$M$3,FALSE))</f>
        <v/>
      </c>
      <c r="C272" s="294"/>
      <c r="D272"/>
      <c r="E272"/>
      <c r="F272"/>
      <c r="G272" s="163"/>
      <c r="H272" s="163"/>
      <c r="I272" s="163"/>
      <c r="J272" s="163"/>
      <c r="K272" s="163"/>
      <c r="L272" s="163"/>
      <c r="M272" s="163"/>
      <c r="N272" s="163"/>
      <c r="O272" s="294"/>
    </row>
    <row r="273" spans="1:15" ht="16" hidden="1" outlineLevel="1" x14ac:dyDescent="0.2">
      <c r="A273" s="294"/>
      <c r="B273" s="423" t="str">
        <f>IF($E273="",IF($D273="","",VLOOKUP($D273,TableInputsData[],ReadMe!$M$3,FALSE)),VLOOKUP($D273,TableInputsData[],ReadMe!$M$3,FALSE)&amp;"  |  "&amp;VLOOKUP($E273,TableInputsData[],ReadMe!$M$3,FALSE))</f>
        <v/>
      </c>
      <c r="C273" s="294"/>
      <c r="D273"/>
      <c r="E273"/>
      <c r="F273"/>
      <c r="G273" s="163"/>
      <c r="H273" s="163"/>
      <c r="I273" s="163"/>
      <c r="J273" s="163"/>
      <c r="K273" s="163"/>
      <c r="L273" s="163"/>
      <c r="M273" s="163"/>
      <c r="N273" s="163"/>
      <c r="O273" s="294"/>
    </row>
    <row r="274" spans="1:15" ht="16" hidden="1" outlineLevel="1" x14ac:dyDescent="0.2">
      <c r="A274" s="294"/>
      <c r="B274" s="423" t="str">
        <f>IF($E274="",IF($D274="","",VLOOKUP($D274,TableInputsData[],ReadMe!$M$3,FALSE)),VLOOKUP($D274,TableInputsData[],ReadMe!$M$3,FALSE)&amp;"  |  "&amp;VLOOKUP($E274,TableInputsData[],ReadMe!$M$3,FALSE))</f>
        <v/>
      </c>
      <c r="C274" s="294"/>
      <c r="D274"/>
      <c r="E274"/>
      <c r="F274"/>
      <c r="G274" s="163"/>
      <c r="H274" s="163"/>
      <c r="I274" s="163"/>
      <c r="J274" s="163"/>
      <c r="K274" s="163"/>
      <c r="L274" s="163"/>
      <c r="M274" s="163"/>
      <c r="N274" s="163"/>
      <c r="O274" s="294"/>
    </row>
    <row r="275" spans="1:15" ht="16" hidden="1" outlineLevel="1" x14ac:dyDescent="0.2">
      <c r="A275" s="294"/>
      <c r="B275" s="423" t="str">
        <f>IF($E275="",IF($D275="","",VLOOKUP($D275,TableInputsData[],ReadMe!$M$3,FALSE)),VLOOKUP($D275,TableInputsData[],ReadMe!$M$3,FALSE)&amp;"  |  "&amp;VLOOKUP($E275,TableInputsData[],ReadMe!$M$3,FALSE))</f>
        <v/>
      </c>
      <c r="C275" s="294"/>
      <c r="D275"/>
      <c r="E275"/>
      <c r="F275"/>
      <c r="G275" s="163"/>
      <c r="H275" s="163"/>
      <c r="I275" s="163"/>
      <c r="J275" s="163"/>
      <c r="K275" s="163"/>
      <c r="L275" s="163"/>
      <c r="M275" s="163"/>
      <c r="N275" s="163"/>
      <c r="O275" s="294"/>
    </row>
    <row r="276" spans="1:15" ht="16" hidden="1" outlineLevel="1" x14ac:dyDescent="0.2">
      <c r="A276" s="294"/>
      <c r="B276" s="423" t="str">
        <f>IF($E276="",IF($D276="","",VLOOKUP($D276,TableInputsData[],ReadMe!$M$3,FALSE)),VLOOKUP($D276,TableInputsData[],ReadMe!$M$3,FALSE)&amp;"  |  "&amp;VLOOKUP($E276,TableInputsData[],ReadMe!$M$3,FALSE))</f>
        <v/>
      </c>
      <c r="C276" s="294"/>
      <c r="D276"/>
      <c r="E276"/>
      <c r="F276"/>
      <c r="G276" s="163"/>
      <c r="H276" s="163"/>
      <c r="I276" s="163"/>
      <c r="J276" s="163"/>
      <c r="K276" s="163"/>
      <c r="L276" s="163"/>
      <c r="M276" s="163"/>
      <c r="N276" s="163"/>
      <c r="O276" s="294"/>
    </row>
    <row r="277" spans="1:15" ht="16" hidden="1" outlineLevel="1" x14ac:dyDescent="0.2">
      <c r="A277" s="294"/>
      <c r="B277" s="423" t="str">
        <f>IF($E277="",IF($D277="","",VLOOKUP($D277,TableInputsData[],ReadMe!$M$3,FALSE)),VLOOKUP($D277,TableInputsData[],ReadMe!$M$3,FALSE)&amp;"  |  "&amp;VLOOKUP($E277,TableInputsData[],ReadMe!$M$3,FALSE))</f>
        <v/>
      </c>
      <c r="C277" s="294"/>
      <c r="D277"/>
      <c r="E277"/>
      <c r="F277"/>
      <c r="G277" s="163"/>
      <c r="H277" s="163"/>
      <c r="I277" s="163"/>
      <c r="J277" s="163"/>
      <c r="K277" s="163"/>
      <c r="L277" s="163"/>
      <c r="M277" s="163"/>
      <c r="N277" s="163"/>
      <c r="O277" s="294"/>
    </row>
    <row r="278" spans="1:15" ht="16" hidden="1" outlineLevel="1" x14ac:dyDescent="0.2">
      <c r="A278" s="294"/>
      <c r="B278" s="423" t="str">
        <f>IF($E278="",IF($D278="","",VLOOKUP($D278,TableInputsData[],ReadMe!$M$3,FALSE)),VLOOKUP($D278,TableInputsData[],ReadMe!$M$3,FALSE)&amp;"  |  "&amp;VLOOKUP($E278,TableInputsData[],ReadMe!$M$3,FALSE))</f>
        <v/>
      </c>
      <c r="C278" s="294"/>
      <c r="D278"/>
      <c r="E278"/>
      <c r="F278"/>
      <c r="G278" s="163"/>
      <c r="H278" s="163"/>
      <c r="I278" s="163"/>
      <c r="J278" s="163"/>
      <c r="K278" s="163"/>
      <c r="L278" s="163"/>
      <c r="M278" s="163"/>
      <c r="N278" s="163"/>
      <c r="O278" s="294"/>
    </row>
    <row r="279" spans="1:15" ht="16" hidden="1" outlineLevel="1" x14ac:dyDescent="0.2">
      <c r="A279" s="294"/>
      <c r="B279" s="423" t="str">
        <f>IF($E279="",IF($D279="","",VLOOKUP($D279,TableInputsData[],ReadMe!$M$3,FALSE)),VLOOKUP($D279,TableInputsData[],ReadMe!$M$3,FALSE)&amp;"  |  "&amp;VLOOKUP($E279,TableInputsData[],ReadMe!$M$3,FALSE))</f>
        <v/>
      </c>
      <c r="C279" s="294"/>
      <c r="D279"/>
      <c r="E279"/>
      <c r="F279"/>
      <c r="G279" s="163"/>
      <c r="H279" s="163"/>
      <c r="I279" s="163"/>
      <c r="J279" s="163"/>
      <c r="K279" s="163"/>
      <c r="L279" s="163"/>
      <c r="M279" s="163"/>
      <c r="N279" s="163"/>
      <c r="O279" s="294"/>
    </row>
    <row r="280" spans="1:15" ht="16" hidden="1" outlineLevel="1" x14ac:dyDescent="0.2">
      <c r="A280" s="294"/>
      <c r="B280" s="423" t="str">
        <f>IF($E280="",IF($D280="","",VLOOKUP($D280,TableInputsData[],ReadMe!$M$3,FALSE)),VLOOKUP($D280,TableInputsData[],ReadMe!$M$3,FALSE)&amp;"  |  "&amp;VLOOKUP($E280,TableInputsData[],ReadMe!$M$3,FALSE))</f>
        <v/>
      </c>
      <c r="C280" s="294"/>
      <c r="D280"/>
      <c r="E280"/>
      <c r="F280"/>
      <c r="G280" s="163"/>
      <c r="H280" s="163"/>
      <c r="I280" s="163"/>
      <c r="J280" s="163"/>
      <c r="K280" s="163"/>
      <c r="L280" s="163"/>
      <c r="M280" s="163"/>
      <c r="N280" s="163"/>
      <c r="O280" s="294"/>
    </row>
    <row r="281" spans="1:15" ht="16" hidden="1" outlineLevel="1" x14ac:dyDescent="0.2">
      <c r="A281" s="294"/>
      <c r="B281" s="423" t="str">
        <f>IF($E281="",IF($D281="","",VLOOKUP($D281,TableInputsData[],ReadMe!$M$3,FALSE)),VLOOKUP($D281,TableInputsData[],ReadMe!$M$3,FALSE)&amp;"  |  "&amp;VLOOKUP($E281,TableInputsData[],ReadMe!$M$3,FALSE))</f>
        <v/>
      </c>
      <c r="C281" s="294"/>
      <c r="D281"/>
      <c r="E281"/>
      <c r="F281"/>
      <c r="G281" s="163"/>
      <c r="H281" s="163"/>
      <c r="I281" s="163"/>
      <c r="J281" s="163"/>
      <c r="K281" s="163"/>
      <c r="L281" s="163"/>
      <c r="M281" s="163"/>
      <c r="N281" s="163"/>
      <c r="O281" s="294"/>
    </row>
    <row r="282" spans="1:15" ht="16" hidden="1" outlineLevel="1" x14ac:dyDescent="0.2">
      <c r="A282" s="294"/>
      <c r="B282" s="423" t="str">
        <f>IF($E282="",IF($D282="","",VLOOKUP($D282,TableInputsData[],ReadMe!$M$3,FALSE)),VLOOKUP($D282,TableInputsData[],ReadMe!$M$3,FALSE)&amp;"  |  "&amp;VLOOKUP($E282,TableInputsData[],ReadMe!$M$3,FALSE))</f>
        <v/>
      </c>
      <c r="C282" s="294"/>
      <c r="D282"/>
      <c r="E282"/>
      <c r="F282"/>
      <c r="G282" s="163"/>
      <c r="H282" s="163"/>
      <c r="I282" s="163"/>
      <c r="J282" s="163"/>
      <c r="K282" s="163"/>
      <c r="L282" s="163"/>
      <c r="M282" s="163"/>
      <c r="N282" s="163"/>
      <c r="O282" s="294"/>
    </row>
    <row r="283" spans="1:15" ht="16" hidden="1" outlineLevel="1" x14ac:dyDescent="0.2">
      <c r="A283" s="294"/>
      <c r="B283" s="423" t="str">
        <f>IF($E283="",IF($D283="","",VLOOKUP($D283,TableInputsData[],ReadMe!$M$3,FALSE)),VLOOKUP($D283,TableInputsData[],ReadMe!$M$3,FALSE)&amp;"  |  "&amp;VLOOKUP($E283,TableInputsData[],ReadMe!$M$3,FALSE))</f>
        <v/>
      </c>
      <c r="C283" s="294"/>
      <c r="D283"/>
      <c r="E283"/>
      <c r="F283"/>
      <c r="G283" s="163"/>
      <c r="H283" s="163"/>
      <c r="I283" s="163"/>
      <c r="J283" s="163"/>
      <c r="K283" s="163"/>
      <c r="L283" s="163"/>
      <c r="M283" s="163"/>
      <c r="N283" s="163"/>
      <c r="O283" s="294"/>
    </row>
    <row r="284" spans="1:15" ht="16" hidden="1" outlineLevel="1" x14ac:dyDescent="0.2">
      <c r="A284" s="294"/>
      <c r="B284" s="423" t="str">
        <f>IF($E284="",IF($D284="","",VLOOKUP($D284,TableInputsData[],ReadMe!$M$3,FALSE)),VLOOKUP($D284,TableInputsData[],ReadMe!$M$3,FALSE)&amp;"  |  "&amp;VLOOKUP($E284,TableInputsData[],ReadMe!$M$3,FALSE))</f>
        <v/>
      </c>
      <c r="C284" s="294"/>
      <c r="D284"/>
      <c r="E284"/>
      <c r="F284"/>
      <c r="G284" s="163"/>
      <c r="H284" s="163"/>
      <c r="I284" s="163"/>
      <c r="J284" s="163"/>
      <c r="K284" s="163"/>
      <c r="L284" s="163"/>
      <c r="M284" s="163"/>
      <c r="N284" s="163"/>
      <c r="O284" s="294"/>
    </row>
    <row r="285" spans="1:15" ht="16" hidden="1" outlineLevel="1" x14ac:dyDescent="0.2">
      <c r="A285" s="294"/>
      <c r="B285" s="423" t="str">
        <f>IF($E285="",IF($D285="","",VLOOKUP($D285,TableInputsData[],ReadMe!$M$3,FALSE)),VLOOKUP($D285,TableInputsData[],ReadMe!$M$3,FALSE)&amp;"  |  "&amp;VLOOKUP($E285,TableInputsData[],ReadMe!$M$3,FALSE))</f>
        <v/>
      </c>
      <c r="C285" s="294"/>
      <c r="D285"/>
      <c r="E285"/>
      <c r="F285"/>
      <c r="G285" s="163"/>
      <c r="H285" s="163"/>
      <c r="I285" s="163"/>
      <c r="J285" s="163"/>
      <c r="K285" s="163"/>
      <c r="L285" s="163"/>
      <c r="M285" s="163"/>
      <c r="N285" s="163"/>
      <c r="O285" s="294"/>
    </row>
    <row r="286" spans="1:15" ht="16" hidden="1" outlineLevel="1" x14ac:dyDescent="0.2">
      <c r="A286" s="294"/>
      <c r="B286" s="423" t="str">
        <f>IF($E286="",IF($D286="","",VLOOKUP($D286,TableInputsData[],ReadMe!$M$3,FALSE)),VLOOKUP($D286,TableInputsData[],ReadMe!$M$3,FALSE)&amp;"  |  "&amp;VLOOKUP($E286,TableInputsData[],ReadMe!$M$3,FALSE))</f>
        <v/>
      </c>
      <c r="C286" s="294"/>
      <c r="D286"/>
      <c r="E286"/>
      <c r="F286"/>
      <c r="G286" s="163"/>
      <c r="H286" s="163"/>
      <c r="I286" s="163"/>
      <c r="J286" s="163"/>
      <c r="K286" s="163"/>
      <c r="L286" s="163"/>
      <c r="M286" s="163"/>
      <c r="N286" s="163"/>
      <c r="O286" s="294"/>
    </row>
    <row r="287" spans="1:15" ht="16" hidden="1" outlineLevel="1" x14ac:dyDescent="0.2">
      <c r="A287" s="294"/>
      <c r="B287" s="423" t="str">
        <f>IF($E287="",IF($D287="","",VLOOKUP($D287,TableInputsData[],ReadMe!$M$3,FALSE)),VLOOKUP($D287,TableInputsData[],ReadMe!$M$3,FALSE)&amp;"  |  "&amp;VLOOKUP($E287,TableInputsData[],ReadMe!$M$3,FALSE))</f>
        <v/>
      </c>
      <c r="C287" s="294"/>
      <c r="D287"/>
      <c r="E287"/>
      <c r="F287"/>
      <c r="G287" s="163"/>
      <c r="H287" s="163"/>
      <c r="I287" s="163"/>
      <c r="J287" s="163"/>
      <c r="K287" s="163"/>
      <c r="L287" s="163"/>
      <c r="M287" s="163"/>
      <c r="N287" s="163"/>
      <c r="O287" s="294"/>
    </row>
    <row r="288" spans="1:15" ht="16" hidden="1" outlineLevel="1" x14ac:dyDescent="0.2">
      <c r="A288" s="294"/>
      <c r="B288" s="423" t="str">
        <f>IF($E288="",IF($D288="","",VLOOKUP($D288,TableInputsData[],ReadMe!$M$3,FALSE)),VLOOKUP($D288,TableInputsData[],ReadMe!$M$3,FALSE)&amp;"  |  "&amp;VLOOKUP($E288,TableInputsData[],ReadMe!$M$3,FALSE))</f>
        <v/>
      </c>
      <c r="C288" s="294"/>
      <c r="D288"/>
      <c r="E288"/>
      <c r="F288"/>
      <c r="G288" s="163"/>
      <c r="H288" s="163"/>
      <c r="I288" s="163"/>
      <c r="J288" s="163"/>
      <c r="K288" s="163"/>
      <c r="L288" s="163"/>
      <c r="M288" s="163"/>
      <c r="N288" s="163"/>
      <c r="O288" s="294"/>
    </row>
    <row r="289" spans="1:15" ht="16" hidden="1" outlineLevel="1" x14ac:dyDescent="0.2">
      <c r="A289" s="294"/>
      <c r="B289" s="423" t="str">
        <f>IF($E289="",IF($D289="","",VLOOKUP($D289,TableInputsData[],ReadMe!$M$3,FALSE)),VLOOKUP($D289,TableInputsData[],ReadMe!$M$3,FALSE)&amp;"  |  "&amp;VLOOKUP($E289,TableInputsData[],ReadMe!$M$3,FALSE))</f>
        <v/>
      </c>
      <c r="C289" s="294"/>
      <c r="D289"/>
      <c r="E289"/>
      <c r="F289"/>
      <c r="G289" s="163"/>
      <c r="H289" s="163"/>
      <c r="I289" s="163"/>
      <c r="J289" s="163"/>
      <c r="K289" s="163"/>
      <c r="L289" s="163"/>
      <c r="M289" s="163"/>
      <c r="N289" s="163"/>
      <c r="O289" s="294"/>
    </row>
    <row r="290" spans="1:15" ht="16" hidden="1" outlineLevel="1" x14ac:dyDescent="0.2">
      <c r="A290" s="294"/>
      <c r="B290" s="423" t="str">
        <f>IF($E290="",IF($D290="","",VLOOKUP($D290,TableInputsData[],ReadMe!$M$3,FALSE)),VLOOKUP($D290,TableInputsData[],ReadMe!$M$3,FALSE)&amp;"  |  "&amp;VLOOKUP($E290,TableInputsData[],ReadMe!$M$3,FALSE))</f>
        <v/>
      </c>
      <c r="C290" s="294"/>
      <c r="D290"/>
      <c r="E290"/>
      <c r="F290"/>
      <c r="G290" s="163"/>
      <c r="H290" s="163"/>
      <c r="I290" s="163"/>
      <c r="J290" s="163"/>
      <c r="K290" s="163"/>
      <c r="L290" s="163"/>
      <c r="M290" s="163"/>
      <c r="N290" s="163"/>
      <c r="O290" s="294"/>
    </row>
    <row r="291" spans="1:15" ht="16" hidden="1" outlineLevel="1" x14ac:dyDescent="0.2">
      <c r="A291" s="294"/>
      <c r="B291" s="423" t="str">
        <f>IF($E291="",IF($D291="","",VLOOKUP($D291,TableInputsData[],ReadMe!$M$3,FALSE)),VLOOKUP($D291,TableInputsData[],ReadMe!$M$3,FALSE)&amp;"  |  "&amp;VLOOKUP($E291,TableInputsData[],ReadMe!$M$3,FALSE))</f>
        <v/>
      </c>
      <c r="C291" s="294"/>
      <c r="D291"/>
      <c r="E291"/>
      <c r="F291"/>
      <c r="G291" s="163"/>
      <c r="H291" s="163"/>
      <c r="I291" s="163"/>
      <c r="J291" s="163"/>
      <c r="K291" s="163"/>
      <c r="L291" s="163"/>
      <c r="M291" s="163"/>
      <c r="N291" s="163"/>
      <c r="O291" s="294"/>
    </row>
    <row r="292" spans="1:15" ht="16" hidden="1" outlineLevel="1" x14ac:dyDescent="0.2">
      <c r="A292" s="294"/>
      <c r="B292" s="423" t="str">
        <f>IF($E292="",IF($D292="","",VLOOKUP($D292,TableInputsData[],ReadMe!$M$3,FALSE)),VLOOKUP($D292,TableInputsData[],ReadMe!$M$3,FALSE)&amp;"  |  "&amp;VLOOKUP($E292,TableInputsData[],ReadMe!$M$3,FALSE))</f>
        <v/>
      </c>
      <c r="C292" s="294"/>
      <c r="D292"/>
      <c r="E292"/>
      <c r="F292"/>
      <c r="G292" s="163"/>
      <c r="H292" s="163"/>
      <c r="I292" s="163"/>
      <c r="J292" s="163"/>
      <c r="K292" s="163"/>
      <c r="L292" s="163"/>
      <c r="M292" s="163"/>
      <c r="N292" s="163"/>
      <c r="O292" s="294"/>
    </row>
    <row r="293" spans="1:15" ht="16" hidden="1" outlineLevel="1" x14ac:dyDescent="0.2">
      <c r="A293" s="294"/>
      <c r="B293" s="423" t="str">
        <f>IF($E293="",IF($D293="","",VLOOKUP($D293,TableInputsData[],ReadMe!$M$3,FALSE)),VLOOKUP($D293,TableInputsData[],ReadMe!$M$3,FALSE)&amp;"  |  "&amp;VLOOKUP($E293,TableInputsData[],ReadMe!$M$3,FALSE))</f>
        <v/>
      </c>
      <c r="C293" s="294"/>
      <c r="D293"/>
      <c r="E293"/>
      <c r="F293"/>
      <c r="G293" s="163"/>
      <c r="H293" s="163"/>
      <c r="I293" s="163"/>
      <c r="J293" s="163"/>
      <c r="K293" s="163"/>
      <c r="L293" s="163"/>
      <c r="M293" s="163"/>
      <c r="N293" s="163"/>
      <c r="O293" s="294"/>
    </row>
    <row r="294" spans="1:15" ht="16" hidden="1" outlineLevel="1" x14ac:dyDescent="0.2">
      <c r="A294" s="294"/>
      <c r="B294" s="423" t="str">
        <f>IF($E294="",IF($D294="","",VLOOKUP($D294,TableInputsData[],ReadMe!$M$3,FALSE)),VLOOKUP($D294,TableInputsData[],ReadMe!$M$3,FALSE)&amp;"  |  "&amp;VLOOKUP($E294,TableInputsData[],ReadMe!$M$3,FALSE))</f>
        <v/>
      </c>
      <c r="C294" s="294"/>
      <c r="D294"/>
      <c r="E294"/>
      <c r="F294"/>
      <c r="G294" s="163"/>
      <c r="H294" s="163"/>
      <c r="I294" s="163"/>
      <c r="J294" s="163"/>
      <c r="K294" s="163"/>
      <c r="L294" s="163"/>
      <c r="M294" s="163"/>
      <c r="N294" s="163"/>
      <c r="O294" s="294"/>
    </row>
    <row r="295" spans="1:15" ht="16" hidden="1" outlineLevel="1" x14ac:dyDescent="0.2">
      <c r="A295" s="294"/>
      <c r="B295" s="423" t="str">
        <f>IF($E295="",IF($D295="","",VLOOKUP($D295,TableInputsData[],ReadMe!$M$3,FALSE)),VLOOKUP($D295,TableInputsData[],ReadMe!$M$3,FALSE)&amp;"  |  "&amp;VLOOKUP($E295,TableInputsData[],ReadMe!$M$3,FALSE))</f>
        <v/>
      </c>
      <c r="C295" s="294"/>
      <c r="D295"/>
      <c r="E295"/>
      <c r="F295"/>
      <c r="G295" s="163"/>
      <c r="H295" s="163"/>
      <c r="I295" s="163"/>
      <c r="J295" s="163"/>
      <c r="K295" s="163"/>
      <c r="L295" s="163"/>
      <c r="M295" s="163"/>
      <c r="N295" s="163"/>
      <c r="O295" s="294"/>
    </row>
    <row r="296" spans="1:15" ht="16" hidden="1" outlineLevel="1" x14ac:dyDescent="0.2">
      <c r="A296" s="294"/>
      <c r="B296" s="423" t="str">
        <f>IF($E296="",IF($D296="","",VLOOKUP($D296,TableInputsData[],ReadMe!$M$3,FALSE)),VLOOKUP($D296,TableInputsData[],ReadMe!$M$3,FALSE)&amp;"  |  "&amp;VLOOKUP($E296,TableInputsData[],ReadMe!$M$3,FALSE))</f>
        <v/>
      </c>
      <c r="C296" s="294"/>
      <c r="D296"/>
      <c r="E296"/>
      <c r="F296"/>
      <c r="G296" s="163"/>
      <c r="H296" s="163"/>
      <c r="I296" s="163"/>
      <c r="J296" s="163"/>
      <c r="K296" s="163"/>
      <c r="L296" s="163"/>
      <c r="M296" s="163"/>
      <c r="N296" s="163"/>
      <c r="O296" s="294"/>
    </row>
    <row r="297" spans="1:15" ht="16" hidden="1" outlineLevel="1" x14ac:dyDescent="0.2">
      <c r="A297" s="294"/>
      <c r="B297" s="423" t="str">
        <f>IF($E297="",IF($D297="","",VLOOKUP($D297,TableInputsData[],ReadMe!$M$3,FALSE)),VLOOKUP($D297,TableInputsData[],ReadMe!$M$3,FALSE)&amp;"  |  "&amp;VLOOKUP($E297,TableInputsData[],ReadMe!$M$3,FALSE))</f>
        <v/>
      </c>
      <c r="C297" s="294"/>
      <c r="D297"/>
      <c r="E297"/>
      <c r="F297"/>
      <c r="G297" s="163"/>
      <c r="H297" s="163"/>
      <c r="I297" s="163"/>
      <c r="J297" s="163"/>
      <c r="K297" s="163"/>
      <c r="L297" s="163"/>
      <c r="M297" s="163"/>
      <c r="N297" s="163"/>
      <c r="O297" s="294"/>
    </row>
    <row r="298" spans="1:15" ht="16" hidden="1" outlineLevel="1" x14ac:dyDescent="0.2">
      <c r="A298" s="294"/>
      <c r="B298" s="423" t="str">
        <f>IF($E298="",IF($D298="","",VLOOKUP($D298,TableInputsData[],ReadMe!$M$3,FALSE)),VLOOKUP($D298,TableInputsData[],ReadMe!$M$3,FALSE)&amp;"  |  "&amp;VLOOKUP($E298,TableInputsData[],ReadMe!$M$3,FALSE))</f>
        <v/>
      </c>
      <c r="C298" s="294"/>
      <c r="D298"/>
      <c r="E298"/>
      <c r="F298"/>
      <c r="G298" s="163"/>
      <c r="H298" s="163"/>
      <c r="I298" s="163"/>
      <c r="J298" s="163"/>
      <c r="K298" s="163"/>
      <c r="L298" s="163"/>
      <c r="M298" s="163"/>
      <c r="N298" s="163"/>
      <c r="O298" s="294"/>
    </row>
    <row r="299" spans="1:15" ht="16" hidden="1" outlineLevel="1" x14ac:dyDescent="0.2">
      <c r="A299" s="294"/>
      <c r="B299" s="423" t="str">
        <f>IF($E299="",IF($D299="","",VLOOKUP($D299,TableInputsData[],ReadMe!$M$3,FALSE)),VLOOKUP($D299,TableInputsData[],ReadMe!$M$3,FALSE)&amp;"  |  "&amp;VLOOKUP($E299,TableInputsData[],ReadMe!$M$3,FALSE))</f>
        <v/>
      </c>
      <c r="C299" s="294"/>
      <c r="D299"/>
      <c r="E299"/>
      <c r="F299"/>
      <c r="G299" s="163"/>
      <c r="H299" s="163"/>
      <c r="I299" s="163"/>
      <c r="J299" s="163"/>
      <c r="K299" s="163"/>
      <c r="L299" s="163"/>
      <c r="M299" s="163"/>
      <c r="N299" s="163"/>
      <c r="O299" s="294"/>
    </row>
    <row r="300" spans="1:15" ht="16" hidden="1" outlineLevel="1" x14ac:dyDescent="0.2">
      <c r="A300" s="294"/>
      <c r="B300" s="423" t="str">
        <f>IF($E300="",IF($D300="","",VLOOKUP($D300,TableInputsData[],ReadMe!$M$3,FALSE)),VLOOKUP($D300,TableInputsData[],ReadMe!$M$3,FALSE)&amp;"  |  "&amp;VLOOKUP($E300,TableInputsData[],ReadMe!$M$3,FALSE))</f>
        <v/>
      </c>
      <c r="C300" s="294"/>
      <c r="D300"/>
      <c r="E300"/>
      <c r="F300"/>
      <c r="G300" s="163"/>
      <c r="H300" s="163"/>
      <c r="I300" s="163"/>
      <c r="J300" s="163"/>
      <c r="K300" s="163"/>
      <c r="L300" s="163"/>
      <c r="M300" s="163"/>
      <c r="N300" s="163"/>
      <c r="O300" s="294"/>
    </row>
    <row r="301" spans="1:15" ht="16" hidden="1" outlineLevel="1" x14ac:dyDescent="0.2">
      <c r="A301" s="294"/>
      <c r="B301" s="423" t="str">
        <f>IF($E301="",IF($D301="","",VLOOKUP($D301,TableInputsData[],ReadMe!$M$3,FALSE)),VLOOKUP($D301,TableInputsData[],ReadMe!$M$3,FALSE)&amp;"  |  "&amp;VLOOKUP($E301,TableInputsData[],ReadMe!$M$3,FALSE))</f>
        <v/>
      </c>
      <c r="C301" s="294"/>
      <c r="D301"/>
      <c r="E301"/>
      <c r="F301"/>
      <c r="G301" s="163"/>
      <c r="H301" s="163"/>
      <c r="I301" s="163"/>
      <c r="J301" s="163"/>
      <c r="K301" s="163"/>
      <c r="L301" s="163"/>
      <c r="M301" s="163"/>
      <c r="N301" s="163"/>
      <c r="O301" s="294"/>
    </row>
    <row r="302" spans="1:15" ht="16" hidden="1" outlineLevel="1" x14ac:dyDescent="0.2">
      <c r="A302" s="294"/>
      <c r="B302" s="423" t="str">
        <f>IF($E302="",IF($D302="","",VLOOKUP($D302,TableInputsData[],ReadMe!$M$3,FALSE)),VLOOKUP($D302,TableInputsData[],ReadMe!$M$3,FALSE)&amp;"  |  "&amp;VLOOKUP($E302,TableInputsData[],ReadMe!$M$3,FALSE))</f>
        <v/>
      </c>
      <c r="C302" s="294"/>
      <c r="D302"/>
      <c r="E302"/>
      <c r="F302"/>
      <c r="G302" s="163"/>
      <c r="H302" s="163"/>
      <c r="I302" s="163"/>
      <c r="J302" s="163"/>
      <c r="K302" s="163"/>
      <c r="L302" s="163"/>
      <c r="M302" s="163"/>
      <c r="N302" s="163"/>
      <c r="O302" s="294"/>
    </row>
    <row r="303" spans="1:15" ht="16" hidden="1" outlineLevel="1" x14ac:dyDescent="0.2">
      <c r="A303" s="294"/>
      <c r="B303" s="423" t="str">
        <f>IF($E303="",IF($D303="","",VLOOKUP($D303,TableInputsData[],ReadMe!$M$3,FALSE)),VLOOKUP($D303,TableInputsData[],ReadMe!$M$3,FALSE)&amp;"  |  "&amp;VLOOKUP($E303,TableInputsData[],ReadMe!$M$3,FALSE))</f>
        <v/>
      </c>
      <c r="C303" s="294"/>
      <c r="D303"/>
      <c r="E303"/>
      <c r="F303"/>
      <c r="G303" s="163"/>
      <c r="H303" s="163"/>
      <c r="I303" s="163"/>
      <c r="J303" s="163"/>
      <c r="K303" s="163"/>
      <c r="L303" s="163"/>
      <c r="M303" s="163"/>
      <c r="N303" s="163"/>
      <c r="O303" s="294"/>
    </row>
    <row r="304" spans="1:15" ht="16" hidden="1" outlineLevel="1" x14ac:dyDescent="0.2">
      <c r="A304" s="294"/>
      <c r="B304" s="423" t="str">
        <f>IF($E304="",IF($D304="","",VLOOKUP($D304,TableInputsData[],ReadMe!$M$3,FALSE)),VLOOKUP($D304,TableInputsData[],ReadMe!$M$3,FALSE)&amp;"  |  "&amp;VLOOKUP($E304,TableInputsData[],ReadMe!$M$3,FALSE))</f>
        <v/>
      </c>
      <c r="C304" s="294"/>
      <c r="D304"/>
      <c r="E304"/>
      <c r="F304"/>
      <c r="G304" s="163"/>
      <c r="H304" s="163"/>
      <c r="I304" s="163"/>
      <c r="J304" s="163"/>
      <c r="K304" s="163"/>
      <c r="L304" s="163"/>
      <c r="M304" s="163"/>
      <c r="N304" s="163"/>
      <c r="O304" s="294"/>
    </row>
    <row r="305" spans="1:15" ht="16" hidden="1" outlineLevel="1" x14ac:dyDescent="0.2">
      <c r="A305" s="294"/>
      <c r="B305" s="423" t="str">
        <f>IF($E305="",IF($D305="","",VLOOKUP($D305,TableInputsData[],ReadMe!$M$3,FALSE)),VLOOKUP($D305,TableInputsData[],ReadMe!$M$3,FALSE)&amp;"  |  "&amp;VLOOKUP($E305,TableInputsData[],ReadMe!$M$3,FALSE))</f>
        <v/>
      </c>
      <c r="C305" s="294"/>
      <c r="D305"/>
      <c r="E305"/>
      <c r="F305"/>
      <c r="G305" s="163"/>
      <c r="H305" s="163"/>
      <c r="I305" s="163"/>
      <c r="J305" s="163"/>
      <c r="K305" s="163"/>
      <c r="L305" s="163"/>
      <c r="M305" s="163"/>
      <c r="N305" s="163"/>
      <c r="O305" s="294"/>
    </row>
    <row r="306" spans="1:15" ht="16" hidden="1" outlineLevel="1" x14ac:dyDescent="0.2">
      <c r="A306" s="294"/>
      <c r="B306" s="423" t="str">
        <f>IF($E306="",IF($D306="","",VLOOKUP($D306,TableInputsData[],ReadMe!$M$3,FALSE)),VLOOKUP($D306,TableInputsData[],ReadMe!$M$3,FALSE)&amp;"  |  "&amp;VLOOKUP($E306,TableInputsData[],ReadMe!$M$3,FALSE))</f>
        <v/>
      </c>
      <c r="C306" s="294"/>
      <c r="D306"/>
      <c r="E306"/>
      <c r="F306"/>
      <c r="G306" s="163"/>
      <c r="H306" s="163"/>
      <c r="I306" s="163"/>
      <c r="J306" s="163"/>
      <c r="K306" s="163"/>
      <c r="L306" s="163"/>
      <c r="M306" s="163"/>
      <c r="N306" s="163"/>
      <c r="O306" s="294"/>
    </row>
    <row r="307" spans="1:15" ht="16" hidden="1" outlineLevel="1" x14ac:dyDescent="0.2">
      <c r="A307" s="294"/>
      <c r="B307" s="423" t="str">
        <f>IF($E307="",IF($D307="","",VLOOKUP($D307,TableInputsData[],ReadMe!$M$3,FALSE)),VLOOKUP($D307,TableInputsData[],ReadMe!$M$3,FALSE)&amp;"  |  "&amp;VLOOKUP($E307,TableInputsData[],ReadMe!$M$3,FALSE))</f>
        <v/>
      </c>
      <c r="C307" s="294"/>
      <c r="D307"/>
      <c r="E307"/>
      <c r="F307"/>
      <c r="G307" s="163"/>
      <c r="H307" s="163"/>
      <c r="I307" s="163"/>
      <c r="J307" s="163"/>
      <c r="K307" s="163"/>
      <c r="L307" s="163"/>
      <c r="M307" s="163"/>
      <c r="N307" s="163"/>
      <c r="O307" s="294"/>
    </row>
    <row r="308" spans="1:15" ht="16" hidden="1" outlineLevel="1" x14ac:dyDescent="0.2">
      <c r="A308" s="294"/>
      <c r="B308" s="423" t="str">
        <f>IF($E308="",IF($D308="","",VLOOKUP($D308,TableInputsData[],ReadMe!$M$3,FALSE)),VLOOKUP($D308,TableInputsData[],ReadMe!$M$3,FALSE)&amp;"  |  "&amp;VLOOKUP($E308,TableInputsData[],ReadMe!$M$3,FALSE))</f>
        <v/>
      </c>
      <c r="C308" s="294"/>
      <c r="D308"/>
      <c r="E308"/>
      <c r="F308"/>
      <c r="G308" s="163"/>
      <c r="H308" s="163"/>
      <c r="I308" s="163"/>
      <c r="J308" s="163"/>
      <c r="K308" s="163"/>
      <c r="L308" s="163"/>
      <c r="M308" s="163"/>
      <c r="N308" s="163"/>
      <c r="O308" s="294"/>
    </row>
    <row r="309" spans="1:15" ht="16" hidden="1" outlineLevel="1" x14ac:dyDescent="0.2">
      <c r="A309" s="294"/>
      <c r="B309" s="423" t="str">
        <f>IF($E309="",IF($D309="","",VLOOKUP($D309,TableInputsData[],ReadMe!$M$3,FALSE)),VLOOKUP($D309,TableInputsData[],ReadMe!$M$3,FALSE)&amp;"  |  "&amp;VLOOKUP($E309,TableInputsData[],ReadMe!$M$3,FALSE))</f>
        <v/>
      </c>
      <c r="C309" s="294"/>
      <c r="D309"/>
      <c r="E309"/>
      <c r="F309"/>
      <c r="G309" s="163"/>
      <c r="H309" s="163"/>
      <c r="I309" s="163"/>
      <c r="J309" s="163"/>
      <c r="K309" s="163"/>
      <c r="L309" s="163"/>
      <c r="M309" s="163"/>
      <c r="N309" s="163"/>
      <c r="O309" s="294"/>
    </row>
    <row r="310" spans="1:15" ht="16" hidden="1" outlineLevel="1" x14ac:dyDescent="0.2">
      <c r="A310" s="294"/>
      <c r="B310" s="423" t="str">
        <f>IF($E310="",IF($D310="","",VLOOKUP($D310,TableInputsData[],ReadMe!$M$3,FALSE)),VLOOKUP($D310,TableInputsData[],ReadMe!$M$3,FALSE)&amp;"  |  "&amp;VLOOKUP($E310,TableInputsData[],ReadMe!$M$3,FALSE))</f>
        <v/>
      </c>
      <c r="C310" s="294"/>
      <c r="D310"/>
      <c r="E310"/>
      <c r="F310"/>
      <c r="G310" s="163"/>
      <c r="H310" s="163"/>
      <c r="I310" s="163"/>
      <c r="J310" s="163"/>
      <c r="K310" s="163"/>
      <c r="L310" s="163"/>
      <c r="M310" s="163"/>
      <c r="N310" s="163"/>
      <c r="O310" s="294"/>
    </row>
    <row r="311" spans="1:15" ht="16" hidden="1" outlineLevel="1" x14ac:dyDescent="0.2">
      <c r="A311" s="294"/>
      <c r="B311" s="423" t="str">
        <f>IF($E311="",IF($D311="","",VLOOKUP($D311,TableInputsData[],ReadMe!$M$3,FALSE)),VLOOKUP($D311,TableInputsData[],ReadMe!$M$3,FALSE)&amp;"  |  "&amp;VLOOKUP($E311,TableInputsData[],ReadMe!$M$3,FALSE))</f>
        <v/>
      </c>
      <c r="C311" s="294"/>
      <c r="D311"/>
      <c r="E311"/>
      <c r="F311"/>
      <c r="G311" s="163"/>
      <c r="H311" s="163"/>
      <c r="I311" s="163"/>
      <c r="J311" s="163"/>
      <c r="K311" s="163"/>
      <c r="L311" s="163"/>
      <c r="M311" s="163"/>
      <c r="N311" s="163"/>
      <c r="O311" s="294"/>
    </row>
    <row r="312" spans="1:15" ht="16" hidden="1" outlineLevel="1" x14ac:dyDescent="0.2">
      <c r="A312" s="294"/>
      <c r="B312" s="423" t="str">
        <f>IF($E312="",IF($D312="","",VLOOKUP($D312,TableInputsData[],ReadMe!$M$3,FALSE)),VLOOKUP($D312,TableInputsData[],ReadMe!$M$3,FALSE)&amp;"  |  "&amp;VLOOKUP($E312,TableInputsData[],ReadMe!$M$3,FALSE))</f>
        <v/>
      </c>
      <c r="C312" s="294"/>
      <c r="D312"/>
      <c r="E312"/>
      <c r="F312"/>
      <c r="G312" s="163"/>
      <c r="H312" s="163"/>
      <c r="I312" s="163"/>
      <c r="J312" s="163"/>
      <c r="K312" s="163"/>
      <c r="L312" s="163"/>
      <c r="M312" s="163"/>
      <c r="N312" s="163"/>
      <c r="O312" s="294"/>
    </row>
    <row r="313" spans="1:15" ht="16" hidden="1" outlineLevel="1" x14ac:dyDescent="0.2">
      <c r="A313" s="294"/>
      <c r="B313" s="423" t="str">
        <f>IF($E313="",IF($D313="","",VLOOKUP($D313,TableInputsData[],ReadMe!$M$3,FALSE)),VLOOKUP($D313,TableInputsData[],ReadMe!$M$3,FALSE)&amp;"  |  "&amp;VLOOKUP($E313,TableInputsData[],ReadMe!$M$3,FALSE))</f>
        <v/>
      </c>
      <c r="C313" s="294"/>
      <c r="D313"/>
      <c r="E313"/>
      <c r="F313"/>
      <c r="G313" s="163"/>
      <c r="H313" s="163"/>
      <c r="I313" s="163"/>
      <c r="J313" s="163"/>
      <c r="K313" s="163"/>
      <c r="L313" s="163"/>
      <c r="M313" s="163"/>
      <c r="N313" s="163"/>
      <c r="O313" s="294"/>
    </row>
    <row r="314" spans="1:15" ht="16" hidden="1" outlineLevel="1" x14ac:dyDescent="0.2">
      <c r="A314" s="294"/>
      <c r="B314" s="423" t="str">
        <f>IF($E314="",IF($D314="","",VLOOKUP($D314,TableInputsData[],ReadMe!$M$3,FALSE)),VLOOKUP($D314,TableInputsData[],ReadMe!$M$3,FALSE)&amp;"  |  "&amp;VLOOKUP($E314,TableInputsData[],ReadMe!$M$3,FALSE))</f>
        <v/>
      </c>
      <c r="C314" s="294"/>
      <c r="D314"/>
      <c r="E314"/>
      <c r="F314"/>
      <c r="G314" s="163"/>
      <c r="H314" s="163"/>
      <c r="I314" s="163"/>
      <c r="J314" s="163"/>
      <c r="K314" s="163"/>
      <c r="L314" s="163"/>
      <c r="M314" s="163"/>
      <c r="N314" s="163"/>
      <c r="O314" s="294"/>
    </row>
    <row r="315" spans="1:15" ht="16" hidden="1" outlineLevel="1" x14ac:dyDescent="0.2">
      <c r="A315" s="294"/>
      <c r="B315" s="423" t="str">
        <f>IF($E315="",IF($D315="","",VLOOKUP($D315,TableInputsData[],ReadMe!$M$3,FALSE)),VLOOKUP($D315,TableInputsData[],ReadMe!$M$3,FALSE)&amp;"  |  "&amp;VLOOKUP($E315,TableInputsData[],ReadMe!$M$3,FALSE))</f>
        <v/>
      </c>
      <c r="C315" s="294"/>
      <c r="D315"/>
      <c r="E315"/>
      <c r="F315"/>
      <c r="G315" s="163"/>
      <c r="H315" s="163"/>
      <c r="I315" s="163"/>
      <c r="J315" s="163"/>
      <c r="K315" s="163"/>
      <c r="L315" s="163"/>
      <c r="M315" s="163"/>
      <c r="N315" s="163"/>
      <c r="O315" s="294"/>
    </row>
    <row r="316" spans="1:15" ht="16" hidden="1" outlineLevel="1" x14ac:dyDescent="0.2">
      <c r="A316" s="294"/>
      <c r="B316" s="423" t="str">
        <f>IF($E316="",IF($D316="","",VLOOKUP($D316,TableInputsData[],ReadMe!$M$3,FALSE)),VLOOKUP($D316,TableInputsData[],ReadMe!$M$3,FALSE)&amp;"  |  "&amp;VLOOKUP($E316,TableInputsData[],ReadMe!$M$3,FALSE))</f>
        <v/>
      </c>
      <c r="C316" s="294"/>
      <c r="D316"/>
      <c r="E316"/>
      <c r="F316"/>
      <c r="G316" s="163"/>
      <c r="H316" s="163"/>
      <c r="I316" s="163"/>
      <c r="J316" s="163"/>
      <c r="K316" s="163"/>
      <c r="L316" s="163"/>
      <c r="M316" s="163"/>
      <c r="N316" s="163"/>
      <c r="O316" s="294"/>
    </row>
    <row r="317" spans="1:15" ht="16" hidden="1" outlineLevel="1" x14ac:dyDescent="0.2">
      <c r="A317" s="294"/>
      <c r="B317" s="423" t="str">
        <f>IF($E317="",IF($D317="","",VLOOKUP($D317,TableInputsData[],ReadMe!$M$3,FALSE)),VLOOKUP($D317,TableInputsData[],ReadMe!$M$3,FALSE)&amp;"  |  "&amp;VLOOKUP($E317,TableInputsData[],ReadMe!$M$3,FALSE))</f>
        <v/>
      </c>
      <c r="C317" s="294"/>
      <c r="D317"/>
      <c r="E317"/>
      <c r="F317"/>
      <c r="G317" s="163"/>
      <c r="H317" s="163"/>
      <c r="I317" s="163"/>
      <c r="J317" s="163"/>
      <c r="K317" s="163"/>
      <c r="L317" s="163"/>
      <c r="M317" s="163"/>
      <c r="N317" s="163"/>
      <c r="O317" s="294"/>
    </row>
    <row r="318" spans="1:15" ht="16" hidden="1" outlineLevel="1" x14ac:dyDescent="0.2">
      <c r="A318" s="294"/>
      <c r="B318" s="423" t="str">
        <f>IF($E318="",IF($D318="","",VLOOKUP($D318,TableInputsData[],ReadMe!$M$3,FALSE)),VLOOKUP($D318,TableInputsData[],ReadMe!$M$3,FALSE)&amp;"  |  "&amp;VLOOKUP($E318,TableInputsData[],ReadMe!$M$3,FALSE))</f>
        <v/>
      </c>
      <c r="C318" s="294"/>
      <c r="D318"/>
      <c r="E318"/>
      <c r="F318"/>
      <c r="G318" s="163"/>
      <c r="H318" s="163"/>
      <c r="I318" s="163"/>
      <c r="J318" s="163"/>
      <c r="K318" s="163"/>
      <c r="L318" s="163"/>
      <c r="M318" s="163"/>
      <c r="N318" s="163"/>
      <c r="O318" s="294"/>
    </row>
    <row r="319" spans="1:15" ht="16" hidden="1" outlineLevel="1" x14ac:dyDescent="0.2">
      <c r="A319" s="294"/>
      <c r="B319" s="423" t="str">
        <f>IF($E319="",IF($D319="","",VLOOKUP($D319,TableInputsData[],ReadMe!$M$3,FALSE)),VLOOKUP($D319,TableInputsData[],ReadMe!$M$3,FALSE)&amp;"  |  "&amp;VLOOKUP($E319,TableInputsData[],ReadMe!$M$3,FALSE))</f>
        <v/>
      </c>
      <c r="C319" s="294"/>
      <c r="D319"/>
      <c r="E319"/>
      <c r="F319"/>
      <c r="G319" s="163"/>
      <c r="H319" s="163"/>
      <c r="I319" s="163"/>
      <c r="J319" s="163"/>
      <c r="K319" s="163"/>
      <c r="L319" s="163"/>
      <c r="M319" s="163"/>
      <c r="N319" s="163"/>
      <c r="O319" s="294"/>
    </row>
    <row r="320" spans="1:15" ht="16" hidden="1" outlineLevel="1" x14ac:dyDescent="0.2">
      <c r="A320" s="294"/>
      <c r="B320" s="423" t="str">
        <f>IF($E320="",IF($D320="","",VLOOKUP($D320,TableInputsData[],ReadMe!$M$3,FALSE)),VLOOKUP($D320,TableInputsData[],ReadMe!$M$3,FALSE)&amp;"  |  "&amp;VLOOKUP($E320,TableInputsData[],ReadMe!$M$3,FALSE))</f>
        <v/>
      </c>
      <c r="C320" s="294"/>
      <c r="D320"/>
      <c r="E320"/>
      <c r="F320"/>
      <c r="G320" s="163"/>
      <c r="H320" s="163"/>
      <c r="I320" s="163"/>
      <c r="J320" s="163"/>
      <c r="K320" s="163"/>
      <c r="L320" s="163"/>
      <c r="M320" s="163"/>
      <c r="N320" s="163"/>
      <c r="O320" s="294"/>
    </row>
    <row r="321" spans="1:15" hidden="1" outlineLevel="1" x14ac:dyDescent="0.15">
      <c r="A321" s="294"/>
      <c r="B321" s="204" t="str">
        <f>IF($E321="",IF($D321="","",VLOOKUP($D321,TableInputsData[],ReadMe!$M$3,FALSE)),VLOOKUP($D321,TableInputsData[],ReadMe!$M$3,FALSE)&amp;"  |  "&amp;VLOOKUP($E321,TableInputsData[],ReadMe!$M$3,FALSE))</f>
        <v/>
      </c>
      <c r="C321" s="294"/>
      <c r="G321" s="163"/>
      <c r="H321" s="163"/>
      <c r="I321" s="163"/>
      <c r="J321" s="163"/>
      <c r="K321" s="163"/>
      <c r="L321" s="163"/>
      <c r="M321" s="163"/>
      <c r="N321" s="163"/>
      <c r="O321" s="294"/>
    </row>
    <row r="322" spans="1:15" collapsed="1" x14ac:dyDescent="0.15">
      <c r="A322" s="294"/>
      <c r="B322" s="294"/>
      <c r="C322" s="294"/>
      <c r="D322" s="294"/>
      <c r="E322" s="297"/>
      <c r="F322" s="297"/>
      <c r="G322" s="297"/>
      <c r="H322" s="297"/>
      <c r="I322" s="297"/>
      <c r="J322" s="297"/>
      <c r="K322" s="297"/>
      <c r="L322" s="297"/>
      <c r="M322" s="297"/>
      <c r="N322" s="297"/>
      <c r="O322" s="294"/>
    </row>
    <row r="323" spans="1:15" x14ac:dyDescent="0.2">
      <c r="A323" s="294"/>
      <c r="B323" s="164" t="str">
        <f>VLOOKUP($D323,TableInputsData[],ReadMe!$M$3,FALSE)</f>
        <v>VOLUME, PRIX DE VENTE MOYEN PAR UNITE ET MARGE BRUTE</v>
      </c>
      <c r="C323" s="294"/>
      <c r="D323" s="164" t="s">
        <v>982</v>
      </c>
      <c r="E323" s="151"/>
      <c r="F323" s="152"/>
      <c r="G323" s="152"/>
      <c r="H323" s="152"/>
      <c r="I323" s="152"/>
      <c r="J323" s="152"/>
      <c r="K323" s="152"/>
      <c r="L323" s="152"/>
      <c r="M323" s="152"/>
      <c r="N323" s="545" t="str">
        <f>$N$223</f>
        <v>CAS TYPIQUE
SCENARIO DE SIMULATION</v>
      </c>
      <c r="O323" s="294"/>
    </row>
    <row r="324" spans="1:15" x14ac:dyDescent="0.15">
      <c r="A324" s="294"/>
      <c r="B324" s="294"/>
      <c r="C324" s="294"/>
      <c r="D324" s="300" t="s">
        <v>981</v>
      </c>
      <c r="E324" s="294"/>
      <c r="F324" s="312"/>
      <c r="G324" s="312"/>
      <c r="H324" s="312"/>
      <c r="I324" s="312"/>
      <c r="J324" s="312"/>
      <c r="K324" s="312"/>
      <c r="L324" s="312"/>
      <c r="M324" s="312"/>
      <c r="N324" s="294"/>
      <c r="O324" s="294"/>
    </row>
    <row r="325" spans="1:15" hidden="1" outlineLevel="1" x14ac:dyDescent="0.2">
      <c r="A325" s="294"/>
      <c r="B325" s="294"/>
      <c r="C325" s="294"/>
      <c r="D325" s="162" t="s">
        <v>122</v>
      </c>
      <c r="E325" s="379">
        <v>1</v>
      </c>
      <c r="F325" s="294"/>
      <c r="G325" s="294"/>
      <c r="H325" s="294"/>
      <c r="I325" s="294"/>
      <c r="J325" s="294"/>
      <c r="K325" s="294"/>
      <c r="L325" s="294"/>
      <c r="M325" s="294"/>
      <c r="N325" s="294"/>
      <c r="O325" s="294"/>
    </row>
    <row r="326" spans="1:15" hidden="1" outlineLevel="1" x14ac:dyDescent="0.2">
      <c r="A326" s="294"/>
      <c r="B326" s="294"/>
      <c r="C326" s="294"/>
      <c r="D326" s="162" t="s">
        <v>591</v>
      </c>
      <c r="E326" s="379">
        <v>3</v>
      </c>
      <c r="F326" s="294"/>
      <c r="G326" s="294"/>
      <c r="H326" s="294"/>
      <c r="I326" s="294"/>
      <c r="J326" s="294"/>
      <c r="K326" s="294"/>
      <c r="L326" s="294"/>
      <c r="M326" s="294"/>
      <c r="N326" s="294"/>
      <c r="O326" s="294"/>
    </row>
    <row r="327" spans="1:15" hidden="1" outlineLevel="1" x14ac:dyDescent="0.2">
      <c r="A327" s="294"/>
      <c r="B327" s="294"/>
      <c r="C327" s="294"/>
      <c r="D327" s="162" t="s">
        <v>590</v>
      </c>
      <c r="E327" s="1" t="s">
        <v>114</v>
      </c>
      <c r="F327" s="294"/>
      <c r="G327" s="294"/>
      <c r="H327" s="294"/>
      <c r="I327" s="294"/>
      <c r="J327" s="294"/>
      <c r="K327" s="294"/>
      <c r="L327" s="294"/>
      <c r="M327" s="294"/>
      <c r="N327" s="294"/>
      <c r="O327" s="294"/>
    </row>
    <row r="328" spans="1:15" hidden="1" outlineLevel="1" x14ac:dyDescent="0.2">
      <c r="A328" s="294"/>
      <c r="B328" s="294"/>
      <c r="C328" s="294"/>
      <c r="D328" s="294"/>
      <c r="E328" s="294"/>
      <c r="F328" s="294"/>
      <c r="G328" s="294"/>
      <c r="H328" s="294"/>
      <c r="I328" s="294"/>
      <c r="J328" s="294"/>
      <c r="K328" s="294"/>
      <c r="L328" s="294"/>
      <c r="M328" s="294"/>
      <c r="N328" s="294"/>
      <c r="O328" s="294"/>
    </row>
    <row r="329" spans="1:15" ht="42" collapsed="1" x14ac:dyDescent="0.2">
      <c r="A329" s="294"/>
      <c r="B329" s="294"/>
      <c r="C329" s="294"/>
      <c r="D329" s="378" t="s">
        <v>0</v>
      </c>
      <c r="E329" s="378" t="s">
        <v>1</v>
      </c>
      <c r="F329" s="162" t="s">
        <v>2</v>
      </c>
      <c r="G329" s="382" t="s">
        <v>973</v>
      </c>
      <c r="H329" s="382" t="s">
        <v>974</v>
      </c>
      <c r="I329" s="382" t="s">
        <v>975</v>
      </c>
      <c r="J329" s="382" t="s">
        <v>976</v>
      </c>
      <c r="K329" s="382" t="s">
        <v>977</v>
      </c>
      <c r="L329" s="382" t="s">
        <v>978</v>
      </c>
      <c r="M329" s="382" t="s">
        <v>979</v>
      </c>
      <c r="N329" s="382" t="s">
        <v>980</v>
      </c>
      <c r="O329" s="294"/>
    </row>
    <row r="330" spans="1:15" x14ac:dyDescent="0.15">
      <c r="A330" s="294"/>
      <c r="B330" s="423" t="str">
        <f>IF($E330="",IF($D330="","",VLOOKUP($D330,TableInputsData[],ReadMe!$M$3,FALSE)),VLOOKUP($D330,TableInputsData[],ReadMe!$M$3,FALSE)&amp;"  |  "&amp;VLOOKUP($E330,TableInputsData[],ReadMe!$M$3,FALSE))</f>
        <v>CA ET MARGE BRUTE  |  VOLUME</v>
      </c>
      <c r="C330" s="294"/>
      <c r="D330" s="1" t="s">
        <v>618</v>
      </c>
      <c r="E330" s="1" t="s">
        <v>261</v>
      </c>
      <c r="F330" s="1" t="s">
        <v>633</v>
      </c>
      <c r="G330" s="2">
        <v>0</v>
      </c>
      <c r="H330" s="2">
        <v>0</v>
      </c>
      <c r="I330" s="2">
        <v>0</v>
      </c>
      <c r="J330" s="2">
        <v>0</v>
      </c>
      <c r="K330" s="2">
        <v>0</v>
      </c>
      <c r="L330" s="2">
        <v>0</v>
      </c>
      <c r="M330" s="2">
        <v>0</v>
      </c>
      <c r="N330" s="2">
        <v>0</v>
      </c>
      <c r="O330" s="294"/>
    </row>
    <row r="331" spans="1:15" x14ac:dyDescent="0.15">
      <c r="A331" s="294"/>
      <c r="B331" s="423" t="str">
        <f>IF($E331="",IF($D331="","",VLOOKUP($D331,TableInputsData[],ReadMe!$M$3,FALSE)),VLOOKUP($D331,TableInputsData[],ReadMe!$M$3,FALSE)&amp;"  |  "&amp;VLOOKUP($E331,TableInputsData[],ReadMe!$M$3,FALSE))</f>
        <v>CA ET MARGE BRUTE  |  PRIX MOYEN DE VENTE PAR PRODUIT/SERVICE</v>
      </c>
      <c r="C331" s="294"/>
      <c r="D331" s="1" t="s">
        <v>618</v>
      </c>
      <c r="E331" s="1" t="s">
        <v>456</v>
      </c>
      <c r="F331" s="1" t="s">
        <v>21</v>
      </c>
      <c r="G331" s="2">
        <v>0</v>
      </c>
      <c r="H331" s="2">
        <v>0</v>
      </c>
      <c r="I331" s="2">
        <v>0</v>
      </c>
      <c r="J331" s="2">
        <v>0</v>
      </c>
      <c r="K331" s="2">
        <v>0</v>
      </c>
      <c r="L331" s="2">
        <v>0</v>
      </c>
      <c r="M331" s="2">
        <v>0</v>
      </c>
      <c r="N331" s="2">
        <v>0</v>
      </c>
      <c r="O331" s="294"/>
    </row>
    <row r="332" spans="1:15" x14ac:dyDescent="0.15">
      <c r="A332" s="294"/>
      <c r="B332" s="423" t="str">
        <f>IF($E332="",IF($D332="","",VLOOKUP($D332,TableInputsData[],ReadMe!$M$3,FALSE)),VLOOKUP($D332,TableInputsData[],ReadMe!$M$3,FALSE)&amp;"  |  "&amp;VLOOKUP($E332,TableInputsData[],ReadMe!$M$3,FALSE))</f>
        <v>CA ET MARGE BRUTE  |  REVENUS PRODUITS</v>
      </c>
      <c r="C332" s="294"/>
      <c r="D332" s="1" t="s">
        <v>618</v>
      </c>
      <c r="E332" s="1" t="s">
        <v>616</v>
      </c>
      <c r="F332" s="1" t="s">
        <v>21</v>
      </c>
      <c r="G332" s="2">
        <v>0</v>
      </c>
      <c r="H332" s="2">
        <v>0</v>
      </c>
      <c r="I332" s="2">
        <v>0</v>
      </c>
      <c r="J332" s="2">
        <v>0</v>
      </c>
      <c r="K332" s="2">
        <v>0</v>
      </c>
      <c r="L332" s="2">
        <v>0</v>
      </c>
      <c r="M332" s="2">
        <v>0</v>
      </c>
      <c r="N332" s="2">
        <v>0</v>
      </c>
      <c r="O332" s="294"/>
    </row>
    <row r="333" spans="1:15" x14ac:dyDescent="0.15">
      <c r="A333" s="294"/>
      <c r="B333" s="423" t="str">
        <f>IF($E333="",IF($D333="","",VLOOKUP($D333,TableInputsData[],ReadMe!$M$3,FALSE)),VLOOKUP($D333,TableInputsData[],ReadMe!$M$3,FALSE)&amp;"  |  "&amp;VLOOKUP($E333,TableInputsData[],ReadMe!$M$3,FALSE))</f>
        <v>CA ET MARGE BRUTE  |  PRIX MOYEN D'ACHAT PAR PRODUIT/SERVICE</v>
      </c>
      <c r="C333" s="294"/>
      <c r="D333" s="1" t="s">
        <v>618</v>
      </c>
      <c r="E333" s="1" t="s">
        <v>532</v>
      </c>
      <c r="F333" s="1" t="s">
        <v>21</v>
      </c>
      <c r="G333" s="2">
        <v>0</v>
      </c>
      <c r="H333" s="2">
        <v>0</v>
      </c>
      <c r="I333" s="2">
        <v>0</v>
      </c>
      <c r="J333" s="2">
        <v>0</v>
      </c>
      <c r="K333" s="2">
        <v>0</v>
      </c>
      <c r="L333" s="2">
        <v>0</v>
      </c>
      <c r="M333" s="2">
        <v>0</v>
      </c>
      <c r="N333" s="2">
        <v>0</v>
      </c>
      <c r="O333" s="294"/>
    </row>
    <row r="334" spans="1:15" x14ac:dyDescent="0.15">
      <c r="A334" s="294"/>
      <c r="B334" s="423" t="str">
        <f>IF($E334="",IF($D334="","",VLOOKUP($D334,TableInputsData[],ReadMe!$M$3,FALSE)),VLOOKUP($D334,TableInputsData[],ReadMe!$M$3,FALSE)&amp;"  |  "&amp;VLOOKUP($E334,TableInputsData[],ReadMe!$M$3,FALSE))</f>
        <v>CA ET MARGE BRUTE  |  COUT DES PRODUITS VENDUS</v>
      </c>
      <c r="C334" s="294"/>
      <c r="D334" s="1" t="s">
        <v>618</v>
      </c>
      <c r="E334" s="1" t="s">
        <v>619</v>
      </c>
      <c r="F334" s="1" t="s">
        <v>21</v>
      </c>
      <c r="G334" s="2">
        <v>0</v>
      </c>
      <c r="H334" s="2">
        <v>0</v>
      </c>
      <c r="I334" s="2">
        <v>0</v>
      </c>
      <c r="J334" s="2">
        <v>0</v>
      </c>
      <c r="K334" s="2">
        <v>0</v>
      </c>
      <c r="L334" s="2">
        <v>0</v>
      </c>
      <c r="M334" s="2">
        <v>0</v>
      </c>
      <c r="N334" s="2">
        <v>0</v>
      </c>
      <c r="O334" s="294"/>
    </row>
    <row r="335" spans="1:15" x14ac:dyDescent="0.15">
      <c r="A335" s="294"/>
      <c r="B335" s="423" t="str">
        <f>IF($E335="",IF($D335="","",VLOOKUP($D335,TableInputsData[],ReadMe!$M$3,FALSE)),VLOOKUP($D335,TableInputsData[],ReadMe!$M$3,FALSE)&amp;"  |  "&amp;VLOOKUP($E335,TableInputsData[],ReadMe!$M$3,FALSE))</f>
        <v>CA ET MARGE BRUTE  |  MARGE BRUTE PRODUITS</v>
      </c>
      <c r="C335" s="294"/>
      <c r="D335" s="1" t="s">
        <v>618</v>
      </c>
      <c r="E335" s="1" t="s">
        <v>620</v>
      </c>
      <c r="F335" s="1" t="s">
        <v>21</v>
      </c>
      <c r="G335" s="2">
        <v>0</v>
      </c>
      <c r="H335" s="2">
        <v>0</v>
      </c>
      <c r="I335" s="2">
        <v>0</v>
      </c>
      <c r="J335" s="2">
        <v>0</v>
      </c>
      <c r="K335" s="2">
        <v>0</v>
      </c>
      <c r="L335" s="2">
        <v>0</v>
      </c>
      <c r="M335" s="2">
        <v>0</v>
      </c>
      <c r="N335" s="2">
        <v>0</v>
      </c>
      <c r="O335" s="294"/>
    </row>
    <row r="336" spans="1:15" x14ac:dyDescent="0.15">
      <c r="A336" s="294"/>
      <c r="B336" s="423" t="str">
        <f>IF($E336="",IF($D336="","",VLOOKUP($D336,TableInputsData[],ReadMe!$M$3,FALSE)),VLOOKUP($D336,TableInputsData[],ReadMe!$M$3,FALSE)&amp;"  |  "&amp;VLOOKUP($E336,TableInputsData[],ReadMe!$M$3,FALSE))</f>
        <v>CA ET MARGE BRUTE  |  REVENUS SERVICES</v>
      </c>
      <c r="C336" s="294"/>
      <c r="D336" s="1" t="s">
        <v>618</v>
      </c>
      <c r="E336" s="1" t="s">
        <v>627</v>
      </c>
      <c r="F336" s="1" t="s">
        <v>21</v>
      </c>
      <c r="G336" s="2">
        <v>0</v>
      </c>
      <c r="H336" s="2">
        <v>0</v>
      </c>
      <c r="I336" s="2">
        <v>0</v>
      </c>
      <c r="J336" s="2">
        <v>0</v>
      </c>
      <c r="K336" s="2">
        <v>0</v>
      </c>
      <c r="L336" s="2">
        <v>0</v>
      </c>
      <c r="M336" s="2">
        <v>0</v>
      </c>
      <c r="N336" s="2">
        <v>0</v>
      </c>
      <c r="O336" s="294"/>
    </row>
    <row r="337" spans="1:15" x14ac:dyDescent="0.15">
      <c r="A337" s="294"/>
      <c r="B337" s="423" t="str">
        <f>IF($E337="",IF($D337="","",VLOOKUP($D337,TableInputsData[],ReadMe!$M$3,FALSE)),VLOOKUP($D337,TableInputsData[],ReadMe!$M$3,FALSE)&amp;"  |  "&amp;VLOOKUP($E337,TableInputsData[],ReadMe!$M$3,FALSE))</f>
        <v>CA ET MARGE BRUTE  |  COUT DES SERVICES VENDUS</v>
      </c>
      <c r="C337" s="294"/>
      <c r="D337" s="1" t="s">
        <v>618</v>
      </c>
      <c r="E337" s="1" t="s">
        <v>628</v>
      </c>
      <c r="F337" s="1" t="s">
        <v>21</v>
      </c>
      <c r="G337" s="2">
        <v>0</v>
      </c>
      <c r="H337" s="2">
        <v>0</v>
      </c>
      <c r="I337" s="2">
        <v>0</v>
      </c>
      <c r="J337" s="2">
        <v>0</v>
      </c>
      <c r="K337" s="2">
        <v>0</v>
      </c>
      <c r="L337" s="2">
        <v>0</v>
      </c>
      <c r="M337" s="2">
        <v>0</v>
      </c>
      <c r="N337" s="2">
        <v>0</v>
      </c>
      <c r="O337" s="294"/>
    </row>
    <row r="338" spans="1:15" x14ac:dyDescent="0.15">
      <c r="A338" s="294"/>
      <c r="B338" s="423" t="str">
        <f>IF($E338="",IF($D338="","",VLOOKUP($D338,TableInputsData[],ReadMe!$M$3,FALSE)),VLOOKUP($D338,TableInputsData[],ReadMe!$M$3,FALSE)&amp;"  |  "&amp;VLOOKUP($E338,TableInputsData[],ReadMe!$M$3,FALSE))</f>
        <v>CA ET MARGE BRUTE  |  MARGE BRUTE SERVICES</v>
      </c>
      <c r="C338" s="294"/>
      <c r="D338" s="1" t="s">
        <v>618</v>
      </c>
      <c r="E338" s="1" t="s">
        <v>629</v>
      </c>
      <c r="F338" s="1" t="s">
        <v>21</v>
      </c>
      <c r="G338" s="2">
        <v>0</v>
      </c>
      <c r="H338" s="2">
        <v>0</v>
      </c>
      <c r="I338" s="2">
        <v>0</v>
      </c>
      <c r="J338" s="2">
        <v>0</v>
      </c>
      <c r="K338" s="2">
        <v>0</v>
      </c>
      <c r="L338" s="2">
        <v>0</v>
      </c>
      <c r="M338" s="2">
        <v>0</v>
      </c>
      <c r="N338" s="2">
        <v>0</v>
      </c>
      <c r="O338" s="294"/>
    </row>
    <row r="339" spans="1:15" ht="16" x14ac:dyDescent="0.2">
      <c r="A339" s="294"/>
      <c r="B339" s="423" t="str">
        <f>IF($E339="",IF($D339="","",VLOOKUP($D339,TableInputsData[],ReadMe!$M$3,FALSE)),VLOOKUP($D339,TableInputsData[],ReadMe!$M$3,FALSE)&amp;"  |  "&amp;VLOOKUP($E339,TableInputsData[],ReadMe!$M$3,FALSE))</f>
        <v/>
      </c>
      <c r="C339" s="294"/>
      <c r="D339"/>
      <c r="E339"/>
      <c r="F339"/>
      <c r="G339"/>
      <c r="H339"/>
      <c r="I339"/>
      <c r="J339"/>
      <c r="K339"/>
      <c r="L339"/>
      <c r="M339"/>
      <c r="N339"/>
      <c r="O339" s="294"/>
    </row>
    <row r="340" spans="1:15" ht="16" hidden="1" outlineLevel="1" x14ac:dyDescent="0.2">
      <c r="A340" s="294"/>
      <c r="B340" s="423" t="str">
        <f>IF($E340="",IF($D340="","",VLOOKUP($D340,TableInputsData[],ReadMe!$M$3,FALSE)),VLOOKUP($D340,TableInputsData[],ReadMe!$M$3,FALSE)&amp;"  |  "&amp;VLOOKUP($E340,TableInputsData[],ReadMe!$M$3,FALSE))</f>
        <v/>
      </c>
      <c r="C340" s="294"/>
      <c r="D340"/>
      <c r="E340"/>
      <c r="F340"/>
      <c r="G340"/>
      <c r="H340"/>
      <c r="I340" s="163"/>
      <c r="J340" s="163"/>
      <c r="K340" s="163"/>
      <c r="L340" s="163"/>
      <c r="M340" s="163"/>
      <c r="N340" s="163"/>
      <c r="O340" s="294"/>
    </row>
    <row r="341" spans="1:15" ht="16" hidden="1" outlineLevel="1" x14ac:dyDescent="0.2">
      <c r="A341" s="294"/>
      <c r="B341" s="423" t="str">
        <f>IF($E341="",IF($D341="","",VLOOKUP($D341,TableInputsData[],ReadMe!$M$3,FALSE)),VLOOKUP($D341,TableInputsData[],ReadMe!$M$3,FALSE)&amp;"  |  "&amp;VLOOKUP($E341,TableInputsData[],ReadMe!$M$3,FALSE))</f>
        <v/>
      </c>
      <c r="C341" s="294"/>
      <c r="G341"/>
      <c r="H341"/>
      <c r="I341"/>
      <c r="J341"/>
      <c r="K341"/>
      <c r="L341"/>
      <c r="M341"/>
      <c r="N341"/>
      <c r="O341" s="294"/>
    </row>
    <row r="342" spans="1:15" ht="16" hidden="1" outlineLevel="1" x14ac:dyDescent="0.2">
      <c r="A342" s="294"/>
      <c r="B342" s="423" t="str">
        <f>IF($E342="",IF($D342="","",VLOOKUP($D342,TableInputsData[],ReadMe!$M$3,FALSE)),VLOOKUP($D342,TableInputsData[],ReadMe!$M$3,FALSE)&amp;"  |  "&amp;VLOOKUP($E342,TableInputsData[],ReadMe!$M$3,FALSE))</f>
        <v/>
      </c>
      <c r="C342" s="294"/>
      <c r="G342"/>
      <c r="H342"/>
      <c r="I342"/>
      <c r="J342"/>
      <c r="K342"/>
      <c r="L342"/>
      <c r="M342"/>
      <c r="N342"/>
      <c r="O342" s="294"/>
    </row>
    <row r="343" spans="1:15" ht="16" hidden="1" outlineLevel="1" x14ac:dyDescent="0.2">
      <c r="A343" s="294"/>
      <c r="B343" s="423" t="str">
        <f>IF($E343="",IF($D343="","",VLOOKUP($D343,TableInputsData[],ReadMe!$M$3,FALSE)),VLOOKUP($D343,TableInputsData[],ReadMe!$M$3,FALSE)&amp;"  |  "&amp;VLOOKUP($E343,TableInputsData[],ReadMe!$M$3,FALSE))</f>
        <v/>
      </c>
      <c r="C343" s="294"/>
      <c r="G343"/>
      <c r="H343"/>
      <c r="I343"/>
      <c r="J343"/>
      <c r="K343"/>
      <c r="L343"/>
      <c r="M343"/>
      <c r="N343"/>
      <c r="O343" s="294"/>
    </row>
    <row r="344" spans="1:15" ht="16" hidden="1" outlineLevel="1" x14ac:dyDescent="0.2">
      <c r="A344" s="294"/>
      <c r="B344" s="423" t="str">
        <f>IF($E344="",IF($D344="","",VLOOKUP($D344,TableInputsData[],ReadMe!$M$3,FALSE)),VLOOKUP($D344,TableInputsData[],ReadMe!$M$3,FALSE)&amp;"  |  "&amp;VLOOKUP($E344,TableInputsData[],ReadMe!$M$3,FALSE))</f>
        <v/>
      </c>
      <c r="C344" s="294"/>
      <c r="G344"/>
      <c r="H344"/>
      <c r="I344"/>
      <c r="J344"/>
      <c r="K344"/>
      <c r="L344"/>
      <c r="M344"/>
      <c r="N344"/>
      <c r="O344" s="294"/>
    </row>
    <row r="345" spans="1:15" ht="16" hidden="1" outlineLevel="1" x14ac:dyDescent="0.2">
      <c r="A345" s="294"/>
      <c r="B345" s="423" t="str">
        <f>IF($E345="",IF($D345="","",VLOOKUP($D345,TableInputsData[],ReadMe!$M$3,FALSE)),VLOOKUP($D345,TableInputsData[],ReadMe!$M$3,FALSE)&amp;"  |  "&amp;VLOOKUP($E345,TableInputsData[],ReadMe!$M$3,FALSE))</f>
        <v/>
      </c>
      <c r="C345" s="294"/>
      <c r="G345"/>
      <c r="H345"/>
      <c r="I345"/>
      <c r="J345"/>
      <c r="K345"/>
      <c r="L345"/>
      <c r="M345"/>
      <c r="N345"/>
      <c r="O345" s="294"/>
    </row>
    <row r="346" spans="1:15" ht="16" hidden="1" outlineLevel="1" x14ac:dyDescent="0.2">
      <c r="A346" s="294"/>
      <c r="B346" s="423" t="str">
        <f>IF($E346="",IF($D346="","",VLOOKUP($D346,TableInputsData[],ReadMe!$M$3,FALSE)),VLOOKUP($D346,TableInputsData[],ReadMe!$M$3,FALSE)&amp;"  |  "&amp;VLOOKUP($E346,TableInputsData[],ReadMe!$M$3,FALSE))</f>
        <v/>
      </c>
      <c r="C346" s="294"/>
      <c r="G346"/>
      <c r="H346"/>
      <c r="I346"/>
      <c r="J346"/>
      <c r="K346"/>
      <c r="L346"/>
      <c r="M346"/>
      <c r="N346"/>
      <c r="O346" s="294"/>
    </row>
    <row r="347" spans="1:15" ht="16" hidden="1" outlineLevel="1" x14ac:dyDescent="0.2">
      <c r="A347" s="294"/>
      <c r="B347" s="423" t="str">
        <f>IF($E347="",IF($D347="","",VLOOKUP($D347,TableInputsData[],ReadMe!$M$3,FALSE)),VLOOKUP($D347,TableInputsData[],ReadMe!$M$3,FALSE)&amp;"  |  "&amp;VLOOKUP($E347,TableInputsData[],ReadMe!$M$3,FALSE))</f>
        <v/>
      </c>
      <c r="C347" s="294"/>
      <c r="G347"/>
      <c r="H347"/>
      <c r="I347"/>
      <c r="J347"/>
      <c r="K347"/>
      <c r="L347"/>
      <c r="M347"/>
      <c r="N347"/>
      <c r="O347" s="294"/>
    </row>
    <row r="348" spans="1:15" ht="16" hidden="1" outlineLevel="1" x14ac:dyDescent="0.2">
      <c r="A348" s="294"/>
      <c r="B348" s="423" t="str">
        <f>IF($E348="",IF($D348="","",VLOOKUP($D348,TableInputsData[],ReadMe!$M$3,FALSE)),VLOOKUP($D348,TableInputsData[],ReadMe!$M$3,FALSE)&amp;"  |  "&amp;VLOOKUP($E348,TableInputsData[],ReadMe!$M$3,FALSE))</f>
        <v/>
      </c>
      <c r="C348" s="294"/>
      <c r="G348"/>
      <c r="H348"/>
      <c r="I348"/>
      <c r="J348"/>
      <c r="K348"/>
      <c r="L348"/>
      <c r="M348"/>
      <c r="N348"/>
      <c r="O348" s="294"/>
    </row>
    <row r="349" spans="1:15" ht="16" hidden="1" outlineLevel="1" x14ac:dyDescent="0.2">
      <c r="A349" s="294"/>
      <c r="B349" s="423" t="str">
        <f>IF($E349="",IF($D349="","",VLOOKUP($D349,TableInputsData[],ReadMe!$M$3,FALSE)),VLOOKUP($D349,TableInputsData[],ReadMe!$M$3,FALSE)&amp;"  |  "&amp;VLOOKUP($E349,TableInputsData[],ReadMe!$M$3,FALSE))</f>
        <v/>
      </c>
      <c r="C349" s="294"/>
      <c r="G349"/>
      <c r="H349"/>
      <c r="I349"/>
      <c r="J349"/>
      <c r="K349"/>
      <c r="L349"/>
      <c r="M349"/>
      <c r="N349"/>
      <c r="O349" s="294"/>
    </row>
    <row r="350" spans="1:15" ht="16" hidden="1" outlineLevel="1" x14ac:dyDescent="0.2">
      <c r="A350" s="294"/>
      <c r="B350" s="423" t="str">
        <f>IF($E350="",IF($D350="","",VLOOKUP($D350,TableInputsData[],ReadMe!$M$3,FALSE)),VLOOKUP($D350,TableInputsData[],ReadMe!$M$3,FALSE)&amp;"  |  "&amp;VLOOKUP($E350,TableInputsData[],ReadMe!$M$3,FALSE))</f>
        <v/>
      </c>
      <c r="C350" s="294"/>
      <c r="G350"/>
      <c r="H350"/>
      <c r="I350"/>
      <c r="J350"/>
      <c r="K350"/>
      <c r="L350"/>
      <c r="M350"/>
      <c r="N350"/>
      <c r="O350" s="294"/>
    </row>
    <row r="351" spans="1:15" ht="16" hidden="1" outlineLevel="1" x14ac:dyDescent="0.2">
      <c r="A351" s="294"/>
      <c r="B351" s="423" t="str">
        <f>IF($E351="",IF($D351="","",VLOOKUP($D351,TableInputsData[],ReadMe!$M$3,FALSE)),VLOOKUP($D351,TableInputsData[],ReadMe!$M$3,FALSE)&amp;"  |  "&amp;VLOOKUP($E351,TableInputsData[],ReadMe!$M$3,FALSE))</f>
        <v/>
      </c>
      <c r="C351" s="294"/>
      <c r="G351"/>
      <c r="H351"/>
      <c r="I351"/>
      <c r="J351"/>
      <c r="K351"/>
      <c r="L351"/>
      <c r="M351"/>
      <c r="N351"/>
      <c r="O351" s="294"/>
    </row>
    <row r="352" spans="1:15" ht="16" hidden="1" outlineLevel="1" x14ac:dyDescent="0.2">
      <c r="A352" s="294"/>
      <c r="B352" s="423" t="str">
        <f>IF($E352="",IF($D352="","",VLOOKUP($D352,TableInputsData[],ReadMe!$M$3,FALSE)),VLOOKUP($D352,TableInputsData[],ReadMe!$M$3,FALSE)&amp;"  |  "&amp;VLOOKUP($E352,TableInputsData[],ReadMe!$M$3,FALSE))</f>
        <v/>
      </c>
      <c r="C352" s="294"/>
      <c r="G352"/>
      <c r="H352"/>
      <c r="I352"/>
      <c r="J352"/>
      <c r="K352"/>
      <c r="L352"/>
      <c r="M352"/>
      <c r="N352"/>
      <c r="O352" s="294"/>
    </row>
    <row r="353" spans="1:15" ht="16" hidden="1" outlineLevel="1" x14ac:dyDescent="0.2">
      <c r="A353" s="294"/>
      <c r="B353" s="423" t="str">
        <f>IF($E353="",IF($D353="","",VLOOKUP($D353,TableInputsData[],ReadMe!$M$3,FALSE)),VLOOKUP($D353,TableInputsData[],ReadMe!$M$3,FALSE)&amp;"  |  "&amp;VLOOKUP($E353,TableInputsData[],ReadMe!$M$3,FALSE))</f>
        <v/>
      </c>
      <c r="C353" s="294"/>
      <c r="G353"/>
      <c r="H353"/>
      <c r="I353"/>
      <c r="J353"/>
      <c r="K353"/>
      <c r="L353"/>
      <c r="M353"/>
      <c r="N353"/>
      <c r="O353" s="294"/>
    </row>
    <row r="354" spans="1:15" ht="16" hidden="1" outlineLevel="1" x14ac:dyDescent="0.2">
      <c r="A354" s="294"/>
      <c r="B354" s="423" t="str">
        <f>IF($E354="",IF($D354="","",VLOOKUP($D354,TableInputsData[],ReadMe!$M$3,FALSE)),VLOOKUP($D354,TableInputsData[],ReadMe!$M$3,FALSE)&amp;"  |  "&amp;VLOOKUP($E354,TableInputsData[],ReadMe!$M$3,FALSE))</f>
        <v/>
      </c>
      <c r="C354" s="294"/>
      <c r="G354"/>
      <c r="H354"/>
      <c r="I354"/>
      <c r="J354"/>
      <c r="K354"/>
      <c r="L354"/>
      <c r="M354"/>
      <c r="N354"/>
      <c r="O354" s="294"/>
    </row>
    <row r="355" spans="1:15" ht="16" hidden="1" outlineLevel="1" x14ac:dyDescent="0.2">
      <c r="A355" s="294"/>
      <c r="B355" s="423" t="str">
        <f>IF($E355="",IF($D355="","",VLOOKUP($D355,TableInputsData[],ReadMe!$M$3,FALSE)),VLOOKUP($D355,TableInputsData[],ReadMe!$M$3,FALSE)&amp;"  |  "&amp;VLOOKUP($E355,TableInputsData[],ReadMe!$M$3,FALSE))</f>
        <v/>
      </c>
      <c r="C355" s="294"/>
      <c r="G355"/>
      <c r="H355"/>
      <c r="I355"/>
      <c r="J355"/>
      <c r="K355"/>
      <c r="L355"/>
      <c r="M355"/>
      <c r="N355"/>
      <c r="O355" s="294"/>
    </row>
    <row r="356" spans="1:15" ht="16" hidden="1" outlineLevel="1" x14ac:dyDescent="0.2">
      <c r="A356" s="294"/>
      <c r="B356" s="423" t="str">
        <f>IF($E356="",IF($D356="","",VLOOKUP($D356,TableInputsData[],ReadMe!$M$3,FALSE)),VLOOKUP($D356,TableInputsData[],ReadMe!$M$3,FALSE)&amp;"  |  "&amp;VLOOKUP($E356,TableInputsData[],ReadMe!$M$3,FALSE))</f>
        <v/>
      </c>
      <c r="C356" s="294"/>
      <c r="G356"/>
      <c r="H356"/>
      <c r="I356"/>
      <c r="J356"/>
      <c r="K356"/>
      <c r="L356"/>
      <c r="M356"/>
      <c r="N356"/>
      <c r="O356" s="294"/>
    </row>
    <row r="357" spans="1:15" ht="16" hidden="1" outlineLevel="1" x14ac:dyDescent="0.2">
      <c r="A357" s="294"/>
      <c r="B357" s="423" t="str">
        <f>IF($E357="",IF($D357="","",VLOOKUP($D357,TableInputsData[],ReadMe!$M$3,FALSE)),VLOOKUP($D357,TableInputsData[],ReadMe!$M$3,FALSE)&amp;"  |  "&amp;VLOOKUP($E357,TableInputsData[],ReadMe!$M$3,FALSE))</f>
        <v/>
      </c>
      <c r="C357" s="294"/>
      <c r="G357"/>
      <c r="H357"/>
      <c r="I357"/>
      <c r="J357"/>
      <c r="K357"/>
      <c r="L357"/>
      <c r="M357"/>
      <c r="N357"/>
      <c r="O357" s="294"/>
    </row>
    <row r="358" spans="1:15" ht="16" hidden="1" outlineLevel="1" x14ac:dyDescent="0.2">
      <c r="A358" s="294"/>
      <c r="B358" s="423" t="str">
        <f>IF($E358="",IF($D358="","",VLOOKUP($D358,TableInputsData[],ReadMe!$M$3,FALSE)),VLOOKUP($D358,TableInputsData[],ReadMe!$M$3,FALSE)&amp;"  |  "&amp;VLOOKUP($E358,TableInputsData[],ReadMe!$M$3,FALSE))</f>
        <v/>
      </c>
      <c r="C358" s="294"/>
      <c r="G358"/>
      <c r="H358"/>
      <c r="I358"/>
      <c r="J358"/>
      <c r="K358"/>
      <c r="L358"/>
      <c r="M358"/>
      <c r="N358"/>
      <c r="O358" s="294"/>
    </row>
    <row r="359" spans="1:15" ht="16" hidden="1" outlineLevel="1" x14ac:dyDescent="0.2">
      <c r="A359" s="294"/>
      <c r="B359" s="423" t="str">
        <f>IF($E359="",IF($D359="","",VLOOKUP($D359,TableInputsData[],ReadMe!$M$3,FALSE)),VLOOKUP($D359,TableInputsData[],ReadMe!$M$3,FALSE)&amp;"  |  "&amp;VLOOKUP($E359,TableInputsData[],ReadMe!$M$3,FALSE))</f>
        <v/>
      </c>
      <c r="C359" s="294"/>
      <c r="G359"/>
      <c r="H359"/>
      <c r="I359"/>
      <c r="J359"/>
      <c r="K359"/>
      <c r="L359"/>
      <c r="M359"/>
      <c r="N359"/>
      <c r="O359" s="294"/>
    </row>
    <row r="360" spans="1:15" ht="16" hidden="1" outlineLevel="1" x14ac:dyDescent="0.2">
      <c r="A360" s="294"/>
      <c r="B360" s="423" t="str">
        <f>IF($E360="",IF($D360="","",VLOOKUP($D360,TableInputsData[],ReadMe!$M$3,FALSE)),VLOOKUP($D360,TableInputsData[],ReadMe!$M$3,FALSE)&amp;"  |  "&amp;VLOOKUP($E360,TableInputsData[],ReadMe!$M$3,FALSE))</f>
        <v/>
      </c>
      <c r="C360" s="294"/>
      <c r="G360"/>
      <c r="H360"/>
      <c r="I360"/>
      <c r="J360"/>
      <c r="K360"/>
      <c r="L360"/>
      <c r="M360"/>
      <c r="N360"/>
      <c r="O360" s="294"/>
    </row>
    <row r="361" spans="1:15" ht="16" hidden="1" outlineLevel="1" x14ac:dyDescent="0.2">
      <c r="A361" s="294"/>
      <c r="B361" s="423" t="str">
        <f>IF($E361="",IF($D361="","",VLOOKUP($D361,TableInputsData[],ReadMe!$M$3,FALSE)),VLOOKUP($D361,TableInputsData[],ReadMe!$M$3,FALSE)&amp;"  |  "&amp;VLOOKUP($E361,TableInputsData[],ReadMe!$M$3,FALSE))</f>
        <v/>
      </c>
      <c r="C361" s="294"/>
      <c r="G361"/>
      <c r="H361"/>
      <c r="I361"/>
      <c r="J361"/>
      <c r="K361"/>
      <c r="L361"/>
      <c r="M361"/>
      <c r="N361"/>
      <c r="O361" s="294"/>
    </row>
    <row r="362" spans="1:15" ht="16" hidden="1" outlineLevel="1" x14ac:dyDescent="0.2">
      <c r="A362" s="294"/>
      <c r="B362" s="423" t="str">
        <f>IF($E362="",IF($D362="","",VLOOKUP($D362,TableInputsData[],ReadMe!$M$3,FALSE)),VLOOKUP($D362,TableInputsData[],ReadMe!$M$3,FALSE)&amp;"  |  "&amp;VLOOKUP($E362,TableInputsData[],ReadMe!$M$3,FALSE))</f>
        <v/>
      </c>
      <c r="C362" s="294"/>
      <c r="G362"/>
      <c r="H362"/>
      <c r="I362"/>
      <c r="J362"/>
      <c r="K362"/>
      <c r="L362"/>
      <c r="M362"/>
      <c r="N362"/>
      <c r="O362" s="294"/>
    </row>
    <row r="363" spans="1:15" ht="16" hidden="1" outlineLevel="1" x14ac:dyDescent="0.2">
      <c r="A363" s="294"/>
      <c r="B363" s="423" t="str">
        <f>IF($E363="",IF($D363="","",VLOOKUP($D363,TableInputsData[],ReadMe!$M$3,FALSE)),VLOOKUP($D363,TableInputsData[],ReadMe!$M$3,FALSE)&amp;"  |  "&amp;VLOOKUP($E363,TableInputsData[],ReadMe!$M$3,FALSE))</f>
        <v/>
      </c>
      <c r="C363" s="294"/>
      <c r="G363"/>
      <c r="H363"/>
      <c r="I363"/>
      <c r="J363"/>
      <c r="K363"/>
      <c r="L363"/>
      <c r="M363"/>
      <c r="N363"/>
      <c r="O363" s="294"/>
    </row>
    <row r="364" spans="1:15" ht="16" hidden="1" outlineLevel="1" x14ac:dyDescent="0.2">
      <c r="A364" s="294"/>
      <c r="B364" s="423" t="str">
        <f>IF($E364="",IF($D364="","",VLOOKUP($D364,TableInputsData[],ReadMe!$M$3,FALSE)),VLOOKUP($D364,TableInputsData[],ReadMe!$M$3,FALSE)&amp;"  |  "&amp;VLOOKUP($E364,TableInputsData[],ReadMe!$M$3,FALSE))</f>
        <v/>
      </c>
      <c r="C364" s="294"/>
      <c r="G364"/>
      <c r="H364"/>
      <c r="I364"/>
      <c r="J364"/>
      <c r="K364"/>
      <c r="L364"/>
      <c r="M364"/>
      <c r="N364"/>
      <c r="O364" s="294"/>
    </row>
    <row r="365" spans="1:15" ht="16" hidden="1" outlineLevel="1" x14ac:dyDescent="0.2">
      <c r="A365" s="294"/>
      <c r="B365" s="423" t="str">
        <f>IF($E365="",IF($D365="","",VLOOKUP($D365,TableInputsData[],ReadMe!$M$3,FALSE)),VLOOKUP($D365,TableInputsData[],ReadMe!$M$3,FALSE)&amp;"  |  "&amp;VLOOKUP($E365,TableInputsData[],ReadMe!$M$3,FALSE))</f>
        <v/>
      </c>
      <c r="C365" s="294"/>
      <c r="G365"/>
      <c r="H365"/>
      <c r="I365"/>
      <c r="J365"/>
      <c r="K365"/>
      <c r="L365"/>
      <c r="M365"/>
      <c r="N365"/>
      <c r="O365" s="294"/>
    </row>
    <row r="366" spans="1:15" ht="16" hidden="1" outlineLevel="1" x14ac:dyDescent="0.2">
      <c r="A366" s="294"/>
      <c r="B366" s="423" t="str">
        <f>IF($E366="",IF($D366="","",VLOOKUP($D366,TableInputsData[],ReadMe!$M$3,FALSE)),VLOOKUP($D366,TableInputsData[],ReadMe!$M$3,FALSE)&amp;"  |  "&amp;VLOOKUP($E366,TableInputsData[],ReadMe!$M$3,FALSE))</f>
        <v/>
      </c>
      <c r="C366" s="294"/>
      <c r="G366"/>
      <c r="H366"/>
      <c r="I366"/>
      <c r="J366"/>
      <c r="K366"/>
      <c r="L366"/>
      <c r="M366"/>
      <c r="N366"/>
      <c r="O366" s="294"/>
    </row>
    <row r="367" spans="1:15" ht="16" hidden="1" outlineLevel="1" x14ac:dyDescent="0.2">
      <c r="A367" s="294"/>
      <c r="B367" s="423" t="str">
        <f>IF($E367="",IF($D367="","",VLOOKUP($D367,TableInputsData[],ReadMe!$M$3,FALSE)),VLOOKUP($D367,TableInputsData[],ReadMe!$M$3,FALSE)&amp;"  |  "&amp;VLOOKUP($E367,TableInputsData[],ReadMe!$M$3,FALSE))</f>
        <v/>
      </c>
      <c r="C367" s="294"/>
      <c r="G367"/>
      <c r="H367"/>
      <c r="I367"/>
      <c r="J367"/>
      <c r="K367"/>
      <c r="L367"/>
      <c r="M367"/>
      <c r="N367"/>
      <c r="O367" s="294"/>
    </row>
    <row r="368" spans="1:15" ht="16" hidden="1" outlineLevel="1" x14ac:dyDescent="0.2">
      <c r="A368" s="294"/>
      <c r="B368" s="423" t="str">
        <f>IF($E368="",IF($D368="","",VLOOKUP($D368,TableInputsData[],ReadMe!$M$3,FALSE)),VLOOKUP($D368,TableInputsData[],ReadMe!$M$3,FALSE)&amp;"  |  "&amp;VLOOKUP($E368,TableInputsData[],ReadMe!$M$3,FALSE))</f>
        <v/>
      </c>
      <c r="C368" s="294"/>
      <c r="G368"/>
      <c r="H368"/>
      <c r="I368"/>
      <c r="J368"/>
      <c r="K368"/>
      <c r="L368"/>
      <c r="M368"/>
      <c r="N368"/>
      <c r="O368" s="294"/>
    </row>
    <row r="369" spans="1:15" ht="16" hidden="1" outlineLevel="1" x14ac:dyDescent="0.2">
      <c r="A369" s="294"/>
      <c r="B369" s="423" t="str">
        <f>IF($E369="",IF($D369="","",VLOOKUP($D369,TableInputsData[],ReadMe!$M$3,FALSE)),VLOOKUP($D369,TableInputsData[],ReadMe!$M$3,FALSE)&amp;"  |  "&amp;VLOOKUP($E369,TableInputsData[],ReadMe!$M$3,FALSE))</f>
        <v/>
      </c>
      <c r="C369" s="294"/>
      <c r="G369"/>
      <c r="H369"/>
      <c r="I369"/>
      <c r="J369"/>
      <c r="K369"/>
      <c r="L369"/>
      <c r="M369"/>
      <c r="N369"/>
      <c r="O369" s="294"/>
    </row>
    <row r="370" spans="1:15" ht="16" hidden="1" outlineLevel="1" x14ac:dyDescent="0.2">
      <c r="A370" s="294"/>
      <c r="B370" s="423" t="str">
        <f>IF($E370="",IF($D370="","",VLOOKUP($D370,TableInputsData[],ReadMe!$M$3,FALSE)),VLOOKUP($D370,TableInputsData[],ReadMe!$M$3,FALSE)&amp;"  |  "&amp;VLOOKUP($E370,TableInputsData[],ReadMe!$M$3,FALSE))</f>
        <v/>
      </c>
      <c r="C370" s="294"/>
      <c r="G370"/>
      <c r="H370"/>
      <c r="I370"/>
      <c r="J370"/>
      <c r="K370"/>
      <c r="L370"/>
      <c r="M370"/>
      <c r="N370"/>
      <c r="O370" s="294"/>
    </row>
    <row r="371" spans="1:15" ht="16" hidden="1" outlineLevel="1" x14ac:dyDescent="0.2">
      <c r="A371" s="294"/>
      <c r="B371" s="423" t="str">
        <f>IF($E371="",IF($D371="","",VLOOKUP($D371,TableInputsData[],ReadMe!$M$3,FALSE)),VLOOKUP($D371,TableInputsData[],ReadMe!$M$3,FALSE)&amp;"  |  "&amp;VLOOKUP($E371,TableInputsData[],ReadMe!$M$3,FALSE))</f>
        <v/>
      </c>
      <c r="C371" s="294"/>
      <c r="G371"/>
      <c r="H371"/>
      <c r="I371"/>
      <c r="J371"/>
      <c r="K371"/>
      <c r="L371"/>
      <c r="M371"/>
      <c r="N371"/>
      <c r="O371" s="294"/>
    </row>
    <row r="372" spans="1:15" ht="16" hidden="1" outlineLevel="1" x14ac:dyDescent="0.2">
      <c r="A372" s="294"/>
      <c r="B372" s="423" t="str">
        <f>IF($E372="",IF($D372="","",VLOOKUP($D372,TableInputsData[],ReadMe!$M$3,FALSE)),VLOOKUP($D372,TableInputsData[],ReadMe!$M$3,FALSE)&amp;"  |  "&amp;VLOOKUP($E372,TableInputsData[],ReadMe!$M$3,FALSE))</f>
        <v/>
      </c>
      <c r="C372" s="294"/>
      <c r="G372"/>
      <c r="H372"/>
      <c r="I372"/>
      <c r="J372"/>
      <c r="K372"/>
      <c r="L372"/>
      <c r="M372"/>
      <c r="N372"/>
      <c r="O372" s="294"/>
    </row>
    <row r="373" spans="1:15" ht="16" hidden="1" outlineLevel="1" x14ac:dyDescent="0.2">
      <c r="A373" s="294"/>
      <c r="B373" s="423" t="str">
        <f>IF($E373="",IF($D373="","",VLOOKUP($D373,TableInputsData[],ReadMe!$M$3,FALSE)),VLOOKUP($D373,TableInputsData[],ReadMe!$M$3,FALSE)&amp;"  |  "&amp;VLOOKUP($E373,TableInputsData[],ReadMe!$M$3,FALSE))</f>
        <v/>
      </c>
      <c r="C373" s="294"/>
      <c r="G373"/>
      <c r="H373"/>
      <c r="I373"/>
      <c r="J373"/>
      <c r="K373"/>
      <c r="L373"/>
      <c r="M373"/>
      <c r="N373"/>
      <c r="O373" s="294"/>
    </row>
    <row r="374" spans="1:15" ht="16" hidden="1" outlineLevel="1" x14ac:dyDescent="0.2">
      <c r="A374" s="294"/>
      <c r="B374" s="423" t="str">
        <f>IF($E374="",IF($D374="","",VLOOKUP($D374,TableInputsData[],ReadMe!$M$3,FALSE)),VLOOKUP($D374,TableInputsData[],ReadMe!$M$3,FALSE)&amp;"  |  "&amp;VLOOKUP($E374,TableInputsData[],ReadMe!$M$3,FALSE))</f>
        <v/>
      </c>
      <c r="C374" s="294"/>
      <c r="G374"/>
      <c r="H374"/>
      <c r="I374"/>
      <c r="J374"/>
      <c r="K374"/>
      <c r="L374"/>
      <c r="M374"/>
      <c r="N374"/>
      <c r="O374" s="294"/>
    </row>
    <row r="375" spans="1:15" ht="16" hidden="1" outlineLevel="1" x14ac:dyDescent="0.2">
      <c r="A375" s="294"/>
      <c r="B375" s="423" t="str">
        <f>IF($E375="",IF($D375="","",VLOOKUP($D375,TableInputsData[],ReadMe!$M$3,FALSE)),VLOOKUP($D375,TableInputsData[],ReadMe!$M$3,FALSE)&amp;"  |  "&amp;VLOOKUP($E375,TableInputsData[],ReadMe!$M$3,FALSE))</f>
        <v/>
      </c>
      <c r="C375" s="294"/>
      <c r="G375"/>
      <c r="H375"/>
      <c r="I375"/>
      <c r="J375"/>
      <c r="K375"/>
      <c r="L375"/>
      <c r="M375"/>
      <c r="N375"/>
      <c r="O375" s="294"/>
    </row>
    <row r="376" spans="1:15" ht="16" hidden="1" outlineLevel="1" x14ac:dyDescent="0.2">
      <c r="A376" s="294"/>
      <c r="B376" s="423" t="str">
        <f>IF($E376="",IF($D376="","",VLOOKUP($D376,TableInputsData[],ReadMe!$M$3,FALSE)),VLOOKUP($D376,TableInputsData[],ReadMe!$M$3,FALSE)&amp;"  |  "&amp;VLOOKUP($E376,TableInputsData[],ReadMe!$M$3,FALSE))</f>
        <v/>
      </c>
      <c r="C376" s="294"/>
      <c r="G376"/>
      <c r="H376"/>
      <c r="I376"/>
      <c r="J376"/>
      <c r="K376"/>
      <c r="L376"/>
      <c r="M376"/>
      <c r="N376"/>
      <c r="O376" s="294"/>
    </row>
    <row r="377" spans="1:15" ht="16" hidden="1" outlineLevel="1" x14ac:dyDescent="0.2">
      <c r="A377" s="294"/>
      <c r="B377" s="423" t="str">
        <f>IF($E377="",IF($D377="","",VLOOKUP($D377,TableInputsData[],ReadMe!$M$3,FALSE)),VLOOKUP($D377,TableInputsData[],ReadMe!$M$3,FALSE)&amp;"  |  "&amp;VLOOKUP($E377,TableInputsData[],ReadMe!$M$3,FALSE))</f>
        <v/>
      </c>
      <c r="C377" s="294"/>
      <c r="G377"/>
      <c r="H377"/>
      <c r="I377"/>
      <c r="J377"/>
      <c r="K377"/>
      <c r="L377"/>
      <c r="M377"/>
      <c r="N377"/>
      <c r="O377" s="294"/>
    </row>
    <row r="378" spans="1:15" ht="16" hidden="1" outlineLevel="1" x14ac:dyDescent="0.2">
      <c r="A378" s="294"/>
      <c r="B378" s="423" t="str">
        <f>IF($E378="",IF($D378="","",VLOOKUP($D378,TableInputsData[],ReadMe!$M$3,FALSE)),VLOOKUP($D378,TableInputsData[],ReadMe!$M$3,FALSE)&amp;"  |  "&amp;VLOOKUP($E378,TableInputsData[],ReadMe!$M$3,FALSE))</f>
        <v/>
      </c>
      <c r="C378" s="294"/>
      <c r="G378"/>
      <c r="H378"/>
      <c r="I378"/>
      <c r="J378"/>
      <c r="K378"/>
      <c r="L378"/>
      <c r="M378"/>
      <c r="N378"/>
      <c r="O378" s="294"/>
    </row>
    <row r="379" spans="1:15" ht="16" hidden="1" outlineLevel="1" x14ac:dyDescent="0.2">
      <c r="A379" s="294"/>
      <c r="B379" s="423" t="str">
        <f>IF($E379="",IF($D379="","",VLOOKUP($D379,TableInputsData[],ReadMe!$M$3,FALSE)),VLOOKUP($D379,TableInputsData[],ReadMe!$M$3,FALSE)&amp;"  |  "&amp;VLOOKUP($E379,TableInputsData[],ReadMe!$M$3,FALSE))</f>
        <v/>
      </c>
      <c r="C379" s="294"/>
      <c r="G379"/>
      <c r="H379"/>
      <c r="I379"/>
      <c r="J379"/>
      <c r="K379"/>
      <c r="L379"/>
      <c r="M379"/>
      <c r="N379"/>
      <c r="O379" s="294"/>
    </row>
    <row r="380" spans="1:15" ht="16" hidden="1" outlineLevel="1" x14ac:dyDescent="0.2">
      <c r="A380" s="294"/>
      <c r="B380" s="423" t="str">
        <f>IF($E380="",IF($D380="","",VLOOKUP($D380,TableInputsData[],ReadMe!$M$3,FALSE)),VLOOKUP($D380,TableInputsData[],ReadMe!$M$3,FALSE)&amp;"  |  "&amp;VLOOKUP($E380,TableInputsData[],ReadMe!$M$3,FALSE))</f>
        <v/>
      </c>
      <c r="C380" s="294"/>
      <c r="G380"/>
      <c r="H380"/>
      <c r="I380"/>
      <c r="J380"/>
      <c r="K380"/>
      <c r="L380"/>
      <c r="M380"/>
      <c r="N380"/>
      <c r="O380" s="294"/>
    </row>
    <row r="381" spans="1:15" ht="16" hidden="1" outlineLevel="1" x14ac:dyDescent="0.2">
      <c r="A381" s="294"/>
      <c r="B381" s="423" t="str">
        <f>IF($E381="",IF($D381="","",VLOOKUP($D381,TableInputsData[],ReadMe!$M$3,FALSE)),VLOOKUP($D381,TableInputsData[],ReadMe!$M$3,FALSE)&amp;"  |  "&amp;VLOOKUP($E381,TableInputsData[],ReadMe!$M$3,FALSE))</f>
        <v/>
      </c>
      <c r="C381" s="294"/>
      <c r="G381"/>
      <c r="H381"/>
      <c r="I381"/>
      <c r="J381"/>
      <c r="K381"/>
      <c r="L381"/>
      <c r="M381"/>
      <c r="N381"/>
      <c r="O381" s="294"/>
    </row>
    <row r="382" spans="1:15" ht="16" hidden="1" outlineLevel="1" x14ac:dyDescent="0.2">
      <c r="A382" s="294"/>
      <c r="B382" s="423" t="str">
        <f>IF($E382="",IF($D382="","",VLOOKUP($D382,TableInputsData[],ReadMe!$M$3,FALSE)),VLOOKUP($D382,TableInputsData[],ReadMe!$M$3,FALSE)&amp;"  |  "&amp;VLOOKUP($E382,TableInputsData[],ReadMe!$M$3,FALSE))</f>
        <v/>
      </c>
      <c r="C382" s="294"/>
      <c r="G382"/>
      <c r="H382"/>
      <c r="I382"/>
      <c r="J382"/>
      <c r="K382"/>
      <c r="L382"/>
      <c r="M382"/>
      <c r="N382"/>
      <c r="O382" s="294"/>
    </row>
    <row r="383" spans="1:15" ht="16" hidden="1" outlineLevel="1" x14ac:dyDescent="0.2">
      <c r="A383" s="294"/>
      <c r="B383" s="423" t="str">
        <f>IF($E383="",IF($D383="","",VLOOKUP($D383,TableInputsData[],ReadMe!$M$3,FALSE)),VLOOKUP($D383,TableInputsData[],ReadMe!$M$3,FALSE)&amp;"  |  "&amp;VLOOKUP($E383,TableInputsData[],ReadMe!$M$3,FALSE))</f>
        <v/>
      </c>
      <c r="C383" s="294"/>
      <c r="G383"/>
      <c r="H383"/>
      <c r="I383"/>
      <c r="J383"/>
      <c r="K383"/>
      <c r="L383"/>
      <c r="M383"/>
      <c r="N383"/>
      <c r="O383" s="294"/>
    </row>
    <row r="384" spans="1:15" ht="16" hidden="1" outlineLevel="1" x14ac:dyDescent="0.2">
      <c r="A384" s="294"/>
      <c r="B384" s="423" t="str">
        <f>IF($E384="",IF($D384="","",VLOOKUP($D384,TableInputsData[],ReadMe!$M$3,FALSE)),VLOOKUP($D384,TableInputsData[],ReadMe!$M$3,FALSE)&amp;"  |  "&amp;VLOOKUP($E384,TableInputsData[],ReadMe!$M$3,FALSE))</f>
        <v/>
      </c>
      <c r="C384" s="294"/>
      <c r="G384"/>
      <c r="H384"/>
      <c r="I384"/>
      <c r="J384"/>
      <c r="K384"/>
      <c r="L384"/>
      <c r="M384"/>
      <c r="N384"/>
      <c r="O384" s="294"/>
    </row>
    <row r="385" spans="1:15" ht="16" hidden="1" outlineLevel="1" x14ac:dyDescent="0.2">
      <c r="A385" s="294"/>
      <c r="B385" s="423" t="str">
        <f>IF($E385="",IF($D385="","",VLOOKUP($D385,TableInputsData[],ReadMe!$M$3,FALSE)),VLOOKUP($D385,TableInputsData[],ReadMe!$M$3,FALSE)&amp;"  |  "&amp;VLOOKUP($E385,TableInputsData[],ReadMe!$M$3,FALSE))</f>
        <v/>
      </c>
      <c r="C385" s="294"/>
      <c r="G385"/>
      <c r="H385"/>
      <c r="I385"/>
      <c r="J385"/>
      <c r="K385"/>
      <c r="L385"/>
      <c r="M385"/>
      <c r="N385"/>
      <c r="O385" s="294"/>
    </row>
    <row r="386" spans="1:15" ht="16" hidden="1" outlineLevel="1" x14ac:dyDescent="0.2">
      <c r="A386" s="294"/>
      <c r="B386" s="423" t="str">
        <f>IF($E386="",IF($D386="","",VLOOKUP($D386,TableInputsData[],ReadMe!$M$3,FALSE)),VLOOKUP($D386,TableInputsData[],ReadMe!$M$3,FALSE)&amp;"  |  "&amp;VLOOKUP($E386,TableInputsData[],ReadMe!$M$3,FALSE))</f>
        <v/>
      </c>
      <c r="C386" s="294"/>
      <c r="G386"/>
      <c r="H386"/>
      <c r="I386"/>
      <c r="J386"/>
      <c r="K386"/>
      <c r="L386"/>
      <c r="M386"/>
      <c r="N386"/>
      <c r="O386" s="294"/>
    </row>
    <row r="387" spans="1:15" ht="16" hidden="1" outlineLevel="1" x14ac:dyDescent="0.2">
      <c r="A387" s="294"/>
      <c r="B387" s="423" t="str">
        <f>IF($E387="",IF($D387="","",VLOOKUP($D387,TableInputsData[],ReadMe!$M$3,FALSE)),VLOOKUP($D387,TableInputsData[],ReadMe!$M$3,FALSE)&amp;"  |  "&amp;VLOOKUP($E387,TableInputsData[],ReadMe!$M$3,FALSE))</f>
        <v/>
      </c>
      <c r="C387" s="294"/>
      <c r="G387"/>
      <c r="H387"/>
      <c r="I387"/>
      <c r="J387"/>
      <c r="K387"/>
      <c r="L387"/>
      <c r="M387"/>
      <c r="N387"/>
      <c r="O387" s="294"/>
    </row>
    <row r="388" spans="1:15" ht="16" hidden="1" outlineLevel="1" x14ac:dyDescent="0.2">
      <c r="A388" s="294"/>
      <c r="B388" s="423" t="str">
        <f>IF($E388="",IF($D388="","",VLOOKUP($D388,TableInputsData[],ReadMe!$M$3,FALSE)),VLOOKUP($D388,TableInputsData[],ReadMe!$M$3,FALSE)&amp;"  |  "&amp;VLOOKUP($E388,TableInputsData[],ReadMe!$M$3,FALSE))</f>
        <v/>
      </c>
      <c r="C388" s="294"/>
      <c r="G388"/>
      <c r="H388"/>
      <c r="I388"/>
      <c r="J388"/>
      <c r="K388"/>
      <c r="L388"/>
      <c r="M388"/>
      <c r="N388"/>
      <c r="O388" s="294"/>
    </row>
    <row r="389" spans="1:15" ht="16" hidden="1" outlineLevel="1" x14ac:dyDescent="0.2">
      <c r="A389" s="294"/>
      <c r="B389" s="423" t="str">
        <f>IF($E389="",IF($D389="","",VLOOKUP($D389,TableInputsData[],ReadMe!$M$3,FALSE)),VLOOKUP($D389,TableInputsData[],ReadMe!$M$3,FALSE)&amp;"  |  "&amp;VLOOKUP($E389,TableInputsData[],ReadMe!$M$3,FALSE))</f>
        <v/>
      </c>
      <c r="C389" s="294"/>
      <c r="G389"/>
      <c r="H389"/>
      <c r="I389"/>
      <c r="J389"/>
      <c r="K389"/>
      <c r="L389"/>
      <c r="M389"/>
      <c r="N389"/>
      <c r="O389" s="294"/>
    </row>
    <row r="390" spans="1:15" ht="16" hidden="1" outlineLevel="1" x14ac:dyDescent="0.2">
      <c r="A390" s="294"/>
      <c r="B390" s="423" t="str">
        <f>IF($E390="",IF($D390="","",VLOOKUP($D390,TableInputsData[],ReadMe!$M$3,FALSE)),VLOOKUP($D390,TableInputsData[],ReadMe!$M$3,FALSE)&amp;"  |  "&amp;VLOOKUP($E390,TableInputsData[],ReadMe!$M$3,FALSE))</f>
        <v/>
      </c>
      <c r="C390" s="294"/>
      <c r="G390"/>
      <c r="H390"/>
      <c r="I390"/>
      <c r="J390"/>
      <c r="K390"/>
      <c r="L390"/>
      <c r="M390"/>
      <c r="N390"/>
      <c r="O390" s="294"/>
    </row>
    <row r="391" spans="1:15" ht="16" hidden="1" outlineLevel="1" x14ac:dyDescent="0.2">
      <c r="A391" s="294"/>
      <c r="B391" s="423" t="str">
        <f>IF($E391="",IF($D391="","",VLOOKUP($D391,TableInputsData[],ReadMe!$M$3,FALSE)),VLOOKUP($D391,TableInputsData[],ReadMe!$M$3,FALSE)&amp;"  |  "&amp;VLOOKUP($E391,TableInputsData[],ReadMe!$M$3,FALSE))</f>
        <v/>
      </c>
      <c r="C391" s="294"/>
      <c r="G391"/>
      <c r="H391"/>
      <c r="I391"/>
      <c r="J391"/>
      <c r="K391"/>
      <c r="L391"/>
      <c r="M391"/>
      <c r="N391"/>
      <c r="O391" s="294"/>
    </row>
    <row r="392" spans="1:15" ht="16" hidden="1" outlineLevel="1" x14ac:dyDescent="0.2">
      <c r="A392" s="294"/>
      <c r="B392" s="423" t="str">
        <f>IF($E392="",IF($D392="","",VLOOKUP($D392,TableInputsData[],ReadMe!$M$3,FALSE)),VLOOKUP($D392,TableInputsData[],ReadMe!$M$3,FALSE)&amp;"  |  "&amp;VLOOKUP($E392,TableInputsData[],ReadMe!$M$3,FALSE))</f>
        <v/>
      </c>
      <c r="C392" s="294"/>
      <c r="G392"/>
      <c r="H392"/>
      <c r="I392"/>
      <c r="J392"/>
      <c r="K392"/>
      <c r="L392"/>
      <c r="M392"/>
      <c r="N392"/>
      <c r="O392" s="294"/>
    </row>
    <row r="393" spans="1:15" ht="16" hidden="1" outlineLevel="1" x14ac:dyDescent="0.2">
      <c r="A393" s="294"/>
      <c r="B393" s="423" t="str">
        <f>IF($E393="",IF($D393="","",VLOOKUP($D393,TableInputsData[],ReadMe!$M$3,FALSE)),VLOOKUP($D393,TableInputsData[],ReadMe!$M$3,FALSE)&amp;"  |  "&amp;VLOOKUP($E393,TableInputsData[],ReadMe!$M$3,FALSE))</f>
        <v/>
      </c>
      <c r="C393" s="294"/>
      <c r="G393"/>
      <c r="H393"/>
      <c r="I393"/>
      <c r="J393"/>
      <c r="K393"/>
      <c r="L393"/>
      <c r="M393"/>
      <c r="N393"/>
      <c r="O393" s="294"/>
    </row>
    <row r="394" spans="1:15" ht="16" hidden="1" outlineLevel="1" x14ac:dyDescent="0.2">
      <c r="A394" s="294"/>
      <c r="B394" s="423" t="str">
        <f>IF($E394="",IF($D394="","",VLOOKUP($D394,TableInputsData[],ReadMe!$M$3,FALSE)),VLOOKUP($D394,TableInputsData[],ReadMe!$M$3,FALSE)&amp;"  |  "&amp;VLOOKUP($E394,TableInputsData[],ReadMe!$M$3,FALSE))</f>
        <v/>
      </c>
      <c r="C394" s="294"/>
      <c r="G394"/>
      <c r="H394"/>
      <c r="I394"/>
      <c r="J394"/>
      <c r="K394"/>
      <c r="L394"/>
      <c r="M394"/>
      <c r="N394"/>
      <c r="O394" s="294"/>
    </row>
    <row r="395" spans="1:15" ht="16" hidden="1" outlineLevel="1" x14ac:dyDescent="0.2">
      <c r="A395" s="294"/>
      <c r="B395" s="423" t="str">
        <f>IF($E395="",IF($D395="","",VLOOKUP($D395,TableInputsData[],ReadMe!$M$3,FALSE)),VLOOKUP($D395,TableInputsData[],ReadMe!$M$3,FALSE)&amp;"  |  "&amp;VLOOKUP($E395,TableInputsData[],ReadMe!$M$3,FALSE))</f>
        <v/>
      </c>
      <c r="C395" s="294"/>
      <c r="G395"/>
      <c r="H395"/>
      <c r="I395"/>
      <c r="J395"/>
      <c r="K395"/>
      <c r="L395"/>
      <c r="M395"/>
      <c r="N395"/>
      <c r="O395" s="294"/>
    </row>
    <row r="396" spans="1:15" ht="16" hidden="1" outlineLevel="1" x14ac:dyDescent="0.2">
      <c r="A396" s="294"/>
      <c r="B396" s="423" t="str">
        <f>IF($E396="",IF($D396="","",VLOOKUP($D396,TableInputsData[],ReadMe!$M$3,FALSE)),VLOOKUP($D396,TableInputsData[],ReadMe!$M$3,FALSE)&amp;"  |  "&amp;VLOOKUP($E396,TableInputsData[],ReadMe!$M$3,FALSE))</f>
        <v/>
      </c>
      <c r="C396" s="294"/>
      <c r="G396"/>
      <c r="H396"/>
      <c r="I396"/>
      <c r="J396"/>
      <c r="K396"/>
      <c r="L396"/>
      <c r="M396"/>
      <c r="N396"/>
      <c r="O396" s="294"/>
    </row>
    <row r="397" spans="1:15" ht="16" hidden="1" outlineLevel="1" x14ac:dyDescent="0.2">
      <c r="A397" s="294"/>
      <c r="B397" s="423" t="str">
        <f>IF($E397="",IF($D397="","",VLOOKUP($D397,TableInputsData[],ReadMe!$M$3,FALSE)),VLOOKUP($D397,TableInputsData[],ReadMe!$M$3,FALSE)&amp;"  |  "&amp;VLOOKUP($E397,TableInputsData[],ReadMe!$M$3,FALSE))</f>
        <v/>
      </c>
      <c r="C397" s="294"/>
      <c r="G397"/>
      <c r="H397"/>
      <c r="I397"/>
      <c r="J397"/>
      <c r="K397"/>
      <c r="L397"/>
      <c r="M397"/>
      <c r="N397"/>
      <c r="O397" s="294"/>
    </row>
    <row r="398" spans="1:15" ht="16" hidden="1" outlineLevel="1" x14ac:dyDescent="0.2">
      <c r="A398" s="294"/>
      <c r="B398" s="423" t="str">
        <f>IF($E398="",IF($D398="","",VLOOKUP($D398,TableInputsData[],ReadMe!$M$3,FALSE)),VLOOKUP($D398,TableInputsData[],ReadMe!$M$3,FALSE)&amp;"  |  "&amp;VLOOKUP($E398,TableInputsData[],ReadMe!$M$3,FALSE))</f>
        <v/>
      </c>
      <c r="C398" s="294"/>
      <c r="G398"/>
      <c r="H398"/>
      <c r="I398"/>
      <c r="J398"/>
      <c r="K398"/>
      <c r="L398"/>
      <c r="M398"/>
      <c r="N398"/>
      <c r="O398" s="294"/>
    </row>
    <row r="399" spans="1:15" ht="16" hidden="1" outlineLevel="1" x14ac:dyDescent="0.2">
      <c r="A399" s="294"/>
      <c r="B399" s="423" t="str">
        <f>IF($E399="",IF($D399="","",VLOOKUP($D399,TableInputsData[],ReadMe!$M$3,FALSE)),VLOOKUP($D399,TableInputsData[],ReadMe!$M$3,FALSE)&amp;"  |  "&amp;VLOOKUP($E399,TableInputsData[],ReadMe!$M$3,FALSE))</f>
        <v/>
      </c>
      <c r="C399" s="294"/>
      <c r="G399"/>
      <c r="H399"/>
      <c r="I399"/>
      <c r="J399"/>
      <c r="K399"/>
      <c r="L399"/>
      <c r="M399"/>
      <c r="N399"/>
      <c r="O399" s="294"/>
    </row>
    <row r="400" spans="1:15" ht="16" hidden="1" outlineLevel="1" x14ac:dyDescent="0.2">
      <c r="A400" s="294"/>
      <c r="B400" s="423" t="str">
        <f>IF($E400="",IF($D400="","",VLOOKUP($D400,TableInputsData[],ReadMe!$M$3,FALSE)),VLOOKUP($D400,TableInputsData[],ReadMe!$M$3,FALSE)&amp;"  |  "&amp;VLOOKUP($E400,TableInputsData[],ReadMe!$M$3,FALSE))</f>
        <v/>
      </c>
      <c r="C400" s="294"/>
      <c r="G400"/>
      <c r="H400"/>
      <c r="I400"/>
      <c r="J400"/>
      <c r="K400"/>
      <c r="L400"/>
      <c r="M400"/>
      <c r="N400"/>
      <c r="O400" s="294"/>
    </row>
    <row r="401" spans="1:15" ht="16" hidden="1" outlineLevel="1" x14ac:dyDescent="0.2">
      <c r="A401" s="294"/>
      <c r="B401" s="423" t="str">
        <f>IF($E401="",IF($D401="","",VLOOKUP($D401,TableInputsData[],ReadMe!$M$3,FALSE)),VLOOKUP($D401,TableInputsData[],ReadMe!$M$3,FALSE)&amp;"  |  "&amp;VLOOKUP($E401,TableInputsData[],ReadMe!$M$3,FALSE))</f>
        <v/>
      </c>
      <c r="C401" s="294"/>
      <c r="G401"/>
      <c r="H401"/>
      <c r="I401"/>
      <c r="J401"/>
      <c r="K401"/>
      <c r="L401"/>
      <c r="M401"/>
      <c r="N401"/>
      <c r="O401" s="294"/>
    </row>
    <row r="402" spans="1:15" ht="16" hidden="1" outlineLevel="1" x14ac:dyDescent="0.2">
      <c r="A402" s="294"/>
      <c r="B402" s="423" t="str">
        <f>IF($E402="",IF($D402="","",VLOOKUP($D402,TableInputsData[],ReadMe!$M$3,FALSE)),VLOOKUP($D402,TableInputsData[],ReadMe!$M$3,FALSE)&amp;"  |  "&amp;VLOOKUP($E402,TableInputsData[],ReadMe!$M$3,FALSE))</f>
        <v/>
      </c>
      <c r="C402" s="294"/>
      <c r="G402"/>
      <c r="H402"/>
      <c r="I402"/>
      <c r="J402"/>
      <c r="K402"/>
      <c r="L402"/>
      <c r="M402"/>
      <c r="N402"/>
      <c r="O402" s="294"/>
    </row>
    <row r="403" spans="1:15" ht="16" hidden="1" outlineLevel="1" x14ac:dyDescent="0.2">
      <c r="A403" s="294"/>
      <c r="B403" s="423" t="str">
        <f>IF($E403="",IF($D403="","",VLOOKUP($D403,TableInputsData[],ReadMe!$M$3,FALSE)),VLOOKUP($D403,TableInputsData[],ReadMe!$M$3,FALSE)&amp;"  |  "&amp;VLOOKUP($E403,TableInputsData[],ReadMe!$M$3,FALSE))</f>
        <v/>
      </c>
      <c r="C403" s="294"/>
      <c r="G403"/>
      <c r="H403"/>
      <c r="I403"/>
      <c r="J403"/>
      <c r="K403"/>
      <c r="L403"/>
      <c r="M403"/>
      <c r="N403"/>
      <c r="O403" s="294"/>
    </row>
    <row r="404" spans="1:15" ht="16" hidden="1" outlineLevel="1" x14ac:dyDescent="0.2">
      <c r="A404" s="294"/>
      <c r="B404" s="423" t="str">
        <f>IF($E404="",IF($D404="","",VLOOKUP($D404,TableInputsData[],ReadMe!$M$3,FALSE)),VLOOKUP($D404,TableInputsData[],ReadMe!$M$3,FALSE)&amp;"  |  "&amp;VLOOKUP($E404,TableInputsData[],ReadMe!$M$3,FALSE))</f>
        <v/>
      </c>
      <c r="C404" s="294"/>
      <c r="G404"/>
      <c r="H404"/>
      <c r="I404"/>
      <c r="J404"/>
      <c r="K404"/>
      <c r="L404"/>
      <c r="M404"/>
      <c r="N404"/>
      <c r="O404" s="294"/>
    </row>
    <row r="405" spans="1:15" ht="16" hidden="1" outlineLevel="1" x14ac:dyDescent="0.2">
      <c r="A405" s="294"/>
      <c r="B405" s="423" t="str">
        <f>IF($E405="",IF($D405="","",VLOOKUP($D405,TableInputsData[],ReadMe!$M$3,FALSE)),VLOOKUP($D405,TableInputsData[],ReadMe!$M$3,FALSE)&amp;"  |  "&amp;VLOOKUP($E405,TableInputsData[],ReadMe!$M$3,FALSE))</f>
        <v/>
      </c>
      <c r="C405" s="294"/>
      <c r="G405"/>
      <c r="H405"/>
      <c r="I405"/>
      <c r="J405"/>
      <c r="K405"/>
      <c r="L405"/>
      <c r="M405"/>
      <c r="N405"/>
      <c r="O405" s="294"/>
    </row>
    <row r="406" spans="1:15" ht="16" hidden="1" outlineLevel="1" x14ac:dyDescent="0.2">
      <c r="A406" s="294"/>
      <c r="B406" s="423" t="str">
        <f>IF($E406="",IF($D406="","",VLOOKUP($D406,TableInputsData[],ReadMe!$M$3,FALSE)),VLOOKUP($D406,TableInputsData[],ReadMe!$M$3,FALSE)&amp;"  |  "&amp;VLOOKUP($E406,TableInputsData[],ReadMe!$M$3,FALSE))</f>
        <v/>
      </c>
      <c r="C406" s="294"/>
      <c r="G406"/>
      <c r="H406"/>
      <c r="I406"/>
      <c r="J406"/>
      <c r="K406"/>
      <c r="L406"/>
      <c r="M406"/>
      <c r="N406"/>
      <c r="O406" s="294"/>
    </row>
    <row r="407" spans="1:15" ht="16" hidden="1" outlineLevel="1" x14ac:dyDescent="0.2">
      <c r="A407" s="294"/>
      <c r="B407" s="423" t="str">
        <f>IF($E407="",IF($D407="","",VLOOKUP($D407,TableInputsData[],ReadMe!$M$3,FALSE)),VLOOKUP($D407,TableInputsData[],ReadMe!$M$3,FALSE)&amp;"  |  "&amp;VLOOKUP($E407,TableInputsData[],ReadMe!$M$3,FALSE))</f>
        <v/>
      </c>
      <c r="C407" s="294"/>
      <c r="G407"/>
      <c r="H407"/>
      <c r="I407"/>
      <c r="J407"/>
      <c r="K407"/>
      <c r="L407"/>
      <c r="M407"/>
      <c r="N407"/>
      <c r="O407" s="294"/>
    </row>
    <row r="408" spans="1:15" ht="16" hidden="1" outlineLevel="1" x14ac:dyDescent="0.2">
      <c r="A408" s="294"/>
      <c r="B408" s="423" t="str">
        <f>IF($E408="",IF($D408="","",VLOOKUP($D408,TableInputsData[],ReadMe!$M$3,FALSE)),VLOOKUP($D408,TableInputsData[],ReadMe!$M$3,FALSE)&amp;"  |  "&amp;VLOOKUP($E408,TableInputsData[],ReadMe!$M$3,FALSE))</f>
        <v/>
      </c>
      <c r="C408" s="294"/>
      <c r="G408"/>
      <c r="H408"/>
      <c r="I408"/>
      <c r="J408"/>
      <c r="K408"/>
      <c r="L408"/>
      <c r="M408"/>
      <c r="N408"/>
      <c r="O408" s="294"/>
    </row>
    <row r="409" spans="1:15" ht="16" hidden="1" outlineLevel="1" x14ac:dyDescent="0.2">
      <c r="A409" s="294"/>
      <c r="B409" s="423" t="str">
        <f>IF($E409="",IF($D409="","",VLOOKUP($D409,TableInputsData[],ReadMe!$M$3,FALSE)),VLOOKUP($D409,TableInputsData[],ReadMe!$M$3,FALSE)&amp;"  |  "&amp;VLOOKUP($E409,TableInputsData[],ReadMe!$M$3,FALSE))</f>
        <v/>
      </c>
      <c r="C409" s="294"/>
      <c r="G409"/>
      <c r="H409"/>
      <c r="I409"/>
      <c r="J409"/>
      <c r="K409"/>
      <c r="L409"/>
      <c r="M409"/>
      <c r="N409"/>
      <c r="O409" s="294"/>
    </row>
    <row r="410" spans="1:15" ht="16" hidden="1" outlineLevel="1" x14ac:dyDescent="0.2">
      <c r="A410" s="294"/>
      <c r="B410" s="423" t="str">
        <f>IF($E410="",IF($D410="","",VLOOKUP($D410,TableInputsData[],ReadMe!$M$3,FALSE)),VLOOKUP($D410,TableInputsData[],ReadMe!$M$3,FALSE)&amp;"  |  "&amp;VLOOKUP($E410,TableInputsData[],ReadMe!$M$3,FALSE))</f>
        <v/>
      </c>
      <c r="C410" s="294"/>
      <c r="G410"/>
      <c r="H410"/>
      <c r="I410"/>
      <c r="J410"/>
      <c r="K410"/>
      <c r="L410"/>
      <c r="M410"/>
      <c r="N410"/>
      <c r="O410" s="294"/>
    </row>
    <row r="411" spans="1:15" ht="16" hidden="1" outlineLevel="1" x14ac:dyDescent="0.2">
      <c r="A411" s="294"/>
      <c r="B411" s="423" t="str">
        <f>IF($E411="",IF($D411="","",VLOOKUP($D411,TableInputsData[],ReadMe!$M$3,FALSE)),VLOOKUP($D411,TableInputsData[],ReadMe!$M$3,FALSE)&amp;"  |  "&amp;VLOOKUP($E411,TableInputsData[],ReadMe!$M$3,FALSE))</f>
        <v/>
      </c>
      <c r="C411" s="294"/>
      <c r="G411"/>
      <c r="H411"/>
      <c r="I411"/>
      <c r="J411"/>
      <c r="K411"/>
      <c r="L411"/>
      <c r="M411"/>
      <c r="N411"/>
      <c r="O411" s="294"/>
    </row>
    <row r="412" spans="1:15" ht="16" hidden="1" outlineLevel="1" x14ac:dyDescent="0.2">
      <c r="A412" s="294"/>
      <c r="B412" s="423" t="str">
        <f>IF($E412="",IF($D412="","",VLOOKUP($D412,TableInputsData[],ReadMe!$M$3,FALSE)),VLOOKUP($D412,TableInputsData[],ReadMe!$M$3,FALSE)&amp;"  |  "&amp;VLOOKUP($E412,TableInputsData[],ReadMe!$M$3,FALSE))</f>
        <v/>
      </c>
      <c r="C412" s="294"/>
      <c r="G412"/>
      <c r="H412"/>
      <c r="I412"/>
      <c r="J412"/>
      <c r="K412"/>
      <c r="L412"/>
      <c r="M412"/>
      <c r="N412"/>
      <c r="O412" s="294"/>
    </row>
    <row r="413" spans="1:15" ht="16" hidden="1" outlineLevel="1" x14ac:dyDescent="0.2">
      <c r="A413" s="294"/>
      <c r="B413" s="423" t="str">
        <f>IF($E413="",IF($D413="","",VLOOKUP($D413,TableInputsData[],ReadMe!$M$3,FALSE)),VLOOKUP($D413,TableInputsData[],ReadMe!$M$3,FALSE)&amp;"  |  "&amp;VLOOKUP($E413,TableInputsData[],ReadMe!$M$3,FALSE))</f>
        <v/>
      </c>
      <c r="C413" s="294"/>
      <c r="G413"/>
      <c r="H413"/>
      <c r="I413"/>
      <c r="J413"/>
      <c r="K413"/>
      <c r="L413"/>
      <c r="M413"/>
      <c r="N413"/>
      <c r="O413" s="294"/>
    </row>
    <row r="414" spans="1:15" ht="16" hidden="1" outlineLevel="1" x14ac:dyDescent="0.2">
      <c r="A414" s="294"/>
      <c r="B414" s="423" t="str">
        <f>IF($E414="",IF($D414="","",VLOOKUP($D414,TableInputsData[],ReadMe!$M$3,FALSE)),VLOOKUP($D414,TableInputsData[],ReadMe!$M$3,FALSE)&amp;"  |  "&amp;VLOOKUP($E414,TableInputsData[],ReadMe!$M$3,FALSE))</f>
        <v/>
      </c>
      <c r="C414" s="294"/>
      <c r="G414"/>
      <c r="H414"/>
      <c r="I414"/>
      <c r="J414"/>
      <c r="K414"/>
      <c r="L414"/>
      <c r="M414"/>
      <c r="N414"/>
      <c r="O414" s="294"/>
    </row>
    <row r="415" spans="1:15" ht="16" hidden="1" outlineLevel="1" x14ac:dyDescent="0.2">
      <c r="A415" s="294"/>
      <c r="B415" s="423" t="str">
        <f>IF($E415="",IF($D415="","",VLOOKUP($D415,TableInputsData[],ReadMe!$M$3,FALSE)),VLOOKUP($D415,TableInputsData[],ReadMe!$M$3,FALSE)&amp;"  |  "&amp;VLOOKUP($E415,TableInputsData[],ReadMe!$M$3,FALSE))</f>
        <v/>
      </c>
      <c r="C415" s="294"/>
      <c r="G415"/>
      <c r="H415"/>
      <c r="I415"/>
      <c r="J415"/>
      <c r="K415"/>
      <c r="L415"/>
      <c r="M415"/>
      <c r="N415"/>
      <c r="O415" s="294"/>
    </row>
    <row r="416" spans="1:15" ht="16" hidden="1" outlineLevel="1" x14ac:dyDescent="0.2">
      <c r="A416" s="294"/>
      <c r="B416" s="423" t="str">
        <f>IF($E416="",IF($D416="","",VLOOKUP($D416,TableInputsData[],ReadMe!$M$3,FALSE)),VLOOKUP($D416,TableInputsData[],ReadMe!$M$3,FALSE)&amp;"  |  "&amp;VLOOKUP($E416,TableInputsData[],ReadMe!$M$3,FALSE))</f>
        <v/>
      </c>
      <c r="C416" s="294"/>
      <c r="G416"/>
      <c r="H416"/>
      <c r="I416"/>
      <c r="J416"/>
      <c r="K416"/>
      <c r="L416"/>
      <c r="M416"/>
      <c r="N416"/>
      <c r="O416" s="294"/>
    </row>
    <row r="417" spans="1:15" ht="16" hidden="1" outlineLevel="1" x14ac:dyDescent="0.2">
      <c r="A417" s="294"/>
      <c r="B417" s="423" t="str">
        <f>IF($E417="",IF($D417="","",VLOOKUP($D417,TableInputsData[],ReadMe!$M$3,FALSE)),VLOOKUP($D417,TableInputsData[],ReadMe!$M$3,FALSE)&amp;"  |  "&amp;VLOOKUP($E417,TableInputsData[],ReadMe!$M$3,FALSE))</f>
        <v/>
      </c>
      <c r="C417" s="294"/>
      <c r="G417"/>
      <c r="H417"/>
      <c r="I417"/>
      <c r="J417"/>
      <c r="K417"/>
      <c r="L417"/>
      <c r="M417"/>
      <c r="N417"/>
      <c r="O417" s="294"/>
    </row>
    <row r="418" spans="1:15" ht="16" hidden="1" outlineLevel="1" x14ac:dyDescent="0.2">
      <c r="A418" s="294"/>
      <c r="B418" s="423" t="str">
        <f>IF($E418="",IF($D418="","",VLOOKUP($D418,TableInputsData[],ReadMe!$M$3,FALSE)),VLOOKUP($D418,TableInputsData[],ReadMe!$M$3,FALSE)&amp;"  |  "&amp;VLOOKUP($E418,TableInputsData[],ReadMe!$M$3,FALSE))</f>
        <v/>
      </c>
      <c r="C418" s="294"/>
      <c r="G418"/>
      <c r="H418"/>
      <c r="I418"/>
      <c r="J418"/>
      <c r="K418"/>
      <c r="L418"/>
      <c r="M418"/>
      <c r="N418"/>
      <c r="O418" s="294"/>
    </row>
    <row r="419" spans="1:15" ht="16" hidden="1" outlineLevel="1" x14ac:dyDescent="0.2">
      <c r="A419" s="294"/>
      <c r="B419" s="423" t="str">
        <f>IF($E419="",IF($D419="","",VLOOKUP($D419,TableInputsData[],ReadMe!$M$3,FALSE)),VLOOKUP($D419,TableInputsData[],ReadMe!$M$3,FALSE)&amp;"  |  "&amp;VLOOKUP($E419,TableInputsData[],ReadMe!$M$3,FALSE))</f>
        <v/>
      </c>
      <c r="C419" s="294"/>
      <c r="G419"/>
      <c r="H419"/>
      <c r="I419"/>
      <c r="J419"/>
      <c r="K419"/>
      <c r="L419"/>
      <c r="M419"/>
      <c r="N419"/>
      <c r="O419" s="294"/>
    </row>
    <row r="420" spans="1:15" ht="16" hidden="1" outlineLevel="1" x14ac:dyDescent="0.2">
      <c r="A420" s="294"/>
      <c r="B420" s="423" t="str">
        <f>IF($E420="",IF($D420="","",VLOOKUP($D420,TableInputsData[],ReadMe!$M$3,FALSE)),VLOOKUP($D420,TableInputsData[],ReadMe!$M$3,FALSE)&amp;"  |  "&amp;VLOOKUP($E420,TableInputsData[],ReadMe!$M$3,FALSE))</f>
        <v/>
      </c>
      <c r="C420" s="294"/>
      <c r="G420"/>
      <c r="H420"/>
      <c r="I420"/>
      <c r="J420"/>
      <c r="K420"/>
      <c r="L420"/>
      <c r="M420"/>
      <c r="N420"/>
      <c r="O420" s="294"/>
    </row>
    <row r="421" spans="1:15" ht="16" hidden="1" outlineLevel="1" x14ac:dyDescent="0.2">
      <c r="A421" s="294"/>
      <c r="B421" s="423" t="str">
        <f>IF($E421="",IF($D421="","",VLOOKUP($D421,TableInputsData[],ReadMe!$M$3,FALSE)),VLOOKUP($D421,TableInputsData[],ReadMe!$M$3,FALSE)&amp;"  |  "&amp;VLOOKUP($E421,TableInputsData[],ReadMe!$M$3,FALSE))</f>
        <v/>
      </c>
      <c r="C421" s="294"/>
      <c r="E421"/>
      <c r="F421"/>
      <c r="G421"/>
      <c r="H421"/>
      <c r="I421"/>
      <c r="J421"/>
      <c r="K421"/>
      <c r="L421"/>
      <c r="M421"/>
      <c r="N421"/>
      <c r="O421" s="294"/>
    </row>
    <row r="422" spans="1:15" ht="16" collapsed="1" x14ac:dyDescent="0.2">
      <c r="A422" s="294"/>
      <c r="B422" s="294"/>
      <c r="C422" s="294"/>
      <c r="D422" s="294"/>
      <c r="E422" s="313"/>
      <c r="F422" s="313"/>
      <c r="G422" s="313"/>
      <c r="H422" s="313"/>
      <c r="I422" s="313"/>
      <c r="J422" s="313"/>
      <c r="K422" s="313"/>
      <c r="L422" s="313"/>
      <c r="M422" s="313"/>
      <c r="N422" s="313"/>
      <c r="O422" s="294"/>
    </row>
    <row r="423" spans="1:15" x14ac:dyDescent="0.2">
      <c r="A423" s="294"/>
      <c r="B423" s="164" t="str">
        <f>VLOOKUP($D423,TableInputsData[],ReadMe!$M$3,FALSE)</f>
        <v>DEPENSES OPERATIONNELLES</v>
      </c>
      <c r="C423" s="294"/>
      <c r="D423" s="164" t="s">
        <v>645</v>
      </c>
      <c r="E423" s="151"/>
      <c r="F423" s="152"/>
      <c r="G423" s="152"/>
      <c r="H423" s="152"/>
      <c r="I423" s="152"/>
      <c r="J423" s="152"/>
      <c r="K423" s="152"/>
      <c r="L423" s="152"/>
      <c r="M423" s="152"/>
      <c r="N423" s="545" t="str">
        <f>$N$223</f>
        <v>CAS TYPIQUE
SCENARIO DE SIMULATION</v>
      </c>
      <c r="O423" s="294"/>
    </row>
    <row r="424" spans="1:15" x14ac:dyDescent="0.15">
      <c r="A424" s="294"/>
      <c r="B424" s="294"/>
      <c r="C424" s="294"/>
      <c r="D424" s="300" t="s">
        <v>983</v>
      </c>
      <c r="E424" s="294"/>
      <c r="F424" s="312"/>
      <c r="G424" s="312"/>
      <c r="H424" s="312"/>
      <c r="I424" s="312"/>
      <c r="J424" s="312"/>
      <c r="K424" s="312"/>
      <c r="L424" s="312"/>
      <c r="M424" s="312"/>
      <c r="N424" s="294"/>
      <c r="O424" s="294"/>
    </row>
    <row r="425" spans="1:15" hidden="1" outlineLevel="1" x14ac:dyDescent="0.2">
      <c r="A425" s="294"/>
      <c r="B425" s="294"/>
      <c r="C425" s="294"/>
      <c r="D425" s="162" t="s">
        <v>122</v>
      </c>
      <c r="E425" s="379">
        <v>2</v>
      </c>
      <c r="F425" s="294"/>
      <c r="G425" s="294"/>
      <c r="H425" s="294"/>
      <c r="I425" s="294"/>
      <c r="J425" s="294"/>
      <c r="K425" s="294"/>
      <c r="L425" s="294"/>
      <c r="M425" s="294"/>
      <c r="N425" s="294"/>
      <c r="O425" s="294"/>
    </row>
    <row r="426" spans="1:15" hidden="1" outlineLevel="1" x14ac:dyDescent="0.2">
      <c r="A426" s="294"/>
      <c r="B426" s="294"/>
      <c r="C426" s="294"/>
      <c r="D426" s="162" t="s">
        <v>591</v>
      </c>
      <c r="E426" s="379">
        <v>1</v>
      </c>
      <c r="F426" s="294"/>
      <c r="G426" s="294"/>
      <c r="H426" s="294"/>
      <c r="I426" s="294"/>
      <c r="J426" s="294"/>
      <c r="K426" s="294"/>
      <c r="L426" s="294"/>
      <c r="M426" s="294"/>
      <c r="N426" s="294"/>
      <c r="O426" s="294"/>
    </row>
    <row r="427" spans="1:15" hidden="1" outlineLevel="1" x14ac:dyDescent="0.2">
      <c r="A427" s="294"/>
      <c r="B427" s="294"/>
      <c r="C427" s="294"/>
      <c r="D427" s="162" t="s">
        <v>590</v>
      </c>
      <c r="E427" s="1" t="s">
        <v>114</v>
      </c>
      <c r="F427" s="294"/>
      <c r="G427" s="294"/>
      <c r="H427" s="294"/>
      <c r="I427" s="294"/>
      <c r="J427" s="294"/>
      <c r="K427" s="294"/>
      <c r="L427" s="294"/>
      <c r="M427" s="294"/>
      <c r="N427" s="294"/>
      <c r="O427" s="294"/>
    </row>
    <row r="428" spans="1:15" hidden="1" outlineLevel="1" x14ac:dyDescent="0.2">
      <c r="A428" s="294"/>
      <c r="B428" s="294"/>
      <c r="C428" s="294"/>
      <c r="D428" s="294"/>
      <c r="E428" s="294"/>
      <c r="F428" s="294"/>
      <c r="G428" s="294"/>
      <c r="H428" s="294"/>
      <c r="I428" s="294"/>
      <c r="J428" s="294"/>
      <c r="K428" s="294"/>
      <c r="L428" s="294"/>
      <c r="M428" s="294"/>
      <c r="N428" s="294"/>
      <c r="O428" s="294"/>
    </row>
    <row r="429" spans="1:15" ht="42" collapsed="1" x14ac:dyDescent="0.2">
      <c r="A429" s="294"/>
      <c r="B429" s="294"/>
      <c r="C429" s="294"/>
      <c r="D429" s="378" t="s">
        <v>0</v>
      </c>
      <c r="E429" s="378" t="s">
        <v>1</v>
      </c>
      <c r="F429" s="378" t="s">
        <v>3</v>
      </c>
      <c r="G429" s="382" t="s">
        <v>973</v>
      </c>
      <c r="H429" s="382" t="s">
        <v>974</v>
      </c>
      <c r="I429" s="382" t="s">
        <v>975</v>
      </c>
      <c r="J429" s="382" t="s">
        <v>976</v>
      </c>
      <c r="K429" s="382" t="s">
        <v>977</v>
      </c>
      <c r="L429" s="382" t="s">
        <v>978</v>
      </c>
      <c r="M429" s="382" t="s">
        <v>979</v>
      </c>
      <c r="N429" s="382" t="s">
        <v>980</v>
      </c>
      <c r="O429" s="294"/>
    </row>
    <row r="430" spans="1:15" x14ac:dyDescent="0.15">
      <c r="A430" s="294"/>
      <c r="B430" s="423" t="str">
        <f>IF($E430="",IF($D430="","",VLOOKUP($D430,TableInputsData[],ReadMe!$M$3,FALSE)),VLOOKUP($D430,TableInputsData[],ReadMe!$M$3,FALSE)&amp;"  |  "&amp;VLOOKUP($E430,TableInputsData[],ReadMe!$M$3,FALSE))</f>
        <v>DEPENSES OPERATIONNELLES  |  COUT DE MARKETING</v>
      </c>
      <c r="C430" s="294"/>
      <c r="D430" s="1" t="s">
        <v>645</v>
      </c>
      <c r="E430" s="1" t="s">
        <v>642</v>
      </c>
      <c r="F430" s="1" t="s">
        <v>46</v>
      </c>
      <c r="G430" s="2">
        <v>0</v>
      </c>
      <c r="H430" s="2">
        <v>0</v>
      </c>
      <c r="I430" s="2">
        <v>0</v>
      </c>
      <c r="J430" s="2">
        <v>0</v>
      </c>
      <c r="K430" s="2">
        <v>0</v>
      </c>
      <c r="L430" s="2">
        <v>0</v>
      </c>
      <c r="M430" s="2">
        <v>0</v>
      </c>
      <c r="N430" s="2">
        <v>0</v>
      </c>
      <c r="O430" s="294"/>
    </row>
    <row r="431" spans="1:15" x14ac:dyDescent="0.15">
      <c r="A431" s="294"/>
      <c r="B431" s="423" t="str">
        <f>IF($E431="",IF($D431="","",VLOOKUP($D431,TableInputsData[],ReadMe!$M$3,FALSE)),VLOOKUP($D431,TableInputsData[],ReadMe!$M$3,FALSE)&amp;"  |  "&amp;VLOOKUP($E431,TableInputsData[],ReadMe!$M$3,FALSE))</f>
        <v>DEPENSES OPERATIONNELLES  |  SALAIRES DE PERSONNEL</v>
      </c>
      <c r="C431" s="294"/>
      <c r="D431" s="1" t="s">
        <v>645</v>
      </c>
      <c r="E431" s="1" t="s">
        <v>646</v>
      </c>
      <c r="F431" s="1" t="s">
        <v>753</v>
      </c>
      <c r="G431" s="2">
        <v>0</v>
      </c>
      <c r="H431" s="2">
        <v>0</v>
      </c>
      <c r="I431" s="2">
        <v>0</v>
      </c>
      <c r="J431" s="2">
        <v>0</v>
      </c>
      <c r="K431" s="2">
        <v>0</v>
      </c>
      <c r="L431" s="2">
        <v>0</v>
      </c>
      <c r="M431" s="2">
        <v>0</v>
      </c>
      <c r="N431" s="2">
        <v>0</v>
      </c>
      <c r="O431" s="294"/>
    </row>
    <row r="432" spans="1:15" x14ac:dyDescent="0.15">
      <c r="A432" s="294"/>
      <c r="B432" s="423" t="str">
        <f>IF($E432="",IF($D432="","",VLOOKUP($D432,TableInputsData[],ReadMe!$M$3,FALSE)),VLOOKUP($D432,TableInputsData[],ReadMe!$M$3,FALSE)&amp;"  |  "&amp;VLOOKUP($E432,TableInputsData[],ReadMe!$M$3,FALSE))</f>
        <v>DEPENSES OPERATIONNELLES  |  IMPOTS ET TAXES SUR PERSONNEL</v>
      </c>
      <c r="C432" s="294"/>
      <c r="D432" s="1" t="s">
        <v>645</v>
      </c>
      <c r="E432" s="1" t="s">
        <v>648</v>
      </c>
      <c r="F432" s="1" t="s">
        <v>861</v>
      </c>
      <c r="G432" s="2">
        <v>0</v>
      </c>
      <c r="H432" s="2">
        <v>0</v>
      </c>
      <c r="I432" s="2">
        <v>0</v>
      </c>
      <c r="J432" s="2">
        <v>0</v>
      </c>
      <c r="K432" s="2">
        <v>0</v>
      </c>
      <c r="L432" s="2">
        <v>0</v>
      </c>
      <c r="M432" s="2">
        <v>0</v>
      </c>
      <c r="N432" s="2">
        <v>0</v>
      </c>
      <c r="O432" s="294"/>
    </row>
    <row r="433" spans="1:15" x14ac:dyDescent="0.15">
      <c r="A433" s="294"/>
      <c r="B433" s="423" t="str">
        <f>IF($E433="",IF($D433="","",VLOOKUP($D433,TableInputsData[],ReadMe!$M$3,FALSE)),VLOOKUP($D433,TableInputsData[],ReadMe!$M$3,FALSE)&amp;"  |  "&amp;VLOOKUP($E433,TableInputsData[],ReadMe!$M$3,FALSE))</f>
        <v>DEPENSES OPERATIONNELLES  |  COUTS DE L'OFFICE</v>
      </c>
      <c r="C433" s="294"/>
      <c r="D433" s="1" t="s">
        <v>645</v>
      </c>
      <c r="E433" s="1" t="s">
        <v>650</v>
      </c>
      <c r="F433" s="1" t="s">
        <v>70</v>
      </c>
      <c r="G433" s="2">
        <v>0</v>
      </c>
      <c r="H433" s="2">
        <v>0</v>
      </c>
      <c r="I433" s="2">
        <v>0</v>
      </c>
      <c r="J433" s="2">
        <v>0</v>
      </c>
      <c r="K433" s="2">
        <v>0</v>
      </c>
      <c r="L433" s="2">
        <v>0</v>
      </c>
      <c r="M433" s="2">
        <v>0</v>
      </c>
      <c r="N433" s="2">
        <v>0</v>
      </c>
      <c r="O433" s="294"/>
    </row>
    <row r="434" spans="1:15" x14ac:dyDescent="0.15">
      <c r="A434" s="294"/>
      <c r="B434" s="423" t="str">
        <f>IF($E434="",IF($D434="","",VLOOKUP($D434,TableInputsData[],ReadMe!$M$3,FALSE)),VLOOKUP($D434,TableInputsData[],ReadMe!$M$3,FALSE)&amp;"  |  "&amp;VLOOKUP($E434,TableInputsData[],ReadMe!$M$3,FALSE))</f>
        <v>DEPENSES OPERATIONNELLES  |  AUTRES CHARGES</v>
      </c>
      <c r="C434" s="294"/>
      <c r="D434" s="1" t="s">
        <v>645</v>
      </c>
      <c r="E434" s="1" t="s">
        <v>657</v>
      </c>
      <c r="F434" s="1" t="s">
        <v>862</v>
      </c>
      <c r="G434" s="2">
        <v>0</v>
      </c>
      <c r="H434" s="2">
        <v>0</v>
      </c>
      <c r="I434" s="2">
        <v>0</v>
      </c>
      <c r="J434" s="2">
        <v>0</v>
      </c>
      <c r="K434" s="2">
        <v>0</v>
      </c>
      <c r="L434" s="2">
        <v>0</v>
      </c>
      <c r="M434" s="2">
        <v>0</v>
      </c>
      <c r="N434" s="2">
        <v>0</v>
      </c>
      <c r="O434" s="294"/>
    </row>
    <row r="435" spans="1:15" x14ac:dyDescent="0.15">
      <c r="A435" s="294"/>
      <c r="B435" s="423" t="str">
        <f>IF($E435="",IF($D435="","",VLOOKUP($D435,TableInputsData[],ReadMe!$M$3,FALSE)),VLOOKUP($D435,TableInputsData[],ReadMe!$M$3,FALSE)&amp;"  |  "&amp;VLOOKUP($E435,TableInputsData[],ReadMe!$M$3,FALSE))</f>
        <v>DEPENSES OPERATIONNELLES  |  VOYAGE &amp; DEPLACEMENT</v>
      </c>
      <c r="C435" s="294"/>
      <c r="D435" s="1" t="s">
        <v>645</v>
      </c>
      <c r="E435" s="1" t="s">
        <v>658</v>
      </c>
      <c r="F435" s="1" t="s">
        <v>663</v>
      </c>
      <c r="G435" s="2">
        <v>0</v>
      </c>
      <c r="H435" s="2">
        <v>0</v>
      </c>
      <c r="I435" s="2">
        <v>0</v>
      </c>
      <c r="J435" s="2">
        <v>0</v>
      </c>
      <c r="K435" s="2">
        <v>0</v>
      </c>
      <c r="L435" s="2">
        <v>0</v>
      </c>
      <c r="M435" s="2">
        <v>0</v>
      </c>
      <c r="N435" s="2">
        <v>0</v>
      </c>
      <c r="O435" s="294"/>
    </row>
    <row r="436" spans="1:15" x14ac:dyDescent="0.15">
      <c r="A436" s="294"/>
      <c r="B436" s="423" t="str">
        <f>IF($E436="",IF($D436="","",VLOOKUP($D436,TableInputsData[],ReadMe!$M$3,FALSE)),VLOOKUP($D436,TableInputsData[],ReadMe!$M$3,FALSE)&amp;"  |  "&amp;VLOOKUP($E436,TableInputsData[],ReadMe!$M$3,FALSE))</f>
        <v>DEPENSES OPERATIONNELLES  |  ASSURANCES</v>
      </c>
      <c r="C436" s="294"/>
      <c r="D436" s="1" t="s">
        <v>645</v>
      </c>
      <c r="E436" s="1" t="s">
        <v>659</v>
      </c>
      <c r="F436" s="1" t="s">
        <v>659</v>
      </c>
      <c r="G436" s="2">
        <v>0</v>
      </c>
      <c r="H436" s="2">
        <v>0</v>
      </c>
      <c r="I436" s="2">
        <v>0</v>
      </c>
      <c r="J436" s="2">
        <v>0</v>
      </c>
      <c r="K436" s="2">
        <v>0</v>
      </c>
      <c r="L436" s="2">
        <v>0</v>
      </c>
      <c r="M436" s="2">
        <v>0</v>
      </c>
      <c r="N436" s="2">
        <v>0</v>
      </c>
      <c r="O436" s="294"/>
    </row>
    <row r="437" spans="1:15" x14ac:dyDescent="0.15">
      <c r="A437" s="294"/>
      <c r="B437" s="423" t="str">
        <f>IF($E437="",IF($D437="","",VLOOKUP($D437,TableInputsData[],ReadMe!$M$3,FALSE)),VLOOKUP($D437,TableInputsData[],ReadMe!$M$3,FALSE)&amp;"  |  "&amp;VLOOKUP($E437,TableInputsData[],ReadMe!$M$3,FALSE))</f>
        <v>DEPENSES OPERATIONNELLES  |  ENTRETIEN</v>
      </c>
      <c r="C437" s="294"/>
      <c r="D437" s="1" t="s">
        <v>645</v>
      </c>
      <c r="E437" s="1" t="s">
        <v>660</v>
      </c>
      <c r="F437" s="1" t="s">
        <v>660</v>
      </c>
      <c r="G437" s="2">
        <v>0</v>
      </c>
      <c r="H437" s="2">
        <v>0</v>
      </c>
      <c r="I437" s="2">
        <v>0</v>
      </c>
      <c r="J437" s="2">
        <v>0</v>
      </c>
      <c r="K437" s="2">
        <v>0</v>
      </c>
      <c r="L437" s="2">
        <v>0</v>
      </c>
      <c r="M437" s="2">
        <v>0</v>
      </c>
      <c r="N437" s="2">
        <v>0</v>
      </c>
      <c r="O437" s="294"/>
    </row>
    <row r="438" spans="1:15" x14ac:dyDescent="0.15">
      <c r="A438" s="294"/>
      <c r="B438" s="423" t="str">
        <f>IF($E438="",IF($D438="","",VLOOKUP($D438,TableInputsData[],ReadMe!$M$3,FALSE)),VLOOKUP($D438,TableInputsData[],ReadMe!$M$3,FALSE)&amp;"  |  "&amp;VLOOKUP($E438,TableInputsData[],ReadMe!$M$3,FALSE))</f>
        <v>DEPENSES OPERATIONNELLES  |  TIERCES PARTIES</v>
      </c>
      <c r="C438" s="294"/>
      <c r="D438" s="1" t="s">
        <v>645</v>
      </c>
      <c r="E438" s="1" t="s">
        <v>661</v>
      </c>
      <c r="F438" s="1" t="s">
        <v>661</v>
      </c>
      <c r="G438" s="2">
        <v>0</v>
      </c>
      <c r="H438" s="2">
        <v>0</v>
      </c>
      <c r="I438" s="2">
        <v>0</v>
      </c>
      <c r="J438" s="2">
        <v>0</v>
      </c>
      <c r="K438" s="2">
        <v>0</v>
      </c>
      <c r="L438" s="2">
        <v>0</v>
      </c>
      <c r="M438" s="2">
        <v>0</v>
      </c>
      <c r="N438" s="2">
        <v>0</v>
      </c>
      <c r="O438" s="294"/>
    </row>
    <row r="439" spans="1:15" x14ac:dyDescent="0.2">
      <c r="A439" s="294"/>
      <c r="B439" s="394" t="str">
        <f>IF($E439="",IF($D439="","",VLOOKUP($D439,TableInputsData[],ReadMe!$M$3,FALSE)),VLOOKUP($D439,TableInputsData[],ReadMe!$M$3,FALSE)&amp;"  |  "&amp;VLOOKUP($E439,TableInputsData[],ReadMe!$M$3,FALSE))</f>
        <v>DEPENSES OPERATIONNELLES  |  DEPENSES OPERATIONNELLES</v>
      </c>
      <c r="C439" s="294"/>
      <c r="D439" s="393" t="s">
        <v>645</v>
      </c>
      <c r="E439" s="393" t="s">
        <v>645</v>
      </c>
      <c r="F439" s="393" t="s">
        <v>664</v>
      </c>
      <c r="G439" s="389">
        <v>0</v>
      </c>
      <c r="H439" s="389">
        <v>0</v>
      </c>
      <c r="I439" s="389">
        <v>0</v>
      </c>
      <c r="J439" s="389">
        <v>0</v>
      </c>
      <c r="K439" s="389">
        <v>0</v>
      </c>
      <c r="L439" s="389">
        <v>0</v>
      </c>
      <c r="M439" s="389">
        <v>0</v>
      </c>
      <c r="N439" s="390">
        <v>0</v>
      </c>
      <c r="O439" s="294"/>
    </row>
    <row r="440" spans="1:15" ht="16" x14ac:dyDescent="0.2">
      <c r="A440" s="294"/>
      <c r="B440" s="423" t="str">
        <f>IF($E440="",IF($D440="","",VLOOKUP($D440,TableInputsData[],ReadMe!$M$3,FALSE)),VLOOKUP($D440,TableInputsData[],ReadMe!$M$3,FALSE)&amp;"  |  "&amp;VLOOKUP($E440,TableInputsData[],ReadMe!$M$3,FALSE))</f>
        <v/>
      </c>
      <c r="C440" s="294"/>
      <c r="D440"/>
      <c r="E440"/>
      <c r="F440"/>
      <c r="G440"/>
      <c r="H440"/>
      <c r="I440" s="163"/>
      <c r="J440" s="163"/>
      <c r="K440" s="163"/>
      <c r="L440" s="163"/>
      <c r="M440" s="163"/>
      <c r="N440" s="163"/>
      <c r="O440" s="294"/>
    </row>
    <row r="441" spans="1:15" hidden="1" outlineLevel="1" x14ac:dyDescent="0.15">
      <c r="A441" s="294"/>
      <c r="B441" s="423" t="str">
        <f>IF($E441="",IF($D441="","",VLOOKUP($D441,TableInputsData[],ReadMe!$M$3,FALSE)),VLOOKUP($D441,TableInputsData[],ReadMe!$M$3,FALSE)&amp;"  |  "&amp;VLOOKUP($E441,TableInputsData[],ReadMe!$M$3,FALSE))</f>
        <v/>
      </c>
      <c r="C441" s="294"/>
      <c r="G441" s="163"/>
      <c r="H441" s="163"/>
      <c r="I441" s="163"/>
      <c r="J441" s="163"/>
      <c r="K441" s="163"/>
      <c r="L441" s="163"/>
      <c r="M441" s="163"/>
      <c r="N441" s="163"/>
      <c r="O441" s="294"/>
    </row>
    <row r="442" spans="1:15" hidden="1" outlineLevel="1" x14ac:dyDescent="0.15">
      <c r="A442" s="294"/>
      <c r="B442" s="423" t="str">
        <f>IF($E442="",IF($D442="","",VLOOKUP($D442,TableInputsData[],ReadMe!$M$3,FALSE)),VLOOKUP($D442,TableInputsData[],ReadMe!$M$3,FALSE)&amp;"  |  "&amp;VLOOKUP($E442,TableInputsData[],ReadMe!$M$3,FALSE))</f>
        <v/>
      </c>
      <c r="C442" s="294"/>
      <c r="G442" s="163"/>
      <c r="H442" s="163"/>
      <c r="I442" s="163"/>
      <c r="J442" s="163"/>
      <c r="K442" s="163"/>
      <c r="L442" s="163"/>
      <c r="M442" s="163"/>
      <c r="N442" s="163"/>
      <c r="O442" s="294"/>
    </row>
    <row r="443" spans="1:15" hidden="1" outlineLevel="1" x14ac:dyDescent="0.15">
      <c r="A443" s="294"/>
      <c r="B443" s="423" t="str">
        <f>IF($E443="",IF($D443="","",VLOOKUP($D443,TableInputsData[],ReadMe!$M$3,FALSE)),VLOOKUP($D443,TableInputsData[],ReadMe!$M$3,FALSE)&amp;"  |  "&amp;VLOOKUP($E443,TableInputsData[],ReadMe!$M$3,FALSE))</f>
        <v/>
      </c>
      <c r="C443" s="294"/>
      <c r="G443" s="163"/>
      <c r="H443" s="163"/>
      <c r="I443" s="163"/>
      <c r="J443" s="163"/>
      <c r="K443" s="163"/>
      <c r="L443" s="163"/>
      <c r="M443" s="163"/>
      <c r="N443" s="163"/>
      <c r="O443" s="294"/>
    </row>
    <row r="444" spans="1:15" hidden="1" outlineLevel="1" x14ac:dyDescent="0.15">
      <c r="A444" s="294"/>
      <c r="B444" s="423" t="str">
        <f>IF($E444="",IF($D444="","",VLOOKUP($D444,TableInputsData[],ReadMe!$M$3,FALSE)),VLOOKUP($D444,TableInputsData[],ReadMe!$M$3,FALSE)&amp;"  |  "&amp;VLOOKUP($E444,TableInputsData[],ReadMe!$M$3,FALSE))</f>
        <v/>
      </c>
      <c r="C444" s="294"/>
      <c r="G444" s="163"/>
      <c r="H444" s="163"/>
      <c r="I444" s="163"/>
      <c r="J444" s="163"/>
      <c r="K444" s="163"/>
      <c r="L444" s="163"/>
      <c r="M444" s="163"/>
      <c r="N444" s="163"/>
      <c r="O444" s="294"/>
    </row>
    <row r="445" spans="1:15" hidden="1" outlineLevel="1" x14ac:dyDescent="0.15">
      <c r="A445" s="294"/>
      <c r="B445" s="423" t="str">
        <f>IF($E445="",IF($D445="","",VLOOKUP($D445,TableInputsData[],ReadMe!$M$3,FALSE)),VLOOKUP($D445,TableInputsData[],ReadMe!$M$3,FALSE)&amp;"  |  "&amp;VLOOKUP($E445,TableInputsData[],ReadMe!$M$3,FALSE))</f>
        <v/>
      </c>
      <c r="C445" s="294"/>
      <c r="G445" s="163"/>
      <c r="H445" s="163"/>
      <c r="I445" s="163"/>
      <c r="J445" s="163"/>
      <c r="K445" s="163"/>
      <c r="L445" s="163"/>
      <c r="M445" s="163"/>
      <c r="N445" s="163"/>
      <c r="O445" s="294"/>
    </row>
    <row r="446" spans="1:15" hidden="1" outlineLevel="1" x14ac:dyDescent="0.15">
      <c r="A446" s="294"/>
      <c r="B446" s="423" t="str">
        <f>IF($E446="",IF($D446="","",VLOOKUP($D446,TableInputsData[],ReadMe!$M$3,FALSE)),VLOOKUP($D446,TableInputsData[],ReadMe!$M$3,FALSE)&amp;"  |  "&amp;VLOOKUP($E446,TableInputsData[],ReadMe!$M$3,FALSE))</f>
        <v/>
      </c>
      <c r="C446" s="294"/>
      <c r="G446" s="163"/>
      <c r="H446" s="163"/>
      <c r="I446" s="163"/>
      <c r="J446" s="163"/>
      <c r="K446" s="163"/>
      <c r="L446" s="163"/>
      <c r="M446" s="163"/>
      <c r="N446" s="163"/>
      <c r="O446" s="294"/>
    </row>
    <row r="447" spans="1:15" hidden="1" outlineLevel="1" x14ac:dyDescent="0.15">
      <c r="A447" s="294"/>
      <c r="B447" s="423" t="str">
        <f>IF($E447="",IF($D447="","",VLOOKUP($D447,TableInputsData[],ReadMe!$M$3,FALSE)),VLOOKUP($D447,TableInputsData[],ReadMe!$M$3,FALSE)&amp;"  |  "&amp;VLOOKUP($E447,TableInputsData[],ReadMe!$M$3,FALSE))</f>
        <v/>
      </c>
      <c r="C447" s="294"/>
      <c r="G447" s="163"/>
      <c r="H447" s="163"/>
      <c r="I447" s="163"/>
      <c r="J447" s="163"/>
      <c r="K447" s="163"/>
      <c r="L447" s="163"/>
      <c r="M447" s="163"/>
      <c r="N447" s="163"/>
      <c r="O447" s="294"/>
    </row>
    <row r="448" spans="1:15" hidden="1" outlineLevel="1" x14ac:dyDescent="0.15">
      <c r="A448" s="294"/>
      <c r="B448" s="423" t="str">
        <f>IF($E448="",IF($D448="","",VLOOKUP($D448,TableInputsData[],ReadMe!$M$3,FALSE)),VLOOKUP($D448,TableInputsData[],ReadMe!$M$3,FALSE)&amp;"  |  "&amp;VLOOKUP($E448,TableInputsData[],ReadMe!$M$3,FALSE))</f>
        <v/>
      </c>
      <c r="C448" s="294"/>
      <c r="G448" s="163"/>
      <c r="H448" s="163"/>
      <c r="I448" s="163"/>
      <c r="J448" s="163"/>
      <c r="K448" s="163"/>
      <c r="L448" s="163"/>
      <c r="M448" s="163"/>
      <c r="N448" s="163"/>
      <c r="O448" s="294"/>
    </row>
    <row r="449" spans="1:15" hidden="1" outlineLevel="1" x14ac:dyDescent="0.15">
      <c r="A449" s="294"/>
      <c r="B449" s="423" t="str">
        <f>IF($E449="",IF($D449="","",VLOOKUP($D449,TableInputsData[],ReadMe!$M$3,FALSE)),VLOOKUP($D449,TableInputsData[],ReadMe!$M$3,FALSE)&amp;"  |  "&amp;VLOOKUP($E449,TableInputsData[],ReadMe!$M$3,FALSE))</f>
        <v/>
      </c>
      <c r="C449" s="294"/>
      <c r="G449" s="163"/>
      <c r="H449" s="163"/>
      <c r="I449" s="163"/>
      <c r="J449" s="163"/>
      <c r="K449" s="163"/>
      <c r="L449" s="163"/>
      <c r="M449" s="163"/>
      <c r="N449" s="163"/>
      <c r="O449" s="294"/>
    </row>
    <row r="450" spans="1:15" hidden="1" outlineLevel="1" x14ac:dyDescent="0.15">
      <c r="A450" s="294"/>
      <c r="B450" s="423" t="str">
        <f>IF($E450="",IF($D450="","",VLOOKUP($D450,TableInputsData[],ReadMe!$M$3,FALSE)),VLOOKUP($D450,TableInputsData[],ReadMe!$M$3,FALSE)&amp;"  |  "&amp;VLOOKUP($E450,TableInputsData[],ReadMe!$M$3,FALSE))</f>
        <v/>
      </c>
      <c r="C450" s="294"/>
      <c r="G450" s="163"/>
      <c r="H450" s="163"/>
      <c r="I450" s="163"/>
      <c r="J450" s="163"/>
      <c r="K450" s="163"/>
      <c r="L450" s="163"/>
      <c r="M450" s="163"/>
      <c r="N450" s="163"/>
      <c r="O450" s="294"/>
    </row>
    <row r="451" spans="1:15" hidden="1" outlineLevel="1" x14ac:dyDescent="0.15">
      <c r="A451" s="294"/>
      <c r="B451" s="423" t="str">
        <f>IF($E451="",IF($D451="","",VLOOKUP($D451,TableInputsData[],ReadMe!$M$3,FALSE)),VLOOKUP($D451,TableInputsData[],ReadMe!$M$3,FALSE)&amp;"  |  "&amp;VLOOKUP($E451,TableInputsData[],ReadMe!$M$3,FALSE))</f>
        <v/>
      </c>
      <c r="C451" s="294"/>
      <c r="G451" s="163"/>
      <c r="H451" s="163"/>
      <c r="I451" s="163"/>
      <c r="J451" s="163"/>
      <c r="K451" s="163"/>
      <c r="L451" s="163"/>
      <c r="M451" s="163"/>
      <c r="N451" s="163"/>
      <c r="O451" s="294"/>
    </row>
    <row r="452" spans="1:15" hidden="1" outlineLevel="1" x14ac:dyDescent="0.15">
      <c r="A452" s="294"/>
      <c r="B452" s="423" t="str">
        <f>IF($E452="",IF($D452="","",VLOOKUP($D452,TableInputsData[],ReadMe!$M$3,FALSE)),VLOOKUP($D452,TableInputsData[],ReadMe!$M$3,FALSE)&amp;"  |  "&amp;VLOOKUP($E452,TableInputsData[],ReadMe!$M$3,FALSE))</f>
        <v/>
      </c>
      <c r="C452" s="294"/>
      <c r="G452" s="163"/>
      <c r="H452" s="163"/>
      <c r="I452" s="163"/>
      <c r="J452" s="163"/>
      <c r="K452" s="163"/>
      <c r="L452" s="163"/>
      <c r="M452" s="163"/>
      <c r="N452" s="163"/>
      <c r="O452" s="294"/>
    </row>
    <row r="453" spans="1:15" hidden="1" outlineLevel="1" x14ac:dyDescent="0.15">
      <c r="A453" s="294"/>
      <c r="B453" s="423" t="str">
        <f>IF($E453="",IF($D453="","",VLOOKUP($D453,TableInputsData[],ReadMe!$M$3,FALSE)),VLOOKUP($D453,TableInputsData[],ReadMe!$M$3,FALSE)&amp;"  |  "&amp;VLOOKUP($E453,TableInputsData[],ReadMe!$M$3,FALSE))</f>
        <v/>
      </c>
      <c r="C453" s="294"/>
      <c r="G453" s="163"/>
      <c r="H453" s="163"/>
      <c r="I453" s="163"/>
      <c r="J453" s="163"/>
      <c r="K453" s="163"/>
      <c r="L453" s="163"/>
      <c r="M453" s="163"/>
      <c r="N453" s="163"/>
      <c r="O453" s="294"/>
    </row>
    <row r="454" spans="1:15" hidden="1" outlineLevel="1" x14ac:dyDescent="0.15">
      <c r="A454" s="294"/>
      <c r="B454" s="423" t="str">
        <f>IF($E454="",IF($D454="","",VLOOKUP($D454,TableInputsData[],ReadMe!$M$3,FALSE)),VLOOKUP($D454,TableInputsData[],ReadMe!$M$3,FALSE)&amp;"  |  "&amp;VLOOKUP($E454,TableInputsData[],ReadMe!$M$3,FALSE))</f>
        <v/>
      </c>
      <c r="C454" s="294"/>
      <c r="G454" s="163"/>
      <c r="H454" s="163"/>
      <c r="I454" s="163"/>
      <c r="J454" s="163"/>
      <c r="K454" s="163"/>
      <c r="L454" s="163"/>
      <c r="M454" s="163"/>
      <c r="N454" s="163"/>
      <c r="O454" s="294"/>
    </row>
    <row r="455" spans="1:15" hidden="1" outlineLevel="1" x14ac:dyDescent="0.15">
      <c r="A455" s="294"/>
      <c r="B455" s="423" t="str">
        <f>IF($E455="",IF($D455="","",VLOOKUP($D455,TableInputsData[],ReadMe!$M$3,FALSE)),VLOOKUP($D455,TableInputsData[],ReadMe!$M$3,FALSE)&amp;"  |  "&amp;VLOOKUP($E455,TableInputsData[],ReadMe!$M$3,FALSE))</f>
        <v/>
      </c>
      <c r="C455" s="294"/>
      <c r="G455" s="163"/>
      <c r="H455" s="163"/>
      <c r="I455" s="163"/>
      <c r="J455" s="163"/>
      <c r="K455" s="163"/>
      <c r="L455" s="163"/>
      <c r="M455" s="163"/>
      <c r="N455" s="163"/>
      <c r="O455" s="294"/>
    </row>
    <row r="456" spans="1:15" hidden="1" outlineLevel="1" x14ac:dyDescent="0.15">
      <c r="A456" s="294"/>
      <c r="B456" s="423" t="str">
        <f>IF($E456="",IF($D456="","",VLOOKUP($D456,TableInputsData[],ReadMe!$M$3,FALSE)),VLOOKUP($D456,TableInputsData[],ReadMe!$M$3,FALSE)&amp;"  |  "&amp;VLOOKUP($E456,TableInputsData[],ReadMe!$M$3,FALSE))</f>
        <v/>
      </c>
      <c r="C456" s="294"/>
      <c r="G456" s="163"/>
      <c r="H456" s="163"/>
      <c r="I456" s="163"/>
      <c r="J456" s="163"/>
      <c r="K456" s="163"/>
      <c r="L456" s="163"/>
      <c r="M456" s="163"/>
      <c r="N456" s="163"/>
      <c r="O456" s="294"/>
    </row>
    <row r="457" spans="1:15" hidden="1" outlineLevel="1" x14ac:dyDescent="0.15">
      <c r="A457" s="294"/>
      <c r="B457" s="423" t="str">
        <f>IF($E457="",IF($D457="","",VLOOKUP($D457,TableInputsData[],ReadMe!$M$3,FALSE)),VLOOKUP($D457,TableInputsData[],ReadMe!$M$3,FALSE)&amp;"  |  "&amp;VLOOKUP($E457,TableInputsData[],ReadMe!$M$3,FALSE))</f>
        <v/>
      </c>
      <c r="C457" s="294"/>
      <c r="G457" s="163"/>
      <c r="H457" s="163"/>
      <c r="I457" s="163"/>
      <c r="J457" s="163"/>
      <c r="K457" s="163"/>
      <c r="L457" s="163"/>
      <c r="M457" s="163"/>
      <c r="N457" s="163"/>
      <c r="O457" s="294"/>
    </row>
    <row r="458" spans="1:15" hidden="1" outlineLevel="1" x14ac:dyDescent="0.15">
      <c r="A458" s="294"/>
      <c r="B458" s="423" t="str">
        <f>IF($E458="",IF($D458="","",VLOOKUP($D458,TableInputsData[],ReadMe!$M$3,FALSE)),VLOOKUP($D458,TableInputsData[],ReadMe!$M$3,FALSE)&amp;"  |  "&amp;VLOOKUP($E458,TableInputsData[],ReadMe!$M$3,FALSE))</f>
        <v/>
      </c>
      <c r="C458" s="294"/>
      <c r="G458" s="163"/>
      <c r="H458" s="163"/>
      <c r="I458" s="163"/>
      <c r="J458" s="163"/>
      <c r="K458" s="163"/>
      <c r="L458" s="163"/>
      <c r="M458" s="163"/>
      <c r="N458" s="163"/>
      <c r="O458" s="294"/>
    </row>
    <row r="459" spans="1:15" hidden="1" outlineLevel="1" x14ac:dyDescent="0.15">
      <c r="A459" s="294"/>
      <c r="B459" s="423" t="str">
        <f>IF($E459="",IF($D459="","",VLOOKUP($D459,TableInputsData[],ReadMe!$M$3,FALSE)),VLOOKUP($D459,TableInputsData[],ReadMe!$M$3,FALSE)&amp;"  |  "&amp;VLOOKUP($E459,TableInputsData[],ReadMe!$M$3,FALSE))</f>
        <v/>
      </c>
      <c r="C459" s="294"/>
      <c r="G459" s="163"/>
      <c r="H459" s="163"/>
      <c r="I459" s="163"/>
      <c r="J459" s="163"/>
      <c r="K459" s="163"/>
      <c r="L459" s="163"/>
      <c r="M459" s="163"/>
      <c r="N459" s="163"/>
      <c r="O459" s="294"/>
    </row>
    <row r="460" spans="1:15" hidden="1" outlineLevel="1" x14ac:dyDescent="0.15">
      <c r="A460" s="294"/>
      <c r="B460" s="423" t="str">
        <f>IF($E460="",IF($D460="","",VLOOKUP($D460,TableInputsData[],ReadMe!$M$3,FALSE)),VLOOKUP($D460,TableInputsData[],ReadMe!$M$3,FALSE)&amp;"  |  "&amp;VLOOKUP($E460,TableInputsData[],ReadMe!$M$3,FALSE))</f>
        <v/>
      </c>
      <c r="C460" s="294"/>
      <c r="G460" s="163"/>
      <c r="H460" s="163"/>
      <c r="I460" s="163"/>
      <c r="J460" s="163"/>
      <c r="K460" s="163"/>
      <c r="L460" s="163"/>
      <c r="M460" s="163"/>
      <c r="N460" s="163"/>
      <c r="O460" s="294"/>
    </row>
    <row r="461" spans="1:15" hidden="1" outlineLevel="1" x14ac:dyDescent="0.15">
      <c r="A461" s="294"/>
      <c r="B461" s="423" t="str">
        <f>IF($E461="",IF($D461="","",VLOOKUP($D461,TableInputsData[],ReadMe!$M$3,FALSE)),VLOOKUP($D461,TableInputsData[],ReadMe!$M$3,FALSE)&amp;"  |  "&amp;VLOOKUP($E461,TableInputsData[],ReadMe!$M$3,FALSE))</f>
        <v/>
      </c>
      <c r="C461" s="294"/>
      <c r="G461" s="163"/>
      <c r="H461" s="163"/>
      <c r="I461" s="163"/>
      <c r="J461" s="163"/>
      <c r="K461" s="163"/>
      <c r="L461" s="163"/>
      <c r="M461" s="163"/>
      <c r="N461" s="163"/>
      <c r="O461" s="294"/>
    </row>
    <row r="462" spans="1:15" hidden="1" outlineLevel="1" x14ac:dyDescent="0.15">
      <c r="A462" s="294"/>
      <c r="B462" s="423" t="str">
        <f>IF($E462="",IF($D462="","",VLOOKUP($D462,TableInputsData[],ReadMe!$M$3,FALSE)),VLOOKUP($D462,TableInputsData[],ReadMe!$M$3,FALSE)&amp;"  |  "&amp;VLOOKUP($E462,TableInputsData[],ReadMe!$M$3,FALSE))</f>
        <v/>
      </c>
      <c r="C462" s="294"/>
      <c r="G462" s="163"/>
      <c r="H462" s="163"/>
      <c r="I462" s="163"/>
      <c r="J462" s="163"/>
      <c r="K462" s="163"/>
      <c r="L462" s="163"/>
      <c r="M462" s="163"/>
      <c r="N462" s="163"/>
      <c r="O462" s="294"/>
    </row>
    <row r="463" spans="1:15" hidden="1" outlineLevel="1" x14ac:dyDescent="0.15">
      <c r="A463" s="294"/>
      <c r="B463" s="423" t="str">
        <f>IF($E463="",IF($D463="","",VLOOKUP($D463,TableInputsData[],ReadMe!$M$3,FALSE)),VLOOKUP($D463,TableInputsData[],ReadMe!$M$3,FALSE)&amp;"  |  "&amp;VLOOKUP($E463,TableInputsData[],ReadMe!$M$3,FALSE))</f>
        <v/>
      </c>
      <c r="C463" s="294"/>
      <c r="G463" s="163"/>
      <c r="H463" s="163"/>
      <c r="I463" s="163"/>
      <c r="J463" s="163"/>
      <c r="K463" s="163"/>
      <c r="L463" s="163"/>
      <c r="M463" s="163"/>
      <c r="N463" s="163"/>
      <c r="O463" s="294"/>
    </row>
    <row r="464" spans="1:15" hidden="1" outlineLevel="1" x14ac:dyDescent="0.15">
      <c r="A464" s="294"/>
      <c r="B464" s="423" t="str">
        <f>IF($E464="",IF($D464="","",VLOOKUP($D464,TableInputsData[],ReadMe!$M$3,FALSE)),VLOOKUP($D464,TableInputsData[],ReadMe!$M$3,FALSE)&amp;"  |  "&amp;VLOOKUP($E464,TableInputsData[],ReadMe!$M$3,FALSE))</f>
        <v/>
      </c>
      <c r="C464" s="294"/>
      <c r="G464" s="163"/>
      <c r="H464" s="163"/>
      <c r="I464" s="163"/>
      <c r="J464" s="163"/>
      <c r="K464" s="163"/>
      <c r="L464" s="163"/>
      <c r="M464" s="163"/>
      <c r="N464" s="163"/>
      <c r="O464" s="294"/>
    </row>
    <row r="465" spans="1:15" hidden="1" outlineLevel="1" x14ac:dyDescent="0.15">
      <c r="A465" s="294"/>
      <c r="B465" s="423" t="str">
        <f>IF($E465="",IF($D465="","",VLOOKUP($D465,TableInputsData[],ReadMe!$M$3,FALSE)),VLOOKUP($D465,TableInputsData[],ReadMe!$M$3,FALSE)&amp;"  |  "&amp;VLOOKUP($E465,TableInputsData[],ReadMe!$M$3,FALSE))</f>
        <v/>
      </c>
      <c r="C465" s="294"/>
      <c r="G465" s="163"/>
      <c r="H465" s="163"/>
      <c r="I465" s="163"/>
      <c r="J465" s="163"/>
      <c r="K465" s="163"/>
      <c r="L465" s="163"/>
      <c r="M465" s="163"/>
      <c r="N465" s="163"/>
      <c r="O465" s="294"/>
    </row>
    <row r="466" spans="1:15" hidden="1" outlineLevel="1" x14ac:dyDescent="0.15">
      <c r="A466" s="294"/>
      <c r="B466" s="423" t="str">
        <f>IF($E466="",IF($D466="","",VLOOKUP($D466,TableInputsData[],ReadMe!$M$3,FALSE)),VLOOKUP($D466,TableInputsData[],ReadMe!$M$3,FALSE)&amp;"  |  "&amp;VLOOKUP($E466,TableInputsData[],ReadMe!$M$3,FALSE))</f>
        <v/>
      </c>
      <c r="C466" s="294"/>
      <c r="G466" s="163"/>
      <c r="H466" s="163"/>
      <c r="I466" s="163"/>
      <c r="J466" s="163"/>
      <c r="K466" s="163"/>
      <c r="L466" s="163"/>
      <c r="M466" s="163"/>
      <c r="N466" s="163"/>
      <c r="O466" s="294"/>
    </row>
    <row r="467" spans="1:15" hidden="1" outlineLevel="1" x14ac:dyDescent="0.15">
      <c r="A467" s="294"/>
      <c r="B467" s="423" t="str">
        <f>IF($E467="",IF($D467="","",VLOOKUP($D467,TableInputsData[],ReadMe!$M$3,FALSE)),VLOOKUP($D467,TableInputsData[],ReadMe!$M$3,FALSE)&amp;"  |  "&amp;VLOOKUP($E467,TableInputsData[],ReadMe!$M$3,FALSE))</f>
        <v/>
      </c>
      <c r="C467" s="294"/>
      <c r="G467" s="163"/>
      <c r="H467" s="163"/>
      <c r="I467" s="163"/>
      <c r="J467" s="163"/>
      <c r="K467" s="163"/>
      <c r="L467" s="163"/>
      <c r="M467" s="163"/>
      <c r="N467" s="163"/>
      <c r="O467" s="294"/>
    </row>
    <row r="468" spans="1:15" hidden="1" outlineLevel="1" x14ac:dyDescent="0.15">
      <c r="A468" s="294"/>
      <c r="B468" s="423" t="str">
        <f>IF($E468="",IF($D468="","",VLOOKUP($D468,TableInputsData[],ReadMe!$M$3,FALSE)),VLOOKUP($D468,TableInputsData[],ReadMe!$M$3,FALSE)&amp;"  |  "&amp;VLOOKUP($E468,TableInputsData[],ReadMe!$M$3,FALSE))</f>
        <v/>
      </c>
      <c r="C468" s="294"/>
      <c r="G468" s="163"/>
      <c r="H468" s="163"/>
      <c r="I468" s="163"/>
      <c r="J468" s="163"/>
      <c r="K468" s="163"/>
      <c r="L468" s="163"/>
      <c r="M468" s="163"/>
      <c r="N468" s="163"/>
      <c r="O468" s="294"/>
    </row>
    <row r="469" spans="1:15" hidden="1" outlineLevel="1" x14ac:dyDescent="0.15">
      <c r="A469" s="294"/>
      <c r="B469" s="423" t="str">
        <f>IF($E469="",IF($D469="","",VLOOKUP($D469,TableInputsData[],ReadMe!$M$3,FALSE)),VLOOKUP($D469,TableInputsData[],ReadMe!$M$3,FALSE)&amp;"  |  "&amp;VLOOKUP($E469,TableInputsData[],ReadMe!$M$3,FALSE))</f>
        <v/>
      </c>
      <c r="C469" s="294"/>
      <c r="G469" s="163"/>
      <c r="H469" s="163"/>
      <c r="I469" s="163"/>
      <c r="J469" s="163"/>
      <c r="K469" s="163"/>
      <c r="L469" s="163"/>
      <c r="M469" s="163"/>
      <c r="N469" s="163"/>
      <c r="O469" s="294"/>
    </row>
    <row r="470" spans="1:15" hidden="1" outlineLevel="1" x14ac:dyDescent="0.15">
      <c r="A470" s="294"/>
      <c r="B470" s="423" t="str">
        <f>IF($E470="",IF($D470="","",VLOOKUP($D470,TableInputsData[],ReadMe!$M$3,FALSE)),VLOOKUP($D470,TableInputsData[],ReadMe!$M$3,FALSE)&amp;"  |  "&amp;VLOOKUP($E470,TableInputsData[],ReadMe!$M$3,FALSE))</f>
        <v/>
      </c>
      <c r="C470" s="294"/>
      <c r="G470" s="163"/>
      <c r="H470" s="163"/>
      <c r="I470" s="163"/>
      <c r="J470" s="163"/>
      <c r="K470" s="163"/>
      <c r="L470" s="163"/>
      <c r="M470" s="163"/>
      <c r="N470" s="163"/>
      <c r="O470" s="294"/>
    </row>
    <row r="471" spans="1:15" hidden="1" outlineLevel="1" x14ac:dyDescent="0.15">
      <c r="A471" s="294"/>
      <c r="B471" s="423" t="str">
        <f>IF($E471="",IF($D471="","",VLOOKUP($D471,TableInputsData[],ReadMe!$M$3,FALSE)),VLOOKUP($D471,TableInputsData[],ReadMe!$M$3,FALSE)&amp;"  |  "&amp;VLOOKUP($E471,TableInputsData[],ReadMe!$M$3,FALSE))</f>
        <v/>
      </c>
      <c r="C471" s="294"/>
      <c r="G471" s="163"/>
      <c r="H471" s="163"/>
      <c r="I471" s="163"/>
      <c r="J471" s="163"/>
      <c r="K471" s="163"/>
      <c r="L471" s="163"/>
      <c r="M471" s="163"/>
      <c r="N471" s="163"/>
      <c r="O471" s="294"/>
    </row>
    <row r="472" spans="1:15" hidden="1" outlineLevel="1" x14ac:dyDescent="0.15">
      <c r="A472" s="294"/>
      <c r="B472" s="423" t="str">
        <f>IF($E472="",IF($D472="","",VLOOKUP($D472,TableInputsData[],ReadMe!$M$3,FALSE)),VLOOKUP($D472,TableInputsData[],ReadMe!$M$3,FALSE)&amp;"  |  "&amp;VLOOKUP($E472,TableInputsData[],ReadMe!$M$3,FALSE))</f>
        <v/>
      </c>
      <c r="C472" s="294"/>
      <c r="G472" s="163"/>
      <c r="H472" s="163"/>
      <c r="I472" s="163"/>
      <c r="J472" s="163"/>
      <c r="K472" s="163"/>
      <c r="L472" s="163"/>
      <c r="M472" s="163"/>
      <c r="N472" s="163"/>
      <c r="O472" s="294"/>
    </row>
    <row r="473" spans="1:15" hidden="1" outlineLevel="1" x14ac:dyDescent="0.15">
      <c r="A473" s="294"/>
      <c r="B473" s="423" t="str">
        <f>IF($E473="",IF($D473="","",VLOOKUP($D473,TableInputsData[],ReadMe!$M$3,FALSE)),VLOOKUP($D473,TableInputsData[],ReadMe!$M$3,FALSE)&amp;"  |  "&amp;VLOOKUP($E473,TableInputsData[],ReadMe!$M$3,FALSE))</f>
        <v/>
      </c>
      <c r="C473" s="294"/>
      <c r="G473" s="163"/>
      <c r="H473" s="163"/>
      <c r="I473" s="163"/>
      <c r="J473" s="163"/>
      <c r="K473" s="163"/>
      <c r="L473" s="163"/>
      <c r="M473" s="163"/>
      <c r="N473" s="163"/>
      <c r="O473" s="294"/>
    </row>
    <row r="474" spans="1:15" hidden="1" outlineLevel="1" x14ac:dyDescent="0.15">
      <c r="A474" s="294"/>
      <c r="B474" s="423" t="str">
        <f>IF($E474="",IF($D474="","",VLOOKUP($D474,TableInputsData[],ReadMe!$M$3,FALSE)),VLOOKUP($D474,TableInputsData[],ReadMe!$M$3,FALSE)&amp;"  |  "&amp;VLOOKUP($E474,TableInputsData[],ReadMe!$M$3,FALSE))</f>
        <v/>
      </c>
      <c r="C474" s="294"/>
      <c r="G474" s="163"/>
      <c r="H474" s="163"/>
      <c r="I474" s="163"/>
      <c r="J474" s="163"/>
      <c r="K474" s="163"/>
      <c r="L474" s="163"/>
      <c r="M474" s="163"/>
      <c r="N474" s="163"/>
      <c r="O474" s="294"/>
    </row>
    <row r="475" spans="1:15" hidden="1" outlineLevel="1" x14ac:dyDescent="0.15">
      <c r="A475" s="294"/>
      <c r="B475" s="423" t="str">
        <f>IF($E475="",IF($D475="","",VLOOKUP($D475,TableInputsData[],ReadMe!$M$3,FALSE)),VLOOKUP($D475,TableInputsData[],ReadMe!$M$3,FALSE)&amp;"  |  "&amp;VLOOKUP($E475,TableInputsData[],ReadMe!$M$3,FALSE))</f>
        <v/>
      </c>
      <c r="C475" s="294"/>
      <c r="G475" s="163"/>
      <c r="H475" s="163"/>
      <c r="I475" s="163"/>
      <c r="J475" s="163"/>
      <c r="K475" s="163"/>
      <c r="L475" s="163"/>
      <c r="M475" s="163"/>
      <c r="N475" s="163"/>
      <c r="O475" s="294"/>
    </row>
    <row r="476" spans="1:15" hidden="1" outlineLevel="1" x14ac:dyDescent="0.15">
      <c r="A476" s="294"/>
      <c r="B476" s="423" t="str">
        <f>IF($E476="",IF($D476="","",VLOOKUP($D476,TableInputsData[],ReadMe!$M$3,FALSE)),VLOOKUP($D476,TableInputsData[],ReadMe!$M$3,FALSE)&amp;"  |  "&amp;VLOOKUP($E476,TableInputsData[],ReadMe!$M$3,FALSE))</f>
        <v/>
      </c>
      <c r="C476" s="294"/>
      <c r="G476" s="163"/>
      <c r="H476" s="163"/>
      <c r="I476" s="163"/>
      <c r="J476" s="163"/>
      <c r="K476" s="163"/>
      <c r="L476" s="163"/>
      <c r="M476" s="163"/>
      <c r="N476" s="163"/>
      <c r="O476" s="294"/>
    </row>
    <row r="477" spans="1:15" hidden="1" outlineLevel="1" x14ac:dyDescent="0.15">
      <c r="A477" s="294"/>
      <c r="B477" s="423" t="str">
        <f>IF($E477="",IF($D477="","",VLOOKUP($D477,TableInputsData[],ReadMe!$M$3,FALSE)),VLOOKUP($D477,TableInputsData[],ReadMe!$M$3,FALSE)&amp;"  |  "&amp;VLOOKUP($E477,TableInputsData[],ReadMe!$M$3,FALSE))</f>
        <v/>
      </c>
      <c r="C477" s="294"/>
      <c r="G477" s="163"/>
      <c r="H477" s="163"/>
      <c r="I477" s="163"/>
      <c r="J477" s="163"/>
      <c r="K477" s="163"/>
      <c r="L477" s="163"/>
      <c r="M477" s="163"/>
      <c r="N477" s="163"/>
      <c r="O477" s="294"/>
    </row>
    <row r="478" spans="1:15" hidden="1" outlineLevel="1" x14ac:dyDescent="0.15">
      <c r="A478" s="294"/>
      <c r="B478" s="423" t="str">
        <f>IF($E478="",IF($D478="","",VLOOKUP($D478,TableInputsData[],ReadMe!$M$3,FALSE)),VLOOKUP($D478,TableInputsData[],ReadMe!$M$3,FALSE)&amp;"  |  "&amp;VLOOKUP($E478,TableInputsData[],ReadMe!$M$3,FALSE))</f>
        <v/>
      </c>
      <c r="C478" s="294"/>
      <c r="G478" s="163"/>
      <c r="H478" s="163"/>
      <c r="I478" s="163"/>
      <c r="J478" s="163"/>
      <c r="K478" s="163"/>
      <c r="L478" s="163"/>
      <c r="M478" s="163"/>
      <c r="N478" s="163"/>
      <c r="O478" s="294"/>
    </row>
    <row r="479" spans="1:15" hidden="1" outlineLevel="1" x14ac:dyDescent="0.15">
      <c r="A479" s="294"/>
      <c r="B479" s="423" t="str">
        <f>IF($E479="",IF($D479="","",VLOOKUP($D479,TableInputsData[],ReadMe!$M$3,FALSE)),VLOOKUP($D479,TableInputsData[],ReadMe!$M$3,FALSE)&amp;"  |  "&amp;VLOOKUP($E479,TableInputsData[],ReadMe!$M$3,FALSE))</f>
        <v/>
      </c>
      <c r="C479" s="294"/>
      <c r="G479" s="163"/>
      <c r="H479" s="163"/>
      <c r="I479" s="163"/>
      <c r="J479" s="163"/>
      <c r="K479" s="163"/>
      <c r="L479" s="163"/>
      <c r="M479" s="163"/>
      <c r="N479" s="163"/>
      <c r="O479" s="294"/>
    </row>
    <row r="480" spans="1:15" hidden="1" outlineLevel="1" x14ac:dyDescent="0.15">
      <c r="A480" s="294"/>
      <c r="B480" s="423" t="str">
        <f>IF($E480="",IF($D480="","",VLOOKUP($D480,TableInputsData[],ReadMe!$M$3,FALSE)),VLOOKUP($D480,TableInputsData[],ReadMe!$M$3,FALSE)&amp;"  |  "&amp;VLOOKUP($E480,TableInputsData[],ReadMe!$M$3,FALSE))</f>
        <v/>
      </c>
      <c r="C480" s="294"/>
      <c r="G480" s="163"/>
      <c r="H480" s="163"/>
      <c r="I480" s="163"/>
      <c r="J480" s="163"/>
      <c r="K480" s="163"/>
      <c r="L480" s="163"/>
      <c r="M480" s="163"/>
      <c r="N480" s="163"/>
      <c r="O480" s="294"/>
    </row>
    <row r="481" spans="1:15" hidden="1" outlineLevel="1" x14ac:dyDescent="0.15">
      <c r="A481" s="294"/>
      <c r="B481" s="423" t="str">
        <f>IF($E481="",IF($D481="","",VLOOKUP($D481,TableInputsData[],ReadMe!$M$3,FALSE)),VLOOKUP($D481,TableInputsData[],ReadMe!$M$3,FALSE)&amp;"  |  "&amp;VLOOKUP($E481,TableInputsData[],ReadMe!$M$3,FALSE))</f>
        <v/>
      </c>
      <c r="C481" s="294"/>
      <c r="G481" s="163"/>
      <c r="H481" s="163"/>
      <c r="I481" s="163"/>
      <c r="J481" s="163"/>
      <c r="K481" s="163"/>
      <c r="L481" s="163"/>
      <c r="M481" s="163"/>
      <c r="N481" s="163"/>
      <c r="O481" s="294"/>
    </row>
    <row r="482" spans="1:15" hidden="1" outlineLevel="1" x14ac:dyDescent="0.15">
      <c r="A482" s="294"/>
      <c r="B482" s="423" t="str">
        <f>IF($E482="",IF($D482="","",VLOOKUP($D482,TableInputsData[],ReadMe!$M$3,FALSE)),VLOOKUP($D482,TableInputsData[],ReadMe!$M$3,FALSE)&amp;"  |  "&amp;VLOOKUP($E482,TableInputsData[],ReadMe!$M$3,FALSE))</f>
        <v/>
      </c>
      <c r="C482" s="294"/>
      <c r="G482" s="163"/>
      <c r="H482" s="163"/>
      <c r="I482" s="163"/>
      <c r="J482" s="163"/>
      <c r="K482" s="163"/>
      <c r="L482" s="163"/>
      <c r="M482" s="163"/>
      <c r="N482" s="163"/>
      <c r="O482" s="294"/>
    </row>
    <row r="483" spans="1:15" hidden="1" outlineLevel="1" x14ac:dyDescent="0.15">
      <c r="A483" s="294"/>
      <c r="B483" s="423" t="str">
        <f>IF($E483="",IF($D483="","",VLOOKUP($D483,TableInputsData[],ReadMe!$M$3,FALSE)),VLOOKUP($D483,TableInputsData[],ReadMe!$M$3,FALSE)&amp;"  |  "&amp;VLOOKUP($E483,TableInputsData[],ReadMe!$M$3,FALSE))</f>
        <v/>
      </c>
      <c r="C483" s="294"/>
      <c r="G483" s="163"/>
      <c r="H483" s="163"/>
      <c r="I483" s="163"/>
      <c r="J483" s="163"/>
      <c r="K483" s="163"/>
      <c r="L483" s="163"/>
      <c r="M483" s="163"/>
      <c r="N483" s="163"/>
      <c r="O483" s="294"/>
    </row>
    <row r="484" spans="1:15" hidden="1" outlineLevel="1" x14ac:dyDescent="0.15">
      <c r="A484" s="294"/>
      <c r="B484" s="423" t="str">
        <f>IF($E484="",IF($D484="","",VLOOKUP($D484,TableInputsData[],ReadMe!$M$3,FALSE)),VLOOKUP($D484,TableInputsData[],ReadMe!$M$3,FALSE)&amp;"  |  "&amp;VLOOKUP($E484,TableInputsData[],ReadMe!$M$3,FALSE))</f>
        <v/>
      </c>
      <c r="C484" s="294"/>
      <c r="G484" s="163"/>
      <c r="H484" s="163"/>
      <c r="I484" s="163"/>
      <c r="J484" s="163"/>
      <c r="K484" s="163"/>
      <c r="L484" s="163"/>
      <c r="M484" s="163"/>
      <c r="N484" s="163"/>
      <c r="O484" s="294"/>
    </row>
    <row r="485" spans="1:15" hidden="1" outlineLevel="1" x14ac:dyDescent="0.15">
      <c r="A485" s="294"/>
      <c r="B485" s="423" t="str">
        <f>IF($E485="",IF($D485="","",VLOOKUP($D485,TableInputsData[],ReadMe!$M$3,FALSE)),VLOOKUP($D485,TableInputsData[],ReadMe!$M$3,FALSE)&amp;"  |  "&amp;VLOOKUP($E485,TableInputsData[],ReadMe!$M$3,FALSE))</f>
        <v/>
      </c>
      <c r="C485" s="294"/>
      <c r="G485" s="163"/>
      <c r="H485" s="163"/>
      <c r="I485" s="163"/>
      <c r="J485" s="163"/>
      <c r="K485" s="163"/>
      <c r="L485" s="163"/>
      <c r="M485" s="163"/>
      <c r="N485" s="163"/>
      <c r="O485" s="294"/>
    </row>
    <row r="486" spans="1:15" hidden="1" outlineLevel="1" x14ac:dyDescent="0.15">
      <c r="A486" s="294"/>
      <c r="B486" s="423" t="str">
        <f>IF($E486="",IF($D486="","",VLOOKUP($D486,TableInputsData[],ReadMe!$M$3,FALSE)),VLOOKUP($D486,TableInputsData[],ReadMe!$M$3,FALSE)&amp;"  |  "&amp;VLOOKUP($E486,TableInputsData[],ReadMe!$M$3,FALSE))</f>
        <v/>
      </c>
      <c r="C486" s="294"/>
      <c r="G486" s="163"/>
      <c r="H486" s="163"/>
      <c r="I486" s="163"/>
      <c r="J486" s="163"/>
      <c r="K486" s="163"/>
      <c r="L486" s="163"/>
      <c r="M486" s="163"/>
      <c r="N486" s="163"/>
      <c r="O486" s="294"/>
    </row>
    <row r="487" spans="1:15" hidden="1" outlineLevel="1" x14ac:dyDescent="0.15">
      <c r="A487" s="294"/>
      <c r="B487" s="423" t="str">
        <f>IF($E487="",IF($D487="","",VLOOKUP($D487,TableInputsData[],ReadMe!$M$3,FALSE)),VLOOKUP($D487,TableInputsData[],ReadMe!$M$3,FALSE)&amp;"  |  "&amp;VLOOKUP($E487,TableInputsData[],ReadMe!$M$3,FALSE))</f>
        <v/>
      </c>
      <c r="C487" s="294"/>
      <c r="G487" s="163"/>
      <c r="H487" s="163"/>
      <c r="I487" s="163"/>
      <c r="J487" s="163"/>
      <c r="K487" s="163"/>
      <c r="L487" s="163"/>
      <c r="M487" s="163"/>
      <c r="N487" s="163"/>
      <c r="O487" s="294"/>
    </row>
    <row r="488" spans="1:15" hidden="1" outlineLevel="1" x14ac:dyDescent="0.15">
      <c r="A488" s="294"/>
      <c r="B488" s="423" t="str">
        <f>IF($E488="",IF($D488="","",VLOOKUP($D488,TableInputsData[],ReadMe!$M$3,FALSE)),VLOOKUP($D488,TableInputsData[],ReadMe!$M$3,FALSE)&amp;"  |  "&amp;VLOOKUP($E488,TableInputsData[],ReadMe!$M$3,FALSE))</f>
        <v/>
      </c>
      <c r="C488" s="294"/>
      <c r="G488" s="163"/>
      <c r="H488" s="163"/>
      <c r="I488" s="163"/>
      <c r="J488" s="163"/>
      <c r="K488" s="163"/>
      <c r="L488" s="163"/>
      <c r="M488" s="163"/>
      <c r="N488" s="163"/>
      <c r="O488" s="294"/>
    </row>
    <row r="489" spans="1:15" hidden="1" outlineLevel="1" x14ac:dyDescent="0.15">
      <c r="A489" s="294"/>
      <c r="B489" s="423" t="str">
        <f>IF($E489="",IF($D489="","",VLOOKUP($D489,TableInputsData[],ReadMe!$M$3,FALSE)),VLOOKUP($D489,TableInputsData[],ReadMe!$M$3,FALSE)&amp;"  |  "&amp;VLOOKUP($E489,TableInputsData[],ReadMe!$M$3,FALSE))</f>
        <v/>
      </c>
      <c r="C489" s="294"/>
      <c r="G489" s="163"/>
      <c r="H489" s="163"/>
      <c r="I489" s="163"/>
      <c r="J489" s="163"/>
      <c r="K489" s="163"/>
      <c r="L489" s="163"/>
      <c r="M489" s="163"/>
      <c r="N489" s="163"/>
      <c r="O489" s="294"/>
    </row>
    <row r="490" spans="1:15" hidden="1" outlineLevel="1" x14ac:dyDescent="0.15">
      <c r="A490" s="294"/>
      <c r="B490" s="423" t="str">
        <f>IF($E490="",IF($D490="","",VLOOKUP($D490,TableInputsData[],ReadMe!$M$3,FALSE)),VLOOKUP($D490,TableInputsData[],ReadMe!$M$3,FALSE)&amp;"  |  "&amp;VLOOKUP($E490,TableInputsData[],ReadMe!$M$3,FALSE))</f>
        <v/>
      </c>
      <c r="C490" s="294"/>
      <c r="G490" s="163"/>
      <c r="H490" s="163"/>
      <c r="I490" s="163"/>
      <c r="J490" s="163"/>
      <c r="K490" s="163"/>
      <c r="L490" s="163"/>
      <c r="M490" s="163"/>
      <c r="N490" s="163"/>
      <c r="O490" s="294"/>
    </row>
    <row r="491" spans="1:15" hidden="1" outlineLevel="1" x14ac:dyDescent="0.15">
      <c r="A491" s="294"/>
      <c r="B491" s="423" t="str">
        <f>IF($E491="",IF($D491="","",VLOOKUP($D491,TableInputsData[],ReadMe!$M$3,FALSE)),VLOOKUP($D491,TableInputsData[],ReadMe!$M$3,FALSE)&amp;"  |  "&amp;VLOOKUP($E491,TableInputsData[],ReadMe!$M$3,FALSE))</f>
        <v/>
      </c>
      <c r="C491" s="294"/>
      <c r="G491" s="163"/>
      <c r="H491" s="163"/>
      <c r="I491" s="163"/>
      <c r="J491" s="163"/>
      <c r="K491" s="163"/>
      <c r="L491" s="163"/>
      <c r="M491" s="163"/>
      <c r="N491" s="163"/>
      <c r="O491" s="294"/>
    </row>
    <row r="492" spans="1:15" hidden="1" outlineLevel="1" x14ac:dyDescent="0.15">
      <c r="A492" s="294"/>
      <c r="B492" s="423" t="str">
        <f>IF($E492="",IF($D492="","",VLOOKUP($D492,TableInputsData[],ReadMe!$M$3,FALSE)),VLOOKUP($D492,TableInputsData[],ReadMe!$M$3,FALSE)&amp;"  |  "&amp;VLOOKUP($E492,TableInputsData[],ReadMe!$M$3,FALSE))</f>
        <v/>
      </c>
      <c r="C492" s="294"/>
      <c r="G492" s="163"/>
      <c r="H492" s="163"/>
      <c r="I492" s="163"/>
      <c r="J492" s="163"/>
      <c r="K492" s="163"/>
      <c r="L492" s="163"/>
      <c r="M492" s="163"/>
      <c r="N492" s="163"/>
      <c r="O492" s="294"/>
    </row>
    <row r="493" spans="1:15" hidden="1" outlineLevel="1" x14ac:dyDescent="0.15">
      <c r="A493" s="294"/>
      <c r="B493" s="423" t="str">
        <f>IF($E493="",IF($D493="","",VLOOKUP($D493,TableInputsData[],ReadMe!$M$3,FALSE)),VLOOKUP($D493,TableInputsData[],ReadMe!$M$3,FALSE)&amp;"  |  "&amp;VLOOKUP($E493,TableInputsData[],ReadMe!$M$3,FALSE))</f>
        <v/>
      </c>
      <c r="C493" s="294"/>
      <c r="G493" s="163"/>
      <c r="H493" s="163"/>
      <c r="I493" s="163"/>
      <c r="J493" s="163"/>
      <c r="K493" s="163"/>
      <c r="L493" s="163"/>
      <c r="M493" s="163"/>
      <c r="N493" s="163"/>
      <c r="O493" s="294"/>
    </row>
    <row r="494" spans="1:15" hidden="1" outlineLevel="1" x14ac:dyDescent="0.15">
      <c r="A494" s="294"/>
      <c r="B494" s="423" t="str">
        <f>IF($E494="",IF($D494="","",VLOOKUP($D494,TableInputsData[],ReadMe!$M$3,FALSE)),VLOOKUP($D494,TableInputsData[],ReadMe!$M$3,FALSE)&amp;"  |  "&amp;VLOOKUP($E494,TableInputsData[],ReadMe!$M$3,FALSE))</f>
        <v/>
      </c>
      <c r="C494" s="294"/>
      <c r="G494" s="163"/>
      <c r="H494" s="163"/>
      <c r="I494" s="163"/>
      <c r="J494" s="163"/>
      <c r="K494" s="163"/>
      <c r="L494" s="163"/>
      <c r="M494" s="163"/>
      <c r="N494" s="163"/>
      <c r="O494" s="294"/>
    </row>
    <row r="495" spans="1:15" hidden="1" outlineLevel="1" x14ac:dyDescent="0.15">
      <c r="A495" s="294"/>
      <c r="B495" s="423" t="str">
        <f>IF($E495="",IF($D495="","",VLOOKUP($D495,TableInputsData[],ReadMe!$M$3,FALSE)),VLOOKUP($D495,TableInputsData[],ReadMe!$M$3,FALSE)&amp;"  |  "&amp;VLOOKUP($E495,TableInputsData[],ReadMe!$M$3,FALSE))</f>
        <v/>
      </c>
      <c r="C495" s="294"/>
      <c r="G495" s="163"/>
      <c r="H495" s="163"/>
      <c r="I495" s="163"/>
      <c r="J495" s="163"/>
      <c r="K495" s="163"/>
      <c r="L495" s="163"/>
      <c r="M495" s="163"/>
      <c r="N495" s="163"/>
      <c r="O495" s="294"/>
    </row>
    <row r="496" spans="1:15" hidden="1" outlineLevel="1" x14ac:dyDescent="0.15">
      <c r="A496" s="294"/>
      <c r="B496" s="423" t="str">
        <f>IF($E496="",IF($D496="","",VLOOKUP($D496,TableInputsData[],ReadMe!$M$3,FALSE)),VLOOKUP($D496,TableInputsData[],ReadMe!$M$3,FALSE)&amp;"  |  "&amp;VLOOKUP($E496,TableInputsData[],ReadMe!$M$3,FALSE))</f>
        <v/>
      </c>
      <c r="C496" s="294"/>
      <c r="G496" s="163"/>
      <c r="H496" s="163"/>
      <c r="I496" s="163"/>
      <c r="J496" s="163"/>
      <c r="K496" s="163"/>
      <c r="L496" s="163"/>
      <c r="M496" s="163"/>
      <c r="N496" s="163"/>
      <c r="O496" s="294"/>
    </row>
    <row r="497" spans="1:15" hidden="1" outlineLevel="1" x14ac:dyDescent="0.15">
      <c r="A497" s="294"/>
      <c r="B497" s="423" t="str">
        <f>IF($E497="",IF($D497="","",VLOOKUP($D497,TableInputsData[],ReadMe!$M$3,FALSE)),VLOOKUP($D497,TableInputsData[],ReadMe!$M$3,FALSE)&amp;"  |  "&amp;VLOOKUP($E497,TableInputsData[],ReadMe!$M$3,FALSE))</f>
        <v/>
      </c>
      <c r="C497" s="294"/>
      <c r="G497" s="163"/>
      <c r="H497" s="163"/>
      <c r="I497" s="163"/>
      <c r="J497" s="163"/>
      <c r="K497" s="163"/>
      <c r="L497" s="163"/>
      <c r="M497" s="163"/>
      <c r="N497" s="163"/>
      <c r="O497" s="294"/>
    </row>
    <row r="498" spans="1:15" hidden="1" outlineLevel="1" x14ac:dyDescent="0.15">
      <c r="A498" s="294"/>
      <c r="B498" s="423" t="str">
        <f>IF($E498="",IF($D498="","",VLOOKUP($D498,TableInputsData[],ReadMe!$M$3,FALSE)),VLOOKUP($D498,TableInputsData[],ReadMe!$M$3,FALSE)&amp;"  |  "&amp;VLOOKUP($E498,TableInputsData[],ReadMe!$M$3,FALSE))</f>
        <v/>
      </c>
      <c r="C498" s="294"/>
      <c r="G498" s="163"/>
      <c r="H498" s="163"/>
      <c r="I498" s="163"/>
      <c r="J498" s="163"/>
      <c r="K498" s="163"/>
      <c r="L498" s="163"/>
      <c r="M498" s="163"/>
      <c r="N498" s="163"/>
      <c r="O498" s="294"/>
    </row>
    <row r="499" spans="1:15" hidden="1" outlineLevel="1" x14ac:dyDescent="0.15">
      <c r="A499" s="294"/>
      <c r="B499" s="423" t="str">
        <f>IF($E499="",IF($D499="","",VLOOKUP($D499,TableInputsData[],ReadMe!$M$3,FALSE)),VLOOKUP($D499,TableInputsData[],ReadMe!$M$3,FALSE)&amp;"  |  "&amp;VLOOKUP($E499,TableInputsData[],ReadMe!$M$3,FALSE))</f>
        <v/>
      </c>
      <c r="C499" s="294"/>
      <c r="G499" s="163"/>
      <c r="H499" s="163"/>
      <c r="I499" s="163"/>
      <c r="J499" s="163"/>
      <c r="K499" s="163"/>
      <c r="L499" s="163"/>
      <c r="M499" s="163"/>
      <c r="N499" s="163"/>
      <c r="O499" s="294"/>
    </row>
    <row r="500" spans="1:15" hidden="1" outlineLevel="1" x14ac:dyDescent="0.15">
      <c r="A500" s="294"/>
      <c r="B500" s="423" t="str">
        <f>IF($E500="",IF($D500="","",VLOOKUP($D500,TableInputsData[],ReadMe!$M$3,FALSE)),VLOOKUP($D500,TableInputsData[],ReadMe!$M$3,FALSE)&amp;"  |  "&amp;VLOOKUP($E500,TableInputsData[],ReadMe!$M$3,FALSE))</f>
        <v/>
      </c>
      <c r="C500" s="294"/>
      <c r="G500" s="163"/>
      <c r="H500" s="163"/>
      <c r="I500" s="163"/>
      <c r="J500" s="163"/>
      <c r="K500" s="163"/>
      <c r="L500" s="163"/>
      <c r="M500" s="163"/>
      <c r="N500" s="163"/>
      <c r="O500" s="294"/>
    </row>
    <row r="501" spans="1:15" hidden="1" outlineLevel="1" x14ac:dyDescent="0.15">
      <c r="A501" s="294"/>
      <c r="B501" s="423" t="str">
        <f>IF($E501="",IF($D501="","",VLOOKUP($D501,TableInputsData[],ReadMe!$M$3,FALSE)),VLOOKUP($D501,TableInputsData[],ReadMe!$M$3,FALSE)&amp;"  |  "&amp;VLOOKUP($E501,TableInputsData[],ReadMe!$M$3,FALSE))</f>
        <v/>
      </c>
      <c r="C501" s="294"/>
      <c r="G501" s="163"/>
      <c r="H501" s="163"/>
      <c r="I501" s="163"/>
      <c r="J501" s="163"/>
      <c r="K501" s="163"/>
      <c r="L501" s="163"/>
      <c r="M501" s="163"/>
      <c r="N501" s="163"/>
      <c r="O501" s="294"/>
    </row>
    <row r="502" spans="1:15" hidden="1" outlineLevel="1" x14ac:dyDescent="0.15">
      <c r="A502" s="294"/>
      <c r="B502" s="423" t="str">
        <f>IF($E502="",IF($D502="","",VLOOKUP($D502,TableInputsData[],ReadMe!$M$3,FALSE)),VLOOKUP($D502,TableInputsData[],ReadMe!$M$3,FALSE)&amp;"  |  "&amp;VLOOKUP($E502,TableInputsData[],ReadMe!$M$3,FALSE))</f>
        <v/>
      </c>
      <c r="C502" s="294"/>
      <c r="G502" s="163"/>
      <c r="H502" s="163"/>
      <c r="I502" s="163"/>
      <c r="J502" s="163"/>
      <c r="K502" s="163"/>
      <c r="L502" s="163"/>
      <c r="M502" s="163"/>
      <c r="N502" s="163"/>
      <c r="O502" s="294"/>
    </row>
    <row r="503" spans="1:15" hidden="1" outlineLevel="1" x14ac:dyDescent="0.15">
      <c r="A503" s="294"/>
      <c r="B503" s="423" t="str">
        <f>IF($E503="",IF($D503="","",VLOOKUP($D503,TableInputsData[],ReadMe!$M$3,FALSE)),VLOOKUP($D503,TableInputsData[],ReadMe!$M$3,FALSE)&amp;"  |  "&amp;VLOOKUP($E503,TableInputsData[],ReadMe!$M$3,FALSE))</f>
        <v/>
      </c>
      <c r="C503" s="294"/>
      <c r="G503" s="163"/>
      <c r="H503" s="163"/>
      <c r="I503" s="163"/>
      <c r="J503" s="163"/>
      <c r="K503" s="163"/>
      <c r="L503" s="163"/>
      <c r="M503" s="163"/>
      <c r="N503" s="163"/>
      <c r="O503" s="294"/>
    </row>
    <row r="504" spans="1:15" hidden="1" outlineLevel="1" x14ac:dyDescent="0.15">
      <c r="A504" s="294"/>
      <c r="B504" s="423" t="str">
        <f>IF($E504="",IF($D504="","",VLOOKUP($D504,TableInputsData[],ReadMe!$M$3,FALSE)),VLOOKUP($D504,TableInputsData[],ReadMe!$M$3,FALSE)&amp;"  |  "&amp;VLOOKUP($E504,TableInputsData[],ReadMe!$M$3,FALSE))</f>
        <v/>
      </c>
      <c r="C504" s="294"/>
      <c r="G504" s="163"/>
      <c r="H504" s="163"/>
      <c r="I504" s="163"/>
      <c r="J504" s="163"/>
      <c r="K504" s="163"/>
      <c r="L504" s="163"/>
      <c r="M504" s="163"/>
      <c r="N504" s="163"/>
      <c r="O504" s="294"/>
    </row>
    <row r="505" spans="1:15" hidden="1" outlineLevel="1" x14ac:dyDescent="0.15">
      <c r="A505" s="294"/>
      <c r="B505" s="423" t="str">
        <f>IF($E505="",IF($D505="","",VLOOKUP($D505,TableInputsData[],ReadMe!$M$3,FALSE)),VLOOKUP($D505,TableInputsData[],ReadMe!$M$3,FALSE)&amp;"  |  "&amp;VLOOKUP($E505,TableInputsData[],ReadMe!$M$3,FALSE))</f>
        <v/>
      </c>
      <c r="C505" s="294"/>
      <c r="G505" s="163"/>
      <c r="H505" s="163"/>
      <c r="I505" s="163"/>
      <c r="J505" s="163"/>
      <c r="K505" s="163"/>
      <c r="L505" s="163"/>
      <c r="M505" s="163"/>
      <c r="N505" s="163"/>
      <c r="O505" s="294"/>
    </row>
    <row r="506" spans="1:15" hidden="1" outlineLevel="1" x14ac:dyDescent="0.15">
      <c r="A506" s="294"/>
      <c r="B506" s="423" t="str">
        <f>IF($E506="",IF($D506="","",VLOOKUP($D506,TableInputsData[],ReadMe!$M$3,FALSE)),VLOOKUP($D506,TableInputsData[],ReadMe!$M$3,FALSE)&amp;"  |  "&amp;VLOOKUP($E506,TableInputsData[],ReadMe!$M$3,FALSE))</f>
        <v/>
      </c>
      <c r="C506" s="294"/>
      <c r="G506" s="163"/>
      <c r="H506" s="163"/>
      <c r="I506" s="163"/>
      <c r="J506" s="163"/>
      <c r="K506" s="163"/>
      <c r="L506" s="163"/>
      <c r="M506" s="163"/>
      <c r="N506" s="163"/>
      <c r="O506" s="294"/>
    </row>
    <row r="507" spans="1:15" hidden="1" outlineLevel="1" x14ac:dyDescent="0.15">
      <c r="A507" s="294"/>
      <c r="B507" s="423" t="str">
        <f>IF($E507="",IF($D507="","",VLOOKUP($D507,TableInputsData[],ReadMe!$M$3,FALSE)),VLOOKUP($D507,TableInputsData[],ReadMe!$M$3,FALSE)&amp;"  |  "&amp;VLOOKUP($E507,TableInputsData[],ReadMe!$M$3,FALSE))</f>
        <v/>
      </c>
      <c r="C507" s="294"/>
      <c r="G507" s="163"/>
      <c r="H507" s="163"/>
      <c r="I507" s="163"/>
      <c r="J507" s="163"/>
      <c r="K507" s="163"/>
      <c r="L507" s="163"/>
      <c r="M507" s="163"/>
      <c r="N507" s="163"/>
      <c r="O507" s="294"/>
    </row>
    <row r="508" spans="1:15" hidden="1" outlineLevel="1" x14ac:dyDescent="0.15">
      <c r="A508" s="294"/>
      <c r="B508" s="423" t="str">
        <f>IF($E508="",IF($D508="","",VLOOKUP($D508,TableInputsData[],ReadMe!$M$3,FALSE)),VLOOKUP($D508,TableInputsData[],ReadMe!$M$3,FALSE)&amp;"  |  "&amp;VLOOKUP($E508,TableInputsData[],ReadMe!$M$3,FALSE))</f>
        <v/>
      </c>
      <c r="C508" s="294"/>
      <c r="G508" s="163"/>
      <c r="H508" s="163"/>
      <c r="I508" s="163"/>
      <c r="J508" s="163"/>
      <c r="K508" s="163"/>
      <c r="L508" s="163"/>
      <c r="M508" s="163"/>
      <c r="N508" s="163"/>
      <c r="O508" s="294"/>
    </row>
    <row r="509" spans="1:15" hidden="1" outlineLevel="1" x14ac:dyDescent="0.15">
      <c r="A509" s="294"/>
      <c r="B509" s="423" t="str">
        <f>IF($E509="",IF($D509="","",VLOOKUP($D509,TableInputsData[],ReadMe!$M$3,FALSE)),VLOOKUP($D509,TableInputsData[],ReadMe!$M$3,FALSE)&amp;"  |  "&amp;VLOOKUP($E509,TableInputsData[],ReadMe!$M$3,FALSE))</f>
        <v/>
      </c>
      <c r="C509" s="294"/>
      <c r="G509" s="163"/>
      <c r="H509" s="163"/>
      <c r="I509" s="163"/>
      <c r="J509" s="163"/>
      <c r="K509" s="163"/>
      <c r="L509" s="163"/>
      <c r="M509" s="163"/>
      <c r="N509" s="163"/>
      <c r="O509" s="294"/>
    </row>
    <row r="510" spans="1:15" hidden="1" outlineLevel="1" x14ac:dyDescent="0.15">
      <c r="A510" s="294"/>
      <c r="B510" s="423" t="str">
        <f>IF($E510="",IF($D510="","",VLOOKUP($D510,TableInputsData[],ReadMe!$M$3,FALSE)),VLOOKUP($D510,TableInputsData[],ReadMe!$M$3,FALSE)&amp;"  |  "&amp;VLOOKUP($E510,TableInputsData[],ReadMe!$M$3,FALSE))</f>
        <v/>
      </c>
      <c r="C510" s="294"/>
      <c r="G510" s="163"/>
      <c r="H510" s="163"/>
      <c r="I510" s="163"/>
      <c r="J510" s="163"/>
      <c r="K510" s="163"/>
      <c r="L510" s="163"/>
      <c r="M510" s="163"/>
      <c r="N510" s="163"/>
      <c r="O510" s="294"/>
    </row>
    <row r="511" spans="1:15" hidden="1" outlineLevel="1" x14ac:dyDescent="0.15">
      <c r="A511" s="294"/>
      <c r="B511" s="423" t="str">
        <f>IF($E511="",IF($D511="","",VLOOKUP($D511,TableInputsData[],ReadMe!$M$3,FALSE)),VLOOKUP($D511,TableInputsData[],ReadMe!$M$3,FALSE)&amp;"  |  "&amp;VLOOKUP($E511,TableInputsData[],ReadMe!$M$3,FALSE))</f>
        <v/>
      </c>
      <c r="C511" s="294"/>
      <c r="G511" s="163"/>
      <c r="H511" s="163"/>
      <c r="I511" s="163"/>
      <c r="J511" s="163"/>
      <c r="K511" s="163"/>
      <c r="L511" s="163"/>
      <c r="M511" s="163"/>
      <c r="N511" s="163"/>
      <c r="O511" s="294"/>
    </row>
    <row r="512" spans="1:15" hidden="1" outlineLevel="1" x14ac:dyDescent="0.15">
      <c r="A512" s="294"/>
      <c r="B512" s="423" t="str">
        <f>IF($E512="",IF($D512="","",VLOOKUP($D512,TableInputsData[],ReadMe!$M$3,FALSE)),VLOOKUP($D512,TableInputsData[],ReadMe!$M$3,FALSE)&amp;"  |  "&amp;VLOOKUP($E512,TableInputsData[],ReadMe!$M$3,FALSE))</f>
        <v/>
      </c>
      <c r="C512" s="294"/>
      <c r="G512" s="163"/>
      <c r="H512" s="163"/>
      <c r="I512" s="163"/>
      <c r="J512" s="163"/>
      <c r="K512" s="163"/>
      <c r="L512" s="163"/>
      <c r="M512" s="163"/>
      <c r="N512" s="163"/>
      <c r="O512" s="294"/>
    </row>
    <row r="513" spans="1:15" hidden="1" outlineLevel="1" x14ac:dyDescent="0.15">
      <c r="A513" s="294"/>
      <c r="B513" s="423" t="str">
        <f>IF($E513="",IF($D513="","",VLOOKUP($D513,TableInputsData[],ReadMe!$M$3,FALSE)),VLOOKUP($D513,TableInputsData[],ReadMe!$M$3,FALSE)&amp;"  |  "&amp;VLOOKUP($E513,TableInputsData[],ReadMe!$M$3,FALSE))</f>
        <v/>
      </c>
      <c r="C513" s="294"/>
      <c r="G513" s="163"/>
      <c r="H513" s="163"/>
      <c r="I513" s="163"/>
      <c r="J513" s="163"/>
      <c r="K513" s="163"/>
      <c r="L513" s="163"/>
      <c r="M513" s="163"/>
      <c r="N513" s="163"/>
      <c r="O513" s="294"/>
    </row>
    <row r="514" spans="1:15" hidden="1" outlineLevel="1" x14ac:dyDescent="0.15">
      <c r="A514" s="294"/>
      <c r="B514" s="423" t="str">
        <f>IF($E514="",IF($D514="","",VLOOKUP($D514,TableInputsData[],ReadMe!$M$3,FALSE)),VLOOKUP($D514,TableInputsData[],ReadMe!$M$3,FALSE)&amp;"  |  "&amp;VLOOKUP($E514,TableInputsData[],ReadMe!$M$3,FALSE))</f>
        <v/>
      </c>
      <c r="C514" s="294"/>
      <c r="G514" s="163"/>
      <c r="H514" s="163"/>
      <c r="I514" s="163"/>
      <c r="J514" s="163"/>
      <c r="K514" s="163"/>
      <c r="L514" s="163"/>
      <c r="M514" s="163"/>
      <c r="N514" s="163"/>
      <c r="O514" s="294"/>
    </row>
    <row r="515" spans="1:15" hidden="1" outlineLevel="1" x14ac:dyDescent="0.15">
      <c r="A515" s="294"/>
      <c r="B515" s="423" t="str">
        <f>IF($E515="",IF($D515="","",VLOOKUP($D515,TableInputsData[],ReadMe!$M$3,FALSE)),VLOOKUP($D515,TableInputsData[],ReadMe!$M$3,FALSE)&amp;"  |  "&amp;VLOOKUP($E515,TableInputsData[],ReadMe!$M$3,FALSE))</f>
        <v/>
      </c>
      <c r="C515" s="294"/>
      <c r="G515" s="163"/>
      <c r="H515" s="163"/>
      <c r="I515" s="163"/>
      <c r="J515" s="163"/>
      <c r="K515" s="163"/>
      <c r="L515" s="163"/>
      <c r="M515" s="163"/>
      <c r="N515" s="163"/>
      <c r="O515" s="294"/>
    </row>
    <row r="516" spans="1:15" hidden="1" outlineLevel="1" x14ac:dyDescent="0.15">
      <c r="A516" s="294"/>
      <c r="B516" s="423" t="str">
        <f>IF($E516="",IF($D516="","",VLOOKUP($D516,TableInputsData[],ReadMe!$M$3,FALSE)),VLOOKUP($D516,TableInputsData[],ReadMe!$M$3,FALSE)&amp;"  |  "&amp;VLOOKUP($E516,TableInputsData[],ReadMe!$M$3,FALSE))</f>
        <v/>
      </c>
      <c r="C516" s="294"/>
      <c r="G516" s="163"/>
      <c r="H516" s="163"/>
      <c r="I516" s="163"/>
      <c r="J516" s="163"/>
      <c r="K516" s="163"/>
      <c r="L516" s="163"/>
      <c r="M516" s="163"/>
      <c r="N516" s="163"/>
      <c r="O516" s="294"/>
    </row>
    <row r="517" spans="1:15" hidden="1" outlineLevel="1" x14ac:dyDescent="0.15">
      <c r="A517" s="294"/>
      <c r="B517" s="423" t="str">
        <f>IF($E517="",IF($D517="","",VLOOKUP($D517,TableInputsData[],ReadMe!$M$3,FALSE)),VLOOKUP($D517,TableInputsData[],ReadMe!$M$3,FALSE)&amp;"  |  "&amp;VLOOKUP($E517,TableInputsData[],ReadMe!$M$3,FALSE))</f>
        <v/>
      </c>
      <c r="C517" s="294"/>
      <c r="G517" s="163"/>
      <c r="H517" s="163"/>
      <c r="I517" s="163"/>
      <c r="J517" s="163"/>
      <c r="K517" s="163"/>
      <c r="L517" s="163"/>
      <c r="M517" s="163"/>
      <c r="N517" s="163"/>
      <c r="O517" s="294"/>
    </row>
    <row r="518" spans="1:15" hidden="1" outlineLevel="1" x14ac:dyDescent="0.15">
      <c r="A518" s="294"/>
      <c r="B518" s="423" t="str">
        <f>IF($E518="",IF($D518="","",VLOOKUP($D518,TableInputsData[],ReadMe!$M$3,FALSE)),VLOOKUP($D518,TableInputsData[],ReadMe!$M$3,FALSE)&amp;"  |  "&amp;VLOOKUP($E518,TableInputsData[],ReadMe!$M$3,FALSE))</f>
        <v/>
      </c>
      <c r="C518" s="294"/>
      <c r="G518" s="163"/>
      <c r="H518" s="163"/>
      <c r="I518" s="163"/>
      <c r="J518" s="163"/>
      <c r="K518" s="163"/>
      <c r="L518" s="163"/>
      <c r="M518" s="163"/>
      <c r="N518" s="163"/>
      <c r="O518" s="294"/>
    </row>
    <row r="519" spans="1:15" hidden="1" outlineLevel="1" x14ac:dyDescent="0.15">
      <c r="A519" s="294"/>
      <c r="B519" s="423" t="str">
        <f>IF($E519="",IF($D519="","",VLOOKUP($D519,TableInputsData[],ReadMe!$M$3,FALSE)),VLOOKUP($D519,TableInputsData[],ReadMe!$M$3,FALSE)&amp;"  |  "&amp;VLOOKUP($E519,TableInputsData[],ReadMe!$M$3,FALSE))</f>
        <v/>
      </c>
      <c r="C519" s="294"/>
      <c r="G519" s="163"/>
      <c r="H519" s="163"/>
      <c r="I519" s="163"/>
      <c r="J519" s="163"/>
      <c r="K519" s="163"/>
      <c r="L519" s="163"/>
      <c r="M519" s="163"/>
      <c r="N519" s="163"/>
      <c r="O519" s="294"/>
    </row>
    <row r="520" spans="1:15" hidden="1" outlineLevel="1" x14ac:dyDescent="0.15">
      <c r="A520" s="294"/>
      <c r="B520" s="423" t="str">
        <f>IF($E520="",IF($D520="","",VLOOKUP($D520,TableInputsData[],ReadMe!$M$3,FALSE)),VLOOKUP($D520,TableInputsData[],ReadMe!$M$3,FALSE)&amp;"  |  "&amp;VLOOKUP($E520,TableInputsData[],ReadMe!$M$3,FALSE))</f>
        <v/>
      </c>
      <c r="C520" s="294"/>
      <c r="G520" s="163"/>
      <c r="H520" s="163"/>
      <c r="I520" s="163"/>
      <c r="J520" s="163"/>
      <c r="K520" s="163"/>
      <c r="L520" s="163"/>
      <c r="M520" s="163"/>
      <c r="N520" s="163"/>
      <c r="O520" s="294"/>
    </row>
    <row r="521" spans="1:15" hidden="1" outlineLevel="1" x14ac:dyDescent="0.15">
      <c r="A521" s="294"/>
      <c r="B521" s="423" t="str">
        <f>IF($E521="",IF($D521="","",VLOOKUP($D521,TableInputsData[],ReadMe!$M$3,FALSE)),VLOOKUP($D521,TableInputsData[],ReadMe!$M$3,FALSE)&amp;"  |  "&amp;VLOOKUP($E521,TableInputsData[],ReadMe!$M$3,FALSE))</f>
        <v/>
      </c>
      <c r="C521" s="294"/>
      <c r="G521" s="163"/>
      <c r="H521" s="163"/>
      <c r="I521" s="163"/>
      <c r="J521" s="163"/>
      <c r="K521" s="163"/>
      <c r="L521" s="163"/>
      <c r="M521" s="163"/>
      <c r="N521" s="163"/>
      <c r="O521" s="294"/>
    </row>
    <row r="522" spans="1:15" collapsed="1" x14ac:dyDescent="0.15">
      <c r="A522" s="294"/>
      <c r="B522" s="294"/>
      <c r="C522" s="294"/>
      <c r="D522" s="297"/>
      <c r="E522" s="297"/>
      <c r="F522" s="297"/>
      <c r="G522" s="297"/>
      <c r="H522" s="297"/>
      <c r="I522" s="297"/>
      <c r="J522" s="297"/>
      <c r="K522" s="297"/>
      <c r="L522" s="297"/>
      <c r="M522" s="297"/>
      <c r="N522" s="297"/>
      <c r="O522" s="294"/>
    </row>
    <row r="523" spans="1:15" x14ac:dyDescent="0.2">
      <c r="A523" s="294"/>
      <c r="B523" s="164" t="str">
        <f>VLOOKUP($D523,TableInputsData[],ReadMe!$M$3,FALSE)</f>
        <v>EFFECTIF</v>
      </c>
      <c r="C523" s="294"/>
      <c r="D523" s="164" t="s">
        <v>635</v>
      </c>
      <c r="E523" s="151"/>
      <c r="F523" s="152"/>
      <c r="G523" s="152"/>
      <c r="H523" s="152"/>
      <c r="I523" s="152"/>
      <c r="J523" s="152"/>
      <c r="K523" s="152"/>
      <c r="L523" s="152"/>
      <c r="M523" s="152"/>
      <c r="N523" s="545" t="str">
        <f>$N$223</f>
        <v>CAS TYPIQUE
SCENARIO DE SIMULATION</v>
      </c>
      <c r="O523" s="294"/>
    </row>
    <row r="524" spans="1:15" x14ac:dyDescent="0.15">
      <c r="A524" s="294"/>
      <c r="B524" s="294"/>
      <c r="C524" s="294"/>
      <c r="D524" s="300" t="s">
        <v>984</v>
      </c>
      <c r="E524" s="297"/>
      <c r="F524" s="297"/>
      <c r="G524" s="297"/>
      <c r="H524" s="297"/>
      <c r="I524" s="297"/>
      <c r="J524" s="297"/>
      <c r="K524" s="297"/>
      <c r="L524" s="297"/>
      <c r="M524" s="297"/>
      <c r="N524" s="297"/>
      <c r="O524" s="294"/>
    </row>
    <row r="525" spans="1:15" hidden="1" outlineLevel="1" x14ac:dyDescent="0.2">
      <c r="A525" s="294"/>
      <c r="B525" s="294"/>
      <c r="C525" s="294"/>
      <c r="D525" s="162" t="s">
        <v>122</v>
      </c>
      <c r="E525" s="379">
        <v>2</v>
      </c>
      <c r="F525" s="294"/>
      <c r="G525" s="294"/>
      <c r="H525" s="294"/>
      <c r="I525" s="294"/>
      <c r="J525" s="294"/>
      <c r="K525" s="294"/>
      <c r="L525" s="294"/>
      <c r="M525" s="294"/>
      <c r="N525" s="294"/>
      <c r="O525" s="294"/>
    </row>
    <row r="526" spans="1:15" hidden="1" outlineLevel="1" x14ac:dyDescent="0.2">
      <c r="A526" s="294"/>
      <c r="B526" s="294"/>
      <c r="C526" s="294"/>
      <c r="D526" s="162" t="s">
        <v>591</v>
      </c>
      <c r="E526" s="379">
        <v>2</v>
      </c>
      <c r="F526" s="294"/>
      <c r="G526" s="294"/>
      <c r="H526" s="294"/>
      <c r="I526" s="294"/>
      <c r="J526" s="294"/>
      <c r="K526" s="294"/>
      <c r="L526" s="294"/>
      <c r="M526" s="294"/>
      <c r="N526" s="294"/>
      <c r="O526" s="294"/>
    </row>
    <row r="527" spans="1:15" hidden="1" outlineLevel="1" x14ac:dyDescent="0.2">
      <c r="A527" s="294"/>
      <c r="B527" s="294"/>
      <c r="C527" s="294"/>
      <c r="D527" s="162" t="s">
        <v>590</v>
      </c>
      <c r="E527" s="1" t="s">
        <v>114</v>
      </c>
      <c r="F527" s="294"/>
      <c r="G527" s="294"/>
      <c r="H527" s="294"/>
      <c r="I527" s="294"/>
      <c r="J527" s="294"/>
      <c r="K527" s="294"/>
      <c r="L527" s="294"/>
      <c r="M527" s="294"/>
      <c r="N527" s="294"/>
      <c r="O527" s="294"/>
    </row>
    <row r="528" spans="1:15" hidden="1" outlineLevel="1" x14ac:dyDescent="0.2">
      <c r="A528" s="294"/>
      <c r="B528" s="294"/>
      <c r="C528" s="294"/>
      <c r="D528" s="294"/>
      <c r="E528" s="294"/>
      <c r="F528" s="294"/>
      <c r="G528" s="294"/>
      <c r="H528" s="294"/>
      <c r="I528" s="294"/>
      <c r="J528" s="294"/>
      <c r="K528" s="294"/>
      <c r="L528" s="294"/>
      <c r="M528" s="294"/>
      <c r="N528" s="294"/>
      <c r="O528" s="294"/>
    </row>
    <row r="529" spans="1:15" ht="42" collapsed="1" x14ac:dyDescent="0.2">
      <c r="A529" s="294"/>
      <c r="B529" s="294"/>
      <c r="C529" s="294"/>
      <c r="D529" s="378" t="s">
        <v>0</v>
      </c>
      <c r="E529" s="378" t="s">
        <v>1</v>
      </c>
      <c r="F529" s="162" t="s">
        <v>31</v>
      </c>
      <c r="G529" s="382" t="s">
        <v>973</v>
      </c>
      <c r="H529" s="382" t="s">
        <v>974</v>
      </c>
      <c r="I529" s="382" t="s">
        <v>975</v>
      </c>
      <c r="J529" s="382" t="s">
        <v>976</v>
      </c>
      <c r="K529" s="382" t="s">
        <v>977</v>
      </c>
      <c r="L529" s="382" t="s">
        <v>978</v>
      </c>
      <c r="M529" s="382" t="s">
        <v>979</v>
      </c>
      <c r="N529" s="382" t="s">
        <v>980</v>
      </c>
      <c r="O529" s="294"/>
    </row>
    <row r="530" spans="1:15" x14ac:dyDescent="0.15">
      <c r="A530" s="294"/>
      <c r="B530" s="423" t="str">
        <f>IF($E530="",IF($D530="","",VLOOKUP($D530,TableInputsData[],ReadMe!$M$3,FALSE)),VLOOKUP($D530,TableInputsData[],ReadMe!$M$3,FALSE)&amp;"  |  "&amp;VLOOKUP($E530,TableInputsData[],ReadMe!$M$3,FALSE))</f>
        <v>DEPENSES OPERATIONNELLES  |  SALAIRES DE PERSONNEL</v>
      </c>
      <c r="C530" s="294"/>
      <c r="D530" s="1" t="s">
        <v>645</v>
      </c>
      <c r="E530" s="1" t="s">
        <v>646</v>
      </c>
      <c r="F530" s="1" t="s">
        <v>47</v>
      </c>
      <c r="G530" s="391">
        <v>0</v>
      </c>
      <c r="H530" s="391">
        <v>0</v>
      </c>
      <c r="I530" s="391">
        <v>0</v>
      </c>
      <c r="J530" s="391">
        <v>0</v>
      </c>
      <c r="K530" s="391">
        <v>0</v>
      </c>
      <c r="L530" s="391">
        <v>0</v>
      </c>
      <c r="M530" s="391">
        <v>0</v>
      </c>
      <c r="N530" s="391">
        <v>0</v>
      </c>
      <c r="O530" s="294"/>
    </row>
    <row r="531" spans="1:15" x14ac:dyDescent="0.15">
      <c r="A531" s="294"/>
      <c r="B531" s="423" t="str">
        <f>IF($E531="",IF($D531="","",VLOOKUP($D531,TableInputsData[],ReadMe!$M$3,FALSE)),VLOOKUP($D531,TableInputsData[],ReadMe!$M$3,FALSE)&amp;"  |  "&amp;VLOOKUP($E531,TableInputsData[],ReadMe!$M$3,FALSE))</f>
        <v>DEPENSES OPERATIONNELLES  |  SALAIRES DE PERSONNEL</v>
      </c>
      <c r="C531" s="294"/>
      <c r="D531" s="1" t="s">
        <v>645</v>
      </c>
      <c r="E531" s="1" t="s">
        <v>646</v>
      </c>
      <c r="F531" s="1" t="s">
        <v>48</v>
      </c>
      <c r="G531" s="391">
        <v>0</v>
      </c>
      <c r="H531" s="391">
        <v>0</v>
      </c>
      <c r="I531" s="391">
        <v>0</v>
      </c>
      <c r="J531" s="391">
        <v>0</v>
      </c>
      <c r="K531" s="391">
        <v>0</v>
      </c>
      <c r="L531" s="391">
        <v>0</v>
      </c>
      <c r="M531" s="391">
        <v>0</v>
      </c>
      <c r="N531" s="391">
        <v>0</v>
      </c>
      <c r="O531" s="294"/>
    </row>
    <row r="532" spans="1:15" x14ac:dyDescent="0.15">
      <c r="A532" s="294"/>
      <c r="B532" s="423" t="str">
        <f>IF($E532="",IF($D532="","",VLOOKUP($D532,TableInputsData[],ReadMe!$M$3,FALSE)),VLOOKUP($D532,TableInputsData[],ReadMe!$M$3,FALSE)&amp;"  |  "&amp;VLOOKUP($E532,TableInputsData[],ReadMe!$M$3,FALSE))</f>
        <v>DEPENSES OPERATIONNELLES  |  SALAIRES DE PERSONNEL</v>
      </c>
      <c r="C532" s="294"/>
      <c r="D532" s="1" t="s">
        <v>645</v>
      </c>
      <c r="E532" s="1" t="s">
        <v>646</v>
      </c>
      <c r="F532" s="1" t="s">
        <v>49</v>
      </c>
      <c r="G532" s="391">
        <v>0</v>
      </c>
      <c r="H532" s="391">
        <v>0</v>
      </c>
      <c r="I532" s="391">
        <v>0</v>
      </c>
      <c r="J532" s="391">
        <v>0</v>
      </c>
      <c r="K532" s="391">
        <v>0</v>
      </c>
      <c r="L532" s="391">
        <v>0</v>
      </c>
      <c r="M532" s="391">
        <v>0</v>
      </c>
      <c r="N532" s="391">
        <v>0</v>
      </c>
      <c r="O532" s="294"/>
    </row>
    <row r="533" spans="1:15" x14ac:dyDescent="0.15">
      <c r="A533" s="294"/>
      <c r="B533" s="423" t="str">
        <f>IF($E533="",IF($D533="","",VLOOKUP($D533,TableInputsData[],ReadMe!$M$3,FALSE)),VLOOKUP($D533,TableInputsData[],ReadMe!$M$3,FALSE)&amp;"  |  "&amp;VLOOKUP($E533,TableInputsData[],ReadMe!$M$3,FALSE))</f>
        <v>DEPENSES OPERATIONNELLES  |  SALAIRES DE PERSONNEL</v>
      </c>
      <c r="C533" s="294"/>
      <c r="D533" s="1" t="s">
        <v>645</v>
      </c>
      <c r="E533" s="1" t="s">
        <v>646</v>
      </c>
      <c r="F533" s="1" t="s">
        <v>50</v>
      </c>
      <c r="G533" s="391">
        <v>0</v>
      </c>
      <c r="H533" s="391">
        <v>0</v>
      </c>
      <c r="I533" s="391">
        <v>0</v>
      </c>
      <c r="J533" s="391">
        <v>0</v>
      </c>
      <c r="K533" s="391">
        <v>0</v>
      </c>
      <c r="L533" s="391">
        <v>0</v>
      </c>
      <c r="M533" s="391">
        <v>0</v>
      </c>
      <c r="N533" s="391">
        <v>0</v>
      </c>
      <c r="O533" s="294"/>
    </row>
    <row r="534" spans="1:15" x14ac:dyDescent="0.15">
      <c r="A534" s="294"/>
      <c r="B534" s="423" t="str">
        <f>IF($E534="",IF($D534="","",VLOOKUP($D534,TableInputsData[],ReadMe!$M$3,FALSE)),VLOOKUP($D534,TableInputsData[],ReadMe!$M$3,FALSE)&amp;"  |  "&amp;VLOOKUP($E534,TableInputsData[],ReadMe!$M$3,FALSE))</f>
        <v>DEPENSES OPERATIONNELLES  |  SALAIRES DE PERSONNEL</v>
      </c>
      <c r="C534" s="294"/>
      <c r="D534" s="1" t="s">
        <v>645</v>
      </c>
      <c r="E534" s="1" t="s">
        <v>646</v>
      </c>
      <c r="F534" s="1" t="s">
        <v>217</v>
      </c>
      <c r="G534" s="391">
        <v>0</v>
      </c>
      <c r="H534" s="391">
        <v>0</v>
      </c>
      <c r="I534" s="391">
        <v>0</v>
      </c>
      <c r="J534" s="391">
        <v>0</v>
      </c>
      <c r="K534" s="391">
        <v>0</v>
      </c>
      <c r="L534" s="391">
        <v>0</v>
      </c>
      <c r="M534" s="391">
        <v>0</v>
      </c>
      <c r="N534" s="391">
        <v>0</v>
      </c>
      <c r="O534" s="294"/>
    </row>
    <row r="535" spans="1:15" x14ac:dyDescent="0.15">
      <c r="A535" s="294"/>
      <c r="B535" s="423" t="str">
        <f>IF($E535="",IF($D535="","",VLOOKUP($D535,TableInputsData[],ReadMe!$M$3,FALSE)),VLOOKUP($D535,TableInputsData[],ReadMe!$M$3,FALSE)&amp;"  |  "&amp;VLOOKUP($E535,TableInputsData[],ReadMe!$M$3,FALSE))</f>
        <v>DEPENSES OPERATIONNELLES  |  SALAIRES DE PERSONNEL</v>
      </c>
      <c r="C535" s="294"/>
      <c r="D535" s="1" t="s">
        <v>645</v>
      </c>
      <c r="E535" s="1" t="s">
        <v>646</v>
      </c>
      <c r="F535" s="1" t="s">
        <v>51</v>
      </c>
      <c r="G535" s="391">
        <v>0</v>
      </c>
      <c r="H535" s="391">
        <v>0</v>
      </c>
      <c r="I535" s="391">
        <v>0</v>
      </c>
      <c r="J535" s="391">
        <v>0</v>
      </c>
      <c r="K535" s="391">
        <v>0</v>
      </c>
      <c r="L535" s="391">
        <v>0</v>
      </c>
      <c r="M535" s="391">
        <v>0</v>
      </c>
      <c r="N535" s="391">
        <v>0</v>
      </c>
      <c r="O535" s="294"/>
    </row>
    <row r="536" spans="1:15" x14ac:dyDescent="0.15">
      <c r="A536" s="294"/>
      <c r="B536" s="423" t="str">
        <f>IF($E536="",IF($D536="","",VLOOKUP($D536,TableInputsData[],ReadMe!$M$3,FALSE)),VLOOKUP($D536,TableInputsData[],ReadMe!$M$3,FALSE)&amp;"  |  "&amp;VLOOKUP($E536,TableInputsData[],ReadMe!$M$3,FALSE))</f>
        <v>DEPENSES OPERATIONNELLES  |  SALAIRES DE PERSONNEL</v>
      </c>
      <c r="C536" s="294"/>
      <c r="D536" s="1" t="s">
        <v>645</v>
      </c>
      <c r="E536" s="1" t="s">
        <v>646</v>
      </c>
      <c r="F536" s="1" t="s">
        <v>52</v>
      </c>
      <c r="G536" s="391">
        <v>0</v>
      </c>
      <c r="H536" s="391">
        <v>0</v>
      </c>
      <c r="I536" s="391">
        <v>0</v>
      </c>
      <c r="J536" s="391">
        <v>0</v>
      </c>
      <c r="K536" s="391">
        <v>0</v>
      </c>
      <c r="L536" s="391">
        <v>0</v>
      </c>
      <c r="M536" s="391">
        <v>0</v>
      </c>
      <c r="N536" s="391">
        <v>0</v>
      </c>
      <c r="O536" s="294"/>
    </row>
    <row r="537" spans="1:15" x14ac:dyDescent="0.15">
      <c r="A537" s="294"/>
      <c r="B537" s="423" t="str">
        <f>IF($E537="",IF($D537="","",VLOOKUP($D537,TableInputsData[],ReadMe!$M$3,FALSE)),VLOOKUP($D537,TableInputsData[],ReadMe!$M$3,FALSE)&amp;"  |  "&amp;VLOOKUP($E537,TableInputsData[],ReadMe!$M$3,FALSE))</f>
        <v>DEPENSES OPERATIONNELLES  |  SALAIRES DE PERSONNEL</v>
      </c>
      <c r="C537" s="294"/>
      <c r="D537" s="1" t="s">
        <v>645</v>
      </c>
      <c r="E537" s="1" t="s">
        <v>646</v>
      </c>
      <c r="F537" s="1" t="s">
        <v>116</v>
      </c>
      <c r="G537" s="391">
        <v>0</v>
      </c>
      <c r="H537" s="391">
        <v>0</v>
      </c>
      <c r="I537" s="391">
        <v>0</v>
      </c>
      <c r="J537" s="391">
        <v>0</v>
      </c>
      <c r="K537" s="391">
        <v>0</v>
      </c>
      <c r="L537" s="391">
        <v>0</v>
      </c>
      <c r="M537" s="391">
        <v>0</v>
      </c>
      <c r="N537" s="391">
        <v>0</v>
      </c>
      <c r="O537" s="294"/>
    </row>
    <row r="538" spans="1:15" x14ac:dyDescent="0.15">
      <c r="A538" s="294"/>
      <c r="B538" s="423" t="str">
        <f>IF($E538="",IF($D538="","",VLOOKUP($D538,TableInputsData[],ReadMe!$M$3,FALSE)),VLOOKUP($D538,TableInputsData[],ReadMe!$M$3,FALSE)&amp;"  |  "&amp;VLOOKUP($E538,TableInputsData[],ReadMe!$M$3,FALSE))</f>
        <v>DEPENSES OPERATIONNELLES  |  SALAIRES DE PERSONNEL</v>
      </c>
      <c r="C538" s="294"/>
      <c r="D538" s="1" t="s">
        <v>645</v>
      </c>
      <c r="E538" s="1" t="s">
        <v>646</v>
      </c>
      <c r="F538" s="1" t="s">
        <v>117</v>
      </c>
      <c r="G538" s="391">
        <v>0</v>
      </c>
      <c r="H538" s="391">
        <v>0</v>
      </c>
      <c r="I538" s="391">
        <v>0</v>
      </c>
      <c r="J538" s="391">
        <v>0</v>
      </c>
      <c r="K538" s="391">
        <v>0</v>
      </c>
      <c r="L538" s="391">
        <v>0</v>
      </c>
      <c r="M538" s="391">
        <v>0</v>
      </c>
      <c r="N538" s="391">
        <v>0</v>
      </c>
      <c r="O538" s="294"/>
    </row>
    <row r="539" spans="1:15" x14ac:dyDescent="0.15">
      <c r="A539" s="294"/>
      <c r="B539" s="423" t="str">
        <f>IF($E539="",IF($D539="","",VLOOKUP($D539,TableInputsData[],ReadMe!$M$3,FALSE)),VLOOKUP($D539,TableInputsData[],ReadMe!$M$3,FALSE)&amp;"  |  "&amp;VLOOKUP($E539,TableInputsData[],ReadMe!$M$3,FALSE))</f>
        <v>DEPENSES OPERATIONNELLES  |  SALAIRES DE PERSONNEL</v>
      </c>
      <c r="C539" s="294"/>
      <c r="D539" s="1" t="s">
        <v>645</v>
      </c>
      <c r="E539" s="1" t="s">
        <v>646</v>
      </c>
      <c r="F539" s="1" t="s">
        <v>118</v>
      </c>
      <c r="G539" s="391">
        <v>0</v>
      </c>
      <c r="H539" s="391">
        <v>0</v>
      </c>
      <c r="I539" s="391">
        <v>0</v>
      </c>
      <c r="J539" s="391">
        <v>0</v>
      </c>
      <c r="K539" s="391">
        <v>0</v>
      </c>
      <c r="L539" s="391">
        <v>0</v>
      </c>
      <c r="M539" s="391">
        <v>0</v>
      </c>
      <c r="N539" s="391">
        <v>0</v>
      </c>
      <c r="O539" s="294"/>
    </row>
    <row r="540" spans="1:15" x14ac:dyDescent="0.15">
      <c r="A540" s="294"/>
      <c r="B540" s="438" t="str">
        <f>IF($E540="",IF($D540="","",VLOOKUP($D540,TableInputsData[],ReadMe!$M$3,FALSE)),VLOOKUP($D540,TableInputsData[],ReadMe!$M$3,FALSE)&amp;"  |  "&amp;VLOOKUP($E540,TableInputsData[],ReadMe!$M$3,FALSE))</f>
        <v>Total général</v>
      </c>
      <c r="C540" s="294"/>
      <c r="D540" s="436" t="s">
        <v>625</v>
      </c>
      <c r="E540" s="445"/>
      <c r="F540" s="448"/>
      <c r="G540" s="446">
        <v>0</v>
      </c>
      <c r="H540" s="446">
        <v>0</v>
      </c>
      <c r="I540" s="446">
        <v>0</v>
      </c>
      <c r="J540" s="446">
        <v>0</v>
      </c>
      <c r="K540" s="446">
        <v>0</v>
      </c>
      <c r="L540" s="446">
        <v>0</v>
      </c>
      <c r="M540" s="446">
        <v>0</v>
      </c>
      <c r="N540" s="447">
        <v>0</v>
      </c>
      <c r="O540" s="294"/>
    </row>
    <row r="541" spans="1:15" x14ac:dyDescent="0.15">
      <c r="A541" s="294"/>
      <c r="B541" s="423" t="str">
        <f>IF($E541="",IF($D541="","",VLOOKUP($D541,TableInputsData[],ReadMe!$M$3,FALSE)),VLOOKUP($D541,TableInputsData[],ReadMe!$M$3,FALSE)&amp;"  |  "&amp;VLOOKUP($E541,TableInputsData[],ReadMe!$M$3,FALSE))</f>
        <v/>
      </c>
      <c r="C541" s="294"/>
      <c r="O541" s="294"/>
    </row>
    <row r="542" spans="1:15" hidden="1" outlineLevel="1" x14ac:dyDescent="0.15">
      <c r="A542" s="294"/>
      <c r="B542" s="423" t="str">
        <f>IF($E542="",IF($D542="","",VLOOKUP($D542,TableInputsData[],ReadMe!$M$3,FALSE)),VLOOKUP($D542,TableInputsData[],ReadMe!$M$3,FALSE)&amp;"  |  "&amp;VLOOKUP($E542,TableInputsData[],ReadMe!$M$3,FALSE))</f>
        <v/>
      </c>
      <c r="C542" s="294"/>
      <c r="O542" s="294"/>
    </row>
    <row r="543" spans="1:15" hidden="1" outlineLevel="1" x14ac:dyDescent="0.15">
      <c r="A543" s="294"/>
      <c r="B543" s="423" t="str">
        <f>IF($E543="",IF($D543="","",VLOOKUP($D543,TableInputsData[],ReadMe!$M$3,FALSE)),VLOOKUP($D543,TableInputsData[],ReadMe!$M$3,FALSE)&amp;"  |  "&amp;VLOOKUP($E543,TableInputsData[],ReadMe!$M$3,FALSE))</f>
        <v/>
      </c>
      <c r="C543" s="294"/>
      <c r="O543" s="294"/>
    </row>
    <row r="544" spans="1:15" hidden="1" outlineLevel="1" x14ac:dyDescent="0.15">
      <c r="A544" s="294"/>
      <c r="B544" s="423" t="str">
        <f>IF($E544="",IF($D544="","",VLOOKUP($D544,TableInputsData[],ReadMe!$M$3,FALSE)),VLOOKUP($D544,TableInputsData[],ReadMe!$M$3,FALSE)&amp;"  |  "&amp;VLOOKUP($E544,TableInputsData[],ReadMe!$M$3,FALSE))</f>
        <v/>
      </c>
      <c r="C544" s="294"/>
      <c r="O544" s="294"/>
    </row>
    <row r="545" spans="1:15" hidden="1" outlineLevel="1" x14ac:dyDescent="0.15">
      <c r="A545" s="294"/>
      <c r="B545" s="423" t="str">
        <f>IF($E545="",IF($D545="","",VLOOKUP($D545,TableInputsData[],ReadMe!$M$3,FALSE)),VLOOKUP($D545,TableInputsData[],ReadMe!$M$3,FALSE)&amp;"  |  "&amp;VLOOKUP($E545,TableInputsData[],ReadMe!$M$3,FALSE))</f>
        <v/>
      </c>
      <c r="C545" s="294"/>
      <c r="O545" s="294"/>
    </row>
    <row r="546" spans="1:15" hidden="1" outlineLevel="1" x14ac:dyDescent="0.15">
      <c r="A546" s="294"/>
      <c r="B546" s="423" t="str">
        <f>IF($E546="",IF($D546="","",VLOOKUP($D546,TableInputsData[],ReadMe!$M$3,FALSE)),VLOOKUP($D546,TableInputsData[],ReadMe!$M$3,FALSE)&amp;"  |  "&amp;VLOOKUP($E546,TableInputsData[],ReadMe!$M$3,FALSE))</f>
        <v/>
      </c>
      <c r="C546" s="294"/>
      <c r="O546" s="294"/>
    </row>
    <row r="547" spans="1:15" hidden="1" outlineLevel="1" x14ac:dyDescent="0.15">
      <c r="A547" s="294"/>
      <c r="B547" s="423" t="str">
        <f>IF($E547="",IF($D547="","",VLOOKUP($D547,TableInputsData[],ReadMe!$M$3,FALSE)),VLOOKUP($D547,TableInputsData[],ReadMe!$M$3,FALSE)&amp;"  |  "&amp;VLOOKUP($E547,TableInputsData[],ReadMe!$M$3,FALSE))</f>
        <v/>
      </c>
      <c r="C547" s="294"/>
      <c r="O547" s="294"/>
    </row>
    <row r="548" spans="1:15" hidden="1" outlineLevel="1" x14ac:dyDescent="0.15">
      <c r="A548" s="294"/>
      <c r="B548" s="423" t="str">
        <f>IF($E548="",IF($D548="","",VLOOKUP($D548,TableInputsData[],ReadMe!$M$3,FALSE)),VLOOKUP($D548,TableInputsData[],ReadMe!$M$3,FALSE)&amp;"  |  "&amp;VLOOKUP($E548,TableInputsData[],ReadMe!$M$3,FALSE))</f>
        <v/>
      </c>
      <c r="C548" s="294"/>
      <c r="O548" s="294"/>
    </row>
    <row r="549" spans="1:15" hidden="1" outlineLevel="1" x14ac:dyDescent="0.15">
      <c r="A549" s="294"/>
      <c r="B549" s="423" t="str">
        <f>IF($E549="",IF($D549="","",VLOOKUP($D549,TableInputsData[],ReadMe!$M$3,FALSE)),VLOOKUP($D549,TableInputsData[],ReadMe!$M$3,FALSE)&amp;"  |  "&amp;VLOOKUP($E549,TableInputsData[],ReadMe!$M$3,FALSE))</f>
        <v/>
      </c>
      <c r="C549" s="294"/>
      <c r="O549" s="294"/>
    </row>
    <row r="550" spans="1:15" hidden="1" outlineLevel="1" x14ac:dyDescent="0.15">
      <c r="A550" s="294"/>
      <c r="B550" s="423" t="str">
        <f>IF($E550="",IF($D550="","",VLOOKUP($D550,TableInputsData[],ReadMe!$M$3,FALSE)),VLOOKUP($D550,TableInputsData[],ReadMe!$M$3,FALSE)&amp;"  |  "&amp;VLOOKUP($E550,TableInputsData[],ReadMe!$M$3,FALSE))</f>
        <v/>
      </c>
      <c r="C550" s="294"/>
      <c r="O550" s="294"/>
    </row>
    <row r="551" spans="1:15" hidden="1" outlineLevel="1" x14ac:dyDescent="0.15">
      <c r="A551" s="294"/>
      <c r="B551" s="423" t="str">
        <f>IF($E551="",IF($D551="","",VLOOKUP($D551,TableInputsData[],ReadMe!$M$3,FALSE)),VLOOKUP($D551,TableInputsData[],ReadMe!$M$3,FALSE)&amp;"  |  "&amp;VLOOKUP($E551,TableInputsData[],ReadMe!$M$3,FALSE))</f>
        <v/>
      </c>
      <c r="C551" s="294"/>
      <c r="O551" s="294"/>
    </row>
    <row r="552" spans="1:15" hidden="1" outlineLevel="1" x14ac:dyDescent="0.15">
      <c r="A552" s="294"/>
      <c r="B552" s="423" t="str">
        <f>IF($E552="",IF($D552="","",VLOOKUP($D552,TableInputsData[],ReadMe!$M$3,FALSE)),VLOOKUP($D552,TableInputsData[],ReadMe!$M$3,FALSE)&amp;"  |  "&amp;VLOOKUP($E552,TableInputsData[],ReadMe!$M$3,FALSE))</f>
        <v/>
      </c>
      <c r="C552" s="294"/>
      <c r="O552" s="294"/>
    </row>
    <row r="553" spans="1:15" hidden="1" outlineLevel="1" x14ac:dyDescent="0.15">
      <c r="A553" s="294"/>
      <c r="B553" s="423" t="str">
        <f>IF($E553="",IF($D553="","",VLOOKUP($D553,TableInputsData[],ReadMe!$M$3,FALSE)),VLOOKUP($D553,TableInputsData[],ReadMe!$M$3,FALSE)&amp;"  |  "&amp;VLOOKUP($E553,TableInputsData[],ReadMe!$M$3,FALSE))</f>
        <v/>
      </c>
      <c r="C553" s="294"/>
      <c r="O553" s="294"/>
    </row>
    <row r="554" spans="1:15" hidden="1" outlineLevel="1" x14ac:dyDescent="0.15">
      <c r="A554" s="294"/>
      <c r="B554" s="423" t="str">
        <f>IF($E554="",IF($D554="","",VLOOKUP($D554,TableInputsData[],ReadMe!$M$3,FALSE)),VLOOKUP($D554,TableInputsData[],ReadMe!$M$3,FALSE)&amp;"  |  "&amp;VLOOKUP($E554,TableInputsData[],ReadMe!$M$3,FALSE))</f>
        <v/>
      </c>
      <c r="C554" s="294"/>
      <c r="O554" s="294"/>
    </row>
    <row r="555" spans="1:15" hidden="1" outlineLevel="1" x14ac:dyDescent="0.15">
      <c r="A555" s="294"/>
      <c r="B555" s="423" t="str">
        <f>IF($E555="",IF($D555="","",VLOOKUP($D555,TableInputsData[],ReadMe!$M$3,FALSE)),VLOOKUP($D555,TableInputsData[],ReadMe!$M$3,FALSE)&amp;"  |  "&amp;VLOOKUP($E555,TableInputsData[],ReadMe!$M$3,FALSE))</f>
        <v/>
      </c>
      <c r="C555" s="294"/>
      <c r="O555" s="294"/>
    </row>
    <row r="556" spans="1:15" hidden="1" outlineLevel="1" x14ac:dyDescent="0.15">
      <c r="A556" s="294"/>
      <c r="B556" s="423" t="str">
        <f>IF($E556="",IF($D556="","",VLOOKUP($D556,TableInputsData[],ReadMe!$M$3,FALSE)),VLOOKUP($D556,TableInputsData[],ReadMe!$M$3,FALSE)&amp;"  |  "&amp;VLOOKUP($E556,TableInputsData[],ReadMe!$M$3,FALSE))</f>
        <v/>
      </c>
      <c r="C556" s="294"/>
      <c r="O556" s="294"/>
    </row>
    <row r="557" spans="1:15" hidden="1" outlineLevel="1" x14ac:dyDescent="0.15">
      <c r="A557" s="294"/>
      <c r="B557" s="423" t="str">
        <f>IF($E557="",IF($D557="","",VLOOKUP($D557,TableInputsData[],ReadMe!$M$3,FALSE)),VLOOKUP($D557,TableInputsData[],ReadMe!$M$3,FALSE)&amp;"  |  "&amp;VLOOKUP($E557,TableInputsData[],ReadMe!$M$3,FALSE))</f>
        <v/>
      </c>
      <c r="C557" s="294"/>
      <c r="O557" s="294"/>
    </row>
    <row r="558" spans="1:15" hidden="1" outlineLevel="1" x14ac:dyDescent="0.15">
      <c r="A558" s="294"/>
      <c r="B558" s="423" t="str">
        <f>IF($E558="",IF($D558="","",VLOOKUP($D558,TableInputsData[],ReadMe!$M$3,FALSE)),VLOOKUP($D558,TableInputsData[],ReadMe!$M$3,FALSE)&amp;"  |  "&amp;VLOOKUP($E558,TableInputsData[],ReadMe!$M$3,FALSE))</f>
        <v/>
      </c>
      <c r="C558" s="294"/>
      <c r="O558" s="294"/>
    </row>
    <row r="559" spans="1:15" hidden="1" outlineLevel="1" x14ac:dyDescent="0.15">
      <c r="A559" s="294"/>
      <c r="B559" s="423" t="str">
        <f>IF($E559="",IF($D559="","",VLOOKUP($D559,TableInputsData[],ReadMe!$M$3,FALSE)),VLOOKUP($D559,TableInputsData[],ReadMe!$M$3,FALSE)&amp;"  |  "&amp;VLOOKUP($E559,TableInputsData[],ReadMe!$M$3,FALSE))</f>
        <v/>
      </c>
      <c r="C559" s="294"/>
      <c r="O559" s="294"/>
    </row>
    <row r="560" spans="1:15" hidden="1" outlineLevel="1" x14ac:dyDescent="0.15">
      <c r="A560" s="294"/>
      <c r="B560" s="423" t="str">
        <f>IF($E560="",IF($D560="","",VLOOKUP($D560,TableInputsData[],ReadMe!$M$3,FALSE)),VLOOKUP($D560,TableInputsData[],ReadMe!$M$3,FALSE)&amp;"  |  "&amp;VLOOKUP($E560,TableInputsData[],ReadMe!$M$3,FALSE))</f>
        <v/>
      </c>
      <c r="C560" s="294"/>
      <c r="O560" s="294"/>
    </row>
    <row r="561" spans="1:15" hidden="1" outlineLevel="1" x14ac:dyDescent="0.15">
      <c r="A561" s="294"/>
      <c r="B561" s="423" t="str">
        <f>IF($E561="",IF($D561="","",VLOOKUP($D561,TableInputsData[],ReadMe!$M$3,FALSE)),VLOOKUP($D561,TableInputsData[],ReadMe!$M$3,FALSE)&amp;"  |  "&amp;VLOOKUP($E561,TableInputsData[],ReadMe!$M$3,FALSE))</f>
        <v/>
      </c>
      <c r="C561" s="294"/>
      <c r="O561" s="294"/>
    </row>
    <row r="562" spans="1:15" hidden="1" outlineLevel="1" x14ac:dyDescent="0.15">
      <c r="A562" s="294"/>
      <c r="B562" s="423" t="str">
        <f>IF($E562="",IF($D562="","",VLOOKUP($D562,TableInputsData[],ReadMe!$M$3,FALSE)),VLOOKUP($D562,TableInputsData[],ReadMe!$M$3,FALSE)&amp;"  |  "&amp;VLOOKUP($E562,TableInputsData[],ReadMe!$M$3,FALSE))</f>
        <v/>
      </c>
      <c r="C562" s="294"/>
      <c r="O562" s="294"/>
    </row>
    <row r="563" spans="1:15" hidden="1" outlineLevel="1" x14ac:dyDescent="0.15">
      <c r="A563" s="294"/>
      <c r="B563" s="423" t="str">
        <f>IF($E563="",IF($D563="","",VLOOKUP($D563,TableInputsData[],ReadMe!$M$3,FALSE)),VLOOKUP($D563,TableInputsData[],ReadMe!$M$3,FALSE)&amp;"  |  "&amp;VLOOKUP($E563,TableInputsData[],ReadMe!$M$3,FALSE))</f>
        <v/>
      </c>
      <c r="C563" s="294"/>
      <c r="O563" s="294"/>
    </row>
    <row r="564" spans="1:15" hidden="1" outlineLevel="1" x14ac:dyDescent="0.15">
      <c r="A564" s="294"/>
      <c r="B564" s="423" t="str">
        <f>IF($E564="",IF($D564="","",VLOOKUP($D564,TableInputsData[],ReadMe!$M$3,FALSE)),VLOOKUP($D564,TableInputsData[],ReadMe!$M$3,FALSE)&amp;"  |  "&amp;VLOOKUP($E564,TableInputsData[],ReadMe!$M$3,FALSE))</f>
        <v/>
      </c>
      <c r="C564" s="294"/>
      <c r="O564" s="294"/>
    </row>
    <row r="565" spans="1:15" hidden="1" outlineLevel="1" x14ac:dyDescent="0.15">
      <c r="A565" s="294"/>
      <c r="B565" s="423" t="str">
        <f>IF($E565="",IF($D565="","",VLOOKUP($D565,TableInputsData[],ReadMe!$M$3,FALSE)),VLOOKUP($D565,TableInputsData[],ReadMe!$M$3,FALSE)&amp;"  |  "&amp;VLOOKUP($E565,TableInputsData[],ReadMe!$M$3,FALSE))</f>
        <v/>
      </c>
      <c r="C565" s="294"/>
      <c r="O565" s="294"/>
    </row>
    <row r="566" spans="1:15" hidden="1" outlineLevel="1" x14ac:dyDescent="0.15">
      <c r="A566" s="294"/>
      <c r="B566" s="423" t="str">
        <f>IF($E566="",IF($D566="","",VLOOKUP($D566,TableInputsData[],ReadMe!$M$3,FALSE)),VLOOKUP($D566,TableInputsData[],ReadMe!$M$3,FALSE)&amp;"  |  "&amp;VLOOKUP($E566,TableInputsData[],ReadMe!$M$3,FALSE))</f>
        <v/>
      </c>
      <c r="C566" s="294"/>
      <c r="O566" s="294"/>
    </row>
    <row r="567" spans="1:15" hidden="1" outlineLevel="1" x14ac:dyDescent="0.15">
      <c r="A567" s="294"/>
      <c r="B567" s="423" t="str">
        <f>IF($E567="",IF($D567="","",VLOOKUP($D567,TableInputsData[],ReadMe!$M$3,FALSE)),VLOOKUP($D567,TableInputsData[],ReadMe!$M$3,FALSE)&amp;"  |  "&amp;VLOOKUP($E567,TableInputsData[],ReadMe!$M$3,FALSE))</f>
        <v/>
      </c>
      <c r="C567" s="294"/>
      <c r="O567" s="294"/>
    </row>
    <row r="568" spans="1:15" hidden="1" outlineLevel="1" x14ac:dyDescent="0.15">
      <c r="A568" s="294"/>
      <c r="B568" s="423" t="str">
        <f>IF($E568="",IF($D568="","",VLOOKUP($D568,TableInputsData[],ReadMe!$M$3,FALSE)),VLOOKUP($D568,TableInputsData[],ReadMe!$M$3,FALSE)&amp;"  |  "&amp;VLOOKUP($E568,TableInputsData[],ReadMe!$M$3,FALSE))</f>
        <v/>
      </c>
      <c r="C568" s="294"/>
      <c r="O568" s="294"/>
    </row>
    <row r="569" spans="1:15" hidden="1" outlineLevel="1" x14ac:dyDescent="0.15">
      <c r="A569" s="294"/>
      <c r="B569" s="423" t="str">
        <f>IF($E569="",IF($D569="","",VLOOKUP($D569,TableInputsData[],ReadMe!$M$3,FALSE)),VLOOKUP($D569,TableInputsData[],ReadMe!$M$3,FALSE)&amp;"  |  "&amp;VLOOKUP($E569,TableInputsData[],ReadMe!$M$3,FALSE))</f>
        <v/>
      </c>
      <c r="C569" s="294"/>
      <c r="O569" s="294"/>
    </row>
    <row r="570" spans="1:15" hidden="1" outlineLevel="1" x14ac:dyDescent="0.15">
      <c r="A570" s="294"/>
      <c r="B570" s="423" t="str">
        <f>IF($E570="",IF($D570="","",VLOOKUP($D570,TableInputsData[],ReadMe!$M$3,FALSE)),VLOOKUP($D570,TableInputsData[],ReadMe!$M$3,FALSE)&amp;"  |  "&amp;VLOOKUP($E570,TableInputsData[],ReadMe!$M$3,FALSE))</f>
        <v/>
      </c>
      <c r="C570" s="294"/>
      <c r="O570" s="294"/>
    </row>
    <row r="571" spans="1:15" hidden="1" outlineLevel="1" x14ac:dyDescent="0.15">
      <c r="A571" s="294"/>
      <c r="B571" s="423" t="str">
        <f>IF($E571="",IF($D571="","",VLOOKUP($D571,TableInputsData[],ReadMe!$M$3,FALSE)),VLOOKUP($D571,TableInputsData[],ReadMe!$M$3,FALSE)&amp;"  |  "&amp;VLOOKUP($E571,TableInputsData[],ReadMe!$M$3,FALSE))</f>
        <v/>
      </c>
      <c r="C571" s="294"/>
      <c r="O571" s="294"/>
    </row>
    <row r="572" spans="1:15" hidden="1" outlineLevel="1" x14ac:dyDescent="0.15">
      <c r="A572" s="294"/>
      <c r="B572" s="423" t="str">
        <f>IF($E572="",IF($D572="","",VLOOKUP($D572,TableInputsData[],ReadMe!$M$3,FALSE)),VLOOKUP($D572,TableInputsData[],ReadMe!$M$3,FALSE)&amp;"  |  "&amp;VLOOKUP($E572,TableInputsData[],ReadMe!$M$3,FALSE))</f>
        <v/>
      </c>
      <c r="C572" s="294"/>
      <c r="O572" s="294"/>
    </row>
    <row r="573" spans="1:15" hidden="1" outlineLevel="1" x14ac:dyDescent="0.15">
      <c r="A573" s="294"/>
      <c r="B573" s="423" t="str">
        <f>IF($E573="",IF($D573="","",VLOOKUP($D573,TableInputsData[],ReadMe!$M$3,FALSE)),VLOOKUP($D573,TableInputsData[],ReadMe!$M$3,FALSE)&amp;"  |  "&amp;VLOOKUP($E573,TableInputsData[],ReadMe!$M$3,FALSE))</f>
        <v/>
      </c>
      <c r="C573" s="294"/>
      <c r="O573" s="294"/>
    </row>
    <row r="574" spans="1:15" hidden="1" outlineLevel="1" x14ac:dyDescent="0.15">
      <c r="A574" s="294"/>
      <c r="B574" s="423" t="str">
        <f>IF($E574="",IF($D574="","",VLOOKUP($D574,TableInputsData[],ReadMe!$M$3,FALSE)),VLOOKUP($D574,TableInputsData[],ReadMe!$M$3,FALSE)&amp;"  |  "&amp;VLOOKUP($E574,TableInputsData[],ReadMe!$M$3,FALSE))</f>
        <v/>
      </c>
      <c r="C574" s="294"/>
      <c r="O574" s="294"/>
    </row>
    <row r="575" spans="1:15" hidden="1" outlineLevel="1" x14ac:dyDescent="0.15">
      <c r="A575" s="294"/>
      <c r="B575" s="423" t="str">
        <f>IF($E575="",IF($D575="","",VLOOKUP($D575,TableInputsData[],ReadMe!$M$3,FALSE)),VLOOKUP($D575,TableInputsData[],ReadMe!$M$3,FALSE)&amp;"  |  "&amp;VLOOKUP($E575,TableInputsData[],ReadMe!$M$3,FALSE))</f>
        <v/>
      </c>
      <c r="C575" s="294"/>
      <c r="O575" s="294"/>
    </row>
    <row r="576" spans="1:15" hidden="1" outlineLevel="1" x14ac:dyDescent="0.15">
      <c r="A576" s="294"/>
      <c r="B576" s="423" t="str">
        <f>IF($E576="",IF($D576="","",VLOOKUP($D576,TableInputsData[],ReadMe!$M$3,FALSE)),VLOOKUP($D576,TableInputsData[],ReadMe!$M$3,FALSE)&amp;"  |  "&amp;VLOOKUP($E576,TableInputsData[],ReadMe!$M$3,FALSE))</f>
        <v/>
      </c>
      <c r="C576" s="294"/>
      <c r="O576" s="294"/>
    </row>
    <row r="577" spans="1:15" hidden="1" outlineLevel="1" x14ac:dyDescent="0.15">
      <c r="A577" s="294"/>
      <c r="B577" s="423" t="str">
        <f>IF($E577="",IF($D577="","",VLOOKUP($D577,TableInputsData[],ReadMe!$M$3,FALSE)),VLOOKUP($D577,TableInputsData[],ReadMe!$M$3,FALSE)&amp;"  |  "&amp;VLOOKUP($E577,TableInputsData[],ReadMe!$M$3,FALSE))</f>
        <v/>
      </c>
      <c r="C577" s="294"/>
      <c r="O577" s="294"/>
    </row>
    <row r="578" spans="1:15" hidden="1" outlineLevel="1" x14ac:dyDescent="0.15">
      <c r="A578" s="294"/>
      <c r="B578" s="423" t="str">
        <f>IF($E578="",IF($D578="","",VLOOKUP($D578,TableInputsData[],ReadMe!$M$3,FALSE)),VLOOKUP($D578,TableInputsData[],ReadMe!$M$3,FALSE)&amp;"  |  "&amp;VLOOKUP($E578,TableInputsData[],ReadMe!$M$3,FALSE))</f>
        <v/>
      </c>
      <c r="C578" s="294"/>
      <c r="O578" s="294"/>
    </row>
    <row r="579" spans="1:15" hidden="1" outlineLevel="1" x14ac:dyDescent="0.15">
      <c r="A579" s="294"/>
      <c r="B579" s="423" t="str">
        <f>IF($E579="",IF($D579="","",VLOOKUP($D579,TableInputsData[],ReadMe!$M$3,FALSE)),VLOOKUP($D579,TableInputsData[],ReadMe!$M$3,FALSE)&amp;"  |  "&amp;VLOOKUP($E579,TableInputsData[],ReadMe!$M$3,FALSE))</f>
        <v/>
      </c>
      <c r="C579" s="294"/>
      <c r="O579" s="294"/>
    </row>
    <row r="580" spans="1:15" hidden="1" outlineLevel="1" x14ac:dyDescent="0.15">
      <c r="A580" s="294"/>
      <c r="B580" s="423" t="str">
        <f>IF($E580="",IF($D580="","",VLOOKUP($D580,TableInputsData[],ReadMe!$M$3,FALSE)),VLOOKUP($D580,TableInputsData[],ReadMe!$M$3,FALSE)&amp;"  |  "&amp;VLOOKUP($E580,TableInputsData[],ReadMe!$M$3,FALSE))</f>
        <v/>
      </c>
      <c r="C580" s="294"/>
      <c r="O580" s="294"/>
    </row>
    <row r="581" spans="1:15" hidden="1" outlineLevel="1" x14ac:dyDescent="0.15">
      <c r="A581" s="294"/>
      <c r="B581" s="423" t="str">
        <f>IF($E581="",IF($D581="","",VLOOKUP($D581,TableInputsData[],ReadMe!$M$3,FALSE)),VLOOKUP($D581,TableInputsData[],ReadMe!$M$3,FALSE)&amp;"  |  "&amp;VLOOKUP($E581,TableInputsData[],ReadMe!$M$3,FALSE))</f>
        <v/>
      </c>
      <c r="C581" s="294"/>
      <c r="O581" s="294"/>
    </row>
    <row r="582" spans="1:15" hidden="1" outlineLevel="1" x14ac:dyDescent="0.15">
      <c r="A582" s="294"/>
      <c r="B582" s="423" t="str">
        <f>IF($E582="",IF($D582="","",VLOOKUP($D582,TableInputsData[],ReadMe!$M$3,FALSE)),VLOOKUP($D582,TableInputsData[],ReadMe!$M$3,FALSE)&amp;"  |  "&amp;VLOOKUP($E582,TableInputsData[],ReadMe!$M$3,FALSE))</f>
        <v/>
      </c>
      <c r="C582" s="294"/>
      <c r="O582" s="294"/>
    </row>
    <row r="583" spans="1:15" hidden="1" outlineLevel="1" x14ac:dyDescent="0.15">
      <c r="A583" s="294"/>
      <c r="B583" s="423" t="str">
        <f>IF($E583="",IF($D583="","",VLOOKUP($D583,TableInputsData[],ReadMe!$M$3,FALSE)),VLOOKUP($D583,TableInputsData[],ReadMe!$M$3,FALSE)&amp;"  |  "&amp;VLOOKUP($E583,TableInputsData[],ReadMe!$M$3,FALSE))</f>
        <v/>
      </c>
      <c r="C583" s="294"/>
      <c r="O583" s="294"/>
    </row>
    <row r="584" spans="1:15" hidden="1" outlineLevel="1" x14ac:dyDescent="0.15">
      <c r="A584" s="294"/>
      <c r="B584" s="423" t="str">
        <f>IF($E584="",IF($D584="","",VLOOKUP($D584,TableInputsData[],ReadMe!$M$3,FALSE)),VLOOKUP($D584,TableInputsData[],ReadMe!$M$3,FALSE)&amp;"  |  "&amp;VLOOKUP($E584,TableInputsData[],ReadMe!$M$3,FALSE))</f>
        <v/>
      </c>
      <c r="C584" s="294"/>
      <c r="O584" s="294"/>
    </row>
    <row r="585" spans="1:15" hidden="1" outlineLevel="1" x14ac:dyDescent="0.15">
      <c r="A585" s="294"/>
      <c r="B585" s="423" t="str">
        <f>IF($E585="",IF($D585="","",VLOOKUP($D585,TableInputsData[],ReadMe!$M$3,FALSE)),VLOOKUP($D585,TableInputsData[],ReadMe!$M$3,FALSE)&amp;"  |  "&amp;VLOOKUP($E585,TableInputsData[],ReadMe!$M$3,FALSE))</f>
        <v/>
      </c>
      <c r="C585" s="294"/>
      <c r="O585" s="294"/>
    </row>
    <row r="586" spans="1:15" hidden="1" outlineLevel="1" x14ac:dyDescent="0.15">
      <c r="A586" s="294"/>
      <c r="B586" s="423" t="str">
        <f>IF($E586="",IF($D586="","",VLOOKUP($D586,TableInputsData[],ReadMe!$M$3,FALSE)),VLOOKUP($D586,TableInputsData[],ReadMe!$M$3,FALSE)&amp;"  |  "&amp;VLOOKUP($E586,TableInputsData[],ReadMe!$M$3,FALSE))</f>
        <v/>
      </c>
      <c r="C586" s="294"/>
      <c r="O586" s="294"/>
    </row>
    <row r="587" spans="1:15" hidden="1" outlineLevel="1" x14ac:dyDescent="0.15">
      <c r="A587" s="294"/>
      <c r="B587" s="423" t="str">
        <f>IF($E587="",IF($D587="","",VLOOKUP($D587,TableInputsData[],ReadMe!$M$3,FALSE)),VLOOKUP($D587,TableInputsData[],ReadMe!$M$3,FALSE)&amp;"  |  "&amp;VLOOKUP($E587,TableInputsData[],ReadMe!$M$3,FALSE))</f>
        <v/>
      </c>
      <c r="C587" s="294"/>
      <c r="O587" s="294"/>
    </row>
    <row r="588" spans="1:15" hidden="1" outlineLevel="1" x14ac:dyDescent="0.15">
      <c r="A588" s="294"/>
      <c r="B588" s="423" t="str">
        <f>IF($E588="",IF($D588="","",VLOOKUP($D588,TableInputsData[],ReadMe!$M$3,FALSE)),VLOOKUP($D588,TableInputsData[],ReadMe!$M$3,FALSE)&amp;"  |  "&amp;VLOOKUP($E588,TableInputsData[],ReadMe!$M$3,FALSE))</f>
        <v/>
      </c>
      <c r="C588" s="294"/>
      <c r="O588" s="294"/>
    </row>
    <row r="589" spans="1:15" hidden="1" outlineLevel="1" x14ac:dyDescent="0.15">
      <c r="A589" s="294"/>
      <c r="B589" s="423" t="str">
        <f>IF($E589="",IF($D589="","",VLOOKUP($D589,TableInputsData[],ReadMe!$M$3,FALSE)),VLOOKUP($D589,TableInputsData[],ReadMe!$M$3,FALSE)&amp;"  |  "&amp;VLOOKUP($E589,TableInputsData[],ReadMe!$M$3,FALSE))</f>
        <v/>
      </c>
      <c r="C589" s="294"/>
      <c r="O589" s="294"/>
    </row>
    <row r="590" spans="1:15" hidden="1" outlineLevel="1" x14ac:dyDescent="0.15">
      <c r="A590" s="294"/>
      <c r="B590" s="423" t="str">
        <f>IF($E590="",IF($D590="","",VLOOKUP($D590,TableInputsData[],ReadMe!$M$3,FALSE)),VLOOKUP($D590,TableInputsData[],ReadMe!$M$3,FALSE)&amp;"  |  "&amp;VLOOKUP($E590,TableInputsData[],ReadMe!$M$3,FALSE))</f>
        <v/>
      </c>
      <c r="C590" s="294"/>
      <c r="O590" s="294"/>
    </row>
    <row r="591" spans="1:15" hidden="1" outlineLevel="1" x14ac:dyDescent="0.15">
      <c r="A591" s="294"/>
      <c r="B591" s="423" t="str">
        <f>IF($E591="",IF($D591="","",VLOOKUP($D591,TableInputsData[],ReadMe!$M$3,FALSE)),VLOOKUP($D591,TableInputsData[],ReadMe!$M$3,FALSE)&amp;"  |  "&amp;VLOOKUP($E591,TableInputsData[],ReadMe!$M$3,FALSE))</f>
        <v/>
      </c>
      <c r="C591" s="294"/>
      <c r="O591" s="294"/>
    </row>
    <row r="592" spans="1:15" hidden="1" outlineLevel="1" x14ac:dyDescent="0.15">
      <c r="A592" s="294"/>
      <c r="B592" s="423" t="str">
        <f>IF($E592="",IF($D592="","",VLOOKUP($D592,TableInputsData[],ReadMe!$M$3,FALSE)),VLOOKUP($D592,TableInputsData[],ReadMe!$M$3,FALSE)&amp;"  |  "&amp;VLOOKUP($E592,TableInputsData[],ReadMe!$M$3,FALSE))</f>
        <v/>
      </c>
      <c r="C592" s="294"/>
      <c r="O592" s="294"/>
    </row>
    <row r="593" spans="1:15" hidden="1" outlineLevel="1" x14ac:dyDescent="0.15">
      <c r="A593" s="294"/>
      <c r="B593" s="423" t="str">
        <f>IF($E593="",IF($D593="","",VLOOKUP($D593,TableInputsData[],ReadMe!$M$3,FALSE)),VLOOKUP($D593,TableInputsData[],ReadMe!$M$3,FALSE)&amp;"  |  "&amp;VLOOKUP($E593,TableInputsData[],ReadMe!$M$3,FALSE))</f>
        <v/>
      </c>
      <c r="C593" s="294"/>
      <c r="O593" s="294"/>
    </row>
    <row r="594" spans="1:15" hidden="1" outlineLevel="1" x14ac:dyDescent="0.15">
      <c r="A594" s="294"/>
      <c r="B594" s="423" t="str">
        <f>IF($E594="",IF($D594="","",VLOOKUP($D594,TableInputsData[],ReadMe!$M$3,FALSE)),VLOOKUP($D594,TableInputsData[],ReadMe!$M$3,FALSE)&amp;"  |  "&amp;VLOOKUP($E594,TableInputsData[],ReadMe!$M$3,FALSE))</f>
        <v/>
      </c>
      <c r="C594" s="294"/>
      <c r="O594" s="294"/>
    </row>
    <row r="595" spans="1:15" hidden="1" outlineLevel="1" x14ac:dyDescent="0.15">
      <c r="A595" s="294"/>
      <c r="B595" s="423" t="str">
        <f>IF($E595="",IF($D595="","",VLOOKUP($D595,TableInputsData[],ReadMe!$M$3,FALSE)),VLOOKUP($D595,TableInputsData[],ReadMe!$M$3,FALSE)&amp;"  |  "&amp;VLOOKUP($E595,TableInputsData[],ReadMe!$M$3,FALSE))</f>
        <v/>
      </c>
      <c r="C595" s="294"/>
      <c r="O595" s="294"/>
    </row>
    <row r="596" spans="1:15" hidden="1" outlineLevel="1" x14ac:dyDescent="0.15">
      <c r="A596" s="294"/>
      <c r="B596" s="423" t="str">
        <f>IF($E596="",IF($D596="","",VLOOKUP($D596,TableInputsData[],ReadMe!$M$3,FALSE)),VLOOKUP($D596,TableInputsData[],ReadMe!$M$3,FALSE)&amp;"  |  "&amp;VLOOKUP($E596,TableInputsData[],ReadMe!$M$3,FALSE))</f>
        <v/>
      </c>
      <c r="C596" s="294"/>
      <c r="O596" s="294"/>
    </row>
    <row r="597" spans="1:15" hidden="1" outlineLevel="1" x14ac:dyDescent="0.15">
      <c r="A597" s="294"/>
      <c r="B597" s="423" t="str">
        <f>IF($E597="",IF($D597="","",VLOOKUP($D597,TableInputsData[],ReadMe!$M$3,FALSE)),VLOOKUP($D597,TableInputsData[],ReadMe!$M$3,FALSE)&amp;"  |  "&amp;VLOOKUP($E597,TableInputsData[],ReadMe!$M$3,FALSE))</f>
        <v/>
      </c>
      <c r="C597" s="294"/>
      <c r="O597" s="294"/>
    </row>
    <row r="598" spans="1:15" hidden="1" outlineLevel="1" x14ac:dyDescent="0.15">
      <c r="A598" s="294"/>
      <c r="B598" s="423" t="str">
        <f>IF($E598="",IF($D598="","",VLOOKUP($D598,TableInputsData[],ReadMe!$M$3,FALSE)),VLOOKUP($D598,TableInputsData[],ReadMe!$M$3,FALSE)&amp;"  |  "&amp;VLOOKUP($E598,TableInputsData[],ReadMe!$M$3,FALSE))</f>
        <v/>
      </c>
      <c r="C598" s="294"/>
      <c r="O598" s="294"/>
    </row>
    <row r="599" spans="1:15" hidden="1" outlineLevel="1" x14ac:dyDescent="0.15">
      <c r="A599" s="294"/>
      <c r="B599" s="423" t="str">
        <f>IF($E599="",IF($D599="","",VLOOKUP($D599,TableInputsData[],ReadMe!$M$3,FALSE)),VLOOKUP($D599,TableInputsData[],ReadMe!$M$3,FALSE)&amp;"  |  "&amp;VLOOKUP($E599,TableInputsData[],ReadMe!$M$3,FALSE))</f>
        <v/>
      </c>
      <c r="C599" s="294"/>
      <c r="O599" s="294"/>
    </row>
    <row r="600" spans="1:15" hidden="1" outlineLevel="1" x14ac:dyDescent="0.15">
      <c r="A600" s="294"/>
      <c r="B600" s="423" t="str">
        <f>IF($E600="",IF($D600="","",VLOOKUP($D600,TableInputsData[],ReadMe!$M$3,FALSE)),VLOOKUP($D600,TableInputsData[],ReadMe!$M$3,FALSE)&amp;"  |  "&amp;VLOOKUP($E600,TableInputsData[],ReadMe!$M$3,FALSE))</f>
        <v/>
      </c>
      <c r="C600" s="294"/>
      <c r="O600" s="294"/>
    </row>
    <row r="601" spans="1:15" hidden="1" outlineLevel="1" x14ac:dyDescent="0.15">
      <c r="A601" s="294"/>
      <c r="B601" s="423" t="str">
        <f>IF($E601="",IF($D601="","",VLOOKUP($D601,TableInputsData[],ReadMe!$M$3,FALSE)),VLOOKUP($D601,TableInputsData[],ReadMe!$M$3,FALSE)&amp;"  |  "&amp;VLOOKUP($E601,TableInputsData[],ReadMe!$M$3,FALSE))</f>
        <v/>
      </c>
      <c r="C601" s="294"/>
      <c r="O601" s="294"/>
    </row>
    <row r="602" spans="1:15" hidden="1" outlineLevel="1" x14ac:dyDescent="0.15">
      <c r="A602" s="294"/>
      <c r="B602" s="423" t="str">
        <f>IF($E602="",IF($D602="","",VLOOKUP($D602,TableInputsData[],ReadMe!$M$3,FALSE)),VLOOKUP($D602,TableInputsData[],ReadMe!$M$3,FALSE)&amp;"  |  "&amp;VLOOKUP($E602,TableInputsData[],ReadMe!$M$3,FALSE))</f>
        <v/>
      </c>
      <c r="C602" s="294"/>
      <c r="O602" s="294"/>
    </row>
    <row r="603" spans="1:15" hidden="1" outlineLevel="1" x14ac:dyDescent="0.15">
      <c r="A603" s="294"/>
      <c r="B603" s="423" t="str">
        <f>IF($E603="",IF($D603="","",VLOOKUP($D603,TableInputsData[],ReadMe!$M$3,FALSE)),VLOOKUP($D603,TableInputsData[],ReadMe!$M$3,FALSE)&amp;"  |  "&amp;VLOOKUP($E603,TableInputsData[],ReadMe!$M$3,FALSE))</f>
        <v/>
      </c>
      <c r="C603" s="294"/>
      <c r="O603" s="294"/>
    </row>
    <row r="604" spans="1:15" hidden="1" outlineLevel="1" x14ac:dyDescent="0.15">
      <c r="A604" s="294"/>
      <c r="B604" s="423" t="str">
        <f>IF($E604="",IF($D604="","",VLOOKUP($D604,TableInputsData[],ReadMe!$M$3,FALSE)),VLOOKUP($D604,TableInputsData[],ReadMe!$M$3,FALSE)&amp;"  |  "&amp;VLOOKUP($E604,TableInputsData[],ReadMe!$M$3,FALSE))</f>
        <v/>
      </c>
      <c r="C604" s="294"/>
      <c r="O604" s="294"/>
    </row>
    <row r="605" spans="1:15" hidden="1" outlineLevel="1" x14ac:dyDescent="0.15">
      <c r="A605" s="294"/>
      <c r="B605" s="423" t="str">
        <f>IF($E605="",IF($D605="","",VLOOKUP($D605,TableInputsData[],ReadMe!$M$3,FALSE)),VLOOKUP($D605,TableInputsData[],ReadMe!$M$3,FALSE)&amp;"  |  "&amp;VLOOKUP($E605,TableInputsData[],ReadMe!$M$3,FALSE))</f>
        <v/>
      </c>
      <c r="C605" s="294"/>
      <c r="O605" s="294"/>
    </row>
    <row r="606" spans="1:15" hidden="1" outlineLevel="1" x14ac:dyDescent="0.15">
      <c r="A606" s="294"/>
      <c r="B606" s="423" t="str">
        <f>IF($E606="",IF($D606="","",VLOOKUP($D606,TableInputsData[],ReadMe!$M$3,FALSE)),VLOOKUP($D606,TableInputsData[],ReadMe!$M$3,FALSE)&amp;"  |  "&amp;VLOOKUP($E606,TableInputsData[],ReadMe!$M$3,FALSE))</f>
        <v/>
      </c>
      <c r="C606" s="294"/>
      <c r="O606" s="294"/>
    </row>
    <row r="607" spans="1:15" hidden="1" outlineLevel="1" x14ac:dyDescent="0.15">
      <c r="A607" s="294"/>
      <c r="B607" s="423" t="str">
        <f>IF($E607="",IF($D607="","",VLOOKUP($D607,TableInputsData[],ReadMe!$M$3,FALSE)),VLOOKUP($D607,TableInputsData[],ReadMe!$M$3,FALSE)&amp;"  |  "&amp;VLOOKUP($E607,TableInputsData[],ReadMe!$M$3,FALSE))</f>
        <v/>
      </c>
      <c r="C607" s="294"/>
      <c r="O607" s="294"/>
    </row>
    <row r="608" spans="1:15" hidden="1" outlineLevel="1" x14ac:dyDescent="0.15">
      <c r="A608" s="294"/>
      <c r="B608" s="423" t="str">
        <f>IF($E608="",IF($D608="","",VLOOKUP($D608,TableInputsData[],ReadMe!$M$3,FALSE)),VLOOKUP($D608,TableInputsData[],ReadMe!$M$3,FALSE)&amp;"  |  "&amp;VLOOKUP($E608,TableInputsData[],ReadMe!$M$3,FALSE))</f>
        <v/>
      </c>
      <c r="C608" s="294"/>
      <c r="O608" s="294"/>
    </row>
    <row r="609" spans="1:15" hidden="1" outlineLevel="1" x14ac:dyDescent="0.15">
      <c r="A609" s="294"/>
      <c r="B609" s="423" t="str">
        <f>IF($E609="",IF($D609="","",VLOOKUP($D609,TableInputsData[],ReadMe!$M$3,FALSE)),VLOOKUP($D609,TableInputsData[],ReadMe!$M$3,FALSE)&amp;"  |  "&amp;VLOOKUP($E609,TableInputsData[],ReadMe!$M$3,FALSE))</f>
        <v/>
      </c>
      <c r="C609" s="294"/>
      <c r="O609" s="294"/>
    </row>
    <row r="610" spans="1:15" hidden="1" outlineLevel="1" x14ac:dyDescent="0.15">
      <c r="A610" s="294"/>
      <c r="B610" s="423" t="str">
        <f>IF($E610="",IF($D610="","",VLOOKUP($D610,TableInputsData[],ReadMe!$M$3,FALSE)),VLOOKUP($D610,TableInputsData[],ReadMe!$M$3,FALSE)&amp;"  |  "&amp;VLOOKUP($E610,TableInputsData[],ReadMe!$M$3,FALSE))</f>
        <v/>
      </c>
      <c r="C610" s="294"/>
      <c r="O610" s="294"/>
    </row>
    <row r="611" spans="1:15" hidden="1" outlineLevel="1" x14ac:dyDescent="0.15">
      <c r="A611" s="294"/>
      <c r="B611" s="423" t="str">
        <f>IF($E611="",IF($D611="","",VLOOKUP($D611,TableInputsData[],ReadMe!$M$3,FALSE)),VLOOKUP($D611,TableInputsData[],ReadMe!$M$3,FALSE)&amp;"  |  "&amp;VLOOKUP($E611,TableInputsData[],ReadMe!$M$3,FALSE))</f>
        <v/>
      </c>
      <c r="C611" s="294"/>
      <c r="O611" s="294"/>
    </row>
    <row r="612" spans="1:15" hidden="1" outlineLevel="1" x14ac:dyDescent="0.15">
      <c r="A612" s="294"/>
      <c r="B612" s="423" t="str">
        <f>IF($E612="",IF($D612="","",VLOOKUP($D612,TableInputsData[],ReadMe!$M$3,FALSE)),VLOOKUP($D612,TableInputsData[],ReadMe!$M$3,FALSE)&amp;"  |  "&amp;VLOOKUP($E612,TableInputsData[],ReadMe!$M$3,FALSE))</f>
        <v/>
      </c>
      <c r="C612" s="294"/>
      <c r="O612" s="294"/>
    </row>
    <row r="613" spans="1:15" hidden="1" outlineLevel="1" x14ac:dyDescent="0.15">
      <c r="A613" s="294"/>
      <c r="B613" s="423" t="str">
        <f>IF($E613="",IF($D613="","",VLOOKUP($D613,TableInputsData[],ReadMe!$M$3,FALSE)),VLOOKUP($D613,TableInputsData[],ReadMe!$M$3,FALSE)&amp;"  |  "&amp;VLOOKUP($E613,TableInputsData[],ReadMe!$M$3,FALSE))</f>
        <v/>
      </c>
      <c r="C613" s="294"/>
      <c r="O613" s="294"/>
    </row>
    <row r="614" spans="1:15" hidden="1" outlineLevel="1" x14ac:dyDescent="0.15">
      <c r="A614" s="294"/>
      <c r="B614" s="423" t="str">
        <f>IF($E614="",IF($D614="","",VLOOKUP($D614,TableInputsData[],ReadMe!$M$3,FALSE)),VLOOKUP($D614,TableInputsData[],ReadMe!$M$3,FALSE)&amp;"  |  "&amp;VLOOKUP($E614,TableInputsData[],ReadMe!$M$3,FALSE))</f>
        <v/>
      </c>
      <c r="C614" s="294"/>
      <c r="O614" s="294"/>
    </row>
    <row r="615" spans="1:15" hidden="1" outlineLevel="1" x14ac:dyDescent="0.15">
      <c r="A615" s="294"/>
      <c r="B615" s="423" t="str">
        <f>IF($E615="",IF($D615="","",VLOOKUP($D615,TableInputsData[],ReadMe!$M$3,FALSE)),VLOOKUP($D615,TableInputsData[],ReadMe!$M$3,FALSE)&amp;"  |  "&amp;VLOOKUP($E615,TableInputsData[],ReadMe!$M$3,FALSE))</f>
        <v/>
      </c>
      <c r="C615" s="294"/>
      <c r="O615" s="294"/>
    </row>
    <row r="616" spans="1:15" hidden="1" outlineLevel="1" x14ac:dyDescent="0.15">
      <c r="A616" s="294"/>
      <c r="B616" s="423" t="str">
        <f>IF($E616="",IF($D616="","",VLOOKUP($D616,TableInputsData[],ReadMe!$M$3,FALSE)),VLOOKUP($D616,TableInputsData[],ReadMe!$M$3,FALSE)&amp;"  |  "&amp;VLOOKUP($E616,TableInputsData[],ReadMe!$M$3,FALSE))</f>
        <v/>
      </c>
      <c r="C616" s="294"/>
      <c r="O616" s="294"/>
    </row>
    <row r="617" spans="1:15" hidden="1" outlineLevel="1" x14ac:dyDescent="0.15">
      <c r="A617" s="294"/>
      <c r="B617" s="423" t="str">
        <f>IF($E617="",IF($D617="","",VLOOKUP($D617,TableInputsData[],ReadMe!$M$3,FALSE)),VLOOKUP($D617,TableInputsData[],ReadMe!$M$3,FALSE)&amp;"  |  "&amp;VLOOKUP($E617,TableInputsData[],ReadMe!$M$3,FALSE))</f>
        <v/>
      </c>
      <c r="C617" s="294"/>
      <c r="O617" s="294"/>
    </row>
    <row r="618" spans="1:15" hidden="1" outlineLevel="1" x14ac:dyDescent="0.15">
      <c r="A618" s="294"/>
      <c r="B618" s="423" t="str">
        <f>IF($E618="",IF($D618="","",VLOOKUP($D618,TableInputsData[],ReadMe!$M$3,FALSE)),VLOOKUP($D618,TableInputsData[],ReadMe!$M$3,FALSE)&amp;"  |  "&amp;VLOOKUP($E618,TableInputsData[],ReadMe!$M$3,FALSE))</f>
        <v/>
      </c>
      <c r="C618" s="294"/>
      <c r="O618" s="294"/>
    </row>
    <row r="619" spans="1:15" hidden="1" outlineLevel="1" x14ac:dyDescent="0.15">
      <c r="A619" s="294"/>
      <c r="B619" s="423" t="str">
        <f>IF($E619="",IF($D619="","",VLOOKUP($D619,TableInputsData[],ReadMe!$M$3,FALSE)),VLOOKUP($D619,TableInputsData[],ReadMe!$M$3,FALSE)&amp;"  |  "&amp;VLOOKUP($E619,TableInputsData[],ReadMe!$M$3,FALSE))</f>
        <v/>
      </c>
      <c r="C619" s="294"/>
      <c r="O619" s="294"/>
    </row>
    <row r="620" spans="1:15" hidden="1" outlineLevel="1" x14ac:dyDescent="0.15">
      <c r="A620" s="294"/>
      <c r="B620" s="423" t="str">
        <f>IF($E620="",IF($D620="","",VLOOKUP($D620,TableInputsData[],ReadMe!$M$3,FALSE)),VLOOKUP($D620,TableInputsData[],ReadMe!$M$3,FALSE)&amp;"  |  "&amp;VLOOKUP($E620,TableInputsData[],ReadMe!$M$3,FALSE))</f>
        <v/>
      </c>
      <c r="C620" s="294"/>
      <c r="O620" s="294"/>
    </row>
    <row r="621" spans="1:15" hidden="1" outlineLevel="1" x14ac:dyDescent="0.15">
      <c r="A621" s="294"/>
      <c r="B621" s="423" t="str">
        <f>IF($E621="",IF($D621="","",VLOOKUP($D621,TableInputsData[],ReadMe!$M$3,FALSE)),VLOOKUP($D621,TableInputsData[],ReadMe!$M$3,FALSE)&amp;"  |  "&amp;VLOOKUP($E621,TableInputsData[],ReadMe!$M$3,FALSE))</f>
        <v/>
      </c>
      <c r="C621" s="294"/>
      <c r="O621" s="294"/>
    </row>
    <row r="622" spans="1:15" collapsed="1" x14ac:dyDescent="0.2">
      <c r="A622" s="294"/>
      <c r="B622" s="294"/>
      <c r="C622" s="294"/>
      <c r="D622" s="294"/>
      <c r="E622" s="294"/>
      <c r="F622" s="294"/>
      <c r="G622" s="294"/>
      <c r="H622" s="294"/>
      <c r="I622" s="294"/>
      <c r="J622" s="294"/>
      <c r="K622" s="294"/>
      <c r="L622" s="294"/>
      <c r="M622" s="294"/>
      <c r="N622" s="294"/>
      <c r="O622" s="294"/>
    </row>
    <row r="623" spans="1:15" x14ac:dyDescent="0.2">
      <c r="A623" s="294"/>
      <c r="B623" s="164" t="str">
        <f>VLOOKUP($D623,TableInputsData[],ReadMe!$M$3,FALSE)</f>
        <v>INVESTISSEMENTS</v>
      </c>
      <c r="C623" s="294"/>
      <c r="D623" s="164" t="s">
        <v>755</v>
      </c>
      <c r="E623" s="151"/>
      <c r="F623" s="152"/>
      <c r="G623" s="152"/>
      <c r="H623" s="152"/>
      <c r="I623" s="152"/>
      <c r="J623" s="152"/>
      <c r="K623" s="152"/>
      <c r="L623" s="152"/>
      <c r="M623" s="152"/>
      <c r="N623" s="545" t="str">
        <f>$N$223</f>
        <v>CAS TYPIQUE
SCENARIO DE SIMULATION</v>
      </c>
      <c r="O623" s="294"/>
    </row>
    <row r="624" spans="1:15" x14ac:dyDescent="0.15">
      <c r="A624" s="294"/>
      <c r="B624" s="294"/>
      <c r="C624" s="294"/>
      <c r="D624" s="300" t="s">
        <v>985</v>
      </c>
      <c r="E624" s="294"/>
      <c r="F624" s="294"/>
      <c r="G624" s="294"/>
      <c r="H624" s="294"/>
      <c r="I624" s="294"/>
      <c r="J624" s="294"/>
      <c r="K624" s="294"/>
      <c r="L624" s="294"/>
      <c r="M624" s="294"/>
      <c r="N624" s="294"/>
      <c r="O624" s="294"/>
    </row>
    <row r="625" spans="1:15" hidden="1" outlineLevel="1" x14ac:dyDescent="0.2">
      <c r="A625" s="294"/>
      <c r="B625" s="294"/>
      <c r="C625" s="294"/>
      <c r="D625" s="162" t="s">
        <v>122</v>
      </c>
      <c r="E625" s="212">
        <v>3</v>
      </c>
      <c r="F625" s="294"/>
      <c r="G625" s="294"/>
      <c r="H625" s="294"/>
      <c r="I625" s="294"/>
      <c r="J625" s="294"/>
      <c r="K625" s="294"/>
      <c r="L625" s="294"/>
      <c r="M625" s="294"/>
      <c r="N625" s="294"/>
      <c r="O625" s="294"/>
    </row>
    <row r="626" spans="1:15" hidden="1" outlineLevel="1" x14ac:dyDescent="0.2">
      <c r="A626" s="294"/>
      <c r="B626" s="294"/>
      <c r="C626" s="294"/>
      <c r="D626" s="162" t="s">
        <v>591</v>
      </c>
      <c r="E626" s="212">
        <v>1</v>
      </c>
      <c r="F626" s="294"/>
      <c r="G626" s="294"/>
      <c r="H626" s="294"/>
      <c r="I626" s="294"/>
      <c r="J626" s="294"/>
      <c r="K626" s="294"/>
      <c r="L626" s="294"/>
      <c r="M626" s="294"/>
      <c r="N626" s="294"/>
      <c r="O626" s="294"/>
    </row>
    <row r="627" spans="1:15" hidden="1" outlineLevel="1" x14ac:dyDescent="0.2">
      <c r="A627" s="294"/>
      <c r="B627" s="294"/>
      <c r="C627" s="294"/>
      <c r="D627" s="162" t="s">
        <v>590</v>
      </c>
      <c r="E627" s="1" t="s">
        <v>114</v>
      </c>
      <c r="F627" s="294"/>
      <c r="G627" s="294"/>
      <c r="H627" s="294"/>
      <c r="I627" s="294"/>
      <c r="J627" s="294"/>
      <c r="K627" s="294"/>
      <c r="L627" s="294"/>
      <c r="M627" s="294"/>
      <c r="N627" s="294"/>
      <c r="O627" s="294"/>
    </row>
    <row r="628" spans="1:15" hidden="1" outlineLevel="1" x14ac:dyDescent="0.2">
      <c r="A628" s="294"/>
      <c r="B628" s="294"/>
      <c r="C628" s="294"/>
      <c r="D628" s="294"/>
      <c r="E628" s="294"/>
      <c r="F628" s="294"/>
      <c r="G628" s="294"/>
      <c r="H628" s="294"/>
      <c r="I628" s="294"/>
      <c r="J628" s="294"/>
      <c r="K628" s="294"/>
      <c r="L628" s="294"/>
      <c r="M628" s="294"/>
      <c r="N628" s="294"/>
      <c r="O628" s="294"/>
    </row>
    <row r="629" spans="1:15" ht="42" collapsed="1" x14ac:dyDescent="0.2">
      <c r="A629" s="294"/>
      <c r="B629" s="294"/>
      <c r="C629" s="294"/>
      <c r="D629" s="378" t="s">
        <v>1</v>
      </c>
      <c r="E629" s="162" t="s">
        <v>30</v>
      </c>
      <c r="F629" s="378" t="s">
        <v>0</v>
      </c>
      <c r="G629" s="382" t="s">
        <v>973</v>
      </c>
      <c r="H629" s="382" t="s">
        <v>974</v>
      </c>
      <c r="I629" s="382" t="s">
        <v>975</v>
      </c>
      <c r="J629" s="382" t="s">
        <v>976</v>
      </c>
      <c r="K629" s="382" t="s">
        <v>977</v>
      </c>
      <c r="L629" s="382" t="s">
        <v>978</v>
      </c>
      <c r="M629" s="382" t="s">
        <v>979</v>
      </c>
      <c r="N629" s="382" t="s">
        <v>980</v>
      </c>
      <c r="O629" s="294"/>
    </row>
    <row r="630" spans="1:15" x14ac:dyDescent="0.15">
      <c r="A630" s="294"/>
      <c r="B630" s="423" t="str">
        <f>IF($E630="",IF($D630="","",VLOOKUP($D630,TableInputsData[],ReadMe!$M$3,FALSE)),VLOOKUP($D630,TableInputsData[],ReadMe!$M$3,FALSE)&amp;"  |  "&amp;VLOOKUP($E630,TableInputsData[],ReadMe!$M$3,FALSE))</f>
        <v>INVESTISSEMENTS  |  TOTAL MATERIEL DE BUREAU</v>
      </c>
      <c r="C630" s="294"/>
      <c r="D630" s="1" t="s">
        <v>755</v>
      </c>
      <c r="E630" s="1" t="s">
        <v>1168</v>
      </c>
      <c r="F630" s="1" t="s">
        <v>762</v>
      </c>
      <c r="G630" s="2">
        <v>0</v>
      </c>
      <c r="H630" s="2">
        <v>0</v>
      </c>
      <c r="I630" s="2">
        <v>0</v>
      </c>
      <c r="J630" s="2">
        <v>0</v>
      </c>
      <c r="K630" s="2">
        <v>0</v>
      </c>
      <c r="L630" s="2">
        <v>0</v>
      </c>
      <c r="M630" s="2">
        <v>0</v>
      </c>
      <c r="N630" s="2">
        <v>0</v>
      </c>
      <c r="O630" s="294"/>
    </row>
    <row r="631" spans="1:15" x14ac:dyDescent="0.15">
      <c r="A631" s="294"/>
      <c r="B631" s="423" t="str">
        <f>IF($E631="",IF($D631="","",VLOOKUP($D631,TableInputsData[],ReadMe!$M$3,FALSE)),VLOOKUP($D631,TableInputsData[],ReadMe!$M$3,FALSE)&amp;"  |  "&amp;VLOOKUP($E631,TableInputsData[],ReadMe!$M$3,FALSE))</f>
        <v>INVESTISSEMENTS  |  TOTAL MATERIEL DE PRODUCTION</v>
      </c>
      <c r="C631" s="294"/>
      <c r="D631" s="1" t="s">
        <v>755</v>
      </c>
      <c r="E631" s="1" t="s">
        <v>1167</v>
      </c>
      <c r="F631" s="1" t="s">
        <v>762</v>
      </c>
      <c r="G631" s="2">
        <v>0</v>
      </c>
      <c r="H631" s="2">
        <v>0</v>
      </c>
      <c r="I631" s="2">
        <v>0</v>
      </c>
      <c r="J631" s="2">
        <v>0</v>
      </c>
      <c r="K631" s="2">
        <v>0</v>
      </c>
      <c r="L631" s="2">
        <v>0</v>
      </c>
      <c r="M631" s="2">
        <v>0</v>
      </c>
      <c r="N631" s="2">
        <v>0</v>
      </c>
      <c r="O631" s="294"/>
    </row>
    <row r="632" spans="1:15" x14ac:dyDescent="0.15">
      <c r="A632" s="294"/>
      <c r="B632" s="423" t="str">
        <f>IF($E632="",IF($D632="","",VLOOKUP($D632,TableInputsData[],ReadMe!$M$3,FALSE)),VLOOKUP($D632,TableInputsData[],ReadMe!$M$3,FALSE)&amp;"  |  "&amp;VLOOKUP($E632,TableInputsData[],ReadMe!$M$3,FALSE))</f>
        <v>INVESTISSEMENTS  |  TOTAL AUTRES ACTIFS</v>
      </c>
      <c r="C632" s="294"/>
      <c r="D632" s="1" t="s">
        <v>755</v>
      </c>
      <c r="E632" s="1" t="s">
        <v>1166</v>
      </c>
      <c r="F632" s="1" t="s">
        <v>762</v>
      </c>
      <c r="G632" s="2">
        <v>0</v>
      </c>
      <c r="H632" s="2">
        <v>0</v>
      </c>
      <c r="I632" s="2">
        <v>0</v>
      </c>
      <c r="J632" s="2">
        <v>0</v>
      </c>
      <c r="K632" s="2">
        <v>0</v>
      </c>
      <c r="L632" s="2">
        <v>0</v>
      </c>
      <c r="M632" s="2">
        <v>0</v>
      </c>
      <c r="N632" s="2">
        <v>0</v>
      </c>
      <c r="O632" s="294"/>
    </row>
    <row r="633" spans="1:15" x14ac:dyDescent="0.15">
      <c r="A633" s="294"/>
      <c r="B633" s="438" t="str">
        <f>IF($E633="",IF($D633="","",VLOOKUP($D633,TableInputsData[],ReadMe!$M$3,FALSE)),VLOOKUP($D633,TableInputsData[],ReadMe!$M$3,FALSE)&amp;"  |  "&amp;VLOOKUP($E633,TableInputsData[],ReadMe!$M$3,FALSE))</f>
        <v>INVESTISSEMENTS  |  TOTAL ACTIFS IMMOBILISES</v>
      </c>
      <c r="C633" s="294"/>
      <c r="D633" s="1" t="s">
        <v>755</v>
      </c>
      <c r="E633" s="392" t="s">
        <v>1165</v>
      </c>
      <c r="F633" s="393" t="s">
        <v>762</v>
      </c>
      <c r="G633" s="389">
        <v>0</v>
      </c>
      <c r="H633" s="389">
        <v>0</v>
      </c>
      <c r="I633" s="389">
        <v>0</v>
      </c>
      <c r="J633" s="389">
        <v>0</v>
      </c>
      <c r="K633" s="389">
        <v>0</v>
      </c>
      <c r="L633" s="389">
        <v>0</v>
      </c>
      <c r="M633" s="389">
        <v>0</v>
      </c>
      <c r="N633" s="390">
        <v>0</v>
      </c>
      <c r="O633" s="294"/>
    </row>
    <row r="634" spans="1:15" x14ac:dyDescent="0.15">
      <c r="A634" s="294"/>
      <c r="B634" s="423" t="str">
        <f>IF($E634="",IF($D634="","",VLOOKUP($D634,TableInputsData[],ReadMe!$M$3,FALSE)),VLOOKUP($D634,TableInputsData[],ReadMe!$M$3,FALSE)&amp;"  |  "&amp;VLOOKUP($E634,TableInputsData[],ReadMe!$M$3,FALSE))</f>
        <v>INVESTISSEMENTS  |  TOTAL ACTIFS IMMATERIELS</v>
      </c>
      <c r="C634" s="294"/>
      <c r="D634" s="1" t="s">
        <v>755</v>
      </c>
      <c r="E634" s="1" t="s">
        <v>1164</v>
      </c>
      <c r="F634" s="1" t="s">
        <v>763</v>
      </c>
      <c r="G634" s="2">
        <v>0</v>
      </c>
      <c r="H634" s="2">
        <v>0</v>
      </c>
      <c r="I634" s="2">
        <v>0</v>
      </c>
      <c r="J634" s="2">
        <v>0</v>
      </c>
      <c r="K634" s="2">
        <v>0</v>
      </c>
      <c r="L634" s="2">
        <v>0</v>
      </c>
      <c r="M634" s="2">
        <v>0</v>
      </c>
      <c r="N634" s="2">
        <v>0</v>
      </c>
      <c r="O634" s="294"/>
    </row>
    <row r="635" spans="1:15" x14ac:dyDescent="0.15">
      <c r="A635" s="294"/>
      <c r="B635" s="423" t="str">
        <f>IF($E635="",IF($D635="","",VLOOKUP($D635,TableInputsData[],ReadMe!$M$3,FALSE)),VLOOKUP($D635,TableInputsData[],ReadMe!$M$3,FALSE)&amp;"  |  "&amp;VLOOKUP($E635,TableInputsData[],ReadMe!$M$3,FALSE))</f>
        <v>INVESTISSEMENTS  |  TOTAL FRAIS DE DEMARRAGE</v>
      </c>
      <c r="C635" s="294"/>
      <c r="D635" s="1" t="s">
        <v>755</v>
      </c>
      <c r="E635" s="1" t="s">
        <v>1163</v>
      </c>
      <c r="F635" s="1" t="s">
        <v>764</v>
      </c>
      <c r="G635" s="2">
        <v>0</v>
      </c>
      <c r="H635" s="2">
        <v>0</v>
      </c>
      <c r="I635" s="2">
        <v>0</v>
      </c>
      <c r="J635" s="2">
        <v>0</v>
      </c>
      <c r="K635" s="2">
        <v>0</v>
      </c>
      <c r="L635" s="2">
        <v>0</v>
      </c>
      <c r="M635" s="2">
        <v>0</v>
      </c>
      <c r="N635" s="2">
        <v>0</v>
      </c>
      <c r="O635" s="294"/>
    </row>
    <row r="636" spans="1:15" x14ac:dyDescent="0.15">
      <c r="A636" s="294"/>
      <c r="B636" s="438" t="str">
        <f>IF($E636="",IF($D636="","",VLOOKUP($D636,TableInputsData[],ReadMe!$M$3,FALSE)),VLOOKUP($D636,TableInputsData[],ReadMe!$M$3,FALSE)&amp;"  |  "&amp;VLOOKUP($E636,TableInputsData[],ReadMe!$M$3,FALSE))</f>
        <v>INVESTISSEMENTS  |  TOTAL ACTIF</v>
      </c>
      <c r="C636" s="294"/>
      <c r="D636" s="392" t="s">
        <v>755</v>
      </c>
      <c r="E636" s="393" t="s">
        <v>987</v>
      </c>
      <c r="F636" s="393" t="s">
        <v>987</v>
      </c>
      <c r="G636" s="389">
        <v>0</v>
      </c>
      <c r="H636" s="389">
        <v>0</v>
      </c>
      <c r="I636" s="389">
        <v>0</v>
      </c>
      <c r="J636" s="389">
        <v>0</v>
      </c>
      <c r="K636" s="389">
        <v>0</v>
      </c>
      <c r="L636" s="389">
        <v>0</v>
      </c>
      <c r="M636" s="389">
        <v>0</v>
      </c>
      <c r="N636" s="390">
        <v>0</v>
      </c>
      <c r="O636" s="294"/>
    </row>
    <row r="637" spans="1:15" x14ac:dyDescent="0.15">
      <c r="A637" s="294"/>
      <c r="B637" s="423" t="str">
        <f>IF($E637="",IF($D637="","",VLOOKUP($D637,TableInputsData[],ReadMe!$M$3,FALSE)),VLOOKUP($D637,TableInputsData[],ReadMe!$M$3,FALSE)&amp;"  |  "&amp;VLOOKUP($E637,TableInputsData[],ReadMe!$M$3,FALSE))</f>
        <v>AMORTISSEMENTS  |  TOTAL MATERIEL DE BUREAU</v>
      </c>
      <c r="C637" s="294"/>
      <c r="D637" s="1" t="s">
        <v>756</v>
      </c>
      <c r="E637" s="1" t="s">
        <v>1168</v>
      </c>
      <c r="F637" s="1" t="s">
        <v>762</v>
      </c>
      <c r="G637" s="2">
        <v>0</v>
      </c>
      <c r="H637" s="2">
        <v>0</v>
      </c>
      <c r="I637" s="2">
        <v>0</v>
      </c>
      <c r="J637" s="2">
        <v>0</v>
      </c>
      <c r="K637" s="2">
        <v>0</v>
      </c>
      <c r="L637" s="2">
        <v>0</v>
      </c>
      <c r="M637" s="2">
        <v>0</v>
      </c>
      <c r="N637" s="2">
        <v>0</v>
      </c>
      <c r="O637" s="294"/>
    </row>
    <row r="638" spans="1:15" x14ac:dyDescent="0.15">
      <c r="A638" s="294"/>
      <c r="B638" s="423" t="str">
        <f>IF($E638="",IF($D638="","",VLOOKUP($D638,TableInputsData[],ReadMe!$M$3,FALSE)),VLOOKUP($D638,TableInputsData[],ReadMe!$M$3,FALSE)&amp;"  |  "&amp;VLOOKUP($E638,TableInputsData[],ReadMe!$M$3,FALSE))</f>
        <v>AMORTISSEMENTS  |  TOTAL MATERIEL DE PRODUCTION</v>
      </c>
      <c r="C638" s="294"/>
      <c r="D638" s="1" t="s">
        <v>756</v>
      </c>
      <c r="E638" s="1" t="s">
        <v>1167</v>
      </c>
      <c r="F638" s="1" t="s">
        <v>762</v>
      </c>
      <c r="G638" s="2">
        <v>0</v>
      </c>
      <c r="H638" s="2">
        <v>0</v>
      </c>
      <c r="I638" s="2">
        <v>0</v>
      </c>
      <c r="J638" s="2">
        <v>0</v>
      </c>
      <c r="K638" s="2">
        <v>0</v>
      </c>
      <c r="L638" s="2">
        <v>0</v>
      </c>
      <c r="M638" s="2">
        <v>0</v>
      </c>
      <c r="N638" s="2">
        <v>0</v>
      </c>
      <c r="O638" s="294"/>
    </row>
    <row r="639" spans="1:15" x14ac:dyDescent="0.15">
      <c r="A639" s="294"/>
      <c r="B639" s="423" t="str">
        <f>IF($E639="",IF($D639="","",VLOOKUP($D639,TableInputsData[],ReadMe!$M$3,FALSE)),VLOOKUP($D639,TableInputsData[],ReadMe!$M$3,FALSE)&amp;"  |  "&amp;VLOOKUP($E639,TableInputsData[],ReadMe!$M$3,FALSE))</f>
        <v>AMORTISSEMENTS  |  TOTAL AUTRES ACTIFS</v>
      </c>
      <c r="C639" s="294"/>
      <c r="D639" s="1" t="s">
        <v>756</v>
      </c>
      <c r="E639" s="1" t="s">
        <v>1166</v>
      </c>
      <c r="F639" s="1" t="s">
        <v>762</v>
      </c>
      <c r="G639" s="2">
        <v>0</v>
      </c>
      <c r="H639" s="2">
        <v>0</v>
      </c>
      <c r="I639" s="2">
        <v>0</v>
      </c>
      <c r="J639" s="2">
        <v>0</v>
      </c>
      <c r="K639" s="2">
        <v>0</v>
      </c>
      <c r="L639" s="2">
        <v>0</v>
      </c>
      <c r="M639" s="2">
        <v>0</v>
      </c>
      <c r="N639" s="2">
        <v>0</v>
      </c>
      <c r="O639" s="294"/>
    </row>
    <row r="640" spans="1:15" x14ac:dyDescent="0.15">
      <c r="A640" s="294"/>
      <c r="B640" s="438" t="str">
        <f>IF($E640="",IF($D640="","",VLOOKUP($D640,TableInputsData[],ReadMe!$M$3,FALSE)),VLOOKUP($D640,TableInputsData[],ReadMe!$M$3,FALSE)&amp;"  |  "&amp;VLOOKUP($E640,TableInputsData[],ReadMe!$M$3,FALSE))</f>
        <v>AMORTISSEMENTS  |  TOTAL ACTIFS IMMOBILISES</v>
      </c>
      <c r="C640" s="294"/>
      <c r="D640" s="1" t="s">
        <v>756</v>
      </c>
      <c r="E640" s="392" t="s">
        <v>1165</v>
      </c>
      <c r="F640" s="393" t="s">
        <v>762</v>
      </c>
      <c r="G640" s="389">
        <v>0</v>
      </c>
      <c r="H640" s="389">
        <v>0</v>
      </c>
      <c r="I640" s="389">
        <v>0</v>
      </c>
      <c r="J640" s="389">
        <v>0</v>
      </c>
      <c r="K640" s="389">
        <v>0</v>
      </c>
      <c r="L640" s="389">
        <v>0</v>
      </c>
      <c r="M640" s="389">
        <v>0</v>
      </c>
      <c r="N640" s="390">
        <v>0</v>
      </c>
      <c r="O640" s="294"/>
    </row>
    <row r="641" spans="1:15" x14ac:dyDescent="0.15">
      <c r="A641" s="294"/>
      <c r="B641" s="423" t="str">
        <f>IF($E641="",IF($D641="","",VLOOKUP($D641,TableInputsData[],ReadMe!$M$3,FALSE)),VLOOKUP($D641,TableInputsData[],ReadMe!$M$3,FALSE)&amp;"  |  "&amp;VLOOKUP($E641,TableInputsData[],ReadMe!$M$3,FALSE))</f>
        <v>AMORTISSEMENTS  |  TOTAL ACTIFS IMMATERIELS</v>
      </c>
      <c r="C641" s="294"/>
      <c r="D641" s="1" t="s">
        <v>756</v>
      </c>
      <c r="E641" s="1" t="s">
        <v>1164</v>
      </c>
      <c r="F641" s="1" t="s">
        <v>763</v>
      </c>
      <c r="G641" s="2">
        <v>0</v>
      </c>
      <c r="H641" s="2">
        <v>0</v>
      </c>
      <c r="I641" s="2">
        <v>0</v>
      </c>
      <c r="J641" s="2">
        <v>0</v>
      </c>
      <c r="K641" s="2">
        <v>0</v>
      </c>
      <c r="L641" s="2">
        <v>0</v>
      </c>
      <c r="M641" s="2">
        <v>0</v>
      </c>
      <c r="N641" s="2">
        <v>0</v>
      </c>
      <c r="O641" s="294"/>
    </row>
    <row r="642" spans="1:15" x14ac:dyDescent="0.15">
      <c r="A642" s="294"/>
      <c r="B642" s="423" t="str">
        <f>IF($E642="",IF($D642="","",VLOOKUP($D642,TableInputsData[],ReadMe!$M$3,FALSE)),VLOOKUP($D642,TableInputsData[],ReadMe!$M$3,FALSE)&amp;"  |  "&amp;VLOOKUP($E642,TableInputsData[],ReadMe!$M$3,FALSE))</f>
        <v>AMORTISSEMENTS  |  TOTAL FRAIS DE DEMARRAGE</v>
      </c>
      <c r="C642" s="294"/>
      <c r="D642" s="1" t="s">
        <v>756</v>
      </c>
      <c r="E642" s="1" t="s">
        <v>1163</v>
      </c>
      <c r="F642" s="1" t="s">
        <v>764</v>
      </c>
      <c r="G642" s="2">
        <v>0</v>
      </c>
      <c r="H642" s="2">
        <v>0</v>
      </c>
      <c r="I642" s="2">
        <v>0</v>
      </c>
      <c r="J642" s="2">
        <v>0</v>
      </c>
      <c r="K642" s="2">
        <v>0</v>
      </c>
      <c r="L642" s="2">
        <v>0</v>
      </c>
      <c r="M642" s="2">
        <v>0</v>
      </c>
      <c r="N642" s="2">
        <v>0</v>
      </c>
      <c r="O642" s="294"/>
    </row>
    <row r="643" spans="1:15" x14ac:dyDescent="0.15">
      <c r="A643" s="294"/>
      <c r="B643" s="438" t="str">
        <f>IF($E643="",IF($D643="","",VLOOKUP($D643,TableInputsData[],ReadMe!$M$3,FALSE)),VLOOKUP($D643,TableInputsData[],ReadMe!$M$3,FALSE)&amp;"  |  "&amp;VLOOKUP($E643,TableInputsData[],ReadMe!$M$3,FALSE))</f>
        <v>AMORTISSEMENTS  |  TOTAL ACTIF</v>
      </c>
      <c r="C643" s="294"/>
      <c r="D643" s="392" t="s">
        <v>756</v>
      </c>
      <c r="E643" s="393" t="s">
        <v>987</v>
      </c>
      <c r="F643" s="393" t="s">
        <v>987</v>
      </c>
      <c r="G643" s="389">
        <v>0</v>
      </c>
      <c r="H643" s="389">
        <v>0</v>
      </c>
      <c r="I643" s="389">
        <v>0</v>
      </c>
      <c r="J643" s="389">
        <v>0</v>
      </c>
      <c r="K643" s="389">
        <v>0</v>
      </c>
      <c r="L643" s="389">
        <v>0</v>
      </c>
      <c r="M643" s="389">
        <v>0</v>
      </c>
      <c r="N643" s="390">
        <v>0</v>
      </c>
      <c r="O643" s="294"/>
    </row>
    <row r="644" spans="1:15" x14ac:dyDescent="0.15">
      <c r="A644" s="294"/>
      <c r="B644" s="423" t="str">
        <f>IF($E644="",IF($D644="","",VLOOKUP($D644,TableInputsData[],ReadMe!$M$3,FALSE)),VLOOKUP($D644,TableInputsData[],ReadMe!$M$3,FALSE)&amp;"  |  "&amp;VLOOKUP($E644,TableInputsData[],ReadMe!$M$3,FALSE))</f>
        <v>VALEUR BILAN FIN D'ANNEE  |  TOTAL MATERIEL DE BUREAU</v>
      </c>
      <c r="C644" s="294"/>
      <c r="D644" s="1" t="s">
        <v>759</v>
      </c>
      <c r="E644" s="1" t="s">
        <v>1168</v>
      </c>
      <c r="F644" s="1" t="s">
        <v>762</v>
      </c>
      <c r="G644" s="2">
        <v>0</v>
      </c>
      <c r="H644" s="2">
        <v>0</v>
      </c>
      <c r="I644" s="2">
        <v>0</v>
      </c>
      <c r="J644" s="2">
        <v>0</v>
      </c>
      <c r="K644" s="2">
        <v>0</v>
      </c>
      <c r="L644" s="2">
        <v>0</v>
      </c>
      <c r="M644" s="2">
        <v>0</v>
      </c>
      <c r="N644" s="2">
        <v>0</v>
      </c>
      <c r="O644" s="294"/>
    </row>
    <row r="645" spans="1:15" x14ac:dyDescent="0.15">
      <c r="A645" s="294"/>
      <c r="B645" s="423" t="str">
        <f>IF($E645="",IF($D645="","",VLOOKUP($D645,TableInputsData[],ReadMe!$M$3,FALSE)),VLOOKUP($D645,TableInputsData[],ReadMe!$M$3,FALSE)&amp;"  |  "&amp;VLOOKUP($E645,TableInputsData[],ReadMe!$M$3,FALSE))</f>
        <v>VALEUR BILAN FIN D'ANNEE  |  TOTAL MATERIEL DE PRODUCTION</v>
      </c>
      <c r="C645" s="294"/>
      <c r="D645" s="1" t="s">
        <v>759</v>
      </c>
      <c r="E645" s="1" t="s">
        <v>1167</v>
      </c>
      <c r="F645" s="1" t="s">
        <v>762</v>
      </c>
      <c r="G645" s="2">
        <v>0</v>
      </c>
      <c r="H645" s="2">
        <v>0</v>
      </c>
      <c r="I645" s="2">
        <v>0</v>
      </c>
      <c r="J645" s="2">
        <v>0</v>
      </c>
      <c r="K645" s="2">
        <v>0</v>
      </c>
      <c r="L645" s="2">
        <v>0</v>
      </c>
      <c r="M645" s="2">
        <v>0</v>
      </c>
      <c r="N645" s="2">
        <v>0</v>
      </c>
      <c r="O645" s="294"/>
    </row>
    <row r="646" spans="1:15" x14ac:dyDescent="0.15">
      <c r="A646" s="294"/>
      <c r="B646" s="423" t="str">
        <f>IF($E646="",IF($D646="","",VLOOKUP($D646,TableInputsData[],ReadMe!$M$3,FALSE)),VLOOKUP($D646,TableInputsData[],ReadMe!$M$3,FALSE)&amp;"  |  "&amp;VLOOKUP($E646,TableInputsData[],ReadMe!$M$3,FALSE))</f>
        <v>VALEUR BILAN FIN D'ANNEE  |  TOTAL AUTRES ACTIFS</v>
      </c>
      <c r="C646" s="294"/>
      <c r="D646" s="1" t="s">
        <v>759</v>
      </c>
      <c r="E646" s="1" t="s">
        <v>1166</v>
      </c>
      <c r="F646" s="1" t="s">
        <v>762</v>
      </c>
      <c r="G646" s="2">
        <v>0</v>
      </c>
      <c r="H646" s="2">
        <v>0</v>
      </c>
      <c r="I646" s="2">
        <v>0</v>
      </c>
      <c r="J646" s="2">
        <v>0</v>
      </c>
      <c r="K646" s="2">
        <v>0</v>
      </c>
      <c r="L646" s="2">
        <v>0</v>
      </c>
      <c r="M646" s="2">
        <v>0</v>
      </c>
      <c r="N646" s="2">
        <v>0</v>
      </c>
      <c r="O646" s="294"/>
    </row>
    <row r="647" spans="1:15" x14ac:dyDescent="0.15">
      <c r="A647" s="294"/>
      <c r="B647" s="438" t="str">
        <f>IF($E647="",IF($D647="","",VLOOKUP($D647,TableInputsData[],ReadMe!$M$3,FALSE)),VLOOKUP($D647,TableInputsData[],ReadMe!$M$3,FALSE)&amp;"  |  "&amp;VLOOKUP($E647,TableInputsData[],ReadMe!$M$3,FALSE))</f>
        <v>VALEUR BILAN FIN D'ANNEE  |  TOTAL ACTIFS IMMOBILISES</v>
      </c>
      <c r="C647" s="294"/>
      <c r="D647" s="1" t="s">
        <v>759</v>
      </c>
      <c r="E647" s="392" t="s">
        <v>1165</v>
      </c>
      <c r="F647" s="393" t="s">
        <v>762</v>
      </c>
      <c r="G647" s="389">
        <v>0</v>
      </c>
      <c r="H647" s="389">
        <v>0</v>
      </c>
      <c r="I647" s="389">
        <v>0</v>
      </c>
      <c r="J647" s="389">
        <v>0</v>
      </c>
      <c r="K647" s="389">
        <v>0</v>
      </c>
      <c r="L647" s="389">
        <v>0</v>
      </c>
      <c r="M647" s="389">
        <v>0</v>
      </c>
      <c r="N647" s="390">
        <v>0</v>
      </c>
      <c r="O647" s="294"/>
    </row>
    <row r="648" spans="1:15" x14ac:dyDescent="0.15">
      <c r="A648" s="294"/>
      <c r="B648" s="423" t="str">
        <f>IF($E648="",IF($D648="","",VLOOKUP($D648,TableInputsData[],ReadMe!$M$3,FALSE)),VLOOKUP($D648,TableInputsData[],ReadMe!$M$3,FALSE)&amp;"  |  "&amp;VLOOKUP($E648,TableInputsData[],ReadMe!$M$3,FALSE))</f>
        <v>VALEUR BILAN FIN D'ANNEE  |  TOTAL ACTIFS IMMATERIELS</v>
      </c>
      <c r="C648" s="294"/>
      <c r="D648" s="1" t="s">
        <v>759</v>
      </c>
      <c r="E648" s="1" t="s">
        <v>1164</v>
      </c>
      <c r="F648" s="1" t="s">
        <v>763</v>
      </c>
      <c r="G648" s="2">
        <v>0</v>
      </c>
      <c r="H648" s="2">
        <v>0</v>
      </c>
      <c r="I648" s="2">
        <v>0</v>
      </c>
      <c r="J648" s="2">
        <v>0</v>
      </c>
      <c r="K648" s="2">
        <v>0</v>
      </c>
      <c r="L648" s="2">
        <v>0</v>
      </c>
      <c r="M648" s="2">
        <v>0</v>
      </c>
      <c r="N648" s="2">
        <v>0</v>
      </c>
      <c r="O648" s="294"/>
    </row>
    <row r="649" spans="1:15" x14ac:dyDescent="0.15">
      <c r="A649" s="294"/>
      <c r="B649" s="423" t="str">
        <f>IF($E649="",IF($D649="","",VLOOKUP($D649,TableInputsData[],ReadMe!$M$3,FALSE)),VLOOKUP($D649,TableInputsData[],ReadMe!$M$3,FALSE)&amp;"  |  "&amp;VLOOKUP($E649,TableInputsData[],ReadMe!$M$3,FALSE))</f>
        <v>VALEUR BILAN FIN D'ANNEE  |  TOTAL FRAIS DE DEMARRAGE</v>
      </c>
      <c r="C649" s="294"/>
      <c r="D649" s="1" t="s">
        <v>759</v>
      </c>
      <c r="E649" s="1" t="s">
        <v>1163</v>
      </c>
      <c r="F649" s="1" t="s">
        <v>764</v>
      </c>
      <c r="G649" s="2">
        <v>0</v>
      </c>
      <c r="H649" s="2">
        <v>0</v>
      </c>
      <c r="I649" s="2">
        <v>0</v>
      </c>
      <c r="J649" s="2">
        <v>0</v>
      </c>
      <c r="K649" s="2">
        <v>0</v>
      </c>
      <c r="L649" s="2">
        <v>0</v>
      </c>
      <c r="M649" s="2">
        <v>0</v>
      </c>
      <c r="N649" s="2">
        <v>0</v>
      </c>
      <c r="O649" s="294"/>
    </row>
    <row r="650" spans="1:15" x14ac:dyDescent="0.15">
      <c r="A650" s="294"/>
      <c r="B650" s="438" t="str">
        <f>IF($E650="",IF($D650="","",VLOOKUP($D650,TableInputsData[],ReadMe!$M$3,FALSE)),VLOOKUP($D650,TableInputsData[],ReadMe!$M$3,FALSE)&amp;"  |  "&amp;VLOOKUP($E650,TableInputsData[],ReadMe!$M$3,FALSE))</f>
        <v>VALEUR BILAN FIN D'ANNEE  |  TOTAL ACTIF</v>
      </c>
      <c r="C650" s="294"/>
      <c r="D650" s="392" t="s">
        <v>759</v>
      </c>
      <c r="E650" s="393" t="s">
        <v>987</v>
      </c>
      <c r="F650" s="393" t="s">
        <v>987</v>
      </c>
      <c r="G650" s="389">
        <v>0</v>
      </c>
      <c r="H650" s="389">
        <v>0</v>
      </c>
      <c r="I650" s="389">
        <v>0</v>
      </c>
      <c r="J650" s="389">
        <v>0</v>
      </c>
      <c r="K650" s="389">
        <v>0</v>
      </c>
      <c r="L650" s="389">
        <v>0</v>
      </c>
      <c r="M650" s="389">
        <v>0</v>
      </c>
      <c r="N650" s="390">
        <v>0</v>
      </c>
      <c r="O650" s="294"/>
    </row>
    <row r="651" spans="1:15" ht="16" x14ac:dyDescent="0.2">
      <c r="A651" s="294"/>
      <c r="B651" s="423" t="str">
        <f>IF($E651="",IF($D651="","",VLOOKUP($D651,TableInputsData[],ReadMe!$M$3,FALSE)),VLOOKUP($D651,TableInputsData[],ReadMe!$M$3,FALSE)&amp;"  |  "&amp;VLOOKUP($E651,TableInputsData[],ReadMe!$M$3,FALSE))</f>
        <v/>
      </c>
      <c r="C651" s="294"/>
      <c r="D651"/>
      <c r="E651"/>
      <c r="F651"/>
      <c r="G651"/>
      <c r="H651"/>
      <c r="I651"/>
      <c r="J651"/>
      <c r="K651"/>
      <c r="L651"/>
      <c r="M651"/>
      <c r="N651"/>
      <c r="O651" s="294"/>
    </row>
    <row r="652" spans="1:15" ht="16" hidden="1" outlineLevel="1" x14ac:dyDescent="0.2">
      <c r="A652" s="294"/>
      <c r="B652" s="423" t="str">
        <f>IF($E652="",IF($D652="","",VLOOKUP($D652,TableInputsData[],ReadMe!$M$3,FALSE)),VLOOKUP($D652,TableInputsData[],ReadMe!$M$3,FALSE)&amp;"  |  "&amp;VLOOKUP($E652,TableInputsData[],ReadMe!$M$3,FALSE))</f>
        <v/>
      </c>
      <c r="C652" s="294"/>
      <c r="D652"/>
      <c r="E652"/>
      <c r="F652"/>
      <c r="G652"/>
      <c r="H652"/>
      <c r="I652"/>
      <c r="J652"/>
      <c r="K652"/>
      <c r="L652"/>
      <c r="M652"/>
      <c r="N652"/>
      <c r="O652" s="294"/>
    </row>
    <row r="653" spans="1:15" ht="16" hidden="1" outlineLevel="1" x14ac:dyDescent="0.2">
      <c r="A653" s="294"/>
      <c r="B653" s="423" t="str">
        <f>IF($E653="",IF($D653="","",VLOOKUP($D653,TableInputsData[],ReadMe!$M$3,FALSE)),VLOOKUP($D653,TableInputsData[],ReadMe!$M$3,FALSE)&amp;"  |  "&amp;VLOOKUP($E653,TableInputsData[],ReadMe!$M$3,FALSE))</f>
        <v/>
      </c>
      <c r="C653" s="294"/>
      <c r="D653"/>
      <c r="E653"/>
      <c r="F653"/>
      <c r="G653"/>
      <c r="H653"/>
      <c r="I653"/>
      <c r="J653"/>
      <c r="K653"/>
      <c r="L653"/>
      <c r="M653"/>
      <c r="N653"/>
      <c r="O653" s="294"/>
    </row>
    <row r="654" spans="1:15" hidden="1" outlineLevel="1" x14ac:dyDescent="0.15">
      <c r="A654" s="294"/>
      <c r="B654" s="423" t="str">
        <f>IF($E654="",IF($D654="","",VLOOKUP($D654,TableInputsData[],ReadMe!$M$3,FALSE)),VLOOKUP($D654,TableInputsData[],ReadMe!$M$3,FALSE)&amp;"  |  "&amp;VLOOKUP($E654,TableInputsData[],ReadMe!$M$3,FALSE))</f>
        <v/>
      </c>
      <c r="C654" s="294"/>
      <c r="O654" s="294"/>
    </row>
    <row r="655" spans="1:15" hidden="1" outlineLevel="1" x14ac:dyDescent="0.15">
      <c r="A655" s="294"/>
      <c r="B655" s="423" t="str">
        <f>IF($E655="",IF($D655="","",VLOOKUP($D655,TableInputsData[],ReadMe!$M$3,FALSE)),VLOOKUP($D655,TableInputsData[],ReadMe!$M$3,FALSE)&amp;"  |  "&amp;VLOOKUP($E655,TableInputsData[],ReadMe!$M$3,FALSE))</f>
        <v/>
      </c>
      <c r="C655" s="294"/>
      <c r="O655" s="294"/>
    </row>
    <row r="656" spans="1:15" hidden="1" outlineLevel="1" x14ac:dyDescent="0.15">
      <c r="A656" s="294"/>
      <c r="B656" s="423" t="str">
        <f>IF($E656="",IF($D656="","",VLOOKUP($D656,TableInputsData[],ReadMe!$M$3,FALSE)),VLOOKUP($D656,TableInputsData[],ReadMe!$M$3,FALSE)&amp;"  |  "&amp;VLOOKUP($E656,TableInputsData[],ReadMe!$M$3,FALSE))</f>
        <v/>
      </c>
      <c r="C656" s="294"/>
      <c r="O656" s="294"/>
    </row>
    <row r="657" spans="1:15" hidden="1" outlineLevel="1" x14ac:dyDescent="0.15">
      <c r="A657" s="294"/>
      <c r="B657" s="423" t="str">
        <f>IF($E657="",IF($D657="","",VLOOKUP($D657,TableInputsData[],ReadMe!$M$3,FALSE)),VLOOKUP($D657,TableInputsData[],ReadMe!$M$3,FALSE)&amp;"  |  "&amp;VLOOKUP($E657,TableInputsData[],ReadMe!$M$3,FALSE))</f>
        <v/>
      </c>
      <c r="C657" s="294"/>
      <c r="O657" s="294"/>
    </row>
    <row r="658" spans="1:15" hidden="1" outlineLevel="1" x14ac:dyDescent="0.15">
      <c r="A658" s="294"/>
      <c r="B658" s="423" t="str">
        <f>IF($E658="",IF($D658="","",VLOOKUP($D658,TableInputsData[],ReadMe!$M$3,FALSE)),VLOOKUP($D658,TableInputsData[],ReadMe!$M$3,FALSE)&amp;"  |  "&amp;VLOOKUP($E658,TableInputsData[],ReadMe!$M$3,FALSE))</f>
        <v/>
      </c>
      <c r="C658" s="294"/>
      <c r="O658" s="294"/>
    </row>
    <row r="659" spans="1:15" hidden="1" outlineLevel="1" x14ac:dyDescent="0.15">
      <c r="A659" s="294"/>
      <c r="B659" s="423" t="str">
        <f>IF($E659="",IF($D659="","",VLOOKUP($D659,TableInputsData[],ReadMe!$M$3,FALSE)),VLOOKUP($D659,TableInputsData[],ReadMe!$M$3,FALSE)&amp;"  |  "&amp;VLOOKUP($E659,TableInputsData[],ReadMe!$M$3,FALSE))</f>
        <v/>
      </c>
      <c r="C659" s="294"/>
      <c r="O659" s="294"/>
    </row>
    <row r="660" spans="1:15" hidden="1" outlineLevel="1" x14ac:dyDescent="0.15">
      <c r="A660" s="294"/>
      <c r="B660" s="423" t="str">
        <f>IF($E660="",IF($D660="","",VLOOKUP($D660,TableInputsData[],ReadMe!$M$3,FALSE)),VLOOKUP($D660,TableInputsData[],ReadMe!$M$3,FALSE)&amp;"  |  "&amp;VLOOKUP($E660,TableInputsData[],ReadMe!$M$3,FALSE))</f>
        <v/>
      </c>
      <c r="C660" s="294"/>
      <c r="O660" s="294"/>
    </row>
    <row r="661" spans="1:15" hidden="1" outlineLevel="1" x14ac:dyDescent="0.15">
      <c r="A661" s="294"/>
      <c r="B661" s="423" t="str">
        <f>IF($E661="",IF($D661="","",VLOOKUP($D661,TableInputsData[],ReadMe!$M$3,FALSE)),VLOOKUP($D661,TableInputsData[],ReadMe!$M$3,FALSE)&amp;"  |  "&amp;VLOOKUP($E661,TableInputsData[],ReadMe!$M$3,FALSE))</f>
        <v/>
      </c>
      <c r="C661" s="294"/>
      <c r="O661" s="294"/>
    </row>
    <row r="662" spans="1:15" hidden="1" outlineLevel="1" x14ac:dyDescent="0.15">
      <c r="A662" s="294"/>
      <c r="B662" s="423" t="str">
        <f>IF($E662="",IF($D662="","",VLOOKUP($D662,TableInputsData[],ReadMe!$M$3,FALSE)),VLOOKUP($D662,TableInputsData[],ReadMe!$M$3,FALSE)&amp;"  |  "&amp;VLOOKUP($E662,TableInputsData[],ReadMe!$M$3,FALSE))</f>
        <v/>
      </c>
      <c r="C662" s="294"/>
      <c r="O662" s="294"/>
    </row>
    <row r="663" spans="1:15" hidden="1" outlineLevel="1" x14ac:dyDescent="0.15">
      <c r="A663" s="294"/>
      <c r="B663" s="423" t="str">
        <f>IF($E663="",IF($D663="","",VLOOKUP($D663,TableInputsData[],ReadMe!$M$3,FALSE)),VLOOKUP($D663,TableInputsData[],ReadMe!$M$3,FALSE)&amp;"  |  "&amp;VLOOKUP($E663,TableInputsData[],ReadMe!$M$3,FALSE))</f>
        <v/>
      </c>
      <c r="C663" s="294"/>
      <c r="O663" s="294"/>
    </row>
    <row r="664" spans="1:15" hidden="1" outlineLevel="1" x14ac:dyDescent="0.15">
      <c r="A664" s="294"/>
      <c r="B664" s="423" t="str">
        <f>IF($E664="",IF($D664="","",VLOOKUP($D664,TableInputsData[],ReadMe!$M$3,FALSE)),VLOOKUP($D664,TableInputsData[],ReadMe!$M$3,FALSE)&amp;"  |  "&amp;VLOOKUP($E664,TableInputsData[],ReadMe!$M$3,FALSE))</f>
        <v/>
      </c>
      <c r="C664" s="294"/>
      <c r="O664" s="294"/>
    </row>
    <row r="665" spans="1:15" hidden="1" outlineLevel="1" x14ac:dyDescent="0.15">
      <c r="A665" s="294"/>
      <c r="B665" s="423" t="str">
        <f>IF($E665="",IF($D665="","",VLOOKUP($D665,TableInputsData[],ReadMe!$M$3,FALSE)),VLOOKUP($D665,TableInputsData[],ReadMe!$M$3,FALSE)&amp;"  |  "&amp;VLOOKUP($E665,TableInputsData[],ReadMe!$M$3,FALSE))</f>
        <v/>
      </c>
      <c r="C665" s="294"/>
      <c r="O665" s="294"/>
    </row>
    <row r="666" spans="1:15" hidden="1" outlineLevel="1" x14ac:dyDescent="0.15">
      <c r="A666" s="294"/>
      <c r="B666" s="423" t="str">
        <f>IF($E666="",IF($D666="","",VLOOKUP($D666,TableInputsData[],ReadMe!$M$3,FALSE)),VLOOKUP($D666,TableInputsData[],ReadMe!$M$3,FALSE)&amp;"  |  "&amp;VLOOKUP($E666,TableInputsData[],ReadMe!$M$3,FALSE))</f>
        <v/>
      </c>
      <c r="C666" s="294"/>
      <c r="O666" s="294"/>
    </row>
    <row r="667" spans="1:15" hidden="1" outlineLevel="1" x14ac:dyDescent="0.15">
      <c r="A667" s="294"/>
      <c r="B667" s="423" t="str">
        <f>IF($E667="",IF($D667="","",VLOOKUP($D667,TableInputsData[],ReadMe!$M$3,FALSE)),VLOOKUP($D667,TableInputsData[],ReadMe!$M$3,FALSE)&amp;"  |  "&amp;VLOOKUP($E667,TableInputsData[],ReadMe!$M$3,FALSE))</f>
        <v/>
      </c>
      <c r="C667" s="294"/>
      <c r="O667" s="294"/>
    </row>
    <row r="668" spans="1:15" hidden="1" outlineLevel="1" x14ac:dyDescent="0.15">
      <c r="A668" s="294"/>
      <c r="B668" s="423" t="str">
        <f>IF($E668="",IF($D668="","",VLOOKUP($D668,TableInputsData[],ReadMe!$M$3,FALSE)),VLOOKUP($D668,TableInputsData[],ReadMe!$M$3,FALSE)&amp;"  |  "&amp;VLOOKUP($E668,TableInputsData[],ReadMe!$M$3,FALSE))</f>
        <v/>
      </c>
      <c r="C668" s="294"/>
      <c r="O668" s="294"/>
    </row>
    <row r="669" spans="1:15" hidden="1" outlineLevel="1" x14ac:dyDescent="0.15">
      <c r="A669" s="294"/>
      <c r="B669" s="423" t="str">
        <f>IF($E669="",IF($D669="","",VLOOKUP($D669,TableInputsData[],ReadMe!$M$3,FALSE)),VLOOKUP($D669,TableInputsData[],ReadMe!$M$3,FALSE)&amp;"  |  "&amp;VLOOKUP($E669,TableInputsData[],ReadMe!$M$3,FALSE))</f>
        <v/>
      </c>
      <c r="C669" s="294"/>
      <c r="O669" s="294"/>
    </row>
    <row r="670" spans="1:15" hidden="1" outlineLevel="1" x14ac:dyDescent="0.15">
      <c r="A670" s="294"/>
      <c r="B670" s="423" t="str">
        <f>IF($E670="",IF($D670="","",VLOOKUP($D670,TableInputsData[],ReadMe!$M$3,FALSE)),VLOOKUP($D670,TableInputsData[],ReadMe!$M$3,FALSE)&amp;"  |  "&amp;VLOOKUP($E670,TableInputsData[],ReadMe!$M$3,FALSE))</f>
        <v/>
      </c>
      <c r="C670" s="294"/>
      <c r="O670" s="294"/>
    </row>
    <row r="671" spans="1:15" hidden="1" outlineLevel="1" x14ac:dyDescent="0.15">
      <c r="A671" s="294"/>
      <c r="B671" s="423" t="str">
        <f>IF($E671="",IF($D671="","",VLOOKUP($D671,TableInputsData[],ReadMe!$M$3,FALSE)),VLOOKUP($D671,TableInputsData[],ReadMe!$M$3,FALSE)&amp;"  |  "&amp;VLOOKUP($E671,TableInputsData[],ReadMe!$M$3,FALSE))</f>
        <v/>
      </c>
      <c r="C671" s="294"/>
      <c r="O671" s="294"/>
    </row>
    <row r="672" spans="1:15" hidden="1" outlineLevel="1" x14ac:dyDescent="0.15">
      <c r="A672" s="294"/>
      <c r="B672" s="423" t="str">
        <f>IF($E672="",IF($D672="","",VLOOKUP($D672,TableInputsData[],ReadMe!$M$3,FALSE)),VLOOKUP($D672,TableInputsData[],ReadMe!$M$3,FALSE)&amp;"  |  "&amp;VLOOKUP($E672,TableInputsData[],ReadMe!$M$3,FALSE))</f>
        <v/>
      </c>
      <c r="C672" s="294"/>
      <c r="O672" s="294"/>
    </row>
    <row r="673" spans="1:15" hidden="1" outlineLevel="1" x14ac:dyDescent="0.15">
      <c r="A673" s="294"/>
      <c r="B673" s="423" t="str">
        <f>IF($E673="",IF($D673="","",VLOOKUP($D673,TableInputsData[],ReadMe!$M$3,FALSE)),VLOOKUP($D673,TableInputsData[],ReadMe!$M$3,FALSE)&amp;"  |  "&amp;VLOOKUP($E673,TableInputsData[],ReadMe!$M$3,FALSE))</f>
        <v/>
      </c>
      <c r="C673" s="294"/>
      <c r="O673" s="294"/>
    </row>
    <row r="674" spans="1:15" hidden="1" outlineLevel="1" x14ac:dyDescent="0.15">
      <c r="A674" s="294"/>
      <c r="B674" s="423" t="str">
        <f>IF($E674="",IF($D674="","",VLOOKUP($D674,TableInputsData[],ReadMe!$M$3,FALSE)),VLOOKUP($D674,TableInputsData[],ReadMe!$M$3,FALSE)&amp;"  |  "&amp;VLOOKUP($E674,TableInputsData[],ReadMe!$M$3,FALSE))</f>
        <v/>
      </c>
      <c r="C674" s="294"/>
      <c r="O674" s="294"/>
    </row>
    <row r="675" spans="1:15" hidden="1" outlineLevel="1" x14ac:dyDescent="0.15">
      <c r="A675" s="294"/>
      <c r="B675" s="423" t="str">
        <f>IF($E675="",IF($D675="","",VLOOKUP($D675,TableInputsData[],ReadMe!$M$3,FALSE)),VLOOKUP($D675,TableInputsData[],ReadMe!$M$3,FALSE)&amp;"  |  "&amp;VLOOKUP($E675,TableInputsData[],ReadMe!$M$3,FALSE))</f>
        <v/>
      </c>
      <c r="C675" s="294"/>
      <c r="O675" s="294"/>
    </row>
    <row r="676" spans="1:15" hidden="1" outlineLevel="1" x14ac:dyDescent="0.15">
      <c r="A676" s="294"/>
      <c r="B676" s="423" t="str">
        <f>IF($E676="",IF($D676="","",VLOOKUP($D676,TableInputsData[],ReadMe!$M$3,FALSE)),VLOOKUP($D676,TableInputsData[],ReadMe!$M$3,FALSE)&amp;"  |  "&amp;VLOOKUP($E676,TableInputsData[],ReadMe!$M$3,FALSE))</f>
        <v/>
      </c>
      <c r="C676" s="294"/>
      <c r="O676" s="294"/>
    </row>
    <row r="677" spans="1:15" hidden="1" outlineLevel="1" x14ac:dyDescent="0.15">
      <c r="A677" s="294"/>
      <c r="B677" s="423" t="str">
        <f>IF($E677="",IF($D677="","",VLOOKUP($D677,TableInputsData[],ReadMe!$M$3,FALSE)),VLOOKUP($D677,TableInputsData[],ReadMe!$M$3,FALSE)&amp;"  |  "&amp;VLOOKUP($E677,TableInputsData[],ReadMe!$M$3,FALSE))</f>
        <v/>
      </c>
      <c r="C677" s="294"/>
      <c r="O677" s="294"/>
    </row>
    <row r="678" spans="1:15" hidden="1" outlineLevel="1" x14ac:dyDescent="0.15">
      <c r="A678" s="294"/>
      <c r="B678" s="423" t="str">
        <f>IF($E678="",IF($D678="","",VLOOKUP($D678,TableInputsData[],ReadMe!$M$3,FALSE)),VLOOKUP($D678,TableInputsData[],ReadMe!$M$3,FALSE)&amp;"  |  "&amp;VLOOKUP($E678,TableInputsData[],ReadMe!$M$3,FALSE))</f>
        <v/>
      </c>
      <c r="C678" s="294"/>
      <c r="O678" s="294"/>
    </row>
    <row r="679" spans="1:15" hidden="1" outlineLevel="1" x14ac:dyDescent="0.15">
      <c r="A679" s="294"/>
      <c r="B679" s="423" t="str">
        <f>IF($E679="",IF($D679="","",VLOOKUP($D679,TableInputsData[],ReadMe!$M$3,FALSE)),VLOOKUP($D679,TableInputsData[],ReadMe!$M$3,FALSE)&amp;"  |  "&amp;VLOOKUP($E679,TableInputsData[],ReadMe!$M$3,FALSE))</f>
        <v/>
      </c>
      <c r="C679" s="294"/>
      <c r="O679" s="294"/>
    </row>
    <row r="680" spans="1:15" hidden="1" outlineLevel="1" x14ac:dyDescent="0.15">
      <c r="A680" s="294"/>
      <c r="B680" s="423" t="str">
        <f>IF($E680="",IF($D680="","",VLOOKUP($D680,TableInputsData[],ReadMe!$M$3,FALSE)),VLOOKUP($D680,TableInputsData[],ReadMe!$M$3,FALSE)&amp;"  |  "&amp;VLOOKUP($E680,TableInputsData[],ReadMe!$M$3,FALSE))</f>
        <v/>
      </c>
      <c r="C680" s="294"/>
      <c r="O680" s="294"/>
    </row>
    <row r="681" spans="1:15" hidden="1" outlineLevel="1" x14ac:dyDescent="0.15">
      <c r="A681" s="294"/>
      <c r="B681" s="423" t="str">
        <f>IF($E681="",IF($D681="","",VLOOKUP($D681,TableInputsData[],ReadMe!$M$3,FALSE)),VLOOKUP($D681,TableInputsData[],ReadMe!$M$3,FALSE)&amp;"  |  "&amp;VLOOKUP($E681,TableInputsData[],ReadMe!$M$3,FALSE))</f>
        <v/>
      </c>
      <c r="C681" s="294"/>
      <c r="O681" s="294"/>
    </row>
    <row r="682" spans="1:15" hidden="1" outlineLevel="1" x14ac:dyDescent="0.15">
      <c r="A682" s="294"/>
      <c r="B682" s="423" t="str">
        <f>IF($E682="",IF($D682="","",VLOOKUP($D682,TableInputsData[],ReadMe!$M$3,FALSE)),VLOOKUP($D682,TableInputsData[],ReadMe!$M$3,FALSE)&amp;"  |  "&amp;VLOOKUP($E682,TableInputsData[],ReadMe!$M$3,FALSE))</f>
        <v/>
      </c>
      <c r="C682" s="294"/>
      <c r="O682" s="294"/>
    </row>
    <row r="683" spans="1:15" hidden="1" outlineLevel="1" x14ac:dyDescent="0.15">
      <c r="A683" s="294"/>
      <c r="B683" s="423" t="str">
        <f>IF($E683="",IF($D683="","",VLOOKUP($D683,TableInputsData[],ReadMe!$M$3,FALSE)),VLOOKUP($D683,TableInputsData[],ReadMe!$M$3,FALSE)&amp;"  |  "&amp;VLOOKUP($E683,TableInputsData[],ReadMe!$M$3,FALSE))</f>
        <v/>
      </c>
      <c r="C683" s="294"/>
      <c r="O683" s="294"/>
    </row>
    <row r="684" spans="1:15" hidden="1" outlineLevel="1" x14ac:dyDescent="0.15">
      <c r="A684" s="294"/>
      <c r="B684" s="423" t="str">
        <f>IF($E684="",IF($D684="","",VLOOKUP($D684,TableInputsData[],ReadMe!$M$3,FALSE)),VLOOKUP($D684,TableInputsData[],ReadMe!$M$3,FALSE)&amp;"  |  "&amp;VLOOKUP($E684,TableInputsData[],ReadMe!$M$3,FALSE))</f>
        <v/>
      </c>
      <c r="C684" s="294"/>
      <c r="O684" s="294"/>
    </row>
    <row r="685" spans="1:15" hidden="1" outlineLevel="1" x14ac:dyDescent="0.15">
      <c r="A685" s="294"/>
      <c r="B685" s="423" t="str">
        <f>IF($E685="",IF($D685="","",VLOOKUP($D685,TableInputsData[],ReadMe!$M$3,FALSE)),VLOOKUP($D685,TableInputsData[],ReadMe!$M$3,FALSE)&amp;"  |  "&amp;VLOOKUP($E685,TableInputsData[],ReadMe!$M$3,FALSE))</f>
        <v/>
      </c>
      <c r="C685" s="294"/>
      <c r="O685" s="294"/>
    </row>
    <row r="686" spans="1:15" hidden="1" outlineLevel="1" x14ac:dyDescent="0.15">
      <c r="A686" s="294"/>
      <c r="B686" s="423" t="str">
        <f>IF($E686="",IF($D686="","",VLOOKUP($D686,TableInputsData[],ReadMe!$M$3,FALSE)),VLOOKUP($D686,TableInputsData[],ReadMe!$M$3,FALSE)&amp;"  |  "&amp;VLOOKUP($E686,TableInputsData[],ReadMe!$M$3,FALSE))</f>
        <v/>
      </c>
      <c r="C686" s="294"/>
      <c r="O686" s="294"/>
    </row>
    <row r="687" spans="1:15" hidden="1" outlineLevel="1" x14ac:dyDescent="0.15">
      <c r="A687" s="294"/>
      <c r="B687" s="423" t="str">
        <f>IF($E687="",IF($D687="","",VLOOKUP($D687,TableInputsData[],ReadMe!$M$3,FALSE)),VLOOKUP($D687,TableInputsData[],ReadMe!$M$3,FALSE)&amp;"  |  "&amp;VLOOKUP($E687,TableInputsData[],ReadMe!$M$3,FALSE))</f>
        <v/>
      </c>
      <c r="C687" s="294"/>
      <c r="O687" s="294"/>
    </row>
    <row r="688" spans="1:15" hidden="1" outlineLevel="1" x14ac:dyDescent="0.15">
      <c r="A688" s="294"/>
      <c r="B688" s="423" t="str">
        <f>IF($E688="",IF($D688="","",VLOOKUP($D688,TableInputsData[],ReadMe!$M$3,FALSE)),VLOOKUP($D688,TableInputsData[],ReadMe!$M$3,FALSE)&amp;"  |  "&amp;VLOOKUP($E688,TableInputsData[],ReadMe!$M$3,FALSE))</f>
        <v/>
      </c>
      <c r="C688" s="294"/>
      <c r="O688" s="294"/>
    </row>
    <row r="689" spans="1:15" hidden="1" outlineLevel="1" x14ac:dyDescent="0.15">
      <c r="A689" s="294"/>
      <c r="B689" s="423" t="str">
        <f>IF($E689="",IF($D689="","",VLOOKUP($D689,TableInputsData[],ReadMe!$M$3,FALSE)),VLOOKUP($D689,TableInputsData[],ReadMe!$M$3,FALSE)&amp;"  |  "&amp;VLOOKUP($E689,TableInputsData[],ReadMe!$M$3,FALSE))</f>
        <v/>
      </c>
      <c r="C689" s="294"/>
      <c r="O689" s="294"/>
    </row>
    <row r="690" spans="1:15" hidden="1" outlineLevel="1" x14ac:dyDescent="0.15">
      <c r="A690" s="294"/>
      <c r="B690" s="423" t="str">
        <f>IF($E690="",IF($D690="","",VLOOKUP($D690,TableInputsData[],ReadMe!$M$3,FALSE)),VLOOKUP($D690,TableInputsData[],ReadMe!$M$3,FALSE)&amp;"  |  "&amp;VLOOKUP($E690,TableInputsData[],ReadMe!$M$3,FALSE))</f>
        <v/>
      </c>
      <c r="C690" s="294"/>
      <c r="O690" s="294"/>
    </row>
    <row r="691" spans="1:15" hidden="1" outlineLevel="1" x14ac:dyDescent="0.15">
      <c r="A691" s="294"/>
      <c r="B691" s="423" t="str">
        <f>IF($E691="",IF($D691="","",VLOOKUP($D691,TableInputsData[],ReadMe!$M$3,FALSE)),VLOOKUP($D691,TableInputsData[],ReadMe!$M$3,FALSE)&amp;"  |  "&amp;VLOOKUP($E691,TableInputsData[],ReadMe!$M$3,FALSE))</f>
        <v/>
      </c>
      <c r="C691" s="294"/>
      <c r="O691" s="294"/>
    </row>
    <row r="692" spans="1:15" hidden="1" outlineLevel="1" x14ac:dyDescent="0.15">
      <c r="A692" s="294"/>
      <c r="B692" s="423" t="str">
        <f>IF($E692="",IF($D692="","",VLOOKUP($D692,TableInputsData[],ReadMe!$M$3,FALSE)),VLOOKUP($D692,TableInputsData[],ReadMe!$M$3,FALSE)&amp;"  |  "&amp;VLOOKUP($E692,TableInputsData[],ReadMe!$M$3,FALSE))</f>
        <v/>
      </c>
      <c r="C692" s="294"/>
      <c r="O692" s="294"/>
    </row>
    <row r="693" spans="1:15" hidden="1" outlineLevel="1" x14ac:dyDescent="0.15">
      <c r="A693" s="294"/>
      <c r="B693" s="423" t="str">
        <f>IF($E693="",IF($D693="","",VLOOKUP($D693,TableInputsData[],ReadMe!$M$3,FALSE)),VLOOKUP($D693,TableInputsData[],ReadMe!$M$3,FALSE)&amp;"  |  "&amp;VLOOKUP($E693,TableInputsData[],ReadMe!$M$3,FALSE))</f>
        <v/>
      </c>
      <c r="C693" s="294"/>
      <c r="O693" s="294"/>
    </row>
    <row r="694" spans="1:15" hidden="1" outlineLevel="1" x14ac:dyDescent="0.15">
      <c r="A694" s="294"/>
      <c r="B694" s="423" t="str">
        <f>IF($E694="",IF($D694="","",VLOOKUP($D694,TableInputsData[],ReadMe!$M$3,FALSE)),VLOOKUP($D694,TableInputsData[],ReadMe!$M$3,FALSE)&amp;"  |  "&amp;VLOOKUP($E694,TableInputsData[],ReadMe!$M$3,FALSE))</f>
        <v/>
      </c>
      <c r="C694" s="294"/>
      <c r="O694" s="294"/>
    </row>
    <row r="695" spans="1:15" hidden="1" outlineLevel="1" x14ac:dyDescent="0.15">
      <c r="A695" s="294"/>
      <c r="B695" s="423" t="str">
        <f>IF($E695="",IF($D695="","",VLOOKUP($D695,TableInputsData[],ReadMe!$M$3,FALSE)),VLOOKUP($D695,TableInputsData[],ReadMe!$M$3,FALSE)&amp;"  |  "&amp;VLOOKUP($E695,TableInputsData[],ReadMe!$M$3,FALSE))</f>
        <v/>
      </c>
      <c r="C695" s="294"/>
      <c r="O695" s="294"/>
    </row>
    <row r="696" spans="1:15" hidden="1" outlineLevel="1" x14ac:dyDescent="0.15">
      <c r="A696" s="294"/>
      <c r="B696" s="423" t="str">
        <f>IF($E696="",IF($D696="","",VLOOKUP($D696,TableInputsData[],ReadMe!$M$3,FALSE)),VLOOKUP($D696,TableInputsData[],ReadMe!$M$3,FALSE)&amp;"  |  "&amp;VLOOKUP($E696,TableInputsData[],ReadMe!$M$3,FALSE))</f>
        <v/>
      </c>
      <c r="C696" s="294"/>
      <c r="O696" s="294"/>
    </row>
    <row r="697" spans="1:15" hidden="1" outlineLevel="1" x14ac:dyDescent="0.15">
      <c r="A697" s="294"/>
      <c r="B697" s="423" t="str">
        <f>IF($E697="",IF($D697="","",VLOOKUP($D697,TableInputsData[],ReadMe!$M$3,FALSE)),VLOOKUP($D697,TableInputsData[],ReadMe!$M$3,FALSE)&amp;"  |  "&amp;VLOOKUP($E697,TableInputsData[],ReadMe!$M$3,FALSE))</f>
        <v/>
      </c>
      <c r="C697" s="294"/>
      <c r="O697" s="294"/>
    </row>
    <row r="698" spans="1:15" hidden="1" outlineLevel="1" x14ac:dyDescent="0.15">
      <c r="A698" s="294"/>
      <c r="B698" s="423" t="str">
        <f>IF($E698="",IF($D698="","",VLOOKUP($D698,TableInputsData[],ReadMe!$M$3,FALSE)),VLOOKUP($D698,TableInputsData[],ReadMe!$M$3,FALSE)&amp;"  |  "&amp;VLOOKUP($E698,TableInputsData[],ReadMe!$M$3,FALSE))</f>
        <v/>
      </c>
      <c r="C698" s="294"/>
      <c r="O698" s="294"/>
    </row>
    <row r="699" spans="1:15" hidden="1" outlineLevel="1" x14ac:dyDescent="0.15">
      <c r="A699" s="294"/>
      <c r="B699" s="423" t="str">
        <f>IF($E699="",IF($D699="","",VLOOKUP($D699,TableInputsData[],ReadMe!$M$3,FALSE)),VLOOKUP($D699,TableInputsData[],ReadMe!$M$3,FALSE)&amp;"  |  "&amp;VLOOKUP($E699,TableInputsData[],ReadMe!$M$3,FALSE))</f>
        <v/>
      </c>
      <c r="C699" s="294"/>
      <c r="O699" s="294"/>
    </row>
    <row r="700" spans="1:15" hidden="1" outlineLevel="1" x14ac:dyDescent="0.15">
      <c r="A700" s="294"/>
      <c r="B700" s="423" t="str">
        <f>IF($E700="",IF($D700="","",VLOOKUP($D700,TableInputsData[],ReadMe!$M$3,FALSE)),VLOOKUP($D700,TableInputsData[],ReadMe!$M$3,FALSE)&amp;"  |  "&amp;VLOOKUP($E700,TableInputsData[],ReadMe!$M$3,FALSE))</f>
        <v/>
      </c>
      <c r="C700" s="294"/>
      <c r="O700" s="294"/>
    </row>
    <row r="701" spans="1:15" hidden="1" outlineLevel="1" x14ac:dyDescent="0.15">
      <c r="A701" s="294"/>
      <c r="B701" s="423" t="str">
        <f>IF($E701="",IF($D701="","",VLOOKUP($D701,TableInputsData[],ReadMe!$M$3,FALSE)),VLOOKUP($D701,TableInputsData[],ReadMe!$M$3,FALSE)&amp;"  |  "&amp;VLOOKUP($E701,TableInputsData[],ReadMe!$M$3,FALSE))</f>
        <v/>
      </c>
      <c r="C701" s="294"/>
      <c r="O701" s="294"/>
    </row>
    <row r="702" spans="1:15" hidden="1" outlineLevel="1" x14ac:dyDescent="0.15">
      <c r="A702" s="294"/>
      <c r="B702" s="423" t="str">
        <f>IF($E702="",IF($D702="","",VLOOKUP($D702,TableInputsData[],ReadMe!$M$3,FALSE)),VLOOKUP($D702,TableInputsData[],ReadMe!$M$3,FALSE)&amp;"  |  "&amp;VLOOKUP($E702,TableInputsData[],ReadMe!$M$3,FALSE))</f>
        <v/>
      </c>
      <c r="C702" s="294"/>
      <c r="O702" s="294"/>
    </row>
    <row r="703" spans="1:15" hidden="1" outlineLevel="1" x14ac:dyDescent="0.15">
      <c r="A703" s="294"/>
      <c r="B703" s="423" t="str">
        <f>IF($E703="",IF($D703="","",VLOOKUP($D703,TableInputsData[],ReadMe!$M$3,FALSE)),VLOOKUP($D703,TableInputsData[],ReadMe!$M$3,FALSE)&amp;"  |  "&amp;VLOOKUP($E703,TableInputsData[],ReadMe!$M$3,FALSE))</f>
        <v/>
      </c>
      <c r="C703" s="294"/>
      <c r="O703" s="294"/>
    </row>
    <row r="704" spans="1:15" hidden="1" outlineLevel="1" x14ac:dyDescent="0.15">
      <c r="A704" s="294"/>
      <c r="B704" s="423" t="str">
        <f>IF($E704="",IF($D704="","",VLOOKUP($D704,TableInputsData[],ReadMe!$M$3,FALSE)),VLOOKUP($D704,TableInputsData[],ReadMe!$M$3,FALSE)&amp;"  |  "&amp;VLOOKUP($E704,TableInputsData[],ReadMe!$M$3,FALSE))</f>
        <v/>
      </c>
      <c r="C704" s="294"/>
      <c r="O704" s="294"/>
    </row>
    <row r="705" spans="1:15" hidden="1" outlineLevel="1" x14ac:dyDescent="0.15">
      <c r="A705" s="294"/>
      <c r="B705" s="423" t="str">
        <f>IF($E705="",IF($D705="","",VLOOKUP($D705,TableInputsData[],ReadMe!$M$3,FALSE)),VLOOKUP($D705,TableInputsData[],ReadMe!$M$3,FALSE)&amp;"  |  "&amp;VLOOKUP($E705,TableInputsData[],ReadMe!$M$3,FALSE))</f>
        <v/>
      </c>
      <c r="C705" s="294"/>
      <c r="O705" s="294"/>
    </row>
    <row r="706" spans="1:15" hidden="1" outlineLevel="1" x14ac:dyDescent="0.15">
      <c r="A706" s="294"/>
      <c r="B706" s="423" t="str">
        <f>IF($E706="",IF($D706="","",VLOOKUP($D706,TableInputsData[],ReadMe!$M$3,FALSE)),VLOOKUP($D706,TableInputsData[],ReadMe!$M$3,FALSE)&amp;"  |  "&amp;VLOOKUP($E706,TableInputsData[],ReadMe!$M$3,FALSE))</f>
        <v/>
      </c>
      <c r="C706" s="294"/>
      <c r="O706" s="294"/>
    </row>
    <row r="707" spans="1:15" hidden="1" outlineLevel="1" x14ac:dyDescent="0.15">
      <c r="A707" s="294"/>
      <c r="B707" s="423" t="str">
        <f>IF($E707="",IF($D707="","",VLOOKUP($D707,TableInputsData[],ReadMe!$M$3,FALSE)),VLOOKUP($D707,TableInputsData[],ReadMe!$M$3,FALSE)&amp;"  |  "&amp;VLOOKUP($E707,TableInputsData[],ReadMe!$M$3,FALSE))</f>
        <v/>
      </c>
      <c r="C707" s="294"/>
      <c r="O707" s="294"/>
    </row>
    <row r="708" spans="1:15" hidden="1" outlineLevel="1" x14ac:dyDescent="0.15">
      <c r="A708" s="294"/>
      <c r="B708" s="423" t="str">
        <f>IF($E708="",IF($D708="","",VLOOKUP($D708,TableInputsData[],ReadMe!$M$3,FALSE)),VLOOKUP($D708,TableInputsData[],ReadMe!$M$3,FALSE)&amp;"  |  "&amp;VLOOKUP($E708,TableInputsData[],ReadMe!$M$3,FALSE))</f>
        <v/>
      </c>
      <c r="C708" s="294"/>
      <c r="O708" s="294"/>
    </row>
    <row r="709" spans="1:15" hidden="1" outlineLevel="1" x14ac:dyDescent="0.15">
      <c r="A709" s="294"/>
      <c r="B709" s="423" t="str">
        <f>IF($E709="",IF($D709="","",VLOOKUP($D709,TableInputsData[],ReadMe!$M$3,FALSE)),VLOOKUP($D709,TableInputsData[],ReadMe!$M$3,FALSE)&amp;"  |  "&amp;VLOOKUP($E709,TableInputsData[],ReadMe!$M$3,FALSE))</f>
        <v/>
      </c>
      <c r="C709" s="294"/>
      <c r="O709" s="294"/>
    </row>
    <row r="710" spans="1:15" hidden="1" outlineLevel="1" x14ac:dyDescent="0.15">
      <c r="A710" s="294"/>
      <c r="B710" s="423" t="str">
        <f>IF($E710="",IF($D710="","",VLOOKUP($D710,TableInputsData[],ReadMe!$M$3,FALSE)),VLOOKUP($D710,TableInputsData[],ReadMe!$M$3,FALSE)&amp;"  |  "&amp;VLOOKUP($E710,TableInputsData[],ReadMe!$M$3,FALSE))</f>
        <v/>
      </c>
      <c r="C710" s="294"/>
      <c r="O710" s="294"/>
    </row>
    <row r="711" spans="1:15" hidden="1" outlineLevel="1" x14ac:dyDescent="0.15">
      <c r="A711" s="294"/>
      <c r="B711" s="423" t="str">
        <f>IF($E711="",IF($D711="","",VLOOKUP($D711,TableInputsData[],ReadMe!$M$3,FALSE)),VLOOKUP($D711,TableInputsData[],ReadMe!$M$3,FALSE)&amp;"  |  "&amp;VLOOKUP($E711,TableInputsData[],ReadMe!$M$3,FALSE))</f>
        <v/>
      </c>
      <c r="C711" s="294"/>
      <c r="O711" s="294"/>
    </row>
    <row r="712" spans="1:15" hidden="1" outlineLevel="1" x14ac:dyDescent="0.15">
      <c r="A712" s="294"/>
      <c r="B712" s="423" t="str">
        <f>IF($E712="",IF($D712="","",VLOOKUP($D712,TableInputsData[],ReadMe!$M$3,FALSE)),VLOOKUP($D712,TableInputsData[],ReadMe!$M$3,FALSE)&amp;"  |  "&amp;VLOOKUP($E712,TableInputsData[],ReadMe!$M$3,FALSE))</f>
        <v/>
      </c>
      <c r="C712" s="294"/>
      <c r="O712" s="294"/>
    </row>
    <row r="713" spans="1:15" hidden="1" outlineLevel="1" x14ac:dyDescent="0.15">
      <c r="A713" s="294"/>
      <c r="B713" s="423" t="str">
        <f>IF($E713="",IF($D713="","",VLOOKUP($D713,TableInputsData[],ReadMe!$M$3,FALSE)),VLOOKUP($D713,TableInputsData[],ReadMe!$M$3,FALSE)&amp;"  |  "&amp;VLOOKUP($E713,TableInputsData[],ReadMe!$M$3,FALSE))</f>
        <v/>
      </c>
      <c r="C713" s="294"/>
      <c r="O713" s="294"/>
    </row>
    <row r="714" spans="1:15" hidden="1" outlineLevel="1" x14ac:dyDescent="0.15">
      <c r="A714" s="294"/>
      <c r="B714" s="423" t="str">
        <f>IF($E714="",IF($D714="","",VLOOKUP($D714,TableInputsData[],ReadMe!$M$3,FALSE)),VLOOKUP($D714,TableInputsData[],ReadMe!$M$3,FALSE)&amp;"  |  "&amp;VLOOKUP($E714,TableInputsData[],ReadMe!$M$3,FALSE))</f>
        <v/>
      </c>
      <c r="C714" s="294"/>
      <c r="O714" s="294"/>
    </row>
    <row r="715" spans="1:15" hidden="1" outlineLevel="1" x14ac:dyDescent="0.15">
      <c r="A715" s="294"/>
      <c r="B715" s="423" t="str">
        <f>IF($E715="",IF($D715="","",VLOOKUP($D715,TableInputsData[],ReadMe!$M$3,FALSE)),VLOOKUP($D715,TableInputsData[],ReadMe!$M$3,FALSE)&amp;"  |  "&amp;VLOOKUP($E715,TableInputsData[],ReadMe!$M$3,FALSE))</f>
        <v/>
      </c>
      <c r="C715" s="294"/>
      <c r="O715" s="294"/>
    </row>
    <row r="716" spans="1:15" hidden="1" outlineLevel="1" x14ac:dyDescent="0.15">
      <c r="A716" s="294"/>
      <c r="B716" s="423" t="str">
        <f>IF($E716="",IF($D716="","",VLOOKUP($D716,TableInputsData[],ReadMe!$M$3,FALSE)),VLOOKUP($D716,TableInputsData[],ReadMe!$M$3,FALSE)&amp;"  |  "&amp;VLOOKUP($E716,TableInputsData[],ReadMe!$M$3,FALSE))</f>
        <v/>
      </c>
      <c r="C716" s="294"/>
      <c r="O716" s="294"/>
    </row>
    <row r="717" spans="1:15" hidden="1" outlineLevel="1" x14ac:dyDescent="0.15">
      <c r="A717" s="294"/>
      <c r="B717" s="423" t="str">
        <f>IF($E717="",IF($D717="","",VLOOKUP($D717,TableInputsData[],ReadMe!$M$3,FALSE)),VLOOKUP($D717,TableInputsData[],ReadMe!$M$3,FALSE)&amp;"  |  "&amp;VLOOKUP($E717,TableInputsData[],ReadMe!$M$3,FALSE))</f>
        <v/>
      </c>
      <c r="C717" s="294"/>
      <c r="O717" s="294"/>
    </row>
    <row r="718" spans="1:15" hidden="1" outlineLevel="1" x14ac:dyDescent="0.15">
      <c r="A718" s="294"/>
      <c r="B718" s="423" t="str">
        <f>IF($E718="",IF($D718="","",VLOOKUP($D718,TableInputsData[],ReadMe!$M$3,FALSE)),VLOOKUP($D718,TableInputsData[],ReadMe!$M$3,FALSE)&amp;"  |  "&amp;VLOOKUP($E718,TableInputsData[],ReadMe!$M$3,FALSE))</f>
        <v/>
      </c>
      <c r="C718" s="294"/>
      <c r="O718" s="294"/>
    </row>
    <row r="719" spans="1:15" hidden="1" outlineLevel="1" x14ac:dyDescent="0.15">
      <c r="A719" s="294"/>
      <c r="B719" s="423" t="str">
        <f>IF($E719="",IF($D719="","",VLOOKUP($D719,TableInputsData[],ReadMe!$M$3,FALSE)),VLOOKUP($D719,TableInputsData[],ReadMe!$M$3,FALSE)&amp;"  |  "&amp;VLOOKUP($E719,TableInputsData[],ReadMe!$M$3,FALSE))</f>
        <v/>
      </c>
      <c r="C719" s="294"/>
      <c r="O719" s="294"/>
    </row>
    <row r="720" spans="1:15" hidden="1" outlineLevel="1" x14ac:dyDescent="0.15">
      <c r="A720" s="294"/>
      <c r="B720" s="423" t="str">
        <f>IF($E720="",IF($D720="","",VLOOKUP($D720,TableInputsData[],ReadMe!$M$3,FALSE)),VLOOKUP($D720,TableInputsData[],ReadMe!$M$3,FALSE)&amp;"  |  "&amp;VLOOKUP($E720,TableInputsData[],ReadMe!$M$3,FALSE))</f>
        <v/>
      </c>
      <c r="C720" s="294"/>
      <c r="O720" s="294"/>
    </row>
    <row r="721" spans="1:15" hidden="1" outlineLevel="1" x14ac:dyDescent="0.15">
      <c r="A721" s="294"/>
      <c r="B721" s="423" t="str">
        <f>IF($E721="",IF($D721="","",VLOOKUP($D721,TableInputsData[],ReadMe!$M$3,FALSE)),VLOOKUP($D721,TableInputsData[],ReadMe!$M$3,FALSE)&amp;"  |  "&amp;VLOOKUP($E721,TableInputsData[],ReadMe!$M$3,FALSE))</f>
        <v/>
      </c>
      <c r="C721" s="294"/>
      <c r="O721" s="294"/>
    </row>
    <row r="722" spans="1:15" collapsed="1" x14ac:dyDescent="0.2">
      <c r="A722" s="294"/>
      <c r="B722" s="294"/>
      <c r="C722" s="294"/>
      <c r="D722" s="294"/>
      <c r="E722" s="294"/>
      <c r="F722" s="294"/>
      <c r="G722" s="294"/>
      <c r="H722" s="294"/>
      <c r="I722" s="294"/>
      <c r="J722" s="294"/>
      <c r="K722" s="294"/>
      <c r="L722" s="294"/>
      <c r="M722" s="294"/>
      <c r="N722" s="294"/>
      <c r="O722" s="294"/>
    </row>
    <row r="723" spans="1:15" x14ac:dyDescent="0.2">
      <c r="A723" s="294"/>
      <c r="B723" s="164" t="str">
        <f>VLOOKUP($D723,TableInputsData[],ReadMe!$M$3,FALSE)</f>
        <v>FONDS DE ROULEMENT</v>
      </c>
      <c r="C723" s="294"/>
      <c r="D723" s="164" t="s">
        <v>863</v>
      </c>
      <c r="E723" s="151"/>
      <c r="F723" s="152"/>
      <c r="G723" s="152"/>
      <c r="H723" s="152"/>
      <c r="I723" s="152"/>
      <c r="J723" s="152"/>
      <c r="K723" s="152"/>
      <c r="L723" s="152"/>
      <c r="M723" s="152"/>
      <c r="N723" s="545" t="str">
        <f>$N$223</f>
        <v>CAS TYPIQUE
SCENARIO DE SIMULATION</v>
      </c>
      <c r="O723" s="294"/>
    </row>
    <row r="724" spans="1:15" x14ac:dyDescent="0.15">
      <c r="A724" s="294"/>
      <c r="B724" s="294"/>
      <c r="C724" s="294"/>
      <c r="D724" s="300" t="s">
        <v>988</v>
      </c>
      <c r="E724" s="294"/>
      <c r="F724" s="294"/>
      <c r="G724" s="294"/>
      <c r="H724" s="294"/>
      <c r="I724" s="294"/>
      <c r="J724" s="294"/>
      <c r="K724" s="294"/>
      <c r="L724" s="294"/>
      <c r="M724" s="294"/>
      <c r="N724" s="294"/>
      <c r="O724" s="294"/>
    </row>
    <row r="725" spans="1:15" hidden="1" outlineLevel="1" x14ac:dyDescent="0.2">
      <c r="A725" s="294"/>
      <c r="B725" s="294"/>
      <c r="C725" s="294"/>
      <c r="D725" s="162" t="s">
        <v>122</v>
      </c>
      <c r="E725" s="379">
        <v>4</v>
      </c>
      <c r="F725" s="294"/>
      <c r="G725" s="294"/>
      <c r="H725" s="294"/>
      <c r="I725" s="294"/>
      <c r="J725" s="294"/>
      <c r="K725" s="294"/>
      <c r="L725" s="294"/>
      <c r="M725" s="294"/>
      <c r="N725" s="294"/>
      <c r="O725" s="294"/>
    </row>
    <row r="726" spans="1:15" hidden="1" outlineLevel="1" x14ac:dyDescent="0.2">
      <c r="A726" s="294"/>
      <c r="B726" s="294"/>
      <c r="C726" s="294"/>
      <c r="D726" s="162" t="s">
        <v>591</v>
      </c>
      <c r="E726" s="379">
        <v>1</v>
      </c>
      <c r="F726" s="294"/>
      <c r="G726" s="294"/>
      <c r="H726" s="294"/>
      <c r="I726" s="294"/>
      <c r="J726" s="294"/>
      <c r="K726" s="294"/>
      <c r="L726" s="294"/>
      <c r="M726" s="294"/>
      <c r="N726" s="294"/>
      <c r="O726" s="294"/>
    </row>
    <row r="727" spans="1:15" hidden="1" outlineLevel="1" x14ac:dyDescent="0.2">
      <c r="A727" s="294"/>
      <c r="B727" s="294"/>
      <c r="C727" s="294"/>
      <c r="D727" s="162" t="s">
        <v>590</v>
      </c>
      <c r="E727" s="1" t="s">
        <v>114</v>
      </c>
      <c r="F727" s="294"/>
      <c r="G727" s="294"/>
      <c r="H727" s="294"/>
      <c r="I727" s="294"/>
      <c r="J727" s="294"/>
      <c r="K727" s="294"/>
      <c r="L727" s="294"/>
      <c r="M727" s="294"/>
      <c r="N727" s="294"/>
      <c r="O727" s="294"/>
    </row>
    <row r="728" spans="1:15" hidden="1" outlineLevel="1" x14ac:dyDescent="0.2">
      <c r="A728" s="294"/>
      <c r="B728" s="294"/>
      <c r="C728" s="294"/>
      <c r="D728" s="294"/>
      <c r="E728" s="294"/>
      <c r="F728" s="294"/>
      <c r="G728" s="294"/>
      <c r="H728" s="294"/>
      <c r="I728" s="294"/>
      <c r="J728" s="294"/>
      <c r="K728" s="294"/>
      <c r="L728" s="294"/>
      <c r="M728" s="294"/>
      <c r="N728" s="294"/>
      <c r="O728" s="294"/>
    </row>
    <row r="729" spans="1:15" ht="42" collapsed="1" x14ac:dyDescent="0.2">
      <c r="A729" s="294"/>
      <c r="B729" s="294"/>
      <c r="C729" s="294"/>
      <c r="D729" s="378" t="s">
        <v>1</v>
      </c>
      <c r="E729" s="378" t="s">
        <v>0</v>
      </c>
      <c r="F729" s="378" t="s">
        <v>3</v>
      </c>
      <c r="G729" s="382" t="s">
        <v>973</v>
      </c>
      <c r="H729" s="382" t="s">
        <v>974</v>
      </c>
      <c r="I729" s="382" t="s">
        <v>975</v>
      </c>
      <c r="J729" s="382" t="s">
        <v>976</v>
      </c>
      <c r="K729" s="382" t="s">
        <v>977</v>
      </c>
      <c r="L729" s="382" t="s">
        <v>978</v>
      </c>
      <c r="M729" s="382" t="s">
        <v>979</v>
      </c>
      <c r="N729" s="382" t="s">
        <v>980</v>
      </c>
      <c r="O729" s="294"/>
    </row>
    <row r="730" spans="1:15" x14ac:dyDescent="0.15">
      <c r="A730" s="294"/>
      <c r="B730" s="423" t="str">
        <f>IF($E730="",IF($D730="","",VLOOKUP($D730,TableInputsData[],ReadMe!$M$3,FALSE)),VLOOKUP($D730,TableInputsData[],ReadMe!$M$3,FALSE)&amp;"  |  "&amp;VLOOKUP($E730,TableInputsData[],ReadMe!$M$3,FALSE))</f>
        <v>STOCK  |  FONDS DE ROULEMENT</v>
      </c>
      <c r="C730" s="294"/>
      <c r="D730" s="1" t="s">
        <v>134</v>
      </c>
      <c r="E730" s="1" t="s">
        <v>863</v>
      </c>
      <c r="F730" s="1" t="s">
        <v>144</v>
      </c>
      <c r="G730" s="2">
        <v>0</v>
      </c>
      <c r="H730" s="2">
        <v>0</v>
      </c>
      <c r="I730" s="2">
        <v>0</v>
      </c>
      <c r="J730" s="2">
        <v>0</v>
      </c>
      <c r="K730" s="2">
        <v>0</v>
      </c>
      <c r="L730" s="2">
        <v>0</v>
      </c>
      <c r="M730" s="2">
        <v>0</v>
      </c>
      <c r="N730" s="2">
        <v>0</v>
      </c>
      <c r="O730" s="294"/>
    </row>
    <row r="731" spans="1:15" x14ac:dyDescent="0.15">
      <c r="A731" s="294"/>
      <c r="B731" s="423" t="str">
        <f>IF($E731="",IF($D731="","",VLOOKUP($D731,TableInputsData[],ReadMe!$M$3,FALSE)),VLOOKUP($D731,TableInputsData[],ReadMe!$M$3,FALSE)&amp;"  |  "&amp;VLOOKUP($E731,TableInputsData[],ReadMe!$M$3,FALSE))</f>
        <v>COMPTES A RECEVOIR  |  FONDS DE ROULEMENT</v>
      </c>
      <c r="C731" s="294"/>
      <c r="D731" s="1" t="s">
        <v>864</v>
      </c>
      <c r="E731" s="1" t="s">
        <v>863</v>
      </c>
      <c r="F731" s="1" t="s">
        <v>144</v>
      </c>
      <c r="G731" s="2">
        <v>0</v>
      </c>
      <c r="H731" s="2">
        <v>0</v>
      </c>
      <c r="I731" s="2">
        <v>0</v>
      </c>
      <c r="J731" s="2">
        <v>0</v>
      </c>
      <c r="K731" s="2">
        <v>0</v>
      </c>
      <c r="L731" s="2">
        <v>0</v>
      </c>
      <c r="M731" s="2">
        <v>0</v>
      </c>
      <c r="N731" s="2">
        <v>0</v>
      </c>
      <c r="O731" s="294"/>
    </row>
    <row r="732" spans="1:15" x14ac:dyDescent="0.15">
      <c r="A732" s="294"/>
      <c r="B732" s="423" t="str">
        <f>IF($E732="",IF($D732="","",VLOOKUP($D732,TableInputsData[],ReadMe!$M$3,FALSE)),VLOOKUP($D732,TableInputsData[],ReadMe!$M$3,FALSE)&amp;"  |  "&amp;VLOOKUP($E732,TableInputsData[],ReadMe!$M$3,FALSE))</f>
        <v>COMPTES A PAYER  |  FONDS DE ROULEMENT</v>
      </c>
      <c r="C732" s="294"/>
      <c r="D732" s="1" t="s">
        <v>865</v>
      </c>
      <c r="E732" s="1" t="s">
        <v>863</v>
      </c>
      <c r="F732" s="1" t="s">
        <v>144</v>
      </c>
      <c r="G732" s="2">
        <v>0</v>
      </c>
      <c r="H732" s="2">
        <v>0</v>
      </c>
      <c r="I732" s="2">
        <v>0</v>
      </c>
      <c r="J732" s="2">
        <v>0</v>
      </c>
      <c r="K732" s="2">
        <v>0</v>
      </c>
      <c r="L732" s="2">
        <v>0</v>
      </c>
      <c r="M732" s="2">
        <v>0</v>
      </c>
      <c r="N732" s="2">
        <v>0</v>
      </c>
      <c r="O732" s="294"/>
    </row>
    <row r="733" spans="1:15" x14ac:dyDescent="0.15">
      <c r="A733" s="294"/>
      <c r="B733" s="438" t="str">
        <f>IF($E733="",IF($D733="","",VLOOKUP($D733,TableInputsData[],ReadMe!$M$3,FALSE)),VLOOKUP($D733,TableInputsData[],ReadMe!$M$3,FALSE)&amp;"  |  "&amp;VLOOKUP($E733,TableInputsData[],ReadMe!$M$3,FALSE))</f>
        <v>FONDS DE ROULEMENT  |  FONDS DE ROULEMENT</v>
      </c>
      <c r="C733" s="294"/>
      <c r="D733" s="392" t="s">
        <v>863</v>
      </c>
      <c r="E733" s="1" t="s">
        <v>863</v>
      </c>
      <c r="F733" s="393" t="s">
        <v>144</v>
      </c>
      <c r="G733" s="389">
        <v>0</v>
      </c>
      <c r="H733" s="389">
        <v>0</v>
      </c>
      <c r="I733" s="389">
        <v>0</v>
      </c>
      <c r="J733" s="389">
        <v>0</v>
      </c>
      <c r="K733" s="389">
        <v>0</v>
      </c>
      <c r="L733" s="389">
        <v>0</v>
      </c>
      <c r="M733" s="389">
        <v>0</v>
      </c>
      <c r="N733" s="390">
        <v>0</v>
      </c>
      <c r="O733" s="294"/>
    </row>
    <row r="734" spans="1:15" ht="16" x14ac:dyDescent="0.2">
      <c r="A734" s="294"/>
      <c r="B734" s="423" t="str">
        <f>IF($E734="",IF($D734="","",VLOOKUP($D734,TableInputsData[],ReadMe!$M$3,FALSE)),VLOOKUP($D734,TableInputsData[],ReadMe!$M$3,FALSE)&amp;"  |  "&amp;VLOOKUP($E734,TableInputsData[],ReadMe!$M$3,FALSE))</f>
        <v/>
      </c>
      <c r="C734" s="294"/>
      <c r="D734"/>
      <c r="E734"/>
      <c r="F734"/>
      <c r="G734"/>
      <c r="H734"/>
      <c r="I734"/>
      <c r="J734"/>
      <c r="K734"/>
      <c r="L734"/>
      <c r="M734"/>
      <c r="N734"/>
      <c r="O734" s="294"/>
    </row>
    <row r="735" spans="1:15" ht="16" hidden="1" outlineLevel="1" x14ac:dyDescent="0.2">
      <c r="A735" s="294"/>
      <c r="B735" s="423" t="str">
        <f>IF($E735="",IF($D735="","",VLOOKUP($D735,TableInputsData[],ReadMe!$M$3,FALSE)),VLOOKUP($D735,TableInputsData[],ReadMe!$M$3,FALSE)&amp;"  |  "&amp;VLOOKUP($E735,TableInputsData[],ReadMe!$M$3,FALSE))</f>
        <v/>
      </c>
      <c r="C735" s="294"/>
      <c r="D735"/>
      <c r="E735"/>
      <c r="F735"/>
      <c r="G735"/>
      <c r="H735"/>
      <c r="I735"/>
      <c r="J735"/>
      <c r="K735"/>
      <c r="L735"/>
      <c r="M735"/>
      <c r="N735"/>
      <c r="O735" s="294"/>
    </row>
    <row r="736" spans="1:15" ht="16" hidden="1" outlineLevel="1" x14ac:dyDescent="0.2">
      <c r="A736" s="294"/>
      <c r="B736" s="423" t="str">
        <f>IF($E736="",IF($D736="","",VLOOKUP($D736,TableInputsData[],ReadMe!$M$3,FALSE)),VLOOKUP($D736,TableInputsData[],ReadMe!$M$3,FALSE)&amp;"  |  "&amp;VLOOKUP($E736,TableInputsData[],ReadMe!$M$3,FALSE))</f>
        <v/>
      </c>
      <c r="C736" s="294"/>
      <c r="D736"/>
      <c r="E736"/>
      <c r="F736"/>
      <c r="G736"/>
      <c r="H736"/>
      <c r="I736"/>
      <c r="J736"/>
      <c r="K736"/>
      <c r="L736"/>
      <c r="M736"/>
      <c r="N736"/>
      <c r="O736" s="294"/>
    </row>
    <row r="737" spans="1:15" ht="16" hidden="1" outlineLevel="1" x14ac:dyDescent="0.2">
      <c r="A737" s="294"/>
      <c r="B737" s="423" t="str">
        <f>IF($E737="",IF($D737="","",VLOOKUP($D737,TableInputsData[],ReadMe!$M$3,FALSE)),VLOOKUP($D737,TableInputsData[],ReadMe!$M$3,FALSE)&amp;"  |  "&amp;VLOOKUP($E737,TableInputsData[],ReadMe!$M$3,FALSE))</f>
        <v/>
      </c>
      <c r="C737" s="294"/>
      <c r="D737"/>
      <c r="E737"/>
      <c r="F737"/>
      <c r="G737"/>
      <c r="H737"/>
      <c r="I737"/>
      <c r="J737"/>
      <c r="K737"/>
      <c r="L737"/>
      <c r="M737"/>
      <c r="N737"/>
      <c r="O737" s="294"/>
    </row>
    <row r="738" spans="1:15" ht="16" hidden="1" outlineLevel="1" x14ac:dyDescent="0.2">
      <c r="A738" s="294"/>
      <c r="B738" s="423" t="str">
        <f>IF($E738="",IF($D738="","",VLOOKUP($D738,TableInputsData[],ReadMe!$M$3,FALSE)),VLOOKUP($D738,TableInputsData[],ReadMe!$M$3,FALSE)&amp;"  |  "&amp;VLOOKUP($E738,TableInputsData[],ReadMe!$M$3,FALSE))</f>
        <v/>
      </c>
      <c r="C738" s="294"/>
      <c r="D738"/>
      <c r="E738"/>
      <c r="F738"/>
      <c r="G738"/>
      <c r="H738"/>
      <c r="I738"/>
      <c r="J738"/>
      <c r="K738"/>
      <c r="L738"/>
      <c r="M738"/>
      <c r="N738"/>
      <c r="O738" s="294"/>
    </row>
    <row r="739" spans="1:15" ht="16" hidden="1" outlineLevel="1" x14ac:dyDescent="0.2">
      <c r="A739" s="294"/>
      <c r="B739" s="423" t="str">
        <f>IF($E739="",IF($D739="","",VLOOKUP($D739,TableInputsData[],ReadMe!$M$3,FALSE)),VLOOKUP($D739,TableInputsData[],ReadMe!$M$3,FALSE)&amp;"  |  "&amp;VLOOKUP($E739,TableInputsData[],ReadMe!$M$3,FALSE))</f>
        <v/>
      </c>
      <c r="C739" s="294"/>
      <c r="D739"/>
      <c r="E739"/>
      <c r="F739"/>
      <c r="G739"/>
      <c r="H739"/>
      <c r="I739"/>
      <c r="J739"/>
      <c r="K739"/>
      <c r="L739"/>
      <c r="M739"/>
      <c r="N739"/>
      <c r="O739" s="294"/>
    </row>
    <row r="740" spans="1:15" ht="16" hidden="1" outlineLevel="1" x14ac:dyDescent="0.2">
      <c r="A740" s="294"/>
      <c r="B740" s="423" t="str">
        <f>IF($E740="",IF($D740="","",VLOOKUP($D740,TableInputsData[],ReadMe!$M$3,FALSE)),VLOOKUP($D740,TableInputsData[],ReadMe!$M$3,FALSE)&amp;"  |  "&amp;VLOOKUP($E740,TableInputsData[],ReadMe!$M$3,FALSE))</f>
        <v/>
      </c>
      <c r="C740" s="294"/>
      <c r="D740"/>
      <c r="E740"/>
      <c r="F740"/>
      <c r="G740"/>
      <c r="H740"/>
      <c r="I740"/>
      <c r="J740"/>
      <c r="K740"/>
      <c r="L740"/>
      <c r="M740"/>
      <c r="N740"/>
      <c r="O740" s="294"/>
    </row>
    <row r="741" spans="1:15" ht="16" hidden="1" outlineLevel="1" x14ac:dyDescent="0.2">
      <c r="A741" s="294"/>
      <c r="B741" s="423" t="str">
        <f>IF($E741="",IF($D741="","",VLOOKUP($D741,TableInputsData[],ReadMe!$M$3,FALSE)),VLOOKUP($D741,TableInputsData[],ReadMe!$M$3,FALSE)&amp;"  |  "&amp;VLOOKUP($E741,TableInputsData[],ReadMe!$M$3,FALSE))</f>
        <v/>
      </c>
      <c r="C741" s="294"/>
      <c r="D741"/>
      <c r="E741"/>
      <c r="F741"/>
      <c r="G741"/>
      <c r="H741"/>
      <c r="I741"/>
      <c r="J741"/>
      <c r="K741"/>
      <c r="L741"/>
      <c r="M741"/>
      <c r="N741"/>
      <c r="O741" s="294"/>
    </row>
    <row r="742" spans="1:15" ht="16" hidden="1" outlineLevel="1" x14ac:dyDescent="0.2">
      <c r="A742" s="294"/>
      <c r="B742" s="423" t="str">
        <f>IF($E742="",IF($D742="","",VLOOKUP($D742,TableInputsData[],ReadMe!$M$3,FALSE)),VLOOKUP($D742,TableInputsData[],ReadMe!$M$3,FALSE)&amp;"  |  "&amp;VLOOKUP($E742,TableInputsData[],ReadMe!$M$3,FALSE))</f>
        <v/>
      </c>
      <c r="C742" s="294"/>
      <c r="D742"/>
      <c r="E742"/>
      <c r="F742"/>
      <c r="G742"/>
      <c r="H742"/>
      <c r="I742"/>
      <c r="J742"/>
      <c r="K742"/>
      <c r="L742"/>
      <c r="M742"/>
      <c r="N742"/>
      <c r="O742" s="294"/>
    </row>
    <row r="743" spans="1:15" ht="16" hidden="1" outlineLevel="1" x14ac:dyDescent="0.2">
      <c r="A743" s="294"/>
      <c r="B743" s="423" t="str">
        <f>IF($E743="",IF($D743="","",VLOOKUP($D743,TableInputsData[],ReadMe!$M$3,FALSE)),VLOOKUP($D743,TableInputsData[],ReadMe!$M$3,FALSE)&amp;"  |  "&amp;VLOOKUP($E743,TableInputsData[],ReadMe!$M$3,FALSE))</f>
        <v/>
      </c>
      <c r="C743" s="294"/>
      <c r="D743"/>
      <c r="E743"/>
      <c r="F743"/>
      <c r="G743"/>
      <c r="H743"/>
      <c r="I743"/>
      <c r="J743"/>
      <c r="K743"/>
      <c r="L743"/>
      <c r="M743"/>
      <c r="N743"/>
      <c r="O743" s="294"/>
    </row>
    <row r="744" spans="1:15" ht="16" hidden="1" outlineLevel="1" x14ac:dyDescent="0.2">
      <c r="A744" s="294"/>
      <c r="B744" s="423" t="str">
        <f>IF($E744="",IF($D744="","",VLOOKUP($D744,TableInputsData[],ReadMe!$M$3,FALSE)),VLOOKUP($D744,TableInputsData[],ReadMe!$M$3,FALSE)&amp;"  |  "&amp;VLOOKUP($E744,TableInputsData[],ReadMe!$M$3,FALSE))</f>
        <v/>
      </c>
      <c r="C744" s="294"/>
      <c r="D744"/>
      <c r="E744"/>
      <c r="F744"/>
      <c r="G744"/>
      <c r="H744"/>
      <c r="I744"/>
      <c r="J744"/>
      <c r="K744"/>
      <c r="L744"/>
      <c r="M744"/>
      <c r="N744"/>
      <c r="O744" s="294"/>
    </row>
    <row r="745" spans="1:15" ht="16" hidden="1" outlineLevel="1" x14ac:dyDescent="0.2">
      <c r="A745" s="294"/>
      <c r="B745" s="423" t="str">
        <f>IF($E745="",IF($D745="","",VLOOKUP($D745,TableInputsData[],ReadMe!$M$3,FALSE)),VLOOKUP($D745,TableInputsData[],ReadMe!$M$3,FALSE)&amp;"  |  "&amp;VLOOKUP($E745,TableInputsData[],ReadMe!$M$3,FALSE))</f>
        <v/>
      </c>
      <c r="C745" s="294"/>
      <c r="D745"/>
      <c r="E745"/>
      <c r="F745"/>
      <c r="G745"/>
      <c r="H745"/>
      <c r="I745"/>
      <c r="J745"/>
      <c r="K745"/>
      <c r="L745"/>
      <c r="M745"/>
      <c r="N745"/>
      <c r="O745" s="294"/>
    </row>
    <row r="746" spans="1:15" ht="16" hidden="1" outlineLevel="1" x14ac:dyDescent="0.2">
      <c r="A746" s="294"/>
      <c r="B746" s="423" t="str">
        <f>IF($E746="",IF($D746="","",VLOOKUP($D746,TableInputsData[],ReadMe!$M$3,FALSE)),VLOOKUP($D746,TableInputsData[],ReadMe!$M$3,FALSE)&amp;"  |  "&amp;VLOOKUP($E746,TableInputsData[],ReadMe!$M$3,FALSE))</f>
        <v/>
      </c>
      <c r="C746" s="294"/>
      <c r="D746"/>
      <c r="E746"/>
      <c r="F746"/>
      <c r="G746"/>
      <c r="H746"/>
      <c r="I746"/>
      <c r="J746"/>
      <c r="K746"/>
      <c r="L746"/>
      <c r="M746"/>
      <c r="N746"/>
      <c r="O746" s="294"/>
    </row>
    <row r="747" spans="1:15" ht="16" hidden="1" outlineLevel="1" x14ac:dyDescent="0.2">
      <c r="A747" s="294"/>
      <c r="B747" s="423" t="str">
        <f>IF($E747="",IF($D747="","",VLOOKUP($D747,TableInputsData[],ReadMe!$M$3,FALSE)),VLOOKUP($D747,TableInputsData[],ReadMe!$M$3,FALSE)&amp;"  |  "&amp;VLOOKUP($E747,TableInputsData[],ReadMe!$M$3,FALSE))</f>
        <v/>
      </c>
      <c r="C747" s="294"/>
      <c r="D747"/>
      <c r="E747"/>
      <c r="F747"/>
      <c r="G747"/>
      <c r="H747"/>
      <c r="I747"/>
      <c r="J747"/>
      <c r="K747"/>
      <c r="L747"/>
      <c r="M747"/>
      <c r="N747"/>
      <c r="O747" s="294"/>
    </row>
    <row r="748" spans="1:15" ht="16" hidden="1" outlineLevel="1" x14ac:dyDescent="0.2">
      <c r="A748" s="294"/>
      <c r="B748" s="423" t="str">
        <f>IF($E748="",IF($D748="","",VLOOKUP($D748,TableInputsData[],ReadMe!$M$3,FALSE)),VLOOKUP($D748,TableInputsData[],ReadMe!$M$3,FALSE)&amp;"  |  "&amp;VLOOKUP($E748,TableInputsData[],ReadMe!$M$3,FALSE))</f>
        <v/>
      </c>
      <c r="C748" s="294"/>
      <c r="D748"/>
      <c r="E748"/>
      <c r="F748"/>
      <c r="G748"/>
      <c r="H748"/>
      <c r="I748"/>
      <c r="J748"/>
      <c r="K748"/>
      <c r="L748"/>
      <c r="M748"/>
      <c r="N748"/>
      <c r="O748" s="294"/>
    </row>
    <row r="749" spans="1:15" ht="16" hidden="1" outlineLevel="1" x14ac:dyDescent="0.2">
      <c r="A749" s="294"/>
      <c r="B749" s="423" t="str">
        <f>IF($E749="",IF($D749="","",VLOOKUP($D749,TableInputsData[],ReadMe!$M$3,FALSE)),VLOOKUP($D749,TableInputsData[],ReadMe!$M$3,FALSE)&amp;"  |  "&amp;VLOOKUP($E749,TableInputsData[],ReadMe!$M$3,FALSE))</f>
        <v/>
      </c>
      <c r="C749" s="294"/>
      <c r="D749"/>
      <c r="E749"/>
      <c r="F749"/>
      <c r="G749"/>
      <c r="H749"/>
      <c r="I749"/>
      <c r="J749"/>
      <c r="K749"/>
      <c r="L749"/>
      <c r="M749"/>
      <c r="N749"/>
      <c r="O749" s="294"/>
    </row>
    <row r="750" spans="1:15" ht="16" hidden="1" outlineLevel="1" x14ac:dyDescent="0.2">
      <c r="A750" s="294"/>
      <c r="B750" s="423" t="str">
        <f>IF($E750="",IF($D750="","",VLOOKUP($D750,TableInputsData[],ReadMe!$M$3,FALSE)),VLOOKUP($D750,TableInputsData[],ReadMe!$M$3,FALSE)&amp;"  |  "&amp;VLOOKUP($E750,TableInputsData[],ReadMe!$M$3,FALSE))</f>
        <v/>
      </c>
      <c r="C750" s="294"/>
      <c r="D750"/>
      <c r="E750"/>
      <c r="F750"/>
      <c r="G750"/>
      <c r="H750"/>
      <c r="I750"/>
      <c r="J750"/>
      <c r="K750"/>
      <c r="L750"/>
      <c r="M750"/>
      <c r="N750"/>
      <c r="O750" s="294"/>
    </row>
    <row r="751" spans="1:15" ht="16" hidden="1" outlineLevel="1" x14ac:dyDescent="0.2">
      <c r="A751" s="294"/>
      <c r="B751" s="423" t="str">
        <f>IF($E751="",IF($D751="","",VLOOKUP($D751,TableInputsData[],ReadMe!$M$3,FALSE)),VLOOKUP($D751,TableInputsData[],ReadMe!$M$3,FALSE)&amp;"  |  "&amp;VLOOKUP($E751,TableInputsData[],ReadMe!$M$3,FALSE))</f>
        <v/>
      </c>
      <c r="C751" s="294"/>
      <c r="D751"/>
      <c r="E751"/>
      <c r="F751"/>
      <c r="G751"/>
      <c r="H751"/>
      <c r="I751"/>
      <c r="J751"/>
      <c r="K751"/>
      <c r="L751"/>
      <c r="M751"/>
      <c r="N751"/>
      <c r="O751" s="294"/>
    </row>
    <row r="752" spans="1:15" hidden="1" outlineLevel="1" x14ac:dyDescent="0.15">
      <c r="A752" s="294"/>
      <c r="B752" s="423" t="str">
        <f>IF($E752="",IF($D752="","",VLOOKUP($D752,TableInputsData[],ReadMe!$M$3,FALSE)),VLOOKUP($D752,TableInputsData[],ReadMe!$M$3,FALSE)&amp;"  |  "&amp;VLOOKUP($E752,TableInputsData[],ReadMe!$M$3,FALSE))</f>
        <v/>
      </c>
      <c r="C752" s="294"/>
      <c r="D752" s="163"/>
      <c r="E752" s="163"/>
      <c r="F752" s="163"/>
      <c r="G752" s="163"/>
      <c r="H752" s="163"/>
      <c r="I752" s="163"/>
      <c r="J752" s="163"/>
      <c r="K752" s="163"/>
      <c r="L752" s="163"/>
      <c r="M752" s="163"/>
      <c r="N752" s="163"/>
      <c r="O752" s="294"/>
    </row>
    <row r="753" spans="1:15" hidden="1" outlineLevel="1" x14ac:dyDescent="0.15">
      <c r="A753" s="294"/>
      <c r="B753" s="423" t="str">
        <f>IF($E753="",IF($D753="","",VLOOKUP($D753,TableInputsData[],ReadMe!$M$3,FALSE)),VLOOKUP($D753,TableInputsData[],ReadMe!$M$3,FALSE)&amp;"  |  "&amp;VLOOKUP($E753,TableInputsData[],ReadMe!$M$3,FALSE))</f>
        <v/>
      </c>
      <c r="C753" s="294"/>
      <c r="D753" s="163"/>
      <c r="E753" s="163"/>
      <c r="F753" s="163"/>
      <c r="G753" s="163"/>
      <c r="H753" s="163"/>
      <c r="I753" s="163"/>
      <c r="J753" s="163"/>
      <c r="K753" s="163"/>
      <c r="L753" s="163"/>
      <c r="M753" s="163"/>
      <c r="N753" s="163"/>
      <c r="O753" s="294"/>
    </row>
    <row r="754" spans="1:15" hidden="1" outlineLevel="1" x14ac:dyDescent="0.15">
      <c r="A754" s="294"/>
      <c r="B754" s="423" t="str">
        <f>IF($E754="",IF($D754="","",VLOOKUP($D754,TableInputsData[],ReadMe!$M$3,FALSE)),VLOOKUP($D754,TableInputsData[],ReadMe!$M$3,FALSE)&amp;"  |  "&amp;VLOOKUP($E754,TableInputsData[],ReadMe!$M$3,FALSE))</f>
        <v/>
      </c>
      <c r="C754" s="294"/>
      <c r="D754" s="163"/>
      <c r="E754" s="163"/>
      <c r="F754" s="163"/>
      <c r="G754" s="163"/>
      <c r="H754" s="163"/>
      <c r="I754" s="163"/>
      <c r="J754" s="163"/>
      <c r="K754" s="163"/>
      <c r="L754" s="163"/>
      <c r="M754" s="163"/>
      <c r="N754" s="163"/>
      <c r="O754" s="294"/>
    </row>
    <row r="755" spans="1:15" hidden="1" outlineLevel="1" x14ac:dyDescent="0.15">
      <c r="A755" s="294"/>
      <c r="B755" s="423" t="str">
        <f>IF($E755="",IF($D755="","",VLOOKUP($D755,TableInputsData[],ReadMe!$M$3,FALSE)),VLOOKUP($D755,TableInputsData[],ReadMe!$M$3,FALSE)&amp;"  |  "&amp;VLOOKUP($E755,TableInputsData[],ReadMe!$M$3,FALSE))</f>
        <v/>
      </c>
      <c r="C755" s="294"/>
      <c r="D755" s="163"/>
      <c r="E755" s="163"/>
      <c r="F755" s="163"/>
      <c r="G755" s="163"/>
      <c r="H755" s="163"/>
      <c r="I755" s="163"/>
      <c r="J755" s="163"/>
      <c r="K755" s="163"/>
      <c r="L755" s="163"/>
      <c r="M755" s="163"/>
      <c r="N755" s="163"/>
      <c r="O755" s="294"/>
    </row>
    <row r="756" spans="1:15" hidden="1" outlineLevel="1" x14ac:dyDescent="0.15">
      <c r="A756" s="294"/>
      <c r="B756" s="423" t="str">
        <f>IF($E756="",IF($D756="","",VLOOKUP($D756,TableInputsData[],ReadMe!$M$3,FALSE)),VLOOKUP($D756,TableInputsData[],ReadMe!$M$3,FALSE)&amp;"  |  "&amp;VLOOKUP($E756,TableInputsData[],ReadMe!$M$3,FALSE))</f>
        <v/>
      </c>
      <c r="C756" s="294"/>
      <c r="D756" s="163"/>
      <c r="E756" s="163"/>
      <c r="F756" s="163"/>
      <c r="G756" s="163"/>
      <c r="H756" s="163"/>
      <c r="I756" s="163"/>
      <c r="J756" s="163"/>
      <c r="K756" s="163"/>
      <c r="L756" s="163"/>
      <c r="M756" s="163"/>
      <c r="N756" s="163"/>
      <c r="O756" s="294"/>
    </row>
    <row r="757" spans="1:15" hidden="1" outlineLevel="1" x14ac:dyDescent="0.15">
      <c r="A757" s="294"/>
      <c r="B757" s="423" t="str">
        <f>IF($E757="",IF($D757="","",VLOOKUP($D757,TableInputsData[],ReadMe!$M$3,FALSE)),VLOOKUP($D757,TableInputsData[],ReadMe!$M$3,FALSE)&amp;"  |  "&amp;VLOOKUP($E757,TableInputsData[],ReadMe!$M$3,FALSE))</f>
        <v/>
      </c>
      <c r="C757" s="294"/>
      <c r="D757" s="163"/>
      <c r="E757" s="163"/>
      <c r="F757" s="163"/>
      <c r="G757" s="163"/>
      <c r="H757" s="163"/>
      <c r="I757" s="163"/>
      <c r="J757" s="163"/>
      <c r="K757" s="163"/>
      <c r="L757" s="163"/>
      <c r="M757" s="163"/>
      <c r="N757" s="163"/>
      <c r="O757" s="294"/>
    </row>
    <row r="758" spans="1:15" hidden="1" outlineLevel="1" x14ac:dyDescent="0.15">
      <c r="A758" s="294"/>
      <c r="B758" s="423" t="str">
        <f>IF($E758="",IF($D758="","",VLOOKUP($D758,TableInputsData[],ReadMe!$M$3,FALSE)),VLOOKUP($D758,TableInputsData[],ReadMe!$M$3,FALSE)&amp;"  |  "&amp;VLOOKUP($E758,TableInputsData[],ReadMe!$M$3,FALSE))</f>
        <v/>
      </c>
      <c r="C758" s="294"/>
      <c r="D758" s="163"/>
      <c r="E758" s="163"/>
      <c r="F758" s="163"/>
      <c r="G758" s="163"/>
      <c r="H758" s="163"/>
      <c r="I758" s="163"/>
      <c r="J758" s="163"/>
      <c r="K758" s="163"/>
      <c r="L758" s="163"/>
      <c r="M758" s="163"/>
      <c r="N758" s="163"/>
      <c r="O758" s="294"/>
    </row>
    <row r="759" spans="1:15" hidden="1" outlineLevel="1" x14ac:dyDescent="0.15">
      <c r="A759" s="294"/>
      <c r="B759" s="423" t="str">
        <f>IF($E759="",IF($D759="","",VLOOKUP($D759,TableInputsData[],ReadMe!$M$3,FALSE)),VLOOKUP($D759,TableInputsData[],ReadMe!$M$3,FALSE)&amp;"  |  "&amp;VLOOKUP($E759,TableInputsData[],ReadMe!$M$3,FALSE))</f>
        <v/>
      </c>
      <c r="C759" s="294"/>
      <c r="D759" s="163"/>
      <c r="E759" s="163"/>
      <c r="F759" s="163"/>
      <c r="G759" s="163"/>
      <c r="H759" s="163"/>
      <c r="I759" s="163"/>
      <c r="J759" s="163"/>
      <c r="K759" s="163"/>
      <c r="L759" s="163"/>
      <c r="M759" s="163"/>
      <c r="N759" s="163"/>
      <c r="O759" s="294"/>
    </row>
    <row r="760" spans="1:15" hidden="1" outlineLevel="1" x14ac:dyDescent="0.15">
      <c r="A760" s="294"/>
      <c r="B760" s="423" t="str">
        <f>IF($E760="",IF($D760="","",VLOOKUP($D760,TableInputsData[],ReadMe!$M$3,FALSE)),VLOOKUP($D760,TableInputsData[],ReadMe!$M$3,FALSE)&amp;"  |  "&amp;VLOOKUP($E760,TableInputsData[],ReadMe!$M$3,FALSE))</f>
        <v/>
      </c>
      <c r="C760" s="294"/>
      <c r="D760" s="163"/>
      <c r="E760" s="163"/>
      <c r="F760" s="163"/>
      <c r="G760" s="163"/>
      <c r="H760" s="163"/>
      <c r="I760" s="163"/>
      <c r="J760" s="163"/>
      <c r="K760" s="163"/>
      <c r="L760" s="163"/>
      <c r="M760" s="163"/>
      <c r="N760" s="163"/>
      <c r="O760" s="294"/>
    </row>
    <row r="761" spans="1:15" hidden="1" outlineLevel="1" x14ac:dyDescent="0.15">
      <c r="A761" s="294"/>
      <c r="B761" s="423" t="str">
        <f>IF($E761="",IF($D761="","",VLOOKUP($D761,TableInputsData[],ReadMe!$M$3,FALSE)),VLOOKUP($D761,TableInputsData[],ReadMe!$M$3,FALSE)&amp;"  |  "&amp;VLOOKUP($E761,TableInputsData[],ReadMe!$M$3,FALSE))</f>
        <v/>
      </c>
      <c r="C761" s="294"/>
      <c r="D761" s="163"/>
      <c r="E761" s="163"/>
      <c r="F761" s="163"/>
      <c r="G761" s="163"/>
      <c r="H761" s="163"/>
      <c r="I761" s="163"/>
      <c r="J761" s="163"/>
      <c r="K761" s="163"/>
      <c r="L761" s="163"/>
      <c r="M761" s="163"/>
      <c r="N761" s="163"/>
      <c r="O761" s="294"/>
    </row>
    <row r="762" spans="1:15" hidden="1" outlineLevel="1" x14ac:dyDescent="0.15">
      <c r="A762" s="294"/>
      <c r="B762" s="423" t="str">
        <f>IF($E762="",IF($D762="","",VLOOKUP($D762,TableInputsData[],ReadMe!$M$3,FALSE)),VLOOKUP($D762,TableInputsData[],ReadMe!$M$3,FALSE)&amp;"  |  "&amp;VLOOKUP($E762,TableInputsData[],ReadMe!$M$3,FALSE))</f>
        <v/>
      </c>
      <c r="C762" s="294"/>
      <c r="D762" s="163"/>
      <c r="E762" s="163"/>
      <c r="F762" s="163"/>
      <c r="G762" s="163"/>
      <c r="H762" s="163"/>
      <c r="I762" s="163"/>
      <c r="J762" s="163"/>
      <c r="K762" s="163"/>
      <c r="L762" s="163"/>
      <c r="M762" s="163"/>
      <c r="N762" s="163"/>
      <c r="O762" s="294"/>
    </row>
    <row r="763" spans="1:15" hidden="1" outlineLevel="1" x14ac:dyDescent="0.15">
      <c r="A763" s="294"/>
      <c r="B763" s="423" t="str">
        <f>IF($E763="",IF($D763="","",VLOOKUP($D763,TableInputsData[],ReadMe!$M$3,FALSE)),VLOOKUP($D763,TableInputsData[],ReadMe!$M$3,FALSE)&amp;"  |  "&amp;VLOOKUP($E763,TableInputsData[],ReadMe!$M$3,FALSE))</f>
        <v/>
      </c>
      <c r="C763" s="294"/>
      <c r="D763" s="163"/>
      <c r="E763" s="163"/>
      <c r="F763" s="163"/>
      <c r="G763" s="163"/>
      <c r="H763" s="163"/>
      <c r="I763" s="163"/>
      <c r="J763" s="163"/>
      <c r="K763" s="163"/>
      <c r="L763" s="163"/>
      <c r="M763" s="163"/>
      <c r="N763" s="163"/>
      <c r="O763" s="294"/>
    </row>
    <row r="764" spans="1:15" hidden="1" outlineLevel="1" x14ac:dyDescent="0.15">
      <c r="A764" s="294"/>
      <c r="B764" s="423" t="str">
        <f>IF($E764="",IF($D764="","",VLOOKUP($D764,TableInputsData[],ReadMe!$M$3,FALSE)),VLOOKUP($D764,TableInputsData[],ReadMe!$M$3,FALSE)&amp;"  |  "&amp;VLOOKUP($E764,TableInputsData[],ReadMe!$M$3,FALSE))</f>
        <v/>
      </c>
      <c r="C764" s="294"/>
      <c r="D764" s="163"/>
      <c r="E764" s="163"/>
      <c r="F764" s="163"/>
      <c r="G764" s="163"/>
      <c r="H764" s="163"/>
      <c r="I764" s="163"/>
      <c r="J764" s="163"/>
      <c r="K764" s="163"/>
      <c r="L764" s="163"/>
      <c r="M764" s="163"/>
      <c r="N764" s="163"/>
      <c r="O764" s="294"/>
    </row>
    <row r="765" spans="1:15" hidden="1" outlineLevel="1" x14ac:dyDescent="0.15">
      <c r="A765" s="294"/>
      <c r="B765" s="423" t="str">
        <f>IF($E765="",IF($D765="","",VLOOKUP($D765,TableInputsData[],ReadMe!$M$3,FALSE)),VLOOKUP($D765,TableInputsData[],ReadMe!$M$3,FALSE)&amp;"  |  "&amp;VLOOKUP($E765,TableInputsData[],ReadMe!$M$3,FALSE))</f>
        <v/>
      </c>
      <c r="C765" s="294"/>
      <c r="D765" s="163"/>
      <c r="E765" s="163"/>
      <c r="F765" s="163"/>
      <c r="G765" s="163"/>
      <c r="H765" s="163"/>
      <c r="I765" s="163"/>
      <c r="J765" s="163"/>
      <c r="K765" s="163"/>
      <c r="L765" s="163"/>
      <c r="M765" s="163"/>
      <c r="N765" s="163"/>
      <c r="O765" s="294"/>
    </row>
    <row r="766" spans="1:15" hidden="1" outlineLevel="1" x14ac:dyDescent="0.15">
      <c r="A766" s="294"/>
      <c r="B766" s="423" t="str">
        <f>IF($E766="",IF($D766="","",VLOOKUP($D766,TableInputsData[],ReadMe!$M$3,FALSE)),VLOOKUP($D766,TableInputsData[],ReadMe!$M$3,FALSE)&amp;"  |  "&amp;VLOOKUP($E766,TableInputsData[],ReadMe!$M$3,FALSE))</f>
        <v/>
      </c>
      <c r="C766" s="294"/>
      <c r="D766" s="163"/>
      <c r="E766" s="163"/>
      <c r="F766" s="163"/>
      <c r="G766" s="163"/>
      <c r="H766" s="163"/>
      <c r="I766" s="163"/>
      <c r="J766" s="163"/>
      <c r="K766" s="163"/>
      <c r="L766" s="163"/>
      <c r="M766" s="163"/>
      <c r="N766" s="163"/>
      <c r="O766" s="294"/>
    </row>
    <row r="767" spans="1:15" hidden="1" outlineLevel="1" x14ac:dyDescent="0.15">
      <c r="A767" s="294"/>
      <c r="B767" s="423" t="str">
        <f>IF($E767="",IF($D767="","",VLOOKUP($D767,TableInputsData[],ReadMe!$M$3,FALSE)),VLOOKUP($D767,TableInputsData[],ReadMe!$M$3,FALSE)&amp;"  |  "&amp;VLOOKUP($E767,TableInputsData[],ReadMe!$M$3,FALSE))</f>
        <v/>
      </c>
      <c r="C767" s="294"/>
      <c r="D767" s="163"/>
      <c r="E767" s="163"/>
      <c r="F767" s="163"/>
      <c r="G767" s="163"/>
      <c r="H767" s="163"/>
      <c r="I767" s="163"/>
      <c r="J767" s="163"/>
      <c r="K767" s="163"/>
      <c r="L767" s="163"/>
      <c r="M767" s="163"/>
      <c r="N767" s="163"/>
      <c r="O767" s="294"/>
    </row>
    <row r="768" spans="1:15" hidden="1" outlineLevel="1" x14ac:dyDescent="0.15">
      <c r="A768" s="294"/>
      <c r="B768" s="423" t="str">
        <f>IF($E768="",IF($D768="","",VLOOKUP($D768,TableInputsData[],ReadMe!$M$3,FALSE)),VLOOKUP($D768,TableInputsData[],ReadMe!$M$3,FALSE)&amp;"  |  "&amp;VLOOKUP($E768,TableInputsData[],ReadMe!$M$3,FALSE))</f>
        <v/>
      </c>
      <c r="C768" s="294"/>
      <c r="D768" s="163"/>
      <c r="E768" s="163"/>
      <c r="F768" s="163"/>
      <c r="G768" s="163"/>
      <c r="H768" s="163"/>
      <c r="I768" s="163"/>
      <c r="J768" s="163"/>
      <c r="K768" s="163"/>
      <c r="L768" s="163"/>
      <c r="M768" s="163"/>
      <c r="N768" s="163"/>
      <c r="O768" s="294"/>
    </row>
    <row r="769" spans="1:15" hidden="1" outlineLevel="1" x14ac:dyDescent="0.15">
      <c r="A769" s="294"/>
      <c r="B769" s="423" t="str">
        <f>IF($E769="",IF($D769="","",VLOOKUP($D769,TableInputsData[],ReadMe!$M$3,FALSE)),VLOOKUP($D769,TableInputsData[],ReadMe!$M$3,FALSE)&amp;"  |  "&amp;VLOOKUP($E769,TableInputsData[],ReadMe!$M$3,FALSE))</f>
        <v/>
      </c>
      <c r="C769" s="294"/>
      <c r="D769" s="163"/>
      <c r="E769" s="163"/>
      <c r="F769" s="163"/>
      <c r="G769" s="163"/>
      <c r="H769" s="163"/>
      <c r="I769" s="163"/>
      <c r="J769" s="163"/>
      <c r="K769" s="163"/>
      <c r="L769" s="163"/>
      <c r="M769" s="163"/>
      <c r="N769" s="163"/>
      <c r="O769" s="294"/>
    </row>
    <row r="770" spans="1:15" hidden="1" outlineLevel="1" x14ac:dyDescent="0.15">
      <c r="A770" s="294"/>
      <c r="B770" s="423" t="str">
        <f>IF($E770="",IF($D770="","",VLOOKUP($D770,TableInputsData[],ReadMe!$M$3,FALSE)),VLOOKUP($D770,TableInputsData[],ReadMe!$M$3,FALSE)&amp;"  |  "&amp;VLOOKUP($E770,TableInputsData[],ReadMe!$M$3,FALSE))</f>
        <v/>
      </c>
      <c r="C770" s="294"/>
      <c r="D770" s="163"/>
      <c r="E770" s="163"/>
      <c r="F770" s="163"/>
      <c r="G770" s="163"/>
      <c r="H770" s="163"/>
      <c r="I770" s="163"/>
      <c r="J770" s="163"/>
      <c r="K770" s="163"/>
      <c r="L770" s="163"/>
      <c r="M770" s="163"/>
      <c r="N770" s="163"/>
      <c r="O770" s="294"/>
    </row>
    <row r="771" spans="1:15" hidden="1" outlineLevel="1" x14ac:dyDescent="0.15">
      <c r="A771" s="294"/>
      <c r="B771" s="423" t="str">
        <f>IF($E771="",IF($D771="","",VLOOKUP($D771,TableInputsData[],ReadMe!$M$3,FALSE)),VLOOKUP($D771,TableInputsData[],ReadMe!$M$3,FALSE)&amp;"  |  "&amp;VLOOKUP($E771,TableInputsData[],ReadMe!$M$3,FALSE))</f>
        <v/>
      </c>
      <c r="C771" s="294"/>
      <c r="D771" s="163"/>
      <c r="E771" s="163"/>
      <c r="F771" s="163"/>
      <c r="G771" s="163"/>
      <c r="H771" s="163"/>
      <c r="I771" s="163"/>
      <c r="J771" s="163"/>
      <c r="K771" s="163"/>
      <c r="L771" s="163"/>
      <c r="M771" s="163"/>
      <c r="N771" s="163"/>
      <c r="O771" s="294"/>
    </row>
    <row r="772" spans="1:15" hidden="1" outlineLevel="1" x14ac:dyDescent="0.15">
      <c r="A772" s="294"/>
      <c r="B772" s="423" t="str">
        <f>IF($E772="",IF($D772="","",VLOOKUP($D772,TableInputsData[],ReadMe!$M$3,FALSE)),VLOOKUP($D772,TableInputsData[],ReadMe!$M$3,FALSE)&amp;"  |  "&amp;VLOOKUP($E772,TableInputsData[],ReadMe!$M$3,FALSE))</f>
        <v/>
      </c>
      <c r="C772" s="294"/>
      <c r="D772" s="163"/>
      <c r="E772" s="163"/>
      <c r="F772" s="163"/>
      <c r="G772" s="163"/>
      <c r="H772" s="163"/>
      <c r="I772" s="163"/>
      <c r="J772" s="163"/>
      <c r="K772" s="163"/>
      <c r="L772" s="163"/>
      <c r="M772" s="163"/>
      <c r="N772" s="163"/>
      <c r="O772" s="294"/>
    </row>
    <row r="773" spans="1:15" hidden="1" outlineLevel="1" x14ac:dyDescent="0.15">
      <c r="A773" s="294"/>
      <c r="B773" s="423" t="str">
        <f>IF($E773="",IF($D773="","",VLOOKUP($D773,TableInputsData[],ReadMe!$M$3,FALSE)),VLOOKUP($D773,TableInputsData[],ReadMe!$M$3,FALSE)&amp;"  |  "&amp;VLOOKUP($E773,TableInputsData[],ReadMe!$M$3,FALSE))</f>
        <v/>
      </c>
      <c r="C773" s="294"/>
      <c r="D773" s="163"/>
      <c r="E773" s="163"/>
      <c r="F773" s="163"/>
      <c r="G773" s="163"/>
      <c r="H773" s="163"/>
      <c r="I773" s="163"/>
      <c r="J773" s="163"/>
      <c r="K773" s="163"/>
      <c r="L773" s="163"/>
      <c r="M773" s="163"/>
      <c r="N773" s="163"/>
      <c r="O773" s="294"/>
    </row>
    <row r="774" spans="1:15" hidden="1" outlineLevel="1" x14ac:dyDescent="0.15">
      <c r="A774" s="294"/>
      <c r="B774" s="423" t="str">
        <f>IF($E774="",IF($D774="","",VLOOKUP($D774,TableInputsData[],ReadMe!$M$3,FALSE)),VLOOKUP($D774,TableInputsData[],ReadMe!$M$3,FALSE)&amp;"  |  "&amp;VLOOKUP($E774,TableInputsData[],ReadMe!$M$3,FALSE))</f>
        <v/>
      </c>
      <c r="C774" s="294"/>
      <c r="D774" s="163"/>
      <c r="E774" s="163"/>
      <c r="F774" s="163"/>
      <c r="G774" s="163"/>
      <c r="H774" s="163"/>
      <c r="I774" s="163"/>
      <c r="J774" s="163"/>
      <c r="K774" s="163"/>
      <c r="L774" s="163"/>
      <c r="M774" s="163"/>
      <c r="N774" s="163"/>
      <c r="O774" s="294"/>
    </row>
    <row r="775" spans="1:15" hidden="1" outlineLevel="1" x14ac:dyDescent="0.15">
      <c r="A775" s="294"/>
      <c r="B775" s="423" t="str">
        <f>IF($E775="",IF($D775="","",VLOOKUP($D775,TableInputsData[],ReadMe!$M$3,FALSE)),VLOOKUP($D775,TableInputsData[],ReadMe!$M$3,FALSE)&amp;"  |  "&amp;VLOOKUP($E775,TableInputsData[],ReadMe!$M$3,FALSE))</f>
        <v/>
      </c>
      <c r="C775" s="294"/>
      <c r="D775" s="163"/>
      <c r="E775" s="163"/>
      <c r="F775" s="163"/>
      <c r="G775" s="163"/>
      <c r="H775" s="163"/>
      <c r="I775" s="163"/>
      <c r="J775" s="163"/>
      <c r="K775" s="163"/>
      <c r="L775" s="163"/>
      <c r="M775" s="163"/>
      <c r="N775" s="163"/>
      <c r="O775" s="294"/>
    </row>
    <row r="776" spans="1:15" hidden="1" outlineLevel="1" x14ac:dyDescent="0.15">
      <c r="A776" s="294"/>
      <c r="B776" s="423" t="str">
        <f>IF($E776="",IF($D776="","",VLOOKUP($D776,TableInputsData[],ReadMe!$M$3,FALSE)),VLOOKUP($D776,TableInputsData[],ReadMe!$M$3,FALSE)&amp;"  |  "&amp;VLOOKUP($E776,TableInputsData[],ReadMe!$M$3,FALSE))</f>
        <v/>
      </c>
      <c r="C776" s="294"/>
      <c r="D776" s="163"/>
      <c r="E776" s="163"/>
      <c r="F776" s="163"/>
      <c r="G776" s="163"/>
      <c r="H776" s="163"/>
      <c r="I776" s="163"/>
      <c r="J776" s="163"/>
      <c r="K776" s="163"/>
      <c r="L776" s="163"/>
      <c r="M776" s="163"/>
      <c r="N776" s="163"/>
      <c r="O776" s="294"/>
    </row>
    <row r="777" spans="1:15" hidden="1" outlineLevel="1" x14ac:dyDescent="0.15">
      <c r="A777" s="294"/>
      <c r="B777" s="423" t="str">
        <f>IF($E777="",IF($D777="","",VLOOKUP($D777,TableInputsData[],ReadMe!$M$3,FALSE)),VLOOKUP($D777,TableInputsData[],ReadMe!$M$3,FALSE)&amp;"  |  "&amp;VLOOKUP($E777,TableInputsData[],ReadMe!$M$3,FALSE))</f>
        <v/>
      </c>
      <c r="C777" s="294"/>
      <c r="D777" s="163"/>
      <c r="E777" s="163"/>
      <c r="F777" s="163"/>
      <c r="G777" s="163"/>
      <c r="H777" s="163"/>
      <c r="I777" s="163"/>
      <c r="J777" s="163"/>
      <c r="K777" s="163"/>
      <c r="L777" s="163"/>
      <c r="M777" s="163"/>
      <c r="N777" s="163"/>
      <c r="O777" s="294"/>
    </row>
    <row r="778" spans="1:15" hidden="1" outlineLevel="1" x14ac:dyDescent="0.15">
      <c r="A778" s="294"/>
      <c r="B778" s="423" t="str">
        <f>IF($E778="",IF($D778="","",VLOOKUP($D778,TableInputsData[],ReadMe!$M$3,FALSE)),VLOOKUP($D778,TableInputsData[],ReadMe!$M$3,FALSE)&amp;"  |  "&amp;VLOOKUP($E778,TableInputsData[],ReadMe!$M$3,FALSE))</f>
        <v/>
      </c>
      <c r="C778" s="294"/>
      <c r="D778" s="163"/>
      <c r="E778" s="163"/>
      <c r="F778" s="163"/>
      <c r="G778" s="163"/>
      <c r="H778" s="163"/>
      <c r="I778" s="163"/>
      <c r="J778" s="163"/>
      <c r="K778" s="163"/>
      <c r="L778" s="163"/>
      <c r="M778" s="163"/>
      <c r="N778" s="163"/>
      <c r="O778" s="294"/>
    </row>
    <row r="779" spans="1:15" hidden="1" outlineLevel="1" x14ac:dyDescent="0.15">
      <c r="A779" s="294"/>
      <c r="B779" s="423" t="str">
        <f>IF($E779="",IF($D779="","",VLOOKUP($D779,TableInputsData[],ReadMe!$M$3,FALSE)),VLOOKUP($D779,TableInputsData[],ReadMe!$M$3,FALSE)&amp;"  |  "&amp;VLOOKUP($E779,TableInputsData[],ReadMe!$M$3,FALSE))</f>
        <v/>
      </c>
      <c r="C779" s="294"/>
      <c r="D779" s="163"/>
      <c r="E779" s="163"/>
      <c r="F779" s="163"/>
      <c r="G779" s="163"/>
      <c r="H779" s="163"/>
      <c r="I779" s="163"/>
      <c r="J779" s="163"/>
      <c r="K779" s="163"/>
      <c r="L779" s="163"/>
      <c r="M779" s="163"/>
      <c r="N779" s="163"/>
      <c r="O779" s="294"/>
    </row>
    <row r="780" spans="1:15" hidden="1" outlineLevel="1" x14ac:dyDescent="0.15">
      <c r="A780" s="294"/>
      <c r="B780" s="423" t="str">
        <f>IF($E780="",IF($D780="","",VLOOKUP($D780,TableInputsData[],ReadMe!$M$3,FALSE)),VLOOKUP($D780,TableInputsData[],ReadMe!$M$3,FALSE)&amp;"  |  "&amp;VLOOKUP($E780,TableInputsData[],ReadMe!$M$3,FALSE))</f>
        <v/>
      </c>
      <c r="C780" s="294"/>
      <c r="D780" s="163"/>
      <c r="E780" s="163"/>
      <c r="F780" s="163"/>
      <c r="G780" s="163"/>
      <c r="H780" s="163"/>
      <c r="I780" s="163"/>
      <c r="J780" s="163"/>
      <c r="K780" s="163"/>
      <c r="L780" s="163"/>
      <c r="M780" s="163"/>
      <c r="N780" s="163"/>
      <c r="O780" s="294"/>
    </row>
    <row r="781" spans="1:15" hidden="1" outlineLevel="1" x14ac:dyDescent="0.15">
      <c r="A781" s="294"/>
      <c r="B781" s="423" t="str">
        <f>IF($E781="",IF($D781="","",VLOOKUP($D781,TableInputsData[],ReadMe!$M$3,FALSE)),VLOOKUP($D781,TableInputsData[],ReadMe!$M$3,FALSE)&amp;"  |  "&amp;VLOOKUP($E781,TableInputsData[],ReadMe!$M$3,FALSE))</f>
        <v/>
      </c>
      <c r="C781" s="294"/>
      <c r="D781" s="163"/>
      <c r="E781" s="163"/>
      <c r="F781" s="163"/>
      <c r="G781" s="163"/>
      <c r="H781" s="163"/>
      <c r="I781" s="163"/>
      <c r="J781" s="163"/>
      <c r="K781" s="163"/>
      <c r="L781" s="163"/>
      <c r="M781" s="163"/>
      <c r="N781" s="163"/>
      <c r="O781" s="294"/>
    </row>
    <row r="782" spans="1:15" hidden="1" outlineLevel="1" x14ac:dyDescent="0.15">
      <c r="A782" s="294"/>
      <c r="B782" s="423" t="str">
        <f>IF($E782="",IF($D782="","",VLOOKUP($D782,TableInputsData[],ReadMe!$M$3,FALSE)),VLOOKUP($D782,TableInputsData[],ReadMe!$M$3,FALSE)&amp;"  |  "&amp;VLOOKUP($E782,TableInputsData[],ReadMe!$M$3,FALSE))</f>
        <v/>
      </c>
      <c r="C782" s="294"/>
      <c r="D782" s="163"/>
      <c r="E782" s="163"/>
      <c r="F782" s="163"/>
      <c r="G782" s="163"/>
      <c r="H782" s="163"/>
      <c r="I782" s="163"/>
      <c r="J782" s="163"/>
      <c r="K782" s="163"/>
      <c r="L782" s="163"/>
      <c r="M782" s="163"/>
      <c r="N782" s="163"/>
      <c r="O782" s="294"/>
    </row>
    <row r="783" spans="1:15" hidden="1" outlineLevel="1" x14ac:dyDescent="0.15">
      <c r="A783" s="294"/>
      <c r="B783" s="423" t="str">
        <f>IF($E783="",IF($D783="","",VLOOKUP($D783,TableInputsData[],ReadMe!$M$3,FALSE)),VLOOKUP($D783,TableInputsData[],ReadMe!$M$3,FALSE)&amp;"  |  "&amp;VLOOKUP($E783,TableInputsData[],ReadMe!$M$3,FALSE))</f>
        <v/>
      </c>
      <c r="C783" s="294"/>
      <c r="D783" s="163"/>
      <c r="E783" s="163"/>
      <c r="F783" s="163"/>
      <c r="G783" s="163"/>
      <c r="H783" s="163"/>
      <c r="I783" s="163"/>
      <c r="J783" s="163"/>
      <c r="K783" s="163"/>
      <c r="L783" s="163"/>
      <c r="M783" s="163"/>
      <c r="N783" s="163"/>
      <c r="O783" s="294"/>
    </row>
    <row r="784" spans="1:15" hidden="1" outlineLevel="1" x14ac:dyDescent="0.15">
      <c r="A784" s="294"/>
      <c r="B784" s="423" t="str">
        <f>IF($E784="",IF($D784="","",VLOOKUP($D784,TableInputsData[],ReadMe!$M$3,FALSE)),VLOOKUP($D784,TableInputsData[],ReadMe!$M$3,FALSE)&amp;"  |  "&amp;VLOOKUP($E784,TableInputsData[],ReadMe!$M$3,FALSE))</f>
        <v/>
      </c>
      <c r="C784" s="294"/>
      <c r="D784" s="163"/>
      <c r="E784" s="163"/>
      <c r="F784" s="163"/>
      <c r="G784" s="163"/>
      <c r="H784" s="163"/>
      <c r="I784" s="163"/>
      <c r="J784" s="163"/>
      <c r="K784" s="163"/>
      <c r="L784" s="163"/>
      <c r="M784" s="163"/>
      <c r="N784" s="163"/>
      <c r="O784" s="294"/>
    </row>
    <row r="785" spans="1:15" hidden="1" outlineLevel="1" x14ac:dyDescent="0.15">
      <c r="A785" s="294"/>
      <c r="B785" s="423" t="str">
        <f>IF($E785="",IF($D785="","",VLOOKUP($D785,TableInputsData[],ReadMe!$M$3,FALSE)),VLOOKUP($D785,TableInputsData[],ReadMe!$M$3,FALSE)&amp;"  |  "&amp;VLOOKUP($E785,TableInputsData[],ReadMe!$M$3,FALSE))</f>
        <v/>
      </c>
      <c r="C785" s="294"/>
      <c r="D785" s="163"/>
      <c r="E785" s="163"/>
      <c r="F785" s="163"/>
      <c r="G785" s="163"/>
      <c r="H785" s="163"/>
      <c r="I785" s="163"/>
      <c r="J785" s="163"/>
      <c r="K785" s="163"/>
      <c r="L785" s="163"/>
      <c r="M785" s="163"/>
      <c r="N785" s="163"/>
      <c r="O785" s="294"/>
    </row>
    <row r="786" spans="1:15" hidden="1" outlineLevel="1" x14ac:dyDescent="0.15">
      <c r="A786" s="294"/>
      <c r="B786" s="423" t="str">
        <f>IF($E786="",IF($D786="","",VLOOKUP($D786,TableInputsData[],ReadMe!$M$3,FALSE)),VLOOKUP($D786,TableInputsData[],ReadMe!$M$3,FALSE)&amp;"  |  "&amp;VLOOKUP($E786,TableInputsData[],ReadMe!$M$3,FALSE))</f>
        <v/>
      </c>
      <c r="C786" s="294"/>
      <c r="D786" s="163"/>
      <c r="E786" s="163"/>
      <c r="F786" s="163"/>
      <c r="G786" s="163"/>
      <c r="H786" s="163"/>
      <c r="I786" s="163"/>
      <c r="J786" s="163"/>
      <c r="K786" s="163"/>
      <c r="L786" s="163"/>
      <c r="M786" s="163"/>
      <c r="N786" s="163"/>
      <c r="O786" s="294"/>
    </row>
    <row r="787" spans="1:15" hidden="1" outlineLevel="1" x14ac:dyDescent="0.15">
      <c r="A787" s="294"/>
      <c r="B787" s="423" t="str">
        <f>IF($E787="",IF($D787="","",VLOOKUP($D787,TableInputsData[],ReadMe!$M$3,FALSE)),VLOOKUP($D787,TableInputsData[],ReadMe!$M$3,FALSE)&amp;"  |  "&amp;VLOOKUP($E787,TableInputsData[],ReadMe!$M$3,FALSE))</f>
        <v/>
      </c>
      <c r="C787" s="294"/>
      <c r="D787" s="163"/>
      <c r="E787" s="163"/>
      <c r="F787" s="163"/>
      <c r="G787" s="163"/>
      <c r="H787" s="163"/>
      <c r="I787" s="163"/>
      <c r="J787" s="163"/>
      <c r="K787" s="163"/>
      <c r="L787" s="163"/>
      <c r="M787" s="163"/>
      <c r="N787" s="163"/>
      <c r="O787" s="294"/>
    </row>
    <row r="788" spans="1:15" hidden="1" outlineLevel="1" x14ac:dyDescent="0.15">
      <c r="A788" s="294"/>
      <c r="B788" s="423" t="str">
        <f>IF($E788="",IF($D788="","",VLOOKUP($D788,TableInputsData[],ReadMe!$M$3,FALSE)),VLOOKUP($D788,TableInputsData[],ReadMe!$M$3,FALSE)&amp;"  |  "&amp;VLOOKUP($E788,TableInputsData[],ReadMe!$M$3,FALSE))</f>
        <v/>
      </c>
      <c r="C788" s="294"/>
      <c r="D788" s="163"/>
      <c r="E788" s="163"/>
      <c r="F788" s="163"/>
      <c r="G788" s="163"/>
      <c r="H788" s="163"/>
      <c r="I788" s="163"/>
      <c r="J788" s="163"/>
      <c r="K788" s="163"/>
      <c r="L788" s="163"/>
      <c r="M788" s="163"/>
      <c r="N788" s="163"/>
      <c r="O788" s="294"/>
    </row>
    <row r="789" spans="1:15" hidden="1" outlineLevel="1" x14ac:dyDescent="0.15">
      <c r="A789" s="294"/>
      <c r="B789" s="423" t="str">
        <f>IF($E789="",IF($D789="","",VLOOKUP($D789,TableInputsData[],ReadMe!$M$3,FALSE)),VLOOKUP($D789,TableInputsData[],ReadMe!$M$3,FALSE)&amp;"  |  "&amp;VLOOKUP($E789,TableInputsData[],ReadMe!$M$3,FALSE))</f>
        <v/>
      </c>
      <c r="C789" s="294"/>
      <c r="D789" s="163"/>
      <c r="E789" s="163"/>
      <c r="F789" s="163"/>
      <c r="G789" s="163"/>
      <c r="H789" s="163"/>
      <c r="I789" s="163"/>
      <c r="J789" s="163"/>
      <c r="K789" s="163"/>
      <c r="L789" s="163"/>
      <c r="M789" s="163"/>
      <c r="N789" s="163"/>
      <c r="O789" s="294"/>
    </row>
    <row r="790" spans="1:15" hidden="1" outlineLevel="1" x14ac:dyDescent="0.15">
      <c r="A790" s="294"/>
      <c r="B790" s="423" t="str">
        <f>IF($E790="",IF($D790="","",VLOOKUP($D790,TableInputsData[],ReadMe!$M$3,FALSE)),VLOOKUP($D790,TableInputsData[],ReadMe!$M$3,FALSE)&amp;"  |  "&amp;VLOOKUP($E790,TableInputsData[],ReadMe!$M$3,FALSE))</f>
        <v/>
      </c>
      <c r="C790" s="294"/>
      <c r="D790" s="163"/>
      <c r="E790" s="163"/>
      <c r="F790" s="163"/>
      <c r="G790" s="163"/>
      <c r="H790" s="163"/>
      <c r="I790" s="163"/>
      <c r="J790" s="163"/>
      <c r="K790" s="163"/>
      <c r="L790" s="163"/>
      <c r="M790" s="163"/>
      <c r="N790" s="163"/>
      <c r="O790" s="294"/>
    </row>
    <row r="791" spans="1:15" hidden="1" outlineLevel="1" x14ac:dyDescent="0.15">
      <c r="A791" s="294"/>
      <c r="B791" s="423" t="str">
        <f>IF($E791="",IF($D791="","",VLOOKUP($D791,TableInputsData[],ReadMe!$M$3,FALSE)),VLOOKUP($D791,TableInputsData[],ReadMe!$M$3,FALSE)&amp;"  |  "&amp;VLOOKUP($E791,TableInputsData[],ReadMe!$M$3,FALSE))</f>
        <v/>
      </c>
      <c r="C791" s="294"/>
      <c r="D791" s="163"/>
      <c r="E791" s="163"/>
      <c r="F791" s="163"/>
      <c r="G791" s="163"/>
      <c r="H791" s="163"/>
      <c r="I791" s="163"/>
      <c r="J791" s="163"/>
      <c r="K791" s="163"/>
      <c r="L791" s="163"/>
      <c r="M791" s="163"/>
      <c r="N791" s="163"/>
      <c r="O791" s="294"/>
    </row>
    <row r="792" spans="1:15" hidden="1" outlineLevel="1" x14ac:dyDescent="0.15">
      <c r="A792" s="294"/>
      <c r="B792" s="423" t="str">
        <f>IF($E792="",IF($D792="","",VLOOKUP($D792,TableInputsData[],ReadMe!$M$3,FALSE)),VLOOKUP($D792,TableInputsData[],ReadMe!$M$3,FALSE)&amp;"  |  "&amp;VLOOKUP($E792,TableInputsData[],ReadMe!$M$3,FALSE))</f>
        <v/>
      </c>
      <c r="C792" s="294"/>
      <c r="D792" s="163"/>
      <c r="E792" s="163"/>
      <c r="F792" s="163"/>
      <c r="G792" s="163"/>
      <c r="H792" s="163"/>
      <c r="I792" s="163"/>
      <c r="J792" s="163"/>
      <c r="K792" s="163"/>
      <c r="L792" s="163"/>
      <c r="M792" s="163"/>
      <c r="N792" s="163"/>
      <c r="O792" s="294"/>
    </row>
    <row r="793" spans="1:15" hidden="1" outlineLevel="1" x14ac:dyDescent="0.15">
      <c r="A793" s="294"/>
      <c r="B793" s="423" t="str">
        <f>IF($E793="",IF($D793="","",VLOOKUP($D793,TableInputsData[],ReadMe!$M$3,FALSE)),VLOOKUP($D793,TableInputsData[],ReadMe!$M$3,FALSE)&amp;"  |  "&amp;VLOOKUP($E793,TableInputsData[],ReadMe!$M$3,FALSE))</f>
        <v/>
      </c>
      <c r="C793" s="294"/>
      <c r="D793" s="163"/>
      <c r="E793" s="163"/>
      <c r="F793" s="163"/>
      <c r="G793" s="163"/>
      <c r="H793" s="163"/>
      <c r="I793" s="163"/>
      <c r="J793" s="163"/>
      <c r="K793" s="163"/>
      <c r="L793" s="163"/>
      <c r="M793" s="163"/>
      <c r="N793" s="163"/>
      <c r="O793" s="294"/>
    </row>
    <row r="794" spans="1:15" hidden="1" outlineLevel="1" x14ac:dyDescent="0.15">
      <c r="A794" s="294"/>
      <c r="B794" s="423" t="str">
        <f>IF($E794="",IF($D794="","",VLOOKUP($D794,TableInputsData[],ReadMe!$M$3,FALSE)),VLOOKUP($D794,TableInputsData[],ReadMe!$M$3,FALSE)&amp;"  |  "&amp;VLOOKUP($E794,TableInputsData[],ReadMe!$M$3,FALSE))</f>
        <v/>
      </c>
      <c r="C794" s="294"/>
      <c r="D794" s="163"/>
      <c r="E794" s="163"/>
      <c r="F794" s="163"/>
      <c r="G794" s="163"/>
      <c r="H794" s="163"/>
      <c r="I794" s="163"/>
      <c r="J794" s="163"/>
      <c r="K794" s="163"/>
      <c r="L794" s="163"/>
      <c r="M794" s="163"/>
      <c r="N794" s="163"/>
      <c r="O794" s="294"/>
    </row>
    <row r="795" spans="1:15" hidden="1" outlineLevel="1" x14ac:dyDescent="0.15">
      <c r="A795" s="294"/>
      <c r="B795" s="423" t="str">
        <f>IF($E795="",IF($D795="","",VLOOKUP($D795,TableInputsData[],ReadMe!$M$3,FALSE)),VLOOKUP($D795,TableInputsData[],ReadMe!$M$3,FALSE)&amp;"  |  "&amp;VLOOKUP($E795,TableInputsData[],ReadMe!$M$3,FALSE))</f>
        <v/>
      </c>
      <c r="C795" s="294"/>
      <c r="D795" s="163"/>
      <c r="E795" s="163"/>
      <c r="F795" s="163"/>
      <c r="G795" s="163"/>
      <c r="H795" s="163"/>
      <c r="I795" s="163"/>
      <c r="J795" s="163"/>
      <c r="K795" s="163"/>
      <c r="L795" s="163"/>
      <c r="M795" s="163"/>
      <c r="N795" s="163"/>
      <c r="O795" s="294"/>
    </row>
    <row r="796" spans="1:15" hidden="1" outlineLevel="1" x14ac:dyDescent="0.15">
      <c r="A796" s="294"/>
      <c r="B796" s="423" t="str">
        <f>IF($E796="",IF($D796="","",VLOOKUP($D796,TableInputsData[],ReadMe!$M$3,FALSE)),VLOOKUP($D796,TableInputsData[],ReadMe!$M$3,FALSE)&amp;"  |  "&amp;VLOOKUP($E796,TableInputsData[],ReadMe!$M$3,FALSE))</f>
        <v/>
      </c>
      <c r="C796" s="294"/>
      <c r="D796" s="163"/>
      <c r="E796" s="163"/>
      <c r="F796" s="163"/>
      <c r="G796" s="163"/>
      <c r="H796" s="163"/>
      <c r="I796" s="163"/>
      <c r="J796" s="163"/>
      <c r="K796" s="163"/>
      <c r="L796" s="163"/>
      <c r="M796" s="163"/>
      <c r="N796" s="163"/>
      <c r="O796" s="294"/>
    </row>
    <row r="797" spans="1:15" hidden="1" outlineLevel="1" x14ac:dyDescent="0.15">
      <c r="A797" s="294"/>
      <c r="B797" s="423" t="str">
        <f>IF($E797="",IF($D797="","",VLOOKUP($D797,TableInputsData[],ReadMe!$M$3,FALSE)),VLOOKUP($D797,TableInputsData[],ReadMe!$M$3,FALSE)&amp;"  |  "&amp;VLOOKUP($E797,TableInputsData[],ReadMe!$M$3,FALSE))</f>
        <v/>
      </c>
      <c r="C797" s="294"/>
      <c r="D797" s="163"/>
      <c r="E797" s="163"/>
      <c r="F797" s="163"/>
      <c r="G797" s="163"/>
      <c r="H797" s="163"/>
      <c r="I797" s="163"/>
      <c r="J797" s="163"/>
      <c r="K797" s="163"/>
      <c r="L797" s="163"/>
      <c r="M797" s="163"/>
      <c r="N797" s="163"/>
      <c r="O797" s="294"/>
    </row>
    <row r="798" spans="1:15" hidden="1" outlineLevel="1" x14ac:dyDescent="0.15">
      <c r="A798" s="294"/>
      <c r="B798" s="423" t="str">
        <f>IF($E798="",IF($D798="","",VLOOKUP($D798,TableInputsData[],ReadMe!$M$3,FALSE)),VLOOKUP($D798,TableInputsData[],ReadMe!$M$3,FALSE)&amp;"  |  "&amp;VLOOKUP($E798,TableInputsData[],ReadMe!$M$3,FALSE))</f>
        <v/>
      </c>
      <c r="C798" s="294"/>
      <c r="D798" s="163"/>
      <c r="E798" s="163"/>
      <c r="F798" s="163"/>
      <c r="G798" s="163"/>
      <c r="H798" s="163"/>
      <c r="I798" s="163"/>
      <c r="J798" s="163"/>
      <c r="K798" s="163"/>
      <c r="L798" s="163"/>
      <c r="M798" s="163"/>
      <c r="N798" s="163"/>
      <c r="O798" s="294"/>
    </row>
    <row r="799" spans="1:15" hidden="1" outlineLevel="1" x14ac:dyDescent="0.15">
      <c r="A799" s="294"/>
      <c r="B799" s="423" t="str">
        <f>IF($E799="",IF($D799="","",VLOOKUP($D799,TableInputsData[],ReadMe!$M$3,FALSE)),VLOOKUP($D799,TableInputsData[],ReadMe!$M$3,FALSE)&amp;"  |  "&amp;VLOOKUP($E799,TableInputsData[],ReadMe!$M$3,FALSE))</f>
        <v/>
      </c>
      <c r="C799" s="294"/>
      <c r="D799" s="163"/>
      <c r="E799" s="163"/>
      <c r="F799" s="163"/>
      <c r="G799" s="163"/>
      <c r="H799" s="163"/>
      <c r="I799" s="163"/>
      <c r="J799" s="163"/>
      <c r="K799" s="163"/>
      <c r="L799" s="163"/>
      <c r="M799" s="163"/>
      <c r="N799" s="163"/>
      <c r="O799" s="294"/>
    </row>
    <row r="800" spans="1:15" hidden="1" outlineLevel="1" x14ac:dyDescent="0.15">
      <c r="A800" s="294"/>
      <c r="B800" s="423" t="str">
        <f>IF($E800="",IF($D800="","",VLOOKUP($D800,TableInputsData[],ReadMe!$M$3,FALSE)),VLOOKUP($D800,TableInputsData[],ReadMe!$M$3,FALSE)&amp;"  |  "&amp;VLOOKUP($E800,TableInputsData[],ReadMe!$M$3,FALSE))</f>
        <v/>
      </c>
      <c r="C800" s="294"/>
      <c r="D800" s="163"/>
      <c r="E800" s="163"/>
      <c r="F800" s="163"/>
      <c r="G800" s="163"/>
      <c r="H800" s="163"/>
      <c r="I800" s="163"/>
      <c r="J800" s="163"/>
      <c r="K800" s="163"/>
      <c r="L800" s="163"/>
      <c r="M800" s="163"/>
      <c r="N800" s="163"/>
      <c r="O800" s="294"/>
    </row>
    <row r="801" spans="1:15" hidden="1" outlineLevel="1" x14ac:dyDescent="0.15">
      <c r="A801" s="294"/>
      <c r="B801" s="423" t="str">
        <f>IF($E801="",IF($D801="","",VLOOKUP($D801,TableInputsData[],ReadMe!$M$3,FALSE)),VLOOKUP($D801,TableInputsData[],ReadMe!$M$3,FALSE)&amp;"  |  "&amp;VLOOKUP($E801,TableInputsData[],ReadMe!$M$3,FALSE))</f>
        <v/>
      </c>
      <c r="C801" s="294"/>
      <c r="D801" s="163"/>
      <c r="E801" s="163"/>
      <c r="F801" s="163"/>
      <c r="G801" s="163"/>
      <c r="H801" s="163"/>
      <c r="I801" s="163"/>
      <c r="J801" s="163"/>
      <c r="K801" s="163"/>
      <c r="L801" s="163"/>
      <c r="M801" s="163"/>
      <c r="N801" s="163"/>
      <c r="O801" s="294"/>
    </row>
    <row r="802" spans="1:15" hidden="1" outlineLevel="1" x14ac:dyDescent="0.15">
      <c r="A802" s="294"/>
      <c r="B802" s="423" t="str">
        <f>IF($E802="",IF($D802="","",VLOOKUP($D802,TableInputsData[],ReadMe!$M$3,FALSE)),VLOOKUP($D802,TableInputsData[],ReadMe!$M$3,FALSE)&amp;"  |  "&amp;VLOOKUP($E802,TableInputsData[],ReadMe!$M$3,FALSE))</f>
        <v/>
      </c>
      <c r="C802" s="294"/>
      <c r="D802" s="163"/>
      <c r="E802" s="163"/>
      <c r="F802" s="163"/>
      <c r="G802" s="163"/>
      <c r="H802" s="163"/>
      <c r="I802" s="163"/>
      <c r="J802" s="163"/>
      <c r="K802" s="163"/>
      <c r="L802" s="163"/>
      <c r="M802" s="163"/>
      <c r="N802" s="163"/>
      <c r="O802" s="294"/>
    </row>
    <row r="803" spans="1:15" hidden="1" outlineLevel="1" x14ac:dyDescent="0.15">
      <c r="A803" s="294"/>
      <c r="B803" s="423" t="str">
        <f>IF($E803="",IF($D803="","",VLOOKUP($D803,TableInputsData[],ReadMe!$M$3,FALSE)),VLOOKUP($D803,TableInputsData[],ReadMe!$M$3,FALSE)&amp;"  |  "&amp;VLOOKUP($E803,TableInputsData[],ReadMe!$M$3,FALSE))</f>
        <v/>
      </c>
      <c r="C803" s="294"/>
      <c r="D803" s="163"/>
      <c r="E803" s="163"/>
      <c r="F803" s="163"/>
      <c r="G803" s="163"/>
      <c r="H803" s="163"/>
      <c r="I803" s="163"/>
      <c r="J803" s="163"/>
      <c r="K803" s="163"/>
      <c r="L803" s="163"/>
      <c r="M803" s="163"/>
      <c r="N803" s="163"/>
      <c r="O803" s="294"/>
    </row>
    <row r="804" spans="1:15" hidden="1" outlineLevel="1" x14ac:dyDescent="0.15">
      <c r="A804" s="294"/>
      <c r="B804" s="423" t="str">
        <f>IF($E804="",IF($D804="","",VLOOKUP($D804,TableInputsData[],ReadMe!$M$3,FALSE)),VLOOKUP($D804,TableInputsData[],ReadMe!$M$3,FALSE)&amp;"  |  "&amp;VLOOKUP($E804,TableInputsData[],ReadMe!$M$3,FALSE))</f>
        <v/>
      </c>
      <c r="C804" s="294"/>
      <c r="D804" s="163"/>
      <c r="E804" s="163"/>
      <c r="F804" s="163"/>
      <c r="G804" s="163"/>
      <c r="H804" s="163"/>
      <c r="I804" s="163"/>
      <c r="J804" s="163"/>
      <c r="K804" s="163"/>
      <c r="L804" s="163"/>
      <c r="M804" s="163"/>
      <c r="N804" s="163"/>
      <c r="O804" s="294"/>
    </row>
    <row r="805" spans="1:15" hidden="1" outlineLevel="1" x14ac:dyDescent="0.15">
      <c r="A805" s="294"/>
      <c r="B805" s="423" t="str">
        <f>IF($E805="",IF($D805="","",VLOOKUP($D805,TableInputsData[],ReadMe!$M$3,FALSE)),VLOOKUP($D805,TableInputsData[],ReadMe!$M$3,FALSE)&amp;"  |  "&amp;VLOOKUP($E805,TableInputsData[],ReadMe!$M$3,FALSE))</f>
        <v/>
      </c>
      <c r="C805" s="294"/>
      <c r="D805" s="163"/>
      <c r="E805" s="163"/>
      <c r="F805" s="163"/>
      <c r="G805" s="163"/>
      <c r="H805" s="163"/>
      <c r="I805" s="163"/>
      <c r="J805" s="163"/>
      <c r="K805" s="163"/>
      <c r="L805" s="163"/>
      <c r="M805" s="163"/>
      <c r="N805" s="163"/>
      <c r="O805" s="294"/>
    </row>
    <row r="806" spans="1:15" hidden="1" outlineLevel="1" x14ac:dyDescent="0.15">
      <c r="A806" s="294"/>
      <c r="B806" s="423" t="str">
        <f>IF($E806="",IF($D806="","",VLOOKUP($D806,TableInputsData[],ReadMe!$M$3,FALSE)),VLOOKUP($D806,TableInputsData[],ReadMe!$M$3,FALSE)&amp;"  |  "&amp;VLOOKUP($E806,TableInputsData[],ReadMe!$M$3,FALSE))</f>
        <v/>
      </c>
      <c r="C806" s="294"/>
      <c r="D806" s="163"/>
      <c r="E806" s="163"/>
      <c r="F806" s="163"/>
      <c r="G806" s="163"/>
      <c r="H806" s="163"/>
      <c r="I806" s="163"/>
      <c r="J806" s="163"/>
      <c r="K806" s="163"/>
      <c r="L806" s="163"/>
      <c r="M806" s="163"/>
      <c r="N806" s="163"/>
      <c r="O806" s="294"/>
    </row>
    <row r="807" spans="1:15" hidden="1" outlineLevel="1" x14ac:dyDescent="0.15">
      <c r="A807" s="294"/>
      <c r="B807" s="423" t="str">
        <f>IF($E807="",IF($D807="","",VLOOKUP($D807,TableInputsData[],ReadMe!$M$3,FALSE)),VLOOKUP($D807,TableInputsData[],ReadMe!$M$3,FALSE)&amp;"  |  "&amp;VLOOKUP($E807,TableInputsData[],ReadMe!$M$3,FALSE))</f>
        <v/>
      </c>
      <c r="C807" s="294"/>
      <c r="D807" s="163"/>
      <c r="E807" s="163"/>
      <c r="F807" s="163"/>
      <c r="G807" s="163"/>
      <c r="H807" s="163"/>
      <c r="I807" s="163"/>
      <c r="J807" s="163"/>
      <c r="K807" s="163"/>
      <c r="L807" s="163"/>
      <c r="M807" s="163"/>
      <c r="N807" s="163"/>
      <c r="O807" s="294"/>
    </row>
    <row r="808" spans="1:15" hidden="1" outlineLevel="1" x14ac:dyDescent="0.15">
      <c r="A808" s="294"/>
      <c r="B808" s="423" t="str">
        <f>IF($E808="",IF($D808="","",VLOOKUP($D808,TableInputsData[],ReadMe!$M$3,FALSE)),VLOOKUP($D808,TableInputsData[],ReadMe!$M$3,FALSE)&amp;"  |  "&amp;VLOOKUP($E808,TableInputsData[],ReadMe!$M$3,FALSE))</f>
        <v/>
      </c>
      <c r="C808" s="294"/>
      <c r="D808" s="163"/>
      <c r="E808" s="163"/>
      <c r="F808" s="163"/>
      <c r="G808" s="163"/>
      <c r="H808" s="163"/>
      <c r="I808" s="163"/>
      <c r="J808" s="163"/>
      <c r="K808" s="163"/>
      <c r="L808" s="163"/>
      <c r="M808" s="163"/>
      <c r="N808" s="163"/>
      <c r="O808" s="294"/>
    </row>
    <row r="809" spans="1:15" hidden="1" outlineLevel="1" x14ac:dyDescent="0.15">
      <c r="A809" s="294"/>
      <c r="B809" s="423" t="str">
        <f>IF($E809="",IF($D809="","",VLOOKUP($D809,TableInputsData[],ReadMe!$M$3,FALSE)),VLOOKUP($D809,TableInputsData[],ReadMe!$M$3,FALSE)&amp;"  |  "&amp;VLOOKUP($E809,TableInputsData[],ReadMe!$M$3,FALSE))</f>
        <v/>
      </c>
      <c r="C809" s="294"/>
      <c r="D809" s="163"/>
      <c r="E809" s="163"/>
      <c r="F809" s="163"/>
      <c r="G809" s="163"/>
      <c r="H809" s="163"/>
      <c r="I809" s="163"/>
      <c r="J809" s="163"/>
      <c r="K809" s="163"/>
      <c r="L809" s="163"/>
      <c r="M809" s="163"/>
      <c r="N809" s="163"/>
      <c r="O809" s="294"/>
    </row>
    <row r="810" spans="1:15" hidden="1" outlineLevel="1" x14ac:dyDescent="0.15">
      <c r="A810" s="294"/>
      <c r="B810" s="423" t="str">
        <f>IF($E810="",IF($D810="","",VLOOKUP($D810,TableInputsData[],ReadMe!$M$3,FALSE)),VLOOKUP($D810,TableInputsData[],ReadMe!$M$3,FALSE)&amp;"  |  "&amp;VLOOKUP($E810,TableInputsData[],ReadMe!$M$3,FALSE))</f>
        <v/>
      </c>
      <c r="C810" s="294"/>
      <c r="D810" s="163"/>
      <c r="E810" s="163"/>
      <c r="F810" s="163"/>
      <c r="G810" s="163"/>
      <c r="H810" s="163"/>
      <c r="I810" s="163"/>
      <c r="J810" s="163"/>
      <c r="K810" s="163"/>
      <c r="L810" s="163"/>
      <c r="M810" s="163"/>
      <c r="N810" s="163"/>
      <c r="O810" s="294"/>
    </row>
    <row r="811" spans="1:15" hidden="1" outlineLevel="1" x14ac:dyDescent="0.15">
      <c r="A811" s="294"/>
      <c r="B811" s="423" t="str">
        <f>IF($E811="",IF($D811="","",VLOOKUP($D811,TableInputsData[],ReadMe!$M$3,FALSE)),VLOOKUP($D811,TableInputsData[],ReadMe!$M$3,FALSE)&amp;"  |  "&amp;VLOOKUP($E811,TableInputsData[],ReadMe!$M$3,FALSE))</f>
        <v/>
      </c>
      <c r="C811" s="294"/>
      <c r="D811" s="163"/>
      <c r="E811" s="163"/>
      <c r="F811" s="163"/>
      <c r="G811" s="163"/>
      <c r="H811" s="163"/>
      <c r="I811" s="163"/>
      <c r="J811" s="163"/>
      <c r="K811" s="163"/>
      <c r="L811" s="163"/>
      <c r="M811" s="163"/>
      <c r="N811" s="163"/>
      <c r="O811" s="294"/>
    </row>
    <row r="812" spans="1:15" hidden="1" outlineLevel="1" x14ac:dyDescent="0.15">
      <c r="A812" s="294"/>
      <c r="B812" s="423" t="str">
        <f>IF($E812="",IF($D812="","",VLOOKUP($D812,TableInputsData[],ReadMe!$M$3,FALSE)),VLOOKUP($D812,TableInputsData[],ReadMe!$M$3,FALSE)&amp;"  |  "&amp;VLOOKUP($E812,TableInputsData[],ReadMe!$M$3,FALSE))</f>
        <v/>
      </c>
      <c r="C812" s="294"/>
      <c r="D812" s="163"/>
      <c r="E812" s="163"/>
      <c r="F812" s="163"/>
      <c r="G812" s="163"/>
      <c r="H812" s="163"/>
      <c r="I812" s="163"/>
      <c r="J812" s="163"/>
      <c r="K812" s="163"/>
      <c r="L812" s="163"/>
      <c r="M812" s="163"/>
      <c r="N812" s="163"/>
      <c r="O812" s="294"/>
    </row>
    <row r="813" spans="1:15" hidden="1" outlineLevel="1" x14ac:dyDescent="0.15">
      <c r="A813" s="294"/>
      <c r="B813" s="423" t="str">
        <f>IF($E813="",IF($D813="","",VLOOKUP($D813,TableInputsData[],ReadMe!$M$3,FALSE)),VLOOKUP($D813,TableInputsData[],ReadMe!$M$3,FALSE)&amp;"  |  "&amp;VLOOKUP($E813,TableInputsData[],ReadMe!$M$3,FALSE))</f>
        <v/>
      </c>
      <c r="C813" s="294"/>
      <c r="D813" s="163"/>
      <c r="E813" s="163"/>
      <c r="F813" s="163"/>
      <c r="G813" s="163"/>
      <c r="H813" s="163"/>
      <c r="I813" s="163"/>
      <c r="J813" s="163"/>
      <c r="K813" s="163"/>
      <c r="L813" s="163"/>
      <c r="M813" s="163"/>
      <c r="N813" s="163"/>
      <c r="O813" s="294"/>
    </row>
    <row r="814" spans="1:15" hidden="1" outlineLevel="1" x14ac:dyDescent="0.15">
      <c r="A814" s="294"/>
      <c r="B814" s="423" t="str">
        <f>IF($E814="",IF($D814="","",VLOOKUP($D814,TableInputsData[],ReadMe!$M$3,FALSE)),VLOOKUP($D814,TableInputsData[],ReadMe!$M$3,FALSE)&amp;"  |  "&amp;VLOOKUP($E814,TableInputsData[],ReadMe!$M$3,FALSE))</f>
        <v/>
      </c>
      <c r="C814" s="294"/>
      <c r="D814" s="163"/>
      <c r="E814" s="163"/>
      <c r="F814" s="163"/>
      <c r="G814" s="163"/>
      <c r="H814" s="163"/>
      <c r="I814" s="163"/>
      <c r="J814" s="163"/>
      <c r="K814" s="163"/>
      <c r="L814" s="163"/>
      <c r="M814" s="163"/>
      <c r="N814" s="163"/>
      <c r="O814" s="294"/>
    </row>
    <row r="815" spans="1:15" hidden="1" outlineLevel="1" x14ac:dyDescent="0.15">
      <c r="A815" s="294"/>
      <c r="B815" s="423" t="str">
        <f>IF($E815="",IF($D815="","",VLOOKUP($D815,TableInputsData[],ReadMe!$M$3,FALSE)),VLOOKUP($D815,TableInputsData[],ReadMe!$M$3,FALSE)&amp;"  |  "&amp;VLOOKUP($E815,TableInputsData[],ReadMe!$M$3,FALSE))</f>
        <v/>
      </c>
      <c r="C815" s="294"/>
      <c r="D815" s="163"/>
      <c r="E815" s="163"/>
      <c r="F815" s="163"/>
      <c r="G815" s="163"/>
      <c r="H815" s="163"/>
      <c r="I815" s="163"/>
      <c r="J815" s="163"/>
      <c r="K815" s="163"/>
      <c r="L815" s="163"/>
      <c r="M815" s="163"/>
      <c r="N815" s="163"/>
      <c r="O815" s="294"/>
    </row>
    <row r="816" spans="1:15" hidden="1" outlineLevel="1" x14ac:dyDescent="0.15">
      <c r="A816" s="294"/>
      <c r="B816" s="423" t="str">
        <f>IF($E816="",IF($D816="","",VLOOKUP($D816,TableInputsData[],ReadMe!$M$3,FALSE)),VLOOKUP($D816,TableInputsData[],ReadMe!$M$3,FALSE)&amp;"  |  "&amp;VLOOKUP($E816,TableInputsData[],ReadMe!$M$3,FALSE))</f>
        <v/>
      </c>
      <c r="C816" s="294"/>
      <c r="D816" s="163"/>
      <c r="E816" s="163"/>
      <c r="F816" s="163"/>
      <c r="G816" s="163"/>
      <c r="H816" s="163"/>
      <c r="I816" s="163"/>
      <c r="J816" s="163"/>
      <c r="K816" s="163"/>
      <c r="L816" s="163"/>
      <c r="M816" s="163"/>
      <c r="N816" s="163"/>
      <c r="O816" s="294"/>
    </row>
    <row r="817" spans="1:15" hidden="1" outlineLevel="1" x14ac:dyDescent="0.15">
      <c r="A817" s="294"/>
      <c r="B817" s="423" t="str">
        <f>IF($E817="",IF($D817="","",VLOOKUP($D817,TableInputsData[],ReadMe!$M$3,FALSE)),VLOOKUP($D817,TableInputsData[],ReadMe!$M$3,FALSE)&amp;"  |  "&amp;VLOOKUP($E817,TableInputsData[],ReadMe!$M$3,FALSE))</f>
        <v/>
      </c>
      <c r="C817" s="294"/>
      <c r="D817" s="163"/>
      <c r="E817" s="163"/>
      <c r="F817" s="163"/>
      <c r="G817" s="163"/>
      <c r="H817" s="163"/>
      <c r="I817" s="163"/>
      <c r="J817" s="163"/>
      <c r="K817" s="163"/>
      <c r="L817" s="163"/>
      <c r="M817" s="163"/>
      <c r="N817" s="163"/>
      <c r="O817" s="294"/>
    </row>
    <row r="818" spans="1:15" hidden="1" outlineLevel="1" x14ac:dyDescent="0.15">
      <c r="A818" s="294"/>
      <c r="B818" s="423" t="str">
        <f>IF($E818="",IF($D818="","",VLOOKUP($D818,TableInputsData[],ReadMe!$M$3,FALSE)),VLOOKUP($D818,TableInputsData[],ReadMe!$M$3,FALSE)&amp;"  |  "&amp;VLOOKUP($E818,TableInputsData[],ReadMe!$M$3,FALSE))</f>
        <v/>
      </c>
      <c r="C818" s="294"/>
      <c r="D818" s="163"/>
      <c r="E818" s="163"/>
      <c r="F818" s="163"/>
      <c r="G818" s="163"/>
      <c r="H818" s="163"/>
      <c r="I818" s="163"/>
      <c r="J818" s="163"/>
      <c r="K818" s="163"/>
      <c r="L818" s="163"/>
      <c r="M818" s="163"/>
      <c r="N818" s="163"/>
      <c r="O818" s="294"/>
    </row>
    <row r="819" spans="1:15" hidden="1" outlineLevel="1" x14ac:dyDescent="0.15">
      <c r="A819" s="294"/>
      <c r="B819" s="423" t="str">
        <f>IF($E819="",IF($D819="","",VLOOKUP($D819,TableInputsData[],ReadMe!$M$3,FALSE)),VLOOKUP($D819,TableInputsData[],ReadMe!$M$3,FALSE)&amp;"  |  "&amp;VLOOKUP($E819,TableInputsData[],ReadMe!$M$3,FALSE))</f>
        <v/>
      </c>
      <c r="C819" s="294"/>
      <c r="D819" s="163"/>
      <c r="E819" s="163"/>
      <c r="F819" s="163"/>
      <c r="G819" s="163"/>
      <c r="H819" s="163"/>
      <c r="I819" s="163"/>
      <c r="J819" s="163"/>
      <c r="K819" s="163"/>
      <c r="L819" s="163"/>
      <c r="M819" s="163"/>
      <c r="N819" s="163"/>
      <c r="O819" s="294"/>
    </row>
    <row r="820" spans="1:15" hidden="1" outlineLevel="1" x14ac:dyDescent="0.15">
      <c r="A820" s="294"/>
      <c r="B820" s="423" t="str">
        <f>IF($E820="",IF($D820="","",VLOOKUP($D820,TableInputsData[],ReadMe!$M$3,FALSE)),VLOOKUP($D820,TableInputsData[],ReadMe!$M$3,FALSE)&amp;"  |  "&amp;VLOOKUP($E820,TableInputsData[],ReadMe!$M$3,FALSE))</f>
        <v/>
      </c>
      <c r="C820" s="294"/>
      <c r="D820" s="163"/>
      <c r="E820" s="163"/>
      <c r="F820" s="163"/>
      <c r="G820" s="163"/>
      <c r="H820" s="163"/>
      <c r="I820" s="163"/>
      <c r="J820" s="163"/>
      <c r="K820" s="163"/>
      <c r="L820" s="163"/>
      <c r="M820" s="163"/>
      <c r="N820" s="163"/>
      <c r="O820" s="294"/>
    </row>
    <row r="821" spans="1:15" hidden="1" outlineLevel="1" x14ac:dyDescent="0.15">
      <c r="A821" s="294"/>
      <c r="B821" s="423" t="str">
        <f>IF($E821="",IF($D821="","",VLOOKUP($D821,TableInputsData[],ReadMe!$M$3,FALSE)),VLOOKUP($D821,TableInputsData[],ReadMe!$M$3,FALSE)&amp;"  |  "&amp;VLOOKUP($E821,TableInputsData[],ReadMe!$M$3,FALSE))</f>
        <v/>
      </c>
      <c r="C821" s="294"/>
      <c r="D821" s="163"/>
      <c r="E821" s="163"/>
      <c r="F821" s="163"/>
      <c r="G821" s="163"/>
      <c r="H821" s="163"/>
      <c r="I821" s="163"/>
      <c r="J821" s="163"/>
      <c r="K821" s="163"/>
      <c r="L821" s="163"/>
      <c r="M821" s="163"/>
      <c r="N821" s="163"/>
      <c r="O821" s="294"/>
    </row>
    <row r="822" spans="1:15" collapsed="1" x14ac:dyDescent="0.15">
      <c r="A822" s="294"/>
      <c r="B822" s="294"/>
      <c r="C822" s="294"/>
      <c r="D822" s="297"/>
      <c r="E822" s="297"/>
      <c r="F822" s="297"/>
      <c r="G822" s="297"/>
      <c r="H822" s="297"/>
      <c r="I822" s="297"/>
      <c r="J822" s="297"/>
      <c r="K822" s="297"/>
      <c r="L822" s="297"/>
      <c r="M822" s="297"/>
      <c r="N822" s="297"/>
      <c r="O822" s="294"/>
    </row>
    <row r="823" spans="1:15" x14ac:dyDescent="0.2">
      <c r="A823" s="294"/>
      <c r="B823" s="164" t="str">
        <f>VLOOKUP($D823,TableInputsData[],ReadMe!$M$3,FALSE)</f>
        <v>COMPTE DE PERTES ET PROFITS</v>
      </c>
      <c r="C823" s="294"/>
      <c r="D823" s="164" t="s">
        <v>894</v>
      </c>
      <c r="E823" s="151"/>
      <c r="F823" s="152"/>
      <c r="G823" s="152"/>
      <c r="H823" s="152"/>
      <c r="I823" s="152"/>
      <c r="J823" s="152"/>
      <c r="K823" s="152"/>
      <c r="L823" s="152"/>
      <c r="M823" s="152"/>
      <c r="N823" s="545" t="str">
        <f>$N$223</f>
        <v>CAS TYPIQUE
SCENARIO DE SIMULATION</v>
      </c>
      <c r="O823" s="294"/>
    </row>
    <row r="824" spans="1:15" x14ac:dyDescent="0.15">
      <c r="A824" s="294"/>
      <c r="B824" s="294"/>
      <c r="C824" s="294"/>
      <c r="D824" s="300" t="s">
        <v>993</v>
      </c>
      <c r="E824" s="294"/>
      <c r="F824" s="294"/>
      <c r="G824" s="294"/>
      <c r="H824" s="294"/>
      <c r="I824" s="294"/>
      <c r="J824" s="294"/>
      <c r="K824" s="294"/>
      <c r="L824" s="294"/>
      <c r="M824" s="294"/>
      <c r="N824" s="294"/>
      <c r="O824" s="294"/>
    </row>
    <row r="825" spans="1:15" hidden="1" outlineLevel="1" x14ac:dyDescent="0.2">
      <c r="A825" s="294"/>
      <c r="B825" s="294"/>
      <c r="C825" s="294"/>
      <c r="D825" s="162" t="s">
        <v>122</v>
      </c>
      <c r="E825" s="379">
        <v>5</v>
      </c>
      <c r="F825" s="294"/>
      <c r="G825" s="294"/>
      <c r="H825" s="294"/>
      <c r="I825" s="294"/>
      <c r="J825" s="294"/>
      <c r="K825" s="294"/>
      <c r="L825" s="294"/>
      <c r="M825" s="294"/>
      <c r="N825" s="294"/>
      <c r="O825" s="294"/>
    </row>
    <row r="826" spans="1:15" hidden="1" outlineLevel="1" x14ac:dyDescent="0.2">
      <c r="A826" s="294"/>
      <c r="B826" s="294"/>
      <c r="C826" s="294"/>
      <c r="D826" s="162" t="s">
        <v>591</v>
      </c>
      <c r="E826" s="379">
        <v>1</v>
      </c>
      <c r="F826" s="294"/>
      <c r="G826" s="294"/>
      <c r="H826" s="294"/>
      <c r="I826" s="294"/>
      <c r="J826" s="294"/>
      <c r="K826" s="294"/>
      <c r="L826" s="294"/>
      <c r="M826" s="294"/>
      <c r="N826" s="294"/>
      <c r="O826" s="294"/>
    </row>
    <row r="827" spans="1:15" hidden="1" outlineLevel="1" x14ac:dyDescent="0.2">
      <c r="A827" s="294"/>
      <c r="B827" s="294"/>
      <c r="C827" s="294"/>
      <c r="D827" s="162" t="s">
        <v>590</v>
      </c>
      <c r="E827" s="1" t="s">
        <v>114</v>
      </c>
      <c r="F827" s="294"/>
      <c r="G827" s="294"/>
      <c r="H827" s="294"/>
      <c r="I827" s="294"/>
      <c r="J827" s="294"/>
      <c r="K827" s="294"/>
      <c r="L827" s="294"/>
      <c r="M827" s="294"/>
      <c r="N827" s="294"/>
      <c r="O827" s="294"/>
    </row>
    <row r="828" spans="1:15" hidden="1" outlineLevel="1" x14ac:dyDescent="0.2">
      <c r="A828" s="294"/>
      <c r="B828" s="294"/>
      <c r="C828" s="294"/>
      <c r="D828" s="294"/>
      <c r="E828" s="294"/>
      <c r="F828" s="294"/>
      <c r="G828" s="294"/>
      <c r="H828" s="294"/>
      <c r="I828" s="294"/>
      <c r="J828" s="294"/>
      <c r="K828" s="294"/>
      <c r="L828" s="294"/>
      <c r="M828" s="294"/>
      <c r="N828" s="294"/>
      <c r="O828" s="294"/>
    </row>
    <row r="829" spans="1:15" ht="42" collapsed="1" x14ac:dyDescent="0.2">
      <c r="A829" s="294"/>
      <c r="B829" s="439" t="s">
        <v>0</v>
      </c>
      <c r="C829" s="294"/>
      <c r="D829" s="378" t="s">
        <v>1</v>
      </c>
      <c r="E829" s="437" t="s">
        <v>30</v>
      </c>
      <c r="F829" s="378" t="s">
        <v>3</v>
      </c>
      <c r="G829" s="382" t="s">
        <v>973</v>
      </c>
      <c r="H829" s="382" t="s">
        <v>974</v>
      </c>
      <c r="I829" s="382" t="s">
        <v>975</v>
      </c>
      <c r="J829" s="382" t="s">
        <v>976</v>
      </c>
      <c r="K829" s="382" t="s">
        <v>977</v>
      </c>
      <c r="L829" s="382" t="s">
        <v>978</v>
      </c>
      <c r="M829" s="382" t="s">
        <v>979</v>
      </c>
      <c r="N829" s="382" t="s">
        <v>980</v>
      </c>
      <c r="O829" s="294"/>
    </row>
    <row r="830" spans="1:15" x14ac:dyDescent="0.15">
      <c r="A830" s="294"/>
      <c r="B830" s="423" t="str">
        <f>IF($E830="",IF($D830="","",VLOOKUP($D830,TableInputsData[],ReadMe!$M$3,FALSE)),VLOOKUP($D830,TableInputsData[],ReadMe!$M$3,FALSE)&amp;"  |  "&amp;VLOOKUP($E830,TableInputsData[],ReadMe!$M$3,FALSE))</f>
        <v>CHIFFRE D'AFFAIRES  |  TOTAL</v>
      </c>
      <c r="C830" s="294"/>
      <c r="D830" s="1" t="s">
        <v>457</v>
      </c>
      <c r="E830" s="1" t="s">
        <v>29</v>
      </c>
      <c r="F830" s="1" t="s">
        <v>144</v>
      </c>
      <c r="G830" s="2">
        <v>0</v>
      </c>
      <c r="H830" s="2">
        <v>0</v>
      </c>
      <c r="I830" s="2">
        <v>0</v>
      </c>
      <c r="J830" s="2">
        <v>0</v>
      </c>
      <c r="K830" s="2">
        <v>0</v>
      </c>
      <c r="L830" s="2">
        <v>0</v>
      </c>
      <c r="M830" s="2">
        <v>0</v>
      </c>
      <c r="N830" s="2">
        <v>0</v>
      </c>
      <c r="O830" s="294"/>
    </row>
    <row r="831" spans="1:15" x14ac:dyDescent="0.15">
      <c r="A831" s="294"/>
      <c r="B831" s="423" t="str">
        <f>IF($E831="",IF($D831="","",VLOOKUP($D831,TableInputsData[],ReadMe!$M$3,FALSE)),VLOOKUP($D831,TableInputsData[],ReadMe!$M$3,FALSE)&amp;"  |  "&amp;VLOOKUP($E831,TableInputsData[],ReadMe!$M$3,FALSE))</f>
        <v>DEPENSES SUR ACHATS  |  TOTAL</v>
      </c>
      <c r="C831" s="294"/>
      <c r="D831" s="1" t="s">
        <v>531</v>
      </c>
      <c r="E831" s="1" t="s">
        <v>29</v>
      </c>
      <c r="F831" s="1" t="s">
        <v>144</v>
      </c>
      <c r="G831" s="2">
        <v>0</v>
      </c>
      <c r="H831" s="2">
        <v>0</v>
      </c>
      <c r="I831" s="2">
        <v>0</v>
      </c>
      <c r="J831" s="2">
        <v>0</v>
      </c>
      <c r="K831" s="2">
        <v>0</v>
      </c>
      <c r="L831" s="2">
        <v>0</v>
      </c>
      <c r="M831" s="2">
        <v>0</v>
      </c>
      <c r="N831" s="2">
        <v>0</v>
      </c>
      <c r="O831" s="294"/>
    </row>
    <row r="832" spans="1:15" x14ac:dyDescent="0.15">
      <c r="A832" s="294"/>
      <c r="B832" s="438" t="str">
        <f>IF($E832="",IF($D832="","",VLOOKUP($D832,TableInputsData[],ReadMe!$M$3,FALSE)),VLOOKUP($D832,TableInputsData[],ReadMe!$M$3,FALSE)&amp;"  |  "&amp;VLOOKUP($E832,TableInputsData[],ReadMe!$M$3,FALSE))</f>
        <v>MARGE BRUTE  |  TOTAL</v>
      </c>
      <c r="C832" s="294"/>
      <c r="D832" s="392" t="s">
        <v>522</v>
      </c>
      <c r="E832" s="1" t="s">
        <v>29</v>
      </c>
      <c r="F832" s="1" t="s">
        <v>144</v>
      </c>
      <c r="G832" s="389">
        <v>0</v>
      </c>
      <c r="H832" s="389">
        <v>0</v>
      </c>
      <c r="I832" s="389">
        <v>0</v>
      </c>
      <c r="J832" s="389">
        <v>0</v>
      </c>
      <c r="K832" s="389">
        <v>0</v>
      </c>
      <c r="L832" s="389">
        <v>0</v>
      </c>
      <c r="M832" s="389">
        <v>0</v>
      </c>
      <c r="N832" s="390">
        <v>0</v>
      </c>
      <c r="O832" s="294"/>
    </row>
    <row r="833" spans="1:15" x14ac:dyDescent="0.15">
      <c r="A833" s="294"/>
      <c r="B833" s="423" t="str">
        <f>IF($E833="",IF($D833="","",VLOOKUP($D833,TableInputsData[],ReadMe!$M$3,FALSE)),VLOOKUP($D833,TableInputsData[],ReadMe!$M$3,FALSE)&amp;"  |  "&amp;VLOOKUP($E833,TableInputsData[],ReadMe!$M$3,FALSE))</f>
        <v>DEPENSES OPERATIONNELLES  |  TOTAL</v>
      </c>
      <c r="C833" s="294"/>
      <c r="D833" s="1" t="s">
        <v>645</v>
      </c>
      <c r="E833" s="1" t="s">
        <v>29</v>
      </c>
      <c r="F833" s="1" t="s">
        <v>144</v>
      </c>
      <c r="G833" s="2">
        <v>0</v>
      </c>
      <c r="H833" s="2">
        <v>0</v>
      </c>
      <c r="I833" s="2">
        <v>0</v>
      </c>
      <c r="J833" s="2">
        <v>0</v>
      </c>
      <c r="K833" s="2">
        <v>0</v>
      </c>
      <c r="L833" s="2">
        <v>0</v>
      </c>
      <c r="M833" s="2">
        <v>0</v>
      </c>
      <c r="N833" s="2">
        <v>0</v>
      </c>
      <c r="O833" s="294"/>
    </row>
    <row r="834" spans="1:15" x14ac:dyDescent="0.15">
      <c r="A834" s="294"/>
      <c r="B834" s="438" t="str">
        <f>IF($E834="",IF($D834="","",VLOOKUP($D834,TableInputsData[],ReadMe!$M$3,FALSE)),VLOOKUP($D834,TableInputsData[],ReadMe!$M$3,FALSE)&amp;"  |  "&amp;VLOOKUP($E834,TableInputsData[],ReadMe!$M$3,FALSE))</f>
        <v>EBITDA  |  TOTAL</v>
      </c>
      <c r="C834" s="294"/>
      <c r="D834" s="392" t="s">
        <v>169</v>
      </c>
      <c r="E834" s="1" t="s">
        <v>29</v>
      </c>
      <c r="F834" s="1" t="s">
        <v>144</v>
      </c>
      <c r="G834" s="389">
        <v>0</v>
      </c>
      <c r="H834" s="389">
        <v>0</v>
      </c>
      <c r="I834" s="389">
        <v>0</v>
      </c>
      <c r="J834" s="389">
        <v>0</v>
      </c>
      <c r="K834" s="389">
        <v>0</v>
      </c>
      <c r="L834" s="389">
        <v>0</v>
      </c>
      <c r="M834" s="389">
        <v>0</v>
      </c>
      <c r="N834" s="390">
        <v>0</v>
      </c>
      <c r="O834" s="294"/>
    </row>
    <row r="835" spans="1:15" x14ac:dyDescent="0.15">
      <c r="A835" s="294"/>
      <c r="B835" s="423" t="str">
        <f>IF($E835="",IF($D835="","",VLOOKUP($D835,TableInputsData[],ReadMe!$M$3,FALSE)),VLOOKUP($D835,TableInputsData[],ReadMe!$M$3,FALSE)&amp;"  |  "&amp;VLOOKUP($E835,TableInputsData[],ReadMe!$M$3,FALSE))</f>
        <v>AMORTISSEMENTS  |  TOTAL</v>
      </c>
      <c r="C835" s="294"/>
      <c r="D835" s="1" t="s">
        <v>756</v>
      </c>
      <c r="E835" s="1" t="s">
        <v>29</v>
      </c>
      <c r="F835" s="1" t="s">
        <v>144</v>
      </c>
      <c r="G835" s="2">
        <v>0</v>
      </c>
      <c r="H835" s="2">
        <v>0</v>
      </c>
      <c r="I835" s="2">
        <v>0</v>
      </c>
      <c r="J835" s="2">
        <v>0</v>
      </c>
      <c r="K835" s="2">
        <v>0</v>
      </c>
      <c r="L835" s="2">
        <v>0</v>
      </c>
      <c r="M835" s="2">
        <v>0</v>
      </c>
      <c r="N835" s="2">
        <v>0</v>
      </c>
      <c r="O835" s="294"/>
    </row>
    <row r="836" spans="1:15" x14ac:dyDescent="0.15">
      <c r="A836" s="294"/>
      <c r="B836" s="438" t="str">
        <f>IF($E836="",IF($D836="","",VLOOKUP($D836,TableInputsData[],ReadMe!$M$3,FALSE)),VLOOKUP($D836,TableInputsData[],ReadMe!$M$3,FALSE)&amp;"  |  "&amp;VLOOKUP($E836,TableInputsData[],ReadMe!$M$3,FALSE))</f>
        <v>EBIT  |  TOTAL</v>
      </c>
      <c r="C836" s="294"/>
      <c r="D836" s="392" t="s">
        <v>170</v>
      </c>
      <c r="E836" s="1" t="s">
        <v>29</v>
      </c>
      <c r="F836" s="1" t="s">
        <v>144</v>
      </c>
      <c r="G836" s="389">
        <v>0</v>
      </c>
      <c r="H836" s="389">
        <v>0</v>
      </c>
      <c r="I836" s="389">
        <v>0</v>
      </c>
      <c r="J836" s="389">
        <v>0</v>
      </c>
      <c r="K836" s="389">
        <v>0</v>
      </c>
      <c r="L836" s="389">
        <v>0</v>
      </c>
      <c r="M836" s="389">
        <v>0</v>
      </c>
      <c r="N836" s="390">
        <v>0</v>
      </c>
      <c r="O836" s="294"/>
    </row>
    <row r="837" spans="1:15" x14ac:dyDescent="0.15">
      <c r="A837" s="294"/>
      <c r="B837" s="423" t="str">
        <f>IF($E837="",IF($D837="","",VLOOKUP($D837,TableInputsData[],ReadMe!$M$3,FALSE)),VLOOKUP($D837,TableInputsData[],ReadMe!$M$3,FALSE)&amp;"  |  "&amp;VLOOKUP($E837,TableInputsData[],ReadMe!$M$3,FALSE))</f>
        <v>VARIATION  |  + VARIATIONS DES STOCKS SUR LES ACHATS</v>
      </c>
      <c r="C837" s="294"/>
      <c r="D837" s="1" t="s">
        <v>176</v>
      </c>
      <c r="E837" s="1" t="s">
        <v>917</v>
      </c>
      <c r="F837" s="1" t="s">
        <v>144</v>
      </c>
      <c r="G837" s="2">
        <v>0</v>
      </c>
      <c r="H837" s="2">
        <v>0</v>
      </c>
      <c r="I837" s="2">
        <v>0</v>
      </c>
      <c r="J837" s="2">
        <v>0</v>
      </c>
      <c r="K837" s="2">
        <v>0</v>
      </c>
      <c r="L837" s="2">
        <v>0</v>
      </c>
      <c r="M837" s="2">
        <v>0</v>
      </c>
      <c r="N837" s="2">
        <v>0</v>
      </c>
      <c r="O837" s="294"/>
    </row>
    <row r="838" spans="1:15" x14ac:dyDescent="0.15">
      <c r="A838" s="294"/>
      <c r="B838" s="423" t="str">
        <f>IF($E838="",IF($D838="","",VLOOKUP($D838,TableInputsData[],ReadMe!$M$3,FALSE)),VLOOKUP($D838,TableInputsData[],ReadMe!$M$3,FALSE)&amp;"  |  "&amp;VLOOKUP($E838,TableInputsData[],ReadMe!$M$3,FALSE))</f>
        <v>VARIATION  |  + VARIATION DES CREANCES</v>
      </c>
      <c r="C838" s="294"/>
      <c r="D838" s="1" t="s">
        <v>176</v>
      </c>
      <c r="E838" s="1" t="s">
        <v>918</v>
      </c>
      <c r="F838" s="1" t="s">
        <v>144</v>
      </c>
      <c r="G838" s="2">
        <v>0</v>
      </c>
      <c r="H838" s="2">
        <v>0</v>
      </c>
      <c r="I838" s="2">
        <v>0</v>
      </c>
      <c r="J838" s="2">
        <v>0</v>
      </c>
      <c r="K838" s="2">
        <v>0</v>
      </c>
      <c r="L838" s="2">
        <v>0</v>
      </c>
      <c r="M838" s="2">
        <v>0</v>
      </c>
      <c r="N838" s="2">
        <v>0</v>
      </c>
      <c r="O838" s="294"/>
    </row>
    <row r="839" spans="1:15" x14ac:dyDescent="0.15">
      <c r="A839" s="294"/>
      <c r="B839" s="423" t="str">
        <f>IF($E839="",IF($D839="","",VLOOKUP($D839,TableInputsData[],ReadMe!$M$3,FALSE)),VLOOKUP($D839,TableInputsData[],ReadMe!$M$3,FALSE)&amp;"  |  "&amp;VLOOKUP($E839,TableInputsData[],ReadMe!$M$3,FALSE))</f>
        <v>VARIATION  |  - VARIATION DES DETTES D'EXPLOITATION</v>
      </c>
      <c r="C839" s="294"/>
      <c r="D839" s="1" t="s">
        <v>176</v>
      </c>
      <c r="E839" s="1" t="s">
        <v>919</v>
      </c>
      <c r="F839" s="1" t="s">
        <v>144</v>
      </c>
      <c r="G839" s="2">
        <v>0</v>
      </c>
      <c r="H839" s="2">
        <v>0</v>
      </c>
      <c r="I839" s="2">
        <v>0</v>
      </c>
      <c r="J839" s="2">
        <v>0</v>
      </c>
      <c r="K839" s="2">
        <v>0</v>
      </c>
      <c r="L839" s="2">
        <v>0</v>
      </c>
      <c r="M839" s="2">
        <v>0</v>
      </c>
      <c r="N839" s="2">
        <v>0</v>
      </c>
      <c r="O839" s="294"/>
    </row>
    <row r="840" spans="1:15" x14ac:dyDescent="0.15">
      <c r="A840" s="294"/>
      <c r="B840" s="438" t="str">
        <f>IF($E840="",IF($D840="","",VLOOKUP($D840,TableInputsData[],ReadMe!$M$3,FALSE)),VLOOKUP($D840,TableInputsData[],ReadMe!$M$3,FALSE)&amp;"  |  "&amp;VLOOKUP($E840,TableInputsData[],ReadMe!$M$3,FALSE))</f>
        <v>VARIATION  |  TOTAL</v>
      </c>
      <c r="C840" s="294"/>
      <c r="D840" s="392" t="s">
        <v>176</v>
      </c>
      <c r="E840" s="1" t="s">
        <v>29</v>
      </c>
      <c r="F840" s="1" t="s">
        <v>144</v>
      </c>
      <c r="G840" s="389">
        <v>0</v>
      </c>
      <c r="H840" s="389">
        <v>0</v>
      </c>
      <c r="I840" s="389">
        <v>0</v>
      </c>
      <c r="J840" s="389">
        <v>0</v>
      </c>
      <c r="K840" s="389">
        <v>0</v>
      </c>
      <c r="L840" s="389">
        <v>0</v>
      </c>
      <c r="M840" s="389">
        <v>0</v>
      </c>
      <c r="N840" s="390">
        <v>0</v>
      </c>
      <c r="O840" s="294"/>
    </row>
    <row r="841" spans="1:15" x14ac:dyDescent="0.15">
      <c r="A841" s="294"/>
      <c r="B841" s="423" t="str">
        <f>IF($E841="",IF($D841="","",VLOOKUP($D841,TableInputsData[],ReadMe!$M$3,FALSE)),VLOOKUP($D841,TableInputsData[],ReadMe!$M$3,FALSE)&amp;"  |  "&amp;VLOOKUP($E841,TableInputsData[],ReadMe!$M$3,FALSE))</f>
        <v>FRAIS BANCAIRES  |  FRAIS BANCAIRES</v>
      </c>
      <c r="C841" s="294"/>
      <c r="D841" s="1" t="s">
        <v>906</v>
      </c>
      <c r="E841" s="1" t="s">
        <v>906</v>
      </c>
      <c r="F841" s="1" t="s">
        <v>144</v>
      </c>
      <c r="G841" s="2">
        <v>0</v>
      </c>
      <c r="H841" s="2">
        <v>0</v>
      </c>
      <c r="I841" s="2">
        <v>0</v>
      </c>
      <c r="J841" s="2">
        <v>0</v>
      </c>
      <c r="K841" s="2">
        <v>0</v>
      </c>
      <c r="L841" s="2">
        <v>0</v>
      </c>
      <c r="M841" s="2">
        <v>0</v>
      </c>
      <c r="N841" s="2">
        <v>0</v>
      </c>
      <c r="O841" s="294"/>
    </row>
    <row r="842" spans="1:15" x14ac:dyDescent="0.15">
      <c r="A842" s="294"/>
      <c r="B842" s="423" t="str">
        <f>IF($E842="",IF($D842="","",VLOOKUP($D842,TableInputsData[],ReadMe!$M$3,FALSE)),VLOOKUP($D842,TableInputsData[],ReadMe!$M$3,FALSE)&amp;"  |  "&amp;VLOOKUP($E842,TableInputsData[],ReadMe!$M$3,FALSE))</f>
        <v>INTERETS  |  PRET OVO</v>
      </c>
      <c r="C842" s="294"/>
      <c r="D842" s="1" t="s">
        <v>909</v>
      </c>
      <c r="E842" s="1" t="s">
        <v>921</v>
      </c>
      <c r="F842" s="1" t="s">
        <v>144</v>
      </c>
      <c r="G842" s="2">
        <v>0</v>
      </c>
      <c r="H842" s="2">
        <v>0</v>
      </c>
      <c r="I842" s="2">
        <v>0</v>
      </c>
      <c r="J842" s="2">
        <v>0</v>
      </c>
      <c r="K842" s="2">
        <v>0</v>
      </c>
      <c r="L842" s="2">
        <v>0</v>
      </c>
      <c r="M842" s="2">
        <v>0</v>
      </c>
      <c r="N842" s="2">
        <v>0</v>
      </c>
      <c r="O842" s="294"/>
    </row>
    <row r="843" spans="1:15" x14ac:dyDescent="0.15">
      <c r="A843" s="294"/>
      <c r="B843" s="423" t="str">
        <f>IF($E843="",IF($D843="","",VLOOKUP($D843,TableInputsData[],ReadMe!$M$3,FALSE)),VLOOKUP($D843,TableInputsData[],ReadMe!$M$3,FALSE)&amp;"  |  "&amp;VLOOKUP($E843,TableInputsData[],ReadMe!$M$3,FALSE))</f>
        <v>INTERETS  |  PRET FAMILLE ET AMIS</v>
      </c>
      <c r="C843" s="294"/>
      <c r="D843" s="1" t="s">
        <v>909</v>
      </c>
      <c r="E843" s="1" t="s">
        <v>916</v>
      </c>
      <c r="F843" s="1" t="s">
        <v>144</v>
      </c>
      <c r="G843" s="2">
        <v>0</v>
      </c>
      <c r="H843" s="2">
        <v>0</v>
      </c>
      <c r="I843" s="2">
        <v>0</v>
      </c>
      <c r="J843" s="2">
        <v>0</v>
      </c>
      <c r="K843" s="2">
        <v>0</v>
      </c>
      <c r="L843" s="2">
        <v>0</v>
      </c>
      <c r="M843" s="2">
        <v>0</v>
      </c>
      <c r="N843" s="2">
        <v>0</v>
      </c>
      <c r="O843" s="294"/>
    </row>
    <row r="844" spans="1:15" x14ac:dyDescent="0.15">
      <c r="A844" s="294"/>
      <c r="B844" s="423" t="str">
        <f>IF($E844="",IF($D844="","",VLOOKUP($D844,TableInputsData[],ReadMe!$M$3,FALSE)),VLOOKUP($D844,TableInputsData[],ReadMe!$M$3,FALSE)&amp;"  |  "&amp;VLOOKUP($E844,TableInputsData[],ReadMe!$M$3,FALSE))</f>
        <v>INTERETS  |  PRET BANQUE LOCALE</v>
      </c>
      <c r="C844" s="294"/>
      <c r="D844" s="1" t="s">
        <v>909</v>
      </c>
      <c r="E844" s="1" t="s">
        <v>920</v>
      </c>
      <c r="F844" s="1" t="s">
        <v>144</v>
      </c>
      <c r="G844" s="2">
        <v>0</v>
      </c>
      <c r="H844" s="2">
        <v>0</v>
      </c>
      <c r="I844" s="2">
        <v>0</v>
      </c>
      <c r="J844" s="2">
        <v>0</v>
      </c>
      <c r="K844" s="2">
        <v>0</v>
      </c>
      <c r="L844" s="2">
        <v>0</v>
      </c>
      <c r="M844" s="2">
        <v>0</v>
      </c>
      <c r="N844" s="2">
        <v>0</v>
      </c>
      <c r="O844" s="294"/>
    </row>
    <row r="845" spans="1:15" x14ac:dyDescent="0.15">
      <c r="A845" s="294"/>
      <c r="B845" s="438" t="str">
        <f>IF($E845="",IF($D845="","",VLOOKUP($D845,TableInputsData[],ReadMe!$M$3,FALSE)),VLOOKUP($D845,TableInputsData[],ReadMe!$M$3,FALSE)&amp;"  |  "&amp;VLOOKUP($E845,TableInputsData[],ReadMe!$M$3,FALSE))</f>
        <v>FRAIS BANCAIRES + INTERETS  |  TOTAL</v>
      </c>
      <c r="C845" s="294"/>
      <c r="D845" s="392" t="s">
        <v>907</v>
      </c>
      <c r="E845" s="1" t="s">
        <v>29</v>
      </c>
      <c r="F845" s="1" t="s">
        <v>144</v>
      </c>
      <c r="G845" s="389">
        <v>0</v>
      </c>
      <c r="H845" s="389">
        <v>0</v>
      </c>
      <c r="I845" s="389">
        <v>0</v>
      </c>
      <c r="J845" s="389">
        <v>0</v>
      </c>
      <c r="K845" s="389">
        <v>0</v>
      </c>
      <c r="L845" s="389">
        <v>0</v>
      </c>
      <c r="M845" s="389">
        <v>0</v>
      </c>
      <c r="N845" s="390">
        <v>0</v>
      </c>
      <c r="O845" s="294"/>
    </row>
    <row r="846" spans="1:15" x14ac:dyDescent="0.15">
      <c r="A846" s="294"/>
      <c r="B846" s="438" t="str">
        <f>IF($E846="",IF($D846="","",VLOOKUP($D846,TableInputsData[],ReadMe!$M$3,FALSE)),VLOOKUP($D846,TableInputsData[],ReadMe!$M$3,FALSE)&amp;"  |  "&amp;VLOOKUP($E846,TableInputsData[],ReadMe!$M$3,FALSE))</f>
        <v>BENEFICE AVANT IMPOT  |  TOTAL</v>
      </c>
      <c r="C846" s="294"/>
      <c r="D846" s="441" t="s">
        <v>989</v>
      </c>
      <c r="E846" s="1" t="s">
        <v>29</v>
      </c>
      <c r="F846" s="1" t="s">
        <v>144</v>
      </c>
      <c r="G846" s="387">
        <v>0</v>
      </c>
      <c r="H846" s="387">
        <v>0</v>
      </c>
      <c r="I846" s="387">
        <v>0</v>
      </c>
      <c r="J846" s="387">
        <v>0</v>
      </c>
      <c r="K846" s="387">
        <v>0</v>
      </c>
      <c r="L846" s="387">
        <v>0</v>
      </c>
      <c r="M846" s="387">
        <v>0</v>
      </c>
      <c r="N846" s="388">
        <v>0</v>
      </c>
      <c r="O846" s="294"/>
    </row>
    <row r="847" spans="1:15" x14ac:dyDescent="0.15">
      <c r="A847" s="294"/>
      <c r="B847" s="423" t="e">
        <f>IF($E847="",IF($D847="","",VLOOKUP($D847,TableInputsData[],ReadMe!$M$3,FALSE)),VLOOKUP($D847,TableInputsData[],ReadMe!$M$3,FALSE)&amp;"  |  "&amp;VLOOKUP($F847,TableInputsData[],ReadMe!$M$3,FALSE))</f>
        <v>#N/A</v>
      </c>
      <c r="C847" s="294"/>
      <c r="D847" s="362" t="s">
        <v>908</v>
      </c>
      <c r="E847" s="1" t="s">
        <v>29</v>
      </c>
      <c r="F847" s="1" t="s">
        <v>144</v>
      </c>
      <c r="G847" s="384">
        <v>0</v>
      </c>
      <c r="H847" s="384">
        <v>0</v>
      </c>
      <c r="I847" s="384">
        <v>0</v>
      </c>
      <c r="J847" s="384">
        <v>0</v>
      </c>
      <c r="K847" s="384">
        <v>0</v>
      </c>
      <c r="L847" s="384">
        <v>0</v>
      </c>
      <c r="M847" s="384">
        <v>0</v>
      </c>
      <c r="N847" s="385">
        <v>0</v>
      </c>
      <c r="O847" s="294"/>
    </row>
    <row r="848" spans="1:15" x14ac:dyDescent="0.15">
      <c r="A848" s="294"/>
      <c r="B848" s="423" t="str">
        <f>IF($E848="",IF($D848="","",VLOOKUP($D848,TableInputsData[],ReadMe!$M$3,FALSE)),VLOOKUP($D848,TableInputsData[],ReadMe!$M$3,FALSE)&amp;"  |  "&amp;VLOOKUP($F848,TableInputsData[],ReadMe!$M$3,FALSE))</f>
        <v>IMPOTS  |  IMPOT REGIME 1</v>
      </c>
      <c r="C848" s="294"/>
      <c r="D848" s="362" t="s">
        <v>908</v>
      </c>
      <c r="E848" s="1" t="s">
        <v>2049</v>
      </c>
      <c r="F848" s="1" t="s">
        <v>415</v>
      </c>
      <c r="G848" s="2">
        <v>0</v>
      </c>
      <c r="H848" s="2">
        <v>0</v>
      </c>
      <c r="I848" s="2">
        <v>0</v>
      </c>
      <c r="J848" s="2">
        <v>0</v>
      </c>
      <c r="K848" s="2">
        <v>0</v>
      </c>
      <c r="L848" s="2">
        <v>0</v>
      </c>
      <c r="M848" s="2">
        <v>0</v>
      </c>
      <c r="N848" s="2">
        <v>0</v>
      </c>
      <c r="O848" s="294"/>
    </row>
    <row r="849" spans="1:15" x14ac:dyDescent="0.15">
      <c r="A849" s="294"/>
      <c r="B849" s="423" t="str">
        <f>IF($E849="",IF($D849="","",VLOOKUP($D849,TableInputsData[],ReadMe!$M$3,FALSE)),VLOOKUP($D849,TableInputsData[],ReadMe!$M$3,FALSE)&amp;"  |  "&amp;VLOOKUP($F849,TableInputsData[],ReadMe!$M$3,FALSE))</f>
        <v>IMPOTS  |  IMPOT REGIME 2</v>
      </c>
      <c r="C849" s="294"/>
      <c r="D849" s="362" t="s">
        <v>908</v>
      </c>
      <c r="E849" s="1" t="s">
        <v>2050</v>
      </c>
      <c r="F849" s="1" t="s">
        <v>416</v>
      </c>
      <c r="G849" s="2">
        <v>0</v>
      </c>
      <c r="H849" s="2">
        <v>0</v>
      </c>
      <c r="I849" s="2">
        <v>0</v>
      </c>
      <c r="J849" s="2">
        <v>0</v>
      </c>
      <c r="K849" s="2">
        <v>0</v>
      </c>
      <c r="L849" s="2">
        <v>0</v>
      </c>
      <c r="M849" s="2">
        <v>0</v>
      </c>
      <c r="N849" s="2">
        <v>0</v>
      </c>
      <c r="O849" s="294"/>
    </row>
    <row r="850" spans="1:15" x14ac:dyDescent="0.15">
      <c r="A850" s="294"/>
      <c r="B850" s="423" t="str">
        <f>IF($E850="",IF($D850="","",VLOOKUP($D850,TableInputsData[],ReadMe!$M$3,FALSE)),VLOOKUP($D850,TableInputsData[],ReadMe!$M$3,FALSE)&amp;"  |  "&amp;VLOOKUP($F850,TableInputsData[],ReadMe!$M$3,FALSE))</f>
        <v>IMPOTS  |  IMPOT REGIME 3</v>
      </c>
      <c r="C850" s="294"/>
      <c r="D850" s="362" t="s">
        <v>908</v>
      </c>
      <c r="E850" s="1" t="s">
        <v>417</v>
      </c>
      <c r="F850" s="1" t="s">
        <v>417</v>
      </c>
      <c r="G850" s="2">
        <v>0</v>
      </c>
      <c r="H850" s="2">
        <v>0</v>
      </c>
      <c r="I850" s="2">
        <v>0</v>
      </c>
      <c r="J850" s="2">
        <v>0</v>
      </c>
      <c r="K850" s="2">
        <v>0</v>
      </c>
      <c r="L850" s="2">
        <v>0</v>
      </c>
      <c r="M850" s="2">
        <v>0</v>
      </c>
      <c r="N850" s="2">
        <v>0</v>
      </c>
      <c r="O850" s="294"/>
    </row>
    <row r="851" spans="1:15" x14ac:dyDescent="0.15">
      <c r="A851" s="294"/>
      <c r="B851" s="423" t="str">
        <f>IF($E851="",IF($D851="","",VLOOKUP($D851,TableInputsData[],ReadMe!$M$3,FALSE)),VLOOKUP($D851,TableInputsData[],ReadMe!$M$3,FALSE)&amp;"  |  "&amp;VLOOKUP($F851,TableInputsData[],ReadMe!$M$3,FALSE))</f>
        <v>IMPOTS  |  IMPOT REGIME 4</v>
      </c>
      <c r="C851" s="294"/>
      <c r="D851" s="362" t="s">
        <v>908</v>
      </c>
      <c r="E851" s="1" t="s">
        <v>418</v>
      </c>
      <c r="F851" s="1" t="s">
        <v>418</v>
      </c>
      <c r="G851" s="2">
        <v>0</v>
      </c>
      <c r="H851" s="2">
        <v>0</v>
      </c>
      <c r="I851" s="2">
        <v>0</v>
      </c>
      <c r="J851" s="2">
        <v>0</v>
      </c>
      <c r="K851" s="2">
        <v>0</v>
      </c>
      <c r="L851" s="2">
        <v>0</v>
      </c>
      <c r="M851" s="2">
        <v>0</v>
      </c>
      <c r="N851" s="2">
        <v>0</v>
      </c>
      <c r="O851" s="294"/>
    </row>
    <row r="852" spans="1:15" x14ac:dyDescent="0.15">
      <c r="A852" s="294"/>
      <c r="B852" s="438" t="str">
        <f>IF($E852="",IF($D852="","",VLOOKUP($D852,TableInputsData[],ReadMe!$M$3,FALSE)),VLOOKUP($D852,TableInputsData[],ReadMe!$M$3,FALSE)&amp;"  |  "&amp;VLOOKUP($E852,TableInputsData[],ReadMe!$M$3,FALSE))</f>
        <v>IMPOTS  |  IMPOT REGIME 5</v>
      </c>
      <c r="C852" s="294"/>
      <c r="D852" s="442" t="s">
        <v>908</v>
      </c>
      <c r="E852" s="1" t="s">
        <v>419</v>
      </c>
      <c r="F852" s="1" t="s">
        <v>419</v>
      </c>
      <c r="G852" s="2">
        <v>0</v>
      </c>
      <c r="H852" s="2">
        <v>0</v>
      </c>
      <c r="I852" s="2">
        <v>0</v>
      </c>
      <c r="J852" s="2">
        <v>0</v>
      </c>
      <c r="K852" s="2">
        <v>0</v>
      </c>
      <c r="L852" s="2">
        <v>0</v>
      </c>
      <c r="M852" s="2">
        <v>0</v>
      </c>
      <c r="N852" s="2">
        <v>0</v>
      </c>
      <c r="O852" s="294"/>
    </row>
    <row r="853" spans="1:15" x14ac:dyDescent="0.15">
      <c r="A853" s="294"/>
      <c r="B853" s="438" t="str">
        <f>IF($E853="",IF($D853="","",VLOOKUP($D853,TableInputsData[],ReadMe!$M$3,FALSE)),VLOOKUP($D853,TableInputsData[],ReadMe!$M$3,FALSE)&amp;"  |  "&amp;VLOOKUP($E853,TableInputsData[],ReadMe!$M$3,FALSE))</f>
        <v>BENEFICE NET  |  TOTAL</v>
      </c>
      <c r="C853" s="294"/>
      <c r="D853" s="392" t="s">
        <v>905</v>
      </c>
      <c r="E853" s="1" t="s">
        <v>29</v>
      </c>
      <c r="F853" s="1" t="s">
        <v>144</v>
      </c>
      <c r="G853" s="389">
        <v>0</v>
      </c>
      <c r="H853" s="389">
        <v>0</v>
      </c>
      <c r="I853" s="389">
        <v>0</v>
      </c>
      <c r="J853" s="389">
        <v>0</v>
      </c>
      <c r="K853" s="389">
        <v>0</v>
      </c>
      <c r="L853" s="389">
        <v>0</v>
      </c>
      <c r="M853" s="389">
        <v>0</v>
      </c>
      <c r="N853" s="390">
        <v>0</v>
      </c>
      <c r="O853" s="294"/>
    </row>
    <row r="854" spans="1:15" ht="16" x14ac:dyDescent="0.2">
      <c r="A854" s="294"/>
      <c r="B854" s="423" t="str">
        <f>IF($E854="",IF($D854="","",VLOOKUP($D854,TableInputsData[],ReadMe!$M$3,FALSE)),VLOOKUP($D854,TableInputsData[],ReadMe!$M$3,FALSE)&amp;"  |  "&amp;VLOOKUP($E854,TableInputsData[],ReadMe!$M$3,FALSE))</f>
        <v/>
      </c>
      <c r="C854" s="294"/>
      <c r="D854" s="163"/>
      <c r="E854"/>
      <c r="F854"/>
      <c r="G854"/>
      <c r="H854"/>
      <c r="I854"/>
      <c r="J854"/>
      <c r="K854"/>
      <c r="L854"/>
      <c r="M854"/>
      <c r="N854"/>
      <c r="O854" s="294"/>
    </row>
    <row r="855" spans="1:15" ht="16" hidden="1" outlineLevel="1" x14ac:dyDescent="0.2">
      <c r="A855" s="294"/>
      <c r="B855" s="423" t="str">
        <f>IF($E855="",IF($D855="","",VLOOKUP($D855,TableInputsData[],ReadMe!$M$3,FALSE)),VLOOKUP($D855,TableInputsData[],ReadMe!$M$3,FALSE)&amp;"  |  "&amp;VLOOKUP($E855,TableInputsData[],ReadMe!$M$3,FALSE))</f>
        <v/>
      </c>
      <c r="C855" s="294"/>
      <c r="D855" s="163"/>
      <c r="E855"/>
      <c r="F855"/>
      <c r="G855"/>
      <c r="H855"/>
      <c r="I855"/>
      <c r="J855"/>
      <c r="K855"/>
      <c r="L855"/>
      <c r="M855"/>
      <c r="N855"/>
      <c r="O855" s="294"/>
    </row>
    <row r="856" spans="1:15" ht="16" hidden="1" outlineLevel="1" x14ac:dyDescent="0.2">
      <c r="A856" s="294"/>
      <c r="B856" s="423" t="str">
        <f>IF($E856="",IF($D856="","",VLOOKUP($D856,TableInputsData[],ReadMe!$M$3,FALSE)),VLOOKUP($D856,TableInputsData[],ReadMe!$M$3,FALSE)&amp;"  |  "&amp;VLOOKUP($E856,TableInputsData[],ReadMe!$M$3,FALSE))</f>
        <v/>
      </c>
      <c r="C856" s="294"/>
      <c r="D856" s="163"/>
      <c r="E856"/>
      <c r="F856"/>
      <c r="G856"/>
      <c r="H856"/>
      <c r="I856"/>
      <c r="J856"/>
      <c r="K856"/>
      <c r="L856"/>
      <c r="M856"/>
      <c r="N856"/>
      <c r="O856" s="294"/>
    </row>
    <row r="857" spans="1:15" ht="16" hidden="1" outlineLevel="1" x14ac:dyDescent="0.2">
      <c r="A857" s="294"/>
      <c r="B857" s="423" t="str">
        <f>IF($E857="",IF($D857="","",VLOOKUP($D857,TableInputsData[],ReadMe!$M$3,FALSE)),VLOOKUP($D857,TableInputsData[],ReadMe!$M$3,FALSE)&amp;"  |  "&amp;VLOOKUP($E857,TableInputsData[],ReadMe!$M$3,FALSE))</f>
        <v/>
      </c>
      <c r="C857" s="294"/>
      <c r="D857" s="163"/>
      <c r="E857"/>
      <c r="F857"/>
      <c r="G857"/>
      <c r="H857"/>
      <c r="I857"/>
      <c r="J857"/>
      <c r="K857"/>
      <c r="L857"/>
      <c r="M857"/>
      <c r="N857"/>
      <c r="O857" s="294"/>
    </row>
    <row r="858" spans="1:15" ht="16" hidden="1" outlineLevel="1" x14ac:dyDescent="0.2">
      <c r="A858" s="294"/>
      <c r="B858" s="423" t="str">
        <f>IF($E858="",IF($D858="","",VLOOKUP($D858,TableInputsData[],ReadMe!$M$3,FALSE)),VLOOKUP($D858,TableInputsData[],ReadMe!$M$3,FALSE)&amp;"  |  "&amp;VLOOKUP($E858,TableInputsData[],ReadMe!$M$3,FALSE))</f>
        <v/>
      </c>
      <c r="C858" s="294"/>
      <c r="D858" s="163"/>
      <c r="E858"/>
      <c r="F858"/>
      <c r="G858"/>
      <c r="H858"/>
      <c r="I858"/>
      <c r="J858"/>
      <c r="K858"/>
      <c r="L858"/>
      <c r="M858"/>
      <c r="N858"/>
      <c r="O858" s="294"/>
    </row>
    <row r="859" spans="1:15" ht="16" hidden="1" outlineLevel="1" x14ac:dyDescent="0.2">
      <c r="A859" s="294"/>
      <c r="B859" s="423" t="str">
        <f>IF($E859="",IF($D859="","",VLOOKUP($D859,TableInputsData[],ReadMe!$M$3,FALSE)),VLOOKUP($D859,TableInputsData[],ReadMe!$M$3,FALSE)&amp;"  |  "&amp;VLOOKUP($E859,TableInputsData[],ReadMe!$M$3,FALSE))</f>
        <v/>
      </c>
      <c r="C859" s="294"/>
      <c r="D859" s="163"/>
      <c r="E859"/>
      <c r="F859"/>
      <c r="G859"/>
      <c r="H859"/>
      <c r="I859"/>
      <c r="J859"/>
      <c r="K859"/>
      <c r="L859"/>
      <c r="M859"/>
      <c r="N859"/>
      <c r="O859" s="294"/>
    </row>
    <row r="860" spans="1:15" ht="16" hidden="1" outlineLevel="1" x14ac:dyDescent="0.2">
      <c r="A860" s="294"/>
      <c r="B860" s="423" t="str">
        <f>IF($E860="",IF($D860="","",VLOOKUP($D860,TableInputsData[],ReadMe!$M$3,FALSE)),VLOOKUP($D860,TableInputsData[],ReadMe!$M$3,FALSE)&amp;"  |  "&amp;VLOOKUP($E860,TableInputsData[],ReadMe!$M$3,FALSE))</f>
        <v/>
      </c>
      <c r="C860" s="294"/>
      <c r="D860" s="163"/>
      <c r="E860"/>
      <c r="F860"/>
      <c r="G860"/>
      <c r="H860"/>
      <c r="I860"/>
      <c r="J860"/>
      <c r="K860"/>
      <c r="L860"/>
      <c r="M860"/>
      <c r="N860"/>
      <c r="O860" s="294"/>
    </row>
    <row r="861" spans="1:15" ht="16" hidden="1" outlineLevel="1" x14ac:dyDescent="0.2">
      <c r="A861" s="294"/>
      <c r="B861" s="423" t="str">
        <f>IF($E861="",IF($D861="","",VLOOKUP($D861,TableInputsData[],ReadMe!$M$3,FALSE)),VLOOKUP($D861,TableInputsData[],ReadMe!$M$3,FALSE)&amp;"  |  "&amp;VLOOKUP($E861,TableInputsData[],ReadMe!$M$3,FALSE))</f>
        <v/>
      </c>
      <c r="C861" s="294"/>
      <c r="D861" s="163"/>
      <c r="E861"/>
      <c r="F861"/>
      <c r="G861"/>
      <c r="H861"/>
      <c r="I861"/>
      <c r="J861"/>
      <c r="K861"/>
      <c r="L861"/>
      <c r="M861"/>
      <c r="N861"/>
      <c r="O861" s="294"/>
    </row>
    <row r="862" spans="1:15" ht="16" hidden="1" outlineLevel="1" x14ac:dyDescent="0.2">
      <c r="A862" s="294"/>
      <c r="B862" s="423" t="str">
        <f>IF($E862="",IF($D862="","",VLOOKUP($D862,TableInputsData[],ReadMe!$M$3,FALSE)),VLOOKUP($D862,TableInputsData[],ReadMe!$M$3,FALSE)&amp;"  |  "&amp;VLOOKUP($E862,TableInputsData[],ReadMe!$M$3,FALSE))</f>
        <v/>
      </c>
      <c r="C862" s="294"/>
      <c r="D862" s="163"/>
      <c r="E862"/>
      <c r="F862"/>
      <c r="G862"/>
      <c r="H862"/>
      <c r="I862"/>
      <c r="J862"/>
      <c r="K862"/>
      <c r="L862"/>
      <c r="M862"/>
      <c r="N862"/>
      <c r="O862" s="294"/>
    </row>
    <row r="863" spans="1:15" ht="16" hidden="1" outlineLevel="1" x14ac:dyDescent="0.2">
      <c r="A863" s="294"/>
      <c r="B863" s="423" t="str">
        <f>IF($E863="",IF($D863="","",VLOOKUP($D863,TableInputsData[],ReadMe!$M$3,FALSE)),VLOOKUP($D863,TableInputsData[],ReadMe!$M$3,FALSE)&amp;"  |  "&amp;VLOOKUP($E863,TableInputsData[],ReadMe!$M$3,FALSE))</f>
        <v/>
      </c>
      <c r="C863" s="294"/>
      <c r="D863" s="163"/>
      <c r="E863"/>
      <c r="F863"/>
      <c r="G863"/>
      <c r="H863"/>
      <c r="I863"/>
      <c r="J863"/>
      <c r="K863"/>
      <c r="L863"/>
      <c r="M863"/>
      <c r="N863"/>
      <c r="O863" s="294"/>
    </row>
    <row r="864" spans="1:15" ht="16" hidden="1" outlineLevel="1" x14ac:dyDescent="0.2">
      <c r="A864" s="294"/>
      <c r="B864" s="423" t="str">
        <f>IF($E864="",IF($D864="","",VLOOKUP($D864,TableInputsData[],ReadMe!$M$3,FALSE)),VLOOKUP($D864,TableInputsData[],ReadMe!$M$3,FALSE)&amp;"  |  "&amp;VLOOKUP($E864,TableInputsData[],ReadMe!$M$3,FALSE))</f>
        <v/>
      </c>
      <c r="C864" s="294"/>
      <c r="D864" s="163"/>
      <c r="E864"/>
      <c r="F864"/>
      <c r="G864"/>
      <c r="H864"/>
      <c r="I864"/>
      <c r="J864"/>
      <c r="K864"/>
      <c r="L864"/>
      <c r="M864"/>
      <c r="N864"/>
      <c r="O864" s="294"/>
    </row>
    <row r="865" spans="1:15" ht="16" hidden="1" outlineLevel="1" x14ac:dyDescent="0.2">
      <c r="A865" s="294"/>
      <c r="B865" s="423" t="str">
        <f>IF($E865="",IF($D865="","",VLOOKUP($D865,TableInputsData[],ReadMe!$M$3,FALSE)),VLOOKUP($D865,TableInputsData[],ReadMe!$M$3,FALSE)&amp;"  |  "&amp;VLOOKUP($E865,TableInputsData[],ReadMe!$M$3,FALSE))</f>
        <v/>
      </c>
      <c r="C865" s="294"/>
      <c r="D865" s="163"/>
      <c r="E865"/>
      <c r="F865"/>
      <c r="G865"/>
      <c r="H865"/>
      <c r="I865"/>
      <c r="J865"/>
      <c r="K865"/>
      <c r="L865"/>
      <c r="M865"/>
      <c r="N865"/>
      <c r="O865" s="294"/>
    </row>
    <row r="866" spans="1:15" ht="16" hidden="1" outlineLevel="1" x14ac:dyDescent="0.2">
      <c r="A866" s="294"/>
      <c r="B866" s="423" t="str">
        <f>IF($E866="",IF($D866="","",VLOOKUP($D866,TableInputsData[],ReadMe!$M$3,FALSE)),VLOOKUP($D866,TableInputsData[],ReadMe!$M$3,FALSE)&amp;"  |  "&amp;VLOOKUP($E866,TableInputsData[],ReadMe!$M$3,FALSE))</f>
        <v/>
      </c>
      <c r="C866" s="294"/>
      <c r="D866" s="163"/>
      <c r="E866"/>
      <c r="F866"/>
      <c r="G866"/>
      <c r="H866"/>
      <c r="I866"/>
      <c r="J866"/>
      <c r="K866"/>
      <c r="L866"/>
      <c r="M866"/>
      <c r="N866"/>
      <c r="O866" s="294"/>
    </row>
    <row r="867" spans="1:15" ht="16" hidden="1" outlineLevel="1" x14ac:dyDescent="0.2">
      <c r="A867" s="294"/>
      <c r="B867" s="423" t="str">
        <f>IF($E867="",IF($D867="","",VLOOKUP($D867,TableInputsData[],ReadMe!$M$3,FALSE)),VLOOKUP($D867,TableInputsData[],ReadMe!$M$3,FALSE)&amp;"  |  "&amp;VLOOKUP($E867,TableInputsData[],ReadMe!$M$3,FALSE))</f>
        <v/>
      </c>
      <c r="C867" s="294"/>
      <c r="D867" s="163"/>
      <c r="E867"/>
      <c r="F867"/>
      <c r="G867"/>
      <c r="H867"/>
      <c r="I867"/>
      <c r="J867"/>
      <c r="K867"/>
      <c r="L867"/>
      <c r="M867"/>
      <c r="N867"/>
      <c r="O867" s="294"/>
    </row>
    <row r="868" spans="1:15" ht="16" hidden="1" outlineLevel="1" x14ac:dyDescent="0.2">
      <c r="A868" s="294"/>
      <c r="B868" s="423" t="str">
        <f>IF($E868="",IF($D868="","",VLOOKUP($D868,TableInputsData[],ReadMe!$M$3,FALSE)),VLOOKUP($D868,TableInputsData[],ReadMe!$M$3,FALSE)&amp;"  |  "&amp;VLOOKUP($E868,TableInputsData[],ReadMe!$M$3,FALSE))</f>
        <v/>
      </c>
      <c r="C868" s="294"/>
      <c r="D868" s="163"/>
      <c r="E868"/>
      <c r="F868"/>
      <c r="G868"/>
      <c r="H868"/>
      <c r="I868"/>
      <c r="J868"/>
      <c r="K868"/>
      <c r="L868"/>
      <c r="M868"/>
      <c r="N868"/>
      <c r="O868" s="294"/>
    </row>
    <row r="869" spans="1:15" ht="16" hidden="1" outlineLevel="1" x14ac:dyDescent="0.2">
      <c r="A869" s="294"/>
      <c r="B869" s="423" t="str">
        <f>IF($E869="",IF($D869="","",VLOOKUP($D869,TableInputsData[],ReadMe!$M$3,FALSE)),VLOOKUP($D869,TableInputsData[],ReadMe!$M$3,FALSE)&amp;"  |  "&amp;VLOOKUP($E869,TableInputsData[],ReadMe!$M$3,FALSE))</f>
        <v/>
      </c>
      <c r="C869" s="294"/>
      <c r="D869" s="163"/>
      <c r="E869"/>
      <c r="F869"/>
      <c r="G869"/>
      <c r="H869"/>
      <c r="I869"/>
      <c r="J869"/>
      <c r="K869"/>
      <c r="L869"/>
      <c r="M869"/>
      <c r="N869"/>
      <c r="O869" s="294"/>
    </row>
    <row r="870" spans="1:15" ht="16" hidden="1" outlineLevel="1" x14ac:dyDescent="0.2">
      <c r="A870" s="294"/>
      <c r="B870" s="423" t="str">
        <f>IF($E870="",IF($D870="","",VLOOKUP($D870,TableInputsData[],ReadMe!$M$3,FALSE)),VLOOKUP($D870,TableInputsData[],ReadMe!$M$3,FALSE)&amp;"  |  "&amp;VLOOKUP($E870,TableInputsData[],ReadMe!$M$3,FALSE))</f>
        <v/>
      </c>
      <c r="C870" s="294"/>
      <c r="D870" s="163"/>
      <c r="E870"/>
      <c r="F870"/>
      <c r="G870"/>
      <c r="H870"/>
      <c r="I870"/>
      <c r="J870"/>
      <c r="K870"/>
      <c r="L870"/>
      <c r="M870"/>
      <c r="N870"/>
      <c r="O870" s="294"/>
    </row>
    <row r="871" spans="1:15" ht="16" hidden="1" outlineLevel="1" x14ac:dyDescent="0.2">
      <c r="A871" s="294"/>
      <c r="B871" s="423" t="str">
        <f>IF($E871="",IF($D871="","",VLOOKUP($D871,TableInputsData[],ReadMe!$M$3,FALSE)),VLOOKUP($D871,TableInputsData[],ReadMe!$M$3,FALSE)&amp;"  |  "&amp;VLOOKUP($E871,TableInputsData[],ReadMe!$M$3,FALSE))</f>
        <v/>
      </c>
      <c r="C871" s="294"/>
      <c r="D871" s="163"/>
      <c r="E871"/>
      <c r="F871"/>
      <c r="G871"/>
      <c r="H871"/>
      <c r="I871"/>
      <c r="J871"/>
      <c r="K871"/>
      <c r="L871"/>
      <c r="M871"/>
      <c r="N871"/>
      <c r="O871" s="294"/>
    </row>
    <row r="872" spans="1:15" ht="16" hidden="1" outlineLevel="1" x14ac:dyDescent="0.2">
      <c r="A872" s="294"/>
      <c r="B872" s="423" t="str">
        <f>IF($E872="",IF($D872="","",VLOOKUP($D872,TableInputsData[],ReadMe!$M$3,FALSE)),VLOOKUP($D872,TableInputsData[],ReadMe!$M$3,FALSE)&amp;"  |  "&amp;VLOOKUP($E872,TableInputsData[],ReadMe!$M$3,FALSE))</f>
        <v/>
      </c>
      <c r="C872" s="294"/>
      <c r="D872" s="163"/>
      <c r="E872"/>
      <c r="F872"/>
      <c r="G872"/>
      <c r="H872"/>
      <c r="I872"/>
      <c r="J872"/>
      <c r="K872"/>
      <c r="L872"/>
      <c r="M872"/>
      <c r="N872"/>
      <c r="O872" s="294"/>
    </row>
    <row r="873" spans="1:15" ht="16" hidden="1" outlineLevel="1" x14ac:dyDescent="0.2">
      <c r="A873" s="294"/>
      <c r="B873" s="423" t="str">
        <f>IF($E873="",IF($D873="","",VLOOKUP($D873,TableInputsData[],ReadMe!$M$3,FALSE)),VLOOKUP($D873,TableInputsData[],ReadMe!$M$3,FALSE)&amp;"  |  "&amp;VLOOKUP($E873,TableInputsData[],ReadMe!$M$3,FALSE))</f>
        <v/>
      </c>
      <c r="C873" s="294"/>
      <c r="D873" s="163"/>
      <c r="E873"/>
      <c r="F873"/>
      <c r="G873"/>
      <c r="H873"/>
      <c r="I873"/>
      <c r="J873"/>
      <c r="K873"/>
      <c r="L873"/>
      <c r="M873"/>
      <c r="N873"/>
      <c r="O873" s="294"/>
    </row>
    <row r="874" spans="1:15" ht="16" hidden="1" outlineLevel="1" x14ac:dyDescent="0.2">
      <c r="A874" s="294"/>
      <c r="B874" s="423" t="str">
        <f>IF($E874="",IF($D874="","",VLOOKUP($D874,TableInputsData[],ReadMe!$M$3,FALSE)),VLOOKUP($D874,TableInputsData[],ReadMe!$M$3,FALSE)&amp;"  |  "&amp;VLOOKUP($E874,TableInputsData[],ReadMe!$M$3,FALSE))</f>
        <v/>
      </c>
      <c r="C874" s="294"/>
      <c r="D874" s="163"/>
      <c r="E874"/>
      <c r="F874"/>
      <c r="G874"/>
      <c r="H874"/>
      <c r="I874"/>
      <c r="J874"/>
      <c r="K874"/>
      <c r="L874"/>
      <c r="M874"/>
      <c r="N874"/>
      <c r="O874" s="294"/>
    </row>
    <row r="875" spans="1:15" ht="16" hidden="1" outlineLevel="1" x14ac:dyDescent="0.2">
      <c r="A875" s="294"/>
      <c r="B875" s="423" t="str">
        <f>IF($E875="",IF($D875="","",VLOOKUP($D875,TableInputsData[],ReadMe!$M$3,FALSE)),VLOOKUP($D875,TableInputsData[],ReadMe!$M$3,FALSE)&amp;"  |  "&amp;VLOOKUP($E875,TableInputsData[],ReadMe!$M$3,FALSE))</f>
        <v/>
      </c>
      <c r="C875" s="294"/>
      <c r="D875" s="163"/>
      <c r="E875"/>
      <c r="F875"/>
      <c r="G875"/>
      <c r="H875"/>
      <c r="I875"/>
      <c r="J875"/>
      <c r="K875"/>
      <c r="L875"/>
      <c r="M875"/>
      <c r="N875"/>
      <c r="O875" s="294"/>
    </row>
    <row r="876" spans="1:15" ht="16" hidden="1" outlineLevel="1" x14ac:dyDescent="0.2">
      <c r="A876" s="294"/>
      <c r="B876" s="423" t="str">
        <f>IF($E876="",IF($D876="","",VLOOKUP($D876,TableInputsData[],ReadMe!$M$3,FALSE)),VLOOKUP($D876,TableInputsData[],ReadMe!$M$3,FALSE)&amp;"  |  "&amp;VLOOKUP($E876,TableInputsData[],ReadMe!$M$3,FALSE))</f>
        <v/>
      </c>
      <c r="C876" s="294"/>
      <c r="D876" s="163"/>
      <c r="E876"/>
      <c r="F876"/>
      <c r="G876"/>
      <c r="H876"/>
      <c r="I876"/>
      <c r="J876"/>
      <c r="K876"/>
      <c r="L876"/>
      <c r="M876"/>
      <c r="N876"/>
      <c r="O876" s="294"/>
    </row>
    <row r="877" spans="1:15" ht="16" hidden="1" outlineLevel="1" x14ac:dyDescent="0.2">
      <c r="A877" s="294"/>
      <c r="B877" s="423" t="str">
        <f>IF($E877="",IF($D877="","",VLOOKUP($D877,TableInputsData[],ReadMe!$M$3,FALSE)),VLOOKUP($D877,TableInputsData[],ReadMe!$M$3,FALSE)&amp;"  |  "&amp;VLOOKUP($E877,TableInputsData[],ReadMe!$M$3,FALSE))</f>
        <v/>
      </c>
      <c r="C877" s="294"/>
      <c r="D877" s="163"/>
      <c r="E877"/>
      <c r="F877"/>
      <c r="G877"/>
      <c r="H877"/>
      <c r="I877"/>
      <c r="J877"/>
      <c r="K877"/>
      <c r="L877"/>
      <c r="M877"/>
      <c r="N877"/>
      <c r="O877" s="294"/>
    </row>
    <row r="878" spans="1:15" ht="16" hidden="1" outlineLevel="1" x14ac:dyDescent="0.2">
      <c r="A878" s="294"/>
      <c r="B878" s="423" t="str">
        <f>IF($E878="",IF($D878="","",VLOOKUP($D878,TableInputsData[],ReadMe!$M$3,FALSE)),VLOOKUP($D878,TableInputsData[],ReadMe!$M$3,FALSE)&amp;"  |  "&amp;VLOOKUP($E878,TableInputsData[],ReadMe!$M$3,FALSE))</f>
        <v/>
      </c>
      <c r="C878" s="294"/>
      <c r="D878" s="163"/>
      <c r="E878"/>
      <c r="F878"/>
      <c r="G878"/>
      <c r="H878"/>
      <c r="I878"/>
      <c r="J878"/>
      <c r="K878"/>
      <c r="L878"/>
      <c r="M878"/>
      <c r="N878"/>
      <c r="O878" s="294"/>
    </row>
    <row r="879" spans="1:15" ht="16" hidden="1" outlineLevel="1" x14ac:dyDescent="0.2">
      <c r="A879" s="294"/>
      <c r="B879" s="423" t="str">
        <f>IF($E879="",IF($D879="","",VLOOKUP($D879,TableInputsData[],ReadMe!$M$3,FALSE)),VLOOKUP($D879,TableInputsData[],ReadMe!$M$3,FALSE)&amp;"  |  "&amp;VLOOKUP($E879,TableInputsData[],ReadMe!$M$3,FALSE))</f>
        <v/>
      </c>
      <c r="C879" s="294"/>
      <c r="D879" s="163"/>
      <c r="E879"/>
      <c r="F879"/>
      <c r="G879"/>
      <c r="H879"/>
      <c r="I879"/>
      <c r="J879"/>
      <c r="K879"/>
      <c r="L879"/>
      <c r="M879"/>
      <c r="N879"/>
      <c r="O879" s="294"/>
    </row>
    <row r="880" spans="1:15" ht="16" hidden="1" outlineLevel="1" x14ac:dyDescent="0.2">
      <c r="A880" s="294"/>
      <c r="B880" s="423" t="str">
        <f>IF($E880="",IF($D880="","",VLOOKUP($D880,TableInputsData[],ReadMe!$M$3,FALSE)),VLOOKUP($D880,TableInputsData[],ReadMe!$M$3,FALSE)&amp;"  |  "&amp;VLOOKUP($E880,TableInputsData[],ReadMe!$M$3,FALSE))</f>
        <v/>
      </c>
      <c r="C880" s="294"/>
      <c r="D880" s="163"/>
      <c r="E880"/>
      <c r="F880"/>
      <c r="G880"/>
      <c r="H880"/>
      <c r="I880"/>
      <c r="J880"/>
      <c r="K880"/>
      <c r="L880"/>
      <c r="M880"/>
      <c r="N880"/>
      <c r="O880" s="294"/>
    </row>
    <row r="881" spans="1:15" ht="16" hidden="1" outlineLevel="1" x14ac:dyDescent="0.2">
      <c r="A881" s="294"/>
      <c r="B881" s="423" t="str">
        <f>IF($E881="",IF($D881="","",VLOOKUP($D881,TableInputsData[],ReadMe!$M$3,FALSE)),VLOOKUP($D881,TableInputsData[],ReadMe!$M$3,FALSE)&amp;"  |  "&amp;VLOOKUP($E881,TableInputsData[],ReadMe!$M$3,FALSE))</f>
        <v/>
      </c>
      <c r="C881" s="294"/>
      <c r="D881" s="163"/>
      <c r="E881"/>
      <c r="F881"/>
      <c r="G881"/>
      <c r="H881"/>
      <c r="I881"/>
      <c r="J881"/>
      <c r="K881"/>
      <c r="L881"/>
      <c r="M881"/>
      <c r="N881"/>
      <c r="O881" s="294"/>
    </row>
    <row r="882" spans="1:15" ht="16" hidden="1" outlineLevel="1" x14ac:dyDescent="0.2">
      <c r="A882" s="294"/>
      <c r="B882" s="423" t="str">
        <f>IF($E882="",IF($D882="","",VLOOKUP($D882,TableInputsData[],ReadMe!$M$3,FALSE)),VLOOKUP($D882,TableInputsData[],ReadMe!$M$3,FALSE)&amp;"  |  "&amp;VLOOKUP($E882,TableInputsData[],ReadMe!$M$3,FALSE))</f>
        <v/>
      </c>
      <c r="C882" s="294"/>
      <c r="D882" s="163"/>
      <c r="E882"/>
      <c r="F882"/>
      <c r="G882"/>
      <c r="H882"/>
      <c r="I882"/>
      <c r="J882"/>
      <c r="K882"/>
      <c r="L882"/>
      <c r="M882"/>
      <c r="N882"/>
      <c r="O882" s="294"/>
    </row>
    <row r="883" spans="1:15" ht="16" hidden="1" outlineLevel="1" x14ac:dyDescent="0.2">
      <c r="A883" s="294"/>
      <c r="B883" s="423" t="str">
        <f>IF($E883="",IF($D883="","",VLOOKUP($D883,TableInputsData[],ReadMe!$M$3,FALSE)),VLOOKUP($D883,TableInputsData[],ReadMe!$M$3,FALSE)&amp;"  |  "&amp;VLOOKUP($E883,TableInputsData[],ReadMe!$M$3,FALSE))</f>
        <v/>
      </c>
      <c r="C883" s="294"/>
      <c r="D883" s="163"/>
      <c r="E883"/>
      <c r="F883"/>
      <c r="G883"/>
      <c r="H883"/>
      <c r="I883"/>
      <c r="J883"/>
      <c r="K883"/>
      <c r="L883"/>
      <c r="M883"/>
      <c r="N883"/>
      <c r="O883" s="294"/>
    </row>
    <row r="884" spans="1:15" ht="16" hidden="1" outlineLevel="1" x14ac:dyDescent="0.2">
      <c r="A884" s="294"/>
      <c r="B884" s="423" t="str">
        <f>IF($E884="",IF($D884="","",VLOOKUP($D884,TableInputsData[],ReadMe!$M$3,FALSE)),VLOOKUP($D884,TableInputsData[],ReadMe!$M$3,FALSE)&amp;"  |  "&amp;VLOOKUP($E884,TableInputsData[],ReadMe!$M$3,FALSE))</f>
        <v/>
      </c>
      <c r="C884" s="294"/>
      <c r="D884" s="163"/>
      <c r="E884"/>
      <c r="F884"/>
      <c r="G884"/>
      <c r="H884"/>
      <c r="I884"/>
      <c r="J884"/>
      <c r="K884"/>
      <c r="L884"/>
      <c r="M884"/>
      <c r="N884"/>
      <c r="O884" s="294"/>
    </row>
    <row r="885" spans="1:15" ht="16" hidden="1" outlineLevel="1" x14ac:dyDescent="0.2">
      <c r="A885" s="294"/>
      <c r="B885" s="423" t="str">
        <f>IF($E885="",IF($D885="","",VLOOKUP($D885,TableInputsData[],ReadMe!$M$3,FALSE)),VLOOKUP($D885,TableInputsData[],ReadMe!$M$3,FALSE)&amp;"  |  "&amp;VLOOKUP($E885,TableInputsData[],ReadMe!$M$3,FALSE))</f>
        <v/>
      </c>
      <c r="C885" s="294"/>
      <c r="D885" s="163"/>
      <c r="E885"/>
      <c r="F885"/>
      <c r="G885"/>
      <c r="H885"/>
      <c r="I885"/>
      <c r="J885"/>
      <c r="K885"/>
      <c r="L885"/>
      <c r="M885"/>
      <c r="N885"/>
      <c r="O885" s="294"/>
    </row>
    <row r="886" spans="1:15" ht="16" hidden="1" outlineLevel="1" x14ac:dyDescent="0.2">
      <c r="A886" s="294"/>
      <c r="B886" s="423" t="str">
        <f>IF($E886="",IF($D886="","",VLOOKUP($D886,TableInputsData[],ReadMe!$M$3,FALSE)),VLOOKUP($D886,TableInputsData[],ReadMe!$M$3,FALSE)&amp;"  |  "&amp;VLOOKUP($E886,TableInputsData[],ReadMe!$M$3,FALSE))</f>
        <v/>
      </c>
      <c r="C886" s="294"/>
      <c r="D886" s="163"/>
      <c r="E886"/>
      <c r="F886"/>
      <c r="G886"/>
      <c r="H886"/>
      <c r="I886"/>
      <c r="J886"/>
      <c r="K886"/>
      <c r="L886"/>
      <c r="M886"/>
      <c r="N886"/>
      <c r="O886" s="294"/>
    </row>
    <row r="887" spans="1:15" ht="16" hidden="1" outlineLevel="1" x14ac:dyDescent="0.2">
      <c r="A887" s="294"/>
      <c r="B887" s="423" t="str">
        <f>IF($E887="",IF($D887="","",VLOOKUP($D887,TableInputsData[],ReadMe!$M$3,FALSE)),VLOOKUP($D887,TableInputsData[],ReadMe!$M$3,FALSE)&amp;"  |  "&amp;VLOOKUP($E887,TableInputsData[],ReadMe!$M$3,FALSE))</f>
        <v/>
      </c>
      <c r="C887" s="294"/>
      <c r="D887" s="163"/>
      <c r="E887"/>
      <c r="F887"/>
      <c r="G887"/>
      <c r="H887"/>
      <c r="I887"/>
      <c r="J887"/>
      <c r="K887"/>
      <c r="L887"/>
      <c r="M887"/>
      <c r="N887"/>
      <c r="O887" s="294"/>
    </row>
    <row r="888" spans="1:15" ht="16" hidden="1" outlineLevel="1" x14ac:dyDescent="0.2">
      <c r="A888" s="294"/>
      <c r="B888" s="423" t="str">
        <f>IF($E888="",IF($D888="","",VLOOKUP($D888,TableInputsData[],ReadMe!$M$3,FALSE)),VLOOKUP($D888,TableInputsData[],ReadMe!$M$3,FALSE)&amp;"  |  "&amp;VLOOKUP($E888,TableInputsData[],ReadMe!$M$3,FALSE))</f>
        <v/>
      </c>
      <c r="C888" s="294"/>
      <c r="D888" s="163"/>
      <c r="E888"/>
      <c r="F888"/>
      <c r="G888"/>
      <c r="H888"/>
      <c r="I888"/>
      <c r="J888"/>
      <c r="K888"/>
      <c r="L888"/>
      <c r="M888"/>
      <c r="N888"/>
      <c r="O888" s="294"/>
    </row>
    <row r="889" spans="1:15" ht="16" hidden="1" outlineLevel="1" x14ac:dyDescent="0.2">
      <c r="A889" s="294"/>
      <c r="B889" s="423" t="str">
        <f>IF($E889="",IF($D889="","",VLOOKUP($D889,TableInputsData[],ReadMe!$M$3,FALSE)),VLOOKUP($D889,TableInputsData[],ReadMe!$M$3,FALSE)&amp;"  |  "&amp;VLOOKUP($E889,TableInputsData[],ReadMe!$M$3,FALSE))</f>
        <v/>
      </c>
      <c r="C889" s="294"/>
      <c r="D889" s="163"/>
      <c r="E889"/>
      <c r="F889"/>
      <c r="G889"/>
      <c r="H889"/>
      <c r="I889"/>
      <c r="J889"/>
      <c r="K889"/>
      <c r="L889"/>
      <c r="M889"/>
      <c r="N889"/>
      <c r="O889" s="294"/>
    </row>
    <row r="890" spans="1:15" ht="16" hidden="1" outlineLevel="1" x14ac:dyDescent="0.2">
      <c r="A890" s="294"/>
      <c r="B890" s="423" t="str">
        <f>IF($E890="",IF($D890="","",VLOOKUP($D890,TableInputsData[],ReadMe!$M$3,FALSE)),VLOOKUP($D890,TableInputsData[],ReadMe!$M$3,FALSE)&amp;"  |  "&amp;VLOOKUP($E890,TableInputsData[],ReadMe!$M$3,FALSE))</f>
        <v/>
      </c>
      <c r="C890" s="294"/>
      <c r="D890" s="163"/>
      <c r="E890"/>
      <c r="F890"/>
      <c r="G890"/>
      <c r="H890"/>
      <c r="I890"/>
      <c r="J890"/>
      <c r="K890"/>
      <c r="L890"/>
      <c r="M890"/>
      <c r="N890"/>
      <c r="O890" s="294"/>
    </row>
    <row r="891" spans="1:15" ht="16" hidden="1" outlineLevel="1" x14ac:dyDescent="0.2">
      <c r="A891" s="294"/>
      <c r="B891" s="423" t="str">
        <f>IF($E891="",IF($D891="","",VLOOKUP($D891,TableInputsData[],ReadMe!$M$3,FALSE)),VLOOKUP($D891,TableInputsData[],ReadMe!$M$3,FALSE)&amp;"  |  "&amp;VLOOKUP($E891,TableInputsData[],ReadMe!$M$3,FALSE))</f>
        <v/>
      </c>
      <c r="C891" s="294"/>
      <c r="D891" s="163"/>
      <c r="E891"/>
      <c r="F891"/>
      <c r="G891"/>
      <c r="H891"/>
      <c r="I891"/>
      <c r="J891"/>
      <c r="K891"/>
      <c r="L891"/>
      <c r="M891"/>
      <c r="N891"/>
      <c r="O891" s="294"/>
    </row>
    <row r="892" spans="1:15" ht="16" hidden="1" outlineLevel="1" x14ac:dyDescent="0.2">
      <c r="A892" s="294"/>
      <c r="B892" s="423" t="str">
        <f>IF($E892="",IF($D892="","",VLOOKUP($D892,TableInputsData[],ReadMe!$M$3,FALSE)),VLOOKUP($D892,TableInputsData[],ReadMe!$M$3,FALSE)&amp;"  |  "&amp;VLOOKUP($E892,TableInputsData[],ReadMe!$M$3,FALSE))</f>
        <v/>
      </c>
      <c r="C892" s="294"/>
      <c r="D892" s="163"/>
      <c r="E892"/>
      <c r="F892"/>
      <c r="G892"/>
      <c r="H892"/>
      <c r="I892"/>
      <c r="J892"/>
      <c r="K892"/>
      <c r="L892"/>
      <c r="M892"/>
      <c r="N892"/>
      <c r="O892" s="294"/>
    </row>
    <row r="893" spans="1:15" ht="16" hidden="1" outlineLevel="1" x14ac:dyDescent="0.2">
      <c r="A893" s="294"/>
      <c r="B893" s="423" t="str">
        <f>IF($E893="",IF($D893="","",VLOOKUP($D893,TableInputsData[],ReadMe!$M$3,FALSE)),VLOOKUP($D893,TableInputsData[],ReadMe!$M$3,FALSE)&amp;"  |  "&amp;VLOOKUP($E893,TableInputsData[],ReadMe!$M$3,FALSE))</f>
        <v/>
      </c>
      <c r="C893" s="294"/>
      <c r="D893" s="163"/>
      <c r="E893"/>
      <c r="F893"/>
      <c r="G893"/>
      <c r="H893"/>
      <c r="I893"/>
      <c r="J893"/>
      <c r="K893"/>
      <c r="L893"/>
      <c r="M893"/>
      <c r="N893"/>
      <c r="O893" s="294"/>
    </row>
    <row r="894" spans="1:15" ht="16" hidden="1" outlineLevel="1" x14ac:dyDescent="0.2">
      <c r="A894" s="294"/>
      <c r="B894" s="423" t="str">
        <f>IF($E894="",IF($D894="","",VLOOKUP($D894,TableInputsData[],ReadMe!$M$3,FALSE)),VLOOKUP($D894,TableInputsData[],ReadMe!$M$3,FALSE)&amp;"  |  "&amp;VLOOKUP($E894,TableInputsData[],ReadMe!$M$3,FALSE))</f>
        <v/>
      </c>
      <c r="C894" s="294"/>
      <c r="D894" s="163"/>
      <c r="E894"/>
      <c r="F894"/>
      <c r="G894"/>
      <c r="H894"/>
      <c r="I894"/>
      <c r="J894"/>
      <c r="K894"/>
      <c r="L894"/>
      <c r="M894"/>
      <c r="N894"/>
      <c r="O894" s="294"/>
    </row>
    <row r="895" spans="1:15" ht="16" hidden="1" outlineLevel="1" x14ac:dyDescent="0.2">
      <c r="A895" s="294"/>
      <c r="B895" s="423" t="str">
        <f>IF($E895="",IF($D895="","",VLOOKUP($D895,TableInputsData[],ReadMe!$M$3,FALSE)),VLOOKUP($D895,TableInputsData[],ReadMe!$M$3,FALSE)&amp;"  |  "&amp;VLOOKUP($E895,TableInputsData[],ReadMe!$M$3,FALSE))</f>
        <v/>
      </c>
      <c r="C895" s="294"/>
      <c r="D895" s="163"/>
      <c r="E895"/>
      <c r="F895"/>
      <c r="G895"/>
      <c r="H895"/>
      <c r="I895"/>
      <c r="J895"/>
      <c r="K895"/>
      <c r="L895"/>
      <c r="M895"/>
      <c r="N895"/>
      <c r="O895" s="294"/>
    </row>
    <row r="896" spans="1:15" ht="16" hidden="1" outlineLevel="1" x14ac:dyDescent="0.2">
      <c r="A896" s="294"/>
      <c r="B896" s="423" t="str">
        <f>IF($E896="",IF($D896="","",VLOOKUP($D896,TableInputsData[],ReadMe!$M$3,FALSE)),VLOOKUP($D896,TableInputsData[],ReadMe!$M$3,FALSE)&amp;"  |  "&amp;VLOOKUP($E896,TableInputsData[],ReadMe!$M$3,FALSE))</f>
        <v/>
      </c>
      <c r="C896" s="294"/>
      <c r="D896" s="163"/>
      <c r="E896"/>
      <c r="F896"/>
      <c r="G896"/>
      <c r="H896"/>
      <c r="I896"/>
      <c r="J896"/>
      <c r="K896"/>
      <c r="L896"/>
      <c r="M896"/>
      <c r="N896"/>
      <c r="O896" s="294"/>
    </row>
    <row r="897" spans="1:15" ht="16" hidden="1" outlineLevel="1" x14ac:dyDescent="0.2">
      <c r="A897" s="294"/>
      <c r="B897" s="423" t="str">
        <f>IF($E897="",IF($D897="","",VLOOKUP($D897,TableInputsData[],ReadMe!$M$3,FALSE)),VLOOKUP($D897,TableInputsData[],ReadMe!$M$3,FALSE)&amp;"  |  "&amp;VLOOKUP($E897,TableInputsData[],ReadMe!$M$3,FALSE))</f>
        <v/>
      </c>
      <c r="C897" s="294"/>
      <c r="D897" s="163"/>
      <c r="E897"/>
      <c r="F897"/>
      <c r="G897"/>
      <c r="H897"/>
      <c r="I897"/>
      <c r="J897"/>
      <c r="K897"/>
      <c r="L897"/>
      <c r="M897"/>
      <c r="N897"/>
      <c r="O897" s="294"/>
    </row>
    <row r="898" spans="1:15" ht="16" hidden="1" outlineLevel="1" x14ac:dyDescent="0.2">
      <c r="A898" s="294"/>
      <c r="B898" s="423" t="str">
        <f>IF($E898="",IF($D898="","",VLOOKUP($D898,TableInputsData[],ReadMe!$M$3,FALSE)),VLOOKUP($D898,TableInputsData[],ReadMe!$M$3,FALSE)&amp;"  |  "&amp;VLOOKUP($E898,TableInputsData[],ReadMe!$M$3,FALSE))</f>
        <v/>
      </c>
      <c r="C898" s="294"/>
      <c r="D898" s="163"/>
      <c r="E898"/>
      <c r="F898"/>
      <c r="G898"/>
      <c r="H898"/>
      <c r="I898"/>
      <c r="J898"/>
      <c r="K898"/>
      <c r="L898"/>
      <c r="M898"/>
      <c r="N898"/>
      <c r="O898" s="294"/>
    </row>
    <row r="899" spans="1:15" ht="16" hidden="1" outlineLevel="1" x14ac:dyDescent="0.2">
      <c r="A899" s="294"/>
      <c r="B899" s="423" t="str">
        <f>IF($E899="",IF($D899="","",VLOOKUP($D899,TableInputsData[],ReadMe!$M$3,FALSE)),VLOOKUP($D899,TableInputsData[],ReadMe!$M$3,FALSE)&amp;"  |  "&amp;VLOOKUP($E899,TableInputsData[],ReadMe!$M$3,FALSE))</f>
        <v/>
      </c>
      <c r="C899" s="294"/>
      <c r="D899" s="163"/>
      <c r="E899"/>
      <c r="F899"/>
      <c r="G899"/>
      <c r="H899"/>
      <c r="I899"/>
      <c r="J899"/>
      <c r="K899"/>
      <c r="L899"/>
      <c r="M899"/>
      <c r="N899"/>
      <c r="O899" s="294"/>
    </row>
    <row r="900" spans="1:15" ht="16" hidden="1" outlineLevel="1" x14ac:dyDescent="0.2">
      <c r="A900" s="294"/>
      <c r="B900" s="423" t="str">
        <f>IF($E900="",IF($D900="","",VLOOKUP($D900,TableInputsData[],ReadMe!$M$3,FALSE)),VLOOKUP($D900,TableInputsData[],ReadMe!$M$3,FALSE)&amp;"  |  "&amp;VLOOKUP($E900,TableInputsData[],ReadMe!$M$3,FALSE))</f>
        <v/>
      </c>
      <c r="C900" s="294"/>
      <c r="D900" s="163"/>
      <c r="E900"/>
      <c r="F900"/>
      <c r="G900"/>
      <c r="H900"/>
      <c r="I900"/>
      <c r="J900"/>
      <c r="K900"/>
      <c r="L900"/>
      <c r="M900"/>
      <c r="N900"/>
      <c r="O900" s="294"/>
    </row>
    <row r="901" spans="1:15" ht="16" hidden="1" outlineLevel="1" x14ac:dyDescent="0.2">
      <c r="A901" s="294"/>
      <c r="B901" s="423" t="str">
        <f>IF($E901="",IF($D901="","",VLOOKUP($D901,TableInputsData[],ReadMe!$M$3,FALSE)),VLOOKUP($D901,TableInputsData[],ReadMe!$M$3,FALSE)&amp;"  |  "&amp;VLOOKUP($E901,TableInputsData[],ReadMe!$M$3,FALSE))</f>
        <v/>
      </c>
      <c r="C901" s="294"/>
      <c r="D901" s="163"/>
      <c r="E901"/>
      <c r="F901"/>
      <c r="G901"/>
      <c r="H901"/>
      <c r="I901"/>
      <c r="J901"/>
      <c r="K901"/>
      <c r="L901"/>
      <c r="M901"/>
      <c r="N901"/>
      <c r="O901" s="294"/>
    </row>
    <row r="902" spans="1:15" ht="16" hidden="1" outlineLevel="1" x14ac:dyDescent="0.2">
      <c r="A902" s="294"/>
      <c r="B902" s="423" t="str">
        <f>IF($E902="",IF($D902="","",VLOOKUP($D902,TableInputsData[],ReadMe!$M$3,FALSE)),VLOOKUP($D902,TableInputsData[],ReadMe!$M$3,FALSE)&amp;"  |  "&amp;VLOOKUP($E902,TableInputsData[],ReadMe!$M$3,FALSE))</f>
        <v/>
      </c>
      <c r="C902" s="294"/>
      <c r="D902" s="163"/>
      <c r="E902"/>
      <c r="F902"/>
      <c r="G902"/>
      <c r="H902"/>
      <c r="I902"/>
      <c r="J902"/>
      <c r="K902"/>
      <c r="L902"/>
      <c r="M902"/>
      <c r="N902"/>
      <c r="O902" s="294"/>
    </row>
    <row r="903" spans="1:15" ht="16" hidden="1" outlineLevel="1" x14ac:dyDescent="0.2">
      <c r="A903" s="294"/>
      <c r="B903" s="423" t="str">
        <f>IF($E903="",IF($D903="","",VLOOKUP($D903,TableInputsData[],ReadMe!$M$3,FALSE)),VLOOKUP($D903,TableInputsData[],ReadMe!$M$3,FALSE)&amp;"  |  "&amp;VLOOKUP($E903,TableInputsData[],ReadMe!$M$3,FALSE))</f>
        <v/>
      </c>
      <c r="C903" s="294"/>
      <c r="D903" s="163"/>
      <c r="E903"/>
      <c r="F903"/>
      <c r="G903"/>
      <c r="H903"/>
      <c r="I903"/>
      <c r="J903"/>
      <c r="K903"/>
      <c r="L903"/>
      <c r="M903"/>
      <c r="N903"/>
      <c r="O903" s="294"/>
    </row>
    <row r="904" spans="1:15" ht="16" hidden="1" outlineLevel="1" x14ac:dyDescent="0.2">
      <c r="A904" s="294"/>
      <c r="B904" s="423" t="str">
        <f>IF($E904="",IF($D904="","",VLOOKUP($D904,TableInputsData[],ReadMe!$M$3,FALSE)),VLOOKUP($D904,TableInputsData[],ReadMe!$M$3,FALSE)&amp;"  |  "&amp;VLOOKUP($E904,TableInputsData[],ReadMe!$M$3,FALSE))</f>
        <v/>
      </c>
      <c r="C904" s="294"/>
      <c r="D904" s="163"/>
      <c r="E904"/>
      <c r="F904"/>
      <c r="G904"/>
      <c r="H904"/>
      <c r="I904"/>
      <c r="J904"/>
      <c r="K904"/>
      <c r="L904"/>
      <c r="M904"/>
      <c r="N904"/>
      <c r="O904" s="294"/>
    </row>
    <row r="905" spans="1:15" ht="16" hidden="1" outlineLevel="1" x14ac:dyDescent="0.2">
      <c r="A905" s="294"/>
      <c r="B905" s="423" t="str">
        <f>IF($E905="",IF($D905="","",VLOOKUP($D905,TableInputsData[],ReadMe!$M$3,FALSE)),VLOOKUP($D905,TableInputsData[],ReadMe!$M$3,FALSE)&amp;"  |  "&amp;VLOOKUP($E905,TableInputsData[],ReadMe!$M$3,FALSE))</f>
        <v/>
      </c>
      <c r="C905" s="294"/>
      <c r="D905" s="163"/>
      <c r="E905"/>
      <c r="F905"/>
      <c r="G905"/>
      <c r="H905"/>
      <c r="I905"/>
      <c r="J905"/>
      <c r="K905"/>
      <c r="L905"/>
      <c r="M905"/>
      <c r="N905"/>
      <c r="O905" s="294"/>
    </row>
    <row r="906" spans="1:15" ht="16" hidden="1" outlineLevel="1" x14ac:dyDescent="0.2">
      <c r="A906" s="294"/>
      <c r="B906" s="423" t="str">
        <f>IF($E906="",IF($D906="","",VLOOKUP($D906,TableInputsData[],ReadMe!$M$3,FALSE)),VLOOKUP($D906,TableInputsData[],ReadMe!$M$3,FALSE)&amp;"  |  "&amp;VLOOKUP($E906,TableInputsData[],ReadMe!$M$3,FALSE))</f>
        <v/>
      </c>
      <c r="C906" s="294"/>
      <c r="D906" s="163"/>
      <c r="E906"/>
      <c r="F906"/>
      <c r="G906"/>
      <c r="H906"/>
      <c r="I906"/>
      <c r="J906"/>
      <c r="K906"/>
      <c r="L906"/>
      <c r="M906"/>
      <c r="N906"/>
      <c r="O906" s="294"/>
    </row>
    <row r="907" spans="1:15" ht="16" hidden="1" outlineLevel="1" x14ac:dyDescent="0.2">
      <c r="A907" s="294"/>
      <c r="B907" s="423" t="str">
        <f>IF($E907="",IF($D907="","",VLOOKUP($D907,TableInputsData[],ReadMe!$M$3,FALSE)),VLOOKUP($D907,TableInputsData[],ReadMe!$M$3,FALSE)&amp;"  |  "&amp;VLOOKUP($E907,TableInputsData[],ReadMe!$M$3,FALSE))</f>
        <v/>
      </c>
      <c r="C907" s="294"/>
      <c r="D907" s="163"/>
      <c r="E907"/>
      <c r="F907"/>
      <c r="G907"/>
      <c r="H907"/>
      <c r="I907"/>
      <c r="J907"/>
      <c r="K907"/>
      <c r="L907"/>
      <c r="M907"/>
      <c r="N907"/>
      <c r="O907" s="294"/>
    </row>
    <row r="908" spans="1:15" ht="16" hidden="1" outlineLevel="1" x14ac:dyDescent="0.2">
      <c r="A908" s="294"/>
      <c r="B908" s="423" t="str">
        <f>IF($E908="",IF($D908="","",VLOOKUP($D908,TableInputsData[],ReadMe!$M$3,FALSE)),VLOOKUP($D908,TableInputsData[],ReadMe!$M$3,FALSE)&amp;"  |  "&amp;VLOOKUP($E908,TableInputsData[],ReadMe!$M$3,FALSE))</f>
        <v/>
      </c>
      <c r="C908" s="294"/>
      <c r="D908" s="163"/>
      <c r="E908"/>
      <c r="F908"/>
      <c r="G908"/>
      <c r="H908"/>
      <c r="I908"/>
      <c r="J908"/>
      <c r="K908"/>
      <c r="L908"/>
      <c r="M908"/>
      <c r="N908"/>
      <c r="O908" s="294"/>
    </row>
    <row r="909" spans="1:15" ht="16" hidden="1" outlineLevel="1" x14ac:dyDescent="0.2">
      <c r="A909" s="294"/>
      <c r="B909" s="423" t="str">
        <f>IF($E909="",IF($D909="","",VLOOKUP($D909,TableInputsData[],ReadMe!$M$3,FALSE)),VLOOKUP($D909,TableInputsData[],ReadMe!$M$3,FALSE)&amp;"  |  "&amp;VLOOKUP($E909,TableInputsData[],ReadMe!$M$3,FALSE))</f>
        <v/>
      </c>
      <c r="C909" s="294"/>
      <c r="D909" s="163"/>
      <c r="E909"/>
      <c r="F909"/>
      <c r="G909"/>
      <c r="H909"/>
      <c r="I909"/>
      <c r="J909"/>
      <c r="K909"/>
      <c r="L909"/>
      <c r="M909"/>
      <c r="N909"/>
      <c r="O909" s="294"/>
    </row>
    <row r="910" spans="1:15" ht="16" hidden="1" outlineLevel="1" x14ac:dyDescent="0.2">
      <c r="A910" s="294"/>
      <c r="B910" s="423" t="str">
        <f>IF($E910="",IF($D910="","",VLOOKUP($D910,TableInputsData[],ReadMe!$M$3,FALSE)),VLOOKUP($D910,TableInputsData[],ReadMe!$M$3,FALSE)&amp;"  |  "&amp;VLOOKUP($E910,TableInputsData[],ReadMe!$M$3,FALSE))</f>
        <v/>
      </c>
      <c r="C910" s="294"/>
      <c r="D910" s="163"/>
      <c r="E910"/>
      <c r="F910"/>
      <c r="G910"/>
      <c r="H910"/>
      <c r="I910"/>
      <c r="J910"/>
      <c r="K910"/>
      <c r="L910"/>
      <c r="M910"/>
      <c r="N910"/>
      <c r="O910" s="294"/>
    </row>
    <row r="911" spans="1:15" ht="16" hidden="1" outlineLevel="1" x14ac:dyDescent="0.2">
      <c r="A911" s="294"/>
      <c r="B911" s="423" t="str">
        <f>IF($E911="",IF($D911="","",VLOOKUP($D911,TableInputsData[],ReadMe!$M$3,FALSE)),VLOOKUP($D911,TableInputsData[],ReadMe!$M$3,FALSE)&amp;"  |  "&amp;VLOOKUP($E911,TableInputsData[],ReadMe!$M$3,FALSE))</f>
        <v/>
      </c>
      <c r="C911" s="294"/>
      <c r="D911" s="163"/>
      <c r="E911"/>
      <c r="F911"/>
      <c r="G911"/>
      <c r="H911"/>
      <c r="I911"/>
      <c r="J911"/>
      <c r="K911"/>
      <c r="L911"/>
      <c r="M911"/>
      <c r="N911"/>
      <c r="O911" s="294"/>
    </row>
    <row r="912" spans="1:15" ht="16" hidden="1" outlineLevel="1" x14ac:dyDescent="0.2">
      <c r="A912" s="294"/>
      <c r="B912" s="423" t="str">
        <f>IF($E912="",IF($D912="","",VLOOKUP($D912,TableInputsData[],ReadMe!$M$3,FALSE)),VLOOKUP($D912,TableInputsData[],ReadMe!$M$3,FALSE)&amp;"  |  "&amp;VLOOKUP($E912,TableInputsData[],ReadMe!$M$3,FALSE))</f>
        <v/>
      </c>
      <c r="C912" s="294"/>
      <c r="D912" s="163"/>
      <c r="E912"/>
      <c r="F912"/>
      <c r="G912"/>
      <c r="H912"/>
      <c r="I912"/>
      <c r="J912"/>
      <c r="K912"/>
      <c r="L912"/>
      <c r="M912"/>
      <c r="N912"/>
      <c r="O912" s="294"/>
    </row>
    <row r="913" spans="1:15" ht="16" hidden="1" outlineLevel="1" x14ac:dyDescent="0.2">
      <c r="A913" s="294"/>
      <c r="B913" s="423" t="str">
        <f>IF($E913="",IF($D913="","",VLOOKUP($D913,TableInputsData[],ReadMe!$M$3,FALSE)),VLOOKUP($D913,TableInputsData[],ReadMe!$M$3,FALSE)&amp;"  |  "&amp;VLOOKUP($E913,TableInputsData[],ReadMe!$M$3,FALSE))</f>
        <v/>
      </c>
      <c r="C913" s="294"/>
      <c r="D913" s="163"/>
      <c r="E913"/>
      <c r="F913"/>
      <c r="G913"/>
      <c r="H913"/>
      <c r="I913"/>
      <c r="J913"/>
      <c r="K913"/>
      <c r="L913"/>
      <c r="M913"/>
      <c r="N913"/>
      <c r="O913" s="294"/>
    </row>
    <row r="914" spans="1:15" ht="16" hidden="1" outlineLevel="1" x14ac:dyDescent="0.2">
      <c r="A914" s="294"/>
      <c r="B914" s="423" t="str">
        <f>IF($E914="",IF($D914="","",VLOOKUP($D914,TableInputsData[],ReadMe!$M$3,FALSE)),VLOOKUP($D914,TableInputsData[],ReadMe!$M$3,FALSE)&amp;"  |  "&amp;VLOOKUP($E914,TableInputsData[],ReadMe!$M$3,FALSE))</f>
        <v/>
      </c>
      <c r="C914" s="294"/>
      <c r="D914" s="163"/>
      <c r="E914"/>
      <c r="F914"/>
      <c r="G914"/>
      <c r="H914"/>
      <c r="I914"/>
      <c r="J914"/>
      <c r="K914"/>
      <c r="L914"/>
      <c r="M914"/>
      <c r="N914"/>
      <c r="O914" s="294"/>
    </row>
    <row r="915" spans="1:15" ht="16" hidden="1" outlineLevel="1" x14ac:dyDescent="0.2">
      <c r="A915" s="294"/>
      <c r="B915" s="423" t="str">
        <f>IF($E915="",IF($D915="","",VLOOKUP($D915,TableInputsData[],ReadMe!$M$3,FALSE)),VLOOKUP($D915,TableInputsData[],ReadMe!$M$3,FALSE)&amp;"  |  "&amp;VLOOKUP($E915,TableInputsData[],ReadMe!$M$3,FALSE))</f>
        <v/>
      </c>
      <c r="C915" s="294"/>
      <c r="D915" s="163"/>
      <c r="E915"/>
      <c r="F915"/>
      <c r="G915"/>
      <c r="H915"/>
      <c r="I915"/>
      <c r="J915"/>
      <c r="K915"/>
      <c r="L915"/>
      <c r="M915"/>
      <c r="N915"/>
      <c r="O915" s="294"/>
    </row>
    <row r="916" spans="1:15" ht="16" hidden="1" outlineLevel="1" x14ac:dyDescent="0.2">
      <c r="A916" s="294"/>
      <c r="B916" s="423" t="str">
        <f>IF($E916="",IF($D916="","",VLOOKUP($D916,TableInputsData[],ReadMe!$M$3,FALSE)),VLOOKUP($D916,TableInputsData[],ReadMe!$M$3,FALSE)&amp;"  |  "&amp;VLOOKUP($E916,TableInputsData[],ReadMe!$M$3,FALSE))</f>
        <v/>
      </c>
      <c r="C916" s="294"/>
      <c r="D916" s="163"/>
      <c r="E916"/>
      <c r="F916"/>
      <c r="G916"/>
      <c r="H916"/>
      <c r="I916"/>
      <c r="J916"/>
      <c r="K916"/>
      <c r="L916"/>
      <c r="M916"/>
      <c r="N916"/>
      <c r="O916" s="294"/>
    </row>
    <row r="917" spans="1:15" ht="16" hidden="1" outlineLevel="1" x14ac:dyDescent="0.2">
      <c r="A917" s="294"/>
      <c r="B917" s="423" t="str">
        <f>IF($E917="",IF($D917="","",VLOOKUP($D917,TableInputsData[],ReadMe!$M$3,FALSE)),VLOOKUP($D917,TableInputsData[],ReadMe!$M$3,FALSE)&amp;"  |  "&amp;VLOOKUP($E917,TableInputsData[],ReadMe!$M$3,FALSE))</f>
        <v/>
      </c>
      <c r="C917" s="294"/>
      <c r="D917" s="163"/>
      <c r="E917"/>
      <c r="F917"/>
      <c r="G917"/>
      <c r="H917"/>
      <c r="I917"/>
      <c r="J917"/>
      <c r="K917"/>
      <c r="L917"/>
      <c r="M917"/>
      <c r="N917"/>
      <c r="O917" s="294"/>
    </row>
    <row r="918" spans="1:15" ht="16" hidden="1" outlineLevel="1" x14ac:dyDescent="0.2">
      <c r="A918" s="294"/>
      <c r="B918" s="423" t="str">
        <f>IF($E918="",IF($D918="","",VLOOKUP($D918,TableInputsData[],ReadMe!$M$3,FALSE)),VLOOKUP($D918,TableInputsData[],ReadMe!$M$3,FALSE)&amp;"  |  "&amp;VLOOKUP($E918,TableInputsData[],ReadMe!$M$3,FALSE))</f>
        <v/>
      </c>
      <c r="C918" s="294"/>
      <c r="D918" s="163"/>
      <c r="E918"/>
      <c r="F918"/>
      <c r="G918"/>
      <c r="H918"/>
      <c r="I918"/>
      <c r="J918"/>
      <c r="K918"/>
      <c r="L918"/>
      <c r="M918"/>
      <c r="N918"/>
      <c r="O918" s="294"/>
    </row>
    <row r="919" spans="1:15" ht="16" hidden="1" outlineLevel="1" x14ac:dyDescent="0.2">
      <c r="A919" s="294"/>
      <c r="B919" s="423" t="str">
        <f>IF($E919="",IF($D919="","",VLOOKUP($D919,TableInputsData[],ReadMe!$M$3,FALSE)),VLOOKUP($D919,TableInputsData[],ReadMe!$M$3,FALSE)&amp;"  |  "&amp;VLOOKUP($E919,TableInputsData[],ReadMe!$M$3,FALSE))</f>
        <v/>
      </c>
      <c r="C919" s="294"/>
      <c r="D919"/>
      <c r="E919"/>
      <c r="F919"/>
      <c r="G919"/>
      <c r="H919"/>
      <c r="I919"/>
      <c r="J919"/>
      <c r="K919"/>
      <c r="L919"/>
      <c r="M919"/>
      <c r="N919"/>
      <c r="O919" s="294"/>
    </row>
    <row r="920" spans="1:15" ht="16" hidden="1" outlineLevel="1" x14ac:dyDescent="0.2">
      <c r="A920" s="294"/>
      <c r="B920" s="423" t="str">
        <f>IF($E920="",IF($D920="","",VLOOKUP($D920,TableInputsData[],ReadMe!$M$3,FALSE)),VLOOKUP($D920,TableInputsData[],ReadMe!$M$3,FALSE)&amp;"  |  "&amp;VLOOKUP($E920,TableInputsData[],ReadMe!$M$3,FALSE))</f>
        <v/>
      </c>
      <c r="C920" s="294"/>
      <c r="D920"/>
      <c r="E920"/>
      <c r="F920"/>
      <c r="G920"/>
      <c r="H920"/>
      <c r="I920"/>
      <c r="J920"/>
      <c r="K920"/>
      <c r="L920"/>
      <c r="M920"/>
      <c r="N920"/>
      <c r="O920" s="294"/>
    </row>
    <row r="921" spans="1:15" ht="16" hidden="1" outlineLevel="1" x14ac:dyDescent="0.2">
      <c r="A921" s="294"/>
      <c r="B921" s="423" t="str">
        <f>IF($E921="",IF($D921="","",VLOOKUP($D921,TableInputsData[],ReadMe!$M$3,FALSE)),VLOOKUP($D921,TableInputsData[],ReadMe!$M$3,FALSE)&amp;"  |  "&amp;VLOOKUP($E921,TableInputsData[],ReadMe!$M$3,FALSE))</f>
        <v/>
      </c>
      <c r="C921" s="294"/>
      <c r="D921"/>
      <c r="E921"/>
      <c r="F921"/>
      <c r="G921"/>
      <c r="H921"/>
      <c r="I921"/>
      <c r="J921"/>
      <c r="K921"/>
      <c r="L921"/>
      <c r="M921"/>
      <c r="N921"/>
      <c r="O921" s="294"/>
    </row>
    <row r="922" spans="1:15" ht="16" collapsed="1" x14ac:dyDescent="0.2">
      <c r="A922" s="294"/>
      <c r="B922" s="294"/>
      <c r="C922" s="294"/>
      <c r="D922" s="313"/>
      <c r="E922" s="313"/>
      <c r="F922" s="313"/>
      <c r="G922" s="313"/>
      <c r="H922" s="313"/>
      <c r="I922" s="313"/>
      <c r="J922" s="313"/>
      <c r="K922" s="313"/>
      <c r="L922" s="313"/>
      <c r="M922" s="313"/>
      <c r="N922" s="313"/>
      <c r="O922" s="294"/>
    </row>
    <row r="923" spans="1:15" x14ac:dyDescent="0.2">
      <c r="A923" s="294"/>
      <c r="B923" s="164" t="str">
        <f>VLOOKUP($D923,TableInputsData[],ReadMe!$M$3,FALSE)</f>
        <v>ETAT DES FLUX DE TRESORERIE</v>
      </c>
      <c r="C923" s="294"/>
      <c r="D923" s="164" t="s">
        <v>935</v>
      </c>
      <c r="E923" s="151"/>
      <c r="F923" s="152"/>
      <c r="G923" s="152"/>
      <c r="H923" s="152"/>
      <c r="I923" s="152"/>
      <c r="J923" s="152"/>
      <c r="K923" s="152"/>
      <c r="L923" s="152"/>
      <c r="M923" s="152"/>
      <c r="N923" s="545" t="str">
        <f>$N$223</f>
        <v>CAS TYPIQUE
SCENARIO DE SIMULATION</v>
      </c>
      <c r="O923" s="294"/>
    </row>
    <row r="924" spans="1:15" x14ac:dyDescent="0.15">
      <c r="A924" s="294"/>
      <c r="B924" s="294"/>
      <c r="C924" s="294"/>
      <c r="D924" s="300" t="s">
        <v>994</v>
      </c>
      <c r="E924" s="294"/>
      <c r="F924" s="294"/>
      <c r="G924" s="294"/>
      <c r="H924" s="294"/>
      <c r="I924" s="294"/>
      <c r="J924" s="294"/>
      <c r="K924" s="294"/>
      <c r="L924" s="294"/>
      <c r="M924" s="294"/>
      <c r="N924" s="294"/>
      <c r="O924" s="294"/>
    </row>
    <row r="925" spans="1:15" hidden="1" outlineLevel="1" x14ac:dyDescent="0.2">
      <c r="A925" s="294"/>
      <c r="B925" s="294"/>
      <c r="C925" s="294"/>
      <c r="D925" s="162" t="s">
        <v>122</v>
      </c>
      <c r="E925" s="379">
        <v>6</v>
      </c>
      <c r="F925" s="294"/>
      <c r="G925" s="294"/>
      <c r="H925" s="294"/>
      <c r="I925" s="294"/>
      <c r="J925" s="294"/>
      <c r="K925" s="294"/>
      <c r="L925" s="294"/>
      <c r="M925" s="294"/>
      <c r="N925" s="294"/>
      <c r="O925" s="294"/>
    </row>
    <row r="926" spans="1:15" hidden="1" outlineLevel="1" x14ac:dyDescent="0.2">
      <c r="A926" s="294"/>
      <c r="B926" s="294"/>
      <c r="C926" s="294"/>
      <c r="D926" s="162" t="s">
        <v>591</v>
      </c>
      <c r="E926" s="379">
        <v>1</v>
      </c>
      <c r="F926" s="294"/>
      <c r="G926" s="294"/>
      <c r="H926" s="294"/>
      <c r="I926" s="294"/>
      <c r="J926" s="294"/>
      <c r="K926" s="294"/>
      <c r="L926" s="294"/>
      <c r="M926" s="294"/>
      <c r="N926" s="294"/>
      <c r="O926" s="294"/>
    </row>
    <row r="927" spans="1:15" hidden="1" outlineLevel="1" x14ac:dyDescent="0.2">
      <c r="A927" s="294"/>
      <c r="B927" s="294"/>
      <c r="C927" s="294"/>
      <c r="D927" s="162" t="s">
        <v>590</v>
      </c>
      <c r="E927" s="1" t="s">
        <v>114</v>
      </c>
      <c r="F927" s="294"/>
      <c r="G927" s="294"/>
      <c r="H927" s="294"/>
      <c r="I927" s="294"/>
      <c r="J927" s="294"/>
      <c r="K927" s="294"/>
      <c r="L927" s="294"/>
      <c r="M927" s="294"/>
      <c r="N927" s="294"/>
      <c r="O927" s="294"/>
    </row>
    <row r="928" spans="1:15" hidden="1" outlineLevel="1" x14ac:dyDescent="0.2">
      <c r="A928" s="294"/>
      <c r="B928" s="294"/>
      <c r="C928" s="294"/>
      <c r="D928" s="294"/>
      <c r="E928" s="294"/>
      <c r="F928" s="294"/>
      <c r="G928" s="294"/>
      <c r="H928" s="294"/>
      <c r="I928" s="294"/>
      <c r="J928" s="294"/>
      <c r="K928" s="294"/>
      <c r="L928" s="294"/>
      <c r="M928" s="294"/>
      <c r="N928" s="294"/>
      <c r="O928" s="294"/>
    </row>
    <row r="929" spans="1:15" ht="42" collapsed="1" x14ac:dyDescent="0.2">
      <c r="A929" s="294"/>
      <c r="B929" s="439" t="s">
        <v>0</v>
      </c>
      <c r="C929" s="294"/>
      <c r="D929" s="378" t="s">
        <v>1</v>
      </c>
      <c r="E929" s="437" t="s">
        <v>30</v>
      </c>
      <c r="F929" s="378" t="s">
        <v>3</v>
      </c>
      <c r="G929" s="382" t="s">
        <v>973</v>
      </c>
      <c r="H929" s="382" t="s">
        <v>974</v>
      </c>
      <c r="I929" s="382" t="s">
        <v>975</v>
      </c>
      <c r="J929" s="382" t="s">
        <v>976</v>
      </c>
      <c r="K929" s="382" t="s">
        <v>977</v>
      </c>
      <c r="L929" s="382" t="s">
        <v>978</v>
      </c>
      <c r="M929" s="382" t="s">
        <v>979</v>
      </c>
      <c r="N929" s="382" t="s">
        <v>980</v>
      </c>
      <c r="O929" s="294"/>
    </row>
    <row r="930" spans="1:15" x14ac:dyDescent="0.15">
      <c r="A930" s="294"/>
      <c r="B930" s="817" t="str">
        <f>IF($E930="",IF($D930="","",VLOOKUP($D930,TableInputsData[],ReadMe!$M$3,FALSE)),VLOOKUP($D930,TableInputsData[],ReadMe!$M$3,FALSE)&amp;"  |  "&amp;VLOOKUP($E930,TableInputsData[],ReadMe!$M$3,FALSE))</f>
        <v>FONDS DE ROULEMENT  |  POSITION DE TRESORERIE DEBUT DE LA PERIODE</v>
      </c>
      <c r="C930" s="294"/>
      <c r="D930" s="1" t="s">
        <v>863</v>
      </c>
      <c r="E930" s="1" t="s">
        <v>936</v>
      </c>
      <c r="F930" s="1" t="s">
        <v>144</v>
      </c>
      <c r="G930" s="2"/>
      <c r="H930" s="2">
        <v>0</v>
      </c>
      <c r="I930" s="2">
        <v>0</v>
      </c>
      <c r="J930" s="2">
        <v>0</v>
      </c>
      <c r="K930" s="2">
        <v>0</v>
      </c>
      <c r="L930" s="2">
        <v>0</v>
      </c>
      <c r="M930" s="2">
        <v>0</v>
      </c>
      <c r="N930" s="2">
        <v>0</v>
      </c>
      <c r="O930" s="294"/>
    </row>
    <row r="931" spans="1:15" x14ac:dyDescent="0.15">
      <c r="A931" s="294"/>
      <c r="B931" s="817" t="str">
        <f>IF($E931="",IF($D931="","",VLOOKUP($D931,TableInputsData[],ReadMe!$M$3,FALSE)),VLOOKUP($D931,TableInputsData[],ReadMe!$M$3,FALSE)&amp;"  |  "&amp;VLOOKUP($E931,TableInputsData[],ReadMe!$M$3,FALSE))</f>
        <v>FONDS DE ROULEMENT  |  DIFFERENCE DU FONDS DE ROULEMENT PAR RAPPORT A L'ANNEE DERNIERE</v>
      </c>
      <c r="C931" s="294"/>
      <c r="D931" s="1" t="s">
        <v>863</v>
      </c>
      <c r="E931" s="1" t="s">
        <v>938</v>
      </c>
      <c r="F931" s="1" t="s">
        <v>144</v>
      </c>
      <c r="G931" s="2"/>
      <c r="H931" s="2">
        <v>0</v>
      </c>
      <c r="I931" s="2">
        <v>0</v>
      </c>
      <c r="J931" s="2">
        <v>0</v>
      </c>
      <c r="K931" s="2">
        <v>0</v>
      </c>
      <c r="L931" s="2">
        <v>0</v>
      </c>
      <c r="M931" s="2">
        <v>0</v>
      </c>
      <c r="N931" s="2">
        <v>0</v>
      </c>
      <c r="O931" s="294"/>
    </row>
    <row r="932" spans="1:15" x14ac:dyDescent="0.15">
      <c r="A932" s="294"/>
      <c r="B932" s="817" t="str">
        <f>IF($E932="",IF($D932="","",VLOOKUP($D932,TableInputsData[],ReadMe!$M$3,FALSE)),VLOOKUP($D932,TableInputsData[],ReadMe!$M$3,FALSE)&amp;"  |  "&amp;VLOOKUP($E932,TableInputsData[],ReadMe!$M$3,FALSE))</f>
        <v>FONDS DE ROULEMENT  |  BENEFICE BRUT + AMORTISSEMENTS - IMPOT ANNEE PRECEDENTE</v>
      </c>
      <c r="C932" s="294"/>
      <c r="D932" s="1" t="s">
        <v>863</v>
      </c>
      <c r="E932" s="1" t="s">
        <v>937</v>
      </c>
      <c r="F932" s="1" t="s">
        <v>144</v>
      </c>
      <c r="G932" s="2"/>
      <c r="H932" s="2">
        <v>0</v>
      </c>
      <c r="I932" s="2">
        <v>0</v>
      </c>
      <c r="J932" s="2">
        <v>0</v>
      </c>
      <c r="K932" s="2">
        <v>0</v>
      </c>
      <c r="L932" s="2">
        <v>0</v>
      </c>
      <c r="M932" s="2">
        <v>0</v>
      </c>
      <c r="N932" s="2">
        <v>0</v>
      </c>
      <c r="O932" s="294"/>
    </row>
    <row r="933" spans="1:15" x14ac:dyDescent="0.15">
      <c r="A933" s="294"/>
      <c r="B933" s="817" t="str">
        <f>IF($E933="",IF($D933="","",VLOOKUP($D933,TableInputsData[],ReadMe!$M$3,FALSE)),VLOOKUP($D933,TableInputsData[],ReadMe!$M$3,FALSE)&amp;"  |  "&amp;VLOOKUP($E933,TableInputsData[],ReadMe!$M$3,FALSE))</f>
        <v>FONDS DE ROULEMENT  |  DEPENSES D'INVESTISSEMENTS</v>
      </c>
      <c r="C933" s="294"/>
      <c r="D933" s="1" t="s">
        <v>863</v>
      </c>
      <c r="E933" s="1" t="s">
        <v>939</v>
      </c>
      <c r="F933" s="1" t="s">
        <v>144</v>
      </c>
      <c r="G933" s="2"/>
      <c r="H933" s="2">
        <v>0</v>
      </c>
      <c r="I933" s="2">
        <v>0</v>
      </c>
      <c r="J933" s="2">
        <v>0</v>
      </c>
      <c r="K933" s="2">
        <v>0</v>
      </c>
      <c r="L933" s="2">
        <v>0</v>
      </c>
      <c r="M933" s="2">
        <v>0</v>
      </c>
      <c r="N933" s="2">
        <v>0</v>
      </c>
      <c r="O933" s="294"/>
    </row>
    <row r="934" spans="1:15" x14ac:dyDescent="0.2">
      <c r="A934" s="294"/>
      <c r="B934" s="816" t="str">
        <f>IF($E934="",IF($D934="","",VLOOKUP($D934,TableInputsData[],ReadMe!$M$3,FALSE)),VLOOKUP($D934,TableInputsData[],ReadMe!$M$3,FALSE)&amp;"  |  "&amp;VLOOKUP($E934,TableInputsData[],ReadMe!$M$3,FALSE))</f>
        <v>FONDS DE ROULEMENT Total</v>
      </c>
      <c r="C934" s="294"/>
      <c r="D934" s="380" t="s">
        <v>995</v>
      </c>
      <c r="E934" s="380"/>
      <c r="F934" s="380"/>
      <c r="G934" s="383"/>
      <c r="H934" s="383">
        <v>0</v>
      </c>
      <c r="I934" s="383">
        <v>0</v>
      </c>
      <c r="J934" s="383">
        <v>0</v>
      </c>
      <c r="K934" s="383">
        <v>0</v>
      </c>
      <c r="L934" s="383">
        <v>0</v>
      </c>
      <c r="M934" s="383">
        <v>0</v>
      </c>
      <c r="N934" s="383">
        <v>0</v>
      </c>
      <c r="O934" s="294"/>
    </row>
    <row r="935" spans="1:15" x14ac:dyDescent="0.15">
      <c r="A935" s="294"/>
      <c r="B935" s="817" t="str">
        <f>IF($E935="",IF($D935="","",VLOOKUP($D935,TableInputsData[],ReadMe!$M$3,FALSE)),VLOOKUP($D935,TableInputsData[],ReadMe!$M$3,FALSE)&amp;"  |  "&amp;VLOOKUP($E935,TableInputsData[],ReadMe!$M$3,FALSE))</f>
        <v>SOURCE DE FINANCEMENT  |  APPORT DE CAPITAL PAR ACTIONNAIRES EXISTANTS</v>
      </c>
      <c r="C935" s="294"/>
      <c r="D935" s="1" t="s">
        <v>951</v>
      </c>
      <c r="E935" s="1" t="s">
        <v>933</v>
      </c>
      <c r="F935" s="1" t="s">
        <v>144</v>
      </c>
      <c r="G935" s="2">
        <v>0</v>
      </c>
      <c r="H935" s="2">
        <v>0</v>
      </c>
      <c r="I935" s="2">
        <v>0</v>
      </c>
      <c r="J935" s="2">
        <v>0</v>
      </c>
      <c r="K935" s="2">
        <v>0</v>
      </c>
      <c r="L935" s="2">
        <v>0</v>
      </c>
      <c r="M935" s="2">
        <v>0</v>
      </c>
      <c r="N935" s="2">
        <v>0</v>
      </c>
      <c r="O935" s="294"/>
    </row>
    <row r="936" spans="1:15" x14ac:dyDescent="0.15">
      <c r="A936" s="294"/>
      <c r="B936" s="817" t="str">
        <f>IF($E936="",IF($D936="","",VLOOKUP($D936,TableInputsData[],ReadMe!$M$3,FALSE)),VLOOKUP($D936,TableInputsData[],ReadMe!$M$3,FALSE)&amp;"  |  "&amp;VLOOKUP($E936,TableInputsData[],ReadMe!$M$3,FALSE))</f>
        <v>SOURCE DE FINANCEMENT  |  APPORT DE CAPITAL PAR ACTIONNAIRES NOUVEAUX</v>
      </c>
      <c r="C936" s="294"/>
      <c r="D936" s="1" t="s">
        <v>951</v>
      </c>
      <c r="E936" s="1" t="s">
        <v>934</v>
      </c>
      <c r="F936" s="1" t="s">
        <v>144</v>
      </c>
      <c r="G936" s="2"/>
      <c r="H936" s="2"/>
      <c r="I936" s="2">
        <v>0</v>
      </c>
      <c r="J936" s="2">
        <v>0</v>
      </c>
      <c r="K936" s="2">
        <v>0</v>
      </c>
      <c r="L936" s="2">
        <v>0</v>
      </c>
      <c r="M936" s="2">
        <v>0</v>
      </c>
      <c r="N936" s="2">
        <v>0</v>
      </c>
      <c r="O936" s="294"/>
    </row>
    <row r="937" spans="1:15" x14ac:dyDescent="0.15">
      <c r="A937" s="294"/>
      <c r="B937" s="817" t="str">
        <f>IF($E937="",IF($D937="","",VLOOKUP($D937,TableInputsData[],ReadMe!$M$3,FALSE)),VLOOKUP($D937,TableInputsData[],ReadMe!$M$3,FALSE)&amp;"  |  "&amp;VLOOKUP($E937,TableInputsData[],ReadMe!$M$3,FALSE))</f>
        <v>SOURCE DE FINANCEMENT  |  PRET OVO</v>
      </c>
      <c r="C937" s="294"/>
      <c r="D937" s="1" t="s">
        <v>951</v>
      </c>
      <c r="E937" s="1" t="s">
        <v>921</v>
      </c>
      <c r="F937" s="1" t="s">
        <v>144</v>
      </c>
      <c r="G937" s="2"/>
      <c r="H937" s="2"/>
      <c r="I937" s="2">
        <v>0</v>
      </c>
      <c r="J937" s="2">
        <v>0</v>
      </c>
      <c r="K937" s="2">
        <v>0</v>
      </c>
      <c r="L937" s="2">
        <v>0</v>
      </c>
      <c r="M937" s="2">
        <v>0</v>
      </c>
      <c r="N937" s="2">
        <v>0</v>
      </c>
      <c r="O937" s="294"/>
    </row>
    <row r="938" spans="1:15" x14ac:dyDescent="0.15">
      <c r="A938" s="294"/>
      <c r="B938" s="817" t="str">
        <f>IF($E938="",IF($D938="","",VLOOKUP($D938,TableInputsData[],ReadMe!$M$3,FALSE)),VLOOKUP($D938,TableInputsData[],ReadMe!$M$3,FALSE)&amp;"  |  "&amp;VLOOKUP($E938,TableInputsData[],ReadMe!$M$3,FALSE))</f>
        <v>SOURCE DE FINANCEMENT  |  PRET FAMILLE ET AMIS</v>
      </c>
      <c r="C938" s="294"/>
      <c r="D938" s="1" t="s">
        <v>951</v>
      </c>
      <c r="E938" s="1" t="s">
        <v>916</v>
      </c>
      <c r="F938" s="1" t="s">
        <v>144</v>
      </c>
      <c r="G938" s="2"/>
      <c r="H938" s="2"/>
      <c r="I938" s="2">
        <v>0</v>
      </c>
      <c r="J938" s="2">
        <v>0</v>
      </c>
      <c r="K938" s="2">
        <v>0</v>
      </c>
      <c r="L938" s="2">
        <v>0</v>
      </c>
      <c r="M938" s="2">
        <v>0</v>
      </c>
      <c r="N938" s="2">
        <v>0</v>
      </c>
      <c r="O938" s="294"/>
    </row>
    <row r="939" spans="1:15" x14ac:dyDescent="0.15">
      <c r="A939" s="294"/>
      <c r="B939" s="817" t="str">
        <f>IF($E939="",IF($D939="","",VLOOKUP($D939,TableInputsData[],ReadMe!$M$3,FALSE)),VLOOKUP($D939,TableInputsData[],ReadMe!$M$3,FALSE)&amp;"  |  "&amp;VLOOKUP($E939,TableInputsData[],ReadMe!$M$3,FALSE))</f>
        <v>SOURCE DE FINANCEMENT  |  PRET BANQUE LOCALE</v>
      </c>
      <c r="C939" s="294"/>
      <c r="D939" s="1" t="s">
        <v>951</v>
      </c>
      <c r="E939" s="1" t="s">
        <v>920</v>
      </c>
      <c r="F939" s="1" t="s">
        <v>144</v>
      </c>
      <c r="G939" s="2"/>
      <c r="H939" s="2"/>
      <c r="I939" s="2">
        <v>0</v>
      </c>
      <c r="J939" s="2">
        <v>0</v>
      </c>
      <c r="K939" s="2">
        <v>0</v>
      </c>
      <c r="L939" s="2">
        <v>0</v>
      </c>
      <c r="M939" s="2">
        <v>0</v>
      </c>
      <c r="N939" s="2">
        <v>0</v>
      </c>
      <c r="O939" s="294"/>
    </row>
    <row r="940" spans="1:15" x14ac:dyDescent="0.15">
      <c r="A940" s="294"/>
      <c r="B940" s="817" t="str">
        <f>IF($E940="",IF($D940="","",VLOOKUP($D940,TableInputsData[],ReadMe!$M$3,FALSE)),VLOOKUP($D940,TableInputsData[],ReadMe!$M$3,FALSE)&amp;"  |  "&amp;VLOOKUP($E940,TableInputsData[],ReadMe!$M$3,FALSE))</f>
        <v>SOURCE DE FINANCEMENT  |  MODIFICATION DU CAPITAL PAR ANNULATION DE LA DETTE/DU BENEFICE ACCUMULE</v>
      </c>
      <c r="C940" s="294"/>
      <c r="D940" s="1" t="s">
        <v>951</v>
      </c>
      <c r="E940" s="1" t="s">
        <v>1896</v>
      </c>
      <c r="F940" s="1" t="s">
        <v>144</v>
      </c>
      <c r="G940" s="2">
        <v>0</v>
      </c>
      <c r="H940" s="2">
        <v>0</v>
      </c>
      <c r="I940" s="2">
        <v>0</v>
      </c>
      <c r="J940" s="2">
        <v>0</v>
      </c>
      <c r="K940" s="2">
        <v>0</v>
      </c>
      <c r="L940" s="2">
        <v>0</v>
      </c>
      <c r="M940" s="2">
        <v>0</v>
      </c>
      <c r="N940" s="2">
        <v>0</v>
      </c>
      <c r="O940" s="294"/>
    </row>
    <row r="941" spans="1:15" x14ac:dyDescent="0.2">
      <c r="A941" s="294"/>
      <c r="B941" s="816" t="str">
        <f>IF($E941="",IF($D941="","",VLOOKUP($D941,TableInputsData[],ReadMe!$M$3,FALSE)),VLOOKUP($D941,TableInputsData[],ReadMe!$M$3,FALSE)&amp;"  |  "&amp;VLOOKUP($E941,TableInputsData[],ReadMe!$M$3,FALSE))</f>
        <v>SOURCE DE FINANCEMENT Total</v>
      </c>
      <c r="C941" s="294"/>
      <c r="D941" s="380" t="s">
        <v>970</v>
      </c>
      <c r="E941" s="380"/>
      <c r="F941" s="380"/>
      <c r="G941" s="383">
        <v>0</v>
      </c>
      <c r="H941" s="383">
        <v>0</v>
      </c>
      <c r="I941" s="383">
        <v>0</v>
      </c>
      <c r="J941" s="383">
        <v>0</v>
      </c>
      <c r="K941" s="383">
        <v>0</v>
      </c>
      <c r="L941" s="383">
        <v>0</v>
      </c>
      <c r="M941" s="383">
        <v>0</v>
      </c>
      <c r="N941" s="383">
        <v>0</v>
      </c>
      <c r="O941" s="294"/>
    </row>
    <row r="942" spans="1:15" x14ac:dyDescent="0.15">
      <c r="A942" s="294"/>
      <c r="B942" s="817" t="str">
        <f>IF($E942="",IF($D942="","",VLOOKUP($D942,TableInputsData[],ReadMe!$M$3,FALSE)),VLOOKUP($D942,TableInputsData[],ReadMe!$M$3,FALSE)&amp;"  |  "&amp;VLOOKUP($E942,TableInputsData[],ReadMe!$M$3,FALSE))</f>
        <v>INTERETS  |  PRET OVO</v>
      </c>
      <c r="C942" s="294"/>
      <c r="D942" s="1" t="s">
        <v>909</v>
      </c>
      <c r="E942" s="1" t="s">
        <v>921</v>
      </c>
      <c r="F942" s="1" t="s">
        <v>144</v>
      </c>
      <c r="G942" s="2"/>
      <c r="H942" s="2"/>
      <c r="I942" s="2">
        <v>0</v>
      </c>
      <c r="J942" s="2">
        <v>0</v>
      </c>
      <c r="K942" s="2">
        <v>0</v>
      </c>
      <c r="L942" s="2">
        <v>0</v>
      </c>
      <c r="M942" s="2">
        <v>0</v>
      </c>
      <c r="N942" s="2">
        <v>0</v>
      </c>
      <c r="O942" s="294"/>
    </row>
    <row r="943" spans="1:15" x14ac:dyDescent="0.15">
      <c r="A943" s="294"/>
      <c r="B943" s="817" t="str">
        <f>IF($E943="",IF($D943="","",VLOOKUP($D943,TableInputsData[],ReadMe!$M$3,FALSE)),VLOOKUP($D943,TableInputsData[],ReadMe!$M$3,FALSE)&amp;"  |  "&amp;VLOOKUP($E943,TableInputsData[],ReadMe!$M$3,FALSE))</f>
        <v>INTERETS  |  PRET FAMILLE ET AMIS</v>
      </c>
      <c r="C943" s="294"/>
      <c r="D943" s="1" t="s">
        <v>909</v>
      </c>
      <c r="E943" s="1" t="s">
        <v>916</v>
      </c>
      <c r="F943" s="1" t="s">
        <v>144</v>
      </c>
      <c r="G943" s="2"/>
      <c r="H943" s="2"/>
      <c r="I943" s="2">
        <v>0</v>
      </c>
      <c r="J943" s="2">
        <v>0</v>
      </c>
      <c r="K943" s="2">
        <v>0</v>
      </c>
      <c r="L943" s="2">
        <v>0</v>
      </c>
      <c r="M943" s="2">
        <v>0</v>
      </c>
      <c r="N943" s="2">
        <v>0</v>
      </c>
      <c r="O943" s="294"/>
    </row>
    <row r="944" spans="1:15" x14ac:dyDescent="0.15">
      <c r="A944" s="294"/>
      <c r="B944" s="817" t="str">
        <f>IF($E944="",IF($D944="","",VLOOKUP($D944,TableInputsData[],ReadMe!$M$3,FALSE)),VLOOKUP($D944,TableInputsData[],ReadMe!$M$3,FALSE)&amp;"  |  "&amp;VLOOKUP($E944,TableInputsData[],ReadMe!$M$3,FALSE))</f>
        <v>INTERETS  |  PRET BANQUE LOCALE</v>
      </c>
      <c r="C944" s="294"/>
      <c r="D944" s="1" t="s">
        <v>909</v>
      </c>
      <c r="E944" s="1" t="s">
        <v>920</v>
      </c>
      <c r="F944" s="1" t="s">
        <v>144</v>
      </c>
      <c r="G944" s="2"/>
      <c r="H944" s="2"/>
      <c r="I944" s="2">
        <v>0</v>
      </c>
      <c r="J944" s="2">
        <v>0</v>
      </c>
      <c r="K944" s="2">
        <v>0</v>
      </c>
      <c r="L944" s="2">
        <v>0</v>
      </c>
      <c r="M944" s="2">
        <v>0</v>
      </c>
      <c r="N944" s="2">
        <v>0</v>
      </c>
      <c r="O944" s="294"/>
    </row>
    <row r="945" spans="1:15" x14ac:dyDescent="0.2">
      <c r="A945" s="294"/>
      <c r="B945" s="816" t="str">
        <f>IF($E945="",IF($D945="","",VLOOKUP($D945,TableInputsData[],ReadMe!$M$3,FALSE)),VLOOKUP($D945,TableInputsData[],ReadMe!$M$3,FALSE)&amp;"  |  "&amp;VLOOKUP($E945,TableInputsData[],ReadMe!$M$3,FALSE))</f>
        <v>INTERETS Total</v>
      </c>
      <c r="C945" s="294"/>
      <c r="D945" s="380" t="s">
        <v>969</v>
      </c>
      <c r="E945" s="380"/>
      <c r="F945" s="380"/>
      <c r="G945" s="383"/>
      <c r="H945" s="383"/>
      <c r="I945" s="383">
        <v>0</v>
      </c>
      <c r="J945" s="383">
        <v>0</v>
      </c>
      <c r="K945" s="383">
        <v>0</v>
      </c>
      <c r="L945" s="383">
        <v>0</v>
      </c>
      <c r="M945" s="383">
        <v>0</v>
      </c>
      <c r="N945" s="383">
        <v>0</v>
      </c>
      <c r="O945" s="294"/>
    </row>
    <row r="946" spans="1:15" x14ac:dyDescent="0.15">
      <c r="A946" s="294"/>
      <c r="B946" s="817" t="str">
        <f>IF($E946="",IF($D946="","",VLOOKUP($D946,TableInputsData[],ReadMe!$M$3,FALSE)),VLOOKUP($D946,TableInputsData[],ReadMe!$M$3,FALSE)&amp;"  |  "&amp;VLOOKUP($E946,TableInputsData[],ReadMe!$M$3,FALSE))</f>
        <v>MONTANT PRINCIPAL DE PRET  |  PRET OVO</v>
      </c>
      <c r="C946" s="294"/>
      <c r="D946" s="1" t="s">
        <v>947</v>
      </c>
      <c r="E946" s="1" t="s">
        <v>921</v>
      </c>
      <c r="F946" s="1" t="s">
        <v>144</v>
      </c>
      <c r="G946" s="2"/>
      <c r="H946" s="2"/>
      <c r="I946" s="2">
        <v>0</v>
      </c>
      <c r="J946" s="2">
        <v>0</v>
      </c>
      <c r="K946" s="2">
        <v>0</v>
      </c>
      <c r="L946" s="2">
        <v>0</v>
      </c>
      <c r="M946" s="2">
        <v>0</v>
      </c>
      <c r="N946" s="2">
        <v>0</v>
      </c>
      <c r="O946" s="294"/>
    </row>
    <row r="947" spans="1:15" x14ac:dyDescent="0.15">
      <c r="A947" s="294"/>
      <c r="B947" s="817" t="str">
        <f>IF($E947="",IF($D947="","",VLOOKUP($D947,TableInputsData[],ReadMe!$M$3,FALSE)),VLOOKUP($D947,TableInputsData[],ReadMe!$M$3,FALSE)&amp;"  |  "&amp;VLOOKUP($E947,TableInputsData[],ReadMe!$M$3,FALSE))</f>
        <v>MONTANT PRINCIPAL DE PRET  |  PRET FAMILLE ET AMIS</v>
      </c>
      <c r="C947" s="294"/>
      <c r="D947" s="1" t="s">
        <v>947</v>
      </c>
      <c r="E947" s="1" t="s">
        <v>916</v>
      </c>
      <c r="F947" s="1" t="s">
        <v>144</v>
      </c>
      <c r="G947" s="2"/>
      <c r="H947" s="2"/>
      <c r="I947" s="2">
        <v>0</v>
      </c>
      <c r="J947" s="2">
        <v>0</v>
      </c>
      <c r="K947" s="2">
        <v>0</v>
      </c>
      <c r="L947" s="2">
        <v>0</v>
      </c>
      <c r="M947" s="2">
        <v>0</v>
      </c>
      <c r="N947" s="2">
        <v>0</v>
      </c>
      <c r="O947" s="294"/>
    </row>
    <row r="948" spans="1:15" x14ac:dyDescent="0.15">
      <c r="A948" s="294"/>
      <c r="B948" s="817" t="str">
        <f>IF($E948="",IF($D948="","",VLOOKUP($D948,TableInputsData[],ReadMe!$M$3,FALSE)),VLOOKUP($D948,TableInputsData[],ReadMe!$M$3,FALSE)&amp;"  |  "&amp;VLOOKUP($E948,TableInputsData[],ReadMe!$M$3,FALSE))</f>
        <v>MONTANT PRINCIPAL DE PRET  |  PRET BANQUE LOCALE</v>
      </c>
      <c r="C948" s="294"/>
      <c r="D948" s="1" t="s">
        <v>947</v>
      </c>
      <c r="E948" s="1" t="s">
        <v>920</v>
      </c>
      <c r="F948" s="1" t="s">
        <v>144</v>
      </c>
      <c r="G948" s="2"/>
      <c r="H948" s="2"/>
      <c r="I948" s="2">
        <v>0</v>
      </c>
      <c r="J948" s="2">
        <v>0</v>
      </c>
      <c r="K948" s="2">
        <v>0</v>
      </c>
      <c r="L948" s="2">
        <v>0</v>
      </c>
      <c r="M948" s="2">
        <v>0</v>
      </c>
      <c r="N948" s="2">
        <v>0</v>
      </c>
      <c r="O948" s="294"/>
    </row>
    <row r="949" spans="1:15" x14ac:dyDescent="0.2">
      <c r="A949" s="294"/>
      <c r="B949" s="816" t="str">
        <f>IF($E949="",IF($D949="","",VLOOKUP($D949,TableInputsData[],ReadMe!$M$3,FALSE)),VLOOKUP($D949,TableInputsData[],ReadMe!$M$3,FALSE)&amp;"  |  "&amp;VLOOKUP($E949,TableInputsData[],ReadMe!$M$3,FALSE))</f>
        <v>MONTANT PRINCIPAL DE PRET Total</v>
      </c>
      <c r="C949" s="294"/>
      <c r="D949" s="380" t="s">
        <v>971</v>
      </c>
      <c r="E949" s="380"/>
      <c r="F949" s="380"/>
      <c r="G949" s="383"/>
      <c r="H949" s="383"/>
      <c r="I949" s="383">
        <v>0</v>
      </c>
      <c r="J949" s="383">
        <v>0</v>
      </c>
      <c r="K949" s="383">
        <v>0</v>
      </c>
      <c r="L949" s="383">
        <v>0</v>
      </c>
      <c r="M949" s="383">
        <v>0</v>
      </c>
      <c r="N949" s="383">
        <v>0</v>
      </c>
      <c r="O949" s="294"/>
    </row>
    <row r="950" spans="1:15" x14ac:dyDescent="0.15">
      <c r="A950" s="294"/>
      <c r="B950" s="817" t="str">
        <f>IF($E950="",IF($D950="","",VLOOKUP($D950,TableInputsData[],ReadMe!$M$3,FALSE)),VLOOKUP($D950,TableInputsData[],ReadMe!$M$3,FALSE)&amp;"  |  "&amp;VLOOKUP($E950,TableInputsData[],ReadMe!$M$3,FALSE))</f>
        <v>POSITION DE TRESORERIE FIN DE PERIODE  |  TOTAL</v>
      </c>
      <c r="C950" s="294"/>
      <c r="D950" s="1" t="s">
        <v>948</v>
      </c>
      <c r="E950" s="1" t="s">
        <v>29</v>
      </c>
      <c r="F950" s="1" t="s">
        <v>144</v>
      </c>
      <c r="G950" s="2">
        <v>0</v>
      </c>
      <c r="H950" s="2">
        <v>0</v>
      </c>
      <c r="I950" s="2">
        <v>0</v>
      </c>
      <c r="J950" s="2">
        <v>0</v>
      </c>
      <c r="K950" s="2">
        <v>0</v>
      </c>
      <c r="L950" s="2">
        <v>0</v>
      </c>
      <c r="M950" s="2">
        <v>0</v>
      </c>
      <c r="N950" s="2">
        <v>0</v>
      </c>
      <c r="O950" s="294"/>
    </row>
    <row r="951" spans="1:15" x14ac:dyDescent="0.2">
      <c r="A951" s="294"/>
      <c r="B951" s="816" t="str">
        <f>IF($E951="",IF($D951="","",VLOOKUP($D951,TableInputsData[],ReadMe!$M$3,FALSE)),VLOOKUP($D951,TableInputsData[],ReadMe!$M$3,FALSE)&amp;"  |  "&amp;VLOOKUP($E951,TableInputsData[],ReadMe!$M$3,FALSE))</f>
        <v>POSITION DE TRESORERIE FIN DE PERIODE Total</v>
      </c>
      <c r="C951" s="294"/>
      <c r="D951" s="380" t="s">
        <v>972</v>
      </c>
      <c r="E951" s="380"/>
      <c r="F951" s="380"/>
      <c r="G951" s="383">
        <v>0</v>
      </c>
      <c r="H951" s="383">
        <v>0</v>
      </c>
      <c r="I951" s="383">
        <v>0</v>
      </c>
      <c r="J951" s="383">
        <v>0</v>
      </c>
      <c r="K951" s="383">
        <v>0</v>
      </c>
      <c r="L951" s="383">
        <v>0</v>
      </c>
      <c r="M951" s="383">
        <v>0</v>
      </c>
      <c r="N951" s="383">
        <v>0</v>
      </c>
      <c r="O951" s="294"/>
    </row>
    <row r="952" spans="1:15" ht="16" x14ac:dyDescent="0.2">
      <c r="A952" s="294"/>
      <c r="B952" s="423" t="str">
        <f>IF($E952="",IF($D952="","",VLOOKUP($D952,TableInputsData[],ReadMe!$M$3,FALSE)),VLOOKUP($D952,TableInputsData[],ReadMe!$M$3,FALSE)&amp;"  |  "&amp;VLOOKUP($E952,TableInputsData[],ReadMe!$M$3,FALSE))</f>
        <v/>
      </c>
      <c r="C952" s="294"/>
      <c r="D952"/>
      <c r="E952"/>
      <c r="F952"/>
      <c r="G952"/>
      <c r="H952"/>
      <c r="I952"/>
      <c r="J952"/>
      <c r="K952"/>
      <c r="L952"/>
      <c r="M952"/>
      <c r="N952"/>
      <c r="O952" s="294"/>
    </row>
    <row r="953" spans="1:15" ht="16" hidden="1" outlineLevel="1" x14ac:dyDescent="0.2">
      <c r="A953" s="294"/>
      <c r="B953" s="423" t="str">
        <f>IF($E953="",IF($D953="","",VLOOKUP($D953,TableInputsData[],ReadMe!$M$3,FALSE)),VLOOKUP($D953,TableInputsData[],ReadMe!$M$3,FALSE)&amp;"  |  "&amp;VLOOKUP($E953,TableInputsData[],ReadMe!$M$3,FALSE))</f>
        <v/>
      </c>
      <c r="C953" s="294"/>
      <c r="D953"/>
      <c r="E953"/>
      <c r="F953"/>
      <c r="G953"/>
      <c r="H953"/>
      <c r="I953"/>
      <c r="J953"/>
      <c r="K953"/>
      <c r="L953"/>
      <c r="M953"/>
      <c r="N953"/>
      <c r="O953" s="294"/>
    </row>
    <row r="954" spans="1:15" ht="16" hidden="1" outlineLevel="1" x14ac:dyDescent="0.2">
      <c r="A954" s="294"/>
      <c r="B954" s="423" t="str">
        <f>IF($E954="",IF($D954="","",VLOOKUP($D954,TableInputsData[],ReadMe!$M$3,FALSE)),VLOOKUP($D954,TableInputsData[],ReadMe!$M$3,FALSE)&amp;"  |  "&amp;VLOOKUP($E954,TableInputsData[],ReadMe!$M$3,FALSE))</f>
        <v/>
      </c>
      <c r="C954" s="294"/>
      <c r="D954"/>
      <c r="E954"/>
      <c r="F954"/>
      <c r="G954"/>
      <c r="H954"/>
      <c r="I954"/>
      <c r="J954"/>
      <c r="K954"/>
      <c r="L954"/>
      <c r="M954"/>
      <c r="N954"/>
      <c r="O954" s="294"/>
    </row>
    <row r="955" spans="1:15" ht="16" hidden="1" outlineLevel="1" x14ac:dyDescent="0.2">
      <c r="A955" s="294"/>
      <c r="B955" s="423" t="str">
        <f>IF($E955="",IF($D955="","",VLOOKUP($D955,TableInputsData[],ReadMe!$M$3,FALSE)),VLOOKUP($D955,TableInputsData[],ReadMe!$M$3,FALSE)&amp;"  |  "&amp;VLOOKUP($E955,TableInputsData[],ReadMe!$M$3,FALSE))</f>
        <v/>
      </c>
      <c r="C955" s="294"/>
      <c r="D955"/>
      <c r="E955"/>
      <c r="F955"/>
      <c r="G955"/>
      <c r="H955"/>
      <c r="I955"/>
      <c r="J955"/>
      <c r="K955"/>
      <c r="L955"/>
      <c r="M955"/>
      <c r="N955"/>
      <c r="O955" s="294"/>
    </row>
    <row r="956" spans="1:15" ht="16" hidden="1" outlineLevel="1" x14ac:dyDescent="0.2">
      <c r="A956" s="294"/>
      <c r="B956" s="423" t="str">
        <f>IF($E956="",IF($D956="","",VLOOKUP($D956,TableInputsData[],ReadMe!$M$3,FALSE)),VLOOKUP($D956,TableInputsData[],ReadMe!$M$3,FALSE)&amp;"  |  "&amp;VLOOKUP($E956,TableInputsData[],ReadMe!$M$3,FALSE))</f>
        <v/>
      </c>
      <c r="C956" s="294"/>
      <c r="D956"/>
      <c r="E956"/>
      <c r="F956"/>
      <c r="G956"/>
      <c r="H956"/>
      <c r="I956"/>
      <c r="J956"/>
      <c r="K956"/>
      <c r="L956"/>
      <c r="M956"/>
      <c r="N956"/>
      <c r="O956" s="294"/>
    </row>
    <row r="957" spans="1:15" ht="16" hidden="1" outlineLevel="1" x14ac:dyDescent="0.2">
      <c r="A957" s="294"/>
      <c r="B957" s="423" t="str">
        <f>IF($E957="",IF($D957="","",VLOOKUP($D957,TableInputsData[],ReadMe!$M$3,FALSE)),VLOOKUP($D957,TableInputsData[],ReadMe!$M$3,FALSE)&amp;"  |  "&amp;VLOOKUP($E957,TableInputsData[],ReadMe!$M$3,FALSE))</f>
        <v/>
      </c>
      <c r="C957" s="294"/>
      <c r="D957"/>
      <c r="E957"/>
      <c r="F957"/>
      <c r="G957"/>
      <c r="H957"/>
      <c r="I957"/>
      <c r="J957"/>
      <c r="K957"/>
      <c r="L957"/>
      <c r="M957"/>
      <c r="N957"/>
      <c r="O957" s="294"/>
    </row>
    <row r="958" spans="1:15" ht="16" hidden="1" outlineLevel="1" x14ac:dyDescent="0.2">
      <c r="A958" s="294"/>
      <c r="B958" s="423" t="str">
        <f>IF($E958="",IF($D958="","",VLOOKUP($D958,TableInputsData[],ReadMe!$M$3,FALSE)),VLOOKUP($D958,TableInputsData[],ReadMe!$M$3,FALSE)&amp;"  |  "&amp;VLOOKUP($E958,TableInputsData[],ReadMe!$M$3,FALSE))</f>
        <v/>
      </c>
      <c r="C958" s="294"/>
      <c r="D958"/>
      <c r="E958"/>
      <c r="F958"/>
      <c r="G958"/>
      <c r="H958"/>
      <c r="I958"/>
      <c r="J958"/>
      <c r="K958"/>
      <c r="L958"/>
      <c r="M958"/>
      <c r="N958"/>
      <c r="O958" s="294"/>
    </row>
    <row r="959" spans="1:15" ht="16" hidden="1" outlineLevel="1" x14ac:dyDescent="0.2">
      <c r="A959" s="294"/>
      <c r="B959" s="423" t="str">
        <f>IF($E959="",IF($D959="","",VLOOKUP($D959,TableInputsData[],ReadMe!$M$3,FALSE)),VLOOKUP($D959,TableInputsData[],ReadMe!$M$3,FALSE)&amp;"  |  "&amp;VLOOKUP($E959,TableInputsData[],ReadMe!$M$3,FALSE))</f>
        <v/>
      </c>
      <c r="C959" s="294"/>
      <c r="D959"/>
      <c r="E959"/>
      <c r="F959"/>
      <c r="G959"/>
      <c r="H959"/>
      <c r="I959"/>
      <c r="J959"/>
      <c r="K959"/>
      <c r="L959"/>
      <c r="M959"/>
      <c r="N959"/>
      <c r="O959" s="294"/>
    </row>
    <row r="960" spans="1:15" ht="16" hidden="1" outlineLevel="1" x14ac:dyDescent="0.2">
      <c r="A960" s="294"/>
      <c r="B960" s="423" t="str">
        <f>IF($E960="",IF($D960="","",VLOOKUP($D960,TableInputsData[],ReadMe!$M$3,FALSE)),VLOOKUP($D960,TableInputsData[],ReadMe!$M$3,FALSE)&amp;"  |  "&amp;VLOOKUP($E960,TableInputsData[],ReadMe!$M$3,FALSE))</f>
        <v/>
      </c>
      <c r="C960" s="294"/>
      <c r="D960"/>
      <c r="E960"/>
      <c r="F960"/>
      <c r="G960"/>
      <c r="H960"/>
      <c r="I960"/>
      <c r="J960"/>
      <c r="K960"/>
      <c r="L960"/>
      <c r="M960"/>
      <c r="N960"/>
      <c r="O960" s="294"/>
    </row>
    <row r="961" spans="1:15" ht="16" hidden="1" outlineLevel="1" x14ac:dyDescent="0.2">
      <c r="A961" s="294"/>
      <c r="B961" s="423" t="str">
        <f>IF($E961="",IF($D961="","",VLOOKUP($D961,TableInputsData[],ReadMe!$M$3,FALSE)),VLOOKUP($D961,TableInputsData[],ReadMe!$M$3,FALSE)&amp;"  |  "&amp;VLOOKUP($E961,TableInputsData[],ReadMe!$M$3,FALSE))</f>
        <v/>
      </c>
      <c r="C961" s="294"/>
      <c r="D961"/>
      <c r="E961"/>
      <c r="F961"/>
      <c r="G961"/>
      <c r="H961"/>
      <c r="I961"/>
      <c r="J961"/>
      <c r="K961"/>
      <c r="L961"/>
      <c r="M961"/>
      <c r="N961"/>
      <c r="O961" s="294"/>
    </row>
    <row r="962" spans="1:15" ht="16" hidden="1" outlineLevel="1" x14ac:dyDescent="0.2">
      <c r="A962" s="294"/>
      <c r="B962" s="423" t="str">
        <f>IF($E962="",IF($D962="","",VLOOKUP($D962,TableInputsData[],ReadMe!$M$3,FALSE)),VLOOKUP($D962,TableInputsData[],ReadMe!$M$3,FALSE)&amp;"  |  "&amp;VLOOKUP($E962,TableInputsData[],ReadMe!$M$3,FALSE))</f>
        <v/>
      </c>
      <c r="C962" s="294"/>
      <c r="D962"/>
      <c r="E962"/>
      <c r="F962"/>
      <c r="G962"/>
      <c r="H962"/>
      <c r="I962"/>
      <c r="J962"/>
      <c r="K962"/>
      <c r="L962"/>
      <c r="M962"/>
      <c r="N962"/>
      <c r="O962" s="294"/>
    </row>
    <row r="963" spans="1:15" ht="16" hidden="1" outlineLevel="1" x14ac:dyDescent="0.2">
      <c r="A963" s="294"/>
      <c r="B963" s="423" t="str">
        <f>IF($E963="",IF($D963="","",VLOOKUP($D963,TableInputsData[],ReadMe!$M$3,FALSE)),VLOOKUP($D963,TableInputsData[],ReadMe!$M$3,FALSE)&amp;"  |  "&amp;VLOOKUP($E963,TableInputsData[],ReadMe!$M$3,FALSE))</f>
        <v/>
      </c>
      <c r="C963" s="294"/>
      <c r="D963"/>
      <c r="E963"/>
      <c r="F963"/>
      <c r="G963"/>
      <c r="H963"/>
      <c r="I963"/>
      <c r="J963"/>
      <c r="K963"/>
      <c r="L963"/>
      <c r="M963"/>
      <c r="N963"/>
      <c r="O963" s="294"/>
    </row>
    <row r="964" spans="1:15" ht="16" hidden="1" outlineLevel="1" x14ac:dyDescent="0.2">
      <c r="A964" s="294"/>
      <c r="B964" s="423" t="str">
        <f>IF($E964="",IF($D964="","",VLOOKUP($D964,TableInputsData[],ReadMe!$M$3,FALSE)),VLOOKUP($D964,TableInputsData[],ReadMe!$M$3,FALSE)&amp;"  |  "&amp;VLOOKUP($E964,TableInputsData[],ReadMe!$M$3,FALSE))</f>
        <v/>
      </c>
      <c r="C964" s="294"/>
      <c r="D964"/>
      <c r="E964"/>
      <c r="F964"/>
      <c r="G964"/>
      <c r="H964"/>
      <c r="I964"/>
      <c r="J964"/>
      <c r="K964"/>
      <c r="L964"/>
      <c r="M964"/>
      <c r="N964"/>
      <c r="O964" s="294"/>
    </row>
    <row r="965" spans="1:15" ht="16" hidden="1" outlineLevel="1" x14ac:dyDescent="0.2">
      <c r="A965" s="294"/>
      <c r="B965" s="423" t="str">
        <f>IF($E965="",IF($D965="","",VLOOKUP($D965,TableInputsData[],ReadMe!$M$3,FALSE)),VLOOKUP($D965,TableInputsData[],ReadMe!$M$3,FALSE)&amp;"  |  "&amp;VLOOKUP($E965,TableInputsData[],ReadMe!$M$3,FALSE))</f>
        <v/>
      </c>
      <c r="C965" s="294"/>
      <c r="D965"/>
      <c r="E965"/>
      <c r="F965"/>
      <c r="G965"/>
      <c r="H965"/>
      <c r="I965"/>
      <c r="J965"/>
      <c r="K965"/>
      <c r="L965"/>
      <c r="M965"/>
      <c r="N965"/>
      <c r="O965" s="294"/>
    </row>
    <row r="966" spans="1:15" ht="16" hidden="1" outlineLevel="1" x14ac:dyDescent="0.2">
      <c r="A966" s="294"/>
      <c r="B966" s="423" t="str">
        <f>IF($E966="",IF($D966="","",VLOOKUP($D966,TableInputsData[],ReadMe!$M$3,FALSE)),VLOOKUP($D966,TableInputsData[],ReadMe!$M$3,FALSE)&amp;"  |  "&amp;VLOOKUP($E966,TableInputsData[],ReadMe!$M$3,FALSE))</f>
        <v/>
      </c>
      <c r="C966" s="294"/>
      <c r="D966"/>
      <c r="E966"/>
      <c r="F966"/>
      <c r="G966"/>
      <c r="H966"/>
      <c r="I966"/>
      <c r="J966"/>
      <c r="K966"/>
      <c r="L966"/>
      <c r="M966"/>
      <c r="N966"/>
      <c r="O966" s="294"/>
    </row>
    <row r="967" spans="1:15" ht="16" hidden="1" outlineLevel="1" x14ac:dyDescent="0.2">
      <c r="A967" s="294"/>
      <c r="B967" s="423" t="str">
        <f>IF($E967="",IF($D967="","",VLOOKUP($D967,TableInputsData[],ReadMe!$M$3,FALSE)),VLOOKUP($D967,TableInputsData[],ReadMe!$M$3,FALSE)&amp;"  |  "&amp;VLOOKUP($E967,TableInputsData[],ReadMe!$M$3,FALSE))</f>
        <v/>
      </c>
      <c r="C967" s="294"/>
      <c r="D967"/>
      <c r="E967"/>
      <c r="F967"/>
      <c r="G967"/>
      <c r="H967"/>
      <c r="I967"/>
      <c r="J967"/>
      <c r="K967"/>
      <c r="L967"/>
      <c r="M967"/>
      <c r="N967"/>
      <c r="O967" s="294"/>
    </row>
    <row r="968" spans="1:15" ht="16" hidden="1" outlineLevel="1" x14ac:dyDescent="0.2">
      <c r="A968" s="294"/>
      <c r="B968" s="423" t="str">
        <f>IF($E968="",IF($D968="","",VLOOKUP($D968,TableInputsData[],ReadMe!$M$3,FALSE)),VLOOKUP($D968,TableInputsData[],ReadMe!$M$3,FALSE)&amp;"  |  "&amp;VLOOKUP($E968,TableInputsData[],ReadMe!$M$3,FALSE))</f>
        <v/>
      </c>
      <c r="C968" s="294"/>
      <c r="D968"/>
      <c r="E968"/>
      <c r="F968"/>
      <c r="G968"/>
      <c r="H968"/>
      <c r="I968"/>
      <c r="J968"/>
      <c r="K968"/>
      <c r="L968"/>
      <c r="M968"/>
      <c r="N968"/>
      <c r="O968" s="294"/>
    </row>
    <row r="969" spans="1:15" ht="16" hidden="1" outlineLevel="1" x14ac:dyDescent="0.2">
      <c r="A969" s="294"/>
      <c r="B969" s="423" t="str">
        <f>IF($E969="",IF($D969="","",VLOOKUP($D969,TableInputsData[],ReadMe!$M$3,FALSE)),VLOOKUP($D969,TableInputsData[],ReadMe!$M$3,FALSE)&amp;"  |  "&amp;VLOOKUP($E969,TableInputsData[],ReadMe!$M$3,FALSE))</f>
        <v/>
      </c>
      <c r="C969" s="294"/>
      <c r="D969"/>
      <c r="E969"/>
      <c r="F969"/>
      <c r="G969"/>
      <c r="H969"/>
      <c r="I969"/>
      <c r="J969"/>
      <c r="K969"/>
      <c r="L969"/>
      <c r="M969"/>
      <c r="N969"/>
      <c r="O969" s="294"/>
    </row>
    <row r="970" spans="1:15" ht="16" hidden="1" outlineLevel="1" x14ac:dyDescent="0.2">
      <c r="A970" s="294"/>
      <c r="B970" s="423" t="str">
        <f>IF($E970="",IF($D970="","",VLOOKUP($D970,TableInputsData[],ReadMe!$M$3,FALSE)),VLOOKUP($D970,TableInputsData[],ReadMe!$M$3,FALSE)&amp;"  |  "&amp;VLOOKUP($E970,TableInputsData[],ReadMe!$M$3,FALSE))</f>
        <v/>
      </c>
      <c r="C970" s="294"/>
      <c r="D970"/>
      <c r="E970"/>
      <c r="F970"/>
      <c r="G970"/>
      <c r="H970"/>
      <c r="I970"/>
      <c r="J970"/>
      <c r="K970"/>
      <c r="L970"/>
      <c r="M970"/>
      <c r="N970"/>
      <c r="O970" s="294"/>
    </row>
    <row r="971" spans="1:15" ht="16" hidden="1" outlineLevel="1" x14ac:dyDescent="0.2">
      <c r="A971" s="294"/>
      <c r="B971" s="423" t="str">
        <f>IF($E971="",IF($D971="","",VLOOKUP($D971,TableInputsData[],ReadMe!$M$3,FALSE)),VLOOKUP($D971,TableInputsData[],ReadMe!$M$3,FALSE)&amp;"  |  "&amp;VLOOKUP($E971,TableInputsData[],ReadMe!$M$3,FALSE))</f>
        <v/>
      </c>
      <c r="C971" s="294"/>
      <c r="D971"/>
      <c r="E971"/>
      <c r="F971"/>
      <c r="G971"/>
      <c r="H971"/>
      <c r="I971"/>
      <c r="J971"/>
      <c r="K971"/>
      <c r="L971"/>
      <c r="M971"/>
      <c r="N971"/>
      <c r="O971" s="294"/>
    </row>
    <row r="972" spans="1:15" ht="16" hidden="1" outlineLevel="1" x14ac:dyDescent="0.2">
      <c r="A972" s="294"/>
      <c r="B972" s="423" t="str">
        <f>IF($E972="",IF($D972="","",VLOOKUP($D972,TableInputsData[],ReadMe!$M$3,FALSE)),VLOOKUP($D972,TableInputsData[],ReadMe!$M$3,FALSE)&amp;"  |  "&amp;VLOOKUP($E972,TableInputsData[],ReadMe!$M$3,FALSE))</f>
        <v/>
      </c>
      <c r="C972" s="294"/>
      <c r="D972"/>
      <c r="E972"/>
      <c r="F972"/>
      <c r="G972"/>
      <c r="H972"/>
      <c r="I972"/>
      <c r="J972"/>
      <c r="K972"/>
      <c r="L972"/>
      <c r="M972"/>
      <c r="N972"/>
      <c r="O972" s="294"/>
    </row>
    <row r="973" spans="1:15" ht="16" hidden="1" outlineLevel="1" x14ac:dyDescent="0.2">
      <c r="A973" s="294"/>
      <c r="B973" s="423" t="str">
        <f>IF($E973="",IF($D973="","",VLOOKUP($D973,TableInputsData[],ReadMe!$M$3,FALSE)),VLOOKUP($D973,TableInputsData[],ReadMe!$M$3,FALSE)&amp;"  |  "&amp;VLOOKUP($E973,TableInputsData[],ReadMe!$M$3,FALSE))</f>
        <v/>
      </c>
      <c r="C973" s="294"/>
      <c r="D973"/>
      <c r="E973"/>
      <c r="F973"/>
      <c r="G973"/>
      <c r="H973"/>
      <c r="I973"/>
      <c r="J973"/>
      <c r="K973"/>
      <c r="L973"/>
      <c r="M973"/>
      <c r="N973"/>
      <c r="O973" s="294"/>
    </row>
    <row r="974" spans="1:15" ht="16" hidden="1" outlineLevel="1" x14ac:dyDescent="0.2">
      <c r="A974" s="294"/>
      <c r="B974" s="423" t="str">
        <f>IF($E974="",IF($D974="","",VLOOKUP($D974,TableInputsData[],ReadMe!$M$3,FALSE)),VLOOKUP($D974,TableInputsData[],ReadMe!$M$3,FALSE)&amp;"  |  "&amp;VLOOKUP($E974,TableInputsData[],ReadMe!$M$3,FALSE))</f>
        <v/>
      </c>
      <c r="C974" s="294"/>
      <c r="D974"/>
      <c r="E974"/>
      <c r="F974"/>
      <c r="G974"/>
      <c r="H974"/>
      <c r="I974"/>
      <c r="J974"/>
      <c r="K974"/>
      <c r="L974"/>
      <c r="M974"/>
      <c r="N974"/>
      <c r="O974" s="294"/>
    </row>
    <row r="975" spans="1:15" ht="16" hidden="1" outlineLevel="1" x14ac:dyDescent="0.2">
      <c r="A975" s="294"/>
      <c r="B975" s="423" t="str">
        <f>IF($E975="",IF($D975="","",VLOOKUP($D975,TableInputsData[],ReadMe!$M$3,FALSE)),VLOOKUP($D975,TableInputsData[],ReadMe!$M$3,FALSE)&amp;"  |  "&amp;VLOOKUP($E975,TableInputsData[],ReadMe!$M$3,FALSE))</f>
        <v/>
      </c>
      <c r="C975" s="294"/>
      <c r="D975"/>
      <c r="E975"/>
      <c r="F975"/>
      <c r="G975"/>
      <c r="H975"/>
      <c r="I975"/>
      <c r="J975"/>
      <c r="K975"/>
      <c r="L975"/>
      <c r="M975"/>
      <c r="N975"/>
      <c r="O975" s="294"/>
    </row>
    <row r="976" spans="1:15" ht="16" hidden="1" outlineLevel="1" x14ac:dyDescent="0.2">
      <c r="A976" s="294"/>
      <c r="B976" s="423" t="str">
        <f>IF($E976="",IF($D976="","",VLOOKUP($D976,TableInputsData[],ReadMe!$M$3,FALSE)),VLOOKUP($D976,TableInputsData[],ReadMe!$M$3,FALSE)&amp;"  |  "&amp;VLOOKUP($E976,TableInputsData[],ReadMe!$M$3,FALSE))</f>
        <v/>
      </c>
      <c r="C976" s="294"/>
      <c r="D976"/>
      <c r="E976"/>
      <c r="F976"/>
      <c r="G976"/>
      <c r="H976"/>
      <c r="I976"/>
      <c r="J976"/>
      <c r="K976"/>
      <c r="L976"/>
      <c r="M976"/>
      <c r="N976"/>
      <c r="O976" s="294"/>
    </row>
    <row r="977" spans="1:15" ht="16" hidden="1" outlineLevel="1" x14ac:dyDescent="0.2">
      <c r="A977" s="294"/>
      <c r="B977" s="423" t="str">
        <f>IF($E977="",IF($D977="","",VLOOKUP($D977,TableInputsData[],ReadMe!$M$3,FALSE)),VLOOKUP($D977,TableInputsData[],ReadMe!$M$3,FALSE)&amp;"  |  "&amp;VLOOKUP($E977,TableInputsData[],ReadMe!$M$3,FALSE))</f>
        <v/>
      </c>
      <c r="C977" s="294"/>
      <c r="D977"/>
      <c r="E977"/>
      <c r="F977"/>
      <c r="G977"/>
      <c r="H977"/>
      <c r="I977"/>
      <c r="J977"/>
      <c r="K977"/>
      <c r="L977"/>
      <c r="M977"/>
      <c r="N977"/>
      <c r="O977" s="294"/>
    </row>
    <row r="978" spans="1:15" ht="16" hidden="1" outlineLevel="1" x14ac:dyDescent="0.2">
      <c r="A978" s="294"/>
      <c r="B978" s="423" t="str">
        <f>IF($E978="",IF($D978="","",VLOOKUP($D978,TableInputsData[],ReadMe!$M$3,FALSE)),VLOOKUP($D978,TableInputsData[],ReadMe!$M$3,FALSE)&amp;"  |  "&amp;VLOOKUP($E978,TableInputsData[],ReadMe!$M$3,FALSE))</f>
        <v/>
      </c>
      <c r="C978" s="294"/>
      <c r="D978"/>
      <c r="E978"/>
      <c r="F978"/>
      <c r="G978"/>
      <c r="H978"/>
      <c r="I978"/>
      <c r="J978"/>
      <c r="K978"/>
      <c r="L978"/>
      <c r="M978"/>
      <c r="N978"/>
      <c r="O978" s="294"/>
    </row>
    <row r="979" spans="1:15" ht="16" hidden="1" outlineLevel="1" x14ac:dyDescent="0.2">
      <c r="A979" s="294"/>
      <c r="B979" s="423" t="str">
        <f>IF($E979="",IF($D979="","",VLOOKUP($D979,TableInputsData[],ReadMe!$M$3,FALSE)),VLOOKUP($D979,TableInputsData[],ReadMe!$M$3,FALSE)&amp;"  |  "&amp;VLOOKUP($E979,TableInputsData[],ReadMe!$M$3,FALSE))</f>
        <v/>
      </c>
      <c r="C979" s="294"/>
      <c r="D979"/>
      <c r="E979"/>
      <c r="F979"/>
      <c r="G979"/>
      <c r="H979"/>
      <c r="I979"/>
      <c r="J979"/>
      <c r="K979"/>
      <c r="L979"/>
      <c r="M979"/>
      <c r="N979"/>
      <c r="O979" s="294"/>
    </row>
    <row r="980" spans="1:15" ht="16" hidden="1" outlineLevel="1" x14ac:dyDescent="0.2">
      <c r="A980" s="294"/>
      <c r="B980" s="423" t="str">
        <f>IF($E980="",IF($D980="","",VLOOKUP($D980,TableInputsData[],ReadMe!$M$3,FALSE)),VLOOKUP($D980,TableInputsData[],ReadMe!$M$3,FALSE)&amp;"  |  "&amp;VLOOKUP($E980,TableInputsData[],ReadMe!$M$3,FALSE))</f>
        <v/>
      </c>
      <c r="C980" s="294"/>
      <c r="G980"/>
      <c r="H980"/>
      <c r="I980"/>
      <c r="J980"/>
      <c r="K980"/>
      <c r="L980"/>
      <c r="M980"/>
      <c r="N980"/>
      <c r="O980" s="294"/>
    </row>
    <row r="981" spans="1:15" ht="16" hidden="1" outlineLevel="1" x14ac:dyDescent="0.2">
      <c r="A981" s="294"/>
      <c r="B981" s="423" t="str">
        <f>IF($E981="",IF($D981="","",VLOOKUP($D981,TableInputsData[],ReadMe!$M$3,FALSE)),VLOOKUP($D981,TableInputsData[],ReadMe!$M$3,FALSE)&amp;"  |  "&amp;VLOOKUP($E981,TableInputsData[],ReadMe!$M$3,FALSE))</f>
        <v/>
      </c>
      <c r="C981" s="294"/>
      <c r="G981"/>
      <c r="H981"/>
      <c r="I981"/>
      <c r="J981"/>
      <c r="K981"/>
      <c r="L981"/>
      <c r="M981"/>
      <c r="N981"/>
      <c r="O981" s="294"/>
    </row>
    <row r="982" spans="1:15" ht="16" hidden="1" outlineLevel="1" x14ac:dyDescent="0.2">
      <c r="A982" s="294"/>
      <c r="B982" s="423" t="str">
        <f>IF($E982="",IF($D982="","",VLOOKUP($D982,TableInputsData[],ReadMe!$M$3,FALSE)),VLOOKUP($D982,TableInputsData[],ReadMe!$M$3,FALSE)&amp;"  |  "&amp;VLOOKUP($E982,TableInputsData[],ReadMe!$M$3,FALSE))</f>
        <v/>
      </c>
      <c r="C982" s="294"/>
      <c r="G982"/>
      <c r="H982"/>
      <c r="I982"/>
      <c r="J982"/>
      <c r="K982"/>
      <c r="L982"/>
      <c r="M982"/>
      <c r="N982"/>
      <c r="O982" s="294"/>
    </row>
    <row r="983" spans="1:15" ht="16" hidden="1" outlineLevel="1" x14ac:dyDescent="0.2">
      <c r="A983" s="294"/>
      <c r="B983" s="423" t="str">
        <f>IF($E983="",IF($D983="","",VLOOKUP($D983,TableInputsData[],ReadMe!$M$3,FALSE)),VLOOKUP($D983,TableInputsData[],ReadMe!$M$3,FALSE)&amp;"  |  "&amp;VLOOKUP($E983,TableInputsData[],ReadMe!$M$3,FALSE))</f>
        <v/>
      </c>
      <c r="C983" s="294"/>
      <c r="G983"/>
      <c r="H983"/>
      <c r="I983"/>
      <c r="J983"/>
      <c r="K983"/>
      <c r="L983"/>
      <c r="M983"/>
      <c r="N983"/>
      <c r="O983" s="294"/>
    </row>
    <row r="984" spans="1:15" ht="16" hidden="1" outlineLevel="1" x14ac:dyDescent="0.2">
      <c r="A984" s="294"/>
      <c r="B984" s="423" t="str">
        <f>IF($E984="",IF($D984="","",VLOOKUP($D984,TableInputsData[],ReadMe!$M$3,FALSE)),VLOOKUP($D984,TableInputsData[],ReadMe!$M$3,FALSE)&amp;"  |  "&amp;VLOOKUP($E984,TableInputsData[],ReadMe!$M$3,FALSE))</f>
        <v/>
      </c>
      <c r="C984" s="294"/>
      <c r="G984"/>
      <c r="H984"/>
      <c r="I984"/>
      <c r="J984"/>
      <c r="K984"/>
      <c r="L984"/>
      <c r="M984"/>
      <c r="N984"/>
      <c r="O984" s="294"/>
    </row>
    <row r="985" spans="1:15" ht="16" hidden="1" outlineLevel="1" x14ac:dyDescent="0.2">
      <c r="A985" s="294"/>
      <c r="B985" s="423" t="str">
        <f>IF($E985="",IF($D985="","",VLOOKUP($D985,TableInputsData[],ReadMe!$M$3,FALSE)),VLOOKUP($D985,TableInputsData[],ReadMe!$M$3,FALSE)&amp;"  |  "&amp;VLOOKUP($E985,TableInputsData[],ReadMe!$M$3,FALSE))</f>
        <v/>
      </c>
      <c r="C985" s="294"/>
      <c r="G985"/>
      <c r="H985"/>
      <c r="I985"/>
      <c r="J985"/>
      <c r="K985"/>
      <c r="L985"/>
      <c r="M985"/>
      <c r="N985"/>
      <c r="O985" s="294"/>
    </row>
    <row r="986" spans="1:15" ht="16" hidden="1" outlineLevel="1" x14ac:dyDescent="0.2">
      <c r="A986" s="294"/>
      <c r="B986" s="423" t="str">
        <f>IF($E986="",IF($D986="","",VLOOKUP($D986,TableInputsData[],ReadMe!$M$3,FALSE)),VLOOKUP($D986,TableInputsData[],ReadMe!$M$3,FALSE)&amp;"  |  "&amp;VLOOKUP($E986,TableInputsData[],ReadMe!$M$3,FALSE))</f>
        <v/>
      </c>
      <c r="C986" s="294"/>
      <c r="G986"/>
      <c r="H986"/>
      <c r="I986"/>
      <c r="J986"/>
      <c r="K986"/>
      <c r="L986"/>
      <c r="M986"/>
      <c r="N986"/>
      <c r="O986" s="294"/>
    </row>
    <row r="987" spans="1:15" ht="16" hidden="1" outlineLevel="1" x14ac:dyDescent="0.2">
      <c r="A987" s="294"/>
      <c r="B987" s="423" t="str">
        <f>IF($E987="",IF($D987="","",VLOOKUP($D987,TableInputsData[],ReadMe!$M$3,FALSE)),VLOOKUP($D987,TableInputsData[],ReadMe!$M$3,FALSE)&amp;"  |  "&amp;VLOOKUP($E987,TableInputsData[],ReadMe!$M$3,FALSE))</f>
        <v/>
      </c>
      <c r="C987" s="294"/>
      <c r="G987"/>
      <c r="H987"/>
      <c r="I987"/>
      <c r="J987"/>
      <c r="K987"/>
      <c r="L987"/>
      <c r="M987"/>
      <c r="N987"/>
      <c r="O987" s="294"/>
    </row>
    <row r="988" spans="1:15" ht="16" hidden="1" outlineLevel="1" x14ac:dyDescent="0.2">
      <c r="A988" s="294"/>
      <c r="B988" s="423" t="str">
        <f>IF($E988="",IF($D988="","",VLOOKUP($D988,TableInputsData[],ReadMe!$M$3,FALSE)),VLOOKUP($D988,TableInputsData[],ReadMe!$M$3,FALSE)&amp;"  |  "&amp;VLOOKUP($E988,TableInputsData[],ReadMe!$M$3,FALSE))</f>
        <v/>
      </c>
      <c r="C988" s="294"/>
      <c r="G988"/>
      <c r="H988"/>
      <c r="I988"/>
      <c r="J988"/>
      <c r="K988"/>
      <c r="L988"/>
      <c r="M988"/>
      <c r="N988"/>
      <c r="O988" s="294"/>
    </row>
    <row r="989" spans="1:15" ht="16" hidden="1" outlineLevel="1" x14ac:dyDescent="0.2">
      <c r="A989" s="294"/>
      <c r="B989" s="423" t="str">
        <f>IF($E989="",IF($D989="","",VLOOKUP($D989,TableInputsData[],ReadMe!$M$3,FALSE)),VLOOKUP($D989,TableInputsData[],ReadMe!$M$3,FALSE)&amp;"  |  "&amp;VLOOKUP($E989,TableInputsData[],ReadMe!$M$3,FALSE))</f>
        <v/>
      </c>
      <c r="C989" s="294"/>
      <c r="G989"/>
      <c r="H989"/>
      <c r="I989"/>
      <c r="J989"/>
      <c r="K989"/>
      <c r="L989"/>
      <c r="M989"/>
      <c r="N989"/>
      <c r="O989" s="294"/>
    </row>
    <row r="990" spans="1:15" ht="16" hidden="1" outlineLevel="1" x14ac:dyDescent="0.2">
      <c r="A990" s="294"/>
      <c r="B990" s="423" t="str">
        <f>IF($E990="",IF($D990="","",VLOOKUP($D990,TableInputsData[],ReadMe!$M$3,FALSE)),VLOOKUP($D990,TableInputsData[],ReadMe!$M$3,FALSE)&amp;"  |  "&amp;VLOOKUP($E990,TableInputsData[],ReadMe!$M$3,FALSE))</f>
        <v/>
      </c>
      <c r="C990" s="294"/>
      <c r="G990"/>
      <c r="H990"/>
      <c r="I990"/>
      <c r="J990"/>
      <c r="K990"/>
      <c r="L990"/>
      <c r="M990"/>
      <c r="N990"/>
      <c r="O990" s="294"/>
    </row>
    <row r="991" spans="1:15" ht="16" hidden="1" outlineLevel="1" x14ac:dyDescent="0.2">
      <c r="A991" s="294"/>
      <c r="B991" s="423" t="str">
        <f>IF($E991="",IF($D991="","",VLOOKUP($D991,TableInputsData[],ReadMe!$M$3,FALSE)),VLOOKUP($D991,TableInputsData[],ReadMe!$M$3,FALSE)&amp;"  |  "&amp;VLOOKUP($E991,TableInputsData[],ReadMe!$M$3,FALSE))</f>
        <v/>
      </c>
      <c r="C991" s="294"/>
      <c r="G991"/>
      <c r="H991"/>
      <c r="I991"/>
      <c r="J991"/>
      <c r="K991"/>
      <c r="L991"/>
      <c r="M991"/>
      <c r="N991"/>
      <c r="O991" s="294"/>
    </row>
    <row r="992" spans="1:15" ht="16" hidden="1" outlineLevel="1" x14ac:dyDescent="0.2">
      <c r="A992" s="294"/>
      <c r="B992" s="423" t="str">
        <f>IF($E992="",IF($D992="","",VLOOKUP($D992,TableInputsData[],ReadMe!$M$3,FALSE)),VLOOKUP($D992,TableInputsData[],ReadMe!$M$3,FALSE)&amp;"  |  "&amp;VLOOKUP($E992,TableInputsData[],ReadMe!$M$3,FALSE))</f>
        <v/>
      </c>
      <c r="C992" s="294"/>
      <c r="G992"/>
      <c r="H992"/>
      <c r="I992"/>
      <c r="J992"/>
      <c r="K992"/>
      <c r="L992"/>
      <c r="M992"/>
      <c r="N992"/>
      <c r="O992" s="294"/>
    </row>
    <row r="993" spans="1:15" ht="16" hidden="1" outlineLevel="1" x14ac:dyDescent="0.2">
      <c r="A993" s="294"/>
      <c r="B993" s="423" t="str">
        <f>IF($E993="",IF($D993="","",VLOOKUP($D993,TableInputsData[],ReadMe!$M$3,FALSE)),VLOOKUP($D993,TableInputsData[],ReadMe!$M$3,FALSE)&amp;"  |  "&amp;VLOOKUP($E993,TableInputsData[],ReadMe!$M$3,FALSE))</f>
        <v/>
      </c>
      <c r="C993" s="294"/>
      <c r="G993"/>
      <c r="H993"/>
      <c r="I993"/>
      <c r="J993"/>
      <c r="K993"/>
      <c r="L993"/>
      <c r="M993"/>
      <c r="N993"/>
      <c r="O993" s="294"/>
    </row>
    <row r="994" spans="1:15" ht="16" hidden="1" outlineLevel="1" x14ac:dyDescent="0.2">
      <c r="A994" s="294"/>
      <c r="B994" s="423" t="str">
        <f>IF($E994="",IF($D994="","",VLOOKUP($D994,TableInputsData[],ReadMe!$M$3,FALSE)),VLOOKUP($D994,TableInputsData[],ReadMe!$M$3,FALSE)&amp;"  |  "&amp;VLOOKUP($E994,TableInputsData[],ReadMe!$M$3,FALSE))</f>
        <v/>
      </c>
      <c r="C994" s="294"/>
      <c r="G994"/>
      <c r="H994"/>
      <c r="I994"/>
      <c r="J994"/>
      <c r="K994"/>
      <c r="L994"/>
      <c r="M994"/>
      <c r="N994"/>
      <c r="O994" s="294"/>
    </row>
    <row r="995" spans="1:15" ht="16" hidden="1" outlineLevel="1" x14ac:dyDescent="0.2">
      <c r="A995" s="294"/>
      <c r="B995" s="423" t="str">
        <f>IF($E995="",IF($D995="","",VLOOKUP($D995,TableInputsData[],ReadMe!$M$3,FALSE)),VLOOKUP($D995,TableInputsData[],ReadMe!$M$3,FALSE)&amp;"  |  "&amp;VLOOKUP($E995,TableInputsData[],ReadMe!$M$3,FALSE))</f>
        <v/>
      </c>
      <c r="C995" s="294"/>
      <c r="G995"/>
      <c r="H995"/>
      <c r="I995"/>
      <c r="J995"/>
      <c r="K995"/>
      <c r="L995"/>
      <c r="M995"/>
      <c r="N995"/>
      <c r="O995" s="294"/>
    </row>
    <row r="996" spans="1:15" ht="16" hidden="1" outlineLevel="1" x14ac:dyDescent="0.2">
      <c r="A996" s="294"/>
      <c r="B996" s="423" t="str">
        <f>IF($E996="",IF($D996="","",VLOOKUP($D996,TableInputsData[],ReadMe!$M$3,FALSE)),VLOOKUP($D996,TableInputsData[],ReadMe!$M$3,FALSE)&amp;"  |  "&amp;VLOOKUP($E996,TableInputsData[],ReadMe!$M$3,FALSE))</f>
        <v/>
      </c>
      <c r="C996" s="294"/>
      <c r="G996"/>
      <c r="H996"/>
      <c r="I996"/>
      <c r="J996"/>
      <c r="K996"/>
      <c r="L996"/>
      <c r="M996"/>
      <c r="N996"/>
      <c r="O996" s="294"/>
    </row>
    <row r="997" spans="1:15" ht="16" hidden="1" outlineLevel="1" x14ac:dyDescent="0.2">
      <c r="A997" s="294"/>
      <c r="B997" s="423" t="str">
        <f>IF($E997="",IF($D997="","",VLOOKUP($D997,TableInputsData[],ReadMe!$M$3,FALSE)),VLOOKUP($D997,TableInputsData[],ReadMe!$M$3,FALSE)&amp;"  |  "&amp;VLOOKUP($E997,TableInputsData[],ReadMe!$M$3,FALSE))</f>
        <v/>
      </c>
      <c r="C997" s="294"/>
      <c r="G997"/>
      <c r="H997"/>
      <c r="I997"/>
      <c r="J997"/>
      <c r="K997"/>
      <c r="L997"/>
      <c r="M997"/>
      <c r="N997"/>
      <c r="O997" s="294"/>
    </row>
    <row r="998" spans="1:15" ht="16" hidden="1" outlineLevel="1" x14ac:dyDescent="0.2">
      <c r="A998" s="294"/>
      <c r="B998" s="423" t="str">
        <f>IF($E998="",IF($D998="","",VLOOKUP($D998,TableInputsData[],ReadMe!$M$3,FALSE)),VLOOKUP($D998,TableInputsData[],ReadMe!$M$3,FALSE)&amp;"  |  "&amp;VLOOKUP($E998,TableInputsData[],ReadMe!$M$3,FALSE))</f>
        <v/>
      </c>
      <c r="C998" s="294"/>
      <c r="G998"/>
      <c r="H998"/>
      <c r="I998"/>
      <c r="J998"/>
      <c r="K998"/>
      <c r="L998"/>
      <c r="M998"/>
      <c r="N998"/>
      <c r="O998" s="294"/>
    </row>
    <row r="999" spans="1:15" ht="16" hidden="1" outlineLevel="1" x14ac:dyDescent="0.2">
      <c r="A999" s="294"/>
      <c r="B999" s="423" t="str">
        <f>IF($E999="",IF($D999="","",VLOOKUP($D999,TableInputsData[],ReadMe!$M$3,FALSE)),VLOOKUP($D999,TableInputsData[],ReadMe!$M$3,FALSE)&amp;"  |  "&amp;VLOOKUP($E999,TableInputsData[],ReadMe!$M$3,FALSE))</f>
        <v/>
      </c>
      <c r="C999" s="294"/>
      <c r="G999"/>
      <c r="H999"/>
      <c r="I999"/>
      <c r="J999"/>
      <c r="K999"/>
      <c r="L999"/>
      <c r="M999"/>
      <c r="N999"/>
      <c r="O999" s="294"/>
    </row>
    <row r="1000" spans="1:15" ht="16" hidden="1" outlineLevel="1" x14ac:dyDescent="0.2">
      <c r="A1000" s="294"/>
      <c r="B1000" s="423" t="str">
        <f>IF($E1000="",IF($D1000="","",VLOOKUP($D1000,TableInputsData[],ReadMe!$M$3,FALSE)),VLOOKUP($D1000,TableInputsData[],ReadMe!$M$3,FALSE)&amp;"  |  "&amp;VLOOKUP($E1000,TableInputsData[],ReadMe!$M$3,FALSE))</f>
        <v/>
      </c>
      <c r="C1000" s="294"/>
      <c r="G1000"/>
      <c r="H1000"/>
      <c r="I1000"/>
      <c r="J1000"/>
      <c r="K1000"/>
      <c r="L1000"/>
      <c r="M1000"/>
      <c r="N1000"/>
      <c r="O1000" s="294"/>
    </row>
    <row r="1001" spans="1:15" ht="16" hidden="1" outlineLevel="1" x14ac:dyDescent="0.2">
      <c r="A1001" s="294"/>
      <c r="B1001" s="423" t="str">
        <f>IF($E1001="",IF($D1001="","",VLOOKUP($D1001,TableInputsData[],ReadMe!$M$3,FALSE)),VLOOKUP($D1001,TableInputsData[],ReadMe!$M$3,FALSE)&amp;"  |  "&amp;VLOOKUP($E1001,TableInputsData[],ReadMe!$M$3,FALSE))</f>
        <v/>
      </c>
      <c r="C1001" s="294"/>
      <c r="G1001"/>
      <c r="H1001"/>
      <c r="I1001"/>
      <c r="J1001"/>
      <c r="K1001"/>
      <c r="L1001"/>
      <c r="M1001"/>
      <c r="N1001"/>
      <c r="O1001" s="294"/>
    </row>
    <row r="1002" spans="1:15" ht="16" hidden="1" outlineLevel="1" x14ac:dyDescent="0.2">
      <c r="A1002" s="294"/>
      <c r="B1002" s="423" t="str">
        <f>IF($E1002="",IF($D1002="","",VLOOKUP($D1002,TableInputsData[],ReadMe!$M$3,FALSE)),VLOOKUP($D1002,TableInputsData[],ReadMe!$M$3,FALSE)&amp;"  |  "&amp;VLOOKUP($E1002,TableInputsData[],ReadMe!$M$3,FALSE))</f>
        <v/>
      </c>
      <c r="C1002" s="294"/>
      <c r="G1002"/>
      <c r="H1002"/>
      <c r="I1002"/>
      <c r="J1002"/>
      <c r="K1002"/>
      <c r="L1002"/>
      <c r="M1002"/>
      <c r="N1002"/>
      <c r="O1002" s="294"/>
    </row>
    <row r="1003" spans="1:15" ht="16" hidden="1" outlineLevel="1" x14ac:dyDescent="0.2">
      <c r="A1003" s="294"/>
      <c r="B1003" s="423" t="str">
        <f>IF($E1003="",IF($D1003="","",VLOOKUP($D1003,TableInputsData[],ReadMe!$M$3,FALSE)),VLOOKUP($D1003,TableInputsData[],ReadMe!$M$3,FALSE)&amp;"  |  "&amp;VLOOKUP($E1003,TableInputsData[],ReadMe!$M$3,FALSE))</f>
        <v/>
      </c>
      <c r="C1003" s="294"/>
      <c r="G1003"/>
      <c r="H1003"/>
      <c r="I1003"/>
      <c r="J1003"/>
      <c r="K1003"/>
      <c r="L1003"/>
      <c r="M1003"/>
      <c r="N1003"/>
      <c r="O1003" s="294"/>
    </row>
    <row r="1004" spans="1:15" ht="16" hidden="1" outlineLevel="1" x14ac:dyDescent="0.2">
      <c r="A1004" s="294"/>
      <c r="B1004" s="423" t="str">
        <f>IF($E1004="",IF($D1004="","",VLOOKUP($D1004,TableInputsData[],ReadMe!$M$3,FALSE)),VLOOKUP($D1004,TableInputsData[],ReadMe!$M$3,FALSE)&amp;"  |  "&amp;VLOOKUP($E1004,TableInputsData[],ReadMe!$M$3,FALSE))</f>
        <v/>
      </c>
      <c r="C1004" s="294"/>
      <c r="G1004"/>
      <c r="H1004"/>
      <c r="I1004"/>
      <c r="J1004"/>
      <c r="K1004"/>
      <c r="L1004"/>
      <c r="M1004"/>
      <c r="N1004"/>
      <c r="O1004" s="294"/>
    </row>
    <row r="1005" spans="1:15" ht="16" hidden="1" outlineLevel="1" x14ac:dyDescent="0.2">
      <c r="A1005" s="294"/>
      <c r="B1005" s="423" t="str">
        <f>IF($E1005="",IF($D1005="","",VLOOKUP($D1005,TableInputsData[],ReadMe!$M$3,FALSE)),VLOOKUP($D1005,TableInputsData[],ReadMe!$M$3,FALSE)&amp;"  |  "&amp;VLOOKUP($E1005,TableInputsData[],ReadMe!$M$3,FALSE))</f>
        <v/>
      </c>
      <c r="C1005" s="294"/>
      <c r="G1005"/>
      <c r="H1005"/>
      <c r="I1005"/>
      <c r="J1005"/>
      <c r="K1005"/>
      <c r="L1005"/>
      <c r="M1005"/>
      <c r="N1005"/>
      <c r="O1005" s="294"/>
    </row>
    <row r="1006" spans="1:15" ht="16" hidden="1" outlineLevel="1" x14ac:dyDescent="0.2">
      <c r="A1006" s="294"/>
      <c r="B1006" s="423" t="str">
        <f>IF($E1006="",IF($D1006="","",VLOOKUP($D1006,TableInputsData[],ReadMe!$M$3,FALSE)),VLOOKUP($D1006,TableInputsData[],ReadMe!$M$3,FALSE)&amp;"  |  "&amp;VLOOKUP($E1006,TableInputsData[],ReadMe!$M$3,FALSE))</f>
        <v/>
      </c>
      <c r="C1006" s="294"/>
      <c r="G1006"/>
      <c r="H1006"/>
      <c r="I1006"/>
      <c r="J1006"/>
      <c r="K1006"/>
      <c r="L1006"/>
      <c r="M1006"/>
      <c r="N1006"/>
      <c r="O1006" s="294"/>
    </row>
    <row r="1007" spans="1:15" ht="16" hidden="1" outlineLevel="1" x14ac:dyDescent="0.2">
      <c r="A1007" s="294"/>
      <c r="B1007" s="423" t="str">
        <f>IF($E1007="",IF($D1007="","",VLOOKUP($D1007,TableInputsData[],ReadMe!$M$3,FALSE)),VLOOKUP($D1007,TableInputsData[],ReadMe!$M$3,FALSE)&amp;"  |  "&amp;VLOOKUP($E1007,TableInputsData[],ReadMe!$M$3,FALSE))</f>
        <v/>
      </c>
      <c r="C1007" s="294"/>
      <c r="G1007"/>
      <c r="H1007"/>
      <c r="I1007"/>
      <c r="J1007"/>
      <c r="K1007"/>
      <c r="L1007"/>
      <c r="M1007"/>
      <c r="N1007"/>
      <c r="O1007" s="294"/>
    </row>
    <row r="1008" spans="1:15" ht="16" hidden="1" outlineLevel="1" x14ac:dyDescent="0.2">
      <c r="A1008" s="294"/>
      <c r="B1008" s="423" t="str">
        <f>IF($E1008="",IF($D1008="","",VLOOKUP($D1008,TableInputsData[],ReadMe!$M$3,FALSE)),VLOOKUP($D1008,TableInputsData[],ReadMe!$M$3,FALSE)&amp;"  |  "&amp;VLOOKUP($E1008,TableInputsData[],ReadMe!$M$3,FALSE))</f>
        <v/>
      </c>
      <c r="C1008" s="294"/>
      <c r="G1008"/>
      <c r="H1008"/>
      <c r="I1008"/>
      <c r="J1008"/>
      <c r="K1008"/>
      <c r="L1008"/>
      <c r="M1008"/>
      <c r="N1008"/>
      <c r="O1008" s="294"/>
    </row>
    <row r="1009" spans="1:15" ht="16" hidden="1" outlineLevel="1" x14ac:dyDescent="0.2">
      <c r="A1009" s="294"/>
      <c r="B1009" s="423" t="str">
        <f>IF($E1009="",IF($D1009="","",VLOOKUP($D1009,TableInputsData[],ReadMe!$M$3,FALSE)),VLOOKUP($D1009,TableInputsData[],ReadMe!$M$3,FALSE)&amp;"  |  "&amp;VLOOKUP($E1009,TableInputsData[],ReadMe!$M$3,FALSE))</f>
        <v/>
      </c>
      <c r="C1009" s="294"/>
      <c r="G1009"/>
      <c r="H1009"/>
      <c r="I1009"/>
      <c r="J1009"/>
      <c r="K1009"/>
      <c r="L1009"/>
      <c r="M1009"/>
      <c r="N1009"/>
      <c r="O1009" s="294"/>
    </row>
    <row r="1010" spans="1:15" ht="16" hidden="1" outlineLevel="1" x14ac:dyDescent="0.2">
      <c r="A1010" s="294"/>
      <c r="B1010" s="423" t="str">
        <f>IF($E1010="",IF($D1010="","",VLOOKUP($D1010,TableInputsData[],ReadMe!$M$3,FALSE)),VLOOKUP($D1010,TableInputsData[],ReadMe!$M$3,FALSE)&amp;"  |  "&amp;VLOOKUP($E1010,TableInputsData[],ReadMe!$M$3,FALSE))</f>
        <v/>
      </c>
      <c r="C1010" s="294"/>
      <c r="G1010"/>
      <c r="H1010"/>
      <c r="I1010"/>
      <c r="J1010"/>
      <c r="K1010"/>
      <c r="L1010"/>
      <c r="M1010"/>
      <c r="N1010"/>
      <c r="O1010" s="294"/>
    </row>
    <row r="1011" spans="1:15" ht="16" hidden="1" outlineLevel="1" x14ac:dyDescent="0.2">
      <c r="A1011" s="294"/>
      <c r="B1011" s="423" t="str">
        <f>IF($E1011="",IF($D1011="","",VLOOKUP($D1011,TableInputsData[],ReadMe!$M$3,FALSE)),VLOOKUP($D1011,TableInputsData[],ReadMe!$M$3,FALSE)&amp;"  |  "&amp;VLOOKUP($E1011,TableInputsData[],ReadMe!$M$3,FALSE))</f>
        <v/>
      </c>
      <c r="C1011" s="294"/>
      <c r="G1011"/>
      <c r="H1011"/>
      <c r="I1011"/>
      <c r="J1011"/>
      <c r="K1011"/>
      <c r="L1011"/>
      <c r="M1011"/>
      <c r="N1011"/>
      <c r="O1011" s="294"/>
    </row>
    <row r="1012" spans="1:15" ht="16" hidden="1" outlineLevel="1" x14ac:dyDescent="0.2">
      <c r="A1012" s="294"/>
      <c r="B1012" s="423" t="str">
        <f>IF($E1012="",IF($D1012="","",VLOOKUP($D1012,TableInputsData[],ReadMe!$M$3,FALSE)),VLOOKUP($D1012,TableInputsData[],ReadMe!$M$3,FALSE)&amp;"  |  "&amp;VLOOKUP($E1012,TableInputsData[],ReadMe!$M$3,FALSE))</f>
        <v/>
      </c>
      <c r="C1012" s="294"/>
      <c r="G1012"/>
      <c r="H1012"/>
      <c r="I1012"/>
      <c r="J1012"/>
      <c r="K1012"/>
      <c r="L1012"/>
      <c r="M1012"/>
      <c r="N1012"/>
      <c r="O1012" s="294"/>
    </row>
    <row r="1013" spans="1:15" ht="16" hidden="1" outlineLevel="1" x14ac:dyDescent="0.2">
      <c r="A1013" s="294"/>
      <c r="B1013" s="423" t="str">
        <f>IF($E1013="",IF($D1013="","",VLOOKUP($D1013,TableInputsData[],ReadMe!$M$3,FALSE)),VLOOKUP($D1013,TableInputsData[],ReadMe!$M$3,FALSE)&amp;"  |  "&amp;VLOOKUP($E1013,TableInputsData[],ReadMe!$M$3,FALSE))</f>
        <v/>
      </c>
      <c r="C1013" s="294"/>
      <c r="G1013"/>
      <c r="H1013"/>
      <c r="I1013"/>
      <c r="J1013"/>
      <c r="K1013"/>
      <c r="L1013"/>
      <c r="M1013"/>
      <c r="N1013"/>
      <c r="O1013" s="294"/>
    </row>
    <row r="1014" spans="1:15" ht="16" hidden="1" outlineLevel="1" x14ac:dyDescent="0.2">
      <c r="A1014" s="294"/>
      <c r="B1014" s="423" t="str">
        <f>IF($E1014="",IF($D1014="","",VLOOKUP($D1014,TableInputsData[],ReadMe!$M$3,FALSE)),VLOOKUP($D1014,TableInputsData[],ReadMe!$M$3,FALSE)&amp;"  |  "&amp;VLOOKUP($E1014,TableInputsData[],ReadMe!$M$3,FALSE))</f>
        <v/>
      </c>
      <c r="C1014" s="294"/>
      <c r="G1014"/>
      <c r="H1014"/>
      <c r="I1014"/>
      <c r="J1014"/>
      <c r="K1014"/>
      <c r="L1014"/>
      <c r="M1014"/>
      <c r="N1014"/>
      <c r="O1014" s="294"/>
    </row>
    <row r="1015" spans="1:15" ht="16" hidden="1" outlineLevel="1" x14ac:dyDescent="0.2">
      <c r="A1015" s="294"/>
      <c r="B1015" s="423" t="str">
        <f>IF($E1015="",IF($D1015="","",VLOOKUP($D1015,TableInputsData[],ReadMe!$M$3,FALSE)),VLOOKUP($D1015,TableInputsData[],ReadMe!$M$3,FALSE)&amp;"  |  "&amp;VLOOKUP($E1015,TableInputsData[],ReadMe!$M$3,FALSE))</f>
        <v/>
      </c>
      <c r="C1015" s="294"/>
      <c r="G1015"/>
      <c r="H1015"/>
      <c r="I1015"/>
      <c r="J1015"/>
      <c r="K1015"/>
      <c r="L1015"/>
      <c r="M1015"/>
      <c r="N1015"/>
      <c r="O1015" s="294"/>
    </row>
    <row r="1016" spans="1:15" ht="16" hidden="1" outlineLevel="1" x14ac:dyDescent="0.2">
      <c r="A1016" s="294"/>
      <c r="B1016" s="423" t="str">
        <f>IF($E1016="",IF($D1016="","",VLOOKUP($D1016,TableInputsData[],ReadMe!$M$3,FALSE)),VLOOKUP($D1016,TableInputsData[],ReadMe!$M$3,FALSE)&amp;"  |  "&amp;VLOOKUP($E1016,TableInputsData[],ReadMe!$M$3,FALSE))</f>
        <v/>
      </c>
      <c r="C1016" s="294"/>
      <c r="G1016"/>
      <c r="H1016"/>
      <c r="I1016"/>
      <c r="J1016"/>
      <c r="K1016"/>
      <c r="L1016"/>
      <c r="M1016"/>
      <c r="N1016"/>
      <c r="O1016" s="294"/>
    </row>
    <row r="1017" spans="1:15" ht="16" hidden="1" outlineLevel="1" x14ac:dyDescent="0.2">
      <c r="A1017" s="294"/>
      <c r="B1017" s="423" t="str">
        <f>IF($E1017="",IF($D1017="","",VLOOKUP($D1017,TableInputsData[],ReadMe!$M$3,FALSE)),VLOOKUP($D1017,TableInputsData[],ReadMe!$M$3,FALSE)&amp;"  |  "&amp;VLOOKUP($E1017,TableInputsData[],ReadMe!$M$3,FALSE))</f>
        <v/>
      </c>
      <c r="C1017" s="294"/>
      <c r="G1017"/>
      <c r="H1017"/>
      <c r="I1017"/>
      <c r="J1017"/>
      <c r="K1017"/>
      <c r="L1017"/>
      <c r="M1017"/>
      <c r="N1017"/>
      <c r="O1017" s="294"/>
    </row>
    <row r="1018" spans="1:15" ht="16" hidden="1" outlineLevel="1" x14ac:dyDescent="0.2">
      <c r="A1018" s="294"/>
      <c r="B1018" s="423" t="str">
        <f>IF($E1018="",IF($D1018="","",VLOOKUP($D1018,TableInputsData[],ReadMe!$M$3,FALSE)),VLOOKUP($D1018,TableInputsData[],ReadMe!$M$3,FALSE)&amp;"  |  "&amp;VLOOKUP($E1018,TableInputsData[],ReadMe!$M$3,FALSE))</f>
        <v/>
      </c>
      <c r="C1018" s="294"/>
      <c r="G1018"/>
      <c r="H1018"/>
      <c r="I1018"/>
      <c r="J1018"/>
      <c r="K1018"/>
      <c r="L1018"/>
      <c r="M1018"/>
      <c r="N1018"/>
      <c r="O1018" s="294"/>
    </row>
    <row r="1019" spans="1:15" ht="16" hidden="1" outlineLevel="1" x14ac:dyDescent="0.2">
      <c r="A1019" s="294"/>
      <c r="B1019" s="423" t="str">
        <f>IF($E1019="",IF($D1019="","",VLOOKUP($D1019,TableInputsData[],ReadMe!$M$3,FALSE)),VLOOKUP($D1019,TableInputsData[],ReadMe!$M$3,FALSE)&amp;"  |  "&amp;VLOOKUP($E1019,TableInputsData[],ReadMe!$M$3,FALSE))</f>
        <v/>
      </c>
      <c r="C1019" s="294"/>
      <c r="G1019"/>
      <c r="H1019"/>
      <c r="I1019"/>
      <c r="J1019"/>
      <c r="K1019"/>
      <c r="L1019"/>
      <c r="M1019"/>
      <c r="N1019"/>
      <c r="O1019" s="294"/>
    </row>
    <row r="1020" spans="1:15" ht="16" hidden="1" outlineLevel="1" x14ac:dyDescent="0.2">
      <c r="A1020" s="294"/>
      <c r="B1020" s="423" t="str">
        <f>IF($E1020="",IF($D1020="","",VLOOKUP($D1020,TableInputsData[],ReadMe!$M$3,FALSE)),VLOOKUP($D1020,TableInputsData[],ReadMe!$M$3,FALSE)&amp;"  |  "&amp;VLOOKUP($E1020,TableInputsData[],ReadMe!$M$3,FALSE))</f>
        <v/>
      </c>
      <c r="C1020" s="294"/>
      <c r="G1020"/>
      <c r="H1020"/>
      <c r="I1020"/>
      <c r="J1020"/>
      <c r="K1020"/>
      <c r="L1020"/>
      <c r="M1020"/>
      <c r="N1020"/>
      <c r="O1020" s="294"/>
    </row>
    <row r="1021" spans="1:15" ht="16" hidden="1" outlineLevel="1" x14ac:dyDescent="0.2">
      <c r="A1021" s="294"/>
      <c r="B1021" s="423" t="str">
        <f>IF($E1021="",IF($D1021="","",VLOOKUP($D1021,TableInputsData[],ReadMe!$M$3,FALSE)),VLOOKUP($D1021,TableInputsData[],ReadMe!$M$3,FALSE)&amp;"  |  "&amp;VLOOKUP($E1021,TableInputsData[],ReadMe!$M$3,FALSE))</f>
        <v/>
      </c>
      <c r="C1021" s="294"/>
      <c r="G1021"/>
      <c r="H1021"/>
      <c r="I1021"/>
      <c r="J1021"/>
      <c r="K1021"/>
      <c r="L1021"/>
      <c r="M1021"/>
      <c r="N1021"/>
      <c r="O1021" s="294"/>
    </row>
    <row r="1022" spans="1:15" ht="16" collapsed="1" x14ac:dyDescent="0.2">
      <c r="A1022" s="294"/>
      <c r="B1022" s="294"/>
      <c r="C1022" s="294"/>
      <c r="D1022" s="313"/>
      <c r="E1022" s="313"/>
      <c r="F1022" s="313"/>
      <c r="G1022" s="313"/>
      <c r="H1022" s="313"/>
      <c r="I1022" s="313"/>
      <c r="J1022" s="313"/>
      <c r="K1022" s="313"/>
      <c r="L1022" s="313"/>
      <c r="M1022" s="313"/>
      <c r="N1022" s="313"/>
      <c r="O1022" s="294"/>
    </row>
    <row r="1023" spans="1:15" x14ac:dyDescent="0.2">
      <c r="A1023" s="294"/>
      <c r="B1023" s="164" t="str">
        <f>VLOOKUP($D1023,TableInputsData[],ReadMe!$M$3,FALSE)</f>
        <v>SOURCE DE FINANCEMENT</v>
      </c>
      <c r="C1023" s="294"/>
      <c r="D1023" s="164" t="s">
        <v>951</v>
      </c>
      <c r="E1023" s="151"/>
      <c r="F1023" s="152"/>
      <c r="G1023" s="152"/>
      <c r="H1023" s="152"/>
      <c r="I1023" s="152"/>
      <c r="J1023" s="152"/>
      <c r="K1023" s="152"/>
      <c r="L1023" s="152"/>
      <c r="M1023" s="152"/>
      <c r="N1023" s="545" t="str">
        <f>$N$223</f>
        <v>CAS TYPIQUE
SCENARIO DE SIMULATION</v>
      </c>
      <c r="O1023" s="294"/>
    </row>
    <row r="1024" spans="1:15" x14ac:dyDescent="0.15">
      <c r="A1024" s="294"/>
      <c r="B1024" s="294"/>
      <c r="C1024" s="294"/>
      <c r="D1024" s="300" t="s">
        <v>996</v>
      </c>
      <c r="E1024" s="294"/>
      <c r="F1024" s="294"/>
      <c r="G1024" s="294"/>
      <c r="H1024" s="294"/>
      <c r="I1024" s="294"/>
      <c r="J1024" s="294"/>
      <c r="K1024" s="294"/>
      <c r="L1024" s="294"/>
      <c r="M1024" s="294"/>
      <c r="N1024" s="294"/>
      <c r="O1024" s="294"/>
    </row>
    <row r="1025" spans="1:15" hidden="1" outlineLevel="1" x14ac:dyDescent="0.2">
      <c r="A1025" s="294"/>
      <c r="B1025" s="294"/>
      <c r="C1025" s="294"/>
      <c r="D1025" s="162" t="s">
        <v>122</v>
      </c>
      <c r="E1025" s="379">
        <v>7</v>
      </c>
      <c r="F1025" s="294"/>
      <c r="G1025" s="294"/>
      <c r="H1025" s="294"/>
      <c r="I1025" s="294"/>
      <c r="J1025" s="294"/>
      <c r="K1025" s="294"/>
      <c r="L1025" s="294"/>
      <c r="M1025" s="294"/>
      <c r="N1025" s="294"/>
      <c r="O1025" s="294"/>
    </row>
    <row r="1026" spans="1:15" hidden="1" outlineLevel="1" x14ac:dyDescent="0.2">
      <c r="A1026" s="294"/>
      <c r="B1026" s="294"/>
      <c r="C1026" s="294"/>
      <c r="D1026" s="162" t="s">
        <v>591</v>
      </c>
      <c r="E1026" s="379">
        <v>1</v>
      </c>
      <c r="F1026" s="294"/>
      <c r="G1026" s="294"/>
      <c r="H1026" s="294"/>
      <c r="I1026" s="294"/>
      <c r="J1026" s="294"/>
      <c r="K1026" s="294"/>
      <c r="L1026" s="294"/>
      <c r="M1026" s="294"/>
      <c r="N1026" s="294"/>
      <c r="O1026" s="294"/>
    </row>
    <row r="1027" spans="1:15" hidden="1" outlineLevel="1" x14ac:dyDescent="0.2">
      <c r="A1027" s="294"/>
      <c r="B1027" s="294"/>
      <c r="C1027" s="294"/>
      <c r="D1027" s="162" t="s">
        <v>590</v>
      </c>
      <c r="E1027" s="1" t="s">
        <v>114</v>
      </c>
      <c r="F1027" s="294"/>
      <c r="G1027" s="294"/>
      <c r="H1027" s="294"/>
      <c r="I1027" s="294"/>
      <c r="J1027" s="294"/>
      <c r="K1027" s="294"/>
      <c r="L1027" s="294"/>
      <c r="M1027" s="294"/>
      <c r="N1027" s="294"/>
      <c r="O1027" s="294"/>
    </row>
    <row r="1028" spans="1:15" hidden="1" outlineLevel="1" x14ac:dyDescent="0.2">
      <c r="A1028" s="294"/>
      <c r="B1028" s="294"/>
      <c r="C1028" s="294"/>
      <c r="D1028" s="294"/>
      <c r="E1028" s="294"/>
      <c r="F1028" s="294"/>
      <c r="G1028" s="294"/>
      <c r="H1028" s="294"/>
      <c r="I1028" s="294"/>
      <c r="J1028" s="294"/>
      <c r="K1028" s="294"/>
      <c r="L1028" s="294"/>
      <c r="M1028" s="294"/>
      <c r="N1028" s="294"/>
      <c r="O1028" s="294"/>
    </row>
    <row r="1029" spans="1:15" ht="42" collapsed="1" x14ac:dyDescent="0.2">
      <c r="A1029" s="294"/>
      <c r="B1029" s="439" t="s">
        <v>0</v>
      </c>
      <c r="C1029" s="294"/>
      <c r="D1029" s="378" t="s">
        <v>1</v>
      </c>
      <c r="E1029" s="437" t="s">
        <v>30</v>
      </c>
      <c r="F1029" s="378" t="s">
        <v>3</v>
      </c>
      <c r="G1029" s="382" t="s">
        <v>973</v>
      </c>
      <c r="H1029" s="382" t="s">
        <v>974</v>
      </c>
      <c r="I1029" s="382" t="s">
        <v>975</v>
      </c>
      <c r="J1029" s="382" t="s">
        <v>976</v>
      </c>
      <c r="K1029" s="382" t="s">
        <v>977</v>
      </c>
      <c r="L1029" s="382" t="s">
        <v>978</v>
      </c>
      <c r="M1029" s="382" t="s">
        <v>979</v>
      </c>
      <c r="N1029" s="382" t="s">
        <v>980</v>
      </c>
      <c r="O1029" s="294"/>
    </row>
    <row r="1030" spans="1:15" x14ac:dyDescent="0.2">
      <c r="A1030" s="294"/>
      <c r="B1030" s="819" t="str">
        <f>IF($E1030="",IF($D1030="","",VLOOKUP($D1030,TableInputsData[],ReadMe!$M$3,FALSE)),VLOOKUP($D1030,TableInputsData[],ReadMe!$M$3,FALSE)&amp;"  |  "&amp;VLOOKUP($E1030,TableInputsData[],ReadMe!$M$3,FALSE))</f>
        <v>BESOINS DE FINANCEMENT  |  POSITION DE TRESORERIE DEBUT DE LA PERIODE</v>
      </c>
      <c r="C1030" s="294"/>
      <c r="D1030" s="1" t="s">
        <v>962</v>
      </c>
      <c r="E1030" s="1" t="s">
        <v>936</v>
      </c>
      <c r="F1030" s="1" t="s">
        <v>144</v>
      </c>
      <c r="G1030" s="2">
        <v>0</v>
      </c>
      <c r="H1030" s="2">
        <v>0</v>
      </c>
      <c r="I1030" s="2">
        <v>0</v>
      </c>
      <c r="J1030" s="2">
        <v>0</v>
      </c>
      <c r="K1030" s="2">
        <v>0</v>
      </c>
      <c r="L1030" s="2">
        <v>0</v>
      </c>
      <c r="M1030" s="2">
        <v>0</v>
      </c>
      <c r="N1030" s="2">
        <v>0</v>
      </c>
      <c r="O1030" s="294"/>
    </row>
    <row r="1031" spans="1:15" x14ac:dyDescent="0.2">
      <c r="A1031" s="294"/>
      <c r="B1031" s="819" t="str">
        <f>IF($E1031="",IF($D1031="","",VLOOKUP($D1031,TableInputsData[],ReadMe!$M$3,FALSE)),VLOOKUP($D1031,TableInputsData[],ReadMe!$M$3,FALSE)&amp;"  |  "&amp;VLOOKUP($E1031,TableInputsData[],ReadMe!$M$3,FALSE))</f>
        <v>BESOINS DE FINANCEMENT  |  BENEFICE BRUT + AMORTISSEMENTS - IMPOT ANNEE PRECEDENTE</v>
      </c>
      <c r="C1031" s="294"/>
      <c r="D1031" s="1" t="s">
        <v>962</v>
      </c>
      <c r="E1031" s="1" t="s">
        <v>937</v>
      </c>
      <c r="F1031" s="1" t="s">
        <v>144</v>
      </c>
      <c r="G1031" s="2">
        <v>0</v>
      </c>
      <c r="H1031" s="2">
        <v>0</v>
      </c>
      <c r="I1031" s="2">
        <v>0</v>
      </c>
      <c r="J1031" s="2">
        <v>0</v>
      </c>
      <c r="K1031" s="2">
        <v>0</v>
      </c>
      <c r="L1031" s="2">
        <v>0</v>
      </c>
      <c r="M1031" s="2">
        <v>0</v>
      </c>
      <c r="N1031" s="2">
        <v>0</v>
      </c>
      <c r="O1031" s="294"/>
    </row>
    <row r="1032" spans="1:15" x14ac:dyDescent="0.2">
      <c r="A1032" s="294"/>
      <c r="B1032" s="819" t="str">
        <f>IF($E1032="",IF($D1032="","",VLOOKUP($D1032,TableInputsData[],ReadMe!$M$3,FALSE)),VLOOKUP($D1032,TableInputsData[],ReadMe!$M$3,FALSE)&amp;"  |  "&amp;VLOOKUP($E1032,TableInputsData[],ReadMe!$M$3,FALSE))</f>
        <v>BESOINS DE FINANCEMENT  |  FONDS DE ROULEMENT</v>
      </c>
      <c r="C1032" s="294"/>
      <c r="D1032" s="1" t="s">
        <v>962</v>
      </c>
      <c r="E1032" s="1" t="s">
        <v>863</v>
      </c>
      <c r="F1032" s="1" t="s">
        <v>144</v>
      </c>
      <c r="G1032" s="2">
        <v>0</v>
      </c>
      <c r="H1032" s="2">
        <v>0</v>
      </c>
      <c r="I1032" s="2">
        <v>0</v>
      </c>
      <c r="J1032" s="2">
        <v>0</v>
      </c>
      <c r="K1032" s="2">
        <v>0</v>
      </c>
      <c r="L1032" s="2">
        <v>0</v>
      </c>
      <c r="M1032" s="2">
        <v>0</v>
      </c>
      <c r="N1032" s="2">
        <v>0</v>
      </c>
      <c r="O1032" s="294"/>
    </row>
    <row r="1033" spans="1:15" x14ac:dyDescent="0.2">
      <c r="A1033" s="294"/>
      <c r="B1033" s="819" t="str">
        <f>IF($E1033="",IF($D1033="","",VLOOKUP($D1033,TableInputsData[],ReadMe!$M$3,FALSE)),VLOOKUP($D1033,TableInputsData[],ReadMe!$M$3,FALSE)&amp;"  |  "&amp;VLOOKUP($E1033,TableInputsData[],ReadMe!$M$3,FALSE))</f>
        <v>BESOINS DE FINANCEMENT  |  DEPENSES D'INVESTISSEMENTS</v>
      </c>
      <c r="C1033" s="294"/>
      <c r="D1033" s="1" t="s">
        <v>962</v>
      </c>
      <c r="E1033" s="1" t="s">
        <v>939</v>
      </c>
      <c r="F1033" s="1" t="s">
        <v>144</v>
      </c>
      <c r="G1033" s="2">
        <v>0</v>
      </c>
      <c r="H1033" s="2">
        <v>0</v>
      </c>
      <c r="I1033" s="2">
        <v>0</v>
      </c>
      <c r="J1033" s="2">
        <v>0</v>
      </c>
      <c r="K1033" s="2">
        <v>0</v>
      </c>
      <c r="L1033" s="2">
        <v>0</v>
      </c>
      <c r="M1033" s="2">
        <v>0</v>
      </c>
      <c r="N1033" s="2">
        <v>0</v>
      </c>
      <c r="O1033" s="294"/>
    </row>
    <row r="1034" spans="1:15" x14ac:dyDescent="0.2">
      <c r="A1034" s="294"/>
      <c r="B1034" s="819" t="str">
        <f>IF($E1034="",IF($D1034="","",VLOOKUP($D1034,TableInputsData[],ReadMe!$M$3,FALSE)),VLOOKUP($D1034,TableInputsData[],ReadMe!$M$3,FALSE)&amp;"  |  "&amp;VLOOKUP($E1034,TableInputsData[],ReadMe!$M$3,FALSE))</f>
        <v>BESOINS DE FINANCEMENT  |  MONTANT PRINCIPAL DE PRET</v>
      </c>
      <c r="C1034" s="294"/>
      <c r="D1034" s="1" t="s">
        <v>962</v>
      </c>
      <c r="E1034" s="1" t="s">
        <v>947</v>
      </c>
      <c r="F1034" s="1" t="s">
        <v>144</v>
      </c>
      <c r="G1034" s="2">
        <v>0</v>
      </c>
      <c r="H1034" s="2">
        <v>0</v>
      </c>
      <c r="I1034" s="2">
        <v>0</v>
      </c>
      <c r="J1034" s="2">
        <v>0</v>
      </c>
      <c r="K1034" s="2">
        <v>0</v>
      </c>
      <c r="L1034" s="2">
        <v>0</v>
      </c>
      <c r="M1034" s="2">
        <v>0</v>
      </c>
      <c r="N1034" s="2">
        <v>0</v>
      </c>
      <c r="O1034" s="294"/>
    </row>
    <row r="1035" spans="1:15" x14ac:dyDescent="0.2">
      <c r="A1035" s="294"/>
      <c r="B1035" s="818" t="str">
        <f>IF($E1035="",IF($D1035="","",VLOOKUP($D1035,TableInputsData[],ReadMe!$M$3,FALSE)),VLOOKUP($D1035,TableInputsData[],ReadMe!$M$3,FALSE)&amp;"  |  "&amp;VLOOKUP($E1035,TableInputsData[],ReadMe!$M$3,FALSE))</f>
        <v>BESOINS DE FINANCEMENT  |  TOTAL</v>
      </c>
      <c r="C1035" s="294"/>
      <c r="D1035" s="392" t="s">
        <v>962</v>
      </c>
      <c r="E1035" s="393" t="s">
        <v>29</v>
      </c>
      <c r="F1035" s="445" t="s">
        <v>144</v>
      </c>
      <c r="G1035" s="389">
        <v>0</v>
      </c>
      <c r="H1035" s="389">
        <v>0</v>
      </c>
      <c r="I1035" s="389">
        <v>0</v>
      </c>
      <c r="J1035" s="389">
        <v>0</v>
      </c>
      <c r="K1035" s="389">
        <v>0</v>
      </c>
      <c r="L1035" s="389">
        <v>0</v>
      </c>
      <c r="M1035" s="389">
        <v>0</v>
      </c>
      <c r="N1035" s="390">
        <v>0</v>
      </c>
      <c r="O1035" s="294"/>
    </row>
    <row r="1036" spans="1:15" x14ac:dyDescent="0.2">
      <c r="A1036" s="294"/>
      <c r="B1036" s="819" t="str">
        <f>IF($E1036="",IF($D1036="","",VLOOKUP($D1036,TableInputsData[],ReadMe!$M$3,FALSE)),VLOOKUP($D1036,TableInputsData[],ReadMe!$M$3,FALSE)&amp;"  |  "&amp;VLOOKUP($E1036,TableInputsData[],ReadMe!$M$3,FALSE))</f>
        <v>SOURCE DE FINANCEMENT  |  APPORT DE CAPITAL PAR ACTIONNAIRES EXISTANTS</v>
      </c>
      <c r="C1036" s="294"/>
      <c r="D1036" s="1" t="s">
        <v>951</v>
      </c>
      <c r="E1036" s="1" t="s">
        <v>933</v>
      </c>
      <c r="F1036" s="1" t="s">
        <v>144</v>
      </c>
      <c r="G1036" s="2">
        <v>0</v>
      </c>
      <c r="H1036" s="2">
        <v>0</v>
      </c>
      <c r="I1036" s="2">
        <v>0</v>
      </c>
      <c r="J1036" s="2">
        <v>0</v>
      </c>
      <c r="K1036" s="2">
        <v>0</v>
      </c>
      <c r="L1036" s="2">
        <v>0</v>
      </c>
      <c r="M1036" s="2">
        <v>0</v>
      </c>
      <c r="N1036" s="2">
        <v>0</v>
      </c>
      <c r="O1036" s="294"/>
    </row>
    <row r="1037" spans="1:15" x14ac:dyDescent="0.2">
      <c r="A1037" s="294"/>
      <c r="B1037" s="819" t="str">
        <f>IF($E1037="",IF($D1037="","",VLOOKUP($D1037,TableInputsData[],ReadMe!$M$3,FALSE)),VLOOKUP($D1037,TableInputsData[],ReadMe!$M$3,FALSE)&amp;"  |  "&amp;VLOOKUP($E1037,TableInputsData[],ReadMe!$M$3,FALSE))</f>
        <v>SOURCE DE FINANCEMENT  |  APPORT DE CAPITAL PAR ACTIONNAIRES NOUVEAUX</v>
      </c>
      <c r="C1037" s="294"/>
      <c r="D1037" s="1" t="s">
        <v>951</v>
      </c>
      <c r="E1037" s="1" t="s">
        <v>934</v>
      </c>
      <c r="F1037" s="1" t="s">
        <v>144</v>
      </c>
      <c r="G1037" s="2"/>
      <c r="H1037" s="2"/>
      <c r="I1037" s="2">
        <v>0</v>
      </c>
      <c r="J1037" s="2">
        <v>0</v>
      </c>
      <c r="K1037" s="2">
        <v>0</v>
      </c>
      <c r="L1037" s="2">
        <v>0</v>
      </c>
      <c r="M1037" s="2">
        <v>0</v>
      </c>
      <c r="N1037" s="2">
        <v>0</v>
      </c>
      <c r="O1037" s="294"/>
    </row>
    <row r="1038" spans="1:15" x14ac:dyDescent="0.2">
      <c r="A1038" s="294"/>
      <c r="B1038" s="819" t="str">
        <f>IF($E1038="",IF($D1038="","",VLOOKUP($D1038,TableInputsData[],ReadMe!$M$3,FALSE)),VLOOKUP($D1038,TableInputsData[],ReadMe!$M$3,FALSE)&amp;"  |  "&amp;VLOOKUP($E1038,TableInputsData[],ReadMe!$M$3,FALSE))</f>
        <v>SOURCE DE FINANCEMENT  |  PRET OVO</v>
      </c>
      <c r="C1038" s="294"/>
      <c r="D1038" s="1" t="s">
        <v>951</v>
      </c>
      <c r="E1038" s="1" t="s">
        <v>921</v>
      </c>
      <c r="F1038" s="1" t="s">
        <v>144</v>
      </c>
      <c r="G1038" s="2"/>
      <c r="H1038" s="2"/>
      <c r="I1038" s="2">
        <v>0</v>
      </c>
      <c r="J1038" s="2">
        <v>0</v>
      </c>
      <c r="K1038" s="2">
        <v>0</v>
      </c>
      <c r="L1038" s="2">
        <v>0</v>
      </c>
      <c r="M1038" s="2">
        <v>0</v>
      </c>
      <c r="N1038" s="2">
        <v>0</v>
      </c>
      <c r="O1038" s="294"/>
    </row>
    <row r="1039" spans="1:15" x14ac:dyDescent="0.2">
      <c r="A1039" s="294"/>
      <c r="B1039" s="819" t="str">
        <f>IF($E1039="",IF($D1039="","",VLOOKUP($D1039,TableInputsData[],ReadMe!$M$3,FALSE)),VLOOKUP($D1039,TableInputsData[],ReadMe!$M$3,FALSE)&amp;"  |  "&amp;VLOOKUP($E1039,TableInputsData[],ReadMe!$M$3,FALSE))</f>
        <v>SOURCE DE FINANCEMENT  |  PRET FAMILLE ET AMIS</v>
      </c>
      <c r="C1039" s="294"/>
      <c r="D1039" s="1" t="s">
        <v>951</v>
      </c>
      <c r="E1039" s="1" t="s">
        <v>916</v>
      </c>
      <c r="F1039" s="1" t="s">
        <v>144</v>
      </c>
      <c r="G1039" s="2"/>
      <c r="H1039" s="2"/>
      <c r="I1039" s="2">
        <v>0</v>
      </c>
      <c r="J1039" s="2">
        <v>0</v>
      </c>
      <c r="K1039" s="2">
        <v>0</v>
      </c>
      <c r="L1039" s="2">
        <v>0</v>
      </c>
      <c r="M1039" s="2">
        <v>0</v>
      </c>
      <c r="N1039" s="2">
        <v>0</v>
      </c>
      <c r="O1039" s="294"/>
    </row>
    <row r="1040" spans="1:15" x14ac:dyDescent="0.2">
      <c r="A1040" s="294"/>
      <c r="B1040" s="819" t="str">
        <f>IF($E1040="",IF($D1040="","",VLOOKUP($D1040,TableInputsData[],ReadMe!$M$3,FALSE)),VLOOKUP($D1040,TableInputsData[],ReadMe!$M$3,FALSE)&amp;"  |  "&amp;VLOOKUP($E1040,TableInputsData[],ReadMe!$M$3,FALSE))</f>
        <v>SOURCE DE FINANCEMENT  |  PRET BANQUE LOCALE</v>
      </c>
      <c r="C1040" s="294"/>
      <c r="D1040" s="1" t="s">
        <v>951</v>
      </c>
      <c r="E1040" s="1" t="s">
        <v>920</v>
      </c>
      <c r="F1040" s="1" t="s">
        <v>144</v>
      </c>
      <c r="G1040" s="2"/>
      <c r="H1040" s="2"/>
      <c r="I1040" s="2">
        <v>0</v>
      </c>
      <c r="J1040" s="2">
        <v>0</v>
      </c>
      <c r="K1040" s="2">
        <v>0</v>
      </c>
      <c r="L1040" s="2">
        <v>0</v>
      </c>
      <c r="M1040" s="2">
        <v>0</v>
      </c>
      <c r="N1040" s="2">
        <v>0</v>
      </c>
      <c r="O1040" s="294"/>
    </row>
    <row r="1041" spans="1:15" x14ac:dyDescent="0.2">
      <c r="A1041" s="294"/>
      <c r="B1041" s="818" t="str">
        <f>IF($E1041="",IF($D1041="","",VLOOKUP($D1041,TableInputsData[],ReadMe!$M$3,FALSE)),VLOOKUP($D1041,TableInputsData[],ReadMe!$M$3,FALSE)&amp;"  |  "&amp;VLOOKUP($E1041,TableInputsData[],ReadMe!$M$3,FALSE))</f>
        <v>SOURCE DE FINANCEMENT  |  PRET DE OVO + PRET DE LA FAMILLE ET DES AMIS</v>
      </c>
      <c r="C1041" s="294"/>
      <c r="D1041" s="392" t="s">
        <v>951</v>
      </c>
      <c r="E1041" s="393" t="s">
        <v>963</v>
      </c>
      <c r="F1041" s="445" t="s">
        <v>144</v>
      </c>
      <c r="G1041" s="389"/>
      <c r="H1041" s="389"/>
      <c r="I1041" s="389">
        <v>0</v>
      </c>
      <c r="J1041" s="389">
        <v>0</v>
      </c>
      <c r="K1041" s="389">
        <v>0</v>
      </c>
      <c r="L1041" s="389">
        <v>0</v>
      </c>
      <c r="M1041" s="389">
        <v>0</v>
      </c>
      <c r="N1041" s="390">
        <v>0</v>
      </c>
      <c r="O1041" s="294"/>
    </row>
    <row r="1042" spans="1:15" x14ac:dyDescent="0.2">
      <c r="A1042" s="294"/>
      <c r="B1042" s="819" t="str">
        <f>IF($E1042="",IF($D1042="","",VLOOKUP($D1042,TableInputsData[],ReadMe!$M$3,FALSE)),VLOOKUP($D1042,TableInputsData[],ReadMe!$M$3,FALSE)&amp;"  |  "&amp;VLOOKUP($E1042,TableInputsData[],ReadMe!$M$3,FALSE))</f>
        <v>SOURCE DE FINANCEMENT  |  MODIFICATION DU CAPITAL PAR ANNULATION DE LA DETTE/DU BENEFICE ACCUMULE</v>
      </c>
      <c r="C1042" s="294"/>
      <c r="D1042" s="1" t="s">
        <v>951</v>
      </c>
      <c r="E1042" s="1" t="s">
        <v>1896</v>
      </c>
      <c r="F1042" s="1" t="s">
        <v>144</v>
      </c>
      <c r="G1042" s="2"/>
      <c r="H1042" s="2">
        <v>0</v>
      </c>
      <c r="I1042" s="2">
        <v>0</v>
      </c>
      <c r="J1042" s="2">
        <v>0</v>
      </c>
      <c r="K1042" s="2">
        <v>0</v>
      </c>
      <c r="L1042" s="2">
        <v>0</v>
      </c>
      <c r="M1042" s="2">
        <v>0</v>
      </c>
      <c r="N1042" s="2">
        <v>0</v>
      </c>
      <c r="O1042" s="294"/>
    </row>
    <row r="1043" spans="1:15" x14ac:dyDescent="0.2">
      <c r="A1043" s="294"/>
      <c r="B1043" s="818" t="str">
        <f>IF($E1043="",IF($D1043="","",VLOOKUP($D1043,TableInputsData[],ReadMe!$M$3,FALSE)),VLOOKUP($D1043,TableInputsData[],ReadMe!$M$3,FALSE)&amp;"  |  "&amp;VLOOKUP($E1043,TableInputsData[],ReadMe!$M$3,FALSE))</f>
        <v>SOURCE DE FINANCEMENT  |  TOTAL</v>
      </c>
      <c r="C1043" s="294"/>
      <c r="D1043" s="392" t="s">
        <v>951</v>
      </c>
      <c r="E1043" s="393" t="s">
        <v>29</v>
      </c>
      <c r="F1043" s="445" t="s">
        <v>144</v>
      </c>
      <c r="G1043" s="389">
        <v>0</v>
      </c>
      <c r="H1043" s="389">
        <v>0</v>
      </c>
      <c r="I1043" s="389">
        <v>0</v>
      </c>
      <c r="J1043" s="389">
        <v>0</v>
      </c>
      <c r="K1043" s="389">
        <v>0</v>
      </c>
      <c r="L1043" s="389">
        <v>0</v>
      </c>
      <c r="M1043" s="389">
        <v>0</v>
      </c>
      <c r="N1043" s="390">
        <v>0</v>
      </c>
      <c r="O1043" s="294"/>
    </row>
    <row r="1044" spans="1:15" x14ac:dyDescent="0.2">
      <c r="A1044" s="294"/>
      <c r="B1044" s="820" t="str">
        <f>IF($E1044="",IF($D1044="","",VLOOKUP($D1044,TableInputsData[],ReadMe!$M$3,FALSE)),VLOOKUP($D1044,TableInputsData[],ReadMe!$M$3,FALSE)&amp;"  |  "&amp;VLOOKUP($E1044,TableInputsData[],ReadMe!$M$3,FALSE))</f>
        <v>MONTANT DU PRINCIPAL DU PRET DE OVO  |  TOTAL</v>
      </c>
      <c r="C1044" s="294"/>
      <c r="D1044" s="1" t="s">
        <v>956</v>
      </c>
      <c r="E1044" s="1" t="s">
        <v>29</v>
      </c>
      <c r="F1044" s="1" t="s">
        <v>144</v>
      </c>
      <c r="G1044" s="2"/>
      <c r="H1044" s="2"/>
      <c r="I1044" s="2">
        <v>0</v>
      </c>
      <c r="J1044" s="2">
        <v>0</v>
      </c>
      <c r="K1044" s="2">
        <v>0</v>
      </c>
      <c r="L1044" s="2">
        <v>0</v>
      </c>
      <c r="M1044" s="2">
        <v>0</v>
      </c>
      <c r="N1044" s="2">
        <v>0</v>
      </c>
      <c r="O1044" s="294"/>
    </row>
    <row r="1045" spans="1:15" x14ac:dyDescent="0.2">
      <c r="A1045" s="294"/>
      <c r="B1045" s="820" t="str">
        <f>IF($E1045="",IF($D1045="","",VLOOKUP($D1045,TableInputsData[],ReadMe!$M$3,FALSE)),VLOOKUP($D1045,TableInputsData[],ReadMe!$M$3,FALSE)&amp;"  |  "&amp;VLOOKUP($E1045,TableInputsData[],ReadMe!$M$3,FALSE))</f>
        <v>MONTANT DU PRINCIPAL DU PRET DE LA FAMILLE ET DES AMIS  |  TOTAL</v>
      </c>
      <c r="C1045" s="294"/>
      <c r="D1045" s="1" t="s">
        <v>958</v>
      </c>
      <c r="E1045" s="1" t="s">
        <v>29</v>
      </c>
      <c r="F1045" s="1" t="s">
        <v>144</v>
      </c>
      <c r="G1045" s="2"/>
      <c r="H1045" s="2"/>
      <c r="I1045" s="2">
        <v>0</v>
      </c>
      <c r="J1045" s="2">
        <v>0</v>
      </c>
      <c r="K1045" s="2">
        <v>0</v>
      </c>
      <c r="L1045" s="2">
        <v>0</v>
      </c>
      <c r="M1045" s="2">
        <v>0</v>
      </c>
      <c r="N1045" s="2">
        <v>0</v>
      </c>
      <c r="O1045" s="294"/>
    </row>
    <row r="1046" spans="1:15" x14ac:dyDescent="0.2">
      <c r="A1046" s="294"/>
      <c r="B1046" s="820" t="str">
        <f>IF($E1046="",IF($D1046="","",VLOOKUP($D1046,TableInputsData[],ReadMe!$M$3,FALSE)),VLOOKUP($D1046,TableInputsData[],ReadMe!$M$3,FALSE)&amp;"  |  "&amp;VLOOKUP($E1046,TableInputsData[],ReadMe!$M$3,FALSE))</f>
        <v>MONTANT DU PRINCIPAL DU PRET DE LA BANQUE LOCALE  |  TOTAL</v>
      </c>
      <c r="C1046" s="294"/>
      <c r="D1046" s="1" t="s">
        <v>960</v>
      </c>
      <c r="E1046" s="1" t="s">
        <v>29</v>
      </c>
      <c r="F1046" s="1" t="s">
        <v>144</v>
      </c>
      <c r="G1046" s="2"/>
      <c r="H1046" s="2"/>
      <c r="I1046" s="2">
        <v>0</v>
      </c>
      <c r="J1046" s="2">
        <v>0</v>
      </c>
      <c r="K1046" s="2">
        <v>0</v>
      </c>
      <c r="L1046" s="2">
        <v>0</v>
      </c>
      <c r="M1046" s="2">
        <v>0</v>
      </c>
      <c r="N1046" s="2">
        <v>0</v>
      </c>
      <c r="O1046" s="294"/>
    </row>
    <row r="1047" spans="1:15" x14ac:dyDescent="0.2">
      <c r="A1047" s="294"/>
      <c r="B1047" s="818" t="str">
        <f>IF($E1047="",IF($D1047="","",VLOOKUP($D1047,TableInputsData[],ReadMe!$M$3,FALSE)),VLOOKUP($D1047,TableInputsData[],ReadMe!$M$3,FALSE)&amp;"  |  "&amp;VLOOKUP($E1047,TableInputsData[],ReadMe!$M$3,FALSE))</f>
        <v>MONTANT PRINCIPAL DE PRET  |  PRET BANQUE LOCALE</v>
      </c>
      <c r="C1047" s="294"/>
      <c r="D1047" s="392" t="s">
        <v>947</v>
      </c>
      <c r="E1047" s="393" t="s">
        <v>920</v>
      </c>
      <c r="F1047" s="1" t="s">
        <v>144</v>
      </c>
      <c r="G1047" s="389"/>
      <c r="H1047" s="389"/>
      <c r="I1047" s="389">
        <v>0</v>
      </c>
      <c r="J1047" s="389">
        <v>0</v>
      </c>
      <c r="K1047" s="389">
        <v>0</v>
      </c>
      <c r="L1047" s="389">
        <v>0</v>
      </c>
      <c r="M1047" s="389">
        <v>0</v>
      </c>
      <c r="N1047" s="390">
        <v>0</v>
      </c>
      <c r="O1047" s="294"/>
    </row>
    <row r="1048" spans="1:15" x14ac:dyDescent="0.2">
      <c r="A1048" s="294"/>
      <c r="B1048" s="818" t="str">
        <f>IF($E1048="",IF($D1048="","",VLOOKUP($D1048,TableInputsData[],ReadMe!$M$3,FALSE)),VLOOKUP($D1048,TableInputsData[],ReadMe!$M$3,FALSE)&amp;"  |  "&amp;VLOOKUP($E1048,TableInputsData[],ReadMe!$M$3,FALSE))</f>
        <v>MONTANT PRINCIPAL DE PRET  |  PRET DE OVO + PRET DE LA FAMILLE ET DES AMIS</v>
      </c>
      <c r="C1048" s="294"/>
      <c r="D1048" s="441" t="s">
        <v>947</v>
      </c>
      <c r="E1048" s="444" t="s">
        <v>963</v>
      </c>
      <c r="F1048" s="1" t="s">
        <v>144</v>
      </c>
      <c r="G1048" s="387"/>
      <c r="H1048" s="387"/>
      <c r="I1048" s="387">
        <v>0</v>
      </c>
      <c r="J1048" s="387">
        <v>0</v>
      </c>
      <c r="K1048" s="387">
        <v>0</v>
      </c>
      <c r="L1048" s="387">
        <v>0</v>
      </c>
      <c r="M1048" s="387">
        <v>0</v>
      </c>
      <c r="N1048" s="388">
        <v>0</v>
      </c>
      <c r="O1048" s="294"/>
    </row>
    <row r="1049" spans="1:15" x14ac:dyDescent="0.2">
      <c r="A1049" s="294"/>
      <c r="B1049" s="820" t="str">
        <f>IF($E1049="",IF($D1049="","",VLOOKUP($D1049,TableInputsData[],ReadMe!$M$3,FALSE)),VLOOKUP($D1049,TableInputsData[],ReadMe!$M$3,FALSE)&amp;"  |  "&amp;VLOOKUP($E1049,TableInputsData[],ReadMe!$M$3,FALSE))</f>
        <v>INTERETS DU PRET D'OVO  |  TOTAL</v>
      </c>
      <c r="C1049" s="294"/>
      <c r="D1049" s="1" t="s">
        <v>957</v>
      </c>
      <c r="E1049" s="1" t="s">
        <v>29</v>
      </c>
      <c r="F1049" s="1" t="s">
        <v>144</v>
      </c>
      <c r="G1049" s="2"/>
      <c r="H1049" s="2"/>
      <c r="I1049" s="2">
        <v>0</v>
      </c>
      <c r="J1049" s="2">
        <v>0</v>
      </c>
      <c r="K1049" s="2">
        <v>0</v>
      </c>
      <c r="L1049" s="2">
        <v>0</v>
      </c>
      <c r="M1049" s="2">
        <v>0</v>
      </c>
      <c r="N1049" s="2">
        <v>0</v>
      </c>
      <c r="O1049" s="294"/>
    </row>
    <row r="1050" spans="1:15" x14ac:dyDescent="0.2">
      <c r="A1050" s="294"/>
      <c r="B1050" s="820" t="str">
        <f>IF($E1050="",IF($D1050="","",VLOOKUP($D1050,TableInputsData[],ReadMe!$M$3,FALSE)),VLOOKUP($D1050,TableInputsData[],ReadMe!$M$3,FALSE)&amp;"  |  "&amp;VLOOKUP($E1050,TableInputsData[],ReadMe!$M$3,FALSE))</f>
        <v>INTERETS DU PRET DE LA FAMILLE ET DES AMIS  |  TOTAL</v>
      </c>
      <c r="C1050" s="294"/>
      <c r="D1050" s="1" t="s">
        <v>959</v>
      </c>
      <c r="E1050" s="1" t="s">
        <v>29</v>
      </c>
      <c r="F1050" s="1" t="s">
        <v>144</v>
      </c>
      <c r="G1050" s="2"/>
      <c r="H1050" s="2"/>
      <c r="I1050" s="2">
        <v>0</v>
      </c>
      <c r="J1050" s="2">
        <v>0</v>
      </c>
      <c r="K1050" s="2">
        <v>0</v>
      </c>
      <c r="L1050" s="2">
        <v>0</v>
      </c>
      <c r="M1050" s="2">
        <v>0</v>
      </c>
      <c r="N1050" s="2">
        <v>0</v>
      </c>
      <c r="O1050" s="294"/>
    </row>
    <row r="1051" spans="1:15" x14ac:dyDescent="0.2">
      <c r="A1051" s="294"/>
      <c r="B1051" s="820" t="str">
        <f>IF($E1051="",IF($D1051="","",VLOOKUP($D1051,TableInputsData[],ReadMe!$M$3,FALSE)),VLOOKUP($D1051,TableInputsData[],ReadMe!$M$3,FALSE)&amp;"  |  "&amp;VLOOKUP($E1051,TableInputsData[],ReadMe!$M$3,FALSE))</f>
        <v>INTERETS DU PRET DE LA BANQUE LOCALE  |  TOTAL</v>
      </c>
      <c r="C1051" s="294"/>
      <c r="D1051" s="1" t="s">
        <v>961</v>
      </c>
      <c r="E1051" s="1" t="s">
        <v>29</v>
      </c>
      <c r="F1051" s="1" t="s">
        <v>144</v>
      </c>
      <c r="G1051" s="2"/>
      <c r="H1051" s="2"/>
      <c r="I1051" s="2">
        <v>0</v>
      </c>
      <c r="J1051" s="2">
        <v>0</v>
      </c>
      <c r="K1051" s="2">
        <v>0</v>
      </c>
      <c r="L1051" s="2">
        <v>0</v>
      </c>
      <c r="M1051" s="2">
        <v>0</v>
      </c>
      <c r="N1051" s="2">
        <v>0</v>
      </c>
      <c r="O1051" s="294"/>
    </row>
    <row r="1052" spans="1:15" x14ac:dyDescent="0.2">
      <c r="A1052" s="294"/>
      <c r="B1052" s="818" t="str">
        <f>IF($E1052="",IF($D1052="","",VLOOKUP($D1052,TableInputsData[],ReadMe!$M$3,FALSE)),VLOOKUP($D1052,TableInputsData[],ReadMe!$M$3,FALSE)&amp;"  |  "&amp;VLOOKUP($E1052,TableInputsData[],ReadMe!$M$3,FALSE))</f>
        <v>INTERETS  |  PRET BANQUE LOCALE</v>
      </c>
      <c r="C1052" s="294"/>
      <c r="D1052" s="392" t="s">
        <v>909</v>
      </c>
      <c r="E1052" s="393" t="s">
        <v>920</v>
      </c>
      <c r="F1052" s="1" t="s">
        <v>144</v>
      </c>
      <c r="G1052" s="384"/>
      <c r="H1052" s="384"/>
      <c r="I1052" s="384">
        <v>0</v>
      </c>
      <c r="J1052" s="384">
        <v>0</v>
      </c>
      <c r="K1052" s="384">
        <v>0</v>
      </c>
      <c r="L1052" s="384">
        <v>0</v>
      </c>
      <c r="M1052" s="384">
        <v>0</v>
      </c>
      <c r="N1052" s="385">
        <v>0</v>
      </c>
      <c r="O1052" s="294"/>
    </row>
    <row r="1053" spans="1:15" x14ac:dyDescent="0.2">
      <c r="A1053" s="294"/>
      <c r="B1053" s="818" t="str">
        <f>IF($E1053="",IF($D1053="","",VLOOKUP($D1053,TableInputsData[],ReadMe!$M$3,FALSE)),VLOOKUP($D1053,TableInputsData[],ReadMe!$M$3,FALSE)&amp;"  |  "&amp;VLOOKUP($E1053,TableInputsData[],ReadMe!$M$3,FALSE))</f>
        <v>INTERETS  |  PRET DE OVO + PRET DE LA FAMILLE ET DES AMIS</v>
      </c>
      <c r="C1053" s="294"/>
      <c r="D1053" s="441" t="s">
        <v>909</v>
      </c>
      <c r="E1053" s="444" t="s">
        <v>963</v>
      </c>
      <c r="F1053" s="1" t="s">
        <v>144</v>
      </c>
      <c r="G1053" s="389"/>
      <c r="H1053" s="389"/>
      <c r="I1053" s="389">
        <v>0</v>
      </c>
      <c r="J1053" s="389">
        <v>0</v>
      </c>
      <c r="K1053" s="389">
        <v>0</v>
      </c>
      <c r="L1053" s="389">
        <v>0</v>
      </c>
      <c r="M1053" s="389">
        <v>0</v>
      </c>
      <c r="N1053" s="390">
        <v>0</v>
      </c>
      <c r="O1053" s="294"/>
    </row>
    <row r="1054" spans="1:15" x14ac:dyDescent="0.2">
      <c r="A1054" s="294"/>
      <c r="B1054" s="819" t="str">
        <f>IF($E1054="",IF($D1054="","",VLOOKUP($D1054,TableInputsData[],ReadMe!$M$3,FALSE)),VLOOKUP($D1054,TableInputsData[],ReadMe!$M$3,FALSE)&amp;"  |  "&amp;VLOOKUP($E1054,TableInputsData[],ReadMe!$M$3,FALSE))</f>
        <v>VALEUR BILAN FIN D'ANNEE A LONG TERME  |  PRET BANQUE LOCALE</v>
      </c>
      <c r="C1054" s="294"/>
      <c r="D1054" s="1" t="s">
        <v>760</v>
      </c>
      <c r="E1054" s="1" t="s">
        <v>920</v>
      </c>
      <c r="F1054" s="1" t="s">
        <v>144</v>
      </c>
      <c r="G1054" s="2"/>
      <c r="H1054" s="2"/>
      <c r="I1054" s="2">
        <v>0</v>
      </c>
      <c r="J1054" s="2">
        <v>0</v>
      </c>
      <c r="K1054" s="2">
        <v>0</v>
      </c>
      <c r="L1054" s="2">
        <v>0</v>
      </c>
      <c r="M1054" s="2">
        <v>0</v>
      </c>
      <c r="N1054" s="2">
        <v>0</v>
      </c>
      <c r="O1054" s="294"/>
    </row>
    <row r="1055" spans="1:15" x14ac:dyDescent="0.2">
      <c r="A1055" s="294"/>
      <c r="B1055" s="820" t="str">
        <f>IF($E1055="",IF($D1055="","",VLOOKUP($D1055,TableInputsData[],ReadMe!$M$3,FALSE)),VLOOKUP($D1055,TableInputsData[],ReadMe!$M$3,FALSE)&amp;"  |  "&amp;VLOOKUP($E1055,TableInputsData[],ReadMe!$M$3,FALSE))</f>
        <v>VALEUR BILAN FIN D'ANNEE A LONG TERME  |  PRET DE OVO + PRET DE LA FAMILLE ET DES AMIS</v>
      </c>
      <c r="C1055" s="294"/>
      <c r="D1055" s="1" t="s">
        <v>760</v>
      </c>
      <c r="E1055" s="1" t="s">
        <v>963</v>
      </c>
      <c r="F1055" s="1" t="s">
        <v>144</v>
      </c>
      <c r="G1055" s="2"/>
      <c r="H1055" s="2"/>
      <c r="I1055" s="2">
        <v>0</v>
      </c>
      <c r="J1055" s="2">
        <v>0</v>
      </c>
      <c r="K1055" s="2">
        <v>0</v>
      </c>
      <c r="L1055" s="2">
        <v>0</v>
      </c>
      <c r="M1055" s="2">
        <v>0</v>
      </c>
      <c r="N1055" s="2">
        <v>0</v>
      </c>
      <c r="O1055" s="294"/>
    </row>
    <row r="1056" spans="1:15" x14ac:dyDescent="0.2">
      <c r="A1056" s="294"/>
      <c r="B1056" s="819" t="str">
        <f>IF($E1056="",IF($D1056="","",VLOOKUP($D1056,TableInputsData[],ReadMe!$M$3,FALSE)),VLOOKUP($D1056,TableInputsData[],ReadMe!$M$3,FALSE)&amp;"  |  "&amp;VLOOKUP($E1056,TableInputsData[],ReadMe!$M$3,FALSE))</f>
        <v>VALEUR BILAN FIN D'ANNEE A COURT TERME  |  PRET BANQUE LOCALE</v>
      </c>
      <c r="C1056" s="294"/>
      <c r="D1056" s="1" t="s">
        <v>761</v>
      </c>
      <c r="E1056" s="1" t="s">
        <v>920</v>
      </c>
      <c r="F1056" s="1" t="s">
        <v>144</v>
      </c>
      <c r="G1056" s="2"/>
      <c r="H1056" s="2"/>
      <c r="I1056" s="2">
        <v>0</v>
      </c>
      <c r="J1056" s="2">
        <v>0</v>
      </c>
      <c r="K1056" s="2">
        <v>0</v>
      </c>
      <c r="L1056" s="2">
        <v>0</v>
      </c>
      <c r="M1056" s="2">
        <v>0</v>
      </c>
      <c r="N1056" s="2">
        <v>0</v>
      </c>
      <c r="O1056" s="294"/>
    </row>
    <row r="1057" spans="1:15" x14ac:dyDescent="0.2">
      <c r="A1057" s="294"/>
      <c r="B1057" s="820" t="str">
        <f>IF($E1057="",IF($D1057="","",VLOOKUP($D1057,TableInputsData[],ReadMe!$M$3,FALSE)),VLOOKUP($D1057,TableInputsData[],ReadMe!$M$3,FALSE)&amp;"  |  "&amp;VLOOKUP($E1057,TableInputsData[],ReadMe!$M$3,FALSE))</f>
        <v>VALEUR BILAN FIN D'ANNEE A COURT TERME  |  PRET DE OVO + PRET DE LA FAMILLE ET DES AMIS</v>
      </c>
      <c r="C1057" s="294"/>
      <c r="D1057" s="1" t="s">
        <v>761</v>
      </c>
      <c r="E1057" s="1" t="s">
        <v>963</v>
      </c>
      <c r="F1057" s="1" t="s">
        <v>144</v>
      </c>
      <c r="G1057" s="2"/>
      <c r="H1057" s="2"/>
      <c r="I1057" s="2">
        <v>0</v>
      </c>
      <c r="J1057" s="2">
        <v>0</v>
      </c>
      <c r="K1057" s="2">
        <v>0</v>
      </c>
      <c r="L1057" s="2">
        <v>0</v>
      </c>
      <c r="M1057" s="2">
        <v>0</v>
      </c>
      <c r="N1057" s="2">
        <v>0</v>
      </c>
      <c r="O1057" s="294"/>
    </row>
    <row r="1058" spans="1:15" ht="16" x14ac:dyDescent="0.2">
      <c r="A1058" s="294"/>
      <c r="B1058" s="423" t="str">
        <f>IF($E1058="",IF($D1058="","",VLOOKUP($D1058,TableInputsData[],ReadMe!$M$3,FALSE)),VLOOKUP($D1058,TableInputsData[],ReadMe!$M$3,FALSE)&amp;"  |  "&amp;VLOOKUP($E1058,TableInputsData[],ReadMe!$M$3,FALSE))</f>
        <v/>
      </c>
      <c r="C1058" s="294"/>
      <c r="D1058"/>
      <c r="E1058"/>
      <c r="F1058"/>
      <c r="G1058"/>
      <c r="H1058"/>
      <c r="I1058"/>
      <c r="J1058"/>
      <c r="K1058"/>
      <c r="L1058"/>
      <c r="M1058"/>
      <c r="N1058"/>
      <c r="O1058" s="294"/>
    </row>
    <row r="1059" spans="1:15" ht="16" hidden="1" outlineLevel="1" x14ac:dyDescent="0.2">
      <c r="A1059" s="294"/>
      <c r="B1059" s="423" t="str">
        <f>IF($E1059="",IF($D1059="","",VLOOKUP($D1059,TableInputsData[],ReadMe!$M$3,FALSE)),VLOOKUP($D1059,TableInputsData[],ReadMe!$M$3,FALSE)&amp;"  |  "&amp;VLOOKUP($E1059,TableInputsData[],ReadMe!$M$3,FALSE))</f>
        <v/>
      </c>
      <c r="C1059" s="294"/>
      <c r="D1059"/>
      <c r="E1059"/>
      <c r="F1059"/>
      <c r="G1059"/>
      <c r="H1059"/>
      <c r="I1059"/>
      <c r="J1059"/>
      <c r="K1059"/>
      <c r="L1059"/>
      <c r="M1059"/>
      <c r="N1059"/>
      <c r="O1059" s="294"/>
    </row>
    <row r="1060" spans="1:15" ht="16" hidden="1" outlineLevel="1" x14ac:dyDescent="0.2">
      <c r="A1060" s="294"/>
      <c r="B1060" s="423" t="str">
        <f>IF($E1060="",IF($D1060="","",VLOOKUP($D1060,TableInputsData[],ReadMe!$M$3,FALSE)),VLOOKUP($D1060,TableInputsData[],ReadMe!$M$3,FALSE)&amp;"  |  "&amp;VLOOKUP($E1060,TableInputsData[],ReadMe!$M$3,FALSE))</f>
        <v/>
      </c>
      <c r="C1060" s="294"/>
      <c r="D1060"/>
      <c r="E1060"/>
      <c r="F1060"/>
      <c r="G1060"/>
      <c r="H1060"/>
      <c r="I1060"/>
      <c r="J1060"/>
      <c r="K1060"/>
      <c r="L1060"/>
      <c r="M1060"/>
      <c r="N1060"/>
      <c r="O1060" s="294"/>
    </row>
    <row r="1061" spans="1:15" ht="16" hidden="1" outlineLevel="1" x14ac:dyDescent="0.2">
      <c r="A1061" s="294"/>
      <c r="B1061" s="423" t="str">
        <f>IF($E1061="",IF($D1061="","",VLOOKUP($D1061,TableInputsData[],ReadMe!$M$3,FALSE)),VLOOKUP($D1061,TableInputsData[],ReadMe!$M$3,FALSE)&amp;"  |  "&amp;VLOOKUP($E1061,TableInputsData[],ReadMe!$M$3,FALSE))</f>
        <v/>
      </c>
      <c r="C1061" s="294"/>
      <c r="D1061"/>
      <c r="E1061"/>
      <c r="F1061"/>
      <c r="G1061"/>
      <c r="H1061"/>
      <c r="I1061"/>
      <c r="J1061"/>
      <c r="K1061"/>
      <c r="L1061"/>
      <c r="M1061"/>
      <c r="N1061"/>
      <c r="O1061" s="294"/>
    </row>
    <row r="1062" spans="1:15" ht="16" hidden="1" outlineLevel="1" x14ac:dyDescent="0.2">
      <c r="A1062" s="294"/>
      <c r="B1062" s="423" t="str">
        <f>IF($E1062="",IF($D1062="","",VLOOKUP($D1062,TableInputsData[],ReadMe!$M$3,FALSE)),VLOOKUP($D1062,TableInputsData[],ReadMe!$M$3,FALSE)&amp;"  |  "&amp;VLOOKUP($E1062,TableInputsData[],ReadMe!$M$3,FALSE))</f>
        <v/>
      </c>
      <c r="C1062" s="294"/>
      <c r="D1062"/>
      <c r="E1062"/>
      <c r="F1062"/>
      <c r="G1062"/>
      <c r="H1062"/>
      <c r="I1062"/>
      <c r="J1062"/>
      <c r="K1062"/>
      <c r="L1062"/>
      <c r="M1062"/>
      <c r="N1062"/>
      <c r="O1062" s="294"/>
    </row>
    <row r="1063" spans="1:15" ht="16" hidden="1" outlineLevel="1" x14ac:dyDescent="0.2">
      <c r="A1063" s="294"/>
      <c r="B1063" s="423" t="str">
        <f>IF($E1063="",IF($D1063="","",VLOOKUP($D1063,TableInputsData[],ReadMe!$M$3,FALSE)),VLOOKUP($D1063,TableInputsData[],ReadMe!$M$3,FALSE)&amp;"  |  "&amp;VLOOKUP($E1063,TableInputsData[],ReadMe!$M$3,FALSE))</f>
        <v/>
      </c>
      <c r="C1063" s="294"/>
      <c r="D1063"/>
      <c r="E1063"/>
      <c r="F1063"/>
      <c r="G1063"/>
      <c r="H1063"/>
      <c r="I1063"/>
      <c r="J1063"/>
      <c r="K1063"/>
      <c r="L1063"/>
      <c r="M1063"/>
      <c r="N1063"/>
      <c r="O1063" s="294"/>
    </row>
    <row r="1064" spans="1:15" ht="16" hidden="1" outlineLevel="1" x14ac:dyDescent="0.2">
      <c r="A1064" s="294"/>
      <c r="B1064" s="423" t="str">
        <f>IF($E1064="",IF($D1064="","",VLOOKUP($D1064,TableInputsData[],ReadMe!$M$3,FALSE)),VLOOKUP($D1064,TableInputsData[],ReadMe!$M$3,FALSE)&amp;"  |  "&amp;VLOOKUP($E1064,TableInputsData[],ReadMe!$M$3,FALSE))</f>
        <v/>
      </c>
      <c r="C1064" s="294"/>
      <c r="D1064"/>
      <c r="E1064"/>
      <c r="F1064"/>
      <c r="G1064"/>
      <c r="H1064"/>
      <c r="I1064"/>
      <c r="J1064"/>
      <c r="K1064"/>
      <c r="L1064"/>
      <c r="M1064"/>
      <c r="N1064"/>
      <c r="O1064" s="294"/>
    </row>
    <row r="1065" spans="1:15" ht="16" hidden="1" outlineLevel="1" x14ac:dyDescent="0.2">
      <c r="A1065" s="294"/>
      <c r="B1065" s="423" t="str">
        <f>IF($E1065="",IF($D1065="","",VLOOKUP($D1065,TableInputsData[],ReadMe!$M$3,FALSE)),VLOOKUP($D1065,TableInputsData[],ReadMe!$M$3,FALSE)&amp;"  |  "&amp;VLOOKUP($E1065,TableInputsData[],ReadMe!$M$3,FALSE))</f>
        <v/>
      </c>
      <c r="C1065" s="294"/>
      <c r="D1065"/>
      <c r="E1065"/>
      <c r="F1065"/>
      <c r="G1065"/>
      <c r="H1065"/>
      <c r="I1065"/>
      <c r="J1065"/>
      <c r="K1065"/>
      <c r="L1065"/>
      <c r="M1065"/>
      <c r="N1065"/>
      <c r="O1065" s="294"/>
    </row>
    <row r="1066" spans="1:15" ht="16" hidden="1" outlineLevel="1" x14ac:dyDescent="0.2">
      <c r="A1066" s="294"/>
      <c r="B1066" s="423" t="str">
        <f>IF($E1066="",IF($D1066="","",VLOOKUP($D1066,TableInputsData[],ReadMe!$M$3,FALSE)),VLOOKUP($D1066,TableInputsData[],ReadMe!$M$3,FALSE)&amp;"  |  "&amp;VLOOKUP($E1066,TableInputsData[],ReadMe!$M$3,FALSE))</f>
        <v/>
      </c>
      <c r="C1066" s="294"/>
      <c r="D1066"/>
      <c r="E1066"/>
      <c r="F1066"/>
      <c r="G1066"/>
      <c r="H1066"/>
      <c r="I1066"/>
      <c r="J1066"/>
      <c r="K1066"/>
      <c r="L1066"/>
      <c r="M1066"/>
      <c r="N1066"/>
      <c r="O1066" s="294"/>
    </row>
    <row r="1067" spans="1:15" ht="16" hidden="1" outlineLevel="1" x14ac:dyDescent="0.2">
      <c r="A1067" s="294"/>
      <c r="B1067" s="423" t="str">
        <f>IF($E1067="",IF($D1067="","",VLOOKUP($D1067,TableInputsData[],ReadMe!$M$3,FALSE)),VLOOKUP($D1067,TableInputsData[],ReadMe!$M$3,FALSE)&amp;"  |  "&amp;VLOOKUP($E1067,TableInputsData[],ReadMe!$M$3,FALSE))</f>
        <v/>
      </c>
      <c r="C1067" s="294"/>
      <c r="D1067"/>
      <c r="E1067"/>
      <c r="F1067"/>
      <c r="G1067"/>
      <c r="H1067"/>
      <c r="I1067"/>
      <c r="J1067"/>
      <c r="K1067"/>
      <c r="L1067"/>
      <c r="M1067"/>
      <c r="N1067"/>
      <c r="O1067" s="294"/>
    </row>
    <row r="1068" spans="1:15" ht="16" hidden="1" outlineLevel="1" x14ac:dyDescent="0.2">
      <c r="A1068" s="294"/>
      <c r="B1068" s="423" t="str">
        <f>IF($E1068="",IF($D1068="","",VLOOKUP($D1068,TableInputsData[],ReadMe!$M$3,FALSE)),VLOOKUP($D1068,TableInputsData[],ReadMe!$M$3,FALSE)&amp;"  |  "&amp;VLOOKUP($E1068,TableInputsData[],ReadMe!$M$3,FALSE))</f>
        <v/>
      </c>
      <c r="C1068" s="294"/>
      <c r="D1068"/>
      <c r="E1068"/>
      <c r="F1068"/>
      <c r="G1068"/>
      <c r="H1068"/>
      <c r="I1068"/>
      <c r="J1068"/>
      <c r="K1068"/>
      <c r="L1068"/>
      <c r="M1068"/>
      <c r="N1068"/>
      <c r="O1068" s="294"/>
    </row>
    <row r="1069" spans="1:15" ht="16" hidden="1" outlineLevel="1" x14ac:dyDescent="0.2">
      <c r="A1069" s="294"/>
      <c r="B1069" s="423" t="str">
        <f>IF($E1069="",IF($D1069="","",VLOOKUP($D1069,TableInputsData[],ReadMe!$M$3,FALSE)),VLOOKUP($D1069,TableInputsData[],ReadMe!$M$3,FALSE)&amp;"  |  "&amp;VLOOKUP($E1069,TableInputsData[],ReadMe!$M$3,FALSE))</f>
        <v/>
      </c>
      <c r="C1069" s="294"/>
      <c r="D1069"/>
      <c r="E1069"/>
      <c r="F1069"/>
      <c r="G1069"/>
      <c r="H1069"/>
      <c r="I1069"/>
      <c r="J1069"/>
      <c r="K1069"/>
      <c r="L1069"/>
      <c r="M1069"/>
      <c r="N1069"/>
      <c r="O1069" s="294"/>
    </row>
    <row r="1070" spans="1:15" ht="16" hidden="1" outlineLevel="1" x14ac:dyDescent="0.2">
      <c r="A1070" s="294"/>
      <c r="B1070" s="423" t="str">
        <f>IF($E1070="",IF($D1070="","",VLOOKUP($D1070,TableInputsData[],ReadMe!$M$3,FALSE)),VLOOKUP($D1070,TableInputsData[],ReadMe!$M$3,FALSE)&amp;"  |  "&amp;VLOOKUP($E1070,TableInputsData[],ReadMe!$M$3,FALSE))</f>
        <v/>
      </c>
      <c r="C1070" s="294"/>
      <c r="D1070"/>
      <c r="E1070"/>
      <c r="F1070"/>
      <c r="G1070"/>
      <c r="H1070"/>
      <c r="I1070"/>
      <c r="J1070"/>
      <c r="K1070"/>
      <c r="L1070"/>
      <c r="M1070"/>
      <c r="N1070"/>
      <c r="O1070" s="294"/>
    </row>
    <row r="1071" spans="1:15" ht="16" hidden="1" outlineLevel="1" x14ac:dyDescent="0.2">
      <c r="A1071" s="294"/>
      <c r="B1071" s="423" t="str">
        <f>IF($E1071="",IF($D1071="","",VLOOKUP($D1071,TableInputsData[],ReadMe!$M$3,FALSE)),VLOOKUP($D1071,TableInputsData[],ReadMe!$M$3,FALSE)&amp;"  |  "&amp;VLOOKUP($E1071,TableInputsData[],ReadMe!$M$3,FALSE))</f>
        <v/>
      </c>
      <c r="C1071" s="294"/>
      <c r="D1071"/>
      <c r="E1071"/>
      <c r="F1071"/>
      <c r="G1071"/>
      <c r="H1071"/>
      <c r="I1071"/>
      <c r="J1071"/>
      <c r="K1071"/>
      <c r="L1071"/>
      <c r="M1071"/>
      <c r="N1071"/>
      <c r="O1071" s="294"/>
    </row>
    <row r="1072" spans="1:15" ht="16" hidden="1" outlineLevel="1" x14ac:dyDescent="0.2">
      <c r="A1072" s="294"/>
      <c r="B1072" s="423" t="str">
        <f>IF($E1072="",IF($D1072="","",VLOOKUP($D1072,TableInputsData[],ReadMe!$M$3,FALSE)),VLOOKUP($D1072,TableInputsData[],ReadMe!$M$3,FALSE)&amp;"  |  "&amp;VLOOKUP($E1072,TableInputsData[],ReadMe!$M$3,FALSE))</f>
        <v/>
      </c>
      <c r="C1072" s="294"/>
      <c r="D1072"/>
      <c r="E1072"/>
      <c r="F1072"/>
      <c r="G1072"/>
      <c r="H1072"/>
      <c r="I1072"/>
      <c r="J1072"/>
      <c r="K1072"/>
      <c r="L1072"/>
      <c r="M1072"/>
      <c r="N1072"/>
      <c r="O1072" s="294"/>
    </row>
    <row r="1073" spans="1:15" ht="16" hidden="1" outlineLevel="1" x14ac:dyDescent="0.2">
      <c r="A1073" s="294"/>
      <c r="B1073" s="423" t="str">
        <f>IF($E1073="",IF($D1073="","",VLOOKUP($D1073,TableInputsData[],ReadMe!$M$3,FALSE)),VLOOKUP($D1073,TableInputsData[],ReadMe!$M$3,FALSE)&amp;"  |  "&amp;VLOOKUP($E1073,TableInputsData[],ReadMe!$M$3,FALSE))</f>
        <v/>
      </c>
      <c r="C1073" s="294"/>
      <c r="D1073"/>
      <c r="E1073"/>
      <c r="F1073"/>
      <c r="G1073"/>
      <c r="H1073"/>
      <c r="I1073"/>
      <c r="J1073"/>
      <c r="K1073"/>
      <c r="L1073"/>
      <c r="M1073"/>
      <c r="N1073"/>
      <c r="O1073" s="294"/>
    </row>
    <row r="1074" spans="1:15" ht="16" hidden="1" outlineLevel="1" x14ac:dyDescent="0.2">
      <c r="A1074" s="294"/>
      <c r="B1074" s="423" t="str">
        <f>IF($E1074="",IF($D1074="","",VLOOKUP($D1074,TableInputsData[],ReadMe!$M$3,FALSE)),VLOOKUP($D1074,TableInputsData[],ReadMe!$M$3,FALSE)&amp;"  |  "&amp;VLOOKUP($E1074,TableInputsData[],ReadMe!$M$3,FALSE))</f>
        <v/>
      </c>
      <c r="C1074" s="294"/>
      <c r="D1074"/>
      <c r="E1074"/>
      <c r="F1074"/>
      <c r="G1074"/>
      <c r="H1074"/>
      <c r="I1074"/>
      <c r="J1074"/>
      <c r="K1074"/>
      <c r="L1074"/>
      <c r="M1074"/>
      <c r="N1074"/>
      <c r="O1074" s="294"/>
    </row>
    <row r="1075" spans="1:15" ht="16" hidden="1" outlineLevel="1" x14ac:dyDescent="0.2">
      <c r="A1075" s="294"/>
      <c r="B1075" s="423" t="str">
        <f>IF($E1075="",IF($D1075="","",VLOOKUP($D1075,TableInputsData[],ReadMe!$M$3,FALSE)),VLOOKUP($D1075,TableInputsData[],ReadMe!$M$3,FALSE)&amp;"  |  "&amp;VLOOKUP($E1075,TableInputsData[],ReadMe!$M$3,FALSE))</f>
        <v/>
      </c>
      <c r="C1075" s="294"/>
      <c r="D1075"/>
      <c r="E1075"/>
      <c r="F1075"/>
      <c r="G1075"/>
      <c r="H1075"/>
      <c r="I1075"/>
      <c r="J1075"/>
      <c r="K1075"/>
      <c r="L1075"/>
      <c r="M1075"/>
      <c r="N1075"/>
      <c r="O1075" s="294"/>
    </row>
    <row r="1076" spans="1:15" ht="16" hidden="1" outlineLevel="1" x14ac:dyDescent="0.2">
      <c r="A1076" s="294"/>
      <c r="B1076" s="423" t="str">
        <f>IF($E1076="",IF($D1076="","",VLOOKUP($D1076,TableInputsData[],ReadMe!$M$3,FALSE)),VLOOKUP($D1076,TableInputsData[],ReadMe!$M$3,FALSE)&amp;"  |  "&amp;VLOOKUP($E1076,TableInputsData[],ReadMe!$M$3,FALSE))</f>
        <v/>
      </c>
      <c r="C1076" s="294"/>
      <c r="D1076"/>
      <c r="E1076"/>
      <c r="F1076"/>
      <c r="G1076"/>
      <c r="H1076"/>
      <c r="I1076"/>
      <c r="J1076"/>
      <c r="K1076"/>
      <c r="L1076"/>
      <c r="M1076"/>
      <c r="N1076"/>
      <c r="O1076" s="294"/>
    </row>
    <row r="1077" spans="1:15" ht="16" hidden="1" outlineLevel="1" x14ac:dyDescent="0.2">
      <c r="A1077" s="294"/>
      <c r="B1077" s="423" t="str">
        <f>IF($E1077="",IF($D1077="","",VLOOKUP($D1077,TableInputsData[],ReadMe!$M$3,FALSE)),VLOOKUP($D1077,TableInputsData[],ReadMe!$M$3,FALSE)&amp;"  |  "&amp;VLOOKUP($E1077,TableInputsData[],ReadMe!$M$3,FALSE))</f>
        <v/>
      </c>
      <c r="C1077" s="294"/>
      <c r="D1077"/>
      <c r="E1077"/>
      <c r="F1077"/>
      <c r="G1077"/>
      <c r="H1077"/>
      <c r="I1077"/>
      <c r="J1077"/>
      <c r="K1077"/>
      <c r="L1077"/>
      <c r="M1077"/>
      <c r="N1077"/>
      <c r="O1077" s="294"/>
    </row>
    <row r="1078" spans="1:15" ht="16" hidden="1" outlineLevel="1" x14ac:dyDescent="0.2">
      <c r="A1078" s="294"/>
      <c r="B1078" s="423" t="str">
        <f>IF($E1078="",IF($D1078="","",VLOOKUP($D1078,TableInputsData[],ReadMe!$M$3,FALSE)),VLOOKUP($D1078,TableInputsData[],ReadMe!$M$3,FALSE)&amp;"  |  "&amp;VLOOKUP($E1078,TableInputsData[],ReadMe!$M$3,FALSE))</f>
        <v/>
      </c>
      <c r="C1078" s="294"/>
      <c r="D1078"/>
      <c r="E1078"/>
      <c r="F1078"/>
      <c r="G1078"/>
      <c r="H1078"/>
      <c r="I1078"/>
      <c r="J1078"/>
      <c r="K1078"/>
      <c r="L1078"/>
      <c r="M1078"/>
      <c r="N1078"/>
      <c r="O1078" s="294"/>
    </row>
    <row r="1079" spans="1:15" ht="16" hidden="1" outlineLevel="1" x14ac:dyDescent="0.2">
      <c r="A1079" s="294"/>
      <c r="B1079" s="423" t="str">
        <f>IF($E1079="",IF($D1079="","",VLOOKUP($D1079,TableInputsData[],ReadMe!$M$3,FALSE)),VLOOKUP($D1079,TableInputsData[],ReadMe!$M$3,FALSE)&amp;"  |  "&amp;VLOOKUP($E1079,TableInputsData[],ReadMe!$M$3,FALSE))</f>
        <v/>
      </c>
      <c r="C1079" s="294"/>
      <c r="D1079"/>
      <c r="E1079"/>
      <c r="F1079"/>
      <c r="G1079"/>
      <c r="H1079"/>
      <c r="I1079"/>
      <c r="J1079"/>
      <c r="K1079"/>
      <c r="L1079"/>
      <c r="M1079"/>
      <c r="N1079"/>
      <c r="O1079" s="294"/>
    </row>
    <row r="1080" spans="1:15" ht="16" hidden="1" outlineLevel="1" x14ac:dyDescent="0.2">
      <c r="A1080" s="294"/>
      <c r="B1080" s="423" t="str">
        <f>IF($E1080="",IF($D1080="","",VLOOKUP($D1080,TableInputsData[],ReadMe!$M$3,FALSE)),VLOOKUP($D1080,TableInputsData[],ReadMe!$M$3,FALSE)&amp;"  |  "&amp;VLOOKUP($E1080,TableInputsData[],ReadMe!$M$3,FALSE))</f>
        <v/>
      </c>
      <c r="C1080" s="294"/>
      <c r="D1080"/>
      <c r="E1080"/>
      <c r="F1080"/>
      <c r="G1080"/>
      <c r="H1080"/>
      <c r="I1080"/>
      <c r="J1080"/>
      <c r="K1080"/>
      <c r="L1080"/>
      <c r="M1080"/>
      <c r="N1080"/>
      <c r="O1080" s="294"/>
    </row>
    <row r="1081" spans="1:15" ht="16" hidden="1" outlineLevel="1" x14ac:dyDescent="0.2">
      <c r="A1081" s="294"/>
      <c r="B1081" s="423" t="str">
        <f>IF($E1081="",IF($D1081="","",VLOOKUP($D1081,TableInputsData[],ReadMe!$M$3,FALSE)),VLOOKUP($D1081,TableInputsData[],ReadMe!$M$3,FALSE)&amp;"  |  "&amp;VLOOKUP($E1081,TableInputsData[],ReadMe!$M$3,FALSE))</f>
        <v/>
      </c>
      <c r="C1081" s="294"/>
      <c r="D1081"/>
      <c r="E1081"/>
      <c r="F1081"/>
      <c r="G1081"/>
      <c r="H1081"/>
      <c r="I1081"/>
      <c r="J1081"/>
      <c r="K1081"/>
      <c r="L1081"/>
      <c r="M1081"/>
      <c r="N1081"/>
      <c r="O1081" s="294"/>
    </row>
    <row r="1082" spans="1:15" ht="16" hidden="1" outlineLevel="1" x14ac:dyDescent="0.2">
      <c r="A1082" s="294"/>
      <c r="B1082" s="423" t="str">
        <f>IF($E1082="",IF($D1082="","",VLOOKUP($D1082,TableInputsData[],ReadMe!$M$3,FALSE)),VLOOKUP($D1082,TableInputsData[],ReadMe!$M$3,FALSE)&amp;"  |  "&amp;VLOOKUP($E1082,TableInputsData[],ReadMe!$M$3,FALSE))</f>
        <v/>
      </c>
      <c r="C1082" s="294"/>
      <c r="D1082"/>
      <c r="E1082"/>
      <c r="F1082"/>
      <c r="G1082"/>
      <c r="H1082"/>
      <c r="I1082"/>
      <c r="J1082"/>
      <c r="K1082"/>
      <c r="L1082"/>
      <c r="M1082"/>
      <c r="N1082"/>
      <c r="O1082" s="294"/>
    </row>
    <row r="1083" spans="1:15" ht="16" hidden="1" outlineLevel="1" x14ac:dyDescent="0.2">
      <c r="A1083" s="294"/>
      <c r="B1083" s="423" t="str">
        <f>IF($E1083="",IF($D1083="","",VLOOKUP($D1083,TableInputsData[],ReadMe!$M$3,FALSE)),VLOOKUP($D1083,TableInputsData[],ReadMe!$M$3,FALSE)&amp;"  |  "&amp;VLOOKUP($E1083,TableInputsData[],ReadMe!$M$3,FALSE))</f>
        <v/>
      </c>
      <c r="C1083" s="294"/>
      <c r="D1083"/>
      <c r="E1083"/>
      <c r="F1083"/>
      <c r="G1083"/>
      <c r="H1083"/>
      <c r="I1083"/>
      <c r="J1083"/>
      <c r="K1083"/>
      <c r="L1083"/>
      <c r="M1083"/>
      <c r="N1083"/>
      <c r="O1083" s="294"/>
    </row>
    <row r="1084" spans="1:15" ht="16" hidden="1" outlineLevel="1" x14ac:dyDescent="0.2">
      <c r="A1084" s="294"/>
      <c r="B1084" s="423" t="str">
        <f>IF($E1084="",IF($D1084="","",VLOOKUP($D1084,TableInputsData[],ReadMe!$M$3,FALSE)),VLOOKUP($D1084,TableInputsData[],ReadMe!$M$3,FALSE)&amp;"  |  "&amp;VLOOKUP($E1084,TableInputsData[],ReadMe!$M$3,FALSE))</f>
        <v/>
      </c>
      <c r="C1084" s="294"/>
      <c r="D1084"/>
      <c r="E1084"/>
      <c r="F1084"/>
      <c r="G1084"/>
      <c r="H1084"/>
      <c r="I1084"/>
      <c r="J1084"/>
      <c r="K1084"/>
      <c r="L1084"/>
      <c r="M1084"/>
      <c r="N1084"/>
      <c r="O1084" s="294"/>
    </row>
    <row r="1085" spans="1:15" ht="16" hidden="1" outlineLevel="1" x14ac:dyDescent="0.2">
      <c r="A1085" s="294"/>
      <c r="B1085" s="423" t="str">
        <f>IF($E1085="",IF($D1085="","",VLOOKUP($D1085,TableInputsData[],ReadMe!$M$3,FALSE)),VLOOKUP($D1085,TableInputsData[],ReadMe!$M$3,FALSE)&amp;"  |  "&amp;VLOOKUP($E1085,TableInputsData[],ReadMe!$M$3,FALSE))</f>
        <v/>
      </c>
      <c r="C1085" s="294"/>
      <c r="D1085"/>
      <c r="E1085"/>
      <c r="F1085"/>
      <c r="G1085"/>
      <c r="H1085"/>
      <c r="I1085"/>
      <c r="J1085"/>
      <c r="K1085"/>
      <c r="L1085"/>
      <c r="M1085"/>
      <c r="N1085"/>
      <c r="O1085" s="294"/>
    </row>
    <row r="1086" spans="1:15" ht="16" hidden="1" outlineLevel="1" x14ac:dyDescent="0.2">
      <c r="A1086" s="294"/>
      <c r="B1086" s="423" t="str">
        <f>IF($E1086="",IF($D1086="","",VLOOKUP($D1086,TableInputsData[],ReadMe!$M$3,FALSE)),VLOOKUP($D1086,TableInputsData[],ReadMe!$M$3,FALSE)&amp;"  |  "&amp;VLOOKUP($E1086,TableInputsData[],ReadMe!$M$3,FALSE))</f>
        <v/>
      </c>
      <c r="C1086" s="294"/>
      <c r="D1086"/>
      <c r="E1086"/>
      <c r="F1086"/>
      <c r="G1086"/>
      <c r="H1086"/>
      <c r="I1086"/>
      <c r="J1086"/>
      <c r="K1086"/>
      <c r="L1086"/>
      <c r="M1086"/>
      <c r="N1086"/>
      <c r="O1086" s="294"/>
    </row>
    <row r="1087" spans="1:15" ht="16" hidden="1" outlineLevel="1" x14ac:dyDescent="0.2">
      <c r="A1087" s="294"/>
      <c r="B1087" s="423" t="str">
        <f>IF($E1087="",IF($D1087="","",VLOOKUP($D1087,TableInputsData[],ReadMe!$M$3,FALSE)),VLOOKUP($D1087,TableInputsData[],ReadMe!$M$3,FALSE)&amp;"  |  "&amp;VLOOKUP($E1087,TableInputsData[],ReadMe!$M$3,FALSE))</f>
        <v/>
      </c>
      <c r="C1087" s="294"/>
      <c r="D1087"/>
      <c r="E1087"/>
      <c r="F1087"/>
      <c r="G1087"/>
      <c r="H1087"/>
      <c r="I1087"/>
      <c r="J1087"/>
      <c r="K1087"/>
      <c r="L1087"/>
      <c r="M1087"/>
      <c r="N1087"/>
      <c r="O1087" s="294"/>
    </row>
    <row r="1088" spans="1:15" ht="16" hidden="1" outlineLevel="1" x14ac:dyDescent="0.2">
      <c r="A1088" s="294"/>
      <c r="B1088" s="423" t="str">
        <f>IF($E1088="",IF($D1088="","",VLOOKUP($D1088,TableInputsData[],ReadMe!$M$3,FALSE)),VLOOKUP($D1088,TableInputsData[],ReadMe!$M$3,FALSE)&amp;"  |  "&amp;VLOOKUP($E1088,TableInputsData[],ReadMe!$M$3,FALSE))</f>
        <v/>
      </c>
      <c r="C1088" s="294"/>
      <c r="D1088"/>
      <c r="E1088"/>
      <c r="F1088"/>
      <c r="G1088"/>
      <c r="H1088"/>
      <c r="I1088"/>
      <c r="J1088"/>
      <c r="K1088"/>
      <c r="L1088"/>
      <c r="M1088"/>
      <c r="N1088"/>
      <c r="O1088" s="294"/>
    </row>
    <row r="1089" spans="1:15" ht="16" hidden="1" outlineLevel="1" x14ac:dyDescent="0.2">
      <c r="A1089" s="294"/>
      <c r="B1089" s="423" t="str">
        <f>IF($E1089="",IF($D1089="","",VLOOKUP($D1089,TableInputsData[],ReadMe!$M$3,FALSE)),VLOOKUP($D1089,TableInputsData[],ReadMe!$M$3,FALSE)&amp;"  |  "&amp;VLOOKUP($E1089,TableInputsData[],ReadMe!$M$3,FALSE))</f>
        <v/>
      </c>
      <c r="C1089" s="294"/>
      <c r="D1089"/>
      <c r="E1089"/>
      <c r="F1089"/>
      <c r="G1089"/>
      <c r="H1089"/>
      <c r="I1089"/>
      <c r="J1089"/>
      <c r="K1089"/>
      <c r="L1089"/>
      <c r="M1089"/>
      <c r="N1089"/>
      <c r="O1089" s="294"/>
    </row>
    <row r="1090" spans="1:15" ht="16" hidden="1" outlineLevel="1" x14ac:dyDescent="0.2">
      <c r="A1090" s="294"/>
      <c r="B1090" s="423" t="str">
        <f>IF($E1090="",IF($D1090="","",VLOOKUP($D1090,TableInputsData[],ReadMe!$M$3,FALSE)),VLOOKUP($D1090,TableInputsData[],ReadMe!$M$3,FALSE)&amp;"  |  "&amp;VLOOKUP($E1090,TableInputsData[],ReadMe!$M$3,FALSE))</f>
        <v/>
      </c>
      <c r="C1090" s="294"/>
      <c r="D1090"/>
      <c r="E1090"/>
      <c r="F1090"/>
      <c r="G1090"/>
      <c r="H1090"/>
      <c r="I1090"/>
      <c r="J1090"/>
      <c r="K1090"/>
      <c r="L1090"/>
      <c r="M1090"/>
      <c r="N1090"/>
      <c r="O1090" s="294"/>
    </row>
    <row r="1091" spans="1:15" ht="16" hidden="1" outlineLevel="1" x14ac:dyDescent="0.2">
      <c r="A1091" s="294"/>
      <c r="B1091" s="423" t="str">
        <f>IF($E1091="",IF($D1091="","",VLOOKUP($D1091,TableInputsData[],ReadMe!$M$3,FALSE)),VLOOKUP($D1091,TableInputsData[],ReadMe!$M$3,FALSE)&amp;"  |  "&amp;VLOOKUP($E1091,TableInputsData[],ReadMe!$M$3,FALSE))</f>
        <v/>
      </c>
      <c r="C1091" s="294"/>
      <c r="D1091"/>
      <c r="E1091"/>
      <c r="F1091"/>
      <c r="G1091"/>
      <c r="H1091"/>
      <c r="I1091"/>
      <c r="J1091"/>
      <c r="K1091"/>
      <c r="L1091"/>
      <c r="M1091"/>
      <c r="N1091"/>
      <c r="O1091" s="294"/>
    </row>
    <row r="1092" spans="1:15" ht="16" hidden="1" outlineLevel="1" x14ac:dyDescent="0.2">
      <c r="A1092" s="294"/>
      <c r="B1092" s="423" t="str">
        <f>IF($E1092="",IF($D1092="","",VLOOKUP($D1092,TableInputsData[],ReadMe!$M$3,FALSE)),VLOOKUP($D1092,TableInputsData[],ReadMe!$M$3,FALSE)&amp;"  |  "&amp;VLOOKUP($E1092,TableInputsData[],ReadMe!$M$3,FALSE))</f>
        <v/>
      </c>
      <c r="C1092" s="294"/>
      <c r="D1092"/>
      <c r="E1092"/>
      <c r="F1092"/>
      <c r="G1092"/>
      <c r="H1092"/>
      <c r="I1092"/>
      <c r="J1092"/>
      <c r="K1092"/>
      <c r="L1092"/>
      <c r="M1092"/>
      <c r="N1092"/>
      <c r="O1092" s="294"/>
    </row>
    <row r="1093" spans="1:15" ht="16" hidden="1" outlineLevel="1" x14ac:dyDescent="0.2">
      <c r="A1093" s="294"/>
      <c r="B1093" s="423" t="str">
        <f>IF($E1093="",IF($D1093="","",VLOOKUP($D1093,TableInputsData[],ReadMe!$M$3,FALSE)),VLOOKUP($D1093,TableInputsData[],ReadMe!$M$3,FALSE)&amp;"  |  "&amp;VLOOKUP($E1093,TableInputsData[],ReadMe!$M$3,FALSE))</f>
        <v/>
      </c>
      <c r="C1093" s="294"/>
      <c r="D1093"/>
      <c r="E1093"/>
      <c r="F1093"/>
      <c r="G1093"/>
      <c r="H1093"/>
      <c r="I1093"/>
      <c r="J1093"/>
      <c r="K1093"/>
      <c r="L1093"/>
      <c r="M1093"/>
      <c r="N1093"/>
      <c r="O1093" s="294"/>
    </row>
    <row r="1094" spans="1:15" ht="16" hidden="1" outlineLevel="1" x14ac:dyDescent="0.2">
      <c r="A1094" s="294"/>
      <c r="B1094" s="423" t="str">
        <f>IF($E1094="",IF($D1094="","",VLOOKUP($D1094,TableInputsData[],ReadMe!$M$3,FALSE)),VLOOKUP($D1094,TableInputsData[],ReadMe!$M$3,FALSE)&amp;"  |  "&amp;VLOOKUP($E1094,TableInputsData[],ReadMe!$M$3,FALSE))</f>
        <v/>
      </c>
      <c r="C1094" s="294"/>
      <c r="D1094"/>
      <c r="E1094"/>
      <c r="F1094"/>
      <c r="G1094"/>
      <c r="H1094"/>
      <c r="I1094"/>
      <c r="J1094"/>
      <c r="K1094"/>
      <c r="L1094"/>
      <c r="M1094"/>
      <c r="N1094"/>
      <c r="O1094" s="294"/>
    </row>
    <row r="1095" spans="1:15" ht="16" hidden="1" outlineLevel="1" x14ac:dyDescent="0.2">
      <c r="A1095" s="294"/>
      <c r="B1095" s="423" t="str">
        <f>IF($E1095="",IF($D1095="","",VLOOKUP($D1095,TableInputsData[],ReadMe!$M$3,FALSE)),VLOOKUP($D1095,TableInputsData[],ReadMe!$M$3,FALSE)&amp;"  |  "&amp;VLOOKUP($E1095,TableInputsData[],ReadMe!$M$3,FALSE))</f>
        <v/>
      </c>
      <c r="C1095" s="294"/>
      <c r="D1095"/>
      <c r="E1095"/>
      <c r="F1095"/>
      <c r="G1095"/>
      <c r="H1095"/>
      <c r="I1095"/>
      <c r="J1095"/>
      <c r="K1095"/>
      <c r="L1095"/>
      <c r="M1095"/>
      <c r="N1095"/>
      <c r="O1095" s="294"/>
    </row>
    <row r="1096" spans="1:15" ht="16" hidden="1" outlineLevel="1" x14ac:dyDescent="0.2">
      <c r="A1096" s="294"/>
      <c r="B1096" s="423" t="str">
        <f>IF($E1096="",IF($D1096="","",VLOOKUP($D1096,TableInputsData[],ReadMe!$M$3,FALSE)),VLOOKUP($D1096,TableInputsData[],ReadMe!$M$3,FALSE)&amp;"  |  "&amp;VLOOKUP($E1096,TableInputsData[],ReadMe!$M$3,FALSE))</f>
        <v/>
      </c>
      <c r="C1096" s="294"/>
      <c r="D1096"/>
      <c r="E1096"/>
      <c r="F1096"/>
      <c r="G1096"/>
      <c r="H1096"/>
      <c r="I1096"/>
      <c r="J1096"/>
      <c r="K1096"/>
      <c r="L1096"/>
      <c r="M1096"/>
      <c r="N1096"/>
      <c r="O1096" s="294"/>
    </row>
    <row r="1097" spans="1:15" ht="16" hidden="1" outlineLevel="1" x14ac:dyDescent="0.2">
      <c r="A1097" s="294"/>
      <c r="B1097" s="423" t="str">
        <f>IF($E1097="",IF($D1097="","",VLOOKUP($D1097,TableInputsData[],ReadMe!$M$3,FALSE)),VLOOKUP($D1097,TableInputsData[],ReadMe!$M$3,FALSE)&amp;"  |  "&amp;VLOOKUP($E1097,TableInputsData[],ReadMe!$M$3,FALSE))</f>
        <v/>
      </c>
      <c r="C1097" s="294"/>
      <c r="D1097"/>
      <c r="E1097"/>
      <c r="F1097"/>
      <c r="G1097"/>
      <c r="H1097"/>
      <c r="I1097"/>
      <c r="J1097"/>
      <c r="K1097"/>
      <c r="L1097"/>
      <c r="M1097"/>
      <c r="N1097"/>
      <c r="O1097" s="294"/>
    </row>
    <row r="1098" spans="1:15" ht="16" hidden="1" outlineLevel="1" x14ac:dyDescent="0.2">
      <c r="A1098" s="294"/>
      <c r="B1098" s="423" t="str">
        <f>IF($E1098="",IF($D1098="","",VLOOKUP($D1098,TableInputsData[],ReadMe!$M$3,FALSE)),VLOOKUP($D1098,TableInputsData[],ReadMe!$M$3,FALSE)&amp;"  |  "&amp;VLOOKUP($E1098,TableInputsData[],ReadMe!$M$3,FALSE))</f>
        <v/>
      </c>
      <c r="C1098" s="294"/>
      <c r="D1098"/>
      <c r="E1098"/>
      <c r="F1098"/>
      <c r="G1098"/>
      <c r="H1098"/>
      <c r="I1098"/>
      <c r="J1098"/>
      <c r="K1098"/>
      <c r="L1098"/>
      <c r="M1098"/>
      <c r="N1098"/>
      <c r="O1098" s="294"/>
    </row>
    <row r="1099" spans="1:15" ht="16" hidden="1" outlineLevel="1" x14ac:dyDescent="0.2">
      <c r="A1099" s="294"/>
      <c r="B1099" s="423" t="str">
        <f>IF($E1099="",IF($D1099="","",VLOOKUP($D1099,TableInputsData[],ReadMe!$M$3,FALSE)),VLOOKUP($D1099,TableInputsData[],ReadMe!$M$3,FALSE)&amp;"  |  "&amp;VLOOKUP($E1099,TableInputsData[],ReadMe!$M$3,FALSE))</f>
        <v/>
      </c>
      <c r="C1099" s="294"/>
      <c r="D1099"/>
      <c r="E1099"/>
      <c r="F1099"/>
      <c r="G1099"/>
      <c r="H1099"/>
      <c r="I1099"/>
      <c r="J1099"/>
      <c r="K1099"/>
      <c r="L1099"/>
      <c r="M1099"/>
      <c r="N1099"/>
      <c r="O1099" s="294"/>
    </row>
    <row r="1100" spans="1:15" ht="16" hidden="1" outlineLevel="1" x14ac:dyDescent="0.2">
      <c r="A1100" s="294"/>
      <c r="B1100" s="423" t="str">
        <f>IF($E1100="",IF($D1100="","",VLOOKUP($D1100,TableInputsData[],ReadMe!$M$3,FALSE)),VLOOKUP($D1100,TableInputsData[],ReadMe!$M$3,FALSE)&amp;"  |  "&amp;VLOOKUP($E1100,TableInputsData[],ReadMe!$M$3,FALSE))</f>
        <v/>
      </c>
      <c r="C1100" s="294"/>
      <c r="D1100"/>
      <c r="E1100"/>
      <c r="F1100"/>
      <c r="G1100"/>
      <c r="H1100"/>
      <c r="I1100"/>
      <c r="J1100"/>
      <c r="K1100"/>
      <c r="L1100"/>
      <c r="M1100"/>
      <c r="N1100"/>
      <c r="O1100" s="294"/>
    </row>
    <row r="1101" spans="1:15" ht="16" hidden="1" outlineLevel="1" x14ac:dyDescent="0.2">
      <c r="A1101" s="294"/>
      <c r="B1101" s="423" t="str">
        <f>IF($E1101="",IF($D1101="","",VLOOKUP($D1101,TableInputsData[],ReadMe!$M$3,FALSE)),VLOOKUP($D1101,TableInputsData[],ReadMe!$M$3,FALSE)&amp;"  |  "&amp;VLOOKUP($E1101,TableInputsData[],ReadMe!$M$3,FALSE))</f>
        <v/>
      </c>
      <c r="C1101" s="294"/>
      <c r="D1101"/>
      <c r="E1101"/>
      <c r="F1101"/>
      <c r="G1101"/>
      <c r="H1101"/>
      <c r="I1101"/>
      <c r="J1101"/>
      <c r="K1101"/>
      <c r="L1101"/>
      <c r="M1101"/>
      <c r="N1101"/>
      <c r="O1101" s="294"/>
    </row>
    <row r="1102" spans="1:15" ht="16" hidden="1" outlineLevel="1" x14ac:dyDescent="0.2">
      <c r="A1102" s="294"/>
      <c r="B1102" s="423" t="str">
        <f>IF($E1102="",IF($D1102="","",VLOOKUP($D1102,TableInputsData[],ReadMe!$M$3,FALSE)),VLOOKUP($D1102,TableInputsData[],ReadMe!$M$3,FALSE)&amp;"  |  "&amp;VLOOKUP($E1102,TableInputsData[],ReadMe!$M$3,FALSE))</f>
        <v/>
      </c>
      <c r="C1102" s="294"/>
      <c r="D1102"/>
      <c r="E1102"/>
      <c r="F1102"/>
      <c r="G1102"/>
      <c r="H1102"/>
      <c r="I1102"/>
      <c r="J1102"/>
      <c r="K1102"/>
      <c r="L1102"/>
      <c r="M1102"/>
      <c r="N1102"/>
      <c r="O1102" s="294"/>
    </row>
    <row r="1103" spans="1:15" ht="16" hidden="1" outlineLevel="1" x14ac:dyDescent="0.2">
      <c r="A1103" s="294"/>
      <c r="B1103" s="423" t="str">
        <f>IF($E1103="",IF($D1103="","",VLOOKUP($D1103,TableInputsData[],ReadMe!$M$3,FALSE)),VLOOKUP($D1103,TableInputsData[],ReadMe!$M$3,FALSE)&amp;"  |  "&amp;VLOOKUP($E1103,TableInputsData[],ReadMe!$M$3,FALSE))</f>
        <v/>
      </c>
      <c r="C1103" s="294"/>
      <c r="D1103"/>
      <c r="E1103"/>
      <c r="F1103"/>
      <c r="G1103"/>
      <c r="H1103"/>
      <c r="I1103"/>
      <c r="J1103"/>
      <c r="K1103"/>
      <c r="L1103"/>
      <c r="M1103"/>
      <c r="N1103"/>
      <c r="O1103" s="294"/>
    </row>
    <row r="1104" spans="1:15" ht="16" hidden="1" outlineLevel="1" x14ac:dyDescent="0.2">
      <c r="A1104" s="294"/>
      <c r="B1104" s="423" t="str">
        <f>IF($E1104="",IF($D1104="","",VLOOKUP($D1104,TableInputsData[],ReadMe!$M$3,FALSE)),VLOOKUP($D1104,TableInputsData[],ReadMe!$M$3,FALSE)&amp;"  |  "&amp;VLOOKUP($E1104,TableInputsData[],ReadMe!$M$3,FALSE))</f>
        <v/>
      </c>
      <c r="C1104" s="294"/>
      <c r="D1104"/>
      <c r="E1104"/>
      <c r="F1104"/>
      <c r="G1104"/>
      <c r="H1104"/>
      <c r="I1104"/>
      <c r="J1104"/>
      <c r="K1104"/>
      <c r="L1104"/>
      <c r="M1104"/>
      <c r="N1104"/>
      <c r="O1104" s="294"/>
    </row>
    <row r="1105" spans="1:15" ht="16" hidden="1" outlineLevel="1" x14ac:dyDescent="0.2">
      <c r="A1105" s="294"/>
      <c r="B1105" s="423" t="str">
        <f>IF($E1105="",IF($D1105="","",VLOOKUP($D1105,TableInputsData[],ReadMe!$M$3,FALSE)),VLOOKUP($D1105,TableInputsData[],ReadMe!$M$3,FALSE)&amp;"  |  "&amp;VLOOKUP($E1105,TableInputsData[],ReadMe!$M$3,FALSE))</f>
        <v/>
      </c>
      <c r="C1105" s="294"/>
      <c r="D1105"/>
      <c r="E1105"/>
      <c r="F1105"/>
      <c r="G1105"/>
      <c r="H1105"/>
      <c r="I1105"/>
      <c r="J1105"/>
      <c r="K1105"/>
      <c r="L1105"/>
      <c r="M1105"/>
      <c r="N1105"/>
      <c r="O1105" s="294"/>
    </row>
    <row r="1106" spans="1:15" ht="16" hidden="1" outlineLevel="1" x14ac:dyDescent="0.2">
      <c r="A1106" s="294"/>
      <c r="B1106" s="423" t="str">
        <f>IF($E1106="",IF($D1106="","",VLOOKUP($D1106,TableInputsData[],ReadMe!$M$3,FALSE)),VLOOKUP($D1106,TableInputsData[],ReadMe!$M$3,FALSE)&amp;"  |  "&amp;VLOOKUP($E1106,TableInputsData[],ReadMe!$M$3,FALSE))</f>
        <v/>
      </c>
      <c r="C1106" s="294"/>
      <c r="D1106"/>
      <c r="E1106"/>
      <c r="F1106"/>
      <c r="G1106"/>
      <c r="H1106"/>
      <c r="I1106"/>
      <c r="J1106"/>
      <c r="K1106"/>
      <c r="L1106"/>
      <c r="M1106"/>
      <c r="N1106"/>
      <c r="O1106" s="294"/>
    </row>
    <row r="1107" spans="1:15" ht="16" hidden="1" outlineLevel="1" x14ac:dyDescent="0.2">
      <c r="A1107" s="294"/>
      <c r="B1107" s="423" t="str">
        <f>IF($E1107="",IF($D1107="","",VLOOKUP($D1107,TableInputsData[],ReadMe!$M$3,FALSE)),VLOOKUP($D1107,TableInputsData[],ReadMe!$M$3,FALSE)&amp;"  |  "&amp;VLOOKUP($E1107,TableInputsData[],ReadMe!$M$3,FALSE))</f>
        <v/>
      </c>
      <c r="C1107" s="294"/>
      <c r="D1107"/>
      <c r="E1107"/>
      <c r="F1107"/>
      <c r="G1107"/>
      <c r="H1107"/>
      <c r="I1107"/>
      <c r="J1107"/>
      <c r="K1107"/>
      <c r="L1107"/>
      <c r="M1107"/>
      <c r="N1107"/>
      <c r="O1107" s="294"/>
    </row>
    <row r="1108" spans="1:15" ht="16" hidden="1" outlineLevel="1" x14ac:dyDescent="0.2">
      <c r="A1108" s="294"/>
      <c r="B1108" s="423" t="str">
        <f>IF($E1108="",IF($D1108="","",VLOOKUP($D1108,TableInputsData[],ReadMe!$M$3,FALSE)),VLOOKUP($D1108,TableInputsData[],ReadMe!$M$3,FALSE)&amp;"  |  "&amp;VLOOKUP($E1108,TableInputsData[],ReadMe!$M$3,FALSE))</f>
        <v/>
      </c>
      <c r="C1108" s="294"/>
      <c r="D1108"/>
      <c r="E1108"/>
      <c r="F1108"/>
      <c r="G1108"/>
      <c r="H1108"/>
      <c r="I1108"/>
      <c r="J1108"/>
      <c r="K1108"/>
      <c r="L1108"/>
      <c r="M1108"/>
      <c r="N1108"/>
      <c r="O1108" s="294"/>
    </row>
    <row r="1109" spans="1:15" ht="16" hidden="1" outlineLevel="1" x14ac:dyDescent="0.2">
      <c r="A1109" s="294"/>
      <c r="B1109" s="423" t="str">
        <f>IF($E1109="",IF($D1109="","",VLOOKUP($D1109,TableInputsData[],ReadMe!$M$3,FALSE)),VLOOKUP($D1109,TableInputsData[],ReadMe!$M$3,FALSE)&amp;"  |  "&amp;VLOOKUP($E1109,TableInputsData[],ReadMe!$M$3,FALSE))</f>
        <v/>
      </c>
      <c r="C1109" s="294"/>
      <c r="D1109"/>
      <c r="E1109"/>
      <c r="F1109"/>
      <c r="G1109"/>
      <c r="H1109"/>
      <c r="I1109"/>
      <c r="J1109"/>
      <c r="K1109"/>
      <c r="L1109"/>
      <c r="M1109"/>
      <c r="N1109"/>
      <c r="O1109" s="294"/>
    </row>
    <row r="1110" spans="1:15" ht="16" hidden="1" outlineLevel="1" x14ac:dyDescent="0.2">
      <c r="A1110" s="294"/>
      <c r="B1110" s="423" t="str">
        <f>IF($E1110="",IF($D1110="","",VLOOKUP($D1110,TableInputsData[],ReadMe!$M$3,FALSE)),VLOOKUP($D1110,TableInputsData[],ReadMe!$M$3,FALSE)&amp;"  |  "&amp;VLOOKUP($E1110,TableInputsData[],ReadMe!$M$3,FALSE))</f>
        <v/>
      </c>
      <c r="C1110" s="294"/>
      <c r="D1110"/>
      <c r="E1110"/>
      <c r="F1110"/>
      <c r="G1110"/>
      <c r="H1110"/>
      <c r="I1110"/>
      <c r="J1110"/>
      <c r="K1110"/>
      <c r="L1110"/>
      <c r="M1110"/>
      <c r="N1110"/>
      <c r="O1110" s="294"/>
    </row>
    <row r="1111" spans="1:15" ht="16" hidden="1" outlineLevel="1" x14ac:dyDescent="0.2">
      <c r="A1111" s="294"/>
      <c r="B1111" s="423" t="str">
        <f>IF($E1111="",IF($D1111="","",VLOOKUP($D1111,TableInputsData[],ReadMe!$M$3,FALSE)),VLOOKUP($D1111,TableInputsData[],ReadMe!$M$3,FALSE)&amp;"  |  "&amp;VLOOKUP($E1111,TableInputsData[],ReadMe!$M$3,FALSE))</f>
        <v/>
      </c>
      <c r="C1111" s="294"/>
      <c r="D1111"/>
      <c r="E1111"/>
      <c r="F1111"/>
      <c r="G1111"/>
      <c r="H1111"/>
      <c r="I1111"/>
      <c r="J1111"/>
      <c r="K1111"/>
      <c r="L1111"/>
      <c r="M1111"/>
      <c r="N1111"/>
      <c r="O1111" s="294"/>
    </row>
    <row r="1112" spans="1:15" ht="16" hidden="1" outlineLevel="1" x14ac:dyDescent="0.2">
      <c r="A1112" s="294"/>
      <c r="B1112" s="423" t="str">
        <f>IF($E1112="",IF($D1112="","",VLOOKUP($D1112,TableInputsData[],ReadMe!$M$3,FALSE)),VLOOKUP($D1112,TableInputsData[],ReadMe!$M$3,FALSE)&amp;"  |  "&amp;VLOOKUP($E1112,TableInputsData[],ReadMe!$M$3,FALSE))</f>
        <v/>
      </c>
      <c r="C1112" s="294"/>
      <c r="D1112"/>
      <c r="E1112"/>
      <c r="F1112"/>
      <c r="G1112"/>
      <c r="H1112"/>
      <c r="I1112"/>
      <c r="J1112"/>
      <c r="K1112"/>
      <c r="L1112"/>
      <c r="M1112"/>
      <c r="N1112"/>
      <c r="O1112" s="294"/>
    </row>
    <row r="1113" spans="1:15" ht="16" hidden="1" outlineLevel="1" x14ac:dyDescent="0.2">
      <c r="A1113" s="294"/>
      <c r="B1113" s="423" t="str">
        <f>IF($E1113="",IF($D1113="","",VLOOKUP($D1113,TableInputsData[],ReadMe!$M$3,FALSE)),VLOOKUP($D1113,TableInputsData[],ReadMe!$M$3,FALSE)&amp;"  |  "&amp;VLOOKUP($E1113,TableInputsData[],ReadMe!$M$3,FALSE))</f>
        <v/>
      </c>
      <c r="C1113" s="294"/>
      <c r="D1113"/>
      <c r="E1113"/>
      <c r="F1113"/>
      <c r="G1113"/>
      <c r="H1113"/>
      <c r="I1113"/>
      <c r="J1113"/>
      <c r="K1113"/>
      <c r="L1113"/>
      <c r="M1113"/>
      <c r="N1113"/>
      <c r="O1113" s="294"/>
    </row>
    <row r="1114" spans="1:15" hidden="1" outlineLevel="1" x14ac:dyDescent="0.15">
      <c r="A1114" s="294"/>
      <c r="B1114" s="423" t="str">
        <f>IF($E1114="",IF($D1114="","",VLOOKUP($D1114,TableInputsData[],ReadMe!$M$3,FALSE)),VLOOKUP($D1114,TableInputsData[],ReadMe!$M$3,FALSE)&amp;"  |  "&amp;VLOOKUP($E1114,TableInputsData[],ReadMe!$M$3,FALSE))</f>
        <v/>
      </c>
      <c r="C1114" s="294"/>
      <c r="O1114" s="294"/>
    </row>
    <row r="1115" spans="1:15" hidden="1" outlineLevel="1" x14ac:dyDescent="0.15">
      <c r="A1115" s="294"/>
      <c r="B1115" s="423" t="str">
        <f>IF($E1115="",IF($D1115="","",VLOOKUP($D1115,TableInputsData[],ReadMe!$M$3,FALSE)),VLOOKUP($D1115,TableInputsData[],ReadMe!$M$3,FALSE)&amp;"  |  "&amp;VLOOKUP($E1115,TableInputsData[],ReadMe!$M$3,FALSE))</f>
        <v/>
      </c>
      <c r="C1115" s="294"/>
      <c r="O1115" s="294"/>
    </row>
    <row r="1116" spans="1:15" hidden="1" outlineLevel="1" x14ac:dyDescent="0.15">
      <c r="A1116" s="294"/>
      <c r="B1116" s="423" t="str">
        <f>IF($E1116="",IF($D1116="","",VLOOKUP($D1116,TableInputsData[],ReadMe!$M$3,FALSE)),VLOOKUP($D1116,TableInputsData[],ReadMe!$M$3,FALSE)&amp;"  |  "&amp;VLOOKUP($E1116,TableInputsData[],ReadMe!$M$3,FALSE))</f>
        <v/>
      </c>
      <c r="C1116" s="294"/>
      <c r="O1116" s="294"/>
    </row>
    <row r="1117" spans="1:15" hidden="1" outlineLevel="1" x14ac:dyDescent="0.15">
      <c r="A1117" s="294"/>
      <c r="B1117" s="423" t="str">
        <f>IF($E1117="",IF($D1117="","",VLOOKUP($D1117,TableInputsData[],ReadMe!$M$3,FALSE)),VLOOKUP($D1117,TableInputsData[],ReadMe!$M$3,FALSE)&amp;"  |  "&amp;VLOOKUP($E1117,TableInputsData[],ReadMe!$M$3,FALSE))</f>
        <v/>
      </c>
      <c r="C1117" s="294"/>
      <c r="O1117" s="294"/>
    </row>
    <row r="1118" spans="1:15" hidden="1" outlineLevel="1" x14ac:dyDescent="0.15">
      <c r="A1118" s="294"/>
      <c r="B1118" s="423" t="str">
        <f>IF($E1118="",IF($D1118="","",VLOOKUP($D1118,TableInputsData[],ReadMe!$M$3,FALSE)),VLOOKUP($D1118,TableInputsData[],ReadMe!$M$3,FALSE)&amp;"  |  "&amp;VLOOKUP($E1118,TableInputsData[],ReadMe!$M$3,FALSE))</f>
        <v/>
      </c>
      <c r="C1118" s="294"/>
      <c r="O1118" s="294"/>
    </row>
    <row r="1119" spans="1:15" hidden="1" outlineLevel="1" x14ac:dyDescent="0.15">
      <c r="A1119" s="294"/>
      <c r="B1119" s="423" t="str">
        <f>IF($E1119="",IF($D1119="","",VLOOKUP($D1119,TableInputsData[],ReadMe!$M$3,FALSE)),VLOOKUP($D1119,TableInputsData[],ReadMe!$M$3,FALSE)&amp;"  |  "&amp;VLOOKUP($E1119,TableInputsData[],ReadMe!$M$3,FALSE))</f>
        <v/>
      </c>
      <c r="C1119" s="294"/>
      <c r="O1119" s="294"/>
    </row>
    <row r="1120" spans="1:15" hidden="1" outlineLevel="1" x14ac:dyDescent="0.15">
      <c r="A1120" s="294"/>
      <c r="B1120" s="423" t="str">
        <f>IF($E1120="",IF($D1120="","",VLOOKUP($D1120,TableInputsData[],ReadMe!$M$3,FALSE)),VLOOKUP($D1120,TableInputsData[],ReadMe!$M$3,FALSE)&amp;"  |  "&amp;VLOOKUP($E1120,TableInputsData[],ReadMe!$M$3,FALSE))</f>
        <v/>
      </c>
      <c r="C1120" s="294"/>
      <c r="O1120" s="294"/>
    </row>
    <row r="1121" spans="1:15" hidden="1" outlineLevel="1" x14ac:dyDescent="0.15">
      <c r="A1121" s="294"/>
      <c r="B1121" s="423" t="str">
        <f>IF($E1121="",IF($D1121="","",VLOOKUP($D1121,TableInputsData[],ReadMe!$M$3,FALSE)),VLOOKUP($D1121,TableInputsData[],ReadMe!$M$3,FALSE)&amp;"  |  "&amp;VLOOKUP($E1121,TableInputsData[],ReadMe!$M$3,FALSE))</f>
        <v/>
      </c>
      <c r="C1121" s="294"/>
      <c r="O1121" s="294"/>
    </row>
    <row r="1122" spans="1:15" collapsed="1" x14ac:dyDescent="0.2">
      <c r="A1122" s="294"/>
      <c r="B1122" s="294"/>
      <c r="C1122" s="294"/>
      <c r="D1122" s="294"/>
      <c r="E1122" s="294"/>
      <c r="F1122" s="294"/>
      <c r="G1122" s="294"/>
      <c r="H1122" s="294"/>
      <c r="I1122" s="294"/>
      <c r="J1122" s="294"/>
      <c r="K1122" s="294"/>
      <c r="L1122" s="294"/>
      <c r="M1122" s="294"/>
      <c r="N1122" s="294"/>
      <c r="O1122" s="294"/>
    </row>
  </sheetData>
  <sheetProtection algorithmName="SHA-512" hashValue="Lu1XREN+HHeUXZyrxSXONSNl2nN/GUfk0xIbOqIy3pQs3cr5VJA6UTTwHIe60rTSFS65FEJ2dtGiP9J7H4j0cQ==" saltValue="icrrlDqbs8wpdpTtkSDy1w==" spinCount="100000" sheet="1" objects="1" scenarios="1" formatColumns="0" autoFilter="0"/>
  <mergeCells count="15">
    <mergeCell ref="E4:E7"/>
    <mergeCell ref="F83:F85"/>
    <mergeCell ref="E10:E12"/>
    <mergeCell ref="E49:E51"/>
    <mergeCell ref="D52:D80"/>
    <mergeCell ref="E83:E85"/>
    <mergeCell ref="D86:D117"/>
    <mergeCell ref="B10:B12"/>
    <mergeCell ref="B49:B51"/>
    <mergeCell ref="B4:B7"/>
    <mergeCell ref="B83:B85"/>
    <mergeCell ref="D4:D7"/>
    <mergeCell ref="D10:D12"/>
    <mergeCell ref="D49:D51"/>
    <mergeCell ref="D83:D85"/>
  </mergeCells>
  <conditionalFormatting sqref="D1:D2">
    <cfRule type="cellIs" dxfId="844" priority="1" operator="equal">
      <formula>FALSE</formula>
    </cfRule>
    <cfRule type="cellIs" dxfId="843" priority="2" operator="equal">
      <formula>TRUE</formula>
    </cfRule>
  </conditionalFormatting>
  <conditionalFormatting sqref="G1:N2">
    <cfRule type="cellIs" dxfId="842" priority="3" operator="equal">
      <formula>FALSE</formula>
    </cfRule>
    <cfRule type="cellIs" dxfId="841" priority="4" operator="equal">
      <formula>TRUE</formula>
    </cfRule>
  </conditionalFormatting>
  <hyperlinks>
    <hyperlink ref="B1" location="Instructions!B3" display="Instructions" xr:uid="{3B273B1A-2465-44C7-8B8B-DCF3A6601199}"/>
    <hyperlink ref="B2" location="FinanceData!H2" display="Goto Simulation Scenario Selection" xr:uid="{A2F90094-584F-452E-AAFF-1627FA079192}"/>
  </hyperlinks>
  <printOptions horizontalCentered="1"/>
  <pageMargins left="0.19685039370078741" right="0.19685039370078741" top="0.39370078740157483" bottom="0.19685039370078741" header="0.19685039370078741" footer="0.19685039370078741"/>
  <pageSetup paperSize="9" scale="72" fitToHeight="7" orientation="landscape" r:id="rId10"/>
  <headerFooter>
    <oddFooter>&amp;L&amp;F - &amp;A&amp;R| &amp;D | &amp;P/&amp;N</oddFooter>
  </headerFooter>
  <rowBreaks count="2" manualBreakCount="2">
    <brk id="47" min="3" max="13" man="1"/>
    <brk id="81" min="3" max="13" man="1"/>
  </rowBreaks>
  <ignoredErrors>
    <ignoredError sqref="G16:N16 G41:N41"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88450-374D-43E0-A3B2-4A7E4A4FD925}">
  <sheetPr codeName="Sheet8">
    <tabColor rgb="FF92D050"/>
  </sheetPr>
  <dimension ref="A1:Q169"/>
  <sheetViews>
    <sheetView zoomScale="80" zoomScaleNormal="80" workbookViewId="0">
      <pane ySplit="7" topLeftCell="A8" activePane="bottomLeft" state="frozen"/>
      <selection pane="bottomLeft" activeCell="B4" sqref="B4:B7"/>
    </sheetView>
  </sheetViews>
  <sheetFormatPr baseColWidth="10" defaultColWidth="0" defaultRowHeight="13" zeroHeight="1" x14ac:dyDescent="0.15"/>
  <cols>
    <col min="1" max="1" width="2.7109375" style="163" customWidth="1"/>
    <col min="2" max="2" width="35.7109375" style="163" customWidth="1"/>
    <col min="3" max="12" width="10.7109375" style="163" customWidth="1"/>
    <col min="13" max="13" width="2.7109375" style="163" customWidth="1"/>
    <col min="14" max="16384" width="8.85546875" style="163" hidden="1"/>
  </cols>
  <sheetData>
    <row r="1" spans="1:13" x14ac:dyDescent="0.15">
      <c r="A1" s="297"/>
      <c r="B1" s="290" t="s">
        <v>153</v>
      </c>
      <c r="C1" s="297"/>
      <c r="D1" s="297"/>
      <c r="E1" s="297"/>
      <c r="F1" s="297"/>
      <c r="G1" s="297"/>
      <c r="H1" s="297"/>
      <c r="I1" s="297"/>
      <c r="J1" s="297"/>
      <c r="K1" s="297"/>
      <c r="L1" s="297"/>
      <c r="M1" s="297"/>
    </row>
    <row r="2" spans="1:13" x14ac:dyDescent="0.15">
      <c r="A2" s="297"/>
      <c r="B2" s="290" t="s">
        <v>1425</v>
      </c>
      <c r="C2" s="297"/>
      <c r="D2" s="297"/>
      <c r="E2" s="297"/>
      <c r="F2" s="297"/>
      <c r="G2" s="297"/>
      <c r="H2" s="297"/>
      <c r="I2" s="297"/>
      <c r="J2" s="297"/>
      <c r="K2" s="297"/>
      <c r="L2" s="297"/>
      <c r="M2" s="297"/>
    </row>
    <row r="3" spans="1:13" s="1" customFormat="1" x14ac:dyDescent="0.2">
      <c r="A3" s="294"/>
      <c r="B3" s="296" t="str">
        <f>InputsData!$J$1</f>
        <v>MONNAIE LOCALE : CFA</v>
      </c>
      <c r="C3" s="294"/>
      <c r="D3" s="294"/>
      <c r="E3" s="294"/>
      <c r="F3" s="294"/>
      <c r="G3" s="294"/>
      <c r="H3" s="294"/>
      <c r="I3" s="294"/>
      <c r="J3" s="294"/>
      <c r="K3" s="294"/>
      <c r="L3" s="295" t="str">
        <f>InputsData!$J$2</f>
        <v>STRICTEMENT CONFIDENTIEL | ABC CORPORATION</v>
      </c>
      <c r="M3" s="294"/>
    </row>
    <row r="4" spans="1:13" s="1" customFormat="1" ht="25.5" customHeight="1" x14ac:dyDescent="0.2">
      <c r="A4" s="294"/>
      <c r="B4" s="969" t="str">
        <f>VLOOKUP(FinanceData!$H$2,TableInputsData[],ReadMe!$M$3,FALSE)&amp;CHAR(10)&amp;VLOOKUP("SIMULATION SCENARIO",TableInputsData[],ReadMe!$M$3,FALSE)</f>
        <v>CAS TYPIQUE
SCENARIO DE SIMULATION</v>
      </c>
      <c r="C4" s="222" t="str">
        <f>VLOOKUP(C5,TableInputsData[],ReadMe!$M$3,FALSE)</f>
        <v>ANNEE-2</v>
      </c>
      <c r="D4" s="222" t="str">
        <f>VLOOKUP(D5,TableInputsData[],ReadMe!$M$3,FALSE)</f>
        <v>ANNEE-1</v>
      </c>
      <c r="E4" s="222" t="str">
        <f>VLOOKUP(E5,TableInputsData[],ReadMe!$M$3,FALSE)</f>
        <v>ANNEE EN COURS</v>
      </c>
      <c r="F4" s="222" t="str">
        <f>VLOOKUP(F5,TableInputsData[],ReadMe!$M$3,FALSE)</f>
        <v>ANNEE2</v>
      </c>
      <c r="G4" s="222" t="str">
        <f>VLOOKUP(G5,TableInputsData[],ReadMe!$M$3,FALSE)</f>
        <v>ANNEE3</v>
      </c>
      <c r="H4" s="222" t="str">
        <f>VLOOKUP(H5,TableInputsData[],ReadMe!$M$3,FALSE)</f>
        <v>ANNEE4</v>
      </c>
      <c r="I4" s="222" t="str">
        <f>VLOOKUP(I5,TableInputsData[],ReadMe!$M$3,FALSE)</f>
        <v>ANNEE5</v>
      </c>
      <c r="J4" s="222" t="str">
        <f>VLOOKUP(J5,TableInputsData[],ReadMe!$M$3,FALSE)</f>
        <v>ANNEE6</v>
      </c>
      <c r="K4" s="404"/>
      <c r="L4" s="245"/>
      <c r="M4" s="294"/>
    </row>
    <row r="5" spans="1:13" s="1" customFormat="1" ht="25.5" hidden="1" customHeight="1" x14ac:dyDescent="0.2">
      <c r="A5" s="294"/>
      <c r="B5" s="970"/>
      <c r="C5" s="224" t="s">
        <v>392</v>
      </c>
      <c r="D5" s="224" t="s">
        <v>391</v>
      </c>
      <c r="E5" s="224" t="s">
        <v>393</v>
      </c>
      <c r="F5" s="224" t="s">
        <v>396</v>
      </c>
      <c r="G5" s="224" t="s">
        <v>397</v>
      </c>
      <c r="H5" s="224" t="s">
        <v>398</v>
      </c>
      <c r="I5" s="224" t="s">
        <v>399</v>
      </c>
      <c r="J5" s="224" t="s">
        <v>400</v>
      </c>
      <c r="K5" s="344"/>
      <c r="L5" s="246"/>
      <c r="M5" s="294"/>
    </row>
    <row r="6" spans="1:13" s="1" customFormat="1" ht="14" x14ac:dyDescent="0.2">
      <c r="A6" s="294"/>
      <c r="B6" s="971"/>
      <c r="C6" s="224" t="str">
        <f>VLOOKUP(C5,TableInputsData[],7,FALSE)</f>
        <v>ACTUAL</v>
      </c>
      <c r="D6" s="224" t="str">
        <f>VLOOKUP(D5,TableInputsData[],7,FALSE)</f>
        <v>ACTUAL</v>
      </c>
      <c r="E6" s="224" t="str">
        <f>VLOOKUP(E5,TableInputsData[],7,FALSE)</f>
        <v>FORECAST</v>
      </c>
      <c r="F6" s="224" t="str">
        <f>VLOOKUP(F5,TableInputsData[],7,FALSE)</f>
        <v>FORECAST</v>
      </c>
      <c r="G6" s="224" t="str">
        <f>VLOOKUP(G5,TableInputsData[],7,FALSE)</f>
        <v>FORECAST</v>
      </c>
      <c r="H6" s="224" t="str">
        <f>VLOOKUP(H5,TableInputsData[],7,FALSE)</f>
        <v>FORECAST</v>
      </c>
      <c r="I6" s="224" t="str">
        <f>VLOOKUP(I5,TableInputsData[],7,FALSE)</f>
        <v>FORECAST</v>
      </c>
      <c r="J6" s="224" t="str">
        <f>VLOOKUP(J5,TableInputsData[],7,FALSE)</f>
        <v>FORECAST</v>
      </c>
      <c r="K6" s="344"/>
      <c r="L6" s="246"/>
      <c r="M6" s="294"/>
    </row>
    <row r="7" spans="1:13" s="1" customFormat="1" x14ac:dyDescent="0.2">
      <c r="A7" s="294"/>
      <c r="B7" s="972"/>
      <c r="C7" s="240">
        <f>VLOOKUP(C5,TableInputsData[],8,FALSE)</f>
        <v>2023</v>
      </c>
      <c r="D7" s="240">
        <f>VLOOKUP(D5,TableInputsData[],8,FALSE)</f>
        <v>2024</v>
      </c>
      <c r="E7" s="240">
        <f>VLOOKUP(E5,TableInputsData[],8,FALSE)</f>
        <v>2025</v>
      </c>
      <c r="F7" s="240">
        <f>VLOOKUP(F5,TableInputsData[],8,FALSE)</f>
        <v>2026</v>
      </c>
      <c r="G7" s="240">
        <f>VLOOKUP(G5,TableInputsData[],8,FALSE)</f>
        <v>2027</v>
      </c>
      <c r="H7" s="240">
        <f>VLOOKUP(H5,TableInputsData[],8,FALSE)</f>
        <v>2028</v>
      </c>
      <c r="I7" s="240">
        <f>VLOOKUP(I5,TableInputsData[],8,FALSE)</f>
        <v>2029</v>
      </c>
      <c r="J7" s="240">
        <f>VLOOKUP(J5,TableInputsData[],8,FALSE)</f>
        <v>2030</v>
      </c>
      <c r="K7" s="206"/>
      <c r="L7" s="247"/>
      <c r="M7" s="294"/>
    </row>
    <row r="8" spans="1:13" x14ac:dyDescent="0.15">
      <c r="A8" s="297"/>
      <c r="B8" s="314"/>
      <c r="C8" s="297"/>
      <c r="D8" s="297"/>
      <c r="E8" s="297"/>
      <c r="F8" s="297"/>
      <c r="G8" s="297"/>
      <c r="H8" s="297"/>
      <c r="I8" s="297"/>
      <c r="J8" s="297"/>
      <c r="K8" s="297"/>
      <c r="L8" s="315"/>
      <c r="M8" s="297"/>
    </row>
    <row r="9" spans="1:13" x14ac:dyDescent="0.15">
      <c r="A9" s="297"/>
      <c r="B9" s="328" t="str">
        <f>$B$3</f>
        <v>MONNAIE LOCALE : CFA</v>
      </c>
      <c r="C9" s="416"/>
      <c r="D9" s="416"/>
      <c r="E9" s="416"/>
      <c r="F9" s="416"/>
      <c r="G9" s="416"/>
      <c r="H9" s="416"/>
      <c r="I9" s="416"/>
      <c r="J9" s="416"/>
      <c r="K9" s="416"/>
      <c r="L9" s="325" t="str">
        <f>$L$3</f>
        <v>STRICTEMENT CONFIDENTIEL | ABC CORPORATION</v>
      </c>
      <c r="M9" s="297"/>
    </row>
    <row r="10" spans="1:13" s="1" customFormat="1" ht="18" x14ac:dyDescent="0.2">
      <c r="A10" s="294"/>
      <c r="B10" s="575" t="str">
        <f>VLOOKUP("PROFIT AND LOSS STATEMENT",TableInputsData[],ReadMe!$M$3,FALSE)</f>
        <v>COMPTE DE PERTES ET PROFITS</v>
      </c>
      <c r="C10" s="241"/>
      <c r="D10" s="242"/>
      <c r="E10" s="242"/>
      <c r="F10" s="242"/>
      <c r="G10" s="242"/>
      <c r="H10" s="242"/>
      <c r="I10" s="242"/>
      <c r="J10" s="243"/>
      <c r="K10" s="243"/>
      <c r="L10" s="546" t="str">
        <f>VLOOKUP(FinanceData!$H$2,TableInputsData[],ReadMe!$M$3,FALSE)&amp;" "&amp;VLOOKUP("SIMULATION SCENARIO",TableInputsData[],ReadMe!$M$3,FALSE)</f>
        <v>CAS TYPIQUE SCENARIO DE SIMULATION</v>
      </c>
      <c r="M10" s="294"/>
    </row>
    <row r="11" spans="1:13" s="1" customFormat="1" x14ac:dyDescent="0.2">
      <c r="A11" s="294"/>
      <c r="B11" s="579" t="str">
        <f>B10&amp;" | "&amp;L10</f>
        <v>COMPTE DE PERTES ET PROFITS | CAS TYPIQUE SCENARIO DE SIMULATION</v>
      </c>
      <c r="C11" s="405"/>
      <c r="D11" s="406"/>
      <c r="E11" s="406"/>
      <c r="F11" s="406"/>
      <c r="G11" s="406"/>
      <c r="H11" s="406"/>
      <c r="I11" s="406"/>
      <c r="J11" s="407"/>
      <c r="K11" s="407"/>
      <c r="L11" s="316"/>
      <c r="M11" s="294"/>
    </row>
    <row r="12" spans="1:13" s="1" customFormat="1" x14ac:dyDescent="0.2">
      <c r="A12" s="294"/>
      <c r="B12" s="580" t="s">
        <v>1</v>
      </c>
      <c r="C12" s="576">
        <f t="shared" ref="C12:J12" si="0">C7</f>
        <v>2023</v>
      </c>
      <c r="D12" s="577">
        <f t="shared" si="0"/>
        <v>2024</v>
      </c>
      <c r="E12" s="577">
        <f t="shared" si="0"/>
        <v>2025</v>
      </c>
      <c r="F12" s="577">
        <f t="shared" si="0"/>
        <v>2026</v>
      </c>
      <c r="G12" s="577">
        <f t="shared" si="0"/>
        <v>2027</v>
      </c>
      <c r="H12" s="577">
        <f t="shared" si="0"/>
        <v>2028</v>
      </c>
      <c r="I12" s="577">
        <f t="shared" si="0"/>
        <v>2029</v>
      </c>
      <c r="J12" s="578">
        <f t="shared" si="0"/>
        <v>2030</v>
      </c>
      <c r="K12" s="294"/>
      <c r="L12" s="317"/>
      <c r="M12" s="294"/>
    </row>
    <row r="13" spans="1:13" s="1" customFormat="1" x14ac:dyDescent="0.2">
      <c r="A13" s="294"/>
      <c r="B13" s="581" t="s">
        <v>457</v>
      </c>
      <c r="C13" s="397">
        <f>GETPIVOTDATA("Sum of YEAR-2",FinancePivot!$D$829,"SUB-ITEM1",$B13,"SUB-ITEM3",,"DESCRIPTION1","TOTAL")</f>
        <v>0</v>
      </c>
      <c r="D13" s="400">
        <f>GETPIVOTDATA("Sum of YEAR-1",FinancePivot!$D$829,"SUB-ITEM1",$B13,"SUB-ITEM3",,"DESCRIPTION1","TOTAL")</f>
        <v>0</v>
      </c>
      <c r="E13" s="400">
        <f>GETPIVOTDATA("Sum of CURRENT YEAR",FinancePivot!$D$829,"SUB-ITEM1",$B13,"SUB-ITEM3",,"DESCRIPTION1","TOTAL")</f>
        <v>0</v>
      </c>
      <c r="F13" s="400">
        <f>GETPIVOTDATA("Sum of YEAR2",FinancePivot!$D$829,"SUB-ITEM1",$B13,"SUB-ITEM3",,"DESCRIPTION1","TOTAL")</f>
        <v>0</v>
      </c>
      <c r="G13" s="400">
        <f>GETPIVOTDATA("Sum of YEAR3",FinancePivot!$D$829,"SUB-ITEM1",$B13,"SUB-ITEM3",,"DESCRIPTION1","TOTAL")</f>
        <v>0</v>
      </c>
      <c r="H13" s="400">
        <f>GETPIVOTDATA("Sum of YEAR4",FinancePivot!$D$829,"SUB-ITEM1",$B13,"SUB-ITEM3",,"DESCRIPTION1","TOTAL")</f>
        <v>0</v>
      </c>
      <c r="I13" s="400">
        <f>GETPIVOTDATA("Sum of YEAR5",FinancePivot!$D$829,"SUB-ITEM1",$B13,"SUB-ITEM3",,"DESCRIPTION1","TOTAL")</f>
        <v>0</v>
      </c>
      <c r="J13" s="403">
        <f>GETPIVOTDATA("Sum of YEAR6",FinancePivot!$D$829,"SUB-ITEM1",$B13,"SUB-ITEM3",,"DESCRIPTION1","TOTAL")</f>
        <v>0</v>
      </c>
      <c r="K13" s="294"/>
      <c r="L13" s="317"/>
      <c r="M13" s="294"/>
    </row>
    <row r="14" spans="1:13" s="1" customFormat="1" x14ac:dyDescent="0.2">
      <c r="A14" s="294"/>
      <c r="B14" s="582" t="s">
        <v>531</v>
      </c>
      <c r="C14" s="398">
        <f>GETPIVOTDATA("Sum of YEAR-2",FinancePivot!$D$829,"SUB-ITEM1",$B14,"SUB-ITEM3",,"DESCRIPTION1","TOTAL")</f>
        <v>0</v>
      </c>
      <c r="D14" s="2">
        <f>GETPIVOTDATA("Sum of YEAR-1",FinancePivot!$D$829,"SUB-ITEM1",$B14,"SUB-ITEM3",,"DESCRIPTION1","TOTAL")</f>
        <v>0</v>
      </c>
      <c r="E14" s="2">
        <f>GETPIVOTDATA("Sum of CURRENT YEAR",FinancePivot!$D$829,"SUB-ITEM1",$B14,"SUB-ITEM3",,"DESCRIPTION1","TOTAL")</f>
        <v>0</v>
      </c>
      <c r="F14" s="2">
        <f>GETPIVOTDATA("Sum of YEAR2",FinancePivot!$D$829,"SUB-ITEM1",$B14,"SUB-ITEM3",,"DESCRIPTION1","TOTAL")</f>
        <v>0</v>
      </c>
      <c r="G14" s="2">
        <f>GETPIVOTDATA("Sum of YEAR3",FinancePivot!$D$829,"SUB-ITEM1",$B14,"SUB-ITEM3",,"DESCRIPTION1","TOTAL")</f>
        <v>0</v>
      </c>
      <c r="H14" s="2">
        <f>GETPIVOTDATA("Sum of YEAR4",FinancePivot!$D$829,"SUB-ITEM1",$B14,"SUB-ITEM3",,"DESCRIPTION1","TOTAL")</f>
        <v>0</v>
      </c>
      <c r="I14" s="2">
        <f>GETPIVOTDATA("Sum of YEAR5",FinancePivot!$D$829,"SUB-ITEM1",$B14,"SUB-ITEM3",,"DESCRIPTION1","TOTAL")</f>
        <v>0</v>
      </c>
      <c r="J14" s="401">
        <f>GETPIVOTDATA("Sum of YEAR6",FinancePivot!$D$829,"SUB-ITEM1",$B14,"SUB-ITEM3",,"DESCRIPTION1","TOTAL")</f>
        <v>0</v>
      </c>
      <c r="K14" s="294"/>
      <c r="L14" s="317"/>
      <c r="M14" s="294"/>
    </row>
    <row r="15" spans="1:13" s="1" customFormat="1" x14ac:dyDescent="0.2">
      <c r="A15" s="294"/>
      <c r="B15" s="582" t="s">
        <v>522</v>
      </c>
      <c r="C15" s="398">
        <f>GETPIVOTDATA("Sum of YEAR-2",FinancePivot!$D$829,"SUB-ITEM1",$B15,"SUB-ITEM3",,"DESCRIPTION1","TOTAL")</f>
        <v>0</v>
      </c>
      <c r="D15" s="2">
        <f>GETPIVOTDATA("Sum of YEAR-1",FinancePivot!$D$829,"SUB-ITEM1",$B15,"SUB-ITEM3",,"DESCRIPTION1","TOTAL")</f>
        <v>0</v>
      </c>
      <c r="E15" s="2">
        <f>GETPIVOTDATA("Sum of CURRENT YEAR",FinancePivot!$D$829,"SUB-ITEM1",$B15,"SUB-ITEM3",,"DESCRIPTION1","TOTAL")</f>
        <v>0</v>
      </c>
      <c r="F15" s="2">
        <f>GETPIVOTDATA("Sum of YEAR2",FinancePivot!$D$829,"SUB-ITEM1",$B15,"SUB-ITEM3",,"DESCRIPTION1","TOTAL")</f>
        <v>0</v>
      </c>
      <c r="G15" s="2">
        <f>GETPIVOTDATA("Sum of YEAR3",FinancePivot!$D$829,"SUB-ITEM1",$B15,"SUB-ITEM3",,"DESCRIPTION1","TOTAL")</f>
        <v>0</v>
      </c>
      <c r="H15" s="2">
        <f>GETPIVOTDATA("Sum of YEAR4",FinancePivot!$D$829,"SUB-ITEM1",$B15,"SUB-ITEM3",,"DESCRIPTION1","TOTAL")</f>
        <v>0</v>
      </c>
      <c r="I15" s="2">
        <f>GETPIVOTDATA("Sum of YEAR5",FinancePivot!$D$829,"SUB-ITEM1",$B15,"SUB-ITEM3",,"DESCRIPTION1","TOTAL")</f>
        <v>0</v>
      </c>
      <c r="J15" s="401">
        <f>GETPIVOTDATA("Sum of YEAR6",FinancePivot!$D$829,"SUB-ITEM1",$B15,"SUB-ITEM3",,"DESCRIPTION1","TOTAL")</f>
        <v>0</v>
      </c>
      <c r="K15" s="294"/>
      <c r="L15" s="317"/>
      <c r="M15" s="294"/>
    </row>
    <row r="16" spans="1:13" s="1" customFormat="1" x14ac:dyDescent="0.2">
      <c r="A16" s="294"/>
      <c r="B16" s="582" t="s">
        <v>645</v>
      </c>
      <c r="C16" s="398">
        <f>GETPIVOTDATA("Sum of YEAR-2",FinancePivot!$D$829,"SUB-ITEM1",$B16,"SUB-ITEM3",,"DESCRIPTION1","TOTAL")</f>
        <v>0</v>
      </c>
      <c r="D16" s="2">
        <f>GETPIVOTDATA("Sum of YEAR-1",FinancePivot!$D$829,"SUB-ITEM1",$B16,"SUB-ITEM3",,"DESCRIPTION1","TOTAL")</f>
        <v>0</v>
      </c>
      <c r="E16" s="2">
        <f>GETPIVOTDATA("Sum of CURRENT YEAR",FinancePivot!$D$829,"SUB-ITEM1",$B16,"SUB-ITEM3",,"DESCRIPTION1","TOTAL")</f>
        <v>0</v>
      </c>
      <c r="F16" s="2">
        <f>GETPIVOTDATA("Sum of YEAR2",FinancePivot!$D$829,"SUB-ITEM1",$B16,"SUB-ITEM3",,"DESCRIPTION1","TOTAL")</f>
        <v>0</v>
      </c>
      <c r="G16" s="2">
        <f>GETPIVOTDATA("Sum of YEAR3",FinancePivot!$D$829,"SUB-ITEM1",$B16,"SUB-ITEM3",,"DESCRIPTION1","TOTAL")</f>
        <v>0</v>
      </c>
      <c r="H16" s="2">
        <f>GETPIVOTDATA("Sum of YEAR4",FinancePivot!$D$829,"SUB-ITEM1",$B16,"SUB-ITEM3",,"DESCRIPTION1","TOTAL")</f>
        <v>0</v>
      </c>
      <c r="I16" s="2">
        <f>GETPIVOTDATA("Sum of YEAR5",FinancePivot!$D$829,"SUB-ITEM1",$B16,"SUB-ITEM3",,"DESCRIPTION1","TOTAL")</f>
        <v>0</v>
      </c>
      <c r="J16" s="401">
        <f>GETPIVOTDATA("Sum of YEAR6",FinancePivot!$D$829,"SUB-ITEM1",$B16,"SUB-ITEM3",,"DESCRIPTION1","TOTAL")</f>
        <v>0</v>
      </c>
      <c r="K16" s="294"/>
      <c r="L16" s="317"/>
      <c r="M16" s="294"/>
    </row>
    <row r="17" spans="1:13" s="1" customFormat="1" x14ac:dyDescent="0.2">
      <c r="A17" s="294"/>
      <c r="B17" s="582" t="s">
        <v>169</v>
      </c>
      <c r="C17" s="398">
        <f>GETPIVOTDATA("Sum of YEAR-2",FinancePivot!$D$829,"SUB-ITEM1",$B17,"SUB-ITEM3",,"DESCRIPTION1","TOTAL")</f>
        <v>0</v>
      </c>
      <c r="D17" s="2">
        <f>GETPIVOTDATA("Sum of YEAR-1",FinancePivot!$D$829,"SUB-ITEM1",$B17,"SUB-ITEM3",,"DESCRIPTION1","TOTAL")</f>
        <v>0</v>
      </c>
      <c r="E17" s="2">
        <f>GETPIVOTDATA("Sum of CURRENT YEAR",FinancePivot!$D$829,"SUB-ITEM1",$B17,"SUB-ITEM3",,"DESCRIPTION1","TOTAL")</f>
        <v>0</v>
      </c>
      <c r="F17" s="2">
        <f>GETPIVOTDATA("Sum of YEAR2",FinancePivot!$D$829,"SUB-ITEM1",$B17,"SUB-ITEM3",,"DESCRIPTION1","TOTAL")</f>
        <v>0</v>
      </c>
      <c r="G17" s="2">
        <f>GETPIVOTDATA("Sum of YEAR3",FinancePivot!$D$829,"SUB-ITEM1",$B17,"SUB-ITEM3",,"DESCRIPTION1","TOTAL")</f>
        <v>0</v>
      </c>
      <c r="H17" s="2">
        <f>GETPIVOTDATA("Sum of YEAR4",FinancePivot!$D$829,"SUB-ITEM1",$B17,"SUB-ITEM3",,"DESCRIPTION1","TOTAL")</f>
        <v>0</v>
      </c>
      <c r="I17" s="2">
        <f>GETPIVOTDATA("Sum of YEAR5",FinancePivot!$D$829,"SUB-ITEM1",$B17,"SUB-ITEM3",,"DESCRIPTION1","TOTAL")</f>
        <v>0</v>
      </c>
      <c r="J17" s="401">
        <f>GETPIVOTDATA("Sum of YEAR6",FinancePivot!$D$829,"SUB-ITEM1",$B17,"SUB-ITEM3",,"DESCRIPTION1","TOTAL")</f>
        <v>0</v>
      </c>
      <c r="K17" s="294"/>
      <c r="L17" s="317"/>
      <c r="M17" s="294"/>
    </row>
    <row r="18" spans="1:13" s="1" customFormat="1" x14ac:dyDescent="0.2">
      <c r="A18" s="294"/>
      <c r="B18" s="582" t="s">
        <v>170</v>
      </c>
      <c r="C18" s="398">
        <f>GETPIVOTDATA("Sum of YEAR-2",FinancePivot!$D$829,"SUB-ITEM1",$B18,"SUB-ITEM3",,"DESCRIPTION1","TOTAL")</f>
        <v>0</v>
      </c>
      <c r="D18" s="2">
        <f>GETPIVOTDATA("Sum of YEAR-1",FinancePivot!$D$829,"SUB-ITEM1",$B18,"SUB-ITEM3",,"DESCRIPTION1","TOTAL")</f>
        <v>0</v>
      </c>
      <c r="E18" s="2">
        <f>GETPIVOTDATA("Sum of CURRENT YEAR",FinancePivot!$D$829,"SUB-ITEM1",$B18,"SUB-ITEM3",,"DESCRIPTION1","TOTAL")</f>
        <v>0</v>
      </c>
      <c r="F18" s="2">
        <f>GETPIVOTDATA("Sum of YEAR2",FinancePivot!$D$829,"SUB-ITEM1",$B18,"SUB-ITEM3",,"DESCRIPTION1","TOTAL")</f>
        <v>0</v>
      </c>
      <c r="G18" s="2">
        <f>GETPIVOTDATA("Sum of YEAR3",FinancePivot!$D$829,"SUB-ITEM1",$B18,"SUB-ITEM3",,"DESCRIPTION1","TOTAL")</f>
        <v>0</v>
      </c>
      <c r="H18" s="2">
        <f>GETPIVOTDATA("Sum of YEAR4",FinancePivot!$D$829,"SUB-ITEM1",$B18,"SUB-ITEM3",,"DESCRIPTION1","TOTAL")</f>
        <v>0</v>
      </c>
      <c r="I18" s="2">
        <f>GETPIVOTDATA("Sum of YEAR5",FinancePivot!$D$829,"SUB-ITEM1",$B18,"SUB-ITEM3",,"DESCRIPTION1","TOTAL")</f>
        <v>0</v>
      </c>
      <c r="J18" s="401">
        <f>GETPIVOTDATA("Sum of YEAR6",FinancePivot!$D$829,"SUB-ITEM1",$B18,"SUB-ITEM3",,"DESCRIPTION1","TOTAL")</f>
        <v>0</v>
      </c>
      <c r="K18" s="294"/>
      <c r="L18" s="317"/>
      <c r="M18" s="294"/>
    </row>
    <row r="19" spans="1:13" s="1" customFormat="1" x14ac:dyDescent="0.2">
      <c r="A19" s="294"/>
      <c r="B19" s="582" t="s">
        <v>989</v>
      </c>
      <c r="C19" s="398">
        <f>GETPIVOTDATA("Sum of YEAR-2",FinancePivot!$D$829,"SUB-ITEM1",$B19,"SUB-ITEM3",,"DESCRIPTION1","TOTAL")</f>
        <v>0</v>
      </c>
      <c r="D19" s="2">
        <f>GETPIVOTDATA("Sum of YEAR-1",FinancePivot!$D$829,"SUB-ITEM1",$B19,"SUB-ITEM3",,"DESCRIPTION1","TOTAL")</f>
        <v>0</v>
      </c>
      <c r="E19" s="2">
        <f>GETPIVOTDATA("Sum of CURRENT YEAR",FinancePivot!$D$829,"SUB-ITEM1",$B19,"SUB-ITEM3",,"DESCRIPTION1","TOTAL")</f>
        <v>0</v>
      </c>
      <c r="F19" s="2">
        <f>GETPIVOTDATA("Sum of YEAR2",FinancePivot!$D$829,"SUB-ITEM1",$B19,"SUB-ITEM3",,"DESCRIPTION1","TOTAL")</f>
        <v>0</v>
      </c>
      <c r="G19" s="2">
        <f>GETPIVOTDATA("Sum of YEAR3",FinancePivot!$D$829,"SUB-ITEM1",$B19,"SUB-ITEM3",,"DESCRIPTION1","TOTAL")</f>
        <v>0</v>
      </c>
      <c r="H19" s="2">
        <f>GETPIVOTDATA("Sum of YEAR4",FinancePivot!$D$829,"SUB-ITEM1",$B19,"SUB-ITEM3",,"DESCRIPTION1","TOTAL")</f>
        <v>0</v>
      </c>
      <c r="I19" s="2">
        <f>GETPIVOTDATA("Sum of YEAR5",FinancePivot!$D$829,"SUB-ITEM1",$B19,"SUB-ITEM3",,"DESCRIPTION1","TOTAL")</f>
        <v>0</v>
      </c>
      <c r="J19" s="401">
        <f>GETPIVOTDATA("Sum of YEAR6",FinancePivot!$D$829,"SUB-ITEM1",$B19,"SUB-ITEM3",,"DESCRIPTION1","TOTAL")</f>
        <v>0</v>
      </c>
      <c r="K19" s="294"/>
      <c r="L19" s="317"/>
      <c r="M19" s="294"/>
    </row>
    <row r="20" spans="1:13" s="1" customFormat="1" x14ac:dyDescent="0.2">
      <c r="A20" s="294"/>
      <c r="B20" s="583" t="s">
        <v>905</v>
      </c>
      <c r="C20" s="399">
        <f>GETPIVOTDATA("Sum of YEAR-2",FinancePivot!$D$829,"SUB-ITEM1",$B20,"SUB-ITEM3",,"DESCRIPTION1","TOTAL")</f>
        <v>0</v>
      </c>
      <c r="D20" s="396">
        <f>GETPIVOTDATA("Sum of YEAR-1",FinancePivot!$D$829,"SUB-ITEM1",$B20,"SUB-ITEM3",,"DESCRIPTION1","TOTAL")</f>
        <v>0</v>
      </c>
      <c r="E20" s="396">
        <f>GETPIVOTDATA("Sum of CURRENT YEAR",FinancePivot!$D$829,"SUB-ITEM1",$B20,"SUB-ITEM3",,"DESCRIPTION1","TOTAL")</f>
        <v>0</v>
      </c>
      <c r="F20" s="396">
        <f>GETPIVOTDATA("Sum of YEAR2",FinancePivot!$D$829,"SUB-ITEM1",$B20,"SUB-ITEM3",,"DESCRIPTION1","TOTAL")</f>
        <v>0</v>
      </c>
      <c r="G20" s="396">
        <f>GETPIVOTDATA("Sum of YEAR3",FinancePivot!$D$829,"SUB-ITEM1",$B20,"SUB-ITEM3",,"DESCRIPTION1","TOTAL")</f>
        <v>0</v>
      </c>
      <c r="H20" s="396">
        <f>GETPIVOTDATA("Sum of YEAR4",FinancePivot!$D$829,"SUB-ITEM1",$B20,"SUB-ITEM3",,"DESCRIPTION1","TOTAL")</f>
        <v>0</v>
      </c>
      <c r="I20" s="396">
        <f>GETPIVOTDATA("Sum of YEAR5",FinancePivot!$D$829,"SUB-ITEM1",$B20,"SUB-ITEM3",,"DESCRIPTION1","TOTAL")</f>
        <v>0</v>
      </c>
      <c r="J20" s="402">
        <f>GETPIVOTDATA("Sum of YEAR6",FinancePivot!$D$829,"SUB-ITEM1",$B20,"SUB-ITEM3",,"DESCRIPTION1","TOTAL")</f>
        <v>0</v>
      </c>
      <c r="K20" s="294"/>
      <c r="L20" s="317"/>
      <c r="M20" s="294"/>
    </row>
    <row r="21" spans="1:13" s="1" customFormat="1" x14ac:dyDescent="0.2">
      <c r="A21" s="294"/>
      <c r="B21" s="583" t="s">
        <v>1033</v>
      </c>
      <c r="C21" s="786">
        <f>IF(C13=0,0,C20/C13)</f>
        <v>0</v>
      </c>
      <c r="D21" s="787">
        <f t="shared" ref="D21:J21" si="1">IF(D13=0,0,D20/D13)</f>
        <v>0</v>
      </c>
      <c r="E21" s="787">
        <f t="shared" si="1"/>
        <v>0</v>
      </c>
      <c r="F21" s="787">
        <f t="shared" si="1"/>
        <v>0</v>
      </c>
      <c r="G21" s="787">
        <f t="shared" si="1"/>
        <v>0</v>
      </c>
      <c r="H21" s="787">
        <f t="shared" si="1"/>
        <v>0</v>
      </c>
      <c r="I21" s="787">
        <f t="shared" si="1"/>
        <v>0</v>
      </c>
      <c r="J21" s="788">
        <f t="shared" si="1"/>
        <v>0</v>
      </c>
      <c r="K21" s="294"/>
      <c r="L21" s="317"/>
      <c r="M21" s="294"/>
    </row>
    <row r="22" spans="1:13" s="1" customFormat="1" x14ac:dyDescent="0.2">
      <c r="A22" s="294"/>
      <c r="B22" s="579"/>
      <c r="C22" s="405"/>
      <c r="D22" s="406"/>
      <c r="E22" s="406"/>
      <c r="F22" s="406"/>
      <c r="G22" s="406"/>
      <c r="H22" s="406"/>
      <c r="I22" s="406"/>
      <c r="J22" s="407"/>
      <c r="K22" s="294"/>
      <c r="L22" s="317"/>
      <c r="M22" s="294"/>
    </row>
    <row r="23" spans="1:13" s="1" customFormat="1" x14ac:dyDescent="0.2">
      <c r="A23" s="294"/>
      <c r="B23" s="580" t="s">
        <v>1</v>
      </c>
      <c r="C23" s="576">
        <f>C7</f>
        <v>2023</v>
      </c>
      <c r="D23" s="577">
        <f t="shared" ref="D23:J23" si="2">D7</f>
        <v>2024</v>
      </c>
      <c r="E23" s="577">
        <f t="shared" si="2"/>
        <v>2025</v>
      </c>
      <c r="F23" s="577">
        <f t="shared" si="2"/>
        <v>2026</v>
      </c>
      <c r="G23" s="577">
        <f t="shared" si="2"/>
        <v>2027</v>
      </c>
      <c r="H23" s="577">
        <f t="shared" si="2"/>
        <v>2028</v>
      </c>
      <c r="I23" s="577">
        <f t="shared" si="2"/>
        <v>2029</v>
      </c>
      <c r="J23" s="578">
        <f t="shared" si="2"/>
        <v>2030</v>
      </c>
      <c r="K23" s="294"/>
      <c r="L23" s="317"/>
      <c r="M23" s="294"/>
    </row>
    <row r="24" spans="1:13" s="1" customFormat="1" x14ac:dyDescent="0.2">
      <c r="A24" s="294"/>
      <c r="B24" s="581" t="str">
        <f>VLOOKUP($B13,TableInputsData[],ReadMe!$M$3,FALSE)</f>
        <v>CHIFFRE D'AFFAIRES</v>
      </c>
      <c r="C24" s="397">
        <f>C13</f>
        <v>0</v>
      </c>
      <c r="D24" s="400">
        <f t="shared" ref="D24:J24" si="3">D13</f>
        <v>0</v>
      </c>
      <c r="E24" s="400">
        <f t="shared" si="3"/>
        <v>0</v>
      </c>
      <c r="F24" s="400">
        <f t="shared" si="3"/>
        <v>0</v>
      </c>
      <c r="G24" s="400">
        <f t="shared" si="3"/>
        <v>0</v>
      </c>
      <c r="H24" s="400">
        <f t="shared" si="3"/>
        <v>0</v>
      </c>
      <c r="I24" s="400">
        <f t="shared" si="3"/>
        <v>0</v>
      </c>
      <c r="J24" s="403">
        <f t="shared" si="3"/>
        <v>0</v>
      </c>
      <c r="K24" s="294"/>
      <c r="L24" s="317"/>
      <c r="M24" s="294"/>
    </row>
    <row r="25" spans="1:13" s="1" customFormat="1" x14ac:dyDescent="0.2">
      <c r="A25" s="294"/>
      <c r="B25" s="582" t="str">
        <f>VLOOKUP($B14,TableInputsData[],ReadMe!$M$3,FALSE)</f>
        <v>DEPENSES SUR ACHATS</v>
      </c>
      <c r="C25" s="398">
        <f t="shared" ref="C25:J25" si="4">C14</f>
        <v>0</v>
      </c>
      <c r="D25" s="2">
        <f t="shared" si="4"/>
        <v>0</v>
      </c>
      <c r="E25" s="2">
        <f t="shared" si="4"/>
        <v>0</v>
      </c>
      <c r="F25" s="2">
        <f t="shared" si="4"/>
        <v>0</v>
      </c>
      <c r="G25" s="2">
        <f t="shared" si="4"/>
        <v>0</v>
      </c>
      <c r="H25" s="2">
        <f t="shared" si="4"/>
        <v>0</v>
      </c>
      <c r="I25" s="2">
        <f t="shared" si="4"/>
        <v>0</v>
      </c>
      <c r="J25" s="401">
        <f t="shared" si="4"/>
        <v>0</v>
      </c>
      <c r="K25" s="294"/>
      <c r="L25" s="317"/>
      <c r="M25" s="294"/>
    </row>
    <row r="26" spans="1:13" s="1" customFormat="1" x14ac:dyDescent="0.2">
      <c r="A26" s="294"/>
      <c r="B26" s="582" t="str">
        <f>VLOOKUP($B15,TableInputsData[],ReadMe!$M$3,FALSE)</f>
        <v>MARGE BRUTE</v>
      </c>
      <c r="C26" s="398">
        <f t="shared" ref="C26:J26" si="5">C15</f>
        <v>0</v>
      </c>
      <c r="D26" s="2">
        <f t="shared" si="5"/>
        <v>0</v>
      </c>
      <c r="E26" s="2">
        <f t="shared" si="5"/>
        <v>0</v>
      </c>
      <c r="F26" s="2">
        <f t="shared" si="5"/>
        <v>0</v>
      </c>
      <c r="G26" s="2">
        <f t="shared" si="5"/>
        <v>0</v>
      </c>
      <c r="H26" s="2">
        <f t="shared" si="5"/>
        <v>0</v>
      </c>
      <c r="I26" s="2">
        <f t="shared" si="5"/>
        <v>0</v>
      </c>
      <c r="J26" s="401">
        <f t="shared" si="5"/>
        <v>0</v>
      </c>
      <c r="K26" s="294"/>
      <c r="L26" s="317"/>
      <c r="M26" s="294"/>
    </row>
    <row r="27" spans="1:13" s="1" customFormat="1" x14ac:dyDescent="0.2">
      <c r="A27" s="294"/>
      <c r="B27" s="582" t="str">
        <f>VLOOKUP($B16,TableInputsData[],ReadMe!$M$3,FALSE)</f>
        <v>DEPENSES OPERATIONNELLES</v>
      </c>
      <c r="C27" s="398">
        <f t="shared" ref="C27:J27" si="6">C16</f>
        <v>0</v>
      </c>
      <c r="D27" s="2">
        <f t="shared" si="6"/>
        <v>0</v>
      </c>
      <c r="E27" s="2">
        <f t="shared" si="6"/>
        <v>0</v>
      </c>
      <c r="F27" s="2">
        <f t="shared" si="6"/>
        <v>0</v>
      </c>
      <c r="G27" s="2">
        <f t="shared" si="6"/>
        <v>0</v>
      </c>
      <c r="H27" s="2">
        <f t="shared" si="6"/>
        <v>0</v>
      </c>
      <c r="I27" s="2">
        <f t="shared" si="6"/>
        <v>0</v>
      </c>
      <c r="J27" s="401">
        <f t="shared" si="6"/>
        <v>0</v>
      </c>
      <c r="K27" s="294"/>
      <c r="L27" s="317"/>
      <c r="M27" s="294"/>
    </row>
    <row r="28" spans="1:13" s="1" customFormat="1" x14ac:dyDescent="0.2">
      <c r="A28" s="294"/>
      <c r="B28" s="582" t="str">
        <f>VLOOKUP($B17,TableInputsData[],ReadMe!$M$3,FALSE)</f>
        <v>EBITDA</v>
      </c>
      <c r="C28" s="398">
        <f t="shared" ref="C28:J28" si="7">C17</f>
        <v>0</v>
      </c>
      <c r="D28" s="2">
        <f t="shared" si="7"/>
        <v>0</v>
      </c>
      <c r="E28" s="2">
        <f t="shared" si="7"/>
        <v>0</v>
      </c>
      <c r="F28" s="2">
        <f t="shared" si="7"/>
        <v>0</v>
      </c>
      <c r="G28" s="2">
        <f t="shared" si="7"/>
        <v>0</v>
      </c>
      <c r="H28" s="2">
        <f t="shared" si="7"/>
        <v>0</v>
      </c>
      <c r="I28" s="2">
        <f t="shared" si="7"/>
        <v>0</v>
      </c>
      <c r="J28" s="401">
        <f t="shared" si="7"/>
        <v>0</v>
      </c>
      <c r="K28" s="294"/>
      <c r="L28" s="317"/>
      <c r="M28" s="294"/>
    </row>
    <row r="29" spans="1:13" s="1" customFormat="1" x14ac:dyDescent="0.2">
      <c r="A29" s="294"/>
      <c r="B29" s="582" t="str">
        <f>VLOOKUP($B18,TableInputsData[],ReadMe!$M$3,FALSE)</f>
        <v>EBIT</v>
      </c>
      <c r="C29" s="398">
        <f t="shared" ref="C29:J29" si="8">C18</f>
        <v>0</v>
      </c>
      <c r="D29" s="2">
        <f t="shared" si="8"/>
        <v>0</v>
      </c>
      <c r="E29" s="2">
        <f t="shared" si="8"/>
        <v>0</v>
      </c>
      <c r="F29" s="2">
        <f t="shared" si="8"/>
        <v>0</v>
      </c>
      <c r="G29" s="2">
        <f t="shared" si="8"/>
        <v>0</v>
      </c>
      <c r="H29" s="2">
        <f t="shared" si="8"/>
        <v>0</v>
      </c>
      <c r="I29" s="2">
        <f t="shared" si="8"/>
        <v>0</v>
      </c>
      <c r="J29" s="401">
        <f t="shared" si="8"/>
        <v>0</v>
      </c>
      <c r="K29" s="294"/>
      <c r="L29" s="317"/>
      <c r="M29" s="294"/>
    </row>
    <row r="30" spans="1:13" s="1" customFormat="1" x14ac:dyDescent="0.2">
      <c r="A30" s="294"/>
      <c r="B30" s="582" t="str">
        <f>VLOOKUP($B19,TableInputsData[],ReadMe!$M$3,FALSE)</f>
        <v>BENEFICE AVANT IMPOT</v>
      </c>
      <c r="C30" s="398">
        <f t="shared" ref="C30:J30" si="9">C19</f>
        <v>0</v>
      </c>
      <c r="D30" s="2">
        <f t="shared" si="9"/>
        <v>0</v>
      </c>
      <c r="E30" s="2">
        <f t="shared" si="9"/>
        <v>0</v>
      </c>
      <c r="F30" s="2">
        <f t="shared" si="9"/>
        <v>0</v>
      </c>
      <c r="G30" s="2">
        <f t="shared" si="9"/>
        <v>0</v>
      </c>
      <c r="H30" s="2">
        <f t="shared" si="9"/>
        <v>0</v>
      </c>
      <c r="I30" s="2">
        <f t="shared" si="9"/>
        <v>0</v>
      </c>
      <c r="J30" s="401">
        <f t="shared" si="9"/>
        <v>0</v>
      </c>
      <c r="K30" s="294"/>
      <c r="L30" s="317"/>
      <c r="M30" s="294"/>
    </row>
    <row r="31" spans="1:13" s="1" customFormat="1" x14ac:dyDescent="0.2">
      <c r="A31" s="294"/>
      <c r="B31" s="583" t="str">
        <f>VLOOKUP($B20,TableInputsData[],ReadMe!$M$3,FALSE)</f>
        <v>BENEFICE NET</v>
      </c>
      <c r="C31" s="399">
        <f t="shared" ref="C31:J31" si="10">C20</f>
        <v>0</v>
      </c>
      <c r="D31" s="396">
        <f t="shared" si="10"/>
        <v>0</v>
      </c>
      <c r="E31" s="396">
        <f t="shared" si="10"/>
        <v>0</v>
      </c>
      <c r="F31" s="396">
        <f t="shared" si="10"/>
        <v>0</v>
      </c>
      <c r="G31" s="396">
        <f t="shared" si="10"/>
        <v>0</v>
      </c>
      <c r="H31" s="396">
        <f t="shared" si="10"/>
        <v>0</v>
      </c>
      <c r="I31" s="396">
        <f t="shared" si="10"/>
        <v>0</v>
      </c>
      <c r="J31" s="402">
        <f t="shared" si="10"/>
        <v>0</v>
      </c>
      <c r="K31" s="294"/>
      <c r="L31" s="317"/>
      <c r="M31" s="294"/>
    </row>
    <row r="32" spans="1:13" s="1" customFormat="1" x14ac:dyDescent="0.2">
      <c r="A32" s="294"/>
      <c r="B32" s="583" t="str">
        <f>VLOOKUP($B21,TableInputsData[],ReadMe!$M$3,FALSE)</f>
        <v>BENEFICE NET / REVENUS</v>
      </c>
      <c r="C32" s="786">
        <f t="shared" ref="C32:J32" si="11">C21</f>
        <v>0</v>
      </c>
      <c r="D32" s="787">
        <f t="shared" si="11"/>
        <v>0</v>
      </c>
      <c r="E32" s="787">
        <f t="shared" si="11"/>
        <v>0</v>
      </c>
      <c r="F32" s="787">
        <f t="shared" si="11"/>
        <v>0</v>
      </c>
      <c r="G32" s="787">
        <f t="shared" si="11"/>
        <v>0</v>
      </c>
      <c r="H32" s="787">
        <f t="shared" si="11"/>
        <v>0</v>
      </c>
      <c r="I32" s="787">
        <f t="shared" si="11"/>
        <v>0</v>
      </c>
      <c r="J32" s="788">
        <f t="shared" si="11"/>
        <v>0</v>
      </c>
      <c r="K32" s="294"/>
      <c r="L32" s="317"/>
      <c r="M32" s="294"/>
    </row>
    <row r="33" spans="1:13" s="1" customFormat="1" x14ac:dyDescent="0.2">
      <c r="A33" s="294"/>
      <c r="B33" s="579"/>
      <c r="C33" s="405"/>
      <c r="D33" s="406"/>
      <c r="E33" s="406"/>
      <c r="F33" s="406"/>
      <c r="G33" s="406"/>
      <c r="H33" s="406"/>
      <c r="I33" s="406"/>
      <c r="J33" s="407"/>
      <c r="K33" s="294"/>
      <c r="L33" s="317"/>
      <c r="M33" s="294"/>
    </row>
    <row r="34" spans="1:13" s="1" customFormat="1" x14ac:dyDescent="0.2">
      <c r="A34" s="294"/>
      <c r="B34" s="579"/>
      <c r="C34" s="405"/>
      <c r="D34" s="406"/>
      <c r="E34" s="406"/>
      <c r="F34" s="406"/>
      <c r="G34" s="406"/>
      <c r="H34" s="406"/>
      <c r="I34" s="406"/>
      <c r="J34" s="407"/>
      <c r="K34" s="294"/>
      <c r="L34" s="317"/>
      <c r="M34" s="294"/>
    </row>
    <row r="35" spans="1:13" s="1" customFormat="1" x14ac:dyDescent="0.2">
      <c r="A35" s="294"/>
      <c r="B35" s="579"/>
      <c r="C35" s="405"/>
      <c r="D35" s="406"/>
      <c r="E35" s="406"/>
      <c r="F35" s="406"/>
      <c r="G35" s="406"/>
      <c r="H35" s="406"/>
      <c r="I35" s="406"/>
      <c r="J35" s="407"/>
      <c r="K35" s="294"/>
      <c r="L35" s="317"/>
      <c r="M35" s="294"/>
    </row>
    <row r="36" spans="1:13" s="1" customFormat="1" x14ac:dyDescent="0.2">
      <c r="A36" s="294"/>
      <c r="B36" s="579"/>
      <c r="C36" s="405"/>
      <c r="D36" s="406"/>
      <c r="E36" s="406"/>
      <c r="F36" s="406"/>
      <c r="G36" s="406"/>
      <c r="H36" s="406"/>
      <c r="I36" s="406"/>
      <c r="J36" s="407"/>
      <c r="K36" s="294"/>
      <c r="L36" s="317"/>
      <c r="M36" s="294"/>
    </row>
    <row r="37" spans="1:13" s="1" customFormat="1" x14ac:dyDescent="0.2">
      <c r="A37" s="294"/>
      <c r="B37" s="579"/>
      <c r="C37" s="405"/>
      <c r="D37" s="406"/>
      <c r="E37" s="406"/>
      <c r="F37" s="406"/>
      <c r="G37" s="406"/>
      <c r="H37" s="406"/>
      <c r="I37" s="406"/>
      <c r="J37" s="407"/>
      <c r="K37" s="294"/>
      <c r="L37" s="317"/>
      <c r="M37" s="294"/>
    </row>
    <row r="38" spans="1:13" s="1" customFormat="1" x14ac:dyDescent="0.2">
      <c r="A38" s="294"/>
      <c r="B38" s="579"/>
      <c r="C38" s="405"/>
      <c r="D38" s="406"/>
      <c r="E38" s="406"/>
      <c r="F38" s="406"/>
      <c r="G38" s="406"/>
      <c r="H38" s="406"/>
      <c r="I38" s="406"/>
      <c r="J38" s="407"/>
      <c r="K38" s="294"/>
      <c r="L38" s="317"/>
      <c r="M38" s="294"/>
    </row>
    <row r="39" spans="1:13" s="1" customFormat="1" x14ac:dyDescent="0.2">
      <c r="A39" s="294"/>
      <c r="B39" s="579"/>
      <c r="C39" s="405"/>
      <c r="D39" s="406"/>
      <c r="E39" s="406"/>
      <c r="F39" s="406"/>
      <c r="G39" s="406"/>
      <c r="H39" s="406"/>
      <c r="I39" s="406"/>
      <c r="J39" s="407"/>
      <c r="K39" s="294"/>
      <c r="L39" s="317"/>
      <c r="M39" s="294"/>
    </row>
    <row r="40" spans="1:13" s="1" customFormat="1" x14ac:dyDescent="0.2">
      <c r="A40" s="294"/>
      <c r="B40" s="579"/>
      <c r="C40" s="405"/>
      <c r="D40" s="406"/>
      <c r="E40" s="406"/>
      <c r="F40" s="406"/>
      <c r="G40" s="406"/>
      <c r="H40" s="406"/>
      <c r="I40" s="406"/>
      <c r="J40" s="407"/>
      <c r="K40" s="294"/>
      <c r="L40" s="317"/>
      <c r="M40" s="294"/>
    </row>
    <row r="41" spans="1:13" s="1" customFormat="1" x14ac:dyDescent="0.2">
      <c r="A41" s="294"/>
      <c r="B41" s="579"/>
      <c r="C41" s="405"/>
      <c r="D41" s="406"/>
      <c r="E41" s="406"/>
      <c r="F41" s="406"/>
      <c r="G41" s="406"/>
      <c r="H41" s="406"/>
      <c r="I41" s="406"/>
      <c r="J41" s="407"/>
      <c r="K41" s="294"/>
      <c r="L41" s="317"/>
      <c r="M41" s="294"/>
    </row>
    <row r="42" spans="1:13" s="1" customFormat="1" x14ac:dyDescent="0.2">
      <c r="A42" s="294"/>
      <c r="B42" s="579"/>
      <c r="C42" s="405"/>
      <c r="D42" s="406"/>
      <c r="E42" s="406"/>
      <c r="F42" s="406"/>
      <c r="G42" s="406"/>
      <c r="H42" s="406"/>
      <c r="I42" s="406"/>
      <c r="J42" s="407"/>
      <c r="K42" s="294"/>
      <c r="L42" s="317"/>
      <c r="M42" s="294"/>
    </row>
    <row r="43" spans="1:13" s="1" customFormat="1" x14ac:dyDescent="0.2">
      <c r="A43" s="294"/>
      <c r="B43" s="579"/>
      <c r="C43" s="405"/>
      <c r="D43" s="406"/>
      <c r="E43" s="406"/>
      <c r="F43" s="406"/>
      <c r="G43" s="406"/>
      <c r="H43" s="406"/>
      <c r="I43" s="406"/>
      <c r="J43" s="407"/>
      <c r="K43" s="294"/>
      <c r="L43" s="317"/>
      <c r="M43" s="294"/>
    </row>
    <row r="44" spans="1:13" s="1" customFormat="1" x14ac:dyDescent="0.2">
      <c r="A44" s="294"/>
      <c r="B44" s="579"/>
      <c r="C44" s="405"/>
      <c r="D44" s="406"/>
      <c r="E44" s="406"/>
      <c r="F44" s="406"/>
      <c r="G44" s="406"/>
      <c r="H44" s="406"/>
      <c r="I44" s="406"/>
      <c r="J44" s="407"/>
      <c r="K44" s="294"/>
      <c r="L44" s="317"/>
      <c r="M44" s="294"/>
    </row>
    <row r="45" spans="1:13" s="1" customFormat="1" x14ac:dyDescent="0.15">
      <c r="A45" s="294"/>
      <c r="B45" s="579"/>
      <c r="C45" s="297"/>
      <c r="D45" s="297"/>
      <c r="E45" s="297"/>
      <c r="F45" s="297"/>
      <c r="G45" s="297"/>
      <c r="H45" s="297"/>
      <c r="I45" s="297"/>
      <c r="J45" s="297"/>
      <c r="K45" s="294"/>
      <c r="L45" s="317"/>
      <c r="M45" s="294"/>
    </row>
    <row r="46" spans="1:13" x14ac:dyDescent="0.15">
      <c r="A46" s="297"/>
      <c r="B46" s="579"/>
      <c r="C46" s="297"/>
      <c r="D46" s="297"/>
      <c r="E46" s="297"/>
      <c r="F46" s="297"/>
      <c r="G46" s="297"/>
      <c r="H46" s="297"/>
      <c r="I46" s="297"/>
      <c r="J46" s="297"/>
      <c r="K46" s="297"/>
      <c r="L46" s="315"/>
      <c r="M46" s="297"/>
    </row>
    <row r="47" spans="1:13" x14ac:dyDescent="0.15">
      <c r="A47" s="297"/>
      <c r="B47" s="584"/>
      <c r="C47" s="297"/>
      <c r="D47" s="297"/>
      <c r="E47" s="297"/>
      <c r="F47" s="297"/>
      <c r="G47" s="297"/>
      <c r="H47" s="297"/>
      <c r="I47" s="297"/>
      <c r="J47" s="297"/>
      <c r="K47" s="297"/>
      <c r="L47" s="315"/>
      <c r="M47" s="297"/>
    </row>
    <row r="48" spans="1:13" ht="25" customHeight="1" x14ac:dyDescent="0.15">
      <c r="A48" s="297"/>
      <c r="B48" s="973" t="s">
        <v>204</v>
      </c>
      <c r="C48" s="222" t="str">
        <f>C$4</f>
        <v>ANNEE-2</v>
      </c>
      <c r="D48" s="222" t="str">
        <f t="shared" ref="D48:J48" si="12">D$4</f>
        <v>ANNEE-1</v>
      </c>
      <c r="E48" s="222" t="str">
        <f t="shared" si="12"/>
        <v>ANNEE EN COURS</v>
      </c>
      <c r="F48" s="222" t="str">
        <f t="shared" si="12"/>
        <v>ANNEE2</v>
      </c>
      <c r="G48" s="222" t="str">
        <f t="shared" si="12"/>
        <v>ANNEE3</v>
      </c>
      <c r="H48" s="222" t="str">
        <f t="shared" si="12"/>
        <v>ANNEE4</v>
      </c>
      <c r="I48" s="222" t="str">
        <f t="shared" si="12"/>
        <v>ANNEE5</v>
      </c>
      <c r="J48" s="222" t="str">
        <f t="shared" si="12"/>
        <v>ANNEE6</v>
      </c>
      <c r="K48" s="975" t="str">
        <f>$L$10</f>
        <v>CAS TYPIQUE SCENARIO DE SIMULATION</v>
      </c>
      <c r="L48" s="976"/>
      <c r="M48" s="297"/>
    </row>
    <row r="49" spans="1:13" x14ac:dyDescent="0.15">
      <c r="A49" s="297"/>
      <c r="B49" s="974"/>
      <c r="C49" s="244">
        <f>C$7</f>
        <v>2023</v>
      </c>
      <c r="D49" s="244">
        <f t="shared" ref="D49:J49" si="13">D$7</f>
        <v>2024</v>
      </c>
      <c r="E49" s="244">
        <f t="shared" si="13"/>
        <v>2025</v>
      </c>
      <c r="F49" s="244">
        <f t="shared" si="13"/>
        <v>2026</v>
      </c>
      <c r="G49" s="244">
        <f t="shared" si="13"/>
        <v>2027</v>
      </c>
      <c r="H49" s="244">
        <f t="shared" si="13"/>
        <v>2028</v>
      </c>
      <c r="I49" s="244">
        <f t="shared" si="13"/>
        <v>2029</v>
      </c>
      <c r="J49" s="244">
        <f t="shared" si="13"/>
        <v>2030</v>
      </c>
      <c r="K49" s="977"/>
      <c r="L49" s="978"/>
      <c r="M49" s="297"/>
    </row>
    <row r="50" spans="1:13" x14ac:dyDescent="0.15">
      <c r="A50" s="297"/>
      <c r="B50" s="320"/>
      <c r="C50" s="321"/>
      <c r="D50" s="321"/>
      <c r="E50" s="321"/>
      <c r="F50" s="321"/>
      <c r="G50" s="321"/>
      <c r="H50" s="321"/>
      <c r="I50" s="321"/>
      <c r="J50" s="321"/>
      <c r="K50" s="297"/>
      <c r="L50" s="315"/>
      <c r="M50" s="297"/>
    </row>
    <row r="51" spans="1:13" x14ac:dyDescent="0.15">
      <c r="A51" s="458" t="s">
        <v>1029</v>
      </c>
      <c r="B51" s="459" t="str">
        <f>VLOOKUP($A51,TableInputsData[],ReadMe!$M$3,FALSE)</f>
        <v>MARGE BRUTE / REVENUS</v>
      </c>
      <c r="C51" s="838">
        <f>IF(SUMIF($B$13:$B$47,"REVENUE",C$13:C$47)=0,0,SUMIF($B$13:$B$47,LEFT($A51,LEN($A51)-10),C$13:C$47)/SUMIF($B$13:$B$47,"REVENUE",C$13:C$47))</f>
        <v>0</v>
      </c>
      <c r="D51" s="838">
        <f t="shared" ref="D51:J52" si="14">IF(SUMIF($B$13:$B$47,"REVENUE",D$13:D$47)=0,0,SUMIF($B$13:$B$47,LEFT($A51,LEN($A51)-10),D$13:D$47)/SUMIF($B$13:$B$47,"REVENUE",D$13:D$47))</f>
        <v>0</v>
      </c>
      <c r="E51" s="838">
        <f t="shared" si="14"/>
        <v>0</v>
      </c>
      <c r="F51" s="838">
        <f t="shared" si="14"/>
        <v>0</v>
      </c>
      <c r="G51" s="838">
        <f t="shared" si="14"/>
        <v>0</v>
      </c>
      <c r="H51" s="838">
        <f t="shared" si="14"/>
        <v>0</v>
      </c>
      <c r="I51" s="838">
        <f>IF(SUMIF($B$13:$B$47,"REVENUE",I$13:I$47)=0,0,SUMIF($B$13:$B$47,LEFT($A51,LEN($A51)-10),I$13:I$47)/SUMIF($B$13:$B$47,"REVENUE",I$13:I$47))</f>
        <v>0</v>
      </c>
      <c r="J51" s="839">
        <f t="shared" si="14"/>
        <v>0</v>
      </c>
      <c r="K51" s="297"/>
      <c r="L51" s="315"/>
      <c r="M51" s="297"/>
    </row>
    <row r="52" spans="1:13" x14ac:dyDescent="0.15">
      <c r="A52" s="458" t="s">
        <v>1030</v>
      </c>
      <c r="B52" s="460" t="str">
        <f>VLOOKUP($A52,TableInputsData[],ReadMe!$M$3,FALSE)</f>
        <v>EBITDA / REVENUS</v>
      </c>
      <c r="C52" s="840">
        <f>IF(SUMIF($B$13:$B$47,"REVENUE",C$13:C$47)=0,0,SUMIF($B$13:$B$47,LEFT($A52,LEN($A52)-10),C$13:C$47)/SUMIF($B$13:$B$47,"REVENUE",C$13:C$47))</f>
        <v>0</v>
      </c>
      <c r="D52" s="840">
        <f t="shared" si="14"/>
        <v>0</v>
      </c>
      <c r="E52" s="840">
        <f t="shared" si="14"/>
        <v>0</v>
      </c>
      <c r="F52" s="840">
        <f t="shared" si="14"/>
        <v>0</v>
      </c>
      <c r="G52" s="840">
        <f t="shared" si="14"/>
        <v>0</v>
      </c>
      <c r="H52" s="840">
        <f t="shared" si="14"/>
        <v>0</v>
      </c>
      <c r="I52" s="840">
        <f t="shared" si="14"/>
        <v>0</v>
      </c>
      <c r="J52" s="841">
        <f t="shared" si="14"/>
        <v>0</v>
      </c>
      <c r="K52" s="297"/>
      <c r="L52" s="315"/>
      <c r="M52" s="297"/>
    </row>
    <row r="53" spans="1:13" x14ac:dyDescent="0.15">
      <c r="A53" s="458" t="s">
        <v>1031</v>
      </c>
      <c r="B53" s="460" t="str">
        <f>VLOOKUP($A53,TableInputsData[],ReadMe!$M$3,FALSE)</f>
        <v>EBIT / REVENUS</v>
      </c>
      <c r="C53" s="840">
        <f t="shared" ref="C53:J55" si="15">IF(SUMIF($B$13:$B$47,"REVENUE",C$13:C$47)=0,0,SUMIF($B$13:$B$47,LEFT($A53,LEN($A53)-10),C$13:C$47)/SUMIF($B$13:$B$47,"REVENUE",C$13:C$47))</f>
        <v>0</v>
      </c>
      <c r="D53" s="840">
        <f t="shared" si="15"/>
        <v>0</v>
      </c>
      <c r="E53" s="840">
        <f t="shared" si="15"/>
        <v>0</v>
      </c>
      <c r="F53" s="840">
        <f t="shared" si="15"/>
        <v>0</v>
      </c>
      <c r="G53" s="840">
        <f t="shared" si="15"/>
        <v>0</v>
      </c>
      <c r="H53" s="840">
        <f t="shared" si="15"/>
        <v>0</v>
      </c>
      <c r="I53" s="840">
        <f t="shared" si="15"/>
        <v>0</v>
      </c>
      <c r="J53" s="841">
        <f t="shared" si="15"/>
        <v>0</v>
      </c>
      <c r="K53" s="297"/>
      <c r="L53" s="315"/>
      <c r="M53" s="297"/>
    </row>
    <row r="54" spans="1:13" x14ac:dyDescent="0.15">
      <c r="A54" s="458" t="s">
        <v>1032</v>
      </c>
      <c r="B54" s="460" t="str">
        <f>VLOOKUP($A54,TableInputsData[],ReadMe!$M$3,FALSE)</f>
        <v>BENEFICE BRUT AVANT IMPOTS / REVENUS</v>
      </c>
      <c r="C54" s="840">
        <f t="shared" si="15"/>
        <v>0</v>
      </c>
      <c r="D54" s="840">
        <f t="shared" si="15"/>
        <v>0</v>
      </c>
      <c r="E54" s="840">
        <f t="shared" si="15"/>
        <v>0</v>
      </c>
      <c r="F54" s="840">
        <f t="shared" si="15"/>
        <v>0</v>
      </c>
      <c r="G54" s="840">
        <f t="shared" si="15"/>
        <v>0</v>
      </c>
      <c r="H54" s="840">
        <f t="shared" si="15"/>
        <v>0</v>
      </c>
      <c r="I54" s="840">
        <f t="shared" si="15"/>
        <v>0</v>
      </c>
      <c r="J54" s="841">
        <f t="shared" si="15"/>
        <v>0</v>
      </c>
      <c r="K54" s="297"/>
      <c r="L54" s="315"/>
      <c r="M54" s="297"/>
    </row>
    <row r="55" spans="1:13" x14ac:dyDescent="0.15">
      <c r="A55" s="458" t="s">
        <v>1033</v>
      </c>
      <c r="B55" s="461" t="str">
        <f>VLOOKUP($A55,TableInputsData[],ReadMe!$M$3,FALSE)</f>
        <v>BENEFICE NET / REVENUS</v>
      </c>
      <c r="C55" s="842">
        <f t="shared" si="15"/>
        <v>0</v>
      </c>
      <c r="D55" s="842">
        <f t="shared" si="15"/>
        <v>0</v>
      </c>
      <c r="E55" s="842">
        <f t="shared" si="15"/>
        <v>0</v>
      </c>
      <c r="F55" s="842">
        <f t="shared" si="15"/>
        <v>0</v>
      </c>
      <c r="G55" s="842">
        <f t="shared" si="15"/>
        <v>0</v>
      </c>
      <c r="H55" s="842">
        <f t="shared" si="15"/>
        <v>0</v>
      </c>
      <c r="I55" s="842">
        <f t="shared" si="15"/>
        <v>0</v>
      </c>
      <c r="J55" s="843">
        <f t="shared" si="15"/>
        <v>0</v>
      </c>
      <c r="K55" s="297"/>
      <c r="L55" s="315"/>
      <c r="M55" s="297"/>
    </row>
    <row r="56" spans="1:13" x14ac:dyDescent="0.15">
      <c r="A56" s="297"/>
      <c r="B56" s="314"/>
      <c r="C56" s="297"/>
      <c r="D56" s="297"/>
      <c r="E56" s="297"/>
      <c r="F56" s="297"/>
      <c r="G56" s="297"/>
      <c r="H56" s="297"/>
      <c r="I56" s="297"/>
      <c r="J56" s="297"/>
      <c r="K56" s="297"/>
      <c r="L56" s="315"/>
      <c r="M56" s="297"/>
    </row>
    <row r="57" spans="1:13" x14ac:dyDescent="0.15">
      <c r="A57" s="297"/>
      <c r="B57" s="314"/>
      <c r="C57" s="297"/>
      <c r="D57" s="297"/>
      <c r="E57" s="297"/>
      <c r="F57" s="297"/>
      <c r="G57" s="297"/>
      <c r="H57" s="297"/>
      <c r="I57" s="297"/>
      <c r="J57" s="297"/>
      <c r="K57" s="297"/>
      <c r="L57" s="315"/>
      <c r="M57" s="297"/>
    </row>
    <row r="58" spans="1:13" x14ac:dyDescent="0.15">
      <c r="A58" s="297"/>
      <c r="B58" s="328" t="str">
        <f>$B$3</f>
        <v>MONNAIE LOCALE : CFA</v>
      </c>
      <c r="C58" s="416"/>
      <c r="D58" s="416"/>
      <c r="E58" s="416"/>
      <c r="F58" s="416"/>
      <c r="G58" s="416"/>
      <c r="H58" s="416"/>
      <c r="I58" s="416"/>
      <c r="J58" s="416"/>
      <c r="K58" s="416"/>
      <c r="L58" s="325" t="str">
        <f>$L$3</f>
        <v>STRICTEMENT CONFIDENTIEL | ABC CORPORATION</v>
      </c>
      <c r="M58" s="297"/>
    </row>
    <row r="59" spans="1:13" s="1" customFormat="1" ht="18" x14ac:dyDescent="0.2">
      <c r="A59" s="294"/>
      <c r="B59" s="469" t="str">
        <f>VLOOKUP("OPERATING EXPENSES",TableInputsData[],ReadMe!$M$3,FALSE)</f>
        <v>DEPENSES OPERATIONNELLES</v>
      </c>
      <c r="C59" s="241"/>
      <c r="D59" s="242"/>
      <c r="E59" s="242"/>
      <c r="F59" s="242"/>
      <c r="G59" s="242"/>
      <c r="H59" s="242"/>
      <c r="I59" s="242"/>
      <c r="J59" s="243"/>
      <c r="K59" s="243"/>
      <c r="L59" s="546" t="str">
        <f>$L$10</f>
        <v>CAS TYPIQUE SCENARIO DE SIMULATION</v>
      </c>
      <c r="M59" s="294"/>
    </row>
    <row r="60" spans="1:13" s="1" customFormat="1" ht="12.75" customHeight="1" x14ac:dyDescent="0.2">
      <c r="A60" s="294"/>
      <c r="B60" s="574" t="str">
        <f>B59&amp;" | "&amp;L59</f>
        <v>DEPENSES OPERATIONNELLES | CAS TYPIQUE SCENARIO DE SIMULATION</v>
      </c>
      <c r="C60" s="294"/>
      <c r="D60" s="312"/>
      <c r="E60" s="312"/>
      <c r="F60" s="312"/>
      <c r="G60" s="312"/>
      <c r="H60" s="312"/>
      <c r="I60" s="312"/>
      <c r="J60" s="312"/>
      <c r="K60" s="312"/>
      <c r="L60" s="317"/>
      <c r="M60" s="294"/>
    </row>
    <row r="61" spans="1:13" s="1" customFormat="1" ht="39" customHeight="1" x14ac:dyDescent="0.2">
      <c r="A61" s="294"/>
      <c r="B61" s="897"/>
      <c r="C61" s="898" t="str">
        <f>VLOOKUP(C63,TableInputsData[],ReadMe!$M$3,FALSE)</f>
        <v>COUT DE MARKETING</v>
      </c>
      <c r="D61" s="898" t="str">
        <f>VLOOKUP(D63,TableInputsData[],ReadMe!$M$3,FALSE)</f>
        <v>SALAIRES DE PERSONNEL</v>
      </c>
      <c r="E61" s="898" t="str">
        <f>VLOOKUP(E63,TableInputsData[],ReadMe!$M$3,FALSE)</f>
        <v>IMPOTS ET TAXES SUR PERSONNEL</v>
      </c>
      <c r="F61" s="898" t="str">
        <f>VLOOKUP(F63,TableInputsData[],ReadMe!$M$3,FALSE)</f>
        <v>COUTS DE L'OFFICE</v>
      </c>
      <c r="G61" s="898" t="str">
        <f>VLOOKUP(G63,TableInputsData[],ReadMe!$M$3,FALSE)</f>
        <v>AUTRES CHARGES</v>
      </c>
      <c r="H61" s="898" t="str">
        <f>VLOOKUP(H63,TableInputsData[],ReadMe!$M$3,FALSE)</f>
        <v>VOYAGE &amp; DEPLACEMENT</v>
      </c>
      <c r="I61" s="898" t="str">
        <f>VLOOKUP(I63,TableInputsData[],ReadMe!$M$3,FALSE)</f>
        <v>ASSURANCES</v>
      </c>
      <c r="J61" s="898" t="str">
        <f>VLOOKUP(J63,TableInputsData[],ReadMe!$M$3,FALSE)</f>
        <v>ENTRETIEN</v>
      </c>
      <c r="K61" s="898" t="str">
        <f>VLOOKUP(K63,TableInputsData[],ReadMe!$M$3,FALSE)</f>
        <v>TIERCES PARTIES</v>
      </c>
      <c r="L61" s="317"/>
      <c r="M61" s="294"/>
    </row>
    <row r="62" spans="1:13" s="1" customFormat="1" ht="12.75" customHeight="1" x14ac:dyDescent="0.15">
      <c r="A62" s="294"/>
      <c r="B62" s="314"/>
      <c r="C62" s="591" t="s">
        <v>46</v>
      </c>
      <c r="D62" s="592" t="s">
        <v>753</v>
      </c>
      <c r="E62" s="592" t="s">
        <v>861</v>
      </c>
      <c r="F62" s="592" t="s">
        <v>70</v>
      </c>
      <c r="G62" s="592" t="s">
        <v>862</v>
      </c>
      <c r="H62" s="592" t="s">
        <v>663</v>
      </c>
      <c r="I62" s="592" t="s">
        <v>659</v>
      </c>
      <c r="J62" s="592" t="s">
        <v>660</v>
      </c>
      <c r="K62" s="593" t="s">
        <v>661</v>
      </c>
      <c r="L62" s="317"/>
      <c r="M62" s="294"/>
    </row>
    <row r="63" spans="1:13" s="1" customFormat="1" ht="12.75" customHeight="1" x14ac:dyDescent="0.2">
      <c r="A63" s="294"/>
      <c r="B63" s="588"/>
      <c r="C63" s="585" t="s">
        <v>642</v>
      </c>
      <c r="D63" s="586" t="s">
        <v>646</v>
      </c>
      <c r="E63" s="586" t="s">
        <v>648</v>
      </c>
      <c r="F63" s="586" t="s">
        <v>650</v>
      </c>
      <c r="G63" s="586" t="s">
        <v>657</v>
      </c>
      <c r="H63" s="586" t="s">
        <v>658</v>
      </c>
      <c r="I63" s="586" t="s">
        <v>659</v>
      </c>
      <c r="J63" s="586" t="s">
        <v>660</v>
      </c>
      <c r="K63" s="587" t="s">
        <v>661</v>
      </c>
      <c r="L63" s="317"/>
      <c r="M63" s="294"/>
    </row>
    <row r="64" spans="1:13" s="1" customFormat="1" x14ac:dyDescent="0.2">
      <c r="A64" s="294"/>
      <c r="B64" s="589">
        <f>C7</f>
        <v>2023</v>
      </c>
      <c r="C64" s="397">
        <f>GETPIVOTDATA("Sum of YEAR-2",FinancePivot!$D$429,"ITEM","OPERATING EXPENSES","SUB-ITEM1",C$63,"SUB-ITEM3",C$62)</f>
        <v>0</v>
      </c>
      <c r="D64" s="400">
        <f>GETPIVOTDATA("Sum of YEAR-2",FinancePivot!$D$429,"ITEM","OPERATING EXPENSES","SUB-ITEM1",D$63,"SUB-ITEM3",D$62)</f>
        <v>0</v>
      </c>
      <c r="E64" s="400">
        <f>GETPIVOTDATA("Sum of YEAR-2",FinancePivot!$D$429,"ITEM","OPERATING EXPENSES","SUB-ITEM1",E$63,"SUB-ITEM3",E$62)</f>
        <v>0</v>
      </c>
      <c r="F64" s="400">
        <f>GETPIVOTDATA("Sum of YEAR-2",FinancePivot!$D$429,"ITEM","OPERATING EXPENSES","SUB-ITEM1",F$63,"SUB-ITEM3",F$62)</f>
        <v>0</v>
      </c>
      <c r="G64" s="400">
        <f>GETPIVOTDATA("Sum of YEAR-2",FinancePivot!$D$429,"ITEM","OPERATING EXPENSES","SUB-ITEM1",G$63,"SUB-ITEM3",G$62)</f>
        <v>0</v>
      </c>
      <c r="H64" s="400">
        <f>GETPIVOTDATA("Sum of YEAR-2",FinancePivot!$D$429,"ITEM","OPERATING EXPENSES","SUB-ITEM1",H$63,"SUB-ITEM3",H$62)</f>
        <v>0</v>
      </c>
      <c r="I64" s="400">
        <f>GETPIVOTDATA("Sum of YEAR-2",FinancePivot!$D$429,"ITEM","OPERATING EXPENSES","SUB-ITEM1",I$63,"SUB-ITEM3",I$62)</f>
        <v>0</v>
      </c>
      <c r="J64" s="400">
        <f>GETPIVOTDATA("Sum of YEAR-2",FinancePivot!$D$429,"ITEM","OPERATING EXPENSES","SUB-ITEM1",J$63,"SUB-ITEM3",J$62)</f>
        <v>0</v>
      </c>
      <c r="K64" s="403">
        <f>GETPIVOTDATA("Sum of YEAR-2",FinancePivot!$D$429,"ITEM","OPERATING EXPENSES","SUB-ITEM1",K$63,"SUB-ITEM3",K$62)</f>
        <v>0</v>
      </c>
      <c r="L64" s="317"/>
      <c r="M64" s="294"/>
    </row>
    <row r="65" spans="1:13" s="1" customFormat="1" x14ac:dyDescent="0.2">
      <c r="A65" s="294"/>
      <c r="B65" s="589">
        <f>D7</f>
        <v>2024</v>
      </c>
      <c r="C65" s="398">
        <f>GETPIVOTDATA("Sum of YEAR-1",FinancePivot!$D$429,"ITEM","OPERATING EXPENSES","SUB-ITEM1",C$63,"SUB-ITEM3",C$62)</f>
        <v>0</v>
      </c>
      <c r="D65" s="2">
        <f>GETPIVOTDATA("Sum of YEAR-1",FinancePivot!$D$429,"ITEM","OPERATING EXPENSES","SUB-ITEM1",D$63,"SUB-ITEM3",D$62)</f>
        <v>0</v>
      </c>
      <c r="E65" s="2">
        <f>GETPIVOTDATA("Sum of YEAR-1",FinancePivot!$D$429,"ITEM","OPERATING EXPENSES","SUB-ITEM1",E$63,"SUB-ITEM3",E$62)</f>
        <v>0</v>
      </c>
      <c r="F65" s="2">
        <f>GETPIVOTDATA("Sum of YEAR-1",FinancePivot!$D$429,"ITEM","OPERATING EXPENSES","SUB-ITEM1",F$63,"SUB-ITEM3",F$62)</f>
        <v>0</v>
      </c>
      <c r="G65" s="2">
        <f>GETPIVOTDATA("Sum of YEAR-1",FinancePivot!$D$429,"ITEM","OPERATING EXPENSES","SUB-ITEM1",G$63,"SUB-ITEM3",G$62)</f>
        <v>0</v>
      </c>
      <c r="H65" s="2">
        <f>GETPIVOTDATA("Sum of YEAR-1",FinancePivot!$D$429,"ITEM","OPERATING EXPENSES","SUB-ITEM1",H$63,"SUB-ITEM3",H$62)</f>
        <v>0</v>
      </c>
      <c r="I65" s="2">
        <f>GETPIVOTDATA("Sum of YEAR-1",FinancePivot!$D$429,"ITEM","OPERATING EXPENSES","SUB-ITEM1",I$63,"SUB-ITEM3",I$62)</f>
        <v>0</v>
      </c>
      <c r="J65" s="2">
        <f>GETPIVOTDATA("Sum of YEAR-1",FinancePivot!$D$429,"ITEM","OPERATING EXPENSES","SUB-ITEM1",J$63,"SUB-ITEM3",J$62)</f>
        <v>0</v>
      </c>
      <c r="K65" s="401">
        <f>GETPIVOTDATA("Sum of YEAR-1",FinancePivot!$D$429,"ITEM","OPERATING EXPENSES","SUB-ITEM1",K$63,"SUB-ITEM3",K$62)</f>
        <v>0</v>
      </c>
      <c r="L65" s="317"/>
      <c r="M65" s="294"/>
    </row>
    <row r="66" spans="1:13" s="1" customFormat="1" x14ac:dyDescent="0.2">
      <c r="A66" s="294"/>
      <c r="B66" s="589">
        <f>E7</f>
        <v>2025</v>
      </c>
      <c r="C66" s="398">
        <f>GETPIVOTDATA("Sum of CURRENT YEAR",FinancePivot!$D$429,"ITEM","OPERATING EXPENSES","SUB-ITEM1",C$63,"SUB-ITEM3",C$62)</f>
        <v>0</v>
      </c>
      <c r="D66" s="2">
        <f>GETPIVOTDATA("Sum of CURRENT YEAR",FinancePivot!$D$429,"ITEM","OPERATING EXPENSES","SUB-ITEM1",D$63,"SUB-ITEM3",D$62)</f>
        <v>0</v>
      </c>
      <c r="E66" s="2">
        <f>GETPIVOTDATA("Sum of CURRENT YEAR",FinancePivot!$D$429,"ITEM","OPERATING EXPENSES","SUB-ITEM1",E$63,"SUB-ITEM3",E$62)</f>
        <v>0</v>
      </c>
      <c r="F66" s="2">
        <f>GETPIVOTDATA("Sum of CURRENT YEAR",FinancePivot!$D$429,"ITEM","OPERATING EXPENSES","SUB-ITEM1",F$63,"SUB-ITEM3",F$62)</f>
        <v>0</v>
      </c>
      <c r="G66" s="2">
        <f>GETPIVOTDATA("Sum of CURRENT YEAR",FinancePivot!$D$429,"ITEM","OPERATING EXPENSES","SUB-ITEM1",G$63,"SUB-ITEM3",G$62)</f>
        <v>0</v>
      </c>
      <c r="H66" s="2">
        <f>GETPIVOTDATA("Sum of CURRENT YEAR",FinancePivot!$D$429,"ITEM","OPERATING EXPENSES","SUB-ITEM1",H$63,"SUB-ITEM3",H$62)</f>
        <v>0</v>
      </c>
      <c r="I66" s="2">
        <f>GETPIVOTDATA("Sum of CURRENT YEAR",FinancePivot!$D$429,"ITEM","OPERATING EXPENSES","SUB-ITEM1",I$63,"SUB-ITEM3",I$62)</f>
        <v>0</v>
      </c>
      <c r="J66" s="2">
        <f>GETPIVOTDATA("Sum of CURRENT YEAR",FinancePivot!$D$429,"ITEM","OPERATING EXPENSES","SUB-ITEM1",J$63,"SUB-ITEM3",J$62)</f>
        <v>0</v>
      </c>
      <c r="K66" s="401">
        <f>GETPIVOTDATA("Sum of CURRENT YEAR",FinancePivot!$D$429,"ITEM","OPERATING EXPENSES","SUB-ITEM1",K$63,"SUB-ITEM3",K$62)</f>
        <v>0</v>
      </c>
      <c r="L66" s="317"/>
      <c r="M66" s="294"/>
    </row>
    <row r="67" spans="1:13" s="1" customFormat="1" x14ac:dyDescent="0.15">
      <c r="A67" s="294"/>
      <c r="B67" s="589">
        <f>F7</f>
        <v>2026</v>
      </c>
      <c r="C67" s="398">
        <f>GETPIVOTDATA("Sum of YEAR2",FinancePivot!$D$429,"ITEM","OPERATING EXPENSES","SUB-ITEM1",C$63,"SUB-ITEM3",C$62)</f>
        <v>0</v>
      </c>
      <c r="D67" s="2">
        <f>GETPIVOTDATA("Sum of YEAR2",FinancePivot!$D$429,"ITEM","OPERATING EXPENSES","SUB-ITEM1",D$63,"SUB-ITEM3",D$62)</f>
        <v>0</v>
      </c>
      <c r="E67" s="2">
        <f>GETPIVOTDATA("Sum of YEAR2",FinancePivot!$D$429,"ITEM","OPERATING EXPENSES","SUB-ITEM1",E$63,"SUB-ITEM3",E$62)</f>
        <v>0</v>
      </c>
      <c r="F67" s="2">
        <f>GETPIVOTDATA("Sum of YEAR2",FinancePivot!$D$429,"ITEM","OPERATING EXPENSES","SUB-ITEM1",F$63,"SUB-ITEM3",F$62)</f>
        <v>0</v>
      </c>
      <c r="G67" s="2">
        <f>GETPIVOTDATA("Sum of YEAR2",FinancePivot!$D$429,"ITEM","OPERATING EXPENSES","SUB-ITEM1",G$63,"SUB-ITEM3",G$62)</f>
        <v>0</v>
      </c>
      <c r="H67" s="2">
        <f>GETPIVOTDATA("Sum of YEAR2",FinancePivot!$D$429,"ITEM","OPERATING EXPENSES","SUB-ITEM1",H$63,"SUB-ITEM3",H$62)</f>
        <v>0</v>
      </c>
      <c r="I67" s="2">
        <f>GETPIVOTDATA("Sum of YEAR2",FinancePivot!$D$429,"ITEM","OPERATING EXPENSES","SUB-ITEM1",I$63,"SUB-ITEM3",I$62)</f>
        <v>0</v>
      </c>
      <c r="J67" s="2">
        <f>GETPIVOTDATA("Sum of YEAR2",FinancePivot!$D$429,"ITEM","OPERATING EXPENSES","SUB-ITEM1",J$63,"SUB-ITEM3",J$62)</f>
        <v>0</v>
      </c>
      <c r="K67" s="401">
        <f>GETPIVOTDATA("Sum of YEAR2",FinancePivot!$D$429,"ITEM","OPERATING EXPENSES","SUB-ITEM1",K$63,"SUB-ITEM3",K$62)</f>
        <v>0</v>
      </c>
      <c r="L67" s="315"/>
      <c r="M67" s="294"/>
    </row>
    <row r="68" spans="1:13" s="1" customFormat="1" x14ac:dyDescent="0.15">
      <c r="A68" s="294"/>
      <c r="B68" s="589">
        <f>G7</f>
        <v>2027</v>
      </c>
      <c r="C68" s="398">
        <f>GETPIVOTDATA("Sum of YEAR3",FinancePivot!$D$429,"ITEM","OPERATING EXPENSES","SUB-ITEM1",C$63,"SUB-ITEM3",C$62)</f>
        <v>0</v>
      </c>
      <c r="D68" s="2">
        <f>GETPIVOTDATA("Sum of YEAR3",FinancePivot!$D$429,"ITEM","OPERATING EXPENSES","SUB-ITEM1",D$63,"SUB-ITEM3",D$62)</f>
        <v>0</v>
      </c>
      <c r="E68" s="2">
        <f>GETPIVOTDATA("Sum of YEAR3",FinancePivot!$D$429,"ITEM","OPERATING EXPENSES","SUB-ITEM1",E$63,"SUB-ITEM3",E$62)</f>
        <v>0</v>
      </c>
      <c r="F68" s="2">
        <f>GETPIVOTDATA("Sum of YEAR3",FinancePivot!$D$429,"ITEM","OPERATING EXPENSES","SUB-ITEM1",F$63,"SUB-ITEM3",F$62)</f>
        <v>0</v>
      </c>
      <c r="G68" s="2">
        <f>GETPIVOTDATA("Sum of YEAR3",FinancePivot!$D$429,"ITEM","OPERATING EXPENSES","SUB-ITEM1",G$63,"SUB-ITEM3",G$62)</f>
        <v>0</v>
      </c>
      <c r="H68" s="2">
        <f>GETPIVOTDATA("Sum of YEAR3",FinancePivot!$D$429,"ITEM","OPERATING EXPENSES","SUB-ITEM1",H$63,"SUB-ITEM3",H$62)</f>
        <v>0</v>
      </c>
      <c r="I68" s="2">
        <f>GETPIVOTDATA("Sum of YEAR3",FinancePivot!$D$429,"ITEM","OPERATING EXPENSES","SUB-ITEM1",I$63,"SUB-ITEM3",I$62)</f>
        <v>0</v>
      </c>
      <c r="J68" s="2">
        <f>GETPIVOTDATA("Sum of YEAR3",FinancePivot!$D$429,"ITEM","OPERATING EXPENSES","SUB-ITEM1",J$63,"SUB-ITEM3",J$62)</f>
        <v>0</v>
      </c>
      <c r="K68" s="401">
        <f>GETPIVOTDATA("Sum of YEAR3",FinancePivot!$D$429,"ITEM","OPERATING EXPENSES","SUB-ITEM1",K$63,"SUB-ITEM3",K$62)</f>
        <v>0</v>
      </c>
      <c r="L68" s="315"/>
      <c r="M68" s="294"/>
    </row>
    <row r="69" spans="1:13" s="1" customFormat="1" x14ac:dyDescent="0.15">
      <c r="A69" s="294"/>
      <c r="B69" s="589">
        <f>H7</f>
        <v>2028</v>
      </c>
      <c r="C69" s="398">
        <f>GETPIVOTDATA("Sum of YEAR4",FinancePivot!$D$429,"ITEM","OPERATING EXPENSES","SUB-ITEM1",C$63,"SUB-ITEM3",C$62)</f>
        <v>0</v>
      </c>
      <c r="D69" s="2">
        <f>GETPIVOTDATA("Sum of YEAR4",FinancePivot!$D$429,"ITEM","OPERATING EXPENSES","SUB-ITEM1",D$63,"SUB-ITEM3",D$62)</f>
        <v>0</v>
      </c>
      <c r="E69" s="2">
        <f>GETPIVOTDATA("Sum of YEAR4",FinancePivot!$D$429,"ITEM","OPERATING EXPENSES","SUB-ITEM1",E$63,"SUB-ITEM3",E$62)</f>
        <v>0</v>
      </c>
      <c r="F69" s="2">
        <f>GETPIVOTDATA("Sum of YEAR4",FinancePivot!$D$429,"ITEM","OPERATING EXPENSES","SUB-ITEM1",F$63,"SUB-ITEM3",F$62)</f>
        <v>0</v>
      </c>
      <c r="G69" s="2">
        <f>GETPIVOTDATA("Sum of YEAR4",FinancePivot!$D$429,"ITEM","OPERATING EXPENSES","SUB-ITEM1",G$63,"SUB-ITEM3",G$62)</f>
        <v>0</v>
      </c>
      <c r="H69" s="2">
        <f>GETPIVOTDATA("Sum of YEAR4",FinancePivot!$D$429,"ITEM","OPERATING EXPENSES","SUB-ITEM1",H$63,"SUB-ITEM3",H$62)</f>
        <v>0</v>
      </c>
      <c r="I69" s="2">
        <f>GETPIVOTDATA("Sum of YEAR4",FinancePivot!$D$429,"ITEM","OPERATING EXPENSES","SUB-ITEM1",I$63,"SUB-ITEM3",I$62)</f>
        <v>0</v>
      </c>
      <c r="J69" s="2">
        <f>GETPIVOTDATA("Sum of YEAR4",FinancePivot!$D$429,"ITEM","OPERATING EXPENSES","SUB-ITEM1",J$63,"SUB-ITEM3",J$62)</f>
        <v>0</v>
      </c>
      <c r="K69" s="401">
        <f>GETPIVOTDATA("Sum of YEAR4",FinancePivot!$D$429,"ITEM","OPERATING EXPENSES","SUB-ITEM1",K$63,"SUB-ITEM3",K$62)</f>
        <v>0</v>
      </c>
      <c r="L69" s="315"/>
      <c r="M69" s="294"/>
    </row>
    <row r="70" spans="1:13" s="1" customFormat="1" x14ac:dyDescent="0.15">
      <c r="A70" s="294"/>
      <c r="B70" s="589">
        <f>I7</f>
        <v>2029</v>
      </c>
      <c r="C70" s="398">
        <f>GETPIVOTDATA("Sum of YEAR5",FinancePivot!$D$429,"ITEM","OPERATING EXPENSES","SUB-ITEM1",C$63,"SUB-ITEM3",C$62)</f>
        <v>0</v>
      </c>
      <c r="D70" s="2">
        <f>GETPIVOTDATA("Sum of YEAR5",FinancePivot!$D$429,"ITEM","OPERATING EXPENSES","SUB-ITEM1",D$63,"SUB-ITEM3",D$62)</f>
        <v>0</v>
      </c>
      <c r="E70" s="2">
        <f>GETPIVOTDATA("Sum of YEAR5",FinancePivot!$D$429,"ITEM","OPERATING EXPENSES","SUB-ITEM1",E$63,"SUB-ITEM3",E$62)</f>
        <v>0</v>
      </c>
      <c r="F70" s="2">
        <f>GETPIVOTDATA("Sum of YEAR5",FinancePivot!$D$429,"ITEM","OPERATING EXPENSES","SUB-ITEM1",F$63,"SUB-ITEM3",F$62)</f>
        <v>0</v>
      </c>
      <c r="G70" s="2">
        <f>GETPIVOTDATA("Sum of YEAR5",FinancePivot!$D$429,"ITEM","OPERATING EXPENSES","SUB-ITEM1",G$63,"SUB-ITEM3",G$62)</f>
        <v>0</v>
      </c>
      <c r="H70" s="2">
        <f>GETPIVOTDATA("Sum of YEAR5",FinancePivot!$D$429,"ITEM","OPERATING EXPENSES","SUB-ITEM1",H$63,"SUB-ITEM3",H$62)</f>
        <v>0</v>
      </c>
      <c r="I70" s="2">
        <f>GETPIVOTDATA("Sum of YEAR5",FinancePivot!$D$429,"ITEM","OPERATING EXPENSES","SUB-ITEM1",I$63,"SUB-ITEM3",I$62)</f>
        <v>0</v>
      </c>
      <c r="J70" s="2">
        <f>GETPIVOTDATA("Sum of YEAR5",FinancePivot!$D$429,"ITEM","OPERATING EXPENSES","SUB-ITEM1",J$63,"SUB-ITEM3",J$62)</f>
        <v>0</v>
      </c>
      <c r="K70" s="401">
        <f>GETPIVOTDATA("Sum of YEAR5",FinancePivot!$D$429,"ITEM","OPERATING EXPENSES","SUB-ITEM1",K$63,"SUB-ITEM3",K$62)</f>
        <v>0</v>
      </c>
      <c r="L70" s="315"/>
      <c r="M70" s="294"/>
    </row>
    <row r="71" spans="1:13" s="1" customFormat="1" x14ac:dyDescent="0.15">
      <c r="A71" s="294"/>
      <c r="B71" s="590">
        <f>J7</f>
        <v>2030</v>
      </c>
      <c r="C71" s="399">
        <f>GETPIVOTDATA("Sum of YEAR6",FinancePivot!$D$429,"ITEM","OPERATING EXPENSES","SUB-ITEM1",C$63,"SUB-ITEM3",C$62)</f>
        <v>0</v>
      </c>
      <c r="D71" s="396">
        <f>GETPIVOTDATA("Sum of YEAR6",FinancePivot!$D$429,"ITEM","OPERATING EXPENSES","SUB-ITEM1",D$63,"SUB-ITEM3",D$62)</f>
        <v>0</v>
      </c>
      <c r="E71" s="396">
        <f>GETPIVOTDATA("Sum of YEAR6",FinancePivot!$D$429,"ITEM","OPERATING EXPENSES","SUB-ITEM1",E$63,"SUB-ITEM3",E$62)</f>
        <v>0</v>
      </c>
      <c r="F71" s="396">
        <f>GETPIVOTDATA("Sum of YEAR6",FinancePivot!$D$429,"ITEM","OPERATING EXPENSES","SUB-ITEM1",F$63,"SUB-ITEM3",F$62)</f>
        <v>0</v>
      </c>
      <c r="G71" s="396">
        <f>GETPIVOTDATA("Sum of YEAR6",FinancePivot!$D$429,"ITEM","OPERATING EXPENSES","SUB-ITEM1",G$63,"SUB-ITEM3",G$62)</f>
        <v>0</v>
      </c>
      <c r="H71" s="396">
        <f>GETPIVOTDATA("Sum of YEAR6",FinancePivot!$D$429,"ITEM","OPERATING EXPENSES","SUB-ITEM1",H$63,"SUB-ITEM3",H$62)</f>
        <v>0</v>
      </c>
      <c r="I71" s="396">
        <f>GETPIVOTDATA("Sum of YEAR6",FinancePivot!$D$429,"ITEM","OPERATING EXPENSES","SUB-ITEM1",I$63,"SUB-ITEM3",I$62)</f>
        <v>0</v>
      </c>
      <c r="J71" s="396">
        <f>GETPIVOTDATA("Sum of YEAR6",FinancePivot!$D$429,"ITEM","OPERATING EXPENSES","SUB-ITEM1",J$63,"SUB-ITEM3",J$62)</f>
        <v>0</v>
      </c>
      <c r="K71" s="402">
        <f>GETPIVOTDATA("Sum of YEAR6",FinancePivot!$D$429,"ITEM","OPERATING EXPENSES","SUB-ITEM1",K$63,"SUB-ITEM3",K$62)</f>
        <v>0</v>
      </c>
      <c r="L71" s="315"/>
      <c r="M71" s="294"/>
    </row>
    <row r="72" spans="1:13" s="1" customFormat="1" x14ac:dyDescent="0.15">
      <c r="A72" s="294"/>
      <c r="B72" s="314"/>
      <c r="C72" s="297"/>
      <c r="D72" s="297"/>
      <c r="E72" s="297"/>
      <c r="F72" s="297"/>
      <c r="G72" s="297"/>
      <c r="H72" s="297"/>
      <c r="I72" s="297"/>
      <c r="J72" s="297"/>
      <c r="K72" s="297"/>
      <c r="L72" s="315"/>
      <c r="M72" s="294"/>
    </row>
    <row r="73" spans="1:13" s="1" customFormat="1" x14ac:dyDescent="0.15">
      <c r="A73" s="294"/>
      <c r="B73" s="314"/>
      <c r="C73" s="297"/>
      <c r="D73" s="297"/>
      <c r="E73" s="297"/>
      <c r="F73" s="297"/>
      <c r="G73" s="297"/>
      <c r="H73" s="297"/>
      <c r="I73" s="297"/>
      <c r="J73" s="297"/>
      <c r="K73" s="297"/>
      <c r="L73" s="315"/>
      <c r="M73" s="294"/>
    </row>
    <row r="74" spans="1:13" s="1" customFormat="1" x14ac:dyDescent="0.15">
      <c r="A74" s="294"/>
      <c r="B74" s="314"/>
      <c r="C74" s="297"/>
      <c r="D74" s="297"/>
      <c r="E74" s="297"/>
      <c r="F74" s="297"/>
      <c r="G74" s="297"/>
      <c r="H74" s="297"/>
      <c r="I74" s="297"/>
      <c r="J74" s="297"/>
      <c r="K74" s="297"/>
      <c r="L74" s="315"/>
      <c r="M74" s="294"/>
    </row>
    <row r="75" spans="1:13" s="1" customFormat="1" x14ac:dyDescent="0.15">
      <c r="A75" s="294"/>
      <c r="B75" s="314"/>
      <c r="C75" s="297"/>
      <c r="D75" s="297"/>
      <c r="E75" s="297"/>
      <c r="F75" s="297"/>
      <c r="G75" s="297"/>
      <c r="H75" s="297"/>
      <c r="I75" s="297"/>
      <c r="J75" s="297"/>
      <c r="K75" s="297"/>
      <c r="L75" s="315"/>
      <c r="M75" s="294"/>
    </row>
    <row r="76" spans="1:13" x14ac:dyDescent="0.15">
      <c r="A76" s="297"/>
      <c r="B76" s="314"/>
      <c r="C76" s="297"/>
      <c r="D76" s="297"/>
      <c r="E76" s="297"/>
      <c r="F76" s="297"/>
      <c r="G76" s="297"/>
      <c r="H76" s="297"/>
      <c r="I76" s="297"/>
      <c r="J76" s="297"/>
      <c r="K76" s="297"/>
      <c r="L76" s="315"/>
      <c r="M76" s="297"/>
    </row>
    <row r="77" spans="1:13" x14ac:dyDescent="0.15">
      <c r="A77" s="297"/>
      <c r="B77" s="314"/>
      <c r="C77" s="297"/>
      <c r="D77" s="297"/>
      <c r="E77" s="297"/>
      <c r="F77" s="297"/>
      <c r="G77" s="297"/>
      <c r="H77" s="297"/>
      <c r="I77" s="297"/>
      <c r="J77" s="297"/>
      <c r="K77" s="297"/>
      <c r="L77" s="315"/>
      <c r="M77" s="297"/>
    </row>
    <row r="78" spans="1:13" x14ac:dyDescent="0.15">
      <c r="A78" s="297"/>
      <c r="B78" s="314"/>
      <c r="C78" s="297"/>
      <c r="D78" s="297"/>
      <c r="E78" s="297"/>
      <c r="F78" s="297"/>
      <c r="G78" s="297"/>
      <c r="H78" s="297"/>
      <c r="I78" s="297"/>
      <c r="J78" s="297"/>
      <c r="K78" s="297"/>
      <c r="L78" s="315"/>
      <c r="M78" s="297"/>
    </row>
    <row r="79" spans="1:13" x14ac:dyDescent="0.15">
      <c r="A79" s="297"/>
      <c r="B79" s="314"/>
      <c r="C79" s="297"/>
      <c r="D79" s="297"/>
      <c r="E79" s="297"/>
      <c r="F79" s="297"/>
      <c r="G79" s="297"/>
      <c r="H79" s="297"/>
      <c r="I79" s="297"/>
      <c r="J79" s="297"/>
      <c r="K79" s="297"/>
      <c r="L79" s="315"/>
      <c r="M79" s="297"/>
    </row>
    <row r="80" spans="1:13" x14ac:dyDescent="0.15">
      <c r="A80" s="297"/>
      <c r="B80" s="314"/>
      <c r="C80" s="297"/>
      <c r="D80" s="297"/>
      <c r="E80" s="297"/>
      <c r="F80" s="297"/>
      <c r="G80" s="297"/>
      <c r="H80" s="297"/>
      <c r="I80" s="297"/>
      <c r="J80" s="297"/>
      <c r="K80" s="297"/>
      <c r="L80" s="315"/>
      <c r="M80" s="297"/>
    </row>
    <row r="81" spans="1:13" x14ac:dyDescent="0.15">
      <c r="A81" s="297"/>
      <c r="B81" s="314"/>
      <c r="C81" s="297"/>
      <c r="D81" s="297"/>
      <c r="E81" s="297"/>
      <c r="F81" s="297"/>
      <c r="G81" s="297"/>
      <c r="H81" s="297"/>
      <c r="I81" s="297"/>
      <c r="J81" s="297"/>
      <c r="K81" s="297"/>
      <c r="L81" s="315"/>
      <c r="M81" s="297"/>
    </row>
    <row r="82" spans="1:13" x14ac:dyDescent="0.15">
      <c r="A82" s="297"/>
      <c r="B82" s="314"/>
      <c r="C82" s="297"/>
      <c r="D82" s="297"/>
      <c r="E82" s="297"/>
      <c r="F82" s="297"/>
      <c r="G82" s="297"/>
      <c r="H82" s="297"/>
      <c r="I82" s="297"/>
      <c r="J82" s="297"/>
      <c r="K82" s="297"/>
      <c r="L82" s="315"/>
      <c r="M82" s="297"/>
    </row>
    <row r="83" spans="1:13" x14ac:dyDescent="0.15">
      <c r="A83" s="297"/>
      <c r="B83" s="314"/>
      <c r="C83" s="297"/>
      <c r="D83" s="297"/>
      <c r="E83" s="297"/>
      <c r="F83" s="297"/>
      <c r="G83" s="297"/>
      <c r="H83" s="297"/>
      <c r="I83" s="297"/>
      <c r="J83" s="297"/>
      <c r="K83" s="297"/>
      <c r="L83" s="315"/>
      <c r="M83" s="297"/>
    </row>
    <row r="84" spans="1:13" x14ac:dyDescent="0.15">
      <c r="A84" s="297"/>
      <c r="B84" s="314"/>
      <c r="C84" s="297"/>
      <c r="D84" s="297"/>
      <c r="E84" s="297"/>
      <c r="F84" s="297"/>
      <c r="G84" s="297"/>
      <c r="H84" s="297"/>
      <c r="I84" s="297"/>
      <c r="J84" s="297"/>
      <c r="K84" s="297"/>
      <c r="L84" s="315"/>
      <c r="M84" s="297"/>
    </row>
    <row r="85" spans="1:13" x14ac:dyDescent="0.15">
      <c r="A85" s="297"/>
      <c r="B85" s="314"/>
      <c r="C85" s="297"/>
      <c r="D85" s="297"/>
      <c r="E85" s="297"/>
      <c r="F85" s="297"/>
      <c r="G85" s="297"/>
      <c r="H85" s="297"/>
      <c r="I85" s="297"/>
      <c r="J85" s="297"/>
      <c r="K85" s="297"/>
      <c r="L85" s="315"/>
      <c r="M85" s="297"/>
    </row>
    <row r="86" spans="1:13" x14ac:dyDescent="0.15">
      <c r="A86" s="297"/>
      <c r="B86" s="314"/>
      <c r="C86" s="297"/>
      <c r="D86" s="297"/>
      <c r="E86" s="297"/>
      <c r="F86" s="297"/>
      <c r="G86" s="297"/>
      <c r="H86" s="297"/>
      <c r="I86" s="297"/>
      <c r="J86" s="297"/>
      <c r="K86" s="297"/>
      <c r="L86" s="315"/>
      <c r="M86" s="297"/>
    </row>
    <row r="87" spans="1:13" x14ac:dyDescent="0.15">
      <c r="A87" s="297"/>
      <c r="B87" s="314"/>
      <c r="C87" s="297"/>
      <c r="D87" s="297"/>
      <c r="E87" s="297"/>
      <c r="F87" s="297"/>
      <c r="G87" s="297"/>
      <c r="H87" s="297"/>
      <c r="I87" s="297"/>
      <c r="J87" s="297"/>
      <c r="K87" s="297"/>
      <c r="L87" s="315"/>
      <c r="M87" s="297"/>
    </row>
    <row r="88" spans="1:13" x14ac:dyDescent="0.15">
      <c r="A88" s="297"/>
      <c r="B88" s="314"/>
      <c r="C88" s="297"/>
      <c r="D88" s="297"/>
      <c r="E88" s="297"/>
      <c r="F88" s="297"/>
      <c r="G88" s="297"/>
      <c r="H88" s="297"/>
      <c r="I88" s="297"/>
      <c r="J88" s="297"/>
      <c r="K88" s="297"/>
      <c r="L88" s="315"/>
      <c r="M88" s="297"/>
    </row>
    <row r="89" spans="1:13" x14ac:dyDescent="0.15">
      <c r="A89" s="297"/>
      <c r="B89" s="314"/>
      <c r="C89" s="297"/>
      <c r="D89" s="297"/>
      <c r="E89" s="297"/>
      <c r="F89" s="297"/>
      <c r="G89" s="297"/>
      <c r="H89" s="297"/>
      <c r="I89" s="297"/>
      <c r="J89" s="297"/>
      <c r="K89" s="297"/>
      <c r="L89" s="315"/>
      <c r="M89" s="297"/>
    </row>
    <row r="90" spans="1:13" x14ac:dyDescent="0.15">
      <c r="A90" s="297"/>
      <c r="B90" s="314"/>
      <c r="C90" s="297"/>
      <c r="D90" s="297"/>
      <c r="E90" s="297"/>
      <c r="F90" s="297"/>
      <c r="G90" s="297"/>
      <c r="H90" s="297"/>
      <c r="I90" s="297"/>
      <c r="J90" s="297"/>
      <c r="K90" s="297"/>
      <c r="L90" s="315"/>
      <c r="M90" s="297"/>
    </row>
    <row r="91" spans="1:13" ht="25" customHeight="1" x14ac:dyDescent="0.15">
      <c r="A91" s="297"/>
      <c r="B91" s="973" t="s">
        <v>204</v>
      </c>
      <c r="C91" s="222" t="str">
        <f>C$4</f>
        <v>ANNEE-2</v>
      </c>
      <c r="D91" s="222" t="str">
        <f t="shared" ref="D91:J91" si="16">D$4</f>
        <v>ANNEE-1</v>
      </c>
      <c r="E91" s="222" t="str">
        <f t="shared" si="16"/>
        <v>ANNEE EN COURS</v>
      </c>
      <c r="F91" s="222" t="str">
        <f t="shared" si="16"/>
        <v>ANNEE2</v>
      </c>
      <c r="G91" s="222" t="str">
        <f t="shared" si="16"/>
        <v>ANNEE3</v>
      </c>
      <c r="H91" s="222" t="str">
        <f t="shared" si="16"/>
        <v>ANNEE4</v>
      </c>
      <c r="I91" s="222" t="str">
        <f t="shared" si="16"/>
        <v>ANNEE5</v>
      </c>
      <c r="J91" s="222" t="str">
        <f t="shared" si="16"/>
        <v>ANNEE6</v>
      </c>
      <c r="K91" s="975" t="str">
        <f>$L$10</f>
        <v>CAS TYPIQUE SCENARIO DE SIMULATION</v>
      </c>
      <c r="L91" s="976"/>
      <c r="M91" s="297"/>
    </row>
    <row r="92" spans="1:13" x14ac:dyDescent="0.15">
      <c r="A92" s="297"/>
      <c r="B92" s="974"/>
      <c r="C92" s="244">
        <f>C$7</f>
        <v>2023</v>
      </c>
      <c r="D92" s="244">
        <f t="shared" ref="D92:J92" si="17">D$7</f>
        <v>2024</v>
      </c>
      <c r="E92" s="244">
        <f t="shared" si="17"/>
        <v>2025</v>
      </c>
      <c r="F92" s="244">
        <f t="shared" si="17"/>
        <v>2026</v>
      </c>
      <c r="G92" s="244">
        <f t="shared" si="17"/>
        <v>2027</v>
      </c>
      <c r="H92" s="244">
        <f t="shared" si="17"/>
        <v>2028</v>
      </c>
      <c r="I92" s="244">
        <f t="shared" si="17"/>
        <v>2029</v>
      </c>
      <c r="J92" s="244">
        <f t="shared" si="17"/>
        <v>2030</v>
      </c>
      <c r="K92" s="977"/>
      <c r="L92" s="978"/>
      <c r="M92" s="297"/>
    </row>
    <row r="93" spans="1:13" x14ac:dyDescent="0.15">
      <c r="A93" s="297"/>
      <c r="B93" s="320"/>
      <c r="C93" s="321"/>
      <c r="D93" s="321"/>
      <c r="E93" s="321"/>
      <c r="F93" s="321"/>
      <c r="G93" s="321"/>
      <c r="H93" s="321"/>
      <c r="I93" s="321"/>
      <c r="J93" s="321"/>
      <c r="K93" s="297"/>
      <c r="L93" s="315"/>
      <c r="M93" s="297"/>
    </row>
    <row r="94" spans="1:13" x14ac:dyDescent="0.15">
      <c r="A94" s="462" t="s">
        <v>642</v>
      </c>
      <c r="B94" s="463" t="str">
        <f>VLOOKUP($A94,TableInputsData[],ReadMe!$M$3,FALSE)</f>
        <v>COUT DE MARKETING</v>
      </c>
      <c r="C94" s="838">
        <f>IF(SUM($C$64:$K$64)=0,0,$C$64/SUM($C$64:$K$64))</f>
        <v>0</v>
      </c>
      <c r="D94" s="838">
        <f>IF(SUM($C$65:$K$65)=0,0,$C$65/SUM($C$65:$K$65))</f>
        <v>0</v>
      </c>
      <c r="E94" s="838">
        <f>IF(SUM($C$66:$K$66)=0,0,$C$66/SUM($C$66:$K$66))</f>
        <v>0</v>
      </c>
      <c r="F94" s="838">
        <f>IF(SUM($C$67:$K$67)=0,0,$C$67/SUM($C$67:$K$67))</f>
        <v>0</v>
      </c>
      <c r="G94" s="838">
        <f>IF(SUM($C$68:$K$68)=0,0,$C$68/SUM($C$68:$K$68))</f>
        <v>0</v>
      </c>
      <c r="H94" s="838">
        <f>IF(SUM($C$69:$K$69)=0,0,$C$69/SUM($C$69:$K$69))</f>
        <v>0</v>
      </c>
      <c r="I94" s="838">
        <f>IF(SUM($C$70:$K$70)=0,0,$C$70/SUM($C$70:$K$70))</f>
        <v>0</v>
      </c>
      <c r="J94" s="839">
        <f>IF(SUM($C$71:$K$71)=0,0,$C$71/SUM($C$71:$K$71))</f>
        <v>0</v>
      </c>
      <c r="K94" s="297"/>
      <c r="L94" s="315"/>
      <c r="M94" s="297"/>
    </row>
    <row r="95" spans="1:13" x14ac:dyDescent="0.15">
      <c r="A95" s="462" t="s">
        <v>646</v>
      </c>
      <c r="B95" s="464" t="str">
        <f>VLOOKUP($A95,TableInputsData[],ReadMe!$M$3,FALSE)</f>
        <v>SALAIRES DE PERSONNEL</v>
      </c>
      <c r="C95" s="840">
        <f>IF(SUM($C$64:$K$64)=0,0,$D$64/SUM($C$64:$K$64))</f>
        <v>0</v>
      </c>
      <c r="D95" s="840">
        <f>IF(SUM($C$65:$K$65)=0,0,$D$65/SUM($C$65:$K$65))</f>
        <v>0</v>
      </c>
      <c r="E95" s="840">
        <f>IF(SUM($C$66:$K$66)=0,0,$D$66/SUM($C$66:$K$66))</f>
        <v>0</v>
      </c>
      <c r="F95" s="840">
        <f>IF(SUM($C$67:$K$67)=0,0,$D$67/SUM($C$67:$K$67))</f>
        <v>0</v>
      </c>
      <c r="G95" s="840">
        <f>IF(SUM($C$68:$K$68)=0,0,$D$68/SUM($C$68:$K$68))</f>
        <v>0</v>
      </c>
      <c r="H95" s="840">
        <f>IF(SUM($C$69:$K$69)=0,0,$D$69/SUM($C$69:$K$69))</f>
        <v>0</v>
      </c>
      <c r="I95" s="840">
        <f>IF(SUM($C$70:$K$70)=0,0,$D$70/SUM($C$70:$K$70))</f>
        <v>0</v>
      </c>
      <c r="J95" s="841">
        <f>IF(SUM($C$71:$K$71)=0,0,$D$71/SUM($C$71:$K$71))</f>
        <v>0</v>
      </c>
      <c r="K95" s="297"/>
      <c r="L95" s="315"/>
      <c r="M95" s="297"/>
    </row>
    <row r="96" spans="1:13" x14ac:dyDescent="0.15">
      <c r="A96" s="462" t="s">
        <v>648</v>
      </c>
      <c r="B96" s="464" t="str">
        <f>VLOOKUP($A96,TableInputsData[],ReadMe!$M$3,FALSE)</f>
        <v>IMPOTS ET TAXES SUR PERSONNEL</v>
      </c>
      <c r="C96" s="840">
        <f>IF(SUM($C$64:$K$64)=0,0,$E$64/SUM($C$64:$K$64))</f>
        <v>0</v>
      </c>
      <c r="D96" s="840">
        <f>IF(SUM($C$65:$K$65)=0,0,$E$65/SUM($C$65:$K$65))</f>
        <v>0</v>
      </c>
      <c r="E96" s="840">
        <f>IF(SUM($C$66:$K$66)=0,0,$E$66/SUM($C$66:$K$66))</f>
        <v>0</v>
      </c>
      <c r="F96" s="840">
        <f>IF(SUM($C$67:$K$67)=0,0,$E$67/SUM($C$67:$K$67))</f>
        <v>0</v>
      </c>
      <c r="G96" s="840">
        <f>IF(SUM($C$68:$K$68)=0,0,$E$68/SUM($C$68:$K$68))</f>
        <v>0</v>
      </c>
      <c r="H96" s="840">
        <f>IF(SUM($C$69:$K$69)=0,0,$E$69/SUM($C$69:$K$69))</f>
        <v>0</v>
      </c>
      <c r="I96" s="840">
        <f>IF(SUM($C$70:$K$70)=0,0,$E$70/SUM($C$70:$K$70))</f>
        <v>0</v>
      </c>
      <c r="J96" s="841">
        <f>IF(SUM($C$71:$K$71)=0,0,$E$71/SUM($C$71:$K$71))</f>
        <v>0</v>
      </c>
      <c r="K96" s="297"/>
      <c r="L96" s="315"/>
      <c r="M96" s="297"/>
    </row>
    <row r="97" spans="1:13" x14ac:dyDescent="0.15">
      <c r="A97" s="462" t="s">
        <v>650</v>
      </c>
      <c r="B97" s="464" t="str">
        <f>VLOOKUP($A97,TableInputsData[],ReadMe!$M$3,FALSE)</f>
        <v>COUTS DE L'OFFICE</v>
      </c>
      <c r="C97" s="840">
        <f>IF(SUM($C$64:$K$64)=0,0,$F$64/SUM($C$64:$K$64))</f>
        <v>0</v>
      </c>
      <c r="D97" s="840">
        <f>IF(SUM($C$65:$K$65)=0,0,$F$65/SUM($C$65:$K$65))</f>
        <v>0</v>
      </c>
      <c r="E97" s="840">
        <f>IF(SUM($C$66:$K$66)=0,0,$F$66/SUM($C$66:$K$66))</f>
        <v>0</v>
      </c>
      <c r="F97" s="840">
        <f>IF(SUM($C$67:$K$67)=0,0,$F$67/SUM($C$67:$K$67))</f>
        <v>0</v>
      </c>
      <c r="G97" s="840">
        <f>IF(SUM($C$68:$K$68)=0,0,$F$68/SUM($C$68:$K$68))</f>
        <v>0</v>
      </c>
      <c r="H97" s="840">
        <f>IF(SUM($C$69:$K$69)=0,0,$F$69/SUM($C$69:$K$69))</f>
        <v>0</v>
      </c>
      <c r="I97" s="840">
        <f>IF(SUM($C$70:$K$70)=0,0,$F$70/SUM($C$70:$K$70))</f>
        <v>0</v>
      </c>
      <c r="J97" s="841">
        <f>IF(SUM($C$71:$K$71)=0,0,$F$71/SUM($C$71:$K$71))</f>
        <v>0</v>
      </c>
      <c r="K97" s="297"/>
      <c r="L97" s="315"/>
      <c r="M97" s="297"/>
    </row>
    <row r="98" spans="1:13" x14ac:dyDescent="0.15">
      <c r="A98" s="462" t="s">
        <v>657</v>
      </c>
      <c r="B98" s="464" t="str">
        <f>VLOOKUP($A98,TableInputsData[],ReadMe!$M$3,FALSE)</f>
        <v>AUTRES CHARGES</v>
      </c>
      <c r="C98" s="840">
        <f>IF(SUM($C$64:$K$64)=0,0,$G$64/SUM($C$64:$K$64))</f>
        <v>0</v>
      </c>
      <c r="D98" s="840">
        <f>IF(SUM($C$65:$K$65)=0,0,$G$65/SUM($C$65:$K$65))</f>
        <v>0</v>
      </c>
      <c r="E98" s="840">
        <f>IF(SUM($C$66:$K$66)=0,0,$G$66/SUM($C$66:$K$66))</f>
        <v>0</v>
      </c>
      <c r="F98" s="840">
        <f>IF(SUM($C$67:$K$67)=0,0,$G$67/SUM($C$67:$K$67))</f>
        <v>0</v>
      </c>
      <c r="G98" s="840">
        <f>IF(SUM($C$68:$K$68)=0,0,$G$68/SUM($C$68:$K$68))</f>
        <v>0</v>
      </c>
      <c r="H98" s="840">
        <f>IF(SUM($C$69:$K$69)=0,0,$G$69/SUM($C$69:$K$69))</f>
        <v>0</v>
      </c>
      <c r="I98" s="840">
        <f>IF(SUM($C$70:$K$70)=0,0,$G$70/SUM($C$70:$K$70))</f>
        <v>0</v>
      </c>
      <c r="J98" s="841">
        <f>IF(SUM($C$71:$K$71)=0,0,$G$71/SUM($C$71:$K$71))</f>
        <v>0</v>
      </c>
      <c r="K98" s="297"/>
      <c r="L98" s="315"/>
      <c r="M98" s="297"/>
    </row>
    <row r="99" spans="1:13" x14ac:dyDescent="0.15">
      <c r="A99" s="462" t="s">
        <v>658</v>
      </c>
      <c r="B99" s="464" t="str">
        <f>VLOOKUP($A99,TableInputsData[],ReadMe!$M$3,FALSE)</f>
        <v>VOYAGE &amp; DEPLACEMENT</v>
      </c>
      <c r="C99" s="840">
        <f>IF(SUM($C$64:$K$64)=0,0,$H$64/SUM($C$64:$K$64))</f>
        <v>0</v>
      </c>
      <c r="D99" s="840">
        <f>IF(SUM($C$65:$K$65)=0,0,$H$65/SUM($C$65:$K$65))</f>
        <v>0</v>
      </c>
      <c r="E99" s="840">
        <f>IF(SUM($C$66:$K$66)=0,0,$H$66/SUM($C$66:$K$66))</f>
        <v>0</v>
      </c>
      <c r="F99" s="840">
        <f>IF(SUM($C$67:$K$67)=0,0,$H$67/SUM($C$67:$K$67))</f>
        <v>0</v>
      </c>
      <c r="G99" s="840">
        <f>IF(SUM($C$68:$K$68)=0,0,$H$68/SUM($C$68:$K$68))</f>
        <v>0</v>
      </c>
      <c r="H99" s="840">
        <f>IF(SUM($C$69:$K$69)=0,0,$H$69/SUM($C$69:$K$69))</f>
        <v>0</v>
      </c>
      <c r="I99" s="840">
        <f>IF(SUM($C$70:$K$70)=0,0,$H$70/SUM($C$70:$K$70))</f>
        <v>0</v>
      </c>
      <c r="J99" s="841">
        <f>IF(SUM($C$71:$K$71)=0,0,$H$71/SUM($C$71:$K$71))</f>
        <v>0</v>
      </c>
      <c r="K99" s="297"/>
      <c r="L99" s="315"/>
      <c r="M99" s="297"/>
    </row>
    <row r="100" spans="1:13" x14ac:dyDescent="0.15">
      <c r="A100" s="462" t="s">
        <v>659</v>
      </c>
      <c r="B100" s="464" t="str">
        <f>VLOOKUP($A100,TableInputsData[],ReadMe!$M$3,FALSE)</f>
        <v>ASSURANCES</v>
      </c>
      <c r="C100" s="840">
        <f>IF(SUM($C$64:$K$64)=0,0,$I$64/SUM($C$64:$K$64))</f>
        <v>0</v>
      </c>
      <c r="D100" s="840">
        <f>IF(SUM($C$65:$K$65)=0,0,$I$65/SUM($C$65:$K$65))</f>
        <v>0</v>
      </c>
      <c r="E100" s="840">
        <f>IF(SUM($C$66:$K$66)=0,0,$I$66/SUM($C$66:$K$66))</f>
        <v>0</v>
      </c>
      <c r="F100" s="840">
        <f>IF(SUM($C$67:$K$67)=0,0,$I$67/SUM($C$67:$K$67))</f>
        <v>0</v>
      </c>
      <c r="G100" s="840">
        <f>IF(SUM($C$68:$K$68)=0,0,$I$68/SUM($C$68:$K$68))</f>
        <v>0</v>
      </c>
      <c r="H100" s="840">
        <f>IF(SUM($C$69:$K$69)=0,0,$I$69/SUM($C$69:$K$69))</f>
        <v>0</v>
      </c>
      <c r="I100" s="840">
        <f>IF(SUM($C$70:$K$70)=0,0,$I$70/SUM($C$70:$K$70))</f>
        <v>0</v>
      </c>
      <c r="J100" s="841">
        <f>IF(SUM($C$71:$K$71)=0,0,$I$71/SUM($C$71:$K$71))</f>
        <v>0</v>
      </c>
      <c r="K100" s="297"/>
      <c r="L100" s="315"/>
      <c r="M100" s="297"/>
    </row>
    <row r="101" spans="1:13" x14ac:dyDescent="0.15">
      <c r="A101" s="462" t="s">
        <v>660</v>
      </c>
      <c r="B101" s="464" t="str">
        <f>VLOOKUP($A101,TableInputsData[],ReadMe!$M$3,FALSE)</f>
        <v>ENTRETIEN</v>
      </c>
      <c r="C101" s="840">
        <f>IF(SUM($C$64:$K$64)=0,0,$J$64/SUM($C$64:$K$64))</f>
        <v>0</v>
      </c>
      <c r="D101" s="840">
        <f>IF(SUM($C$65:$K$65)=0,0,$J$65/SUM($C$65:$K$65))</f>
        <v>0</v>
      </c>
      <c r="E101" s="840">
        <f>IF(SUM($C$66:$K$66)=0,0,$J$66/SUM($C$66:$K$66))</f>
        <v>0</v>
      </c>
      <c r="F101" s="840">
        <f>IF(SUM($C$67:$K$67)=0,0,$J$67/SUM($C$67:$K$67))</f>
        <v>0</v>
      </c>
      <c r="G101" s="840">
        <f>IF(SUM($C$68:$K$68)=0,0,$J$68/SUM($C$68:$K$68))</f>
        <v>0</v>
      </c>
      <c r="H101" s="840">
        <f>IF(SUM($C$69:$K$69)=0,0,$J$69/SUM($C$69:$K$69))</f>
        <v>0</v>
      </c>
      <c r="I101" s="840">
        <f>IF(SUM($C$70:$K$70)=0,0,$J$70/SUM($C$70:$K$70))</f>
        <v>0</v>
      </c>
      <c r="J101" s="841">
        <f>IF(SUM($C$71:$K$71)=0,0,$J$71/SUM($C$71:$K$71))</f>
        <v>0</v>
      </c>
      <c r="K101" s="297"/>
      <c r="L101" s="315"/>
      <c r="M101" s="297"/>
    </row>
    <row r="102" spans="1:13" x14ac:dyDescent="0.15">
      <c r="A102" s="462" t="s">
        <v>661</v>
      </c>
      <c r="B102" s="465" t="str">
        <f>VLOOKUP($A102,TableInputsData[],ReadMe!$M$3,FALSE)</f>
        <v>TIERCES PARTIES</v>
      </c>
      <c r="C102" s="842">
        <f>IF(SUM($C$64:$K$64)=0,0,$K$64/SUM($C$64:$K$64))</f>
        <v>0</v>
      </c>
      <c r="D102" s="842">
        <f>IF(SUM($C$65:$K$65)=0,0,$K$65/SUM($C$65:$K$65))</f>
        <v>0</v>
      </c>
      <c r="E102" s="842">
        <f>IF(SUM($C$66:$K$66)=0,0,$K$66/SUM($C$66:$K$66))</f>
        <v>0</v>
      </c>
      <c r="F102" s="842">
        <f>IF(SUM($C$67:$K$67)=0,0,$K$67/SUM($C$67:$K$67))</f>
        <v>0</v>
      </c>
      <c r="G102" s="842">
        <f>IF(SUM($C$68:$K$68)=0,0,$K$68/SUM($C$68:$K$68))</f>
        <v>0</v>
      </c>
      <c r="H102" s="842">
        <f>IF(SUM($C$69:$K$69)=0,0,$K$69/SUM($C$69:$K$69))</f>
        <v>0</v>
      </c>
      <c r="I102" s="842">
        <f>IF(SUM($C$70:$K$70)=0,0,$K$70/SUM($C$70:$K$70))</f>
        <v>0</v>
      </c>
      <c r="J102" s="843">
        <f>IF(SUM($C$71:$K$71)=0,0,$K$71/SUM($C$71:$K$71))</f>
        <v>0</v>
      </c>
      <c r="K102" s="297"/>
      <c r="L102" s="315"/>
      <c r="M102" s="297"/>
    </row>
    <row r="103" spans="1:13" x14ac:dyDescent="0.15">
      <c r="A103" s="297"/>
      <c r="B103" s="314"/>
      <c r="C103" s="297"/>
      <c r="D103" s="297"/>
      <c r="E103" s="297"/>
      <c r="F103" s="297"/>
      <c r="G103" s="297"/>
      <c r="H103" s="297"/>
      <c r="I103" s="297"/>
      <c r="J103" s="297"/>
      <c r="K103" s="297"/>
      <c r="L103" s="315"/>
      <c r="M103" s="297"/>
    </row>
    <row r="104" spans="1:13" x14ac:dyDescent="0.15">
      <c r="A104" s="297"/>
      <c r="B104" s="314"/>
      <c r="C104" s="297"/>
      <c r="D104" s="297"/>
      <c r="E104" s="297"/>
      <c r="F104" s="297"/>
      <c r="G104" s="297"/>
      <c r="H104" s="297"/>
      <c r="I104" s="297"/>
      <c r="J104" s="297"/>
      <c r="K104" s="297"/>
      <c r="L104" s="315"/>
      <c r="M104" s="297"/>
    </row>
    <row r="105" spans="1:13" x14ac:dyDescent="0.15">
      <c r="A105" s="297"/>
      <c r="B105" s="328"/>
      <c r="C105" s="416"/>
      <c r="D105" s="416"/>
      <c r="E105" s="416"/>
      <c r="F105" s="416"/>
      <c r="G105" s="416"/>
      <c r="H105" s="416"/>
      <c r="I105" s="416"/>
      <c r="J105" s="416"/>
      <c r="K105" s="416"/>
      <c r="L105" s="325" t="str">
        <f>$L$3</f>
        <v>STRICTEMENT CONFIDENTIEL | ABC CORPORATION</v>
      </c>
      <c r="M105" s="297"/>
    </row>
    <row r="106" spans="1:13" ht="25" customHeight="1" x14ac:dyDescent="0.15">
      <c r="A106" s="297"/>
      <c r="B106" s="973" t="str">
        <f>VLOOKUP("STAFF",TableInputsData[],ReadMe!$M$3,FALSE)</f>
        <v>EFFECTIF</v>
      </c>
      <c r="C106" s="222" t="str">
        <f>C$4</f>
        <v>ANNEE-2</v>
      </c>
      <c r="D106" s="222" t="str">
        <f t="shared" ref="D106:J106" si="18">D$4</f>
        <v>ANNEE-1</v>
      </c>
      <c r="E106" s="222" t="str">
        <f t="shared" si="18"/>
        <v>ANNEE EN COURS</v>
      </c>
      <c r="F106" s="222" t="str">
        <f t="shared" si="18"/>
        <v>ANNEE2</v>
      </c>
      <c r="G106" s="222" t="str">
        <f t="shared" si="18"/>
        <v>ANNEE3</v>
      </c>
      <c r="H106" s="222" t="str">
        <f t="shared" si="18"/>
        <v>ANNEE4</v>
      </c>
      <c r="I106" s="222" t="str">
        <f t="shared" si="18"/>
        <v>ANNEE5</v>
      </c>
      <c r="J106" s="222" t="str">
        <f t="shared" si="18"/>
        <v>ANNEE6</v>
      </c>
      <c r="K106" s="975" t="str">
        <f>$L$10</f>
        <v>CAS TYPIQUE SCENARIO DE SIMULATION</v>
      </c>
      <c r="L106" s="976"/>
      <c r="M106" s="297"/>
    </row>
    <row r="107" spans="1:13" x14ac:dyDescent="0.15">
      <c r="A107" s="297"/>
      <c r="B107" s="974" t="e">
        <f>VLOOKUP($A107,TableInputsData[],ReadMe!$M$3,FALSE)</f>
        <v>#N/A</v>
      </c>
      <c r="C107" s="244">
        <f>C$7</f>
        <v>2023</v>
      </c>
      <c r="D107" s="244">
        <f t="shared" ref="D107:J107" si="19">D$7</f>
        <v>2024</v>
      </c>
      <c r="E107" s="244">
        <f t="shared" si="19"/>
        <v>2025</v>
      </c>
      <c r="F107" s="244">
        <f t="shared" si="19"/>
        <v>2026</v>
      </c>
      <c r="G107" s="244">
        <f t="shared" si="19"/>
        <v>2027</v>
      </c>
      <c r="H107" s="244">
        <f t="shared" si="19"/>
        <v>2028</v>
      </c>
      <c r="I107" s="244">
        <f t="shared" si="19"/>
        <v>2029</v>
      </c>
      <c r="J107" s="244">
        <f t="shared" si="19"/>
        <v>2030</v>
      </c>
      <c r="K107" s="977"/>
      <c r="L107" s="978"/>
      <c r="M107" s="297"/>
    </row>
    <row r="108" spans="1:13" s="1" customFormat="1" x14ac:dyDescent="0.15">
      <c r="A108" s="294"/>
      <c r="B108" s="594" t="str">
        <f>B106&amp;" | "&amp;K106&amp;CHAR(10)&amp;C106&amp;" = "&amp;C107&amp;CHAR(10)&amp;D106&amp;" = "&amp;D107&amp;CHAR(10)&amp;E106&amp;" = "&amp;E107&amp;CHAR(10)&amp;F106&amp;" = "&amp;F107&amp;CHAR(10)&amp;" ... "</f>
        <v xml:space="preserve">EFFECTIF | CAS TYPIQUE SCENARIO DE SIMULATION
ANNEE-2 = 2023
ANNEE-1 = 2024
ANNEE EN COURS = 2025
ANNEE2 = 2026
 ... </v>
      </c>
      <c r="C108" s="297"/>
      <c r="D108" s="297"/>
      <c r="E108" s="297"/>
      <c r="F108" s="297"/>
      <c r="G108" s="297"/>
      <c r="H108" s="297"/>
      <c r="I108" s="297"/>
      <c r="J108" s="297"/>
      <c r="K108" s="297"/>
      <c r="L108" s="315"/>
      <c r="M108" s="294"/>
    </row>
    <row r="109" spans="1:13" s="1" customFormat="1" x14ac:dyDescent="0.15">
      <c r="A109" s="294"/>
      <c r="B109" s="318" t="s">
        <v>1034</v>
      </c>
      <c r="C109" s="297"/>
      <c r="D109" s="297"/>
      <c r="E109" s="297"/>
      <c r="F109" s="297"/>
      <c r="G109" s="297"/>
      <c r="H109" s="297"/>
      <c r="I109" s="297"/>
      <c r="J109" s="297"/>
      <c r="K109" s="297"/>
      <c r="L109" s="315"/>
      <c r="M109" s="294"/>
    </row>
    <row r="110" spans="1:13" s="1" customFormat="1" x14ac:dyDescent="0.2">
      <c r="A110" s="294"/>
      <c r="B110" s="274" t="s">
        <v>122</v>
      </c>
      <c r="C110" s="275">
        <v>2</v>
      </c>
      <c r="D110" s="312"/>
      <c r="E110" s="312"/>
      <c r="F110" s="312"/>
      <c r="G110" s="312"/>
      <c r="H110" s="312"/>
      <c r="I110" s="312"/>
      <c r="J110" s="312"/>
      <c r="K110" s="312"/>
      <c r="L110" s="317"/>
      <c r="M110" s="294"/>
    </row>
    <row r="111" spans="1:13" s="1" customFormat="1" x14ac:dyDescent="0.2">
      <c r="A111" s="294"/>
      <c r="B111" s="274" t="s">
        <v>593</v>
      </c>
      <c r="C111" s="275">
        <v>2</v>
      </c>
      <c r="D111" s="294"/>
      <c r="E111" s="294"/>
      <c r="F111" s="294"/>
      <c r="G111" s="294"/>
      <c r="H111" s="294"/>
      <c r="I111" s="294"/>
      <c r="J111" s="294"/>
      <c r="K111" s="294"/>
      <c r="L111" s="317"/>
      <c r="M111" s="294"/>
    </row>
    <row r="112" spans="1:13" s="1" customFormat="1" x14ac:dyDescent="0.2">
      <c r="A112" s="294"/>
      <c r="B112" s="274" t="s">
        <v>590</v>
      </c>
      <c r="C112" s="276" t="s">
        <v>114</v>
      </c>
      <c r="D112" s="294"/>
      <c r="E112" s="294"/>
      <c r="F112" s="294"/>
      <c r="G112" s="294"/>
      <c r="H112" s="294"/>
      <c r="I112" s="294"/>
      <c r="J112" s="294"/>
      <c r="K112" s="294"/>
      <c r="L112" s="294"/>
      <c r="M112" s="865"/>
    </row>
    <row r="113" spans="1:17" s="1" customFormat="1" x14ac:dyDescent="0.2">
      <c r="A113" s="294"/>
      <c r="B113" s="319"/>
      <c r="C113" s="294"/>
      <c r="D113" s="294"/>
      <c r="E113" s="294"/>
      <c r="F113" s="294"/>
      <c r="G113" s="294"/>
      <c r="H113" s="294"/>
      <c r="I113" s="294"/>
      <c r="J113" s="294"/>
      <c r="K113" s="294"/>
      <c r="L113" s="294"/>
      <c r="M113" s="865"/>
    </row>
    <row r="114" spans="1:17" s="1" customFormat="1" ht="16" x14ac:dyDescent="0.2">
      <c r="A114" s="294"/>
      <c r="B114" s="381"/>
      <c r="C114" s="277" t="s">
        <v>31</v>
      </c>
      <c r="D114" s="278"/>
      <c r="E114" s="279"/>
      <c r="F114" s="279"/>
      <c r="G114" s="279"/>
      <c r="H114" s="279"/>
      <c r="I114" s="276"/>
      <c r="J114"/>
      <c r="K114"/>
      <c r="L114"/>
      <c r="M114" s="865"/>
      <c r="N114"/>
      <c r="O114"/>
      <c r="P114"/>
      <c r="Q114"/>
    </row>
    <row r="115" spans="1:17" s="1" customFormat="1" ht="16" x14ac:dyDescent="0.2">
      <c r="A115" s="294"/>
      <c r="B115" s="277" t="s">
        <v>216</v>
      </c>
      <c r="C115" s="1" t="s">
        <v>47</v>
      </c>
      <c r="D115" s="1" t="s">
        <v>48</v>
      </c>
      <c r="E115" s="1" t="s">
        <v>49</v>
      </c>
      <c r="F115" s="1" t="s">
        <v>50</v>
      </c>
      <c r="G115" s="1" t="s">
        <v>217</v>
      </c>
      <c r="H115" s="1" t="s">
        <v>51</v>
      </c>
      <c r="I115" s="902" t="s">
        <v>52</v>
      </c>
      <c r="J115"/>
      <c r="K115"/>
      <c r="L115"/>
      <c r="M115" s="865"/>
      <c r="N115"/>
      <c r="O115"/>
      <c r="P115"/>
      <c r="Q115"/>
    </row>
    <row r="116" spans="1:17" s="1" customFormat="1" ht="16" x14ac:dyDescent="0.2">
      <c r="A116" s="294"/>
      <c r="B116" s="280" t="s">
        <v>973</v>
      </c>
      <c r="C116" s="409">
        <v>0</v>
      </c>
      <c r="D116" s="410">
        <v>0</v>
      </c>
      <c r="E116" s="410">
        <v>0</v>
      </c>
      <c r="F116" s="410">
        <v>0</v>
      </c>
      <c r="G116" s="410">
        <v>0</v>
      </c>
      <c r="H116" s="410">
        <v>0</v>
      </c>
      <c r="I116" s="411">
        <v>0</v>
      </c>
      <c r="J116"/>
      <c r="K116"/>
      <c r="L116"/>
      <c r="M116" s="865"/>
      <c r="N116"/>
      <c r="O116"/>
      <c r="P116"/>
      <c r="Q116"/>
    </row>
    <row r="117" spans="1:17" s="1" customFormat="1" ht="16" x14ac:dyDescent="0.2">
      <c r="A117" s="294"/>
      <c r="B117" s="280" t="s">
        <v>974</v>
      </c>
      <c r="C117" s="412">
        <v>0</v>
      </c>
      <c r="D117" s="391">
        <v>0</v>
      </c>
      <c r="E117" s="391">
        <v>0</v>
      </c>
      <c r="F117" s="391">
        <v>0</v>
      </c>
      <c r="G117" s="391">
        <v>0</v>
      </c>
      <c r="H117" s="391">
        <v>0</v>
      </c>
      <c r="I117" s="408">
        <v>0</v>
      </c>
      <c r="J117"/>
      <c r="K117"/>
      <c r="L117"/>
      <c r="M117" s="865"/>
      <c r="N117"/>
      <c r="O117"/>
      <c r="P117"/>
      <c r="Q117"/>
    </row>
    <row r="118" spans="1:17" s="1" customFormat="1" ht="16" x14ac:dyDescent="0.2">
      <c r="A118" s="294"/>
      <c r="B118" s="280" t="s">
        <v>975</v>
      </c>
      <c r="C118" s="412">
        <v>0</v>
      </c>
      <c r="D118" s="391">
        <v>0</v>
      </c>
      <c r="E118" s="391">
        <v>0</v>
      </c>
      <c r="F118" s="391">
        <v>0</v>
      </c>
      <c r="G118" s="391">
        <v>0</v>
      </c>
      <c r="H118" s="391">
        <v>0</v>
      </c>
      <c r="I118" s="408">
        <v>0</v>
      </c>
      <c r="J118"/>
      <c r="K118"/>
      <c r="L118"/>
      <c r="M118" s="865"/>
      <c r="N118"/>
      <c r="O118"/>
      <c r="P118"/>
      <c r="Q118"/>
    </row>
    <row r="119" spans="1:17" s="1" customFormat="1" ht="16" x14ac:dyDescent="0.2">
      <c r="A119" s="294"/>
      <c r="B119" s="280" t="s">
        <v>976</v>
      </c>
      <c r="C119" s="412">
        <v>0</v>
      </c>
      <c r="D119" s="391">
        <v>0</v>
      </c>
      <c r="E119" s="391">
        <v>0</v>
      </c>
      <c r="F119" s="391">
        <v>0</v>
      </c>
      <c r="G119" s="391">
        <v>0</v>
      </c>
      <c r="H119" s="391">
        <v>0</v>
      </c>
      <c r="I119" s="408">
        <v>0</v>
      </c>
      <c r="J119"/>
      <c r="K119"/>
      <c r="L119"/>
      <c r="M119" s="865"/>
      <c r="N119"/>
      <c r="O119"/>
      <c r="P119"/>
      <c r="Q119"/>
    </row>
    <row r="120" spans="1:17" s="1" customFormat="1" ht="16" x14ac:dyDescent="0.2">
      <c r="A120" s="294"/>
      <c r="B120" s="280" t="s">
        <v>977</v>
      </c>
      <c r="C120" s="412">
        <v>0</v>
      </c>
      <c r="D120" s="391">
        <v>0</v>
      </c>
      <c r="E120" s="391">
        <v>0</v>
      </c>
      <c r="F120" s="391">
        <v>0</v>
      </c>
      <c r="G120" s="391">
        <v>0</v>
      </c>
      <c r="H120" s="391">
        <v>0</v>
      </c>
      <c r="I120" s="408">
        <v>0</v>
      </c>
      <c r="J120"/>
      <c r="K120"/>
      <c r="L120"/>
      <c r="M120" s="865"/>
      <c r="N120"/>
      <c r="O120"/>
      <c r="P120"/>
      <c r="Q120"/>
    </row>
    <row r="121" spans="1:17" s="1" customFormat="1" ht="16" x14ac:dyDescent="0.2">
      <c r="A121" s="294"/>
      <c r="B121" s="280" t="s">
        <v>978</v>
      </c>
      <c r="C121" s="412">
        <v>0</v>
      </c>
      <c r="D121" s="391">
        <v>0</v>
      </c>
      <c r="E121" s="391">
        <v>0</v>
      </c>
      <c r="F121" s="391">
        <v>0</v>
      </c>
      <c r="G121" s="391">
        <v>0</v>
      </c>
      <c r="H121" s="391">
        <v>0</v>
      </c>
      <c r="I121" s="408">
        <v>0</v>
      </c>
      <c r="J121"/>
      <c r="K121"/>
      <c r="L121"/>
      <c r="M121" s="865"/>
      <c r="N121"/>
      <c r="O121"/>
      <c r="P121"/>
      <c r="Q121"/>
    </row>
    <row r="122" spans="1:17" s="1" customFormat="1" ht="16" x14ac:dyDescent="0.2">
      <c r="A122" s="294"/>
      <c r="B122" s="280" t="s">
        <v>979</v>
      </c>
      <c r="C122" s="412">
        <v>0</v>
      </c>
      <c r="D122" s="391">
        <v>0</v>
      </c>
      <c r="E122" s="391">
        <v>0</v>
      </c>
      <c r="F122" s="391">
        <v>0</v>
      </c>
      <c r="G122" s="391">
        <v>0</v>
      </c>
      <c r="H122" s="391">
        <v>0</v>
      </c>
      <c r="I122" s="408">
        <v>0</v>
      </c>
      <c r="J122"/>
      <c r="K122"/>
      <c r="L122"/>
      <c r="M122" s="865"/>
      <c r="N122"/>
      <c r="O122"/>
      <c r="P122"/>
      <c r="Q122"/>
    </row>
    <row r="123" spans="1:17" s="1" customFormat="1" ht="16" x14ac:dyDescent="0.2">
      <c r="A123" s="294"/>
      <c r="B123" s="281" t="s">
        <v>980</v>
      </c>
      <c r="C123" s="415">
        <v>0</v>
      </c>
      <c r="D123" s="413">
        <v>0</v>
      </c>
      <c r="E123" s="413">
        <v>0</v>
      </c>
      <c r="F123" s="413">
        <v>0</v>
      </c>
      <c r="G123" s="413">
        <v>0</v>
      </c>
      <c r="H123" s="413">
        <v>0</v>
      </c>
      <c r="I123" s="414">
        <v>0</v>
      </c>
      <c r="J123"/>
      <c r="K123"/>
      <c r="L123"/>
      <c r="M123" s="865"/>
      <c r="N123"/>
      <c r="O123"/>
      <c r="P123"/>
      <c r="Q123"/>
    </row>
    <row r="124" spans="1:17" s="1" customFormat="1" x14ac:dyDescent="0.15">
      <c r="A124" s="294"/>
      <c r="B124" s="314"/>
      <c r="C124" s="297"/>
      <c r="D124" s="297"/>
      <c r="E124" s="297"/>
      <c r="F124" s="297"/>
      <c r="G124" s="297"/>
      <c r="H124" s="297"/>
      <c r="I124" s="297"/>
      <c r="J124" s="297"/>
      <c r="K124" s="297"/>
      <c r="L124" s="297"/>
      <c r="M124" s="865"/>
    </row>
    <row r="125" spans="1:17" s="1" customFormat="1" x14ac:dyDescent="0.15">
      <c r="A125" s="294"/>
      <c r="B125" s="314"/>
      <c r="C125" s="297"/>
      <c r="D125" s="297"/>
      <c r="E125" s="297"/>
      <c r="F125" s="297"/>
      <c r="G125" s="297"/>
      <c r="H125" s="297"/>
      <c r="I125" s="297"/>
      <c r="J125" s="297"/>
      <c r="K125" s="297"/>
      <c r="L125" s="315"/>
      <c r="M125" s="294"/>
    </row>
    <row r="126" spans="1:17" x14ac:dyDescent="0.15">
      <c r="A126" s="297"/>
      <c r="B126" s="314"/>
      <c r="C126" s="297"/>
      <c r="D126" s="297"/>
      <c r="E126" s="297"/>
      <c r="F126" s="297"/>
      <c r="G126" s="297"/>
      <c r="H126" s="297"/>
      <c r="I126" s="297"/>
      <c r="J126" s="297"/>
      <c r="K126" s="297"/>
      <c r="L126" s="315"/>
      <c r="M126" s="294"/>
    </row>
    <row r="127" spans="1:17" x14ac:dyDescent="0.15">
      <c r="A127" s="297"/>
      <c r="B127" s="314"/>
      <c r="C127" s="297"/>
      <c r="D127" s="297"/>
      <c r="E127" s="297"/>
      <c r="F127" s="297"/>
      <c r="G127" s="297"/>
      <c r="H127" s="297"/>
      <c r="I127" s="297"/>
      <c r="J127" s="297"/>
      <c r="K127" s="297"/>
      <c r="L127" s="315"/>
      <c r="M127" s="297"/>
    </row>
    <row r="128" spans="1:17" x14ac:dyDescent="0.15">
      <c r="A128" s="297"/>
      <c r="B128" s="314"/>
      <c r="C128" s="297"/>
      <c r="D128" s="297"/>
      <c r="E128" s="297"/>
      <c r="F128" s="297"/>
      <c r="G128" s="297"/>
      <c r="H128" s="297"/>
      <c r="I128" s="297"/>
      <c r="J128" s="297"/>
      <c r="K128" s="297"/>
      <c r="L128" s="315"/>
      <c r="M128" s="297"/>
    </row>
    <row r="129" spans="1:13" x14ac:dyDescent="0.15">
      <c r="A129" s="297"/>
      <c r="B129" s="314"/>
      <c r="C129" s="297"/>
      <c r="D129" s="297"/>
      <c r="E129" s="297"/>
      <c r="F129" s="297"/>
      <c r="G129" s="297"/>
      <c r="H129" s="297"/>
      <c r="I129" s="297"/>
      <c r="J129" s="297"/>
      <c r="K129" s="297"/>
      <c r="L129" s="315"/>
      <c r="M129" s="297"/>
    </row>
    <row r="130" spans="1:13" x14ac:dyDescent="0.15">
      <c r="A130" s="297"/>
      <c r="B130" s="314"/>
      <c r="C130" s="297"/>
      <c r="D130" s="297"/>
      <c r="E130" s="297"/>
      <c r="F130" s="297"/>
      <c r="G130" s="297"/>
      <c r="H130" s="297"/>
      <c r="I130" s="297"/>
      <c r="J130" s="297"/>
      <c r="K130" s="297"/>
      <c r="L130" s="315"/>
      <c r="M130" s="297"/>
    </row>
    <row r="131" spans="1:13" x14ac:dyDescent="0.15">
      <c r="A131" s="297"/>
      <c r="B131" s="314"/>
      <c r="C131" s="297"/>
      <c r="D131" s="297"/>
      <c r="E131" s="297"/>
      <c r="F131" s="297"/>
      <c r="G131" s="297"/>
      <c r="H131" s="297"/>
      <c r="I131" s="297"/>
      <c r="J131" s="297"/>
      <c r="K131" s="297"/>
      <c r="L131" s="315"/>
      <c r="M131" s="297"/>
    </row>
    <row r="132" spans="1:13" x14ac:dyDescent="0.15">
      <c r="A132" s="297"/>
      <c r="B132" s="314"/>
      <c r="C132" s="297"/>
      <c r="D132" s="297"/>
      <c r="E132" s="297"/>
      <c r="F132" s="297"/>
      <c r="G132" s="297"/>
      <c r="H132" s="297"/>
      <c r="I132" s="297"/>
      <c r="J132" s="297"/>
      <c r="K132" s="297"/>
      <c r="L132" s="315"/>
      <c r="M132" s="297"/>
    </row>
    <row r="133" spans="1:13" x14ac:dyDescent="0.15">
      <c r="A133" s="297"/>
      <c r="B133" s="314"/>
      <c r="C133" s="297"/>
      <c r="D133" s="297"/>
      <c r="E133" s="297"/>
      <c r="F133" s="297"/>
      <c r="G133" s="297"/>
      <c r="H133" s="297"/>
      <c r="I133" s="297"/>
      <c r="J133" s="297"/>
      <c r="K133" s="297"/>
      <c r="L133" s="315"/>
      <c r="M133" s="297"/>
    </row>
    <row r="134" spans="1:13" x14ac:dyDescent="0.15">
      <c r="A134" s="297"/>
      <c r="B134" s="314"/>
      <c r="C134" s="297"/>
      <c r="D134" s="297"/>
      <c r="E134" s="297"/>
      <c r="F134" s="297"/>
      <c r="G134" s="297"/>
      <c r="H134" s="297"/>
      <c r="I134" s="297"/>
      <c r="J134" s="297"/>
      <c r="K134" s="297"/>
      <c r="L134" s="315"/>
      <c r="M134" s="297"/>
    </row>
    <row r="135" spans="1:13" x14ac:dyDescent="0.15">
      <c r="A135" s="297"/>
      <c r="B135" s="328" t="str">
        <f>$B$3</f>
        <v>MONNAIE LOCALE : CFA</v>
      </c>
      <c r="C135" s="416"/>
      <c r="D135" s="416"/>
      <c r="E135" s="416"/>
      <c r="F135" s="416"/>
      <c r="G135" s="416"/>
      <c r="H135" s="416"/>
      <c r="I135" s="416"/>
      <c r="J135" s="416"/>
      <c r="K135" s="416"/>
      <c r="L135" s="325" t="str">
        <f>$L$3</f>
        <v>STRICTEMENT CONFIDENTIEL | ABC CORPORATION</v>
      </c>
      <c r="M135" s="297"/>
    </row>
    <row r="136" spans="1:13" ht="25" customHeight="1" x14ac:dyDescent="0.15">
      <c r="A136" s="297"/>
      <c r="B136" s="973" t="str">
        <f>VLOOKUP("CASH FLOW STATEMENT",TableInputsData[],ReadMe!$M$3,FALSE)</f>
        <v>ETAT DES FLUX DE TRESORERIE</v>
      </c>
      <c r="C136" s="222" t="str">
        <f>C$4</f>
        <v>ANNEE-2</v>
      </c>
      <c r="D136" s="222" t="str">
        <f>D$4</f>
        <v>ANNEE-1</v>
      </c>
      <c r="E136" s="222" t="str">
        <f t="shared" ref="E136:J136" si="20">E$4</f>
        <v>ANNEE EN COURS</v>
      </c>
      <c r="F136" s="222" t="str">
        <f t="shared" si="20"/>
        <v>ANNEE2</v>
      </c>
      <c r="G136" s="222" t="str">
        <f t="shared" si="20"/>
        <v>ANNEE3</v>
      </c>
      <c r="H136" s="222" t="str">
        <f t="shared" si="20"/>
        <v>ANNEE4</v>
      </c>
      <c r="I136" s="222" t="str">
        <f t="shared" si="20"/>
        <v>ANNEE5</v>
      </c>
      <c r="J136" s="222" t="str">
        <f t="shared" si="20"/>
        <v>ANNEE6</v>
      </c>
      <c r="K136" s="975" t="str">
        <f>$L$10</f>
        <v>CAS TYPIQUE SCENARIO DE SIMULATION</v>
      </c>
      <c r="L136" s="976"/>
      <c r="M136" s="297"/>
    </row>
    <row r="137" spans="1:13" x14ac:dyDescent="0.15">
      <c r="A137" s="297"/>
      <c r="B137" s="974" t="e">
        <f>VLOOKUP($A137,TableInputsData[],ReadMe!$M$3,FALSE)</f>
        <v>#N/A</v>
      </c>
      <c r="C137" s="244">
        <f>C$7</f>
        <v>2023</v>
      </c>
      <c r="D137" s="244">
        <f t="shared" ref="D137:J137" si="21">D$7</f>
        <v>2024</v>
      </c>
      <c r="E137" s="244">
        <f t="shared" si="21"/>
        <v>2025</v>
      </c>
      <c r="F137" s="244">
        <f t="shared" si="21"/>
        <v>2026</v>
      </c>
      <c r="G137" s="244">
        <f t="shared" si="21"/>
        <v>2027</v>
      </c>
      <c r="H137" s="244">
        <f t="shared" si="21"/>
        <v>2028</v>
      </c>
      <c r="I137" s="244">
        <f t="shared" si="21"/>
        <v>2029</v>
      </c>
      <c r="J137" s="244">
        <f t="shared" si="21"/>
        <v>2030</v>
      </c>
      <c r="K137" s="977"/>
      <c r="L137" s="978"/>
      <c r="M137" s="297"/>
    </row>
    <row r="138" spans="1:13" s="1" customFormat="1" x14ac:dyDescent="0.2">
      <c r="A138" s="294"/>
      <c r="B138" s="574" t="str">
        <f>B136&amp;" | "&amp;K136</f>
        <v>ETAT DES FLUX DE TRESORERIE | CAS TYPIQUE SCENARIO DE SIMULATION</v>
      </c>
      <c r="C138" s="294"/>
      <c r="D138" s="294"/>
      <c r="E138" s="294"/>
      <c r="F138" s="294"/>
      <c r="G138" s="294"/>
      <c r="H138" s="294"/>
      <c r="I138" s="294"/>
      <c r="J138" s="294"/>
      <c r="K138" s="294"/>
      <c r="L138" s="317"/>
      <c r="M138" s="294"/>
    </row>
    <row r="139" spans="1:13" s="1" customFormat="1" x14ac:dyDescent="0.2">
      <c r="A139" s="294"/>
      <c r="B139" s="595"/>
      <c r="C139" s="591">
        <f t="shared" ref="C139:J139" si="22">C137</f>
        <v>2023</v>
      </c>
      <c r="D139" s="592">
        <f t="shared" si="22"/>
        <v>2024</v>
      </c>
      <c r="E139" s="592">
        <f t="shared" si="22"/>
        <v>2025</v>
      </c>
      <c r="F139" s="592">
        <f t="shared" si="22"/>
        <v>2026</v>
      </c>
      <c r="G139" s="592">
        <f t="shared" si="22"/>
        <v>2027</v>
      </c>
      <c r="H139" s="592">
        <f t="shared" si="22"/>
        <v>2028</v>
      </c>
      <c r="I139" s="592">
        <f t="shared" si="22"/>
        <v>2029</v>
      </c>
      <c r="J139" s="593">
        <f t="shared" si="22"/>
        <v>2030</v>
      </c>
      <c r="K139" s="294"/>
      <c r="L139" s="317"/>
      <c r="M139" s="294"/>
    </row>
    <row r="140" spans="1:13" s="1" customFormat="1" x14ac:dyDescent="0.2">
      <c r="A140" s="294"/>
      <c r="B140" s="280" t="s">
        <v>863</v>
      </c>
      <c r="C140" s="397">
        <f>GETPIVOTDATA("Sum of YEAR-2",FinancePivot!$D$929,"SUB-ITEM1",$B140)</f>
        <v>0</v>
      </c>
      <c r="D140" s="400">
        <f>GETPIVOTDATA("Sum of YEAR-1",FinancePivot!$D$929,"SUB-ITEM1",$B140)</f>
        <v>0</v>
      </c>
      <c r="E140" s="400">
        <f>GETPIVOTDATA("Sum of CURRENT YEAR",FinancePivot!$D$929,"SUB-ITEM1",$B140)</f>
        <v>0</v>
      </c>
      <c r="F140" s="400">
        <f>GETPIVOTDATA("Sum of YEAR2",FinancePivot!$D$929,"SUB-ITEM1",$B140)</f>
        <v>0</v>
      </c>
      <c r="G140" s="400">
        <f>GETPIVOTDATA("Sum of YEAR3",FinancePivot!$D$929,"SUB-ITEM1",$B140)</f>
        <v>0</v>
      </c>
      <c r="H140" s="400">
        <f>GETPIVOTDATA("Sum of YEAR4",FinancePivot!$D$929,"SUB-ITEM1",$B140)</f>
        <v>0</v>
      </c>
      <c r="I140" s="400">
        <f>GETPIVOTDATA("Sum of YEAR5",FinancePivot!$D$929,"SUB-ITEM1",$B140)</f>
        <v>0</v>
      </c>
      <c r="J140" s="403">
        <f>GETPIVOTDATA("Sum of YEAR6",FinancePivot!$D$929,"SUB-ITEM1",$B140)</f>
        <v>0</v>
      </c>
      <c r="K140" s="312"/>
      <c r="L140" s="317"/>
      <c r="M140" s="294"/>
    </row>
    <row r="141" spans="1:13" s="1" customFormat="1" x14ac:dyDescent="0.2">
      <c r="A141" s="294"/>
      <c r="B141" s="280" t="s">
        <v>951</v>
      </c>
      <c r="C141" s="398">
        <f>GETPIVOTDATA("Sum of YEAR-2",FinancePivot!$D$929,"SUB-ITEM1",$B141)</f>
        <v>0</v>
      </c>
      <c r="D141" s="2">
        <f>GETPIVOTDATA("Sum of YEAR-1",FinancePivot!$D$929,"SUB-ITEM1",$B141)</f>
        <v>0</v>
      </c>
      <c r="E141" s="2">
        <f>GETPIVOTDATA("Sum of CURRENT YEAR",FinancePivot!$D$929,"SUB-ITEM1",$B141)</f>
        <v>0</v>
      </c>
      <c r="F141" s="2">
        <f>GETPIVOTDATA("Sum of YEAR2",FinancePivot!$D$929,"SUB-ITEM1",$B141)</f>
        <v>0</v>
      </c>
      <c r="G141" s="2">
        <f>GETPIVOTDATA("Sum of YEAR3",FinancePivot!$D$929,"SUB-ITEM1",$B141)</f>
        <v>0</v>
      </c>
      <c r="H141" s="2">
        <f>GETPIVOTDATA("Sum of YEAR4",FinancePivot!$D$929,"SUB-ITEM1",$B141)</f>
        <v>0</v>
      </c>
      <c r="I141" s="2">
        <f>GETPIVOTDATA("Sum of YEAR5",FinancePivot!$D$929,"SUB-ITEM1",$B141)</f>
        <v>0</v>
      </c>
      <c r="J141" s="401">
        <f>GETPIVOTDATA("Sum of YEAR6",FinancePivot!$D$929,"SUB-ITEM1",$B141)</f>
        <v>0</v>
      </c>
      <c r="K141" s="294"/>
      <c r="L141" s="317"/>
      <c r="M141" s="294"/>
    </row>
    <row r="142" spans="1:13" s="1" customFormat="1" x14ac:dyDescent="0.2">
      <c r="A142" s="294"/>
      <c r="B142" s="280" t="s">
        <v>909</v>
      </c>
      <c r="C142" s="398">
        <f>GETPIVOTDATA("Sum of YEAR-2",FinancePivot!$D$929,"SUB-ITEM1",$B142)</f>
        <v>0</v>
      </c>
      <c r="D142" s="2">
        <f>GETPIVOTDATA("Sum of YEAR-1",FinancePivot!$D$929,"SUB-ITEM1",$B142)</f>
        <v>0</v>
      </c>
      <c r="E142" s="2">
        <f>GETPIVOTDATA("Sum of CURRENT YEAR",FinancePivot!$D$929,"SUB-ITEM1",$B142)</f>
        <v>0</v>
      </c>
      <c r="F142" s="2">
        <f>GETPIVOTDATA("Sum of YEAR2",FinancePivot!$D$929,"SUB-ITEM1",$B142)</f>
        <v>0</v>
      </c>
      <c r="G142" s="2">
        <f>GETPIVOTDATA("Sum of YEAR3",FinancePivot!$D$929,"SUB-ITEM1",$B142)</f>
        <v>0</v>
      </c>
      <c r="H142" s="2">
        <f>GETPIVOTDATA("Sum of YEAR4",FinancePivot!$D$929,"SUB-ITEM1",$B142)</f>
        <v>0</v>
      </c>
      <c r="I142" s="2">
        <f>GETPIVOTDATA("Sum of YEAR5",FinancePivot!$D$929,"SUB-ITEM1",$B142)</f>
        <v>0</v>
      </c>
      <c r="J142" s="401">
        <f>GETPIVOTDATA("Sum of YEAR6",FinancePivot!$D$929,"SUB-ITEM1",$B142)</f>
        <v>0</v>
      </c>
      <c r="K142" s="294"/>
      <c r="L142" s="317"/>
      <c r="M142" s="294"/>
    </row>
    <row r="143" spans="1:13" s="1" customFormat="1" x14ac:dyDescent="0.2">
      <c r="A143" s="294"/>
      <c r="B143" s="280" t="s">
        <v>947</v>
      </c>
      <c r="C143" s="398">
        <f>GETPIVOTDATA("Sum of YEAR-2",FinancePivot!$D$929,"SUB-ITEM1",$B143)</f>
        <v>0</v>
      </c>
      <c r="D143" s="2">
        <f>GETPIVOTDATA("Sum of YEAR-1",FinancePivot!$D$929,"SUB-ITEM1",$B143)</f>
        <v>0</v>
      </c>
      <c r="E143" s="2">
        <f>GETPIVOTDATA("Sum of CURRENT YEAR",FinancePivot!$D$929,"SUB-ITEM1",$B143)</f>
        <v>0</v>
      </c>
      <c r="F143" s="2">
        <f>GETPIVOTDATA("Sum of YEAR2",FinancePivot!$D$929,"SUB-ITEM1",$B143)</f>
        <v>0</v>
      </c>
      <c r="G143" s="2">
        <f>GETPIVOTDATA("Sum of YEAR3",FinancePivot!$D$929,"SUB-ITEM1",$B143)</f>
        <v>0</v>
      </c>
      <c r="H143" s="2">
        <f>GETPIVOTDATA("Sum of YEAR4",FinancePivot!$D$929,"SUB-ITEM1",$B143)</f>
        <v>0</v>
      </c>
      <c r="I143" s="2">
        <f>GETPIVOTDATA("Sum of YEAR5",FinancePivot!$D$929,"SUB-ITEM1",$B143)</f>
        <v>0</v>
      </c>
      <c r="J143" s="401">
        <f>GETPIVOTDATA("Sum of YEAR6",FinancePivot!$D$929,"SUB-ITEM1",$B143)</f>
        <v>0</v>
      </c>
      <c r="K143" s="294"/>
      <c r="L143" s="317"/>
      <c r="M143" s="294"/>
    </row>
    <row r="144" spans="1:13" s="1" customFormat="1" x14ac:dyDescent="0.15">
      <c r="A144" s="294"/>
      <c r="B144" s="281" t="s">
        <v>948</v>
      </c>
      <c r="C144" s="399">
        <f>GETPIVOTDATA("Sum of YEAR-2",FinancePivot!$D$929,"SUB-ITEM1",$B144)</f>
        <v>0</v>
      </c>
      <c r="D144" s="396">
        <f>GETPIVOTDATA("Sum of YEAR-1",FinancePivot!$D$929,"SUB-ITEM1",$B144)</f>
        <v>0</v>
      </c>
      <c r="E144" s="396">
        <f>GETPIVOTDATA("Sum of CURRENT YEAR",FinancePivot!$D$929,"SUB-ITEM1",$B144)</f>
        <v>0</v>
      </c>
      <c r="F144" s="396">
        <f>GETPIVOTDATA("Sum of YEAR2",FinancePivot!$D$929,"SUB-ITEM1",$B144)</f>
        <v>0</v>
      </c>
      <c r="G144" s="396">
        <f>GETPIVOTDATA("Sum of YEAR3",FinancePivot!$D$929,"SUB-ITEM1",$B144)</f>
        <v>0</v>
      </c>
      <c r="H144" s="396">
        <f>GETPIVOTDATA("Sum of YEAR4",FinancePivot!$D$929,"SUB-ITEM1",$B144)</f>
        <v>0</v>
      </c>
      <c r="I144" s="396">
        <f>GETPIVOTDATA("Sum of YEAR5",FinancePivot!$D$929,"SUB-ITEM1",$B144)</f>
        <v>0</v>
      </c>
      <c r="J144" s="402">
        <f>GETPIVOTDATA("Sum of YEAR6",FinancePivot!$D$929,"SUB-ITEM1",$B144)</f>
        <v>0</v>
      </c>
      <c r="K144" s="297"/>
      <c r="L144" s="315"/>
      <c r="M144" s="294"/>
    </row>
    <row r="145" spans="1:13" s="1" customFormat="1" x14ac:dyDescent="0.15">
      <c r="A145" s="294"/>
      <c r="B145" s="314"/>
      <c r="C145" s="297"/>
      <c r="D145" s="297"/>
      <c r="E145" s="297"/>
      <c r="F145" s="297"/>
      <c r="G145" s="297"/>
      <c r="H145" s="297"/>
      <c r="I145" s="297"/>
      <c r="J145" s="297"/>
      <c r="K145" s="297"/>
      <c r="L145" s="315"/>
      <c r="M145" s="294"/>
    </row>
    <row r="146" spans="1:13" s="1" customFormat="1" x14ac:dyDescent="0.15">
      <c r="A146" s="294"/>
      <c r="B146" s="595"/>
      <c r="C146" s="591">
        <f>C137</f>
        <v>2023</v>
      </c>
      <c r="D146" s="592">
        <f t="shared" ref="D146:J146" si="23">D137</f>
        <v>2024</v>
      </c>
      <c r="E146" s="592">
        <f t="shared" si="23"/>
        <v>2025</v>
      </c>
      <c r="F146" s="592">
        <f t="shared" si="23"/>
        <v>2026</v>
      </c>
      <c r="G146" s="592">
        <f t="shared" si="23"/>
        <v>2027</v>
      </c>
      <c r="H146" s="592">
        <f t="shared" si="23"/>
        <v>2028</v>
      </c>
      <c r="I146" s="592">
        <f t="shared" si="23"/>
        <v>2029</v>
      </c>
      <c r="J146" s="593">
        <f t="shared" si="23"/>
        <v>2030</v>
      </c>
      <c r="K146" s="297"/>
      <c r="L146" s="315"/>
      <c r="M146" s="294"/>
    </row>
    <row r="147" spans="1:13" s="1" customFormat="1" x14ac:dyDescent="0.15">
      <c r="A147" s="294"/>
      <c r="B147" s="280" t="str">
        <f>VLOOKUP(B140,TableInputsData[],ReadMe!$M$3,FALSE)</f>
        <v>FONDS DE ROULEMENT</v>
      </c>
      <c r="C147" s="397">
        <f>C140</f>
        <v>0</v>
      </c>
      <c r="D147" s="400">
        <f t="shared" ref="D147:J147" si="24">D140</f>
        <v>0</v>
      </c>
      <c r="E147" s="400">
        <f t="shared" si="24"/>
        <v>0</v>
      </c>
      <c r="F147" s="400">
        <f t="shared" si="24"/>
        <v>0</v>
      </c>
      <c r="G147" s="400">
        <f t="shared" si="24"/>
        <v>0</v>
      </c>
      <c r="H147" s="400">
        <f t="shared" si="24"/>
        <v>0</v>
      </c>
      <c r="I147" s="400">
        <f t="shared" si="24"/>
        <v>0</v>
      </c>
      <c r="J147" s="403">
        <f t="shared" si="24"/>
        <v>0</v>
      </c>
      <c r="K147" s="297"/>
      <c r="L147" s="315"/>
      <c r="M147" s="294"/>
    </row>
    <row r="148" spans="1:13" s="1" customFormat="1" x14ac:dyDescent="0.15">
      <c r="A148" s="294"/>
      <c r="B148" s="280" t="str">
        <f>VLOOKUP(B141,TableInputsData[],ReadMe!$M$3,FALSE)</f>
        <v>SOURCE DE FINANCEMENT</v>
      </c>
      <c r="C148" s="398">
        <f t="shared" ref="C148:J148" si="25">C141</f>
        <v>0</v>
      </c>
      <c r="D148" s="2">
        <f t="shared" si="25"/>
        <v>0</v>
      </c>
      <c r="E148" s="2">
        <f t="shared" si="25"/>
        <v>0</v>
      </c>
      <c r="F148" s="2">
        <f t="shared" si="25"/>
        <v>0</v>
      </c>
      <c r="G148" s="2">
        <f t="shared" si="25"/>
        <v>0</v>
      </c>
      <c r="H148" s="2">
        <f t="shared" si="25"/>
        <v>0</v>
      </c>
      <c r="I148" s="2">
        <f t="shared" si="25"/>
        <v>0</v>
      </c>
      <c r="J148" s="401">
        <f t="shared" si="25"/>
        <v>0</v>
      </c>
      <c r="K148" s="297"/>
      <c r="L148" s="315"/>
      <c r="M148" s="294"/>
    </row>
    <row r="149" spans="1:13" s="1" customFormat="1" x14ac:dyDescent="0.15">
      <c r="A149" s="294"/>
      <c r="B149" s="280" t="str">
        <f>VLOOKUP(B142,TableInputsData[],ReadMe!$M$3,FALSE)</f>
        <v>INTERETS</v>
      </c>
      <c r="C149" s="398">
        <f t="shared" ref="C149:J149" si="26">C142</f>
        <v>0</v>
      </c>
      <c r="D149" s="2">
        <f t="shared" si="26"/>
        <v>0</v>
      </c>
      <c r="E149" s="2">
        <f t="shared" si="26"/>
        <v>0</v>
      </c>
      <c r="F149" s="2">
        <f t="shared" si="26"/>
        <v>0</v>
      </c>
      <c r="G149" s="2">
        <f t="shared" si="26"/>
        <v>0</v>
      </c>
      <c r="H149" s="2">
        <f t="shared" si="26"/>
        <v>0</v>
      </c>
      <c r="I149" s="2">
        <f t="shared" si="26"/>
        <v>0</v>
      </c>
      <c r="J149" s="401">
        <f t="shared" si="26"/>
        <v>0</v>
      </c>
      <c r="K149" s="297"/>
      <c r="L149" s="315"/>
      <c r="M149" s="294"/>
    </row>
    <row r="150" spans="1:13" s="1" customFormat="1" x14ac:dyDescent="0.15">
      <c r="A150" s="294"/>
      <c r="B150" s="280" t="str">
        <f>VLOOKUP(B143,TableInputsData[],ReadMe!$M$3,FALSE)</f>
        <v>MONTANT PRINCIPAL DE PRET</v>
      </c>
      <c r="C150" s="398">
        <f t="shared" ref="C150:J150" si="27">C143</f>
        <v>0</v>
      </c>
      <c r="D150" s="2">
        <f t="shared" si="27"/>
        <v>0</v>
      </c>
      <c r="E150" s="2">
        <f t="shared" si="27"/>
        <v>0</v>
      </c>
      <c r="F150" s="2">
        <f t="shared" si="27"/>
        <v>0</v>
      </c>
      <c r="G150" s="2">
        <f t="shared" si="27"/>
        <v>0</v>
      </c>
      <c r="H150" s="2">
        <f t="shared" si="27"/>
        <v>0</v>
      </c>
      <c r="I150" s="2">
        <f t="shared" si="27"/>
        <v>0</v>
      </c>
      <c r="J150" s="401">
        <f t="shared" si="27"/>
        <v>0</v>
      </c>
      <c r="K150" s="297"/>
      <c r="L150" s="315"/>
      <c r="M150" s="294"/>
    </row>
    <row r="151" spans="1:13" s="1" customFormat="1" x14ac:dyDescent="0.15">
      <c r="A151" s="294"/>
      <c r="B151" s="281" t="str">
        <f>VLOOKUP(B144,TableInputsData[],ReadMe!$M$3,FALSE)</f>
        <v>POSITION DE TRESORERIE FIN DE PERIODE</v>
      </c>
      <c r="C151" s="399">
        <f t="shared" ref="C151:J151" si="28">C144</f>
        <v>0</v>
      </c>
      <c r="D151" s="396">
        <f t="shared" si="28"/>
        <v>0</v>
      </c>
      <c r="E151" s="396">
        <f t="shared" si="28"/>
        <v>0</v>
      </c>
      <c r="F151" s="396">
        <f t="shared" si="28"/>
        <v>0</v>
      </c>
      <c r="G151" s="396">
        <f t="shared" si="28"/>
        <v>0</v>
      </c>
      <c r="H151" s="396">
        <f t="shared" si="28"/>
        <v>0</v>
      </c>
      <c r="I151" s="396">
        <f t="shared" si="28"/>
        <v>0</v>
      </c>
      <c r="J151" s="402">
        <f t="shared" si="28"/>
        <v>0</v>
      </c>
      <c r="K151" s="297"/>
      <c r="L151" s="315"/>
      <c r="M151" s="294"/>
    </row>
    <row r="152" spans="1:13" s="1" customFormat="1" x14ac:dyDescent="0.15">
      <c r="A152" s="294"/>
      <c r="B152" s="314"/>
      <c r="C152" s="297"/>
      <c r="D152" s="297"/>
      <c r="E152" s="297"/>
      <c r="F152" s="297"/>
      <c r="G152" s="297"/>
      <c r="H152" s="297"/>
      <c r="I152" s="297"/>
      <c r="J152" s="297"/>
      <c r="K152" s="297"/>
      <c r="L152" s="315"/>
      <c r="M152" s="294"/>
    </row>
    <row r="153" spans="1:13" s="1" customFormat="1" x14ac:dyDescent="0.15">
      <c r="A153" s="294"/>
      <c r="B153" s="314"/>
      <c r="C153" s="297"/>
      <c r="D153" s="297"/>
      <c r="E153" s="297"/>
      <c r="F153" s="297"/>
      <c r="G153" s="297"/>
      <c r="H153" s="297"/>
      <c r="I153" s="297"/>
      <c r="J153" s="297"/>
      <c r="K153" s="297"/>
      <c r="L153" s="315"/>
      <c r="M153" s="294"/>
    </row>
    <row r="154" spans="1:13" s="1" customFormat="1" x14ac:dyDescent="0.15">
      <c r="A154" s="294"/>
      <c r="B154" s="314"/>
      <c r="C154" s="297"/>
      <c r="D154" s="297"/>
      <c r="E154" s="297"/>
      <c r="F154" s="297"/>
      <c r="G154" s="297"/>
      <c r="H154" s="297"/>
      <c r="I154" s="297"/>
      <c r="J154" s="297"/>
      <c r="K154" s="297"/>
      <c r="L154" s="315"/>
      <c r="M154" s="294"/>
    </row>
    <row r="155" spans="1:13" s="1" customFormat="1" x14ac:dyDescent="0.15">
      <c r="A155" s="294"/>
      <c r="B155" s="314"/>
      <c r="C155" s="297"/>
      <c r="D155" s="297"/>
      <c r="E155" s="297"/>
      <c r="F155" s="297"/>
      <c r="G155" s="297"/>
      <c r="H155" s="297"/>
      <c r="I155" s="297"/>
      <c r="J155" s="297"/>
      <c r="K155" s="297"/>
      <c r="L155" s="315"/>
      <c r="M155" s="294"/>
    </row>
    <row r="156" spans="1:13" s="1" customFormat="1" x14ac:dyDescent="0.15">
      <c r="A156" s="294"/>
      <c r="B156" s="314"/>
      <c r="C156" s="297"/>
      <c r="D156" s="297"/>
      <c r="E156" s="297"/>
      <c r="F156" s="297"/>
      <c r="G156" s="297"/>
      <c r="H156" s="297"/>
      <c r="I156" s="297"/>
      <c r="J156" s="297"/>
      <c r="K156" s="297"/>
      <c r="L156" s="315"/>
      <c r="M156" s="294"/>
    </row>
    <row r="157" spans="1:13" s="1" customFormat="1" x14ac:dyDescent="0.15">
      <c r="A157" s="294"/>
      <c r="B157" s="314"/>
      <c r="C157" s="297"/>
      <c r="D157" s="297"/>
      <c r="E157" s="297"/>
      <c r="F157" s="297"/>
      <c r="G157" s="297"/>
      <c r="H157" s="297"/>
      <c r="I157" s="297"/>
      <c r="J157" s="297"/>
      <c r="K157" s="297"/>
      <c r="L157" s="315"/>
      <c r="M157" s="294"/>
    </row>
    <row r="158" spans="1:13" s="1" customFormat="1" x14ac:dyDescent="0.15">
      <c r="A158" s="294"/>
      <c r="B158" s="314"/>
      <c r="C158" s="297"/>
      <c r="D158" s="297"/>
      <c r="E158" s="297"/>
      <c r="F158" s="297"/>
      <c r="G158" s="297"/>
      <c r="H158" s="297"/>
      <c r="I158" s="297"/>
      <c r="J158" s="297"/>
      <c r="K158" s="297"/>
      <c r="L158" s="315"/>
      <c r="M158" s="294"/>
    </row>
    <row r="159" spans="1:13" s="1" customFormat="1" x14ac:dyDescent="0.15">
      <c r="A159" s="294"/>
      <c r="B159" s="314"/>
      <c r="C159" s="297"/>
      <c r="D159" s="297"/>
      <c r="E159" s="297"/>
      <c r="F159" s="297"/>
      <c r="G159" s="297"/>
      <c r="H159" s="297"/>
      <c r="I159" s="297"/>
      <c r="J159" s="297"/>
      <c r="K159" s="297"/>
      <c r="L159" s="315"/>
      <c r="M159" s="294"/>
    </row>
    <row r="160" spans="1:13" s="1" customFormat="1" x14ac:dyDescent="0.15">
      <c r="A160" s="294"/>
      <c r="B160" s="314"/>
      <c r="C160" s="297"/>
      <c r="D160" s="297"/>
      <c r="E160" s="297"/>
      <c r="F160" s="297"/>
      <c r="G160" s="297"/>
      <c r="H160" s="297"/>
      <c r="I160" s="297"/>
      <c r="J160" s="297"/>
      <c r="K160" s="297"/>
      <c r="L160" s="315"/>
      <c r="M160" s="294"/>
    </row>
    <row r="161" spans="1:13" s="1" customFormat="1" x14ac:dyDescent="0.15">
      <c r="A161" s="294"/>
      <c r="B161" s="314"/>
      <c r="C161" s="297"/>
      <c r="D161" s="297"/>
      <c r="E161" s="297"/>
      <c r="F161" s="297"/>
      <c r="G161" s="297"/>
      <c r="H161" s="297"/>
      <c r="I161" s="297"/>
      <c r="J161" s="297"/>
      <c r="K161" s="297"/>
      <c r="L161" s="315"/>
      <c r="M161" s="294"/>
    </row>
    <row r="162" spans="1:13" s="1" customFormat="1" x14ac:dyDescent="0.15">
      <c r="A162" s="294"/>
      <c r="B162" s="314"/>
      <c r="C162" s="297"/>
      <c r="D162" s="297"/>
      <c r="E162" s="297"/>
      <c r="F162" s="297"/>
      <c r="G162" s="297"/>
      <c r="H162" s="297"/>
      <c r="I162" s="297"/>
      <c r="J162" s="297"/>
      <c r="K162" s="297"/>
      <c r="L162" s="315"/>
      <c r="M162" s="294"/>
    </row>
    <row r="163" spans="1:13" s="1" customFormat="1" x14ac:dyDescent="0.15">
      <c r="A163" s="294"/>
      <c r="B163" s="314"/>
      <c r="C163" s="297"/>
      <c r="D163" s="297"/>
      <c r="E163" s="297"/>
      <c r="F163" s="297"/>
      <c r="G163" s="297"/>
      <c r="H163" s="297"/>
      <c r="I163" s="297"/>
      <c r="J163" s="297"/>
      <c r="K163" s="297"/>
      <c r="L163" s="315"/>
      <c r="M163" s="294"/>
    </row>
    <row r="164" spans="1:13" s="1" customFormat="1" x14ac:dyDescent="0.15">
      <c r="A164" s="294"/>
      <c r="B164" s="314"/>
      <c r="C164" s="297"/>
      <c r="D164" s="297"/>
      <c r="E164" s="297"/>
      <c r="F164" s="297"/>
      <c r="G164" s="297"/>
      <c r="H164" s="297"/>
      <c r="I164" s="297"/>
      <c r="J164" s="297"/>
      <c r="K164" s="297"/>
      <c r="L164" s="315"/>
      <c r="M164" s="294"/>
    </row>
    <row r="165" spans="1:13" s="1" customFormat="1" x14ac:dyDescent="0.15">
      <c r="A165" s="294"/>
      <c r="B165" s="314"/>
      <c r="C165" s="297"/>
      <c r="D165" s="297"/>
      <c r="E165" s="297"/>
      <c r="F165" s="297"/>
      <c r="G165" s="297"/>
      <c r="H165" s="297"/>
      <c r="I165" s="297"/>
      <c r="J165" s="297"/>
      <c r="K165" s="297"/>
      <c r="L165" s="315"/>
      <c r="M165" s="294"/>
    </row>
    <row r="166" spans="1:13" x14ac:dyDescent="0.15">
      <c r="A166" s="297"/>
      <c r="B166" s="314"/>
      <c r="C166" s="297"/>
      <c r="D166" s="297"/>
      <c r="E166" s="297"/>
      <c r="F166" s="297"/>
      <c r="G166" s="297"/>
      <c r="H166" s="297"/>
      <c r="I166" s="297"/>
      <c r="J166" s="297"/>
      <c r="K166" s="297"/>
      <c r="L166" s="315"/>
      <c r="M166" s="297"/>
    </row>
    <row r="167" spans="1:13" x14ac:dyDescent="0.15">
      <c r="A167" s="297"/>
      <c r="B167" s="314"/>
      <c r="C167" s="297"/>
      <c r="D167" s="297"/>
      <c r="E167" s="297"/>
      <c r="F167" s="297"/>
      <c r="G167" s="297"/>
      <c r="H167" s="297"/>
      <c r="I167" s="297"/>
      <c r="J167" s="297"/>
      <c r="K167" s="297"/>
      <c r="L167" s="315"/>
      <c r="M167" s="297"/>
    </row>
    <row r="168" spans="1:13" x14ac:dyDescent="0.15">
      <c r="A168" s="297"/>
      <c r="B168" s="466"/>
      <c r="C168" s="467"/>
      <c r="D168" s="467"/>
      <c r="E168" s="467"/>
      <c r="F168" s="467"/>
      <c r="G168" s="467"/>
      <c r="H168" s="467"/>
      <c r="I168" s="467"/>
      <c r="J168" s="467"/>
      <c r="K168" s="467"/>
      <c r="L168" s="468"/>
      <c r="M168" s="297"/>
    </row>
    <row r="169" spans="1:13" x14ac:dyDescent="0.15">
      <c r="A169" s="297"/>
      <c r="B169" s="297"/>
      <c r="C169" s="297"/>
      <c r="D169" s="297"/>
      <c r="E169" s="297"/>
      <c r="F169" s="297"/>
      <c r="G169" s="297"/>
      <c r="H169" s="297"/>
      <c r="I169" s="297"/>
      <c r="J169" s="297"/>
      <c r="K169" s="297"/>
      <c r="L169" s="297"/>
      <c r="M169" s="297"/>
    </row>
  </sheetData>
  <sheetProtection algorithmName="SHA-512" hashValue="76qtU9rCA20PNPsAzbY6kTzRhFotTA/g7Tk5I8IGjepJcZPH2Aq5Ah0j14eGAtlIYF90Lu4pl/erEpIZRb0AGw==" saltValue="sKKDVCHGe/lTmVagcazWug==" spinCount="100000" sheet="1" objects="1" scenarios="1" formatColumns="0" autoFilter="0"/>
  <mergeCells count="9">
    <mergeCell ref="B4:B7"/>
    <mergeCell ref="B106:B107"/>
    <mergeCell ref="K136:L137"/>
    <mergeCell ref="K106:L107"/>
    <mergeCell ref="K91:L92"/>
    <mergeCell ref="K48:L49"/>
    <mergeCell ref="B136:B137"/>
    <mergeCell ref="B48:B49"/>
    <mergeCell ref="B91:B92"/>
  </mergeCells>
  <hyperlinks>
    <hyperlink ref="B1" location="Instructions!B3" display="Instructions" xr:uid="{AC9AE9F8-77C4-4FA5-8AD2-CAF03EE97E6F}"/>
    <hyperlink ref="B2" location="FinanceData!H2" display="Goto Simulation Scenario Selection" xr:uid="{0B043ED9-50DB-4FFD-A788-0B8E7AEB5AC4}"/>
  </hyperlinks>
  <printOptions horizontalCentered="1"/>
  <pageMargins left="0.19685039370078741" right="0.19685039370078741" top="0.39370078740157483" bottom="0.19685039370078741" header="0.19685039370078741" footer="0.19685039370078741"/>
  <pageSetup paperSize="9" scale="84" fitToHeight="4" orientation="landscape" r:id="rId2"/>
  <headerFooter>
    <oddFooter>&amp;L&amp;F - &amp;A&amp;R| &amp;D | &amp;P/&amp;N</oddFooter>
  </headerFooter>
  <rowBreaks count="3" manualBreakCount="3">
    <brk id="57" max="16383" man="1"/>
    <brk id="104" max="16383" man="1"/>
    <brk id="134" max="16383" man="1"/>
  </rowBreak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43B79-1597-4D75-AC46-E7B56A03DFB5}">
  <sheetPr codeName="Sheet9">
    <tabColor rgb="FF92D050"/>
  </sheetPr>
  <dimension ref="A1:K133"/>
  <sheetViews>
    <sheetView zoomScale="80" zoomScaleNormal="80" workbookViewId="0">
      <pane ySplit="6" topLeftCell="A7" activePane="bottomLeft" state="frozen"/>
      <selection activeCell="D2" sqref="D2"/>
      <selection pane="bottomLeft" activeCell="B7" sqref="B7:B10"/>
    </sheetView>
  </sheetViews>
  <sheetFormatPr baseColWidth="10" defaultColWidth="0" defaultRowHeight="13" zeroHeight="1" x14ac:dyDescent="0.15"/>
  <cols>
    <col min="1" max="1" width="2.7109375" style="163" customWidth="1"/>
    <col min="2" max="2" width="35.7109375" style="220" customWidth="1"/>
    <col min="3" max="4" width="12.7109375" style="220" customWidth="1"/>
    <col min="5" max="10" width="12.7109375" style="221" customWidth="1"/>
    <col min="11" max="11" width="2.7109375" style="163" customWidth="1"/>
    <col min="12" max="16384" width="7.140625" style="163" hidden="1"/>
  </cols>
  <sheetData>
    <row r="1" spans="1:11" x14ac:dyDescent="0.15">
      <c r="A1" s="297"/>
      <c r="B1" s="290" t="s">
        <v>153</v>
      </c>
      <c r="C1" s="322"/>
      <c r="D1" s="322"/>
      <c r="E1" s="322"/>
      <c r="F1" s="322"/>
      <c r="G1" s="322"/>
      <c r="H1" s="322"/>
      <c r="I1" s="322"/>
      <c r="J1" s="322"/>
      <c r="K1" s="297"/>
    </row>
    <row r="2" spans="1:11" x14ac:dyDescent="0.15">
      <c r="A2" s="297"/>
      <c r="B2" s="290" t="s">
        <v>1425</v>
      </c>
      <c r="C2" s="322"/>
      <c r="D2" s="322"/>
      <c r="E2" s="322"/>
      <c r="F2" s="322"/>
      <c r="G2" s="322"/>
      <c r="H2" s="322"/>
      <c r="I2" s="322"/>
      <c r="J2" s="322"/>
      <c r="K2" s="297"/>
    </row>
    <row r="3" spans="1:11" x14ac:dyDescent="0.15">
      <c r="A3" s="297"/>
      <c r="B3" s="789" t="str">
        <f>VLOOKUP("EXCHANGE RATE LOCAL CURRENCY / EURO",TableInputsData[],ReadMe!$M$3,FALSE)</f>
        <v>TAUX DE CHANGE MONNAIE LOCALE / EURO</v>
      </c>
      <c r="C3" s="790"/>
      <c r="D3" s="790"/>
      <c r="E3" s="791"/>
      <c r="F3" s="792">
        <f>InputsData!$J$9</f>
        <v>655.95699999999999</v>
      </c>
      <c r="G3" s="793"/>
      <c r="H3" s="793"/>
      <c r="I3" s="793"/>
      <c r="J3" s="794"/>
      <c r="K3" s="297"/>
    </row>
    <row r="4" spans="1:11" x14ac:dyDescent="0.15">
      <c r="A4" s="297"/>
      <c r="B4" s="795" t="str">
        <f>VLOOKUP("CONVERSION DATE",TableInputsData[],ReadMe!$M$3,FALSE)</f>
        <v>DATE DE CONVERSION</v>
      </c>
      <c r="C4" s="796"/>
      <c r="D4" s="796"/>
      <c r="E4" s="797"/>
      <c r="F4" s="798">
        <f>InputsData!J10</f>
        <v>45937</v>
      </c>
      <c r="G4" s="322"/>
      <c r="H4" s="322"/>
      <c r="I4" s="322"/>
      <c r="J4" s="327"/>
      <c r="K4" s="297"/>
    </row>
    <row r="5" spans="1:11" x14ac:dyDescent="0.15">
      <c r="A5" s="297"/>
      <c r="B5" s="549"/>
      <c r="C5" s="420"/>
      <c r="D5" s="420"/>
      <c r="E5" s="799"/>
      <c r="F5" s="800"/>
      <c r="G5" s="330"/>
      <c r="H5" s="330"/>
      <c r="I5" s="330"/>
      <c r="J5" s="331"/>
      <c r="K5" s="297"/>
    </row>
    <row r="6" spans="1:11" x14ac:dyDescent="0.15">
      <c r="A6" s="297"/>
      <c r="B6" s="323" t="str">
        <f>VLOOKUP("CURRENCY",TableInputsData[],ReadMe!$M$3,FALSE)&amp;" : EUR"</f>
        <v>MONNAIE : EUR</v>
      </c>
      <c r="C6" s="417" t="str">
        <f>FinanceData!$H$2&amp;" "&amp;VLOOKUP("SIMULATION SCENARIO",TableInputsData[],ReadMe!$M$3,FALSE)</f>
        <v>TYPICAL CASE SCENARIO DE SIMULATION</v>
      </c>
      <c r="D6" s="417"/>
      <c r="E6" s="324"/>
      <c r="F6" s="324"/>
      <c r="G6" s="324"/>
      <c r="H6" s="324"/>
      <c r="I6" s="324"/>
      <c r="J6" s="325" t="str">
        <f>InputsData!$J$2</f>
        <v>STRICTEMENT CONFIDENTIEL | ABC CORPORATION</v>
      </c>
      <c r="K6" s="297"/>
    </row>
    <row r="7" spans="1:11" ht="28" x14ac:dyDescent="0.15">
      <c r="A7" s="297"/>
      <c r="B7" s="979" t="str">
        <f>VLOOKUP("REVENUE IN EUR",TableInputsData[],ReadMe!$M$3,FALSE)</f>
        <v>CHIFFRE D'AFFAIRES EN EUR</v>
      </c>
      <c r="C7" s="418" t="str">
        <f>VLOOKUP(C8,TableInputsData[],ReadMe!$M$3,FALSE)</f>
        <v>ANNEE-2</v>
      </c>
      <c r="D7" s="418" t="str">
        <f>VLOOKUP(D8,TableInputsData[],ReadMe!$M$3,FALSE)</f>
        <v>ANNEE-1</v>
      </c>
      <c r="E7" s="222" t="str">
        <f>VLOOKUP(E8,TableInputsData[],ReadMe!$M$3,FALSE)</f>
        <v>ANNEE EN COURS</v>
      </c>
      <c r="F7" s="222" t="str">
        <f>VLOOKUP(F8,TableInputsData[],ReadMe!$M$3,FALSE)</f>
        <v>ANNEE2</v>
      </c>
      <c r="G7" s="222" t="str">
        <f>VLOOKUP(G8,TableInputsData[],ReadMe!$M$3,FALSE)</f>
        <v>ANNEE3</v>
      </c>
      <c r="H7" s="222" t="str">
        <f>VLOOKUP(H8,TableInputsData[],ReadMe!$M$3,FALSE)</f>
        <v>ANNEE4</v>
      </c>
      <c r="I7" s="222" t="str">
        <f>VLOOKUP(I8,TableInputsData[],ReadMe!$M$3,FALSE)</f>
        <v>ANNEE5</v>
      </c>
      <c r="J7" s="223" t="str">
        <f>VLOOKUP(J8,TableInputsData[],ReadMe!$M$3,FALSE)</f>
        <v>ANNEE6</v>
      </c>
      <c r="K7" s="297"/>
    </row>
    <row r="8" spans="1:11" ht="14" hidden="1" x14ac:dyDescent="0.15">
      <c r="A8" s="297"/>
      <c r="B8" s="980"/>
      <c r="C8" s="470" t="s">
        <v>392</v>
      </c>
      <c r="D8" s="470" t="s">
        <v>391</v>
      </c>
      <c r="E8" s="235" t="s">
        <v>393</v>
      </c>
      <c r="F8" s="235" t="s">
        <v>396</v>
      </c>
      <c r="G8" s="235" t="s">
        <v>397</v>
      </c>
      <c r="H8" s="235" t="s">
        <v>398</v>
      </c>
      <c r="I8" s="235" t="s">
        <v>399</v>
      </c>
      <c r="J8" s="471" t="s">
        <v>400</v>
      </c>
      <c r="K8" s="297"/>
    </row>
    <row r="9" spans="1:11" ht="14" x14ac:dyDescent="0.15">
      <c r="A9" s="297"/>
      <c r="B9" s="981" t="str">
        <f>VLOOKUP("OPERATING EXPENSES",TableInputsData[],ReadMe!$M$3,FALSE)</f>
        <v>DEPENSES OPERATIONNELLES</v>
      </c>
      <c r="C9" s="224" t="str">
        <f>VLOOKUP(C8,TableInputsData[],7,FALSE)</f>
        <v>ACTUAL</v>
      </c>
      <c r="D9" s="224" t="str">
        <f>VLOOKUP(D8,TableInputsData[],7,FALSE)</f>
        <v>ACTUAL</v>
      </c>
      <c r="E9" s="224" t="str">
        <f>VLOOKUP(E8,TableInputsData[],7,FALSE)</f>
        <v>FORECAST</v>
      </c>
      <c r="F9" s="224" t="str">
        <f>VLOOKUP(F8,TableInputsData[],7,FALSE)</f>
        <v>FORECAST</v>
      </c>
      <c r="G9" s="224" t="str">
        <f>VLOOKUP(G8,TableInputsData[],7,FALSE)</f>
        <v>FORECAST</v>
      </c>
      <c r="H9" s="224" t="str">
        <f>VLOOKUP(H8,TableInputsData[],7,FALSE)</f>
        <v>FORECAST</v>
      </c>
      <c r="I9" s="224" t="str">
        <f>VLOOKUP(I8,TableInputsData[],7,FALSE)</f>
        <v>FORECAST</v>
      </c>
      <c r="J9" s="225" t="str">
        <f>VLOOKUP(J8,TableInputsData[],7,FALSE)</f>
        <v>FORECAST</v>
      </c>
      <c r="K9" s="297"/>
    </row>
    <row r="10" spans="1:11" x14ac:dyDescent="0.15">
      <c r="A10" s="297"/>
      <c r="B10" s="981" t="str">
        <f>VLOOKUP("OPERATING EXPENSES",TableInputsData[],ReadMe!$M$3,FALSE)</f>
        <v>DEPENSES OPERATIONNELLES</v>
      </c>
      <c r="C10" s="224">
        <f>VLOOKUP(C8,TableInputsData[],8,FALSE)</f>
        <v>2023</v>
      </c>
      <c r="D10" s="224">
        <f>VLOOKUP(D8,TableInputsData[],8,FALSE)</f>
        <v>2024</v>
      </c>
      <c r="E10" s="224">
        <f>VLOOKUP(E8,TableInputsData[],8,FALSE)</f>
        <v>2025</v>
      </c>
      <c r="F10" s="224">
        <f>VLOOKUP(F8,TableInputsData[],8,FALSE)</f>
        <v>2026</v>
      </c>
      <c r="G10" s="224">
        <f>VLOOKUP(G8,TableInputsData[],8,FALSE)</f>
        <v>2027</v>
      </c>
      <c r="H10" s="224">
        <f>VLOOKUP(H8,TableInputsData[],8,FALSE)</f>
        <v>2028</v>
      </c>
      <c r="I10" s="224">
        <f>VLOOKUP(I8,TableInputsData[],8,FALSE)</f>
        <v>2029</v>
      </c>
      <c r="J10" s="225">
        <f>VLOOKUP(J8,TableInputsData[],8,FALSE)</f>
        <v>2030</v>
      </c>
      <c r="K10" s="297"/>
    </row>
    <row r="11" spans="1:11" x14ac:dyDescent="0.15">
      <c r="A11" s="297"/>
      <c r="B11" s="226" t="str">
        <f>VLOOKUP("REVENUE",TableInputsData[],ReadMe!$M$3,FALSE)</f>
        <v>CHIFFRE D'AFFAIRES</v>
      </c>
      <c r="C11" s="227">
        <f>FinancePivot!G16/FinanceEUR!$F$3</f>
        <v>0</v>
      </c>
      <c r="D11" s="227">
        <f>FinancePivot!H16/FinanceEUR!$F$3</f>
        <v>0</v>
      </c>
      <c r="E11" s="227">
        <f>FinancePivot!I16/FinanceEUR!$F$3</f>
        <v>0</v>
      </c>
      <c r="F11" s="227">
        <f>FinancePivot!J16/FinanceEUR!$F$3</f>
        <v>0</v>
      </c>
      <c r="G11" s="227">
        <f>FinancePivot!K16/FinanceEUR!$F$3</f>
        <v>0</v>
      </c>
      <c r="H11" s="227">
        <f>FinancePivot!L16/FinanceEUR!$F$3</f>
        <v>0</v>
      </c>
      <c r="I11" s="227">
        <f>FinancePivot!M16/FinanceEUR!$F$3</f>
        <v>0</v>
      </c>
      <c r="J11" s="228">
        <f>FinancePivot!N16/FinanceEUR!$F$3</f>
        <v>0</v>
      </c>
      <c r="K11" s="297"/>
    </row>
    <row r="12" spans="1:11" x14ac:dyDescent="0.15">
      <c r="A12" s="297"/>
      <c r="B12" s="226" t="str">
        <f>VLOOKUP("BREAK-EVEN REVENUE",TableInputsData[],ReadMe!$M$3,FALSE)</f>
        <v>BREAK-EVEN CHIFFRE D'AFFAIRES</v>
      </c>
      <c r="C12" s="227">
        <f>FinancePivot!G110/FinanceEUR!$F$3</f>
        <v>0</v>
      </c>
      <c r="D12" s="227">
        <f>FinancePivot!H110/FinanceEUR!$F$3</f>
        <v>0</v>
      </c>
      <c r="E12" s="227">
        <f>FinancePivot!I110/FinanceEUR!$F$3</f>
        <v>0</v>
      </c>
      <c r="F12" s="227">
        <f>FinancePivot!J110/FinanceEUR!$F$3</f>
        <v>0</v>
      </c>
      <c r="G12" s="227">
        <f>FinancePivot!K110/FinanceEUR!$F$3</f>
        <v>0</v>
      </c>
      <c r="H12" s="227">
        <f>FinancePivot!L110/FinanceEUR!$F$3</f>
        <v>0</v>
      </c>
      <c r="I12" s="227">
        <f>FinancePivot!M110/FinanceEUR!$F$3</f>
        <v>0</v>
      </c>
      <c r="J12" s="228">
        <f>FinancePivot!N110/FinanceEUR!$F$3</f>
        <v>0</v>
      </c>
      <c r="K12" s="297"/>
    </row>
    <row r="13" spans="1:11" x14ac:dyDescent="0.15">
      <c r="A13" s="297"/>
      <c r="B13" s="229" t="s">
        <v>1878</v>
      </c>
      <c r="C13" s="230">
        <f>IF(C11=0,0,C12/C11)</f>
        <v>0</v>
      </c>
      <c r="D13" s="230">
        <f t="shared" ref="D13:J13" si="0">IF(D11=0,0,D12/D11)</f>
        <v>0</v>
      </c>
      <c r="E13" s="230">
        <f t="shared" si="0"/>
        <v>0</v>
      </c>
      <c r="F13" s="230">
        <f t="shared" si="0"/>
        <v>0</v>
      </c>
      <c r="G13" s="230">
        <f t="shared" si="0"/>
        <v>0</v>
      </c>
      <c r="H13" s="230">
        <f t="shared" si="0"/>
        <v>0</v>
      </c>
      <c r="I13" s="230">
        <f t="shared" si="0"/>
        <v>0</v>
      </c>
      <c r="J13" s="231">
        <f t="shared" si="0"/>
        <v>0</v>
      </c>
      <c r="K13" s="297"/>
    </row>
    <row r="14" spans="1:11" x14ac:dyDescent="0.15">
      <c r="A14" s="297"/>
      <c r="B14" s="326"/>
      <c r="C14" s="332"/>
      <c r="D14" s="332"/>
      <c r="E14" s="322"/>
      <c r="F14" s="322"/>
      <c r="G14" s="322"/>
      <c r="H14" s="322"/>
      <c r="I14" s="322"/>
      <c r="J14" s="327"/>
      <c r="K14" s="297"/>
    </row>
    <row r="15" spans="1:11" x14ac:dyDescent="0.15">
      <c r="A15" s="297"/>
      <c r="B15" s="326" t="str">
        <f>B7&amp;CHAR(10)&amp;C6</f>
        <v>CHIFFRE D'AFFAIRES EN EUR
TYPICAL CASE SCENARIO DE SIMULATION</v>
      </c>
      <c r="C15" s="332"/>
      <c r="D15" s="332"/>
      <c r="E15" s="322"/>
      <c r="F15" s="322"/>
      <c r="G15" s="322"/>
      <c r="H15" s="322"/>
      <c r="I15" s="322"/>
      <c r="J15" s="327"/>
      <c r="K15" s="297"/>
    </row>
    <row r="16" spans="1:11" x14ac:dyDescent="0.15">
      <c r="A16" s="297"/>
      <c r="B16" s="326"/>
      <c r="C16" s="332"/>
      <c r="D16" s="332"/>
      <c r="E16" s="322"/>
      <c r="F16" s="322"/>
      <c r="G16" s="322"/>
      <c r="H16" s="322"/>
      <c r="I16" s="322"/>
      <c r="J16" s="327"/>
      <c r="K16" s="297"/>
    </row>
    <row r="17" spans="1:11" x14ac:dyDescent="0.15">
      <c r="A17" s="297"/>
      <c r="B17" s="326"/>
      <c r="C17" s="332"/>
      <c r="D17" s="332"/>
      <c r="E17" s="322"/>
      <c r="F17" s="322"/>
      <c r="G17" s="322"/>
      <c r="H17" s="322"/>
      <c r="I17" s="322"/>
      <c r="J17" s="327"/>
      <c r="K17" s="297"/>
    </row>
    <row r="18" spans="1:11" x14ac:dyDescent="0.15">
      <c r="A18" s="297"/>
      <c r="B18" s="326"/>
      <c r="C18" s="332"/>
      <c r="D18" s="332"/>
      <c r="E18" s="322"/>
      <c r="F18" s="322"/>
      <c r="G18" s="322"/>
      <c r="H18" s="322"/>
      <c r="I18" s="322"/>
      <c r="J18" s="327"/>
      <c r="K18" s="297"/>
    </row>
    <row r="19" spans="1:11" x14ac:dyDescent="0.15">
      <c r="A19" s="297"/>
      <c r="B19" s="326"/>
      <c r="C19" s="332"/>
      <c r="D19" s="332"/>
      <c r="E19" s="322"/>
      <c r="F19" s="322"/>
      <c r="G19" s="322"/>
      <c r="H19" s="322"/>
      <c r="I19" s="322"/>
      <c r="J19" s="327"/>
      <c r="K19" s="297"/>
    </row>
    <row r="20" spans="1:11" x14ac:dyDescent="0.15">
      <c r="A20" s="297"/>
      <c r="B20" s="326"/>
      <c r="C20" s="332"/>
      <c r="D20" s="332"/>
      <c r="E20" s="322"/>
      <c r="F20" s="322"/>
      <c r="G20" s="322"/>
      <c r="H20" s="322"/>
      <c r="I20" s="322"/>
      <c r="J20" s="327"/>
      <c r="K20" s="297"/>
    </row>
    <row r="21" spans="1:11" x14ac:dyDescent="0.15">
      <c r="A21" s="297"/>
      <c r="B21" s="326"/>
      <c r="C21" s="332"/>
      <c r="D21" s="332"/>
      <c r="E21" s="322"/>
      <c r="F21" s="322"/>
      <c r="G21" s="322"/>
      <c r="H21" s="322"/>
      <c r="I21" s="322"/>
      <c r="J21" s="327"/>
      <c r="K21" s="297"/>
    </row>
    <row r="22" spans="1:11" x14ac:dyDescent="0.15">
      <c r="A22" s="297"/>
      <c r="B22" s="326"/>
      <c r="C22" s="332"/>
      <c r="D22" s="332"/>
      <c r="E22" s="322"/>
      <c r="F22" s="322"/>
      <c r="G22" s="322"/>
      <c r="H22" s="322"/>
      <c r="I22" s="322"/>
      <c r="J22" s="327"/>
      <c r="K22" s="297"/>
    </row>
    <row r="23" spans="1:11" x14ac:dyDescent="0.15">
      <c r="A23" s="297"/>
      <c r="B23" s="326"/>
      <c r="C23" s="332"/>
      <c r="D23" s="332"/>
      <c r="E23" s="322"/>
      <c r="F23" s="322"/>
      <c r="G23" s="322"/>
      <c r="H23" s="322"/>
      <c r="I23" s="322"/>
      <c r="J23" s="327"/>
      <c r="K23" s="297"/>
    </row>
    <row r="24" spans="1:11" x14ac:dyDescent="0.15">
      <c r="A24" s="297"/>
      <c r="B24" s="326"/>
      <c r="C24" s="332"/>
      <c r="D24" s="332"/>
      <c r="E24" s="322"/>
      <c r="F24" s="322"/>
      <c r="G24" s="322"/>
      <c r="H24" s="322"/>
      <c r="I24" s="322"/>
      <c r="J24" s="327"/>
      <c r="K24" s="297"/>
    </row>
    <row r="25" spans="1:11" x14ac:dyDescent="0.15">
      <c r="A25" s="297"/>
      <c r="B25" s="326"/>
      <c r="C25" s="332"/>
      <c r="D25" s="332"/>
      <c r="E25" s="322"/>
      <c r="F25" s="322"/>
      <c r="G25" s="322"/>
      <c r="H25" s="322"/>
      <c r="I25" s="322"/>
      <c r="J25" s="327"/>
      <c r="K25" s="297"/>
    </row>
    <row r="26" spans="1:11" x14ac:dyDescent="0.15">
      <c r="A26" s="297"/>
      <c r="B26" s="326"/>
      <c r="C26" s="332"/>
      <c r="D26" s="332"/>
      <c r="E26" s="322"/>
      <c r="F26" s="322"/>
      <c r="G26" s="322"/>
      <c r="H26" s="322"/>
      <c r="I26" s="322"/>
      <c r="J26" s="327"/>
      <c r="K26" s="297"/>
    </row>
    <row r="27" spans="1:11" x14ac:dyDescent="0.15">
      <c r="A27" s="297"/>
      <c r="B27" s="326"/>
      <c r="C27" s="332"/>
      <c r="D27" s="332"/>
      <c r="E27" s="322"/>
      <c r="F27" s="322"/>
      <c r="G27" s="322"/>
      <c r="H27" s="322"/>
      <c r="I27" s="322"/>
      <c r="J27" s="327"/>
      <c r="K27" s="297"/>
    </row>
    <row r="28" spans="1:11" x14ac:dyDescent="0.15">
      <c r="A28" s="297"/>
      <c r="B28" s="326"/>
      <c r="C28" s="332"/>
      <c r="D28" s="332"/>
      <c r="E28" s="322"/>
      <c r="F28" s="322"/>
      <c r="G28" s="322"/>
      <c r="H28" s="322"/>
      <c r="I28" s="322"/>
      <c r="J28" s="327"/>
      <c r="K28" s="297"/>
    </row>
    <row r="29" spans="1:11" x14ac:dyDescent="0.15">
      <c r="A29" s="297"/>
      <c r="B29" s="326"/>
      <c r="C29" s="332"/>
      <c r="D29" s="332"/>
      <c r="E29" s="322"/>
      <c r="F29" s="322"/>
      <c r="G29" s="322"/>
      <c r="H29" s="322"/>
      <c r="I29" s="322"/>
      <c r="J29" s="327"/>
      <c r="K29" s="297"/>
    </row>
    <row r="30" spans="1:11" x14ac:dyDescent="0.15">
      <c r="A30" s="297"/>
      <c r="B30" s="326"/>
      <c r="C30" s="332"/>
      <c r="D30" s="332"/>
      <c r="E30" s="322"/>
      <c r="F30" s="322"/>
      <c r="G30" s="322"/>
      <c r="H30" s="322"/>
      <c r="I30" s="322"/>
      <c r="J30" s="327"/>
      <c r="K30" s="297"/>
    </row>
    <row r="31" spans="1:11" x14ac:dyDescent="0.15">
      <c r="A31" s="297"/>
      <c r="B31" s="326"/>
      <c r="C31" s="332"/>
      <c r="D31" s="332"/>
      <c r="E31" s="322"/>
      <c r="F31" s="322"/>
      <c r="G31" s="322"/>
      <c r="H31" s="322"/>
      <c r="I31" s="322"/>
      <c r="J31" s="327"/>
      <c r="K31" s="297"/>
    </row>
    <row r="32" spans="1:11" x14ac:dyDescent="0.15">
      <c r="A32" s="297"/>
      <c r="B32" s="326"/>
      <c r="C32" s="332"/>
      <c r="D32" s="332"/>
      <c r="E32" s="322"/>
      <c r="F32" s="322"/>
      <c r="G32" s="322"/>
      <c r="H32" s="322"/>
      <c r="I32" s="322"/>
      <c r="J32" s="327"/>
      <c r="K32" s="297"/>
    </row>
    <row r="33" spans="1:11" x14ac:dyDescent="0.15">
      <c r="A33" s="297"/>
      <c r="B33" s="326"/>
      <c r="C33" s="332"/>
      <c r="D33" s="332"/>
      <c r="E33" s="322"/>
      <c r="F33" s="322"/>
      <c r="G33" s="322"/>
      <c r="H33" s="322"/>
      <c r="I33" s="322"/>
      <c r="J33" s="327"/>
      <c r="K33" s="297"/>
    </row>
    <row r="34" spans="1:11" x14ac:dyDescent="0.15">
      <c r="A34" s="297"/>
      <c r="B34" s="326"/>
      <c r="C34" s="332"/>
      <c r="D34" s="332"/>
      <c r="E34" s="322"/>
      <c r="F34" s="322"/>
      <c r="G34" s="322"/>
      <c r="H34" s="322"/>
      <c r="I34" s="322"/>
      <c r="J34" s="327"/>
      <c r="K34" s="297"/>
    </row>
    <row r="35" spans="1:11" x14ac:dyDescent="0.15">
      <c r="A35" s="297"/>
      <c r="B35" s="326"/>
      <c r="C35" s="332"/>
      <c r="D35" s="332"/>
      <c r="E35" s="322"/>
      <c r="F35" s="322"/>
      <c r="G35" s="322"/>
      <c r="H35" s="322"/>
      <c r="I35" s="322"/>
      <c r="J35" s="327"/>
      <c r="K35" s="297"/>
    </row>
    <row r="36" spans="1:11" x14ac:dyDescent="0.15">
      <c r="A36" s="297"/>
      <c r="B36" s="326"/>
      <c r="C36" s="332"/>
      <c r="D36" s="332"/>
      <c r="E36" s="322"/>
      <c r="F36" s="322"/>
      <c r="G36" s="322"/>
      <c r="H36" s="322"/>
      <c r="I36" s="322"/>
      <c r="J36" s="327"/>
      <c r="K36" s="297"/>
    </row>
    <row r="37" spans="1:11" x14ac:dyDescent="0.15">
      <c r="A37" s="297"/>
      <c r="B37" s="326"/>
      <c r="C37" s="332"/>
      <c r="D37" s="332"/>
      <c r="E37" s="322"/>
      <c r="F37" s="322"/>
      <c r="G37" s="322"/>
      <c r="H37" s="322"/>
      <c r="I37" s="322"/>
      <c r="J37" s="327"/>
      <c r="K37" s="297"/>
    </row>
    <row r="38" spans="1:11" x14ac:dyDescent="0.15">
      <c r="A38" s="297"/>
      <c r="B38" s="326"/>
      <c r="C38" s="332"/>
      <c r="D38" s="332"/>
      <c r="E38" s="322"/>
      <c r="F38" s="322"/>
      <c r="G38" s="322"/>
      <c r="H38" s="322"/>
      <c r="I38" s="322"/>
      <c r="J38" s="327"/>
      <c r="K38" s="297"/>
    </row>
    <row r="39" spans="1:11" x14ac:dyDescent="0.15">
      <c r="A39" s="297"/>
      <c r="B39" s="326"/>
      <c r="C39" s="332"/>
      <c r="D39" s="332"/>
      <c r="E39" s="322"/>
      <c r="F39" s="322"/>
      <c r="G39" s="322"/>
      <c r="H39" s="322"/>
      <c r="I39" s="322"/>
      <c r="J39" s="327"/>
      <c r="K39" s="297"/>
    </row>
    <row r="40" spans="1:11" x14ac:dyDescent="0.15">
      <c r="A40" s="297"/>
      <c r="B40" s="326"/>
      <c r="C40" s="332"/>
      <c r="D40" s="332"/>
      <c r="E40" s="322"/>
      <c r="F40" s="322"/>
      <c r="G40" s="322"/>
      <c r="H40" s="322"/>
      <c r="I40" s="322"/>
      <c r="J40" s="327"/>
      <c r="K40" s="297"/>
    </row>
    <row r="41" spans="1:11" x14ac:dyDescent="0.15">
      <c r="A41" s="297"/>
      <c r="B41" s="326"/>
      <c r="C41" s="332"/>
      <c r="D41" s="332"/>
      <c r="E41" s="322"/>
      <c r="F41" s="322"/>
      <c r="G41" s="322"/>
      <c r="H41" s="322"/>
      <c r="I41" s="322"/>
      <c r="J41" s="327"/>
      <c r="K41" s="297"/>
    </row>
    <row r="42" spans="1:11" x14ac:dyDescent="0.15">
      <c r="A42" s="297"/>
      <c r="B42" s="326"/>
      <c r="C42" s="332"/>
      <c r="D42" s="332"/>
      <c r="E42" s="322"/>
      <c r="F42" s="322"/>
      <c r="G42" s="322"/>
      <c r="H42" s="322"/>
      <c r="I42" s="322"/>
      <c r="J42" s="327"/>
      <c r="K42" s="297"/>
    </row>
    <row r="43" spans="1:11" x14ac:dyDescent="0.15">
      <c r="A43" s="297"/>
      <c r="B43" s="326"/>
      <c r="C43" s="332"/>
      <c r="D43" s="332"/>
      <c r="E43" s="322"/>
      <c r="F43" s="322"/>
      <c r="G43" s="322"/>
      <c r="H43" s="322"/>
      <c r="I43" s="322"/>
      <c r="J43" s="327"/>
      <c r="K43" s="297"/>
    </row>
    <row r="44" spans="1:11" x14ac:dyDescent="0.15">
      <c r="A44" s="297"/>
      <c r="B44" s="326"/>
      <c r="C44" s="332"/>
      <c r="D44" s="332"/>
      <c r="E44" s="322"/>
      <c r="F44" s="322"/>
      <c r="G44" s="322"/>
      <c r="H44" s="322"/>
      <c r="I44" s="322"/>
      <c r="J44" s="327"/>
      <c r="K44" s="297"/>
    </row>
    <row r="45" spans="1:11" x14ac:dyDescent="0.15">
      <c r="A45" s="297"/>
      <c r="B45" s="326"/>
      <c r="C45" s="332"/>
      <c r="D45" s="332"/>
      <c r="E45" s="322"/>
      <c r="F45" s="322"/>
      <c r="G45" s="322"/>
      <c r="H45" s="322"/>
      <c r="I45" s="322"/>
      <c r="J45" s="327"/>
      <c r="K45" s="297"/>
    </row>
    <row r="46" spans="1:11" x14ac:dyDescent="0.15">
      <c r="A46" s="297"/>
      <c r="B46" s="326"/>
      <c r="C46" s="332"/>
      <c r="D46" s="332"/>
      <c r="E46" s="322"/>
      <c r="F46" s="322"/>
      <c r="G46" s="322"/>
      <c r="H46" s="322"/>
      <c r="I46" s="322"/>
      <c r="J46" s="327"/>
      <c r="K46" s="297"/>
    </row>
    <row r="47" spans="1:11" x14ac:dyDescent="0.15">
      <c r="A47" s="297"/>
      <c r="B47" s="549" t="str">
        <f>$B$6</f>
        <v>MONNAIE : EUR</v>
      </c>
      <c r="C47" s="420" t="str">
        <f>$C$6</f>
        <v>TYPICAL CASE SCENARIO DE SIMULATION</v>
      </c>
      <c r="D47" s="420"/>
      <c r="E47" s="330"/>
      <c r="F47" s="330"/>
      <c r="G47" s="330"/>
      <c r="H47" s="330"/>
      <c r="I47" s="330"/>
      <c r="J47" s="547" t="str">
        <f>InputsData!$J$2</f>
        <v>STRICTEMENT CONFIDENTIEL | ABC CORPORATION</v>
      </c>
      <c r="K47" s="297"/>
    </row>
    <row r="48" spans="1:11" ht="28" x14ac:dyDescent="0.15">
      <c r="A48" s="297"/>
      <c r="B48" s="982" t="str">
        <f>VLOOKUP("PROFIT AND LOSS STATEMENT",TableInputsData[],ReadMe!$M$3,FALSE)&amp;" + "&amp;VLOOKUP("CASH POSITION AT END OF PERIOD",TableInputsData[],ReadMe!$M$3,FALSE)</f>
        <v>COMPTE DE PERTES ET PROFITS + POSITION DE TRESORERIE FIN DE PERIODE</v>
      </c>
      <c r="C48" s="418" t="str">
        <f>VLOOKUP(C49,TableInputsData[],ReadMe!$M$3,FALSE)</f>
        <v>ANNEE-2</v>
      </c>
      <c r="D48" s="418" t="str">
        <f>VLOOKUP(D49,TableInputsData[],ReadMe!$M$3,FALSE)</f>
        <v>ANNEE-1</v>
      </c>
      <c r="E48" s="222" t="str">
        <f>VLOOKUP(E49,TableInputsData[],ReadMe!$M$3,FALSE)</f>
        <v>ANNEE EN COURS</v>
      </c>
      <c r="F48" s="222" t="str">
        <f>VLOOKUP(F49,TableInputsData[],ReadMe!$M$3,FALSE)</f>
        <v>ANNEE2</v>
      </c>
      <c r="G48" s="222" t="str">
        <f>VLOOKUP(G49,TableInputsData[],ReadMe!$M$3,FALSE)</f>
        <v>ANNEE3</v>
      </c>
      <c r="H48" s="222" t="str">
        <f>VLOOKUP(H49,TableInputsData[],ReadMe!$M$3,FALSE)</f>
        <v>ANNEE4</v>
      </c>
      <c r="I48" s="222" t="str">
        <f>VLOOKUP(I49,TableInputsData[],ReadMe!$M$3,FALSE)</f>
        <v>ANNEE5</v>
      </c>
      <c r="J48" s="223" t="str">
        <f>VLOOKUP(J49,TableInputsData[],ReadMe!$M$3,FALSE)</f>
        <v>ANNEE6</v>
      </c>
      <c r="K48" s="297"/>
    </row>
    <row r="49" spans="1:11" ht="14" hidden="1" x14ac:dyDescent="0.15">
      <c r="A49" s="297"/>
      <c r="B49" s="982" t="str">
        <f>VLOOKUP("GROSS PROFIT",TableInputsData[],ReadMe!$M$3,FALSE)</f>
        <v>MARGE BRUTE</v>
      </c>
      <c r="C49" s="470" t="s">
        <v>392</v>
      </c>
      <c r="D49" s="470" t="s">
        <v>391</v>
      </c>
      <c r="E49" s="235" t="s">
        <v>393</v>
      </c>
      <c r="F49" s="235" t="s">
        <v>396</v>
      </c>
      <c r="G49" s="235" t="s">
        <v>397</v>
      </c>
      <c r="H49" s="235" t="s">
        <v>398</v>
      </c>
      <c r="I49" s="235" t="s">
        <v>399</v>
      </c>
      <c r="J49" s="471" t="s">
        <v>400</v>
      </c>
      <c r="K49" s="297"/>
    </row>
    <row r="50" spans="1:11" ht="14" x14ac:dyDescent="0.15">
      <c r="A50" s="297"/>
      <c r="B50" s="983" t="str">
        <f>VLOOKUP("GROSS PROFIT",TableInputsData[],ReadMe!$M$3,FALSE)</f>
        <v>MARGE BRUTE</v>
      </c>
      <c r="C50" s="224" t="str">
        <f>VLOOKUP(C49,TableInputsData[],7,FALSE)</f>
        <v>ACTUAL</v>
      </c>
      <c r="D50" s="224" t="str">
        <f>VLOOKUP(D49,TableInputsData[],7,FALSE)</f>
        <v>ACTUAL</v>
      </c>
      <c r="E50" s="224" t="str">
        <f>VLOOKUP(E49,TableInputsData[],7,FALSE)</f>
        <v>FORECAST</v>
      </c>
      <c r="F50" s="224" t="str">
        <f>VLOOKUP(F49,TableInputsData[],7,FALSE)</f>
        <v>FORECAST</v>
      </c>
      <c r="G50" s="224" t="str">
        <f>VLOOKUP(G49,TableInputsData[],7,FALSE)</f>
        <v>FORECAST</v>
      </c>
      <c r="H50" s="224" t="str">
        <f>VLOOKUP(H49,TableInputsData[],7,FALSE)</f>
        <v>FORECAST</v>
      </c>
      <c r="I50" s="224" t="str">
        <f>VLOOKUP(I49,TableInputsData[],7,FALSE)</f>
        <v>FORECAST</v>
      </c>
      <c r="J50" s="225" t="str">
        <f>VLOOKUP(J49,TableInputsData[],7,FALSE)</f>
        <v>FORECAST</v>
      </c>
      <c r="K50" s="297"/>
    </row>
    <row r="51" spans="1:11" x14ac:dyDescent="0.15">
      <c r="A51" s="297"/>
      <c r="B51" s="983" t="str">
        <f>VLOOKUP("GROSS PROFIT",TableInputsData[],ReadMe!$M$3,FALSE)</f>
        <v>MARGE BRUTE</v>
      </c>
      <c r="C51" s="224">
        <f>VLOOKUP(C49,TableInputsData[],8,FALSE)</f>
        <v>2023</v>
      </c>
      <c r="D51" s="224">
        <f>VLOOKUP(D49,TableInputsData[],8,FALSE)</f>
        <v>2024</v>
      </c>
      <c r="E51" s="224">
        <f>VLOOKUP(E49,TableInputsData[],8,FALSE)</f>
        <v>2025</v>
      </c>
      <c r="F51" s="224">
        <f>VLOOKUP(F49,TableInputsData[],8,FALSE)</f>
        <v>2026</v>
      </c>
      <c r="G51" s="224">
        <f>VLOOKUP(G49,TableInputsData[],8,FALSE)</f>
        <v>2027</v>
      </c>
      <c r="H51" s="224">
        <f>VLOOKUP(H49,TableInputsData[],8,FALSE)</f>
        <v>2028</v>
      </c>
      <c r="I51" s="224">
        <f>VLOOKUP(I49,TableInputsData[],8,FALSE)</f>
        <v>2029</v>
      </c>
      <c r="J51" s="225">
        <f>VLOOKUP(J49,TableInputsData[],8,FALSE)</f>
        <v>2030</v>
      </c>
      <c r="K51" s="297"/>
    </row>
    <row r="52" spans="1:11" x14ac:dyDescent="0.15">
      <c r="A52" s="297"/>
      <c r="B52" s="226" t="str">
        <f>VLOOKUP("GROSS PROFIT",TableInputsData[],ReadMe!$M$3,FALSE)</f>
        <v>MARGE BRUTE</v>
      </c>
      <c r="C52" s="227">
        <f>FinancePivot!G21/$F$3</f>
        <v>0</v>
      </c>
      <c r="D52" s="227">
        <f>FinancePivot!H21/$F$3</f>
        <v>0</v>
      </c>
      <c r="E52" s="227">
        <f>FinancePivot!I21/$F$3</f>
        <v>0</v>
      </c>
      <c r="F52" s="227">
        <f>FinancePivot!J21/$F$3</f>
        <v>0</v>
      </c>
      <c r="G52" s="227">
        <f>FinancePivot!K21/$F$3</f>
        <v>0</v>
      </c>
      <c r="H52" s="227">
        <f>FinancePivot!L21/$F$3</f>
        <v>0</v>
      </c>
      <c r="I52" s="227">
        <f>FinancePivot!M21/$F$3</f>
        <v>0</v>
      </c>
      <c r="J52" s="228">
        <f>FinancePivot!N21/$F$3</f>
        <v>0</v>
      </c>
      <c r="K52" s="297"/>
    </row>
    <row r="53" spans="1:11" x14ac:dyDescent="0.15">
      <c r="A53" s="297"/>
      <c r="B53" s="226" t="str">
        <f>VLOOKUP("EBITDA",TableInputsData[],ReadMe!$M$3,FALSE)</f>
        <v>EBITDA</v>
      </c>
      <c r="C53" s="227">
        <f>FinancePivot!G33/$F$3</f>
        <v>0</v>
      </c>
      <c r="D53" s="227">
        <f>FinancePivot!H33/$F$3</f>
        <v>0</v>
      </c>
      <c r="E53" s="227">
        <f>FinancePivot!I33/$F$3</f>
        <v>0</v>
      </c>
      <c r="F53" s="227">
        <f>FinancePivot!J33/$F$3</f>
        <v>0</v>
      </c>
      <c r="G53" s="227">
        <f>FinancePivot!K33/$F$3</f>
        <v>0</v>
      </c>
      <c r="H53" s="227">
        <f>FinancePivot!L33/$F$3</f>
        <v>0</v>
      </c>
      <c r="I53" s="227">
        <f>FinancePivot!M33/$F$3</f>
        <v>0</v>
      </c>
      <c r="J53" s="228">
        <f>FinancePivot!N33/$F$3</f>
        <v>0</v>
      </c>
      <c r="K53" s="297"/>
    </row>
    <row r="54" spans="1:11" x14ac:dyDescent="0.15">
      <c r="A54" s="297"/>
      <c r="B54" s="226" t="str">
        <f>VLOOKUP("EBIT",TableInputsData[],ReadMe!$M$3,FALSE)</f>
        <v>EBIT</v>
      </c>
      <c r="C54" s="227">
        <f>FinancePivot!G36/$F$3</f>
        <v>0</v>
      </c>
      <c r="D54" s="227">
        <f>FinancePivot!H36/$F$3</f>
        <v>0</v>
      </c>
      <c r="E54" s="227">
        <f>FinancePivot!I36/$F$3</f>
        <v>0</v>
      </c>
      <c r="F54" s="227">
        <f>FinancePivot!J36/$F$3</f>
        <v>0</v>
      </c>
      <c r="G54" s="227">
        <f>FinancePivot!K36/$F$3</f>
        <v>0</v>
      </c>
      <c r="H54" s="227">
        <f>FinancePivot!L36/$F$3</f>
        <v>0</v>
      </c>
      <c r="I54" s="227">
        <f>FinancePivot!M36/$F$3</f>
        <v>0</v>
      </c>
      <c r="J54" s="228">
        <f>FinancePivot!N36/$F$3</f>
        <v>0</v>
      </c>
      <c r="K54" s="297"/>
    </row>
    <row r="55" spans="1:11" x14ac:dyDescent="0.15">
      <c r="A55" s="297"/>
      <c r="B55" s="226" t="str">
        <f>VLOOKUP("NET PROFIT",TableInputsData[],ReadMe!$M$3,FALSE)</f>
        <v>BENEFICE NET</v>
      </c>
      <c r="C55" s="227">
        <f>FinancePivot!G46/$F$3</f>
        <v>0</v>
      </c>
      <c r="D55" s="227">
        <f>FinancePivot!H46/$F$3</f>
        <v>0</v>
      </c>
      <c r="E55" s="227">
        <f>FinancePivot!I46/$F$3</f>
        <v>0</v>
      </c>
      <c r="F55" s="227">
        <f>FinancePivot!J46/$F$3</f>
        <v>0</v>
      </c>
      <c r="G55" s="227">
        <f>FinancePivot!K46/$F$3</f>
        <v>0</v>
      </c>
      <c r="H55" s="227">
        <f>FinancePivot!L46/$F$3</f>
        <v>0</v>
      </c>
      <c r="I55" s="227">
        <f>FinancePivot!M46/$F$3</f>
        <v>0</v>
      </c>
      <c r="J55" s="228">
        <f>FinancePivot!N46/$F$3</f>
        <v>0</v>
      </c>
      <c r="K55" s="297"/>
    </row>
    <row r="56" spans="1:11" x14ac:dyDescent="0.15">
      <c r="A56" s="297"/>
      <c r="B56" s="232" t="str">
        <f>VLOOKUP("CASH POSITION AT END OF PERIOD",TableInputsData[],ReadMe!$M$3,FALSE)</f>
        <v>POSITION DE TRESORERIE FIN DE PERIODE</v>
      </c>
      <c r="C56" s="233">
        <f>FinancePivot!G61/$F$3</f>
        <v>0</v>
      </c>
      <c r="D56" s="233">
        <f>FinancePivot!H61/$F$3</f>
        <v>0</v>
      </c>
      <c r="E56" s="233">
        <f>FinancePivot!I61/$F$3</f>
        <v>0</v>
      </c>
      <c r="F56" s="233">
        <f>FinancePivot!J61/$F$3</f>
        <v>0</v>
      </c>
      <c r="G56" s="233">
        <f>FinancePivot!K61/$F$3</f>
        <v>0</v>
      </c>
      <c r="H56" s="233">
        <f>FinancePivot!L61/$F$3</f>
        <v>0</v>
      </c>
      <c r="I56" s="233">
        <f>FinancePivot!M61/$F$3</f>
        <v>0</v>
      </c>
      <c r="J56" s="234">
        <f>FinancePivot!N61/$F$3</f>
        <v>0</v>
      </c>
      <c r="K56" s="297"/>
    </row>
    <row r="57" spans="1:11" x14ac:dyDescent="0.15">
      <c r="A57" s="297"/>
      <c r="B57" s="326"/>
      <c r="C57" s="332"/>
      <c r="D57" s="332"/>
      <c r="E57" s="322"/>
      <c r="F57" s="322"/>
      <c r="G57" s="322"/>
      <c r="H57" s="322"/>
      <c r="I57" s="322"/>
      <c r="J57" s="327"/>
      <c r="K57" s="297"/>
    </row>
    <row r="58" spans="1:11" x14ac:dyDescent="0.15">
      <c r="A58" s="297"/>
      <c r="B58" s="326" t="str">
        <f>B48&amp;CHAR(10)&amp;C47</f>
        <v>COMPTE DE PERTES ET PROFITS + POSITION DE TRESORERIE FIN DE PERIODE
TYPICAL CASE SCENARIO DE SIMULATION</v>
      </c>
      <c r="C58" s="332"/>
      <c r="D58" s="332"/>
      <c r="E58" s="322"/>
      <c r="F58" s="322"/>
      <c r="G58" s="322"/>
      <c r="H58" s="322"/>
      <c r="I58" s="322"/>
      <c r="J58" s="327"/>
      <c r="K58" s="297"/>
    </row>
    <row r="59" spans="1:11" x14ac:dyDescent="0.15">
      <c r="A59" s="297"/>
      <c r="B59" s="326"/>
      <c r="C59" s="332"/>
      <c r="D59" s="332"/>
      <c r="E59" s="322"/>
      <c r="F59" s="322"/>
      <c r="G59" s="322"/>
      <c r="H59" s="322"/>
      <c r="I59" s="322"/>
      <c r="J59" s="327"/>
      <c r="K59" s="297"/>
    </row>
    <row r="60" spans="1:11" x14ac:dyDescent="0.15">
      <c r="A60" s="297"/>
      <c r="B60" s="326"/>
      <c r="C60" s="332"/>
      <c r="D60" s="332"/>
      <c r="E60" s="322"/>
      <c r="F60" s="322"/>
      <c r="G60" s="322"/>
      <c r="H60" s="322"/>
      <c r="I60" s="322"/>
      <c r="J60" s="327"/>
      <c r="K60" s="297"/>
    </row>
    <row r="61" spans="1:11" x14ac:dyDescent="0.15">
      <c r="A61" s="297"/>
      <c r="B61" s="326"/>
      <c r="C61" s="332"/>
      <c r="D61" s="332"/>
      <c r="E61" s="322"/>
      <c r="F61" s="322"/>
      <c r="G61" s="322"/>
      <c r="H61" s="322"/>
      <c r="I61" s="322"/>
      <c r="J61" s="327"/>
      <c r="K61" s="297"/>
    </row>
    <row r="62" spans="1:11" x14ac:dyDescent="0.15">
      <c r="A62" s="297"/>
      <c r="B62" s="326"/>
      <c r="C62" s="332"/>
      <c r="D62" s="332"/>
      <c r="E62" s="322"/>
      <c r="F62" s="322"/>
      <c r="G62" s="322"/>
      <c r="H62" s="322"/>
      <c r="I62" s="322"/>
      <c r="J62" s="327"/>
      <c r="K62" s="297"/>
    </row>
    <row r="63" spans="1:11" x14ac:dyDescent="0.15">
      <c r="A63" s="297"/>
      <c r="B63" s="326"/>
      <c r="C63" s="332"/>
      <c r="D63" s="332"/>
      <c r="E63" s="322"/>
      <c r="F63" s="322"/>
      <c r="G63" s="322"/>
      <c r="H63" s="322"/>
      <c r="I63" s="322"/>
      <c r="J63" s="327"/>
      <c r="K63" s="297"/>
    </row>
    <row r="64" spans="1:11" x14ac:dyDescent="0.15">
      <c r="A64" s="297"/>
      <c r="B64" s="326"/>
      <c r="C64" s="332"/>
      <c r="D64" s="332"/>
      <c r="E64" s="322"/>
      <c r="F64" s="322"/>
      <c r="G64" s="322"/>
      <c r="H64" s="322"/>
      <c r="I64" s="322"/>
      <c r="J64" s="327"/>
      <c r="K64" s="297"/>
    </row>
    <row r="65" spans="1:11" x14ac:dyDescent="0.15">
      <c r="A65" s="297"/>
      <c r="B65" s="326"/>
      <c r="C65" s="332"/>
      <c r="D65" s="332"/>
      <c r="E65" s="322"/>
      <c r="F65" s="322"/>
      <c r="G65" s="322"/>
      <c r="H65" s="322"/>
      <c r="I65" s="322"/>
      <c r="J65" s="327"/>
      <c r="K65" s="297"/>
    </row>
    <row r="66" spans="1:11" x14ac:dyDescent="0.15">
      <c r="A66" s="297"/>
      <c r="B66" s="326"/>
      <c r="C66" s="332"/>
      <c r="D66" s="332"/>
      <c r="E66" s="322"/>
      <c r="F66" s="322"/>
      <c r="G66" s="322"/>
      <c r="H66" s="322"/>
      <c r="I66" s="322"/>
      <c r="J66" s="327"/>
      <c r="K66" s="297"/>
    </row>
    <row r="67" spans="1:11" x14ac:dyDescent="0.15">
      <c r="A67" s="297"/>
      <c r="B67" s="326"/>
      <c r="C67" s="332"/>
      <c r="D67" s="332"/>
      <c r="E67" s="322"/>
      <c r="F67" s="322"/>
      <c r="G67" s="322"/>
      <c r="H67" s="322"/>
      <c r="I67" s="322"/>
      <c r="J67" s="327"/>
      <c r="K67" s="297"/>
    </row>
    <row r="68" spans="1:11" x14ac:dyDescent="0.15">
      <c r="A68" s="297"/>
      <c r="B68" s="326"/>
      <c r="C68" s="332"/>
      <c r="D68" s="332"/>
      <c r="E68" s="322"/>
      <c r="F68" s="322"/>
      <c r="G68" s="322"/>
      <c r="H68" s="322"/>
      <c r="I68" s="322"/>
      <c r="J68" s="327"/>
      <c r="K68" s="297"/>
    </row>
    <row r="69" spans="1:11" x14ac:dyDescent="0.15">
      <c r="A69" s="297"/>
      <c r="B69" s="326"/>
      <c r="C69" s="332"/>
      <c r="D69" s="332"/>
      <c r="E69" s="322"/>
      <c r="F69" s="322"/>
      <c r="G69" s="322"/>
      <c r="H69" s="322"/>
      <c r="I69" s="322"/>
      <c r="J69" s="327"/>
      <c r="K69" s="297"/>
    </row>
    <row r="70" spans="1:11" x14ac:dyDescent="0.15">
      <c r="A70" s="297"/>
      <c r="B70" s="326"/>
      <c r="C70" s="332"/>
      <c r="D70" s="332"/>
      <c r="E70" s="322"/>
      <c r="F70" s="322"/>
      <c r="G70" s="322"/>
      <c r="H70" s="322"/>
      <c r="I70" s="322"/>
      <c r="J70" s="327"/>
      <c r="K70" s="297"/>
    </row>
    <row r="71" spans="1:11" x14ac:dyDescent="0.15">
      <c r="A71" s="297"/>
      <c r="B71" s="326"/>
      <c r="C71" s="332"/>
      <c r="D71" s="332"/>
      <c r="E71" s="322"/>
      <c r="F71" s="322"/>
      <c r="G71" s="322"/>
      <c r="H71" s="322"/>
      <c r="I71" s="322"/>
      <c r="J71" s="327"/>
      <c r="K71" s="297"/>
    </row>
    <row r="72" spans="1:11" x14ac:dyDescent="0.15">
      <c r="A72" s="297"/>
      <c r="B72" s="326"/>
      <c r="C72" s="332"/>
      <c r="D72" s="332"/>
      <c r="E72" s="322"/>
      <c r="F72" s="322"/>
      <c r="G72" s="322"/>
      <c r="H72" s="322"/>
      <c r="I72" s="322"/>
      <c r="J72" s="327"/>
      <c r="K72" s="297"/>
    </row>
    <row r="73" spans="1:11" x14ac:dyDescent="0.15">
      <c r="A73" s="297"/>
      <c r="B73" s="326"/>
      <c r="C73" s="332"/>
      <c r="D73" s="332"/>
      <c r="E73" s="322"/>
      <c r="F73" s="322"/>
      <c r="G73" s="322"/>
      <c r="H73" s="322"/>
      <c r="I73" s="322"/>
      <c r="J73" s="327"/>
      <c r="K73" s="297"/>
    </row>
    <row r="74" spans="1:11" x14ac:dyDescent="0.15">
      <c r="A74" s="297"/>
      <c r="B74" s="326"/>
      <c r="C74" s="332"/>
      <c r="D74" s="332"/>
      <c r="E74" s="322"/>
      <c r="F74" s="322"/>
      <c r="G74" s="322"/>
      <c r="H74" s="322"/>
      <c r="I74" s="322"/>
      <c r="J74" s="327"/>
      <c r="K74" s="297"/>
    </row>
    <row r="75" spans="1:11" x14ac:dyDescent="0.15">
      <c r="A75" s="297"/>
      <c r="B75" s="326"/>
      <c r="C75" s="332"/>
      <c r="D75" s="332"/>
      <c r="E75" s="322"/>
      <c r="F75" s="322"/>
      <c r="G75" s="322"/>
      <c r="H75" s="322"/>
      <c r="I75" s="322"/>
      <c r="J75" s="327"/>
      <c r="K75" s="297"/>
    </row>
    <row r="76" spans="1:11" x14ac:dyDescent="0.15">
      <c r="A76" s="297"/>
      <c r="B76" s="326"/>
      <c r="C76" s="332"/>
      <c r="D76" s="332"/>
      <c r="E76" s="322"/>
      <c r="F76" s="322"/>
      <c r="G76" s="322"/>
      <c r="H76" s="322"/>
      <c r="I76" s="322"/>
      <c r="J76" s="327"/>
      <c r="K76" s="297"/>
    </row>
    <row r="77" spans="1:11" x14ac:dyDescent="0.15">
      <c r="A77" s="297"/>
      <c r="B77" s="326"/>
      <c r="C77" s="332"/>
      <c r="D77" s="332"/>
      <c r="E77" s="322"/>
      <c r="F77" s="322"/>
      <c r="G77" s="322"/>
      <c r="H77" s="322"/>
      <c r="I77" s="322"/>
      <c r="J77" s="327"/>
      <c r="K77" s="297"/>
    </row>
    <row r="78" spans="1:11" x14ac:dyDescent="0.15">
      <c r="A78" s="297"/>
      <c r="B78" s="326"/>
      <c r="C78" s="332"/>
      <c r="D78" s="332"/>
      <c r="E78" s="322"/>
      <c r="F78" s="322"/>
      <c r="G78" s="322"/>
      <c r="H78" s="322"/>
      <c r="I78" s="322"/>
      <c r="J78" s="327"/>
      <c r="K78" s="297"/>
    </row>
    <row r="79" spans="1:11" x14ac:dyDescent="0.15">
      <c r="A79" s="297"/>
      <c r="B79" s="326"/>
      <c r="C79" s="332"/>
      <c r="D79" s="332"/>
      <c r="E79" s="322"/>
      <c r="F79" s="322"/>
      <c r="G79" s="322"/>
      <c r="H79" s="322"/>
      <c r="I79" s="322"/>
      <c r="J79" s="327"/>
      <c r="K79" s="297"/>
    </row>
    <row r="80" spans="1:11" x14ac:dyDescent="0.15">
      <c r="A80" s="297"/>
      <c r="B80" s="326"/>
      <c r="C80" s="332"/>
      <c r="D80" s="332"/>
      <c r="E80" s="322"/>
      <c r="F80" s="322"/>
      <c r="G80" s="322"/>
      <c r="H80" s="322"/>
      <c r="I80" s="322"/>
      <c r="J80" s="327"/>
      <c r="K80" s="297"/>
    </row>
    <row r="81" spans="1:11" x14ac:dyDescent="0.15">
      <c r="A81" s="297"/>
      <c r="B81" s="326"/>
      <c r="C81" s="332"/>
      <c r="D81" s="332"/>
      <c r="E81" s="322"/>
      <c r="F81" s="322"/>
      <c r="G81" s="322"/>
      <c r="H81" s="322"/>
      <c r="I81" s="322"/>
      <c r="J81" s="327"/>
      <c r="K81" s="297"/>
    </row>
    <row r="82" spans="1:11" x14ac:dyDescent="0.15">
      <c r="A82" s="297"/>
      <c r="B82" s="326"/>
      <c r="C82" s="332"/>
      <c r="D82" s="332"/>
      <c r="E82" s="322"/>
      <c r="F82" s="322"/>
      <c r="G82" s="322"/>
      <c r="H82" s="322"/>
      <c r="I82" s="322"/>
      <c r="J82" s="327"/>
      <c r="K82" s="297"/>
    </row>
    <row r="83" spans="1:11" x14ac:dyDescent="0.15">
      <c r="A83" s="297"/>
      <c r="B83" s="326"/>
      <c r="C83" s="332"/>
      <c r="D83" s="332"/>
      <c r="E83" s="322"/>
      <c r="F83" s="322"/>
      <c r="G83" s="322"/>
      <c r="H83" s="322"/>
      <c r="I83" s="322"/>
      <c r="J83" s="327"/>
      <c r="K83" s="297"/>
    </row>
    <row r="84" spans="1:11" x14ac:dyDescent="0.15">
      <c r="A84" s="297"/>
      <c r="B84" s="326"/>
      <c r="C84" s="332"/>
      <c r="D84" s="332"/>
      <c r="E84" s="322"/>
      <c r="F84" s="322"/>
      <c r="G84" s="322"/>
      <c r="H84" s="322"/>
      <c r="I84" s="322"/>
      <c r="J84" s="327"/>
      <c r="K84" s="297"/>
    </row>
    <row r="85" spans="1:11" x14ac:dyDescent="0.15">
      <c r="A85" s="297"/>
      <c r="B85" s="326"/>
      <c r="C85" s="332"/>
      <c r="D85" s="332"/>
      <c r="E85" s="322"/>
      <c r="F85" s="322"/>
      <c r="G85" s="322"/>
      <c r="H85" s="322"/>
      <c r="I85" s="322"/>
      <c r="J85" s="327"/>
      <c r="K85" s="297"/>
    </row>
    <row r="86" spans="1:11" x14ac:dyDescent="0.15">
      <c r="A86" s="297"/>
      <c r="B86" s="326"/>
      <c r="C86" s="332"/>
      <c r="D86" s="332"/>
      <c r="E86" s="322"/>
      <c r="F86" s="322"/>
      <c r="G86" s="322"/>
      <c r="H86" s="322"/>
      <c r="I86" s="322"/>
      <c r="J86" s="327"/>
      <c r="K86" s="297"/>
    </row>
    <row r="87" spans="1:11" x14ac:dyDescent="0.15">
      <c r="A87" s="297"/>
      <c r="B87" s="326"/>
      <c r="C87" s="332"/>
      <c r="D87" s="332"/>
      <c r="E87" s="322"/>
      <c r="F87" s="322"/>
      <c r="G87" s="322"/>
      <c r="H87" s="322"/>
      <c r="I87" s="322"/>
      <c r="J87" s="327"/>
      <c r="K87" s="297"/>
    </row>
    <row r="88" spans="1:11" x14ac:dyDescent="0.15">
      <c r="A88" s="297"/>
      <c r="B88" s="326"/>
      <c r="C88" s="332"/>
      <c r="D88" s="332"/>
      <c r="E88" s="322"/>
      <c r="F88" s="322"/>
      <c r="G88" s="322"/>
      <c r="H88" s="322"/>
      <c r="I88" s="322"/>
      <c r="J88" s="327"/>
      <c r="K88" s="297"/>
    </row>
    <row r="89" spans="1:11" x14ac:dyDescent="0.15">
      <c r="A89" s="297"/>
      <c r="B89" s="326"/>
      <c r="C89" s="332"/>
      <c r="D89" s="332"/>
      <c r="E89" s="322"/>
      <c r="F89" s="322"/>
      <c r="G89" s="322"/>
      <c r="H89" s="322"/>
      <c r="I89" s="322"/>
      <c r="J89" s="327"/>
      <c r="K89" s="297"/>
    </row>
    <row r="90" spans="1:11" x14ac:dyDescent="0.15">
      <c r="A90" s="297"/>
      <c r="B90" s="548" t="s">
        <v>1035</v>
      </c>
      <c r="C90" s="420" t="str">
        <f>$C$6</f>
        <v>TYPICAL CASE SCENARIO DE SIMULATION</v>
      </c>
      <c r="D90" s="421"/>
      <c r="E90" s="330"/>
      <c r="F90" s="330"/>
      <c r="G90" s="330"/>
      <c r="H90" s="330"/>
      <c r="I90" s="330"/>
      <c r="J90" s="547" t="str">
        <f>InputsData!$J$2</f>
        <v>STRICTEMENT CONFIDENTIEL | ABC CORPORATION</v>
      </c>
      <c r="K90" s="297"/>
    </row>
    <row r="91" spans="1:11" ht="28" x14ac:dyDescent="0.15">
      <c r="A91" s="297"/>
      <c r="B91" s="979" t="str">
        <f>VLOOKUP("STAFF",TableInputsData[],ReadMe!$M$3,FALSE)</f>
        <v>EFFECTIF</v>
      </c>
      <c r="C91" s="418" t="str">
        <f>VLOOKUP(C92,TableInputsData[],ReadMe!$M$3,FALSE)</f>
        <v>ANNEE-2</v>
      </c>
      <c r="D91" s="418" t="str">
        <f>VLOOKUP(D92,TableInputsData[],ReadMe!$M$3,FALSE)</f>
        <v>ANNEE-1</v>
      </c>
      <c r="E91" s="222" t="str">
        <f>VLOOKUP(E92,TableInputsData[],ReadMe!$M$3,FALSE)</f>
        <v>ANNEE EN COURS</v>
      </c>
      <c r="F91" s="222" t="str">
        <f>VLOOKUP(F92,TableInputsData[],ReadMe!$M$3,FALSE)</f>
        <v>ANNEE2</v>
      </c>
      <c r="G91" s="222" t="str">
        <f>VLOOKUP(G92,TableInputsData[],ReadMe!$M$3,FALSE)</f>
        <v>ANNEE3</v>
      </c>
      <c r="H91" s="222" t="str">
        <f>VLOOKUP(H92,TableInputsData[],ReadMe!$M$3,FALSE)</f>
        <v>ANNEE4</v>
      </c>
      <c r="I91" s="222" t="str">
        <f>VLOOKUP(I92,TableInputsData[],ReadMe!$M$3,FALSE)</f>
        <v>ANNEE5</v>
      </c>
      <c r="J91" s="223" t="str">
        <f>VLOOKUP(J92,TableInputsData[],ReadMe!$M$3,FALSE)</f>
        <v>ANNEE6</v>
      </c>
      <c r="K91" s="297"/>
    </row>
    <row r="92" spans="1:11" ht="14" hidden="1" x14ac:dyDescent="0.15">
      <c r="A92" s="297"/>
      <c r="B92" s="980"/>
      <c r="C92" s="470" t="s">
        <v>392</v>
      </c>
      <c r="D92" s="470" t="s">
        <v>391</v>
      </c>
      <c r="E92" s="235" t="s">
        <v>393</v>
      </c>
      <c r="F92" s="235" t="s">
        <v>396</v>
      </c>
      <c r="G92" s="235" t="s">
        <v>397</v>
      </c>
      <c r="H92" s="235" t="s">
        <v>398</v>
      </c>
      <c r="I92" s="235" t="s">
        <v>399</v>
      </c>
      <c r="J92" s="471" t="s">
        <v>400</v>
      </c>
      <c r="K92" s="297"/>
    </row>
    <row r="93" spans="1:11" ht="14" x14ac:dyDescent="0.15">
      <c r="A93" s="297"/>
      <c r="B93" s="981" t="str">
        <f>VLOOKUP("OPERATING EXPENSES",TableInputsData[],ReadMe!$M$3,FALSE)</f>
        <v>DEPENSES OPERATIONNELLES</v>
      </c>
      <c r="C93" s="224" t="str">
        <f>VLOOKUP(C92,TableInputsData[],7,FALSE)</f>
        <v>ACTUAL</v>
      </c>
      <c r="D93" s="224" t="str">
        <f>VLOOKUP(D92,TableInputsData[],7,FALSE)</f>
        <v>ACTUAL</v>
      </c>
      <c r="E93" s="224" t="str">
        <f>VLOOKUP(E92,TableInputsData[],7,FALSE)</f>
        <v>FORECAST</v>
      </c>
      <c r="F93" s="224" t="str">
        <f>VLOOKUP(F92,TableInputsData[],7,FALSE)</f>
        <v>FORECAST</v>
      </c>
      <c r="G93" s="224" t="str">
        <f>VLOOKUP(G92,TableInputsData[],7,FALSE)</f>
        <v>FORECAST</v>
      </c>
      <c r="H93" s="224" t="str">
        <f>VLOOKUP(H92,TableInputsData[],7,FALSE)</f>
        <v>FORECAST</v>
      </c>
      <c r="I93" s="224" t="str">
        <f>VLOOKUP(I92,TableInputsData[],7,FALSE)</f>
        <v>FORECAST</v>
      </c>
      <c r="J93" s="225" t="str">
        <f>VLOOKUP(J92,TableInputsData[],7,FALSE)</f>
        <v>FORECAST</v>
      </c>
      <c r="K93" s="297"/>
    </row>
    <row r="94" spans="1:11" x14ac:dyDescent="0.15">
      <c r="A94" s="297"/>
      <c r="B94" s="981" t="str">
        <f>VLOOKUP("OPERATING EXPENSES",TableInputsData[],ReadMe!$M$3,FALSE)</f>
        <v>DEPENSES OPERATIONNELLES</v>
      </c>
      <c r="C94" s="224">
        <f>VLOOKUP(C92,TableInputsData[],8,FALSE)</f>
        <v>2023</v>
      </c>
      <c r="D94" s="224">
        <f>VLOOKUP(D92,TableInputsData[],8,FALSE)</f>
        <v>2024</v>
      </c>
      <c r="E94" s="224">
        <f>VLOOKUP(E92,TableInputsData[],8,FALSE)</f>
        <v>2025</v>
      </c>
      <c r="F94" s="224">
        <f>VLOOKUP(F92,TableInputsData[],8,FALSE)</f>
        <v>2026</v>
      </c>
      <c r="G94" s="224">
        <f>VLOOKUP(G92,TableInputsData[],8,FALSE)</f>
        <v>2027</v>
      </c>
      <c r="H94" s="224">
        <f>VLOOKUP(H92,TableInputsData[],8,FALSE)</f>
        <v>2028</v>
      </c>
      <c r="I94" s="224">
        <f>VLOOKUP(I92,TableInputsData[],8,FALSE)</f>
        <v>2029</v>
      </c>
      <c r="J94" s="225">
        <f>VLOOKUP(J92,TableInputsData[],8,FALSE)</f>
        <v>2030</v>
      </c>
      <c r="K94" s="297"/>
    </row>
    <row r="95" spans="1:11" x14ac:dyDescent="0.15">
      <c r="A95" s="297"/>
      <c r="B95" s="226" t="str">
        <f>VLOOKUP("BEGINNING OF THE PERIOD",TableInputsData[],ReadMe!$M$3,FALSE)</f>
        <v>DEBUT DE LA PERIODE</v>
      </c>
      <c r="C95" s="236"/>
      <c r="D95" s="236">
        <f>FinancePivot!G540</f>
        <v>0</v>
      </c>
      <c r="E95" s="236">
        <f>FinancePivot!H540</f>
        <v>0</v>
      </c>
      <c r="F95" s="236">
        <f>FinancePivot!I540</f>
        <v>0</v>
      </c>
      <c r="G95" s="236">
        <f>FinancePivot!J540</f>
        <v>0</v>
      </c>
      <c r="H95" s="236">
        <f>FinancePivot!K540</f>
        <v>0</v>
      </c>
      <c r="I95" s="236">
        <f>FinancePivot!L540</f>
        <v>0</v>
      </c>
      <c r="J95" s="237">
        <f>FinancePivot!M540</f>
        <v>0</v>
      </c>
      <c r="K95" s="297"/>
    </row>
    <row r="96" spans="1:11" x14ac:dyDescent="0.15">
      <c r="A96" s="297"/>
      <c r="B96" s="229" t="str">
        <f>VLOOKUP("END OF THE PERIOD",TableInputsData[],ReadMe!$M$3,FALSE)</f>
        <v>FIN DE LA PERIODE</v>
      </c>
      <c r="C96" s="238">
        <f>FinancePivot!G540</f>
        <v>0</v>
      </c>
      <c r="D96" s="238">
        <f>FinancePivot!H540</f>
        <v>0</v>
      </c>
      <c r="E96" s="238">
        <f>FinancePivot!I540</f>
        <v>0</v>
      </c>
      <c r="F96" s="238">
        <f>FinancePivot!J540</f>
        <v>0</v>
      </c>
      <c r="G96" s="238">
        <f>FinancePivot!K540</f>
        <v>0</v>
      </c>
      <c r="H96" s="238">
        <f>FinancePivot!L540</f>
        <v>0</v>
      </c>
      <c r="I96" s="238">
        <f>FinancePivot!M540</f>
        <v>0</v>
      </c>
      <c r="J96" s="239">
        <f>FinancePivot!N540</f>
        <v>0</v>
      </c>
      <c r="K96" s="297"/>
    </row>
    <row r="97" spans="1:11" x14ac:dyDescent="0.15">
      <c r="A97" s="297"/>
      <c r="B97" s="326"/>
      <c r="C97" s="332"/>
      <c r="D97" s="332"/>
      <c r="E97" s="322"/>
      <c r="F97" s="322"/>
      <c r="G97" s="322"/>
      <c r="H97" s="322"/>
      <c r="I97" s="322"/>
      <c r="J97" s="327"/>
      <c r="K97" s="297"/>
    </row>
    <row r="98" spans="1:11" x14ac:dyDescent="0.15">
      <c r="A98" s="297"/>
      <c r="B98" s="326" t="str">
        <f>B91&amp;CHAR(10)&amp;C90</f>
        <v>EFFECTIF
TYPICAL CASE SCENARIO DE SIMULATION</v>
      </c>
      <c r="C98" s="332"/>
      <c r="D98" s="332"/>
      <c r="E98" s="322"/>
      <c r="F98" s="322"/>
      <c r="G98" s="322"/>
      <c r="H98" s="322"/>
      <c r="I98" s="322"/>
      <c r="J98" s="327"/>
      <c r="K98" s="297"/>
    </row>
    <row r="99" spans="1:11" x14ac:dyDescent="0.15">
      <c r="A99" s="297"/>
      <c r="B99" s="326"/>
      <c r="C99" s="332"/>
      <c r="D99" s="332"/>
      <c r="E99" s="322"/>
      <c r="F99" s="322"/>
      <c r="G99" s="322"/>
      <c r="H99" s="322"/>
      <c r="I99" s="322"/>
      <c r="J99" s="327"/>
      <c r="K99" s="297"/>
    </row>
    <row r="100" spans="1:11" x14ac:dyDescent="0.15">
      <c r="A100" s="297"/>
      <c r="B100" s="326"/>
      <c r="C100" s="332"/>
      <c r="D100" s="332"/>
      <c r="E100" s="322"/>
      <c r="F100" s="322"/>
      <c r="G100" s="322"/>
      <c r="H100" s="322"/>
      <c r="I100" s="322"/>
      <c r="J100" s="327"/>
      <c r="K100" s="297"/>
    </row>
    <row r="101" spans="1:11" x14ac:dyDescent="0.15">
      <c r="A101" s="297"/>
      <c r="B101" s="326"/>
      <c r="C101" s="332"/>
      <c r="D101" s="332"/>
      <c r="E101" s="322"/>
      <c r="F101" s="322"/>
      <c r="G101" s="322"/>
      <c r="H101" s="322"/>
      <c r="I101" s="322"/>
      <c r="J101" s="327"/>
      <c r="K101" s="297"/>
    </row>
    <row r="102" spans="1:11" x14ac:dyDescent="0.15">
      <c r="A102" s="297"/>
      <c r="B102" s="326"/>
      <c r="C102" s="332"/>
      <c r="D102" s="332"/>
      <c r="E102" s="322"/>
      <c r="F102" s="322"/>
      <c r="G102" s="322"/>
      <c r="H102" s="322"/>
      <c r="I102" s="322"/>
      <c r="J102" s="327"/>
      <c r="K102" s="297"/>
    </row>
    <row r="103" spans="1:11" x14ac:dyDescent="0.15">
      <c r="A103" s="297"/>
      <c r="B103" s="326"/>
      <c r="C103" s="332"/>
      <c r="D103" s="332"/>
      <c r="E103" s="322"/>
      <c r="F103" s="322"/>
      <c r="G103" s="322"/>
      <c r="H103" s="322"/>
      <c r="I103" s="322"/>
      <c r="J103" s="327"/>
      <c r="K103" s="297"/>
    </row>
    <row r="104" spans="1:11" x14ac:dyDescent="0.15">
      <c r="A104" s="297"/>
      <c r="B104" s="326"/>
      <c r="C104" s="332"/>
      <c r="D104" s="332"/>
      <c r="E104" s="322"/>
      <c r="F104" s="322"/>
      <c r="G104" s="322"/>
      <c r="H104" s="322"/>
      <c r="I104" s="322"/>
      <c r="J104" s="327"/>
      <c r="K104" s="297"/>
    </row>
    <row r="105" spans="1:11" x14ac:dyDescent="0.15">
      <c r="A105" s="297"/>
      <c r="B105" s="326"/>
      <c r="C105" s="332"/>
      <c r="D105" s="332"/>
      <c r="E105" s="322"/>
      <c r="F105" s="322"/>
      <c r="G105" s="322"/>
      <c r="H105" s="322"/>
      <c r="I105" s="322"/>
      <c r="J105" s="327"/>
      <c r="K105" s="297"/>
    </row>
    <row r="106" spans="1:11" x14ac:dyDescent="0.15">
      <c r="A106" s="297"/>
      <c r="B106" s="326"/>
      <c r="C106" s="332"/>
      <c r="D106" s="332"/>
      <c r="E106" s="322"/>
      <c r="F106" s="322"/>
      <c r="G106" s="322"/>
      <c r="H106" s="322"/>
      <c r="I106" s="322"/>
      <c r="J106" s="327"/>
      <c r="K106" s="297"/>
    </row>
    <row r="107" spans="1:11" x14ac:dyDescent="0.15">
      <c r="A107" s="297"/>
      <c r="B107" s="326"/>
      <c r="C107" s="332"/>
      <c r="D107" s="332"/>
      <c r="E107" s="322"/>
      <c r="F107" s="322"/>
      <c r="G107" s="322"/>
      <c r="H107" s="322"/>
      <c r="I107" s="322"/>
      <c r="J107" s="327"/>
      <c r="K107" s="297"/>
    </row>
    <row r="108" spans="1:11" ht="12" customHeight="1" x14ac:dyDescent="0.15">
      <c r="A108" s="297"/>
      <c r="B108" s="326"/>
      <c r="C108" s="332"/>
      <c r="D108" s="332"/>
      <c r="E108" s="322"/>
      <c r="F108" s="322"/>
      <c r="G108" s="322"/>
      <c r="H108" s="322"/>
      <c r="I108" s="322"/>
      <c r="J108" s="327"/>
      <c r="K108" s="297"/>
    </row>
    <row r="109" spans="1:11" ht="12" customHeight="1" x14ac:dyDescent="0.15">
      <c r="A109" s="297"/>
      <c r="B109" s="326"/>
      <c r="C109" s="332"/>
      <c r="D109" s="332"/>
      <c r="E109" s="322"/>
      <c r="F109" s="322"/>
      <c r="G109" s="322"/>
      <c r="H109" s="322"/>
      <c r="I109" s="322"/>
      <c r="J109" s="327"/>
      <c r="K109" s="297"/>
    </row>
    <row r="110" spans="1:11" ht="12" customHeight="1" x14ac:dyDescent="0.15">
      <c r="A110" s="297"/>
      <c r="B110" s="326"/>
      <c r="C110" s="332"/>
      <c r="D110" s="332"/>
      <c r="E110" s="322"/>
      <c r="F110" s="322"/>
      <c r="G110" s="322"/>
      <c r="H110" s="322"/>
      <c r="I110" s="322"/>
      <c r="J110" s="327"/>
      <c r="K110" s="297"/>
    </row>
    <row r="111" spans="1:11" ht="12" customHeight="1" x14ac:dyDescent="0.15">
      <c r="A111" s="297"/>
      <c r="B111" s="326"/>
      <c r="C111" s="332"/>
      <c r="D111" s="332"/>
      <c r="E111" s="322"/>
      <c r="F111" s="322"/>
      <c r="G111" s="322"/>
      <c r="H111" s="322"/>
      <c r="I111" s="322"/>
      <c r="J111" s="327"/>
      <c r="K111" s="297"/>
    </row>
    <row r="112" spans="1:11" ht="12" customHeight="1" x14ac:dyDescent="0.15">
      <c r="A112" s="297"/>
      <c r="B112" s="326"/>
      <c r="C112" s="332"/>
      <c r="D112" s="332"/>
      <c r="E112" s="322"/>
      <c r="F112" s="322"/>
      <c r="G112" s="322"/>
      <c r="H112" s="322"/>
      <c r="I112" s="322"/>
      <c r="J112" s="327"/>
      <c r="K112" s="297"/>
    </row>
    <row r="113" spans="1:11" ht="12" customHeight="1" x14ac:dyDescent="0.15">
      <c r="A113" s="297"/>
      <c r="B113" s="326"/>
      <c r="C113" s="332"/>
      <c r="D113" s="332"/>
      <c r="E113" s="322"/>
      <c r="F113" s="322"/>
      <c r="G113" s="322"/>
      <c r="H113" s="322"/>
      <c r="I113" s="322"/>
      <c r="J113" s="327"/>
      <c r="K113" s="297"/>
    </row>
    <row r="114" spans="1:11" ht="12" customHeight="1" x14ac:dyDescent="0.15">
      <c r="A114" s="297"/>
      <c r="B114" s="326"/>
      <c r="C114" s="332"/>
      <c r="D114" s="332"/>
      <c r="E114" s="322"/>
      <c r="F114" s="322"/>
      <c r="G114" s="322"/>
      <c r="H114" s="322"/>
      <c r="I114" s="322"/>
      <c r="J114" s="327"/>
      <c r="K114" s="297"/>
    </row>
    <row r="115" spans="1:11" ht="12" customHeight="1" x14ac:dyDescent="0.15">
      <c r="A115" s="297"/>
      <c r="B115" s="326"/>
      <c r="C115" s="332"/>
      <c r="D115" s="332"/>
      <c r="E115" s="322"/>
      <c r="F115" s="322"/>
      <c r="G115" s="322"/>
      <c r="H115" s="322"/>
      <c r="I115" s="322"/>
      <c r="J115" s="327"/>
      <c r="K115" s="297"/>
    </row>
    <row r="116" spans="1:11" ht="12" customHeight="1" x14ac:dyDescent="0.15">
      <c r="A116" s="297"/>
      <c r="B116" s="326"/>
      <c r="C116" s="332"/>
      <c r="D116" s="332"/>
      <c r="E116" s="322"/>
      <c r="F116" s="322"/>
      <c r="G116" s="322"/>
      <c r="H116" s="322"/>
      <c r="I116" s="322"/>
      <c r="J116" s="327"/>
      <c r="K116" s="297"/>
    </row>
    <row r="117" spans="1:11" ht="12" customHeight="1" x14ac:dyDescent="0.15">
      <c r="A117" s="297"/>
      <c r="B117" s="326"/>
      <c r="C117" s="332"/>
      <c r="D117" s="332"/>
      <c r="E117" s="322"/>
      <c r="F117" s="322"/>
      <c r="G117" s="322"/>
      <c r="H117" s="322"/>
      <c r="I117" s="322"/>
      <c r="J117" s="327"/>
      <c r="K117" s="297"/>
    </row>
    <row r="118" spans="1:11" ht="12" customHeight="1" x14ac:dyDescent="0.15">
      <c r="A118" s="297"/>
      <c r="B118" s="326"/>
      <c r="C118" s="332"/>
      <c r="D118" s="332"/>
      <c r="E118" s="322"/>
      <c r="F118" s="322"/>
      <c r="G118" s="322"/>
      <c r="H118" s="322"/>
      <c r="I118" s="322"/>
      <c r="J118" s="327"/>
      <c r="K118" s="297"/>
    </row>
    <row r="119" spans="1:11" ht="12" customHeight="1" x14ac:dyDescent="0.15">
      <c r="A119" s="297"/>
      <c r="B119" s="326"/>
      <c r="C119" s="332"/>
      <c r="D119" s="332"/>
      <c r="E119" s="322"/>
      <c r="F119" s="322"/>
      <c r="G119" s="322"/>
      <c r="H119" s="322"/>
      <c r="I119" s="322"/>
      <c r="J119" s="327"/>
      <c r="K119" s="297"/>
    </row>
    <row r="120" spans="1:11" ht="12" customHeight="1" x14ac:dyDescent="0.15">
      <c r="A120" s="297"/>
      <c r="B120" s="326"/>
      <c r="C120" s="332"/>
      <c r="D120" s="332"/>
      <c r="E120" s="322"/>
      <c r="F120" s="322"/>
      <c r="G120" s="322"/>
      <c r="H120" s="322"/>
      <c r="I120" s="322"/>
      <c r="J120" s="327"/>
      <c r="K120" s="297"/>
    </row>
    <row r="121" spans="1:11" ht="12" customHeight="1" x14ac:dyDescent="0.15">
      <c r="A121" s="297"/>
      <c r="B121" s="326"/>
      <c r="C121" s="332"/>
      <c r="D121" s="332"/>
      <c r="E121" s="322"/>
      <c r="F121" s="322"/>
      <c r="G121" s="322"/>
      <c r="H121" s="322"/>
      <c r="I121" s="322"/>
      <c r="J121" s="327"/>
      <c r="K121" s="297"/>
    </row>
    <row r="122" spans="1:11" ht="12" customHeight="1" x14ac:dyDescent="0.15">
      <c r="A122" s="297"/>
      <c r="B122" s="326"/>
      <c r="C122" s="332"/>
      <c r="D122" s="332"/>
      <c r="E122" s="322"/>
      <c r="F122" s="322"/>
      <c r="G122" s="322"/>
      <c r="H122" s="322"/>
      <c r="I122" s="322"/>
      <c r="J122" s="327"/>
      <c r="K122" s="297"/>
    </row>
    <row r="123" spans="1:11" ht="12" customHeight="1" x14ac:dyDescent="0.15">
      <c r="A123" s="297"/>
      <c r="B123" s="326"/>
      <c r="C123" s="332"/>
      <c r="D123" s="332"/>
      <c r="E123" s="322"/>
      <c r="F123" s="322"/>
      <c r="G123" s="322"/>
      <c r="H123" s="322"/>
      <c r="I123" s="322"/>
      <c r="J123" s="327"/>
      <c r="K123" s="297"/>
    </row>
    <row r="124" spans="1:11" ht="12" customHeight="1" x14ac:dyDescent="0.15">
      <c r="A124" s="297"/>
      <c r="B124" s="326"/>
      <c r="C124" s="332"/>
      <c r="D124" s="332"/>
      <c r="E124" s="322"/>
      <c r="F124" s="322"/>
      <c r="G124" s="322"/>
      <c r="H124" s="322"/>
      <c r="I124" s="322"/>
      <c r="J124" s="327"/>
      <c r="K124" s="297"/>
    </row>
    <row r="125" spans="1:11" ht="12" customHeight="1" x14ac:dyDescent="0.15">
      <c r="A125" s="297"/>
      <c r="B125" s="326"/>
      <c r="C125" s="332"/>
      <c r="D125" s="332"/>
      <c r="E125" s="322"/>
      <c r="F125" s="322"/>
      <c r="G125" s="322"/>
      <c r="H125" s="322"/>
      <c r="I125" s="322"/>
      <c r="J125" s="327"/>
      <c r="K125" s="297"/>
    </row>
    <row r="126" spans="1:11" ht="12" customHeight="1" x14ac:dyDescent="0.15">
      <c r="A126" s="297"/>
      <c r="B126" s="326"/>
      <c r="C126" s="332"/>
      <c r="D126" s="332"/>
      <c r="E126" s="322"/>
      <c r="F126" s="322"/>
      <c r="G126" s="322"/>
      <c r="H126" s="322"/>
      <c r="I126" s="322"/>
      <c r="J126" s="327"/>
      <c r="K126" s="297"/>
    </row>
    <row r="127" spans="1:11" ht="12" customHeight="1" x14ac:dyDescent="0.15">
      <c r="A127" s="297"/>
      <c r="B127" s="326"/>
      <c r="C127" s="332"/>
      <c r="D127" s="332"/>
      <c r="E127" s="322"/>
      <c r="F127" s="322"/>
      <c r="G127" s="322"/>
      <c r="H127" s="322"/>
      <c r="I127" s="322"/>
      <c r="J127" s="327"/>
      <c r="K127" s="297"/>
    </row>
    <row r="128" spans="1:11" ht="12" customHeight="1" x14ac:dyDescent="0.15">
      <c r="A128" s="297"/>
      <c r="B128" s="326"/>
      <c r="C128" s="332"/>
      <c r="D128" s="332"/>
      <c r="E128" s="322"/>
      <c r="F128" s="322"/>
      <c r="G128" s="322"/>
      <c r="H128" s="322"/>
      <c r="I128" s="322"/>
      <c r="J128" s="327"/>
      <c r="K128" s="297"/>
    </row>
    <row r="129" spans="1:11" ht="12" customHeight="1" x14ac:dyDescent="0.15">
      <c r="A129" s="297"/>
      <c r="B129" s="326"/>
      <c r="C129" s="332"/>
      <c r="D129" s="332"/>
      <c r="E129" s="322"/>
      <c r="F129" s="322"/>
      <c r="G129" s="322"/>
      <c r="H129" s="322"/>
      <c r="I129" s="322"/>
      <c r="J129" s="327"/>
      <c r="K129" s="297"/>
    </row>
    <row r="130" spans="1:11" ht="12" customHeight="1" x14ac:dyDescent="0.15">
      <c r="A130" s="297"/>
      <c r="B130" s="326"/>
      <c r="C130" s="332"/>
      <c r="D130" s="332"/>
      <c r="E130" s="322"/>
      <c r="F130" s="322"/>
      <c r="G130" s="322"/>
      <c r="H130" s="322"/>
      <c r="I130" s="322"/>
      <c r="J130" s="327"/>
      <c r="K130" s="297"/>
    </row>
    <row r="131" spans="1:11" x14ac:dyDescent="0.15">
      <c r="A131" s="297"/>
      <c r="B131" s="326"/>
      <c r="C131" s="332"/>
      <c r="D131" s="332"/>
      <c r="E131" s="322"/>
      <c r="F131" s="322"/>
      <c r="G131" s="322"/>
      <c r="H131" s="322"/>
      <c r="I131" s="322"/>
      <c r="J131" s="327"/>
      <c r="K131" s="297"/>
    </row>
    <row r="132" spans="1:11" x14ac:dyDescent="0.15">
      <c r="A132" s="297"/>
      <c r="B132" s="329"/>
      <c r="C132" s="419"/>
      <c r="D132" s="419"/>
      <c r="E132" s="330"/>
      <c r="F132" s="330"/>
      <c r="G132" s="330"/>
      <c r="H132" s="330"/>
      <c r="I132" s="330"/>
      <c r="J132" s="331"/>
      <c r="K132" s="297"/>
    </row>
    <row r="133" spans="1:11" x14ac:dyDescent="0.15">
      <c r="A133" s="297"/>
      <c r="B133" s="332"/>
      <c r="C133" s="332"/>
      <c r="D133" s="332"/>
      <c r="E133" s="322"/>
      <c r="F133" s="322"/>
      <c r="G133" s="322"/>
      <c r="H133" s="322"/>
      <c r="I133" s="322"/>
      <c r="J133" s="322"/>
      <c r="K133" s="297"/>
    </row>
  </sheetData>
  <sheetProtection algorithmName="SHA-512" hashValue="FlGJmIWZJtrcsA2VlaQhMkqPpF7fC8ut8/Ftft1RQcXYQJzGQ8uqGACnXaz6tVmgD3Gw20cFB6+PYWfxJLToFA==" saltValue="DqNFRg/xsyLyk3l66cLahw==" spinCount="100000" sheet="1" objects="1" scenarios="1" formatColumns="0" autoFilter="0"/>
  <mergeCells count="3">
    <mergeCell ref="B7:B10"/>
    <mergeCell ref="B48:B51"/>
    <mergeCell ref="B91:B94"/>
  </mergeCells>
  <hyperlinks>
    <hyperlink ref="B1" location="Instructions!B3" display="Instructions" xr:uid="{8F4F267B-A42B-42A7-9CB6-2DD9DABC2FBB}"/>
    <hyperlink ref="B2" location="FinanceData!H2" display="Goto Simulation Scenario Selection" xr:uid="{22499F8A-5EB7-40A0-BE7D-0D1638937FA3}"/>
  </hyperlinks>
  <printOptions horizontalCentered="1"/>
  <pageMargins left="0.19685039370078741" right="0.19685039370078741" top="0.39370078740157483" bottom="0.19685039370078741" header="0.19685039370078741" footer="0.19685039370078741"/>
  <pageSetup paperSize="9" scale="80" fitToHeight="3" orientation="landscape" horizontalDpi="4294967293" r:id="rId1"/>
  <headerFooter>
    <oddFooter>&amp;L&amp;F - &amp;A&amp;R| &amp;D | &amp;P/&amp;N</oddFooter>
  </headerFooter>
  <rowBreaks count="2" manualBreakCount="2">
    <brk id="46" max="16383" man="1"/>
    <brk id="89" max="16383" man="1"/>
  </row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10</vt:i4>
      </vt:variant>
      <vt:variant>
        <vt:lpstr>Plages nommées</vt:lpstr>
      </vt:variant>
      <vt:variant>
        <vt:i4>17</vt:i4>
      </vt:variant>
    </vt:vector>
  </HeadingPairs>
  <TitlesOfParts>
    <vt:vector size="27" baseType="lpstr">
      <vt:lpstr>ReadMe</vt:lpstr>
      <vt:lpstr>Instructions</vt:lpstr>
      <vt:lpstr>InputsData</vt:lpstr>
      <vt:lpstr>RevenueData</vt:lpstr>
      <vt:lpstr>RevenuePivot</vt:lpstr>
      <vt:lpstr>RevenueChart</vt:lpstr>
      <vt:lpstr>FinanceData</vt:lpstr>
      <vt:lpstr>FinancePivot</vt:lpstr>
      <vt:lpstr>FinanceChart</vt:lpstr>
      <vt:lpstr>FinanceEUR</vt:lpstr>
      <vt:lpstr>CountryList</vt:lpstr>
      <vt:lpstr>FinanceData!Impression_des_titres</vt:lpstr>
      <vt:lpstr>FinanceEUR!Impression_des_titres</vt:lpstr>
      <vt:lpstr>InputsData!Impression_des_titres</vt:lpstr>
      <vt:lpstr>Instructions!Impression_des_titres</vt:lpstr>
      <vt:lpstr>RevenueData!Impression_des_titres</vt:lpstr>
      <vt:lpstr>RevenuePivot!Impression_des_titres</vt:lpstr>
      <vt:lpstr>FinanceChart!Zone_d_impression</vt:lpstr>
      <vt:lpstr>FinanceData!Zone_d_impression</vt:lpstr>
      <vt:lpstr>FinanceEUR!Zone_d_impression</vt:lpstr>
      <vt:lpstr>FinancePivot!Zone_d_impression</vt:lpstr>
      <vt:lpstr>InputsData!Zone_d_impression</vt:lpstr>
      <vt:lpstr>Instructions!Zone_d_impression</vt:lpstr>
      <vt:lpstr>ReadMe!Zone_d_impression</vt:lpstr>
      <vt:lpstr>RevenueChart!Zone_d_impression</vt:lpstr>
      <vt:lpstr>RevenueData!Zone_d_impression</vt:lpstr>
      <vt:lpstr>RevenuePivot!Zone_d_impression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 BEKA</dc:creator>
  <cp:lastModifiedBy>YACÉ Philippe-Emmanuel</cp:lastModifiedBy>
  <cp:lastPrinted>2025-10-11T12:54:42Z</cp:lastPrinted>
  <dcterms:created xsi:type="dcterms:W3CDTF">2025-07-27T09:04:29Z</dcterms:created>
  <dcterms:modified xsi:type="dcterms:W3CDTF">2026-02-10T22:09:11Z</dcterms:modified>
</cp:coreProperties>
</file>